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tables/table14.xml" ContentType="application/vnd.openxmlformats-officedocument.spreadsheetml.table+xml"/>
  <Override PartName="/xl/comments5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6.xml" ContentType="application/vnd.openxmlformats-officedocument.spreadsheetml.comments+xml"/>
  <Override PartName="/xl/tables/table19.xml" ContentType="application/vnd.openxmlformats-officedocument.spreadsheetml.table+xml"/>
  <Override PartName="/xl/comments7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fileSharing readOnlyRecommended="1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MEDOJorge\Documents\Python projects\Horse Luis\VTT Tool\"/>
    </mc:Choice>
  </mc:AlternateContent>
  <xr:revisionPtr revIDLastSave="0" documentId="8_{47580FE9-D03E-4620-8EFA-6B5BE8FDB840}" xr6:coauthVersionLast="47" xr6:coauthVersionMax="47" xr10:uidLastSave="{00000000-0000-0000-0000-000000000000}"/>
  <bookViews>
    <workbookView xWindow="-120" yWindow="-120" windowWidth="29040" windowHeight="15720" firstSheet="3" activeTab="3" xr2:uid="{1292AE22-B632-48BA-B5FB-E26D44B6E31C}"/>
  </bookViews>
  <sheets>
    <sheet name="schema actif" sheetId="46" r:id="rId1"/>
    <sheet name="schema next" sheetId="61" r:id="rId2"/>
    <sheet name="schema by ID actif" sheetId="54" r:id="rId3"/>
    <sheet name="schema by ID next" sheetId="56" r:id="rId4"/>
    <sheet name="VTT actif" sheetId="30" r:id="rId5"/>
    <sheet name="schema project" sheetId="48" state="hidden" r:id="rId6"/>
    <sheet name="schema by ID project" sheetId="49" state="hidden" r:id="rId7"/>
    <sheet name="VTT project" sheetId="53" state="hidden" r:id="rId8"/>
    <sheet name="VTT next" sheetId="58" r:id="rId9"/>
    <sheet name="Order" sheetId="29" r:id="rId10"/>
    <sheet name="Plant_AILN" sheetId="9" r:id="rId11"/>
    <sheet name="DATA BTO" sheetId="22" r:id="rId12"/>
    <sheet name="DATA ILN" sheetId="26" r:id="rId13"/>
    <sheet name="DATA Consignee" sheetId="27" r:id="rId14"/>
    <sheet name="Transport" sheetId="28" r:id="rId15"/>
    <sheet name="Notice" sheetId="52" r:id="rId16"/>
    <sheet name="VTT histo" sheetId="59" r:id="rId17"/>
  </sheets>
  <externalReferences>
    <externalReference r:id="rId18"/>
  </externalReferences>
  <definedNames>
    <definedName name="_Filter2" localSheetId="11" hidden="1">'DATA BTO'!#REF!</definedName>
    <definedName name="_xlnm._FilterDatabase" localSheetId="11" hidden="1">'DATA BTO'!$Q$957:$Q$957</definedName>
    <definedName name="_xlnm._FilterDatabase" localSheetId="13" hidden="1">'DATA Consignee'!$C$1:$O$98</definedName>
    <definedName name="_xlnm._FilterDatabase" localSheetId="12" hidden="1">'DATA ILN'!$A$2:$P$265</definedName>
    <definedName name="_xlnm._FilterDatabase" localSheetId="9" hidden="1">Order!$A$2:$D$49</definedName>
    <definedName name="_xlnm._FilterDatabase" localSheetId="10" hidden="1">Plant_AILN!$F$2:$G$22</definedName>
    <definedName name="_xlnm._FilterDatabase" localSheetId="0" hidden="1">'schema actif'!$A$1:$DT$25</definedName>
    <definedName name="_xlnm._FilterDatabase" localSheetId="1" hidden="1">'schema next'!$A$1:$DT$25</definedName>
    <definedName name="_xlnm._FilterDatabase" localSheetId="14" hidden="1">Transport!$A$2:$E$66</definedName>
    <definedName name="a" localSheetId="11" hidden="1">'DATA BTO'!#REF!</definedName>
    <definedName name="AILNname" localSheetId="2">OFFSET([1]Plant_AILN!$F$2,0,0,COUNTA([1]Plant_AILN!$F:$F),1)</definedName>
    <definedName name="AILNname" localSheetId="3">OFFSET([1]Plant_AILN!$F$2,0,0,COUNTA([1]Plant_AILN!$F:$F),1)</definedName>
    <definedName name="AILNname">OFFSET(Plant_AILN!$F$2,0,0,COUNTA(Plant_AILN!$F:$F),1)</definedName>
    <definedName name="Countryname" localSheetId="2">_xlfn.UNIQUE(OFFSET([1]Plant_AILN!$D$2,0,0,COUNTA([1]Plant_AILN!$D:$D),1))</definedName>
    <definedName name="Countryname" localSheetId="3">_xlfn.UNIQUE(OFFSET([1]Plant_AILN!$D$2,0,0,COUNTA([1]Plant_AILN!$D:$D),1))</definedName>
    <definedName name="Countryname">_xlfn.UNIQUE(OFFSET(Plant_AILN!$D$2,0,0,COUNTA(Plant_AILN!$D:$D),1))</definedName>
    <definedName name="PFIname" localSheetId="2">OFFSET([1]Plant_AILN!$I$2,0,0,COUNTA([1]Plant_AILN!$I:$I),1)</definedName>
    <definedName name="PFIname" localSheetId="3">OFFSET([1]Plant_AILN!$I$2,0,0,COUNTA([1]Plant_AILN!$I:$I),1)</definedName>
    <definedName name="PFIname">OFFSET(Plant_AILN!$I$2,0,0,COUNTA(Plant_AILN!$I:$I),1)</definedName>
    <definedName name="plantname" localSheetId="2">OFFSET([1]Plant_AILN!$A$2,0,0,COUNTA([1]Plant_AILN!$A:$A),1)</definedName>
    <definedName name="plantname" localSheetId="3">OFFSET([1]Plant_AILN!$A$2,0,0,COUNTA([1]Plant_AILN!$A:$A),1)</definedName>
    <definedName name="plantname">OFFSET(Plant_AILN!$A$2,0,0,COUNTA(Plant_AILN!$A:$A),1)</definedName>
    <definedName name="shippername" localSheetId="2">OFFSET([1]Plant_AILN!$L$2,0,0,COUNTA([1]Plant_AILN!$L:$L),1)</definedName>
    <definedName name="shippername" localSheetId="3">OFFSET([1]Plant_AILN!$L$2,0,0,COUNTA([1]Plant_AILN!$L:$L),1)</definedName>
    <definedName name="shippername">OFFSET(Plant_AILN!$L$2,0,0,COUNTA(Plant_AILN!$L:$L),1)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3" i="26" l="1"/>
  <c r="F223" i="26"/>
  <c r="H223" i="26"/>
  <c r="M223" i="26"/>
  <c r="A223" i="26" l="1"/>
  <c r="B223" i="26"/>
  <c r="D88" i="26"/>
  <c r="F88" i="26"/>
  <c r="H88" i="26"/>
  <c r="M88" i="26"/>
  <c r="H89" i="26"/>
  <c r="A88" i="26" l="1"/>
  <c r="B88" i="26"/>
  <c r="M19" i="58" l="1"/>
  <c r="A25" i="56"/>
  <c r="G6" i="61"/>
  <c r="H6" i="61" s="1"/>
  <c r="I6" i="61" s="1"/>
  <c r="J6" i="61" s="1"/>
  <c r="K6" i="61" s="1"/>
  <c r="L6" i="61" s="1"/>
  <c r="M6" i="61" s="1"/>
  <c r="N6" i="61" s="1"/>
  <c r="O6" i="61" s="1"/>
  <c r="P6" i="61" s="1"/>
  <c r="Q6" i="61" s="1"/>
  <c r="R6" i="61" s="1"/>
  <c r="S6" i="61" s="1"/>
  <c r="T6" i="61" s="1"/>
  <c r="U6" i="61" s="1"/>
  <c r="V6" i="61" s="1"/>
  <c r="W6" i="61" s="1"/>
  <c r="X6" i="61" s="1"/>
  <c r="Y6" i="61" s="1"/>
  <c r="Z6" i="61" s="1"/>
  <c r="AA6" i="61" s="1"/>
  <c r="AB6" i="61" s="1"/>
  <c r="AC6" i="61" s="1"/>
  <c r="AD6" i="61" s="1"/>
  <c r="AE6" i="61" s="1"/>
  <c r="AF6" i="61" s="1"/>
  <c r="AG6" i="61" s="1"/>
  <c r="AH6" i="61" s="1"/>
  <c r="AI6" i="61" s="1"/>
  <c r="AJ6" i="61" s="1"/>
  <c r="AK6" i="61" s="1"/>
  <c r="AL6" i="61" s="1"/>
  <c r="AM6" i="61" s="1"/>
  <c r="AN6" i="61" s="1"/>
  <c r="AO6" i="61" s="1"/>
  <c r="AP6" i="61" s="1"/>
  <c r="AQ6" i="61" s="1"/>
  <c r="AR6" i="61" s="1"/>
  <c r="AS6" i="61" s="1"/>
  <c r="AT6" i="61" s="1"/>
  <c r="AU6" i="61" s="1"/>
  <c r="AV6" i="61" s="1"/>
  <c r="AW6" i="61" s="1"/>
  <c r="AX6" i="61" s="1"/>
  <c r="AY6" i="61" s="1"/>
  <c r="AZ6" i="61" s="1"/>
  <c r="BA6" i="61" s="1"/>
  <c r="BB6" i="61" s="1"/>
  <c r="BC6" i="61" s="1"/>
  <c r="BD6" i="61" s="1"/>
  <c r="BE6" i="61" s="1"/>
  <c r="BF6" i="61" s="1"/>
  <c r="BG6" i="61" s="1"/>
  <c r="BH6" i="61" s="1"/>
  <c r="BI6" i="61" s="1"/>
  <c r="BJ6" i="61" s="1"/>
  <c r="BK6" i="61" s="1"/>
  <c r="BL6" i="61" s="1"/>
  <c r="BM6" i="61" s="1"/>
  <c r="BN6" i="61" s="1"/>
  <c r="BO6" i="61" s="1"/>
  <c r="BP6" i="61" s="1"/>
  <c r="BQ6" i="61" s="1"/>
  <c r="BR6" i="61" s="1"/>
  <c r="BS6" i="61" s="1"/>
  <c r="BT6" i="61" s="1"/>
  <c r="BU6" i="61" s="1"/>
  <c r="BV6" i="61" s="1"/>
  <c r="BW6" i="61" s="1"/>
  <c r="BX6" i="61" s="1"/>
  <c r="BY6" i="61" s="1"/>
  <c r="BZ6" i="61" s="1"/>
  <c r="CA6" i="61" s="1"/>
  <c r="CB6" i="61" s="1"/>
  <c r="CC6" i="61" s="1"/>
  <c r="CD6" i="61" s="1"/>
  <c r="CE6" i="61" s="1"/>
  <c r="CF6" i="61" s="1"/>
  <c r="CG6" i="61" s="1"/>
  <c r="CH6" i="61" s="1"/>
  <c r="CI6" i="61" s="1"/>
  <c r="CJ6" i="61" s="1"/>
  <c r="CK6" i="61" s="1"/>
  <c r="CL6" i="61" s="1"/>
  <c r="CM6" i="61" s="1"/>
  <c r="CN6" i="61" s="1"/>
  <c r="CO6" i="61" s="1"/>
  <c r="CP6" i="61" s="1"/>
  <c r="CQ6" i="61" s="1"/>
  <c r="CR6" i="61" s="1"/>
  <c r="CS6" i="61" s="1"/>
  <c r="CT6" i="61" s="1"/>
  <c r="CU6" i="61" s="1"/>
  <c r="CV6" i="61" s="1"/>
  <c r="CW6" i="61" s="1"/>
  <c r="CX6" i="61" s="1"/>
  <c r="CY6" i="61" s="1"/>
  <c r="CZ6" i="61" s="1"/>
  <c r="DA6" i="61" s="1"/>
  <c r="DB6" i="61" s="1"/>
  <c r="DC6" i="61" s="1"/>
  <c r="DD6" i="61" s="1"/>
  <c r="DE6" i="61" s="1"/>
  <c r="DF6" i="61" s="1"/>
  <c r="DG6" i="61" s="1"/>
  <c r="DH6" i="61" s="1"/>
  <c r="DI6" i="61" s="1"/>
  <c r="DJ6" i="61" s="1"/>
  <c r="DK6" i="61" s="1"/>
  <c r="DL6" i="61" s="1"/>
  <c r="DM6" i="61" s="1"/>
  <c r="DN6" i="61" s="1"/>
  <c r="DO6" i="61" s="1"/>
  <c r="DP6" i="61" s="1"/>
  <c r="DQ6" i="61" s="1"/>
  <c r="DR6" i="61" s="1"/>
  <c r="DS6" i="61" s="1"/>
  <c r="DT6" i="61" s="1"/>
  <c r="B14" i="58"/>
  <c r="F14" i="58"/>
  <c r="K14" i="58"/>
  <c r="M14" i="58"/>
  <c r="P14" i="58"/>
  <c r="Y14" i="58"/>
  <c r="AM14" i="58"/>
  <c r="AN14" i="58"/>
  <c r="AO14" i="58" s="1"/>
  <c r="AX14" i="58"/>
  <c r="M264" i="26"/>
  <c r="H264" i="26"/>
  <c r="F264" i="26"/>
  <c r="D264" i="26"/>
  <c r="D265" i="26"/>
  <c r="F265" i="26"/>
  <c r="H265" i="26"/>
  <c r="M265" i="26"/>
  <c r="A25" i="29"/>
  <c r="B264" i="26" l="1"/>
  <c r="A264" i="26"/>
  <c r="A265" i="26"/>
  <c r="B265" i="26"/>
  <c r="M105" i="26"/>
  <c r="H105" i="26"/>
  <c r="F105" i="26"/>
  <c r="D105" i="26"/>
  <c r="AN6" i="30"/>
  <c r="AO6" i="30" s="1"/>
  <c r="AM6" i="30"/>
  <c r="Y6" i="30"/>
  <c r="P6" i="30"/>
  <c r="M6" i="30"/>
  <c r="K6" i="30"/>
  <c r="F6" i="30"/>
  <c r="B6" i="30"/>
  <c r="A25" i="61"/>
  <c r="B10" i="61"/>
  <c r="B9" i="61"/>
  <c r="F1" i="61"/>
  <c r="J11" i="28"/>
  <c r="G11" i="28" s="1"/>
  <c r="O52" i="28"/>
  <c r="R52" i="28"/>
  <c r="O51" i="28"/>
  <c r="R51" i="28"/>
  <c r="M63" i="27"/>
  <c r="C63" i="27" s="1"/>
  <c r="K63" i="27"/>
  <c r="H63" i="27"/>
  <c r="I63" i="27" s="1"/>
  <c r="M65" i="27"/>
  <c r="K65" i="27"/>
  <c r="H65" i="27"/>
  <c r="A65" i="27" s="1"/>
  <c r="B105" i="26" l="1"/>
  <c r="A105" i="26"/>
  <c r="M1" i="61"/>
  <c r="M52" i="28"/>
  <c r="M51" i="28"/>
  <c r="A63" i="27"/>
  <c r="D63" i="27"/>
  <c r="B63" i="27"/>
  <c r="B65" i="27"/>
  <c r="I65" i="27"/>
  <c r="D65" i="27"/>
  <c r="C65" i="27"/>
  <c r="T1" i="61" l="1"/>
  <c r="AA1" i="61" l="1"/>
  <c r="AH1" i="61" l="1"/>
  <c r="AO1" i="61" l="1"/>
  <c r="S3" i="22"/>
  <c r="M3" i="22"/>
  <c r="A3" i="22" s="1"/>
  <c r="M211" i="22"/>
  <c r="A211" i="22" s="1"/>
  <c r="S211" i="22"/>
  <c r="M174" i="22"/>
  <c r="A174" i="22" s="1"/>
  <c r="S174" i="22"/>
  <c r="M178" i="22"/>
  <c r="A178" i="22" s="1"/>
  <c r="M197" i="22"/>
  <c r="A197" i="22" s="1"/>
  <c r="S178" i="22"/>
  <c r="S197" i="22"/>
  <c r="M220" i="22"/>
  <c r="A220" i="22" s="1"/>
  <c r="S220" i="22"/>
  <c r="M215" i="22"/>
  <c r="A215" i="22" s="1"/>
  <c r="S215" i="22"/>
  <c r="M189" i="22"/>
  <c r="A189" i="22" s="1"/>
  <c r="S189" i="22"/>
  <c r="M203" i="22"/>
  <c r="A203" i="22" s="1"/>
  <c r="S203" i="22"/>
  <c r="M199" i="22"/>
  <c r="A199" i="22" s="1"/>
  <c r="S199" i="22"/>
  <c r="M191" i="22"/>
  <c r="A191" i="22" s="1"/>
  <c r="S191" i="22"/>
  <c r="M180" i="22"/>
  <c r="A180" i="22" s="1"/>
  <c r="S180" i="22"/>
  <c r="M51" i="22"/>
  <c r="A51" i="22" s="1"/>
  <c r="S51" i="22"/>
  <c r="M34" i="22"/>
  <c r="A34" i="22" s="1"/>
  <c r="S34" i="22"/>
  <c r="M217" i="22"/>
  <c r="A217" i="22" s="1"/>
  <c r="S217" i="22"/>
  <c r="M165" i="22"/>
  <c r="A165" i="22" s="1"/>
  <c r="S165" i="22"/>
  <c r="M41" i="22"/>
  <c r="A41" i="22" s="1"/>
  <c r="S41" i="22"/>
  <c r="M49" i="22"/>
  <c r="A49" i="22" s="1"/>
  <c r="S49" i="22"/>
  <c r="M209" i="22"/>
  <c r="A209" i="22" s="1"/>
  <c r="S209" i="22"/>
  <c r="M13" i="22"/>
  <c r="A13" i="22" s="1"/>
  <c r="S13" i="22"/>
  <c r="M225" i="22"/>
  <c r="A225" i="22" s="1"/>
  <c r="S225" i="22"/>
  <c r="M167" i="22"/>
  <c r="A167" i="22" s="1"/>
  <c r="M171" i="22"/>
  <c r="A171" i="22" s="1"/>
  <c r="S167" i="22"/>
  <c r="S171" i="22"/>
  <c r="M183" i="22"/>
  <c r="A183" i="22" s="1"/>
  <c r="S183" i="22"/>
  <c r="M185" i="22"/>
  <c r="A185" i="22" s="1"/>
  <c r="M187" i="22"/>
  <c r="A187" i="22" s="1"/>
  <c r="S185" i="22"/>
  <c r="S187" i="22"/>
  <c r="M194" i="22"/>
  <c r="A194" i="22" s="1"/>
  <c r="M229" i="22"/>
  <c r="A229" i="22" s="1"/>
  <c r="S194" i="22"/>
  <c r="S229" i="22"/>
  <c r="M227" i="22"/>
  <c r="A227" i="22" s="1"/>
  <c r="S227" i="22"/>
  <c r="M213" i="22"/>
  <c r="A213" i="22" s="1"/>
  <c r="S213" i="22"/>
  <c r="M169" i="22"/>
  <c r="A169" i="22" s="1"/>
  <c r="S169" i="22"/>
  <c r="M222" i="22"/>
  <c r="A222" i="22" s="1"/>
  <c r="S222" i="22"/>
  <c r="AV1" i="61" l="1"/>
  <c r="B999" i="59"/>
  <c r="F999" i="59"/>
  <c r="L999" i="59"/>
  <c r="N999" i="59"/>
  <c r="Q999" i="59"/>
  <c r="Z999" i="59"/>
  <c r="AN999" i="59"/>
  <c r="AO999" i="59"/>
  <c r="AP999" i="59" s="1"/>
  <c r="AY999" i="59"/>
  <c r="M53" i="22"/>
  <c r="A53" i="22" s="1"/>
  <c r="S53" i="22"/>
  <c r="BC1" i="61" l="1"/>
  <c r="I6" i="59"/>
  <c r="BJ1" i="61" l="1"/>
  <c r="M129" i="22"/>
  <c r="A129" i="22" s="1"/>
  <c r="S129" i="22"/>
  <c r="M52" i="22"/>
  <c r="A52" i="22" s="1"/>
  <c r="S52" i="22"/>
  <c r="BQ1" i="61" l="1"/>
  <c r="BX1" i="61" l="1"/>
  <c r="CE1" i="61" l="1"/>
  <c r="M263" i="26"/>
  <c r="H263" i="26"/>
  <c r="F263" i="26"/>
  <c r="D263" i="26"/>
  <c r="CL1" i="61" l="1"/>
  <c r="B263" i="26"/>
  <c r="A263" i="26"/>
  <c r="CS1" i="61" l="1"/>
  <c r="M79" i="22"/>
  <c r="A79" i="22" s="1"/>
  <c r="S79" i="22"/>
  <c r="S144" i="22"/>
  <c r="S89" i="22"/>
  <c r="S149" i="22"/>
  <c r="S152" i="22"/>
  <c r="S94" i="22"/>
  <c r="S140" i="22"/>
  <c r="S107" i="22"/>
  <c r="S19" i="22"/>
  <c r="S26" i="22"/>
  <c r="S124" i="22"/>
  <c r="S120" i="22"/>
  <c r="S102" i="22"/>
  <c r="S114" i="22"/>
  <c r="S78" i="22"/>
  <c r="S73" i="22"/>
  <c r="S231" i="22"/>
  <c r="S205" i="22"/>
  <c r="S67" i="22"/>
  <c r="S128" i="22"/>
  <c r="S32" i="22"/>
  <c r="S162" i="22"/>
  <c r="S47" i="22"/>
  <c r="S62" i="22"/>
  <c r="S155" i="22"/>
  <c r="S8" i="22"/>
  <c r="S201" i="22"/>
  <c r="M144" i="22"/>
  <c r="A144" i="22" s="1"/>
  <c r="M89" i="22"/>
  <c r="A89" i="22" s="1"/>
  <c r="M149" i="22"/>
  <c r="A149" i="22" s="1"/>
  <c r="M152" i="22"/>
  <c r="A152" i="22" s="1"/>
  <c r="M94" i="22"/>
  <c r="A94" i="22" s="1"/>
  <c r="M140" i="22"/>
  <c r="A140" i="22" s="1"/>
  <c r="M107" i="22"/>
  <c r="A107" i="22" s="1"/>
  <c r="M19" i="22"/>
  <c r="A19" i="22" s="1"/>
  <c r="M26" i="22"/>
  <c r="A26" i="22" s="1"/>
  <c r="M124" i="22"/>
  <c r="A124" i="22" s="1"/>
  <c r="M120" i="22"/>
  <c r="A120" i="22" s="1"/>
  <c r="M102" i="22"/>
  <c r="A102" i="22" s="1"/>
  <c r="M114" i="22"/>
  <c r="A114" i="22" s="1"/>
  <c r="M78" i="22"/>
  <c r="A78" i="22" s="1"/>
  <c r="M73" i="22"/>
  <c r="A73" i="22" s="1"/>
  <c r="M231" i="22"/>
  <c r="A231" i="22" s="1"/>
  <c r="M205" i="22"/>
  <c r="A205" i="22" s="1"/>
  <c r="M67" i="22"/>
  <c r="A67" i="22" s="1"/>
  <c r="M128" i="22"/>
  <c r="A128" i="22" s="1"/>
  <c r="M32" i="22"/>
  <c r="A32" i="22" s="1"/>
  <c r="M162" i="22"/>
  <c r="A162" i="22" s="1"/>
  <c r="M47" i="22"/>
  <c r="A47" i="22" s="1"/>
  <c r="M62" i="22"/>
  <c r="A62" i="22" s="1"/>
  <c r="M155" i="22"/>
  <c r="A155" i="22" s="1"/>
  <c r="M8" i="22"/>
  <c r="A8" i="22" s="1"/>
  <c r="M201" i="22"/>
  <c r="A201" i="22" s="1"/>
  <c r="CZ1" i="61" l="1"/>
  <c r="DG1" i="61" l="1"/>
  <c r="DN1" i="61" l="1"/>
  <c r="S39" i="22" l="1"/>
  <c r="AN24" i="59"/>
  <c r="AO24" i="59"/>
  <c r="AP24" i="59" s="1"/>
  <c r="AN25" i="59"/>
  <c r="AO25" i="59"/>
  <c r="AP25" i="59" s="1"/>
  <c r="AN26" i="59"/>
  <c r="AO26" i="59"/>
  <c r="AP26" i="59" s="1"/>
  <c r="AN27" i="59"/>
  <c r="AO27" i="59"/>
  <c r="AP27" i="59" s="1"/>
  <c r="AN29" i="59"/>
  <c r="AO29" i="59"/>
  <c r="AP29" i="59" s="1"/>
  <c r="AN30" i="59"/>
  <c r="AO30" i="59"/>
  <c r="AP30" i="59" s="1"/>
  <c r="AN31" i="59"/>
  <c r="AO31" i="59"/>
  <c r="AP31" i="59" s="1"/>
  <c r="AN32" i="59"/>
  <c r="AO32" i="59"/>
  <c r="AP32" i="59" s="1"/>
  <c r="AN33" i="59"/>
  <c r="AO33" i="59"/>
  <c r="AP33" i="59" s="1"/>
  <c r="AN34" i="59"/>
  <c r="AO34" i="59"/>
  <c r="AP34" i="59" s="1"/>
  <c r="AN37" i="59"/>
  <c r="AO37" i="59"/>
  <c r="AP37" i="59" s="1"/>
  <c r="AN39" i="59"/>
  <c r="AO39" i="59"/>
  <c r="AP39" i="59" s="1"/>
  <c r="AN41" i="59"/>
  <c r="AO41" i="59"/>
  <c r="AP41" i="59" s="1"/>
  <c r="AN38" i="59"/>
  <c r="AO38" i="59"/>
  <c r="AP38" i="59" s="1"/>
  <c r="AN40" i="59"/>
  <c r="AO40" i="59"/>
  <c r="AP40" i="59" s="1"/>
  <c r="AN42" i="59"/>
  <c r="AO42" i="59"/>
  <c r="AP42" i="59" s="1"/>
  <c r="Z24" i="59"/>
  <c r="Z25" i="59"/>
  <c r="Z26" i="59"/>
  <c r="Z27" i="59"/>
  <c r="Z29" i="59"/>
  <c r="Z30" i="59"/>
  <c r="Z31" i="59"/>
  <c r="Z32" i="59"/>
  <c r="Z33" i="59"/>
  <c r="Z34" i="59"/>
  <c r="Z37" i="59"/>
  <c r="Z39" i="59"/>
  <c r="Z41" i="59"/>
  <c r="Z38" i="59"/>
  <c r="Z40" i="59"/>
  <c r="Z42" i="59"/>
  <c r="Q24" i="59"/>
  <c r="Q25" i="59"/>
  <c r="Q26" i="59"/>
  <c r="Q27" i="59"/>
  <c r="Q29" i="59"/>
  <c r="Q30" i="59"/>
  <c r="Q31" i="59"/>
  <c r="Q32" i="59"/>
  <c r="Q33" i="59"/>
  <c r="Q34" i="59"/>
  <c r="Q37" i="59"/>
  <c r="Q39" i="59"/>
  <c r="Q41" i="59"/>
  <c r="Q38" i="59"/>
  <c r="Q40" i="59"/>
  <c r="Q42" i="59"/>
  <c r="N24" i="59"/>
  <c r="N25" i="59"/>
  <c r="N26" i="59"/>
  <c r="N27" i="59"/>
  <c r="N29" i="59"/>
  <c r="N30" i="59"/>
  <c r="N31" i="59"/>
  <c r="N32" i="59"/>
  <c r="N33" i="59"/>
  <c r="N34" i="59"/>
  <c r="N37" i="59"/>
  <c r="N39" i="59"/>
  <c r="N41" i="59"/>
  <c r="N38" i="59"/>
  <c r="N40" i="59"/>
  <c r="N42" i="59"/>
  <c r="B24" i="59"/>
  <c r="F24" i="59"/>
  <c r="I24" i="59"/>
  <c r="L24" i="59"/>
  <c r="B25" i="59"/>
  <c r="F25" i="59"/>
  <c r="I25" i="59"/>
  <c r="L25" i="59"/>
  <c r="B26" i="59"/>
  <c r="F26" i="59"/>
  <c r="I26" i="59"/>
  <c r="L26" i="59"/>
  <c r="B27" i="59"/>
  <c r="F27" i="59"/>
  <c r="I27" i="59"/>
  <c r="L27" i="59"/>
  <c r="B29" i="59"/>
  <c r="F29" i="59"/>
  <c r="I29" i="59"/>
  <c r="L29" i="59"/>
  <c r="B30" i="59"/>
  <c r="F30" i="59"/>
  <c r="I30" i="59"/>
  <c r="L30" i="59"/>
  <c r="B31" i="59"/>
  <c r="F31" i="59"/>
  <c r="I31" i="59"/>
  <c r="L31" i="59"/>
  <c r="B32" i="59"/>
  <c r="F32" i="59"/>
  <c r="I32" i="59"/>
  <c r="L32" i="59"/>
  <c r="B33" i="59"/>
  <c r="F33" i="59"/>
  <c r="I33" i="59"/>
  <c r="L33" i="59"/>
  <c r="B34" i="59"/>
  <c r="F34" i="59"/>
  <c r="I34" i="59"/>
  <c r="L34" i="59"/>
  <c r="B37" i="59"/>
  <c r="F37" i="59"/>
  <c r="I37" i="59"/>
  <c r="L37" i="59"/>
  <c r="B39" i="59"/>
  <c r="F39" i="59"/>
  <c r="I39" i="59"/>
  <c r="L39" i="59"/>
  <c r="B41" i="59"/>
  <c r="F41" i="59"/>
  <c r="I41" i="59"/>
  <c r="L41" i="59"/>
  <c r="B38" i="59"/>
  <c r="F38" i="59"/>
  <c r="I38" i="59"/>
  <c r="L38" i="59"/>
  <c r="B40" i="59"/>
  <c r="F40" i="59"/>
  <c r="I40" i="59"/>
  <c r="L40" i="59"/>
  <c r="B42" i="59"/>
  <c r="F42" i="59"/>
  <c r="I42" i="59"/>
  <c r="L42" i="59"/>
  <c r="B46" i="59"/>
  <c r="F46" i="59"/>
  <c r="I46" i="59"/>
  <c r="L46" i="59"/>
  <c r="B49" i="59"/>
  <c r="F49" i="59"/>
  <c r="I49" i="59"/>
  <c r="L49" i="59"/>
  <c r="B52" i="59"/>
  <c r="F52" i="59"/>
  <c r="I52" i="59"/>
  <c r="L52" i="59"/>
  <c r="B55" i="59"/>
  <c r="F55" i="59"/>
  <c r="I55" i="59"/>
  <c r="L55" i="59"/>
  <c r="B58" i="59"/>
  <c r="F58" i="59"/>
  <c r="I58" i="59"/>
  <c r="L58" i="59"/>
  <c r="B61" i="59"/>
  <c r="F61" i="59"/>
  <c r="I61" i="59"/>
  <c r="L61" i="59"/>
  <c r="B47" i="59"/>
  <c r="F47" i="59"/>
  <c r="I47" i="59"/>
  <c r="L47" i="59"/>
  <c r="B50" i="59"/>
  <c r="F50" i="59"/>
  <c r="I50" i="59"/>
  <c r="L50" i="59"/>
  <c r="B53" i="59"/>
  <c r="F53" i="59"/>
  <c r="I53" i="59"/>
  <c r="L53" i="59"/>
  <c r="B56" i="59"/>
  <c r="F56" i="59"/>
  <c r="I56" i="59"/>
  <c r="L56" i="59"/>
  <c r="B59" i="59"/>
  <c r="F59" i="59"/>
  <c r="I59" i="59"/>
  <c r="L59" i="59"/>
  <c r="B62" i="59"/>
  <c r="F62" i="59"/>
  <c r="I62" i="59"/>
  <c r="L62" i="59"/>
  <c r="B48" i="59"/>
  <c r="F48" i="59"/>
  <c r="I48" i="59"/>
  <c r="L48" i="59"/>
  <c r="B51" i="59"/>
  <c r="F51" i="59"/>
  <c r="I51" i="59"/>
  <c r="L51" i="59"/>
  <c r="B54" i="59"/>
  <c r="F54" i="59"/>
  <c r="I54" i="59"/>
  <c r="L54" i="59"/>
  <c r="B57" i="59"/>
  <c r="F57" i="59"/>
  <c r="I57" i="59"/>
  <c r="L57" i="59"/>
  <c r="B60" i="59"/>
  <c r="F60" i="59"/>
  <c r="I60" i="59"/>
  <c r="L60" i="59"/>
  <c r="B63" i="59"/>
  <c r="F63" i="59"/>
  <c r="I63" i="59"/>
  <c r="L63" i="59"/>
  <c r="B65" i="59"/>
  <c r="F65" i="59"/>
  <c r="I65" i="59"/>
  <c r="L65" i="59"/>
  <c r="B66" i="59"/>
  <c r="F66" i="59"/>
  <c r="I66" i="59"/>
  <c r="L66" i="59"/>
  <c r="B67" i="59"/>
  <c r="F67" i="59"/>
  <c r="I67" i="59"/>
  <c r="L67" i="59"/>
  <c r="B70" i="59"/>
  <c r="F70" i="59"/>
  <c r="I70" i="59"/>
  <c r="L70" i="59"/>
  <c r="B72" i="59"/>
  <c r="F72" i="59"/>
  <c r="I72" i="59"/>
  <c r="L72" i="59"/>
  <c r="B74" i="59"/>
  <c r="F74" i="59"/>
  <c r="I74" i="59"/>
  <c r="L74" i="59"/>
  <c r="B71" i="59"/>
  <c r="F71" i="59"/>
  <c r="I71" i="59"/>
  <c r="L71" i="59"/>
  <c r="B73" i="59"/>
  <c r="F73" i="59"/>
  <c r="I73" i="59"/>
  <c r="L73" i="59"/>
  <c r="B75" i="59"/>
  <c r="F75" i="59"/>
  <c r="I75" i="59"/>
  <c r="L75" i="59"/>
  <c r="B77" i="59"/>
  <c r="F77" i="59"/>
  <c r="I77" i="59"/>
  <c r="L77" i="59"/>
  <c r="B78" i="59"/>
  <c r="F78" i="59"/>
  <c r="I78" i="59"/>
  <c r="L78" i="59"/>
  <c r="B81" i="59"/>
  <c r="F81" i="59"/>
  <c r="I81" i="59"/>
  <c r="L81" i="59"/>
  <c r="B83" i="59"/>
  <c r="F83" i="59"/>
  <c r="I83" i="59"/>
  <c r="L83" i="59"/>
  <c r="B85" i="59"/>
  <c r="F85" i="59"/>
  <c r="I85" i="59"/>
  <c r="L85" i="59"/>
  <c r="B82" i="59"/>
  <c r="F82" i="59"/>
  <c r="I82" i="59"/>
  <c r="L82" i="59"/>
  <c r="B84" i="59"/>
  <c r="F84" i="59"/>
  <c r="I84" i="59"/>
  <c r="L84" i="59"/>
  <c r="B86" i="59"/>
  <c r="F86" i="59"/>
  <c r="I86" i="59"/>
  <c r="L86" i="59"/>
  <c r="B89" i="59"/>
  <c r="F89" i="59"/>
  <c r="I89" i="59"/>
  <c r="L89" i="59"/>
  <c r="B91" i="59"/>
  <c r="F91" i="59"/>
  <c r="I91" i="59"/>
  <c r="L91" i="59"/>
  <c r="B93" i="59"/>
  <c r="F93" i="59"/>
  <c r="I93" i="59"/>
  <c r="L93" i="59"/>
  <c r="B90" i="59"/>
  <c r="F90" i="59"/>
  <c r="I90" i="59"/>
  <c r="L90" i="59"/>
  <c r="B92" i="59"/>
  <c r="F92" i="59"/>
  <c r="I92" i="59"/>
  <c r="L92" i="59"/>
  <c r="B94" i="59"/>
  <c r="F94" i="59"/>
  <c r="I94" i="59"/>
  <c r="L94" i="59"/>
  <c r="B96" i="59"/>
  <c r="F96" i="59"/>
  <c r="I96" i="59"/>
  <c r="L96" i="59"/>
  <c r="B97" i="59"/>
  <c r="F97" i="59"/>
  <c r="I97" i="59"/>
  <c r="L97" i="59"/>
  <c r="B99" i="59"/>
  <c r="F99" i="59"/>
  <c r="I99" i="59"/>
  <c r="L99" i="59"/>
  <c r="B100" i="59"/>
  <c r="F100" i="59"/>
  <c r="I100" i="59"/>
  <c r="L100" i="59"/>
  <c r="B104" i="59"/>
  <c r="F104" i="59"/>
  <c r="I104" i="59"/>
  <c r="L104" i="59"/>
  <c r="B107" i="59"/>
  <c r="F107" i="59"/>
  <c r="I107" i="59"/>
  <c r="L107" i="59"/>
  <c r="B105" i="59"/>
  <c r="F105" i="59"/>
  <c r="I105" i="59"/>
  <c r="L105" i="59"/>
  <c r="B108" i="59"/>
  <c r="F108" i="59"/>
  <c r="I108" i="59"/>
  <c r="L108" i="59"/>
  <c r="B106" i="59"/>
  <c r="F106" i="59"/>
  <c r="I106" i="59"/>
  <c r="L106" i="59"/>
  <c r="B109" i="59"/>
  <c r="F109" i="59"/>
  <c r="I109" i="59"/>
  <c r="L109" i="59"/>
  <c r="B112" i="59"/>
  <c r="F112" i="59"/>
  <c r="I112" i="59"/>
  <c r="L112" i="59"/>
  <c r="B114" i="59"/>
  <c r="F114" i="59"/>
  <c r="I114" i="59"/>
  <c r="L114" i="59"/>
  <c r="B116" i="59"/>
  <c r="F116" i="59"/>
  <c r="I116" i="59"/>
  <c r="L116" i="59"/>
  <c r="B113" i="59"/>
  <c r="F113" i="59"/>
  <c r="I113" i="59"/>
  <c r="L113" i="59"/>
  <c r="B115" i="59"/>
  <c r="F115" i="59"/>
  <c r="I115" i="59"/>
  <c r="L115" i="59"/>
  <c r="B117" i="59"/>
  <c r="F117" i="59"/>
  <c r="I117" i="59"/>
  <c r="L117" i="59"/>
  <c r="B119" i="59"/>
  <c r="F119" i="59"/>
  <c r="I119" i="59"/>
  <c r="L119" i="59"/>
  <c r="B120" i="59"/>
  <c r="F120" i="59"/>
  <c r="I120" i="59"/>
  <c r="L120" i="59"/>
  <c r="B121" i="59"/>
  <c r="F121" i="59"/>
  <c r="I121" i="59"/>
  <c r="L121" i="59"/>
  <c r="B130" i="59"/>
  <c r="F130" i="59"/>
  <c r="I130" i="59"/>
  <c r="L130" i="59"/>
  <c r="B138" i="59"/>
  <c r="F138" i="59"/>
  <c r="I138" i="59"/>
  <c r="L138" i="59"/>
  <c r="B146" i="59"/>
  <c r="F146" i="59"/>
  <c r="I146" i="59"/>
  <c r="L146" i="59"/>
  <c r="B131" i="59"/>
  <c r="F131" i="59"/>
  <c r="I131" i="59"/>
  <c r="L131" i="59"/>
  <c r="B139" i="59"/>
  <c r="F139" i="59"/>
  <c r="I139" i="59"/>
  <c r="L139" i="59"/>
  <c r="B147" i="59"/>
  <c r="F147" i="59"/>
  <c r="I147" i="59"/>
  <c r="L147" i="59"/>
  <c r="B132" i="59"/>
  <c r="F132" i="59"/>
  <c r="I132" i="59"/>
  <c r="L132" i="59"/>
  <c r="B140" i="59"/>
  <c r="F140" i="59"/>
  <c r="I140" i="59"/>
  <c r="L140" i="59"/>
  <c r="B148" i="59"/>
  <c r="F148" i="59"/>
  <c r="I148" i="59"/>
  <c r="L148" i="59"/>
  <c r="B133" i="59"/>
  <c r="F133" i="59"/>
  <c r="I133" i="59"/>
  <c r="L133" i="59"/>
  <c r="B141" i="59"/>
  <c r="F141" i="59"/>
  <c r="I141" i="59"/>
  <c r="L141" i="59"/>
  <c r="B149" i="59"/>
  <c r="F149" i="59"/>
  <c r="I149" i="59"/>
  <c r="L149" i="59"/>
  <c r="B134" i="59"/>
  <c r="F134" i="59"/>
  <c r="I134" i="59"/>
  <c r="L134" i="59"/>
  <c r="B142" i="59"/>
  <c r="F142" i="59"/>
  <c r="I142" i="59"/>
  <c r="L142" i="59"/>
  <c r="B150" i="59"/>
  <c r="F150" i="59"/>
  <c r="I150" i="59"/>
  <c r="L150" i="59"/>
  <c r="B135" i="59"/>
  <c r="F135" i="59"/>
  <c r="I135" i="59"/>
  <c r="L135" i="59"/>
  <c r="B143" i="59"/>
  <c r="F143" i="59"/>
  <c r="I143" i="59"/>
  <c r="L143" i="59"/>
  <c r="B151" i="59"/>
  <c r="F151" i="59"/>
  <c r="I151" i="59"/>
  <c r="L151" i="59"/>
  <c r="B136" i="59"/>
  <c r="F136" i="59"/>
  <c r="I136" i="59"/>
  <c r="L136" i="59"/>
  <c r="B144" i="59"/>
  <c r="F144" i="59"/>
  <c r="I144" i="59"/>
  <c r="L144" i="59"/>
  <c r="B152" i="59"/>
  <c r="F152" i="59"/>
  <c r="I152" i="59"/>
  <c r="L152" i="59"/>
  <c r="B137" i="59"/>
  <c r="F137" i="59"/>
  <c r="I137" i="59"/>
  <c r="L137" i="59"/>
  <c r="B145" i="59"/>
  <c r="F145" i="59"/>
  <c r="I145" i="59"/>
  <c r="L145" i="59"/>
  <c r="B153" i="59"/>
  <c r="F153" i="59"/>
  <c r="I153" i="59"/>
  <c r="L153" i="59"/>
  <c r="B155" i="59"/>
  <c r="F155" i="59"/>
  <c r="I155" i="59"/>
  <c r="L155" i="59"/>
  <c r="B156" i="59"/>
  <c r="F156" i="59"/>
  <c r="I156" i="59"/>
  <c r="L156" i="59"/>
  <c r="B157" i="59"/>
  <c r="F157" i="59"/>
  <c r="I157" i="59"/>
  <c r="L157" i="59"/>
  <c r="B160" i="59"/>
  <c r="F160" i="59"/>
  <c r="I160" i="59"/>
  <c r="L160" i="59"/>
  <c r="B162" i="59"/>
  <c r="F162" i="59"/>
  <c r="I162" i="59"/>
  <c r="L162" i="59"/>
  <c r="B164" i="59"/>
  <c r="F164" i="59"/>
  <c r="I164" i="59"/>
  <c r="L164" i="59"/>
  <c r="B161" i="59"/>
  <c r="F161" i="59"/>
  <c r="I161" i="59"/>
  <c r="L161" i="59"/>
  <c r="B163" i="59"/>
  <c r="F163" i="59"/>
  <c r="I163" i="59"/>
  <c r="L163" i="59"/>
  <c r="B165" i="59"/>
  <c r="F165" i="59"/>
  <c r="I165" i="59"/>
  <c r="L165" i="59"/>
  <c r="B167" i="59"/>
  <c r="F167" i="59"/>
  <c r="I167" i="59"/>
  <c r="L167" i="59"/>
  <c r="B168" i="59"/>
  <c r="F168" i="59"/>
  <c r="I168" i="59"/>
  <c r="L168" i="59"/>
  <c r="B170" i="59"/>
  <c r="F170" i="59"/>
  <c r="I170" i="59"/>
  <c r="L170" i="59"/>
  <c r="B171" i="59"/>
  <c r="F171" i="59"/>
  <c r="I171" i="59"/>
  <c r="L171" i="59"/>
  <c r="B172" i="59"/>
  <c r="F172" i="59"/>
  <c r="I172" i="59"/>
  <c r="L172" i="59"/>
  <c r="B174" i="59"/>
  <c r="F174" i="59"/>
  <c r="I174" i="59"/>
  <c r="L174" i="59"/>
  <c r="B175" i="59"/>
  <c r="F175" i="59"/>
  <c r="I175" i="59"/>
  <c r="L175" i="59"/>
  <c r="B176" i="59"/>
  <c r="F176" i="59"/>
  <c r="I176" i="59"/>
  <c r="L176" i="59"/>
  <c r="B178" i="59"/>
  <c r="F178" i="59"/>
  <c r="I178" i="59"/>
  <c r="L178" i="59"/>
  <c r="B179" i="59"/>
  <c r="F179" i="59"/>
  <c r="I179" i="59"/>
  <c r="L179" i="59"/>
  <c r="B180" i="59"/>
  <c r="F180" i="59"/>
  <c r="I180" i="59"/>
  <c r="L180" i="59"/>
  <c r="B182" i="59"/>
  <c r="F182" i="59"/>
  <c r="I182" i="59"/>
  <c r="L182" i="59"/>
  <c r="B183" i="59"/>
  <c r="F183" i="59"/>
  <c r="I183" i="59"/>
  <c r="L183" i="59"/>
  <c r="B184" i="59"/>
  <c r="F184" i="59"/>
  <c r="I184" i="59"/>
  <c r="L184" i="59"/>
  <c r="B185" i="59"/>
  <c r="F185" i="59"/>
  <c r="I185" i="59"/>
  <c r="L185" i="59"/>
  <c r="B186" i="59"/>
  <c r="F186" i="59"/>
  <c r="I186" i="59"/>
  <c r="L186" i="59"/>
  <c r="B188" i="59"/>
  <c r="F188" i="59"/>
  <c r="I188" i="59"/>
  <c r="L188" i="59"/>
  <c r="B189" i="59"/>
  <c r="F189" i="59"/>
  <c r="I189" i="59"/>
  <c r="L189" i="59"/>
  <c r="B191" i="59"/>
  <c r="F191" i="59"/>
  <c r="I191" i="59"/>
  <c r="L191" i="59"/>
  <c r="B192" i="59"/>
  <c r="F192" i="59"/>
  <c r="I192" i="59"/>
  <c r="L192" i="59"/>
  <c r="B193" i="59"/>
  <c r="F193" i="59"/>
  <c r="I193" i="59"/>
  <c r="L193" i="59"/>
  <c r="B194" i="59"/>
  <c r="F194" i="59"/>
  <c r="I194" i="59"/>
  <c r="L194" i="59"/>
  <c r="B198" i="59"/>
  <c r="F198" i="59"/>
  <c r="I198" i="59"/>
  <c r="L198" i="59"/>
  <c r="B199" i="59"/>
  <c r="F199" i="59"/>
  <c r="I199" i="59"/>
  <c r="L199" i="59"/>
  <c r="B200" i="59"/>
  <c r="F200" i="59"/>
  <c r="I200" i="59"/>
  <c r="L200" i="59"/>
  <c r="B201" i="59"/>
  <c r="F201" i="59"/>
  <c r="I201" i="59"/>
  <c r="L201" i="59"/>
  <c r="B202" i="59"/>
  <c r="F202" i="59"/>
  <c r="I202" i="59"/>
  <c r="L202" i="59"/>
  <c r="B203" i="59"/>
  <c r="F203" i="59"/>
  <c r="I203" i="59"/>
  <c r="L203" i="59"/>
  <c r="B205" i="59"/>
  <c r="F205" i="59"/>
  <c r="I205" i="59"/>
  <c r="L205" i="59"/>
  <c r="B206" i="59"/>
  <c r="F206" i="59"/>
  <c r="I206" i="59"/>
  <c r="L206" i="59"/>
  <c r="B207" i="59"/>
  <c r="F207" i="59"/>
  <c r="I207" i="59"/>
  <c r="L207" i="59"/>
  <c r="B209" i="59"/>
  <c r="F209" i="59"/>
  <c r="I209" i="59"/>
  <c r="L209" i="59"/>
  <c r="B210" i="59"/>
  <c r="F210" i="59"/>
  <c r="I210" i="59"/>
  <c r="L210" i="59"/>
  <c r="B211" i="59"/>
  <c r="F211" i="59"/>
  <c r="I211" i="59"/>
  <c r="L211" i="59"/>
  <c r="B214" i="59"/>
  <c r="F214" i="59"/>
  <c r="I214" i="59"/>
  <c r="L214" i="59"/>
  <c r="B216" i="59"/>
  <c r="F216" i="59"/>
  <c r="I216" i="59"/>
  <c r="L216" i="59"/>
  <c r="B218" i="59"/>
  <c r="F218" i="59"/>
  <c r="I218" i="59"/>
  <c r="L218" i="59"/>
  <c r="B215" i="59"/>
  <c r="F215" i="59"/>
  <c r="I215" i="59"/>
  <c r="L215" i="59"/>
  <c r="B217" i="59"/>
  <c r="F217" i="59"/>
  <c r="I217" i="59"/>
  <c r="L217" i="59"/>
  <c r="B219" i="59"/>
  <c r="F219" i="59"/>
  <c r="I219" i="59"/>
  <c r="L219" i="59"/>
  <c r="B223" i="59"/>
  <c r="F223" i="59"/>
  <c r="I223" i="59"/>
  <c r="L223" i="59"/>
  <c r="B226" i="59"/>
  <c r="F226" i="59"/>
  <c r="I226" i="59"/>
  <c r="L226" i="59"/>
  <c r="B224" i="59"/>
  <c r="F224" i="59"/>
  <c r="I224" i="59"/>
  <c r="L224" i="59"/>
  <c r="B227" i="59"/>
  <c r="F227" i="59"/>
  <c r="I227" i="59"/>
  <c r="L227" i="59"/>
  <c r="B225" i="59"/>
  <c r="F225" i="59"/>
  <c r="I225" i="59"/>
  <c r="L225" i="59"/>
  <c r="B228" i="59"/>
  <c r="F228" i="59"/>
  <c r="I228" i="59"/>
  <c r="L228" i="59"/>
  <c r="B230" i="59"/>
  <c r="F230" i="59"/>
  <c r="I230" i="59"/>
  <c r="L230" i="59"/>
  <c r="B231" i="59"/>
  <c r="F231" i="59"/>
  <c r="I231" i="59"/>
  <c r="L231" i="59"/>
  <c r="B232" i="59"/>
  <c r="F232" i="59"/>
  <c r="I232" i="59"/>
  <c r="L232" i="59"/>
  <c r="B234" i="59"/>
  <c r="F234" i="59"/>
  <c r="I234" i="59"/>
  <c r="L234" i="59"/>
  <c r="B235" i="59"/>
  <c r="F235" i="59"/>
  <c r="I235" i="59"/>
  <c r="L235" i="59"/>
  <c r="B238" i="59"/>
  <c r="F238" i="59"/>
  <c r="I238" i="59"/>
  <c r="L238" i="59"/>
  <c r="B240" i="59"/>
  <c r="F240" i="59"/>
  <c r="I240" i="59"/>
  <c r="L240" i="59"/>
  <c r="B242" i="59"/>
  <c r="F242" i="59"/>
  <c r="I242" i="59"/>
  <c r="L242" i="59"/>
  <c r="B244" i="59"/>
  <c r="F244" i="59"/>
  <c r="I244" i="59"/>
  <c r="L244" i="59"/>
  <c r="B246" i="59"/>
  <c r="F246" i="59"/>
  <c r="I246" i="59"/>
  <c r="L246" i="59"/>
  <c r="B239" i="59"/>
  <c r="F239" i="59"/>
  <c r="I239" i="59"/>
  <c r="L239" i="59"/>
  <c r="B241" i="59"/>
  <c r="F241" i="59"/>
  <c r="I241" i="59"/>
  <c r="L241" i="59"/>
  <c r="B243" i="59"/>
  <c r="F243" i="59"/>
  <c r="I243" i="59"/>
  <c r="L243" i="59"/>
  <c r="B245" i="59"/>
  <c r="F245" i="59"/>
  <c r="I245" i="59"/>
  <c r="L245" i="59"/>
  <c r="B247" i="59"/>
  <c r="F247" i="59"/>
  <c r="I247" i="59"/>
  <c r="L247" i="59"/>
  <c r="B249" i="59"/>
  <c r="F249" i="59"/>
  <c r="I249" i="59"/>
  <c r="L249" i="59"/>
  <c r="B250" i="59"/>
  <c r="F250" i="59"/>
  <c r="I250" i="59"/>
  <c r="L250" i="59"/>
  <c r="B251" i="59"/>
  <c r="F251" i="59"/>
  <c r="I251" i="59"/>
  <c r="L251" i="59"/>
  <c r="B252" i="59"/>
  <c r="F252" i="59"/>
  <c r="I252" i="59"/>
  <c r="L252" i="59"/>
  <c r="B253" i="59"/>
  <c r="F253" i="59"/>
  <c r="I253" i="59"/>
  <c r="L253" i="59"/>
  <c r="B255" i="59"/>
  <c r="F255" i="59"/>
  <c r="I255" i="59"/>
  <c r="L255" i="59"/>
  <c r="B256" i="59"/>
  <c r="F256" i="59"/>
  <c r="I256" i="59"/>
  <c r="L256" i="59"/>
  <c r="B260" i="59"/>
  <c r="F260" i="59"/>
  <c r="I260" i="59"/>
  <c r="L260" i="59"/>
  <c r="B263" i="59"/>
  <c r="F263" i="59"/>
  <c r="I263" i="59"/>
  <c r="L263" i="59"/>
  <c r="B266" i="59"/>
  <c r="F266" i="59"/>
  <c r="I266" i="59"/>
  <c r="L266" i="59"/>
  <c r="B269" i="59"/>
  <c r="F269" i="59"/>
  <c r="I269" i="59"/>
  <c r="L269" i="59"/>
  <c r="B261" i="59"/>
  <c r="F261" i="59"/>
  <c r="I261" i="59"/>
  <c r="L261" i="59"/>
  <c r="B264" i="59"/>
  <c r="F264" i="59"/>
  <c r="I264" i="59"/>
  <c r="L264" i="59"/>
  <c r="B267" i="59"/>
  <c r="F267" i="59"/>
  <c r="I267" i="59"/>
  <c r="L267" i="59"/>
  <c r="B270" i="59"/>
  <c r="F270" i="59"/>
  <c r="I270" i="59"/>
  <c r="L270" i="59"/>
  <c r="B262" i="59"/>
  <c r="F262" i="59"/>
  <c r="I262" i="59"/>
  <c r="L262" i="59"/>
  <c r="B265" i="59"/>
  <c r="F265" i="59"/>
  <c r="I265" i="59"/>
  <c r="L265" i="59"/>
  <c r="B268" i="59"/>
  <c r="F268" i="59"/>
  <c r="I268" i="59"/>
  <c r="L268" i="59"/>
  <c r="B271" i="59"/>
  <c r="F271" i="59"/>
  <c r="I271" i="59"/>
  <c r="L271" i="59"/>
  <c r="B274" i="59"/>
  <c r="F274" i="59"/>
  <c r="I274" i="59"/>
  <c r="L274" i="59"/>
  <c r="B276" i="59"/>
  <c r="F276" i="59"/>
  <c r="I276" i="59"/>
  <c r="L276" i="59"/>
  <c r="B278" i="59"/>
  <c r="F278" i="59"/>
  <c r="I278" i="59"/>
  <c r="L278" i="59"/>
  <c r="B275" i="59"/>
  <c r="F275" i="59"/>
  <c r="I275" i="59"/>
  <c r="L275" i="59"/>
  <c r="B277" i="59"/>
  <c r="F277" i="59"/>
  <c r="I277" i="59"/>
  <c r="L277" i="59"/>
  <c r="B279" i="59"/>
  <c r="F279" i="59"/>
  <c r="I279" i="59"/>
  <c r="L279" i="59"/>
  <c r="B281" i="59"/>
  <c r="F281" i="59"/>
  <c r="I281" i="59"/>
  <c r="L281" i="59"/>
  <c r="B282" i="59"/>
  <c r="F282" i="59"/>
  <c r="I282" i="59"/>
  <c r="L282" i="59"/>
  <c r="B284" i="59"/>
  <c r="F284" i="59"/>
  <c r="I284" i="59"/>
  <c r="L284" i="59"/>
  <c r="B285" i="59"/>
  <c r="F285" i="59"/>
  <c r="I285" i="59"/>
  <c r="L285" i="59"/>
  <c r="B286" i="59"/>
  <c r="F286" i="59"/>
  <c r="I286" i="59"/>
  <c r="L286" i="59"/>
  <c r="B289" i="59"/>
  <c r="F289" i="59"/>
  <c r="I289" i="59"/>
  <c r="L289" i="59"/>
  <c r="B291" i="59"/>
  <c r="F291" i="59"/>
  <c r="I291" i="59"/>
  <c r="L291" i="59"/>
  <c r="B293" i="59"/>
  <c r="F293" i="59"/>
  <c r="I293" i="59"/>
  <c r="L293" i="59"/>
  <c r="B295" i="59"/>
  <c r="F295" i="59"/>
  <c r="I295" i="59"/>
  <c r="L295" i="59"/>
  <c r="B290" i="59"/>
  <c r="F290" i="59"/>
  <c r="I290" i="59"/>
  <c r="L290" i="59"/>
  <c r="B292" i="59"/>
  <c r="F292" i="59"/>
  <c r="I292" i="59"/>
  <c r="L292" i="59"/>
  <c r="B294" i="59"/>
  <c r="F294" i="59"/>
  <c r="I294" i="59"/>
  <c r="L294" i="59"/>
  <c r="B296" i="59"/>
  <c r="F296" i="59"/>
  <c r="I296" i="59"/>
  <c r="L296" i="59"/>
  <c r="B299" i="59"/>
  <c r="F299" i="59"/>
  <c r="I299" i="59"/>
  <c r="L299" i="59"/>
  <c r="B301" i="59"/>
  <c r="F301" i="59"/>
  <c r="I301" i="59"/>
  <c r="L301" i="59"/>
  <c r="B303" i="59"/>
  <c r="F303" i="59"/>
  <c r="I303" i="59"/>
  <c r="L303" i="59"/>
  <c r="B305" i="59"/>
  <c r="F305" i="59"/>
  <c r="I305" i="59"/>
  <c r="L305" i="59"/>
  <c r="B300" i="59"/>
  <c r="F300" i="59"/>
  <c r="I300" i="59"/>
  <c r="L300" i="59"/>
  <c r="B302" i="59"/>
  <c r="F302" i="59"/>
  <c r="I302" i="59"/>
  <c r="L302" i="59"/>
  <c r="B304" i="59"/>
  <c r="F304" i="59"/>
  <c r="I304" i="59"/>
  <c r="L304" i="59"/>
  <c r="B306" i="59"/>
  <c r="F306" i="59"/>
  <c r="I306" i="59"/>
  <c r="L306" i="59"/>
  <c r="B308" i="59"/>
  <c r="F308" i="59"/>
  <c r="I308" i="59"/>
  <c r="L308" i="59"/>
  <c r="B309" i="59"/>
  <c r="F309" i="59"/>
  <c r="I309" i="59"/>
  <c r="L309" i="59"/>
  <c r="B310" i="59"/>
  <c r="F310" i="59"/>
  <c r="I310" i="59"/>
  <c r="L310" i="59"/>
  <c r="B312" i="59"/>
  <c r="F312" i="59"/>
  <c r="I312" i="59"/>
  <c r="L312" i="59"/>
  <c r="B313" i="59"/>
  <c r="F313" i="59"/>
  <c r="I313" i="59"/>
  <c r="L313" i="59"/>
  <c r="B315" i="59"/>
  <c r="F315" i="59"/>
  <c r="I315" i="59"/>
  <c r="L315" i="59"/>
  <c r="B316" i="59"/>
  <c r="F316" i="59"/>
  <c r="I316" i="59"/>
  <c r="L316" i="59"/>
  <c r="B317" i="59"/>
  <c r="F317" i="59"/>
  <c r="I317" i="59"/>
  <c r="L317" i="59"/>
  <c r="B318" i="59"/>
  <c r="F318" i="59"/>
  <c r="I318" i="59"/>
  <c r="L318" i="59"/>
  <c r="B320" i="59"/>
  <c r="F320" i="59"/>
  <c r="I320" i="59"/>
  <c r="L320" i="59"/>
  <c r="B321" i="59"/>
  <c r="F321" i="59"/>
  <c r="I321" i="59"/>
  <c r="L321" i="59"/>
  <c r="B322" i="59"/>
  <c r="F322" i="59"/>
  <c r="I322" i="59"/>
  <c r="L322" i="59"/>
  <c r="B323" i="59"/>
  <c r="F323" i="59"/>
  <c r="I323" i="59"/>
  <c r="L323" i="59"/>
  <c r="B325" i="59"/>
  <c r="F325" i="59"/>
  <c r="I325" i="59"/>
  <c r="L325" i="59"/>
  <c r="B326" i="59"/>
  <c r="F326" i="59"/>
  <c r="I326" i="59"/>
  <c r="L326" i="59"/>
  <c r="B327" i="59"/>
  <c r="F327" i="59"/>
  <c r="I327" i="59"/>
  <c r="L327" i="59"/>
  <c r="B328" i="59"/>
  <c r="F328" i="59"/>
  <c r="I328" i="59"/>
  <c r="L328" i="59"/>
  <c r="B329" i="59"/>
  <c r="F329" i="59"/>
  <c r="I329" i="59"/>
  <c r="L329" i="59"/>
  <c r="B331" i="59"/>
  <c r="F331" i="59"/>
  <c r="I331" i="59"/>
  <c r="L331" i="59"/>
  <c r="B332" i="59"/>
  <c r="F332" i="59"/>
  <c r="I332" i="59"/>
  <c r="L332" i="59"/>
  <c r="B334" i="59"/>
  <c r="F334" i="59"/>
  <c r="I334" i="59"/>
  <c r="L334" i="59"/>
  <c r="B335" i="59"/>
  <c r="F335" i="59"/>
  <c r="I335" i="59"/>
  <c r="L335" i="59"/>
  <c r="B336" i="59"/>
  <c r="F336" i="59"/>
  <c r="I336" i="59"/>
  <c r="L336" i="59"/>
  <c r="B338" i="59"/>
  <c r="F338" i="59"/>
  <c r="I338" i="59"/>
  <c r="L338" i="59"/>
  <c r="B340" i="59"/>
  <c r="F340" i="59"/>
  <c r="I340" i="59"/>
  <c r="L340" i="59"/>
  <c r="B341" i="59"/>
  <c r="F341" i="59"/>
  <c r="I341" i="59"/>
  <c r="L341" i="59"/>
  <c r="B342" i="59"/>
  <c r="F342" i="59"/>
  <c r="I342" i="59"/>
  <c r="L342" i="59"/>
  <c r="B344" i="59"/>
  <c r="F344" i="59"/>
  <c r="I344" i="59"/>
  <c r="L344" i="59"/>
  <c r="B346" i="59"/>
  <c r="F346" i="59"/>
  <c r="I346" i="59"/>
  <c r="L346" i="59"/>
  <c r="B347" i="59"/>
  <c r="F347" i="59"/>
  <c r="I347" i="59"/>
  <c r="L347" i="59"/>
  <c r="B348" i="59"/>
  <c r="F348" i="59"/>
  <c r="I348" i="59"/>
  <c r="L348" i="59"/>
  <c r="B349" i="59"/>
  <c r="F349" i="59"/>
  <c r="I349" i="59"/>
  <c r="L349" i="59"/>
  <c r="B351" i="59"/>
  <c r="F351" i="59"/>
  <c r="I351" i="59"/>
  <c r="L351" i="59"/>
  <c r="B352" i="59"/>
  <c r="F352" i="59"/>
  <c r="I352" i="59"/>
  <c r="L352" i="59"/>
  <c r="B353" i="59"/>
  <c r="F353" i="59"/>
  <c r="I353" i="59"/>
  <c r="L353" i="59"/>
  <c r="B368" i="59"/>
  <c r="F368" i="59"/>
  <c r="I368" i="59"/>
  <c r="L368" i="59"/>
  <c r="B381" i="59"/>
  <c r="F381" i="59"/>
  <c r="I381" i="59"/>
  <c r="L381" i="59"/>
  <c r="B369" i="59"/>
  <c r="F369" i="59"/>
  <c r="I369" i="59"/>
  <c r="L369" i="59"/>
  <c r="B382" i="59"/>
  <c r="F382" i="59"/>
  <c r="I382" i="59"/>
  <c r="L382" i="59"/>
  <c r="B370" i="59"/>
  <c r="F370" i="59"/>
  <c r="I370" i="59"/>
  <c r="L370" i="59"/>
  <c r="B383" i="59"/>
  <c r="F383" i="59"/>
  <c r="I383" i="59"/>
  <c r="L383" i="59"/>
  <c r="B371" i="59"/>
  <c r="F371" i="59"/>
  <c r="I371" i="59"/>
  <c r="L371" i="59"/>
  <c r="B384" i="59"/>
  <c r="F384" i="59"/>
  <c r="I384" i="59"/>
  <c r="L384" i="59"/>
  <c r="B372" i="59"/>
  <c r="F372" i="59"/>
  <c r="I372" i="59"/>
  <c r="L372" i="59"/>
  <c r="B385" i="59"/>
  <c r="F385" i="59"/>
  <c r="I385" i="59"/>
  <c r="L385" i="59"/>
  <c r="B373" i="59"/>
  <c r="F373" i="59"/>
  <c r="I373" i="59"/>
  <c r="L373" i="59"/>
  <c r="B386" i="59"/>
  <c r="F386" i="59"/>
  <c r="I386" i="59"/>
  <c r="L386" i="59"/>
  <c r="B374" i="59"/>
  <c r="F374" i="59"/>
  <c r="I374" i="59"/>
  <c r="L374" i="59"/>
  <c r="B387" i="59"/>
  <c r="F387" i="59"/>
  <c r="I387" i="59"/>
  <c r="L387" i="59"/>
  <c r="B375" i="59"/>
  <c r="F375" i="59"/>
  <c r="I375" i="59"/>
  <c r="L375" i="59"/>
  <c r="B388" i="59"/>
  <c r="F388" i="59"/>
  <c r="I388" i="59"/>
  <c r="L388" i="59"/>
  <c r="B376" i="59"/>
  <c r="F376" i="59"/>
  <c r="I376" i="59"/>
  <c r="L376" i="59"/>
  <c r="B389" i="59"/>
  <c r="F389" i="59"/>
  <c r="I389" i="59"/>
  <c r="L389" i="59"/>
  <c r="B377" i="59"/>
  <c r="F377" i="59"/>
  <c r="I377" i="59"/>
  <c r="L377" i="59"/>
  <c r="B390" i="59"/>
  <c r="F390" i="59"/>
  <c r="I390" i="59"/>
  <c r="L390" i="59"/>
  <c r="B378" i="59"/>
  <c r="F378" i="59"/>
  <c r="I378" i="59"/>
  <c r="L378" i="59"/>
  <c r="B391" i="59"/>
  <c r="F391" i="59"/>
  <c r="I391" i="59"/>
  <c r="L391" i="59"/>
  <c r="B379" i="59"/>
  <c r="F379" i="59"/>
  <c r="I379" i="59"/>
  <c r="L379" i="59"/>
  <c r="B392" i="59"/>
  <c r="F392" i="59"/>
  <c r="I392" i="59"/>
  <c r="L392" i="59"/>
  <c r="B380" i="59"/>
  <c r="F380" i="59"/>
  <c r="I380" i="59"/>
  <c r="L380" i="59"/>
  <c r="B393" i="59"/>
  <c r="F393" i="59"/>
  <c r="I393" i="59"/>
  <c r="L393" i="59"/>
  <c r="B396" i="59"/>
  <c r="F396" i="59"/>
  <c r="I396" i="59"/>
  <c r="L396" i="59"/>
  <c r="B398" i="59"/>
  <c r="F398" i="59"/>
  <c r="I398" i="59"/>
  <c r="L398" i="59"/>
  <c r="B397" i="59"/>
  <c r="F397" i="59"/>
  <c r="I397" i="59"/>
  <c r="L397" i="59"/>
  <c r="B399" i="59"/>
  <c r="F399" i="59"/>
  <c r="I399" i="59"/>
  <c r="L399" i="59"/>
  <c r="B405" i="59"/>
  <c r="F405" i="59"/>
  <c r="I405" i="59"/>
  <c r="L405" i="59"/>
  <c r="B410" i="59"/>
  <c r="F410" i="59"/>
  <c r="I410" i="59"/>
  <c r="L410" i="59"/>
  <c r="B415" i="59"/>
  <c r="F415" i="59"/>
  <c r="I415" i="59"/>
  <c r="L415" i="59"/>
  <c r="B420" i="59"/>
  <c r="F420" i="59"/>
  <c r="I420" i="59"/>
  <c r="L420" i="59"/>
  <c r="B425" i="59"/>
  <c r="F425" i="59"/>
  <c r="I425" i="59"/>
  <c r="L425" i="59"/>
  <c r="B406" i="59"/>
  <c r="F406" i="59"/>
  <c r="I406" i="59"/>
  <c r="L406" i="59"/>
  <c r="B411" i="59"/>
  <c r="F411" i="59"/>
  <c r="I411" i="59"/>
  <c r="L411" i="59"/>
  <c r="B416" i="59"/>
  <c r="F416" i="59"/>
  <c r="I416" i="59"/>
  <c r="L416" i="59"/>
  <c r="B421" i="59"/>
  <c r="F421" i="59"/>
  <c r="I421" i="59"/>
  <c r="L421" i="59"/>
  <c r="B426" i="59"/>
  <c r="F426" i="59"/>
  <c r="I426" i="59"/>
  <c r="L426" i="59"/>
  <c r="B407" i="59"/>
  <c r="F407" i="59"/>
  <c r="I407" i="59"/>
  <c r="L407" i="59"/>
  <c r="B412" i="59"/>
  <c r="F412" i="59"/>
  <c r="I412" i="59"/>
  <c r="L412" i="59"/>
  <c r="B417" i="59"/>
  <c r="F417" i="59"/>
  <c r="I417" i="59"/>
  <c r="L417" i="59"/>
  <c r="B422" i="59"/>
  <c r="F422" i="59"/>
  <c r="I422" i="59"/>
  <c r="L422" i="59"/>
  <c r="B427" i="59"/>
  <c r="F427" i="59"/>
  <c r="I427" i="59"/>
  <c r="L427" i="59"/>
  <c r="B408" i="59"/>
  <c r="F408" i="59"/>
  <c r="I408" i="59"/>
  <c r="L408" i="59"/>
  <c r="B413" i="59"/>
  <c r="F413" i="59"/>
  <c r="I413" i="59"/>
  <c r="L413" i="59"/>
  <c r="B418" i="59"/>
  <c r="F418" i="59"/>
  <c r="I418" i="59"/>
  <c r="L418" i="59"/>
  <c r="B423" i="59"/>
  <c r="F423" i="59"/>
  <c r="I423" i="59"/>
  <c r="L423" i="59"/>
  <c r="B428" i="59"/>
  <c r="F428" i="59"/>
  <c r="I428" i="59"/>
  <c r="L428" i="59"/>
  <c r="B409" i="59"/>
  <c r="F409" i="59"/>
  <c r="I409" i="59"/>
  <c r="L409" i="59"/>
  <c r="B414" i="59"/>
  <c r="F414" i="59"/>
  <c r="I414" i="59"/>
  <c r="L414" i="59"/>
  <c r="B419" i="59"/>
  <c r="F419" i="59"/>
  <c r="I419" i="59"/>
  <c r="L419" i="59"/>
  <c r="B424" i="59"/>
  <c r="F424" i="59"/>
  <c r="I424" i="59"/>
  <c r="L424" i="59"/>
  <c r="B429" i="59"/>
  <c r="F429" i="59"/>
  <c r="I429" i="59"/>
  <c r="L429" i="59"/>
  <c r="B431" i="59"/>
  <c r="F431" i="59"/>
  <c r="I431" i="59"/>
  <c r="L431" i="59"/>
  <c r="B432" i="59"/>
  <c r="F432" i="59"/>
  <c r="I432" i="59"/>
  <c r="L432" i="59"/>
  <c r="B445" i="59"/>
  <c r="F445" i="59"/>
  <c r="I445" i="59"/>
  <c r="L445" i="59"/>
  <c r="B457" i="59"/>
  <c r="F457" i="59"/>
  <c r="I457" i="59"/>
  <c r="L457" i="59"/>
  <c r="B446" i="59"/>
  <c r="F446" i="59"/>
  <c r="I446" i="59"/>
  <c r="L446" i="59"/>
  <c r="B458" i="59"/>
  <c r="F458" i="59"/>
  <c r="I458" i="59"/>
  <c r="L458" i="59"/>
  <c r="B447" i="59"/>
  <c r="F447" i="59"/>
  <c r="I447" i="59"/>
  <c r="L447" i="59"/>
  <c r="B459" i="59"/>
  <c r="F459" i="59"/>
  <c r="I459" i="59"/>
  <c r="L459" i="59"/>
  <c r="B448" i="59"/>
  <c r="F448" i="59"/>
  <c r="I448" i="59"/>
  <c r="L448" i="59"/>
  <c r="B460" i="59"/>
  <c r="F460" i="59"/>
  <c r="I460" i="59"/>
  <c r="L460" i="59"/>
  <c r="B449" i="59"/>
  <c r="F449" i="59"/>
  <c r="I449" i="59"/>
  <c r="L449" i="59"/>
  <c r="B461" i="59"/>
  <c r="F461" i="59"/>
  <c r="I461" i="59"/>
  <c r="L461" i="59"/>
  <c r="B450" i="59"/>
  <c r="F450" i="59"/>
  <c r="I450" i="59"/>
  <c r="L450" i="59"/>
  <c r="B462" i="59"/>
  <c r="F462" i="59"/>
  <c r="I462" i="59"/>
  <c r="L462" i="59"/>
  <c r="B451" i="59"/>
  <c r="F451" i="59"/>
  <c r="I451" i="59"/>
  <c r="L451" i="59"/>
  <c r="B463" i="59"/>
  <c r="F463" i="59"/>
  <c r="I463" i="59"/>
  <c r="L463" i="59"/>
  <c r="B452" i="59"/>
  <c r="F452" i="59"/>
  <c r="I452" i="59"/>
  <c r="L452" i="59"/>
  <c r="B464" i="59"/>
  <c r="F464" i="59"/>
  <c r="I464" i="59"/>
  <c r="L464" i="59"/>
  <c r="B453" i="59"/>
  <c r="F453" i="59"/>
  <c r="I453" i="59"/>
  <c r="L453" i="59"/>
  <c r="B465" i="59"/>
  <c r="F465" i="59"/>
  <c r="I465" i="59"/>
  <c r="L465" i="59"/>
  <c r="B454" i="59"/>
  <c r="F454" i="59"/>
  <c r="I454" i="59"/>
  <c r="L454" i="59"/>
  <c r="B466" i="59"/>
  <c r="F466" i="59"/>
  <c r="I466" i="59"/>
  <c r="L466" i="59"/>
  <c r="B455" i="59"/>
  <c r="F455" i="59"/>
  <c r="I455" i="59"/>
  <c r="L455" i="59"/>
  <c r="B467" i="59"/>
  <c r="F467" i="59"/>
  <c r="I467" i="59"/>
  <c r="L467" i="59"/>
  <c r="B456" i="59"/>
  <c r="F456" i="59"/>
  <c r="I456" i="59"/>
  <c r="L456" i="59"/>
  <c r="B468" i="59"/>
  <c r="F468" i="59"/>
  <c r="I468" i="59"/>
  <c r="L468" i="59"/>
  <c r="B480" i="59"/>
  <c r="F480" i="59"/>
  <c r="I480" i="59"/>
  <c r="L480" i="59"/>
  <c r="B491" i="59"/>
  <c r="F491" i="59"/>
  <c r="I491" i="59"/>
  <c r="L491" i="59"/>
  <c r="B502" i="59"/>
  <c r="F502" i="59"/>
  <c r="I502" i="59"/>
  <c r="L502" i="59"/>
  <c r="B481" i="59"/>
  <c r="F481" i="59"/>
  <c r="I481" i="59"/>
  <c r="L481" i="59"/>
  <c r="B492" i="59"/>
  <c r="F492" i="59"/>
  <c r="I492" i="59"/>
  <c r="L492" i="59"/>
  <c r="B503" i="59"/>
  <c r="F503" i="59"/>
  <c r="I503" i="59"/>
  <c r="L503" i="59"/>
  <c r="B482" i="59"/>
  <c r="F482" i="59"/>
  <c r="I482" i="59"/>
  <c r="L482" i="59"/>
  <c r="B493" i="59"/>
  <c r="F493" i="59"/>
  <c r="I493" i="59"/>
  <c r="L493" i="59"/>
  <c r="B504" i="59"/>
  <c r="F504" i="59"/>
  <c r="I504" i="59"/>
  <c r="L504" i="59"/>
  <c r="B483" i="59"/>
  <c r="F483" i="59"/>
  <c r="I483" i="59"/>
  <c r="L483" i="59"/>
  <c r="B494" i="59"/>
  <c r="F494" i="59"/>
  <c r="I494" i="59"/>
  <c r="L494" i="59"/>
  <c r="B505" i="59"/>
  <c r="F505" i="59"/>
  <c r="I505" i="59"/>
  <c r="L505" i="59"/>
  <c r="B484" i="59"/>
  <c r="F484" i="59"/>
  <c r="I484" i="59"/>
  <c r="L484" i="59"/>
  <c r="B495" i="59"/>
  <c r="F495" i="59"/>
  <c r="I495" i="59"/>
  <c r="L495" i="59"/>
  <c r="B506" i="59"/>
  <c r="F506" i="59"/>
  <c r="I506" i="59"/>
  <c r="L506" i="59"/>
  <c r="B485" i="59"/>
  <c r="F485" i="59"/>
  <c r="I485" i="59"/>
  <c r="L485" i="59"/>
  <c r="B496" i="59"/>
  <c r="F496" i="59"/>
  <c r="I496" i="59"/>
  <c r="L496" i="59"/>
  <c r="B507" i="59"/>
  <c r="F507" i="59"/>
  <c r="I507" i="59"/>
  <c r="L507" i="59"/>
  <c r="B486" i="59"/>
  <c r="F486" i="59"/>
  <c r="I486" i="59"/>
  <c r="L486" i="59"/>
  <c r="B497" i="59"/>
  <c r="F497" i="59"/>
  <c r="I497" i="59"/>
  <c r="L497" i="59"/>
  <c r="B508" i="59"/>
  <c r="F508" i="59"/>
  <c r="I508" i="59"/>
  <c r="L508" i="59"/>
  <c r="B487" i="59"/>
  <c r="F487" i="59"/>
  <c r="I487" i="59"/>
  <c r="L487" i="59"/>
  <c r="B498" i="59"/>
  <c r="F498" i="59"/>
  <c r="I498" i="59"/>
  <c r="L498" i="59"/>
  <c r="B509" i="59"/>
  <c r="F509" i="59"/>
  <c r="I509" i="59"/>
  <c r="L509" i="59"/>
  <c r="B488" i="59"/>
  <c r="F488" i="59"/>
  <c r="I488" i="59"/>
  <c r="L488" i="59"/>
  <c r="B499" i="59"/>
  <c r="F499" i="59"/>
  <c r="I499" i="59"/>
  <c r="L499" i="59"/>
  <c r="B510" i="59"/>
  <c r="F510" i="59"/>
  <c r="I510" i="59"/>
  <c r="L510" i="59"/>
  <c r="B489" i="59"/>
  <c r="F489" i="59"/>
  <c r="I489" i="59"/>
  <c r="L489" i="59"/>
  <c r="B500" i="59"/>
  <c r="F500" i="59"/>
  <c r="I500" i="59"/>
  <c r="L500" i="59"/>
  <c r="B511" i="59"/>
  <c r="F511" i="59"/>
  <c r="I511" i="59"/>
  <c r="L511" i="59"/>
  <c r="B490" i="59"/>
  <c r="F490" i="59"/>
  <c r="I490" i="59"/>
  <c r="L490" i="59"/>
  <c r="B501" i="59"/>
  <c r="F501" i="59"/>
  <c r="I501" i="59"/>
  <c r="L501" i="59"/>
  <c r="B512" i="59"/>
  <c r="F512" i="59"/>
  <c r="I512" i="59"/>
  <c r="L512" i="59"/>
  <c r="B521" i="59"/>
  <c r="F521" i="59"/>
  <c r="I521" i="59"/>
  <c r="L521" i="59"/>
  <c r="B529" i="59"/>
  <c r="F529" i="59"/>
  <c r="I529" i="59"/>
  <c r="L529" i="59"/>
  <c r="B537" i="59"/>
  <c r="F537" i="59"/>
  <c r="I537" i="59"/>
  <c r="L537" i="59"/>
  <c r="B522" i="59"/>
  <c r="F522" i="59"/>
  <c r="I522" i="59"/>
  <c r="L522" i="59"/>
  <c r="B530" i="59"/>
  <c r="F530" i="59"/>
  <c r="I530" i="59"/>
  <c r="L530" i="59"/>
  <c r="B538" i="59"/>
  <c r="F538" i="59"/>
  <c r="I538" i="59"/>
  <c r="L538" i="59"/>
  <c r="B523" i="59"/>
  <c r="F523" i="59"/>
  <c r="I523" i="59"/>
  <c r="L523" i="59"/>
  <c r="B531" i="59"/>
  <c r="F531" i="59"/>
  <c r="I531" i="59"/>
  <c r="L531" i="59"/>
  <c r="B539" i="59"/>
  <c r="F539" i="59"/>
  <c r="I539" i="59"/>
  <c r="L539" i="59"/>
  <c r="B524" i="59"/>
  <c r="F524" i="59"/>
  <c r="I524" i="59"/>
  <c r="L524" i="59"/>
  <c r="B532" i="59"/>
  <c r="F532" i="59"/>
  <c r="I532" i="59"/>
  <c r="L532" i="59"/>
  <c r="B540" i="59"/>
  <c r="F540" i="59"/>
  <c r="I540" i="59"/>
  <c r="L540" i="59"/>
  <c r="B525" i="59"/>
  <c r="F525" i="59"/>
  <c r="I525" i="59"/>
  <c r="L525" i="59"/>
  <c r="B533" i="59"/>
  <c r="F533" i="59"/>
  <c r="I533" i="59"/>
  <c r="L533" i="59"/>
  <c r="B541" i="59"/>
  <c r="F541" i="59"/>
  <c r="I541" i="59"/>
  <c r="L541" i="59"/>
  <c r="B526" i="59"/>
  <c r="F526" i="59"/>
  <c r="I526" i="59"/>
  <c r="L526" i="59"/>
  <c r="B534" i="59"/>
  <c r="F534" i="59"/>
  <c r="I534" i="59"/>
  <c r="L534" i="59"/>
  <c r="B542" i="59"/>
  <c r="F542" i="59"/>
  <c r="I542" i="59"/>
  <c r="L542" i="59"/>
  <c r="B527" i="59"/>
  <c r="F527" i="59"/>
  <c r="I527" i="59"/>
  <c r="L527" i="59"/>
  <c r="B535" i="59"/>
  <c r="F535" i="59"/>
  <c r="I535" i="59"/>
  <c r="L535" i="59"/>
  <c r="B543" i="59"/>
  <c r="F543" i="59"/>
  <c r="I543" i="59"/>
  <c r="L543" i="59"/>
  <c r="B528" i="59"/>
  <c r="F528" i="59"/>
  <c r="I528" i="59"/>
  <c r="L528" i="59"/>
  <c r="B536" i="59"/>
  <c r="F536" i="59"/>
  <c r="I536" i="59"/>
  <c r="L536" i="59"/>
  <c r="B544" i="59"/>
  <c r="F544" i="59"/>
  <c r="I544" i="59"/>
  <c r="L544" i="59"/>
  <c r="B547" i="59"/>
  <c r="F547" i="59"/>
  <c r="I547" i="59"/>
  <c r="L547" i="59"/>
  <c r="B549" i="59"/>
  <c r="F549" i="59"/>
  <c r="I549" i="59"/>
  <c r="L549" i="59"/>
  <c r="B551" i="59"/>
  <c r="F551" i="59"/>
  <c r="I551" i="59"/>
  <c r="L551" i="59"/>
  <c r="B548" i="59"/>
  <c r="F548" i="59"/>
  <c r="I548" i="59"/>
  <c r="L548" i="59"/>
  <c r="B550" i="59"/>
  <c r="F550" i="59"/>
  <c r="I550" i="59"/>
  <c r="L550" i="59"/>
  <c r="B552" i="59"/>
  <c r="F552" i="59"/>
  <c r="I552" i="59"/>
  <c r="L552" i="59"/>
  <c r="B554" i="59"/>
  <c r="F554" i="59"/>
  <c r="I554" i="59"/>
  <c r="L554" i="59"/>
  <c r="B555" i="59"/>
  <c r="F555" i="59"/>
  <c r="I555" i="59"/>
  <c r="L555" i="59"/>
  <c r="B557" i="59"/>
  <c r="F557" i="59"/>
  <c r="I557" i="59"/>
  <c r="L557" i="59"/>
  <c r="B558" i="59"/>
  <c r="F558" i="59"/>
  <c r="I558" i="59"/>
  <c r="L558" i="59"/>
  <c r="B559" i="59"/>
  <c r="F559" i="59"/>
  <c r="I559" i="59"/>
  <c r="L559" i="59"/>
  <c r="B561" i="59"/>
  <c r="F561" i="59"/>
  <c r="I561" i="59"/>
  <c r="L561" i="59"/>
  <c r="B562" i="59"/>
  <c r="F562" i="59"/>
  <c r="I562" i="59"/>
  <c r="L562" i="59"/>
  <c r="B566" i="59"/>
  <c r="F566" i="59"/>
  <c r="I566" i="59"/>
  <c r="L566" i="59"/>
  <c r="B569" i="59"/>
  <c r="F569" i="59"/>
  <c r="I569" i="59"/>
  <c r="L569" i="59"/>
  <c r="B567" i="59"/>
  <c r="F567" i="59"/>
  <c r="I567" i="59"/>
  <c r="L567" i="59"/>
  <c r="B568" i="59"/>
  <c r="F568" i="59"/>
  <c r="I568" i="59"/>
  <c r="L568" i="59"/>
  <c r="B570" i="59"/>
  <c r="F570" i="59"/>
  <c r="I570" i="59"/>
  <c r="L570" i="59"/>
  <c r="B571" i="59"/>
  <c r="F571" i="59"/>
  <c r="I571" i="59"/>
  <c r="L571" i="59"/>
  <c r="B573" i="59"/>
  <c r="F573" i="59"/>
  <c r="I573" i="59"/>
  <c r="L573" i="59"/>
  <c r="B574" i="59"/>
  <c r="F574" i="59"/>
  <c r="I574" i="59"/>
  <c r="L574" i="59"/>
  <c r="B577" i="59"/>
  <c r="F577" i="59"/>
  <c r="I577" i="59"/>
  <c r="L577" i="59"/>
  <c r="B579" i="59"/>
  <c r="F579" i="59"/>
  <c r="I579" i="59"/>
  <c r="L579" i="59"/>
  <c r="B581" i="59"/>
  <c r="F581" i="59"/>
  <c r="I581" i="59"/>
  <c r="L581" i="59"/>
  <c r="B578" i="59"/>
  <c r="F578" i="59"/>
  <c r="I578" i="59"/>
  <c r="L578" i="59"/>
  <c r="B580" i="59"/>
  <c r="F580" i="59"/>
  <c r="I580" i="59"/>
  <c r="L580" i="59"/>
  <c r="B582" i="59"/>
  <c r="F582" i="59"/>
  <c r="I582" i="59"/>
  <c r="L582" i="59"/>
  <c r="B585" i="59"/>
  <c r="F585" i="59"/>
  <c r="I585" i="59"/>
  <c r="L585" i="59"/>
  <c r="B587" i="59"/>
  <c r="F587" i="59"/>
  <c r="I587" i="59"/>
  <c r="L587" i="59"/>
  <c r="B589" i="59"/>
  <c r="F589" i="59"/>
  <c r="I589" i="59"/>
  <c r="L589" i="59"/>
  <c r="B591" i="59"/>
  <c r="F591" i="59"/>
  <c r="I591" i="59"/>
  <c r="L591" i="59"/>
  <c r="B586" i="59"/>
  <c r="F586" i="59"/>
  <c r="I586" i="59"/>
  <c r="L586" i="59"/>
  <c r="B588" i="59"/>
  <c r="F588" i="59"/>
  <c r="I588" i="59"/>
  <c r="L588" i="59"/>
  <c r="B590" i="59"/>
  <c r="F590" i="59"/>
  <c r="I590" i="59"/>
  <c r="L590" i="59"/>
  <c r="B592" i="59"/>
  <c r="F592" i="59"/>
  <c r="I592" i="59"/>
  <c r="L592" i="59"/>
  <c r="B594" i="59"/>
  <c r="F594" i="59"/>
  <c r="I594" i="59"/>
  <c r="L594" i="59"/>
  <c r="B595" i="59"/>
  <c r="F595" i="59"/>
  <c r="I595" i="59"/>
  <c r="L595" i="59"/>
  <c r="B596" i="59"/>
  <c r="F596" i="59"/>
  <c r="I596" i="59"/>
  <c r="L596" i="59"/>
  <c r="B597" i="59"/>
  <c r="F597" i="59"/>
  <c r="I597" i="59"/>
  <c r="L597" i="59"/>
  <c r="B599" i="59"/>
  <c r="F599" i="59"/>
  <c r="I599" i="59"/>
  <c r="L599" i="59"/>
  <c r="B600" i="59"/>
  <c r="F600" i="59"/>
  <c r="I600" i="59"/>
  <c r="L600" i="59"/>
  <c r="B602" i="59"/>
  <c r="F602" i="59"/>
  <c r="I602" i="59"/>
  <c r="L602" i="59"/>
  <c r="B603" i="59"/>
  <c r="F603" i="59"/>
  <c r="I603" i="59"/>
  <c r="L603" i="59"/>
  <c r="B604" i="59"/>
  <c r="F604" i="59"/>
  <c r="I604" i="59"/>
  <c r="L604" i="59"/>
  <c r="B607" i="59"/>
  <c r="F607" i="59"/>
  <c r="I607" i="59"/>
  <c r="L607" i="59"/>
  <c r="B609" i="59"/>
  <c r="F609" i="59"/>
  <c r="I609" i="59"/>
  <c r="L609" i="59"/>
  <c r="B611" i="59"/>
  <c r="F611" i="59"/>
  <c r="I611" i="59"/>
  <c r="L611" i="59"/>
  <c r="B608" i="59"/>
  <c r="F608" i="59"/>
  <c r="I608" i="59"/>
  <c r="L608" i="59"/>
  <c r="B610" i="59"/>
  <c r="F610" i="59"/>
  <c r="I610" i="59"/>
  <c r="L610" i="59"/>
  <c r="B612" i="59"/>
  <c r="F612" i="59"/>
  <c r="I612" i="59"/>
  <c r="L612" i="59"/>
  <c r="B616" i="59"/>
  <c r="F616" i="59"/>
  <c r="I616" i="59"/>
  <c r="L616" i="59"/>
  <c r="B619" i="59"/>
  <c r="F619" i="59"/>
  <c r="I619" i="59"/>
  <c r="L619" i="59"/>
  <c r="B622" i="59"/>
  <c r="F622" i="59"/>
  <c r="I622" i="59"/>
  <c r="L622" i="59"/>
  <c r="B625" i="59"/>
  <c r="F625" i="59"/>
  <c r="I625" i="59"/>
  <c r="L625" i="59"/>
  <c r="B617" i="59"/>
  <c r="F617" i="59"/>
  <c r="I617" i="59"/>
  <c r="L617" i="59"/>
  <c r="B620" i="59"/>
  <c r="F620" i="59"/>
  <c r="I620" i="59"/>
  <c r="L620" i="59"/>
  <c r="B623" i="59"/>
  <c r="F623" i="59"/>
  <c r="I623" i="59"/>
  <c r="L623" i="59"/>
  <c r="B626" i="59"/>
  <c r="F626" i="59"/>
  <c r="I626" i="59"/>
  <c r="L626" i="59"/>
  <c r="B618" i="59"/>
  <c r="F618" i="59"/>
  <c r="I618" i="59"/>
  <c r="L618" i="59"/>
  <c r="B621" i="59"/>
  <c r="F621" i="59"/>
  <c r="I621" i="59"/>
  <c r="L621" i="59"/>
  <c r="B624" i="59"/>
  <c r="F624" i="59"/>
  <c r="I624" i="59"/>
  <c r="L624" i="59"/>
  <c r="B627" i="59"/>
  <c r="F627" i="59"/>
  <c r="I627" i="59"/>
  <c r="L627" i="59"/>
  <c r="B629" i="59"/>
  <c r="F629" i="59"/>
  <c r="I629" i="59"/>
  <c r="L629" i="59"/>
  <c r="B630" i="59"/>
  <c r="F630" i="59"/>
  <c r="I630" i="59"/>
  <c r="L630" i="59"/>
  <c r="B631" i="59"/>
  <c r="F631" i="59"/>
  <c r="I631" i="59"/>
  <c r="L631" i="59"/>
  <c r="B632" i="59"/>
  <c r="F632" i="59"/>
  <c r="I632" i="59"/>
  <c r="L632" i="59"/>
  <c r="B635" i="59"/>
  <c r="F635" i="59"/>
  <c r="I635" i="59"/>
  <c r="L635" i="59"/>
  <c r="B637" i="59"/>
  <c r="F637" i="59"/>
  <c r="I637" i="59"/>
  <c r="L637" i="59"/>
  <c r="B636" i="59"/>
  <c r="F636" i="59"/>
  <c r="I636" i="59"/>
  <c r="L636" i="59"/>
  <c r="B638" i="59"/>
  <c r="F638" i="59"/>
  <c r="I638" i="59"/>
  <c r="L638" i="59"/>
  <c r="B640" i="59"/>
  <c r="F640" i="59"/>
  <c r="I640" i="59"/>
  <c r="L640" i="59"/>
  <c r="B641" i="59"/>
  <c r="F641" i="59"/>
  <c r="I641" i="59"/>
  <c r="L641" i="59"/>
  <c r="B643" i="59"/>
  <c r="F643" i="59"/>
  <c r="I643" i="59"/>
  <c r="L643" i="59"/>
  <c r="B644" i="59"/>
  <c r="F644" i="59"/>
  <c r="I644" i="59"/>
  <c r="L644" i="59"/>
  <c r="B645" i="59"/>
  <c r="F645" i="59"/>
  <c r="I645" i="59"/>
  <c r="L645" i="59"/>
  <c r="B646" i="59"/>
  <c r="F646" i="59"/>
  <c r="I646" i="59"/>
  <c r="L646" i="59"/>
  <c r="B647" i="59"/>
  <c r="F647" i="59"/>
  <c r="I647" i="59"/>
  <c r="L647" i="59"/>
  <c r="B650" i="59"/>
  <c r="F650" i="59"/>
  <c r="I650" i="59"/>
  <c r="L650" i="59"/>
  <c r="B652" i="59"/>
  <c r="F652" i="59"/>
  <c r="I652" i="59"/>
  <c r="L652" i="59"/>
  <c r="B654" i="59"/>
  <c r="F654" i="59"/>
  <c r="I654" i="59"/>
  <c r="L654" i="59"/>
  <c r="B656" i="59"/>
  <c r="F656" i="59"/>
  <c r="I656" i="59"/>
  <c r="L656" i="59"/>
  <c r="B651" i="59"/>
  <c r="F651" i="59"/>
  <c r="I651" i="59"/>
  <c r="L651" i="59"/>
  <c r="B653" i="59"/>
  <c r="F653" i="59"/>
  <c r="I653" i="59"/>
  <c r="L653" i="59"/>
  <c r="B655" i="59"/>
  <c r="F655" i="59"/>
  <c r="I655" i="59"/>
  <c r="L655" i="59"/>
  <c r="B657" i="59"/>
  <c r="F657" i="59"/>
  <c r="I657" i="59"/>
  <c r="L657" i="59"/>
  <c r="B659" i="59"/>
  <c r="F659" i="59"/>
  <c r="I659" i="59"/>
  <c r="L659" i="59"/>
  <c r="B660" i="59"/>
  <c r="F660" i="59"/>
  <c r="I660" i="59"/>
  <c r="L660" i="59"/>
  <c r="B662" i="59"/>
  <c r="F662" i="59"/>
  <c r="I662" i="59"/>
  <c r="L662" i="59"/>
  <c r="B663" i="59"/>
  <c r="F663" i="59"/>
  <c r="I663" i="59"/>
  <c r="L663" i="59"/>
  <c r="B664" i="59"/>
  <c r="F664" i="59"/>
  <c r="I664" i="59"/>
  <c r="L664" i="59"/>
  <c r="B665" i="59"/>
  <c r="F665" i="59"/>
  <c r="I665" i="59"/>
  <c r="L665" i="59"/>
  <c r="B668" i="59"/>
  <c r="F668" i="59"/>
  <c r="I668" i="59"/>
  <c r="L668" i="59"/>
  <c r="B670" i="59"/>
  <c r="F670" i="59"/>
  <c r="I670" i="59"/>
  <c r="L670" i="59"/>
  <c r="B669" i="59"/>
  <c r="F669" i="59"/>
  <c r="I669" i="59"/>
  <c r="L669" i="59"/>
  <c r="B671" i="59"/>
  <c r="F671" i="59"/>
  <c r="I671" i="59"/>
  <c r="L671" i="59"/>
  <c r="B674" i="59"/>
  <c r="F674" i="59"/>
  <c r="I674" i="59"/>
  <c r="L674" i="59"/>
  <c r="B676" i="59"/>
  <c r="F676" i="59"/>
  <c r="I676" i="59"/>
  <c r="L676" i="59"/>
  <c r="B678" i="59"/>
  <c r="F678" i="59"/>
  <c r="I678" i="59"/>
  <c r="L678" i="59"/>
  <c r="B675" i="59"/>
  <c r="F675" i="59"/>
  <c r="I675" i="59"/>
  <c r="L675" i="59"/>
  <c r="B677" i="59"/>
  <c r="F677" i="59"/>
  <c r="I677" i="59"/>
  <c r="L677" i="59"/>
  <c r="B679" i="59"/>
  <c r="F679" i="59"/>
  <c r="I679" i="59"/>
  <c r="L679" i="59"/>
  <c r="B681" i="59"/>
  <c r="F681" i="59"/>
  <c r="I681" i="59"/>
  <c r="L681" i="59"/>
  <c r="B682" i="59"/>
  <c r="F682" i="59"/>
  <c r="I682" i="59"/>
  <c r="L682" i="59"/>
  <c r="B683" i="59"/>
  <c r="F683" i="59"/>
  <c r="I683" i="59"/>
  <c r="L683" i="59"/>
  <c r="B687" i="59"/>
  <c r="F687" i="59"/>
  <c r="I687" i="59"/>
  <c r="L687" i="59"/>
  <c r="B690" i="59"/>
  <c r="F690" i="59"/>
  <c r="I690" i="59"/>
  <c r="L690" i="59"/>
  <c r="B688" i="59"/>
  <c r="F688" i="59"/>
  <c r="I688" i="59"/>
  <c r="L688" i="59"/>
  <c r="B691" i="59"/>
  <c r="F691" i="59"/>
  <c r="I691" i="59"/>
  <c r="L691" i="59"/>
  <c r="B689" i="59"/>
  <c r="F689" i="59"/>
  <c r="I689" i="59"/>
  <c r="L689" i="59"/>
  <c r="B692" i="59"/>
  <c r="F692" i="59"/>
  <c r="I692" i="59"/>
  <c r="L692" i="59"/>
  <c r="B695" i="59"/>
  <c r="F695" i="59"/>
  <c r="I695" i="59"/>
  <c r="L695" i="59"/>
  <c r="B697" i="59"/>
  <c r="F697" i="59"/>
  <c r="I697" i="59"/>
  <c r="L697" i="59"/>
  <c r="B696" i="59"/>
  <c r="F696" i="59"/>
  <c r="I696" i="59"/>
  <c r="L696" i="59"/>
  <c r="B698" i="59"/>
  <c r="F698" i="59"/>
  <c r="I698" i="59"/>
  <c r="L698" i="59"/>
  <c r="B701" i="59"/>
  <c r="F701" i="59"/>
  <c r="I701" i="59"/>
  <c r="L701" i="59"/>
  <c r="B703" i="59"/>
  <c r="F703" i="59"/>
  <c r="I703" i="59"/>
  <c r="L703" i="59"/>
  <c r="B705" i="59"/>
  <c r="F705" i="59"/>
  <c r="I705" i="59"/>
  <c r="L705" i="59"/>
  <c r="B707" i="59"/>
  <c r="F707" i="59"/>
  <c r="I707" i="59"/>
  <c r="L707" i="59"/>
  <c r="B709" i="59"/>
  <c r="F709" i="59"/>
  <c r="I709" i="59"/>
  <c r="L709" i="59"/>
  <c r="B711" i="59"/>
  <c r="F711" i="59"/>
  <c r="I711" i="59"/>
  <c r="L711" i="59"/>
  <c r="B702" i="59"/>
  <c r="F702" i="59"/>
  <c r="I702" i="59"/>
  <c r="L702" i="59"/>
  <c r="B704" i="59"/>
  <c r="F704" i="59"/>
  <c r="I704" i="59"/>
  <c r="L704" i="59"/>
  <c r="B706" i="59"/>
  <c r="F706" i="59"/>
  <c r="I706" i="59"/>
  <c r="L706" i="59"/>
  <c r="B708" i="59"/>
  <c r="F708" i="59"/>
  <c r="I708" i="59"/>
  <c r="L708" i="59"/>
  <c r="B710" i="59"/>
  <c r="F710" i="59"/>
  <c r="I710" i="59"/>
  <c r="L710" i="59"/>
  <c r="B712" i="59"/>
  <c r="F712" i="59"/>
  <c r="I712" i="59"/>
  <c r="L712" i="59"/>
  <c r="B714" i="59"/>
  <c r="F714" i="59"/>
  <c r="I714" i="59"/>
  <c r="L714" i="59"/>
  <c r="B717" i="59"/>
  <c r="F717" i="59"/>
  <c r="I717" i="59"/>
  <c r="L717" i="59"/>
  <c r="B719" i="59"/>
  <c r="F719" i="59"/>
  <c r="I719" i="59"/>
  <c r="L719" i="59"/>
  <c r="B721" i="59"/>
  <c r="F721" i="59"/>
  <c r="I721" i="59"/>
  <c r="L721" i="59"/>
  <c r="B718" i="59"/>
  <c r="F718" i="59"/>
  <c r="I718" i="59"/>
  <c r="L718" i="59"/>
  <c r="B720" i="59"/>
  <c r="F720" i="59"/>
  <c r="I720" i="59"/>
  <c r="L720" i="59"/>
  <c r="B722" i="59"/>
  <c r="F722" i="59"/>
  <c r="I722" i="59"/>
  <c r="L722" i="59"/>
  <c r="B724" i="59"/>
  <c r="F724" i="59"/>
  <c r="I724" i="59"/>
  <c r="L724" i="59"/>
  <c r="B725" i="59"/>
  <c r="F725" i="59"/>
  <c r="I725" i="59"/>
  <c r="L725" i="59"/>
  <c r="B728" i="59"/>
  <c r="F728" i="59"/>
  <c r="I728" i="59"/>
  <c r="L728" i="59"/>
  <c r="B730" i="59"/>
  <c r="F730" i="59"/>
  <c r="I730" i="59"/>
  <c r="L730" i="59"/>
  <c r="B732" i="59"/>
  <c r="F732" i="59"/>
  <c r="I732" i="59"/>
  <c r="L732" i="59"/>
  <c r="B729" i="59"/>
  <c r="F729" i="59"/>
  <c r="I729" i="59"/>
  <c r="L729" i="59"/>
  <c r="B731" i="59"/>
  <c r="F731" i="59"/>
  <c r="I731" i="59"/>
  <c r="L731" i="59"/>
  <c r="B733" i="59"/>
  <c r="F733" i="59"/>
  <c r="I733" i="59"/>
  <c r="L733" i="59"/>
  <c r="B735" i="59"/>
  <c r="F735" i="59"/>
  <c r="I735" i="59"/>
  <c r="L735" i="59"/>
  <c r="B737" i="59"/>
  <c r="F737" i="59"/>
  <c r="I737" i="59"/>
  <c r="L737" i="59"/>
  <c r="B738" i="59"/>
  <c r="F738" i="59"/>
  <c r="I738" i="59"/>
  <c r="L738" i="59"/>
  <c r="B739" i="59"/>
  <c r="F739" i="59"/>
  <c r="I739" i="59"/>
  <c r="L739" i="59"/>
  <c r="B741" i="59"/>
  <c r="F741" i="59"/>
  <c r="I741" i="59"/>
  <c r="L741" i="59"/>
  <c r="B742" i="59"/>
  <c r="F742" i="59"/>
  <c r="I742" i="59"/>
  <c r="L742" i="59"/>
  <c r="B744" i="59"/>
  <c r="F744" i="59"/>
  <c r="I744" i="59"/>
  <c r="L744" i="59"/>
  <c r="B745" i="59"/>
  <c r="F745" i="59"/>
  <c r="I745" i="59"/>
  <c r="L745" i="59"/>
  <c r="B746" i="59"/>
  <c r="F746" i="59"/>
  <c r="I746" i="59"/>
  <c r="L746" i="59"/>
  <c r="B747" i="59"/>
  <c r="F747" i="59"/>
  <c r="I747" i="59"/>
  <c r="L747" i="59"/>
  <c r="B750" i="59"/>
  <c r="F750" i="59"/>
  <c r="I750" i="59"/>
  <c r="L750" i="59"/>
  <c r="B752" i="59"/>
  <c r="F752" i="59"/>
  <c r="I752" i="59"/>
  <c r="L752" i="59"/>
  <c r="B754" i="59"/>
  <c r="F754" i="59"/>
  <c r="I754" i="59"/>
  <c r="L754" i="59"/>
  <c r="B751" i="59"/>
  <c r="F751" i="59"/>
  <c r="I751" i="59"/>
  <c r="L751" i="59"/>
  <c r="B753" i="59"/>
  <c r="F753" i="59"/>
  <c r="I753" i="59"/>
  <c r="L753" i="59"/>
  <c r="B755" i="59"/>
  <c r="F755" i="59"/>
  <c r="I755" i="59"/>
  <c r="L755" i="59"/>
  <c r="B757" i="59"/>
  <c r="F757" i="59"/>
  <c r="I757" i="59"/>
  <c r="L757" i="59"/>
  <c r="B758" i="59"/>
  <c r="F758" i="59"/>
  <c r="I758" i="59"/>
  <c r="L758" i="59"/>
  <c r="B759" i="59"/>
  <c r="F759" i="59"/>
  <c r="I759" i="59"/>
  <c r="L759" i="59"/>
  <c r="B761" i="59"/>
  <c r="F761" i="59"/>
  <c r="I761" i="59"/>
  <c r="L761" i="59"/>
  <c r="B762" i="59"/>
  <c r="F762" i="59"/>
  <c r="I762" i="59"/>
  <c r="L762" i="59"/>
  <c r="B764" i="59"/>
  <c r="F764" i="59"/>
  <c r="I764" i="59"/>
  <c r="L764" i="59"/>
  <c r="B765" i="59"/>
  <c r="F765" i="59"/>
  <c r="I765" i="59"/>
  <c r="L765" i="59"/>
  <c r="B766" i="59"/>
  <c r="F766" i="59"/>
  <c r="I766" i="59"/>
  <c r="L766" i="59"/>
  <c r="B767" i="59"/>
  <c r="F767" i="59"/>
  <c r="I767" i="59"/>
  <c r="L767" i="59"/>
  <c r="B771" i="59"/>
  <c r="F771" i="59"/>
  <c r="I771" i="59"/>
  <c r="L771" i="59"/>
  <c r="B772" i="59"/>
  <c r="F772" i="59"/>
  <c r="I772" i="59"/>
  <c r="L772" i="59"/>
  <c r="B774" i="59"/>
  <c r="F774" i="59"/>
  <c r="I774" i="59"/>
  <c r="L774" i="59"/>
  <c r="B775" i="59"/>
  <c r="F775" i="59"/>
  <c r="I775" i="59"/>
  <c r="L775" i="59"/>
  <c r="B777" i="59"/>
  <c r="F777" i="59"/>
  <c r="I777" i="59"/>
  <c r="L777" i="59"/>
  <c r="B778" i="59"/>
  <c r="F778" i="59"/>
  <c r="I778" i="59"/>
  <c r="L778" i="59"/>
  <c r="B773" i="59"/>
  <c r="F773" i="59"/>
  <c r="I773" i="59"/>
  <c r="L773" i="59"/>
  <c r="B776" i="59"/>
  <c r="F776" i="59"/>
  <c r="I776" i="59"/>
  <c r="L776" i="59"/>
  <c r="B779" i="59"/>
  <c r="F779" i="59"/>
  <c r="I779" i="59"/>
  <c r="L779" i="59"/>
  <c r="B781" i="59"/>
  <c r="F781" i="59"/>
  <c r="I781" i="59"/>
  <c r="L781" i="59"/>
  <c r="B782" i="59"/>
  <c r="F782" i="59"/>
  <c r="I782" i="59"/>
  <c r="L782" i="59"/>
  <c r="B784" i="59"/>
  <c r="F784" i="59"/>
  <c r="I784" i="59"/>
  <c r="L784" i="59"/>
  <c r="B786" i="59"/>
  <c r="F786" i="59"/>
  <c r="I786" i="59"/>
  <c r="L786" i="59"/>
  <c r="B788" i="59"/>
  <c r="F788" i="59"/>
  <c r="I788" i="59"/>
  <c r="L788" i="59"/>
  <c r="B791" i="59"/>
  <c r="F791" i="59"/>
  <c r="I791" i="59"/>
  <c r="L791" i="59"/>
  <c r="B794" i="59"/>
  <c r="F794" i="59"/>
  <c r="I794" i="59"/>
  <c r="L794" i="59"/>
  <c r="B795" i="59"/>
  <c r="F795" i="59"/>
  <c r="I795" i="59"/>
  <c r="L795" i="59"/>
  <c r="B796" i="59"/>
  <c r="F796" i="59"/>
  <c r="I796" i="59"/>
  <c r="L796" i="59"/>
  <c r="B798" i="59"/>
  <c r="F798" i="59"/>
  <c r="I798" i="59"/>
  <c r="L798" i="59"/>
  <c r="B799" i="59"/>
  <c r="F799" i="59"/>
  <c r="I799" i="59"/>
  <c r="L799" i="59"/>
  <c r="B800" i="59"/>
  <c r="F800" i="59"/>
  <c r="I800" i="59"/>
  <c r="L800" i="59"/>
  <c r="B802" i="59"/>
  <c r="F802" i="59"/>
  <c r="I802" i="59"/>
  <c r="L802" i="59"/>
  <c r="B803" i="59"/>
  <c r="F803" i="59"/>
  <c r="I803" i="59"/>
  <c r="L803" i="59"/>
  <c r="B807" i="59"/>
  <c r="F807" i="59"/>
  <c r="I807" i="59"/>
  <c r="L807" i="59"/>
  <c r="B810" i="59"/>
  <c r="F810" i="59"/>
  <c r="I810" i="59"/>
  <c r="L810" i="59"/>
  <c r="B808" i="59"/>
  <c r="F808" i="59"/>
  <c r="I808" i="59"/>
  <c r="L808" i="59"/>
  <c r="B811" i="59"/>
  <c r="F811" i="59"/>
  <c r="I811" i="59"/>
  <c r="L811" i="59"/>
  <c r="B809" i="59"/>
  <c r="F809" i="59"/>
  <c r="I809" i="59"/>
  <c r="L809" i="59"/>
  <c r="B812" i="59"/>
  <c r="F812" i="59"/>
  <c r="I812" i="59"/>
  <c r="L812" i="59"/>
  <c r="B814" i="59"/>
  <c r="F814" i="59"/>
  <c r="I814" i="59"/>
  <c r="L814" i="59"/>
  <c r="B815" i="59"/>
  <c r="F815" i="59"/>
  <c r="I815" i="59"/>
  <c r="L815" i="59"/>
  <c r="B816" i="59"/>
  <c r="F816" i="59"/>
  <c r="I816" i="59"/>
  <c r="L816" i="59"/>
  <c r="B818" i="59"/>
  <c r="F818" i="59"/>
  <c r="I818" i="59"/>
  <c r="L818" i="59"/>
  <c r="B819" i="59"/>
  <c r="F819" i="59"/>
  <c r="I819" i="59"/>
  <c r="L819" i="59"/>
  <c r="B820" i="59"/>
  <c r="F820" i="59"/>
  <c r="I820" i="59"/>
  <c r="L820" i="59"/>
  <c r="B822" i="59"/>
  <c r="F822" i="59"/>
  <c r="I822" i="59"/>
  <c r="L822" i="59"/>
  <c r="B823" i="59"/>
  <c r="F823" i="59"/>
  <c r="I823" i="59"/>
  <c r="L823" i="59"/>
  <c r="B824" i="59"/>
  <c r="F824" i="59"/>
  <c r="I824" i="59"/>
  <c r="L824" i="59"/>
  <c r="B826" i="59"/>
  <c r="F826" i="59"/>
  <c r="I826" i="59"/>
  <c r="L826" i="59"/>
  <c r="B827" i="59"/>
  <c r="F827" i="59"/>
  <c r="I827" i="59"/>
  <c r="L827" i="59"/>
  <c r="B828" i="59"/>
  <c r="F828" i="59"/>
  <c r="I828" i="59"/>
  <c r="L828" i="59"/>
  <c r="B829" i="59"/>
  <c r="F829" i="59"/>
  <c r="I829" i="59"/>
  <c r="L829" i="59"/>
  <c r="B831" i="59"/>
  <c r="F831" i="59"/>
  <c r="I831" i="59"/>
  <c r="L831" i="59"/>
  <c r="B832" i="59"/>
  <c r="F832" i="59"/>
  <c r="I832" i="59"/>
  <c r="L832" i="59"/>
  <c r="B833" i="59"/>
  <c r="F833" i="59"/>
  <c r="I833" i="59"/>
  <c r="L833" i="59"/>
  <c r="B835" i="59"/>
  <c r="F835" i="59"/>
  <c r="I835" i="59"/>
  <c r="L835" i="59"/>
  <c r="B836" i="59"/>
  <c r="F836" i="59"/>
  <c r="I836" i="59"/>
  <c r="L836" i="59"/>
  <c r="B837" i="59"/>
  <c r="F837" i="59"/>
  <c r="I837" i="59"/>
  <c r="L837" i="59"/>
  <c r="B839" i="59"/>
  <c r="F839" i="59"/>
  <c r="I839" i="59"/>
  <c r="L839" i="59"/>
  <c r="B840" i="59"/>
  <c r="F840" i="59"/>
  <c r="I840" i="59"/>
  <c r="L840" i="59"/>
  <c r="B841" i="59"/>
  <c r="F841" i="59"/>
  <c r="I841" i="59"/>
  <c r="L841" i="59"/>
  <c r="B842" i="59"/>
  <c r="F842" i="59"/>
  <c r="I842" i="59"/>
  <c r="L842" i="59"/>
  <c r="B843" i="59"/>
  <c r="F843" i="59"/>
  <c r="I843" i="59"/>
  <c r="L843" i="59"/>
  <c r="B844" i="59"/>
  <c r="F844" i="59"/>
  <c r="I844" i="59"/>
  <c r="L844" i="59"/>
  <c r="B846" i="59"/>
  <c r="F846" i="59"/>
  <c r="I846" i="59"/>
  <c r="L846" i="59"/>
  <c r="B847" i="59"/>
  <c r="F847" i="59"/>
  <c r="I847" i="59"/>
  <c r="L847" i="59"/>
  <c r="B848" i="59"/>
  <c r="F848" i="59"/>
  <c r="I848" i="59"/>
  <c r="L848" i="59"/>
  <c r="B850" i="59"/>
  <c r="F850" i="59"/>
  <c r="I850" i="59"/>
  <c r="L850" i="59"/>
  <c r="B851" i="59"/>
  <c r="F851" i="59"/>
  <c r="I851" i="59"/>
  <c r="L851" i="59"/>
  <c r="B852" i="59"/>
  <c r="F852" i="59"/>
  <c r="I852" i="59"/>
  <c r="L852" i="59"/>
  <c r="B853" i="59"/>
  <c r="F853" i="59"/>
  <c r="I853" i="59"/>
  <c r="L853" i="59"/>
  <c r="B854" i="59"/>
  <c r="F854" i="59"/>
  <c r="I854" i="59"/>
  <c r="L854" i="59"/>
  <c r="B857" i="59"/>
  <c r="F857" i="59"/>
  <c r="I857" i="59"/>
  <c r="L857" i="59"/>
  <c r="B858" i="59"/>
  <c r="F858" i="59"/>
  <c r="I858" i="59"/>
  <c r="L858" i="59"/>
  <c r="B859" i="59"/>
  <c r="F859" i="59"/>
  <c r="I859" i="59"/>
  <c r="L859" i="59"/>
  <c r="B860" i="59"/>
  <c r="F860" i="59"/>
  <c r="I860" i="59"/>
  <c r="L860" i="59"/>
  <c r="B863" i="59"/>
  <c r="F863" i="59"/>
  <c r="I863" i="59"/>
  <c r="L863" i="59"/>
  <c r="B865" i="59"/>
  <c r="F865" i="59"/>
  <c r="I865" i="59"/>
  <c r="L865" i="59"/>
  <c r="B864" i="59"/>
  <c r="F864" i="59"/>
  <c r="I864" i="59"/>
  <c r="L864" i="59"/>
  <c r="B866" i="59"/>
  <c r="F866" i="59"/>
  <c r="I866" i="59"/>
  <c r="L866" i="59"/>
  <c r="B869" i="59"/>
  <c r="F869" i="59"/>
  <c r="I869" i="59"/>
  <c r="L869" i="59"/>
  <c r="B871" i="59"/>
  <c r="F871" i="59"/>
  <c r="I871" i="59"/>
  <c r="L871" i="59"/>
  <c r="B870" i="59"/>
  <c r="F870" i="59"/>
  <c r="I870" i="59"/>
  <c r="L870" i="59"/>
  <c r="B872" i="59"/>
  <c r="F872" i="59"/>
  <c r="I872" i="59"/>
  <c r="L872" i="59"/>
  <c r="B874" i="59"/>
  <c r="F874" i="59"/>
  <c r="I874" i="59"/>
  <c r="L874" i="59"/>
  <c r="B875" i="59"/>
  <c r="F875" i="59"/>
  <c r="I875" i="59"/>
  <c r="L875" i="59"/>
  <c r="B877" i="59"/>
  <c r="F877" i="59"/>
  <c r="I877" i="59"/>
  <c r="L877" i="59"/>
  <c r="B878" i="59"/>
  <c r="F878" i="59"/>
  <c r="I878" i="59"/>
  <c r="L878" i="59"/>
  <c r="B879" i="59"/>
  <c r="F879" i="59"/>
  <c r="I879" i="59"/>
  <c r="L879" i="59"/>
  <c r="B880" i="59"/>
  <c r="F880" i="59"/>
  <c r="I880" i="59"/>
  <c r="L880" i="59"/>
  <c r="B881" i="59"/>
  <c r="F881" i="59"/>
  <c r="I881" i="59"/>
  <c r="L881" i="59"/>
  <c r="B882" i="59"/>
  <c r="F882" i="59"/>
  <c r="I882" i="59"/>
  <c r="L882" i="59"/>
  <c r="B884" i="59"/>
  <c r="F884" i="59"/>
  <c r="I884" i="59"/>
  <c r="L884" i="59"/>
  <c r="B885" i="59"/>
  <c r="F885" i="59"/>
  <c r="I885" i="59"/>
  <c r="L885" i="59"/>
  <c r="B886" i="59"/>
  <c r="F886" i="59"/>
  <c r="I886" i="59"/>
  <c r="L886" i="59"/>
  <c r="B888" i="59"/>
  <c r="F888" i="59"/>
  <c r="I888" i="59"/>
  <c r="L888" i="59"/>
  <c r="B889" i="59"/>
  <c r="F889" i="59"/>
  <c r="I889" i="59"/>
  <c r="L889" i="59"/>
  <c r="B890" i="59"/>
  <c r="F890" i="59"/>
  <c r="I890" i="59"/>
  <c r="L890" i="59"/>
  <c r="B892" i="59"/>
  <c r="F892" i="59"/>
  <c r="I892" i="59"/>
  <c r="L892" i="59"/>
  <c r="B893" i="59"/>
  <c r="F893" i="59"/>
  <c r="I893" i="59"/>
  <c r="L893" i="59"/>
  <c r="B897" i="59"/>
  <c r="F897" i="59"/>
  <c r="I897" i="59"/>
  <c r="L897" i="59"/>
  <c r="B900" i="59"/>
  <c r="F900" i="59"/>
  <c r="I900" i="59"/>
  <c r="L900" i="59"/>
  <c r="B898" i="59"/>
  <c r="F898" i="59"/>
  <c r="I898" i="59"/>
  <c r="L898" i="59"/>
  <c r="B901" i="59"/>
  <c r="F901" i="59"/>
  <c r="I901" i="59"/>
  <c r="L901" i="59"/>
  <c r="B899" i="59"/>
  <c r="F899" i="59"/>
  <c r="I899" i="59"/>
  <c r="L899" i="59"/>
  <c r="B902" i="59"/>
  <c r="F902" i="59"/>
  <c r="I902" i="59"/>
  <c r="L902" i="59"/>
  <c r="B905" i="59"/>
  <c r="F905" i="59"/>
  <c r="I905" i="59"/>
  <c r="L905" i="59"/>
  <c r="B906" i="59"/>
  <c r="F906" i="59"/>
  <c r="I906" i="59"/>
  <c r="L906" i="59"/>
  <c r="B907" i="59"/>
  <c r="F907" i="59"/>
  <c r="I907" i="59"/>
  <c r="L907" i="59"/>
  <c r="B917" i="59"/>
  <c r="F917" i="59"/>
  <c r="I917" i="59"/>
  <c r="L917" i="59"/>
  <c r="B919" i="59"/>
  <c r="F919" i="59"/>
  <c r="I919" i="59"/>
  <c r="L919" i="59"/>
  <c r="B921" i="59"/>
  <c r="F921" i="59"/>
  <c r="I921" i="59"/>
  <c r="L921" i="59"/>
  <c r="B922" i="59"/>
  <c r="F922" i="59"/>
  <c r="I922" i="59"/>
  <c r="L922" i="59"/>
  <c r="B925" i="59"/>
  <c r="F925" i="59"/>
  <c r="I925" i="59"/>
  <c r="L925" i="59"/>
  <c r="B951" i="59"/>
  <c r="F951" i="59"/>
  <c r="I951" i="59"/>
  <c r="L951" i="59"/>
  <c r="B953" i="59"/>
  <c r="F953" i="59"/>
  <c r="I953" i="59"/>
  <c r="L953" i="59"/>
  <c r="B955" i="59"/>
  <c r="F955" i="59"/>
  <c r="I955" i="59"/>
  <c r="L955" i="59"/>
  <c r="B962" i="59"/>
  <c r="F962" i="59"/>
  <c r="I962" i="59"/>
  <c r="L962" i="59"/>
  <c r="B963" i="59"/>
  <c r="F963" i="59"/>
  <c r="I963" i="59"/>
  <c r="L963" i="59"/>
  <c r="B965" i="59"/>
  <c r="F965" i="59"/>
  <c r="I965" i="59"/>
  <c r="L965" i="59"/>
  <c r="B967" i="59"/>
  <c r="F967" i="59"/>
  <c r="I967" i="59"/>
  <c r="L967" i="59"/>
  <c r="B971" i="59"/>
  <c r="F971" i="59"/>
  <c r="I971" i="59"/>
  <c r="L971" i="59"/>
  <c r="B972" i="59"/>
  <c r="F972" i="59"/>
  <c r="I972" i="59"/>
  <c r="L972" i="59"/>
  <c r="B974" i="59"/>
  <c r="F974" i="59"/>
  <c r="I974" i="59"/>
  <c r="L974" i="59"/>
  <c r="B980" i="59"/>
  <c r="F980" i="59"/>
  <c r="I980" i="59"/>
  <c r="L980" i="59"/>
  <c r="B983" i="59"/>
  <c r="F983" i="59"/>
  <c r="I983" i="59"/>
  <c r="L983" i="59"/>
  <c r="N983" i="59"/>
  <c r="Q983" i="59"/>
  <c r="Z983" i="59"/>
  <c r="AN983" i="59"/>
  <c r="AO983" i="59"/>
  <c r="AP983" i="59" s="1"/>
  <c r="N980" i="59"/>
  <c r="Q980" i="59"/>
  <c r="Z980" i="59"/>
  <c r="AN980" i="59"/>
  <c r="AO980" i="59"/>
  <c r="AP980" i="59" s="1"/>
  <c r="N974" i="59"/>
  <c r="Q974" i="59"/>
  <c r="Z974" i="59"/>
  <c r="AN974" i="59"/>
  <c r="AO974" i="59"/>
  <c r="AP974" i="59" s="1"/>
  <c r="N971" i="59"/>
  <c r="N972" i="59"/>
  <c r="Q971" i="59"/>
  <c r="Q972" i="59"/>
  <c r="Z971" i="59"/>
  <c r="Z972" i="59"/>
  <c r="AN971" i="59"/>
  <c r="AN972" i="59"/>
  <c r="AO971" i="59"/>
  <c r="AP971" i="59" s="1"/>
  <c r="AO972" i="59"/>
  <c r="AP972" i="59" s="1"/>
  <c r="N967" i="59"/>
  <c r="Q967" i="59"/>
  <c r="Z967" i="59"/>
  <c r="AN967" i="59"/>
  <c r="AO967" i="59"/>
  <c r="AP967" i="59" s="1"/>
  <c r="N965" i="59"/>
  <c r="Q965" i="59"/>
  <c r="Z965" i="59"/>
  <c r="AN965" i="59"/>
  <c r="AO965" i="59"/>
  <c r="AP965" i="59" s="1"/>
  <c r="N962" i="59"/>
  <c r="N963" i="59"/>
  <c r="Q962" i="59"/>
  <c r="Q963" i="59"/>
  <c r="Z962" i="59"/>
  <c r="Z963" i="59"/>
  <c r="AN962" i="59"/>
  <c r="AN963" i="59"/>
  <c r="AO962" i="59"/>
  <c r="AP962" i="59" s="1"/>
  <c r="AO963" i="59"/>
  <c r="AP963" i="59" s="1"/>
  <c r="N955" i="59"/>
  <c r="Q955" i="59"/>
  <c r="Z955" i="59"/>
  <c r="AN955" i="59"/>
  <c r="AO955" i="59"/>
  <c r="AP955" i="59" s="1"/>
  <c r="N953" i="59"/>
  <c r="Q953" i="59"/>
  <c r="Z953" i="59"/>
  <c r="AN953" i="59"/>
  <c r="AO953" i="59"/>
  <c r="AP953" i="59" s="1"/>
  <c r="N951" i="59"/>
  <c r="Q951" i="59"/>
  <c r="Z951" i="59"/>
  <c r="AN951" i="59"/>
  <c r="AO951" i="59"/>
  <c r="AP951" i="59" s="1"/>
  <c r="N925" i="59"/>
  <c r="Q925" i="59"/>
  <c r="Z925" i="59"/>
  <c r="AN925" i="59"/>
  <c r="AO925" i="59"/>
  <c r="AP925" i="59" s="1"/>
  <c r="N921" i="59"/>
  <c r="N922" i="59"/>
  <c r="Q921" i="59"/>
  <c r="Q922" i="59"/>
  <c r="Z921" i="59"/>
  <c r="Z922" i="59"/>
  <c r="AN921" i="59"/>
  <c r="AN922" i="59"/>
  <c r="AO921" i="59"/>
  <c r="AP921" i="59" s="1"/>
  <c r="AO922" i="59"/>
  <c r="AP922" i="59" s="1"/>
  <c r="N919" i="59"/>
  <c r="Q919" i="59"/>
  <c r="Z919" i="59"/>
  <c r="AN919" i="59"/>
  <c r="AO919" i="59"/>
  <c r="AP919" i="59" s="1"/>
  <c r="N917" i="59"/>
  <c r="Q917" i="59"/>
  <c r="Z917" i="59"/>
  <c r="AN917" i="59"/>
  <c r="AO917" i="59"/>
  <c r="AP917" i="59" s="1"/>
  <c r="N905" i="59"/>
  <c r="N906" i="59"/>
  <c r="N907" i="59"/>
  <c r="Q905" i="59"/>
  <c r="Q906" i="59"/>
  <c r="Q907" i="59"/>
  <c r="Z905" i="59"/>
  <c r="Z906" i="59"/>
  <c r="Z907" i="59"/>
  <c r="AN905" i="59"/>
  <c r="AN906" i="59"/>
  <c r="AN907" i="59"/>
  <c r="AO905" i="59"/>
  <c r="AP905" i="59" s="1"/>
  <c r="AO906" i="59"/>
  <c r="AP906" i="59" s="1"/>
  <c r="AO907" i="59"/>
  <c r="AP907" i="59" s="1"/>
  <c r="N899" i="59"/>
  <c r="N902" i="59"/>
  <c r="Q899" i="59"/>
  <c r="Q902" i="59"/>
  <c r="Z899" i="59"/>
  <c r="Z902" i="59"/>
  <c r="AN899" i="59"/>
  <c r="AN902" i="59"/>
  <c r="N898" i="59"/>
  <c r="N901" i="59"/>
  <c r="Q898" i="59"/>
  <c r="Q901" i="59"/>
  <c r="Z898" i="59"/>
  <c r="Z901" i="59"/>
  <c r="AN898" i="59"/>
  <c r="AN901" i="59"/>
  <c r="N897" i="59"/>
  <c r="N900" i="59"/>
  <c r="Q897" i="59"/>
  <c r="Q900" i="59"/>
  <c r="Z897" i="59"/>
  <c r="Z900" i="59"/>
  <c r="AN897" i="59"/>
  <c r="AN900" i="59"/>
  <c r="N892" i="59"/>
  <c r="N893" i="59"/>
  <c r="Q892" i="59"/>
  <c r="Q893" i="59"/>
  <c r="Z892" i="59"/>
  <c r="Z893" i="59"/>
  <c r="AN892" i="59"/>
  <c r="AN893" i="59"/>
  <c r="AO892" i="59"/>
  <c r="AP892" i="59" s="1"/>
  <c r="AO893" i="59"/>
  <c r="AP893" i="59" s="1"/>
  <c r="N888" i="59"/>
  <c r="N889" i="59"/>
  <c r="N890" i="59"/>
  <c r="Q888" i="59"/>
  <c r="Q889" i="59"/>
  <c r="Q890" i="59"/>
  <c r="Z888" i="59"/>
  <c r="Z889" i="59"/>
  <c r="Z890" i="59"/>
  <c r="AN888" i="59"/>
  <c r="AN889" i="59"/>
  <c r="AN890" i="59"/>
  <c r="AO888" i="59"/>
  <c r="AP888" i="59" s="1"/>
  <c r="AO889" i="59"/>
  <c r="AP889" i="59" s="1"/>
  <c r="AO890" i="59"/>
  <c r="AP890" i="59" s="1"/>
  <c r="N884" i="59"/>
  <c r="N885" i="59"/>
  <c r="N886" i="59"/>
  <c r="Q884" i="59"/>
  <c r="Q885" i="59"/>
  <c r="Q886" i="59"/>
  <c r="Z884" i="59"/>
  <c r="Z885" i="59"/>
  <c r="Z886" i="59"/>
  <c r="AN884" i="59"/>
  <c r="AN885" i="59"/>
  <c r="AN886" i="59"/>
  <c r="AO884" i="59"/>
  <c r="AP884" i="59" s="1"/>
  <c r="AO885" i="59"/>
  <c r="AP885" i="59" s="1"/>
  <c r="AO886" i="59"/>
  <c r="AP886" i="59" s="1"/>
  <c r="N877" i="59"/>
  <c r="N878" i="59"/>
  <c r="N879" i="59"/>
  <c r="N880" i="59"/>
  <c r="N881" i="59"/>
  <c r="N882" i="59"/>
  <c r="Q877" i="59"/>
  <c r="Q878" i="59"/>
  <c r="Q879" i="59"/>
  <c r="Q880" i="59"/>
  <c r="Q881" i="59"/>
  <c r="Q882" i="59"/>
  <c r="Z877" i="59"/>
  <c r="Z878" i="59"/>
  <c r="Z879" i="59"/>
  <c r="Z880" i="59"/>
  <c r="Z881" i="59"/>
  <c r="Z882" i="59"/>
  <c r="AN877" i="59"/>
  <c r="AN878" i="59"/>
  <c r="AN879" i="59"/>
  <c r="AN880" i="59"/>
  <c r="AN881" i="59"/>
  <c r="AN882" i="59"/>
  <c r="AO877" i="59"/>
  <c r="AP877" i="59" s="1"/>
  <c r="AO878" i="59"/>
  <c r="AP878" i="59" s="1"/>
  <c r="AO879" i="59"/>
  <c r="AP879" i="59" s="1"/>
  <c r="AO880" i="59"/>
  <c r="AP880" i="59" s="1"/>
  <c r="AO881" i="59"/>
  <c r="AP881" i="59" s="1"/>
  <c r="AO882" i="59"/>
  <c r="AP882" i="59" s="1"/>
  <c r="N874" i="59"/>
  <c r="N875" i="59"/>
  <c r="Q874" i="59"/>
  <c r="Q875" i="59"/>
  <c r="Z874" i="59"/>
  <c r="Z875" i="59"/>
  <c r="AN874" i="59"/>
  <c r="AN875" i="59"/>
  <c r="AO874" i="59"/>
  <c r="AP874" i="59" s="1"/>
  <c r="AO875" i="59"/>
  <c r="AP875" i="59" s="1"/>
  <c r="N870" i="59"/>
  <c r="N872" i="59"/>
  <c r="Q870" i="59"/>
  <c r="Q872" i="59"/>
  <c r="Z870" i="59"/>
  <c r="Z872" i="59"/>
  <c r="AN870" i="59"/>
  <c r="AN872" i="59"/>
  <c r="AO870" i="59"/>
  <c r="AP870" i="59" s="1"/>
  <c r="AO872" i="59"/>
  <c r="AP872" i="59" s="1"/>
  <c r="N869" i="59"/>
  <c r="N871" i="59"/>
  <c r="Q869" i="59"/>
  <c r="Q871" i="59"/>
  <c r="Z869" i="59"/>
  <c r="Z871" i="59"/>
  <c r="AN869" i="59"/>
  <c r="AN871" i="59"/>
  <c r="AO869" i="59"/>
  <c r="AP869" i="59" s="1"/>
  <c r="AO871" i="59"/>
  <c r="AP871" i="59" s="1"/>
  <c r="N864" i="59"/>
  <c r="N866" i="59"/>
  <c r="Q864" i="59"/>
  <c r="Q866" i="59"/>
  <c r="Z864" i="59"/>
  <c r="Z866" i="59"/>
  <c r="AN864" i="59"/>
  <c r="AN866" i="59"/>
  <c r="N863" i="59"/>
  <c r="N865" i="59"/>
  <c r="Q863" i="59"/>
  <c r="Q865" i="59"/>
  <c r="Z863" i="59"/>
  <c r="Z865" i="59"/>
  <c r="AN863" i="59"/>
  <c r="AN865" i="59"/>
  <c r="N857" i="59"/>
  <c r="N858" i="59"/>
  <c r="N859" i="59"/>
  <c r="N860" i="59"/>
  <c r="Q857" i="59"/>
  <c r="Q858" i="59"/>
  <c r="Q859" i="59"/>
  <c r="Q860" i="59"/>
  <c r="Z857" i="59"/>
  <c r="Z858" i="59"/>
  <c r="Z859" i="59"/>
  <c r="Z860" i="59"/>
  <c r="AN857" i="59"/>
  <c r="AN858" i="59"/>
  <c r="AN859" i="59"/>
  <c r="AN860" i="59"/>
  <c r="AO857" i="59"/>
  <c r="AP857" i="59" s="1"/>
  <c r="AO858" i="59"/>
  <c r="AP858" i="59" s="1"/>
  <c r="AO859" i="59"/>
  <c r="AP859" i="59" s="1"/>
  <c r="AO860" i="59"/>
  <c r="AP860" i="59" s="1"/>
  <c r="N850" i="59"/>
  <c r="N851" i="59"/>
  <c r="N852" i="59"/>
  <c r="N853" i="59"/>
  <c r="N854" i="59"/>
  <c r="Q850" i="59"/>
  <c r="Q851" i="59"/>
  <c r="Q852" i="59"/>
  <c r="Q853" i="59"/>
  <c r="Q854" i="59"/>
  <c r="Z850" i="59"/>
  <c r="Z851" i="59"/>
  <c r="Z852" i="59"/>
  <c r="Z853" i="59"/>
  <c r="Z854" i="59"/>
  <c r="AN850" i="59"/>
  <c r="AN851" i="59"/>
  <c r="AN852" i="59"/>
  <c r="AN853" i="59"/>
  <c r="AN854" i="59"/>
  <c r="AO850" i="59"/>
  <c r="AP850" i="59" s="1"/>
  <c r="AO851" i="59"/>
  <c r="AP851" i="59" s="1"/>
  <c r="AO852" i="59"/>
  <c r="AP852" i="59" s="1"/>
  <c r="AO853" i="59"/>
  <c r="AP853" i="59" s="1"/>
  <c r="AO854" i="59"/>
  <c r="AP854" i="59" s="1"/>
  <c r="N846" i="59"/>
  <c r="N847" i="59"/>
  <c r="N848" i="59"/>
  <c r="Q846" i="59"/>
  <c r="Q847" i="59"/>
  <c r="Q848" i="59"/>
  <c r="Z846" i="59"/>
  <c r="Z847" i="59"/>
  <c r="Z848" i="59"/>
  <c r="AN846" i="59"/>
  <c r="AN847" i="59"/>
  <c r="AN848" i="59"/>
  <c r="AO846" i="59"/>
  <c r="AP846" i="59" s="1"/>
  <c r="AO847" i="59"/>
  <c r="AP847" i="59" s="1"/>
  <c r="AO848" i="59"/>
  <c r="AP848" i="59" s="1"/>
  <c r="N839" i="59"/>
  <c r="N840" i="59"/>
  <c r="N841" i="59"/>
  <c r="N842" i="59"/>
  <c r="N843" i="59"/>
  <c r="N844" i="59"/>
  <c r="Q839" i="59"/>
  <c r="Q840" i="59"/>
  <c r="Q841" i="59"/>
  <c r="Q842" i="59"/>
  <c r="Q843" i="59"/>
  <c r="Q844" i="59"/>
  <c r="Z839" i="59"/>
  <c r="Z840" i="59"/>
  <c r="Z841" i="59"/>
  <c r="Z842" i="59"/>
  <c r="Z843" i="59"/>
  <c r="Z844" i="59"/>
  <c r="AN839" i="59"/>
  <c r="AN840" i="59"/>
  <c r="AN841" i="59"/>
  <c r="AN842" i="59"/>
  <c r="AN843" i="59"/>
  <c r="AN844" i="59"/>
  <c r="AO839" i="59"/>
  <c r="AP839" i="59" s="1"/>
  <c r="AO840" i="59"/>
  <c r="AP840" i="59" s="1"/>
  <c r="AO841" i="59"/>
  <c r="AP841" i="59" s="1"/>
  <c r="AO842" i="59"/>
  <c r="AP842" i="59" s="1"/>
  <c r="AO843" i="59"/>
  <c r="AP843" i="59" s="1"/>
  <c r="AO844" i="59"/>
  <c r="AP844" i="59" s="1"/>
  <c r="N835" i="59"/>
  <c r="N836" i="59"/>
  <c r="N837" i="59"/>
  <c r="Q835" i="59"/>
  <c r="Q836" i="59"/>
  <c r="Q837" i="59"/>
  <c r="Z835" i="59"/>
  <c r="Z836" i="59"/>
  <c r="Z837" i="59"/>
  <c r="AN835" i="59"/>
  <c r="AN836" i="59"/>
  <c r="AN837" i="59"/>
  <c r="AO835" i="59"/>
  <c r="AP835" i="59" s="1"/>
  <c r="AO836" i="59"/>
  <c r="AP836" i="59" s="1"/>
  <c r="AO837" i="59"/>
  <c r="AP837" i="59" s="1"/>
  <c r="N831" i="59"/>
  <c r="N832" i="59"/>
  <c r="N833" i="59"/>
  <c r="Q831" i="59"/>
  <c r="Q832" i="59"/>
  <c r="Q833" i="59"/>
  <c r="Z831" i="59"/>
  <c r="Z832" i="59"/>
  <c r="Z833" i="59"/>
  <c r="AN831" i="59"/>
  <c r="AN832" i="59"/>
  <c r="AN833" i="59"/>
  <c r="AO831" i="59"/>
  <c r="AP831" i="59" s="1"/>
  <c r="AO832" i="59"/>
  <c r="AP832" i="59" s="1"/>
  <c r="AO833" i="59"/>
  <c r="AP833" i="59" s="1"/>
  <c r="N826" i="59"/>
  <c r="N827" i="59"/>
  <c r="N828" i="59"/>
  <c r="N829" i="59"/>
  <c r="Q826" i="59"/>
  <c r="Q827" i="59"/>
  <c r="Q828" i="59"/>
  <c r="Q829" i="59"/>
  <c r="Z826" i="59"/>
  <c r="Z827" i="59"/>
  <c r="Z828" i="59"/>
  <c r="Z829" i="59"/>
  <c r="AN826" i="59"/>
  <c r="AN827" i="59"/>
  <c r="AN828" i="59"/>
  <c r="AN829" i="59"/>
  <c r="AO826" i="59"/>
  <c r="AP826" i="59" s="1"/>
  <c r="AO827" i="59"/>
  <c r="AP827" i="59" s="1"/>
  <c r="AO828" i="59"/>
  <c r="AP828" i="59" s="1"/>
  <c r="AO829" i="59"/>
  <c r="AP829" i="59" s="1"/>
  <c r="N822" i="59"/>
  <c r="N823" i="59"/>
  <c r="N824" i="59"/>
  <c r="Q822" i="59"/>
  <c r="Q823" i="59"/>
  <c r="Q824" i="59"/>
  <c r="Z822" i="59"/>
  <c r="Z823" i="59"/>
  <c r="Z824" i="59"/>
  <c r="AN822" i="59"/>
  <c r="AN823" i="59"/>
  <c r="AN824" i="59"/>
  <c r="AO822" i="59"/>
  <c r="AP822" i="59" s="1"/>
  <c r="AO823" i="59"/>
  <c r="AP823" i="59" s="1"/>
  <c r="AO824" i="59"/>
  <c r="AP824" i="59" s="1"/>
  <c r="N818" i="59"/>
  <c r="N819" i="59"/>
  <c r="N820" i="59"/>
  <c r="Q818" i="59"/>
  <c r="Q819" i="59"/>
  <c r="Q820" i="59"/>
  <c r="Z818" i="59"/>
  <c r="Z819" i="59"/>
  <c r="Z820" i="59"/>
  <c r="AN818" i="59"/>
  <c r="AN819" i="59"/>
  <c r="AN820" i="59"/>
  <c r="AO818" i="59"/>
  <c r="AP818" i="59" s="1"/>
  <c r="AO819" i="59"/>
  <c r="AP819" i="59" s="1"/>
  <c r="AO820" i="59"/>
  <c r="AP820" i="59" s="1"/>
  <c r="N814" i="59"/>
  <c r="N815" i="59"/>
  <c r="N816" i="59"/>
  <c r="Q814" i="59"/>
  <c r="Q815" i="59"/>
  <c r="Q816" i="59"/>
  <c r="Z814" i="59"/>
  <c r="Z815" i="59"/>
  <c r="Z816" i="59"/>
  <c r="AN814" i="59"/>
  <c r="AN815" i="59"/>
  <c r="AN816" i="59"/>
  <c r="AO814" i="59"/>
  <c r="AP814" i="59" s="1"/>
  <c r="AO815" i="59"/>
  <c r="AP815" i="59" s="1"/>
  <c r="AO816" i="59"/>
  <c r="AP816" i="59" s="1"/>
  <c r="N809" i="59"/>
  <c r="N812" i="59"/>
  <c r="Q809" i="59"/>
  <c r="Q812" i="59"/>
  <c r="Z809" i="59"/>
  <c r="Z812" i="59"/>
  <c r="AN809" i="59"/>
  <c r="AN812" i="59"/>
  <c r="AO809" i="59"/>
  <c r="AP809" i="59" s="1"/>
  <c r="AO812" i="59"/>
  <c r="AP812" i="59" s="1"/>
  <c r="N808" i="59"/>
  <c r="N811" i="59"/>
  <c r="Q808" i="59"/>
  <c r="Q811" i="59"/>
  <c r="Z808" i="59"/>
  <c r="Z811" i="59"/>
  <c r="AN808" i="59"/>
  <c r="AN811" i="59"/>
  <c r="N807" i="59"/>
  <c r="N810" i="59"/>
  <c r="Q807" i="59"/>
  <c r="Q810" i="59"/>
  <c r="Z807" i="59"/>
  <c r="Z810" i="59"/>
  <c r="AN807" i="59"/>
  <c r="AN810" i="59"/>
  <c r="N802" i="59"/>
  <c r="N803" i="59"/>
  <c r="Q802" i="59"/>
  <c r="Q803" i="59"/>
  <c r="Z802" i="59"/>
  <c r="Z803" i="59"/>
  <c r="AN802" i="59"/>
  <c r="AN803" i="59"/>
  <c r="AO802" i="59"/>
  <c r="AP802" i="59" s="1"/>
  <c r="AO803" i="59"/>
  <c r="AP803" i="59" s="1"/>
  <c r="N798" i="59"/>
  <c r="N799" i="59"/>
  <c r="N800" i="59"/>
  <c r="Q798" i="59"/>
  <c r="Q799" i="59"/>
  <c r="Q800" i="59"/>
  <c r="Z798" i="59"/>
  <c r="Z799" i="59"/>
  <c r="Z800" i="59"/>
  <c r="AN798" i="59"/>
  <c r="AN799" i="59"/>
  <c r="AN800" i="59"/>
  <c r="AO798" i="59"/>
  <c r="AP798" i="59" s="1"/>
  <c r="AO799" i="59"/>
  <c r="AP799" i="59" s="1"/>
  <c r="AO800" i="59"/>
  <c r="AP800" i="59" s="1"/>
  <c r="N794" i="59"/>
  <c r="N795" i="59"/>
  <c r="N796" i="59"/>
  <c r="Q794" i="59"/>
  <c r="Q795" i="59"/>
  <c r="Q796" i="59"/>
  <c r="Z794" i="59"/>
  <c r="Z795" i="59"/>
  <c r="Z796" i="59"/>
  <c r="AN794" i="59"/>
  <c r="AN795" i="59"/>
  <c r="AN796" i="59"/>
  <c r="AO794" i="59"/>
  <c r="AP794" i="59" s="1"/>
  <c r="AO795" i="59"/>
  <c r="AP795" i="59" s="1"/>
  <c r="AO796" i="59"/>
  <c r="AP796" i="59" s="1"/>
  <c r="N791" i="59"/>
  <c r="Q791" i="59"/>
  <c r="Z791" i="59"/>
  <c r="AN791" i="59"/>
  <c r="AO791" i="59"/>
  <c r="AP791" i="59" s="1"/>
  <c r="N788" i="59"/>
  <c r="Q788" i="59"/>
  <c r="Z788" i="59"/>
  <c r="AN788" i="59"/>
  <c r="AO788" i="59"/>
  <c r="AP788" i="59" s="1"/>
  <c r="N786" i="59"/>
  <c r="Q786" i="59"/>
  <c r="Z786" i="59"/>
  <c r="AN786" i="59"/>
  <c r="AO786" i="59"/>
  <c r="AP786" i="59" s="1"/>
  <c r="N784" i="59"/>
  <c r="Q784" i="59"/>
  <c r="Z784" i="59"/>
  <c r="AN784" i="59"/>
  <c r="AO784" i="59"/>
  <c r="AP784" i="59" s="1"/>
  <c r="N781" i="59"/>
  <c r="N782" i="59"/>
  <c r="Q781" i="59"/>
  <c r="Q782" i="59"/>
  <c r="Z781" i="59"/>
  <c r="Z782" i="59"/>
  <c r="AN781" i="59"/>
  <c r="AN782" i="59"/>
  <c r="AO781" i="59"/>
  <c r="AP781" i="59" s="1"/>
  <c r="AO782" i="59"/>
  <c r="AP782" i="59" s="1"/>
  <c r="N773" i="59"/>
  <c r="N776" i="59"/>
  <c r="N779" i="59"/>
  <c r="Q773" i="59"/>
  <c r="Q776" i="59"/>
  <c r="Q779" i="59"/>
  <c r="Z773" i="59"/>
  <c r="Z776" i="59"/>
  <c r="Z779" i="59"/>
  <c r="AN773" i="59"/>
  <c r="AN776" i="59"/>
  <c r="AN779" i="59"/>
  <c r="AO773" i="59"/>
  <c r="AP773" i="59" s="1"/>
  <c r="AO776" i="59"/>
  <c r="AP776" i="59" s="1"/>
  <c r="AO779" i="59"/>
  <c r="AP779" i="59" s="1"/>
  <c r="N771" i="59"/>
  <c r="N772" i="59"/>
  <c r="N774" i="59"/>
  <c r="N775" i="59"/>
  <c r="N777" i="59"/>
  <c r="N778" i="59"/>
  <c r="Q771" i="59"/>
  <c r="Q772" i="59"/>
  <c r="Q774" i="59"/>
  <c r="Q775" i="59"/>
  <c r="Q777" i="59"/>
  <c r="Q778" i="59"/>
  <c r="Z771" i="59"/>
  <c r="Z772" i="59"/>
  <c r="Z774" i="59"/>
  <c r="Z775" i="59"/>
  <c r="Z777" i="59"/>
  <c r="Z778" i="59"/>
  <c r="AN771" i="59"/>
  <c r="AN772" i="59"/>
  <c r="AN774" i="59"/>
  <c r="AN775" i="59"/>
  <c r="AN777" i="59"/>
  <c r="AN778" i="59"/>
  <c r="AO771" i="59"/>
  <c r="AP771" i="59" s="1"/>
  <c r="AO772" i="59"/>
  <c r="AP772" i="59" s="1"/>
  <c r="AO774" i="59"/>
  <c r="AP774" i="59" s="1"/>
  <c r="AO775" i="59"/>
  <c r="AP775" i="59" s="1"/>
  <c r="AO777" i="59"/>
  <c r="AP777" i="59" s="1"/>
  <c r="AO778" i="59"/>
  <c r="AP778" i="59" s="1"/>
  <c r="N764" i="59"/>
  <c r="N765" i="59"/>
  <c r="N766" i="59"/>
  <c r="N767" i="59"/>
  <c r="Q764" i="59"/>
  <c r="Q765" i="59"/>
  <c r="Q766" i="59"/>
  <c r="Q767" i="59"/>
  <c r="Z764" i="59"/>
  <c r="Z765" i="59"/>
  <c r="Z766" i="59"/>
  <c r="Z767" i="59"/>
  <c r="AN764" i="59"/>
  <c r="AN765" i="59"/>
  <c r="AN766" i="59"/>
  <c r="AN767" i="59"/>
  <c r="AO764" i="59"/>
  <c r="AP764" i="59" s="1"/>
  <c r="AO765" i="59"/>
  <c r="AP765" i="59" s="1"/>
  <c r="AO766" i="59"/>
  <c r="AP766" i="59" s="1"/>
  <c r="AO767" i="59"/>
  <c r="AP767" i="59" s="1"/>
  <c r="N761" i="59"/>
  <c r="N762" i="59"/>
  <c r="Q761" i="59"/>
  <c r="Q762" i="59"/>
  <c r="Z761" i="59"/>
  <c r="Z762" i="59"/>
  <c r="AN761" i="59"/>
  <c r="AN762" i="59"/>
  <c r="AO761" i="59"/>
  <c r="AP761" i="59" s="1"/>
  <c r="AO762" i="59"/>
  <c r="AP762" i="59" s="1"/>
  <c r="N757" i="59"/>
  <c r="N758" i="59"/>
  <c r="N759" i="59"/>
  <c r="Q757" i="59"/>
  <c r="Q758" i="59"/>
  <c r="Q759" i="59"/>
  <c r="Z757" i="59"/>
  <c r="Z758" i="59"/>
  <c r="Z759" i="59"/>
  <c r="AN757" i="59"/>
  <c r="AN758" i="59"/>
  <c r="AN759" i="59"/>
  <c r="AO757" i="59"/>
  <c r="AP757" i="59" s="1"/>
  <c r="AO758" i="59"/>
  <c r="AP758" i="59" s="1"/>
  <c r="AO759" i="59"/>
  <c r="AP759" i="59" s="1"/>
  <c r="N751" i="59"/>
  <c r="N753" i="59"/>
  <c r="N755" i="59"/>
  <c r="Q751" i="59"/>
  <c r="Q753" i="59"/>
  <c r="Q755" i="59"/>
  <c r="Z751" i="59"/>
  <c r="Z753" i="59"/>
  <c r="Z755" i="59"/>
  <c r="AN751" i="59"/>
  <c r="AN753" i="59"/>
  <c r="AN755" i="59"/>
  <c r="AO751" i="59"/>
  <c r="AP751" i="59" s="1"/>
  <c r="AO753" i="59"/>
  <c r="AP753" i="59" s="1"/>
  <c r="AO755" i="59"/>
  <c r="AP755" i="59" s="1"/>
  <c r="N750" i="59"/>
  <c r="N752" i="59"/>
  <c r="N754" i="59"/>
  <c r="Q750" i="59"/>
  <c r="Q752" i="59"/>
  <c r="Q754" i="59"/>
  <c r="Z750" i="59"/>
  <c r="Z752" i="59"/>
  <c r="Z754" i="59"/>
  <c r="AN750" i="59"/>
  <c r="AN752" i="59"/>
  <c r="AN754" i="59"/>
  <c r="AO750" i="59"/>
  <c r="AP750" i="59" s="1"/>
  <c r="AO752" i="59"/>
  <c r="AP752" i="59" s="1"/>
  <c r="AO754" i="59"/>
  <c r="AP754" i="59" s="1"/>
  <c r="N744" i="59"/>
  <c r="N745" i="59"/>
  <c r="N746" i="59"/>
  <c r="N747" i="59"/>
  <c r="Q744" i="59"/>
  <c r="Q745" i="59"/>
  <c r="Q746" i="59"/>
  <c r="Q747" i="59"/>
  <c r="Z744" i="59"/>
  <c r="Z745" i="59"/>
  <c r="Z746" i="59"/>
  <c r="Z747" i="59"/>
  <c r="AN744" i="59"/>
  <c r="AN745" i="59"/>
  <c r="AN746" i="59"/>
  <c r="AN747" i="59"/>
  <c r="AO744" i="59"/>
  <c r="AP744" i="59" s="1"/>
  <c r="AO745" i="59"/>
  <c r="AP745" i="59" s="1"/>
  <c r="AO746" i="59"/>
  <c r="AP746" i="59" s="1"/>
  <c r="AO747" i="59"/>
  <c r="AP747" i="59" s="1"/>
  <c r="N741" i="59"/>
  <c r="N742" i="59"/>
  <c r="Q741" i="59"/>
  <c r="Q742" i="59"/>
  <c r="Z741" i="59"/>
  <c r="Z742" i="59"/>
  <c r="AN741" i="59"/>
  <c r="AN742" i="59"/>
  <c r="AO741" i="59"/>
  <c r="AP741" i="59" s="1"/>
  <c r="AO742" i="59"/>
  <c r="AP742" i="59" s="1"/>
  <c r="N735" i="59"/>
  <c r="N737" i="59"/>
  <c r="N738" i="59"/>
  <c r="N739" i="59"/>
  <c r="Q735" i="59"/>
  <c r="Q737" i="59"/>
  <c r="Q738" i="59"/>
  <c r="Q739" i="59"/>
  <c r="Z735" i="59"/>
  <c r="Z737" i="59"/>
  <c r="Z738" i="59"/>
  <c r="Z739" i="59"/>
  <c r="AN735" i="59"/>
  <c r="AN737" i="59"/>
  <c r="AN738" i="59"/>
  <c r="AN739" i="59"/>
  <c r="AO735" i="59"/>
  <c r="AP735" i="59" s="1"/>
  <c r="AO737" i="59"/>
  <c r="AP737" i="59" s="1"/>
  <c r="AO738" i="59"/>
  <c r="AP738" i="59" s="1"/>
  <c r="AO739" i="59"/>
  <c r="AP739" i="59" s="1"/>
  <c r="N729" i="59"/>
  <c r="N731" i="59"/>
  <c r="N733" i="59"/>
  <c r="Q729" i="59"/>
  <c r="Q731" i="59"/>
  <c r="Q733" i="59"/>
  <c r="Z729" i="59"/>
  <c r="Z731" i="59"/>
  <c r="Z733" i="59"/>
  <c r="AN729" i="59"/>
  <c r="AN731" i="59"/>
  <c r="AN733" i="59"/>
  <c r="AO729" i="59"/>
  <c r="AP729" i="59" s="1"/>
  <c r="AO731" i="59"/>
  <c r="AP731" i="59" s="1"/>
  <c r="AO733" i="59"/>
  <c r="AP733" i="59" s="1"/>
  <c r="N728" i="59"/>
  <c r="N730" i="59"/>
  <c r="N732" i="59"/>
  <c r="Q728" i="59"/>
  <c r="Q730" i="59"/>
  <c r="Q732" i="59"/>
  <c r="Z728" i="59"/>
  <c r="Z730" i="59"/>
  <c r="Z732" i="59"/>
  <c r="AN728" i="59"/>
  <c r="AN730" i="59"/>
  <c r="AN732" i="59"/>
  <c r="AO728" i="59"/>
  <c r="AP728" i="59" s="1"/>
  <c r="AO730" i="59"/>
  <c r="AP730" i="59" s="1"/>
  <c r="AO732" i="59"/>
  <c r="AP732" i="59" s="1"/>
  <c r="N724" i="59"/>
  <c r="N725" i="59"/>
  <c r="Q724" i="59"/>
  <c r="Q725" i="59"/>
  <c r="Z724" i="59"/>
  <c r="Z725" i="59"/>
  <c r="AN724" i="59"/>
  <c r="AN725" i="59"/>
  <c r="AO724" i="59"/>
  <c r="AP724" i="59" s="1"/>
  <c r="AO725" i="59"/>
  <c r="AP725" i="59" s="1"/>
  <c r="N718" i="59"/>
  <c r="N720" i="59"/>
  <c r="N722" i="59"/>
  <c r="Q718" i="59"/>
  <c r="Q720" i="59"/>
  <c r="Q722" i="59"/>
  <c r="Z718" i="59"/>
  <c r="Z720" i="59"/>
  <c r="Z722" i="59"/>
  <c r="AN718" i="59"/>
  <c r="AN720" i="59"/>
  <c r="AN722" i="59"/>
  <c r="AO718" i="59"/>
  <c r="AP718" i="59" s="1"/>
  <c r="AO720" i="59"/>
  <c r="AP720" i="59" s="1"/>
  <c r="AO722" i="59"/>
  <c r="AP722" i="59" s="1"/>
  <c r="N717" i="59"/>
  <c r="N719" i="59"/>
  <c r="N721" i="59"/>
  <c r="Q717" i="59"/>
  <c r="Q719" i="59"/>
  <c r="Q721" i="59"/>
  <c r="Z717" i="59"/>
  <c r="Z719" i="59"/>
  <c r="Z721" i="59"/>
  <c r="AN717" i="59"/>
  <c r="AN719" i="59"/>
  <c r="AN721" i="59"/>
  <c r="AO717" i="59"/>
  <c r="AP717" i="59" s="1"/>
  <c r="AO719" i="59"/>
  <c r="AP719" i="59" s="1"/>
  <c r="AO721" i="59"/>
  <c r="AP721" i="59" s="1"/>
  <c r="N714" i="59"/>
  <c r="Q714" i="59"/>
  <c r="Z714" i="59"/>
  <c r="AN714" i="59"/>
  <c r="AO714" i="59"/>
  <c r="AP714" i="59" s="1"/>
  <c r="N702" i="59"/>
  <c r="N704" i="59"/>
  <c r="N706" i="59"/>
  <c r="N708" i="59"/>
  <c r="N710" i="59"/>
  <c r="N712" i="59"/>
  <c r="Q702" i="59"/>
  <c r="Q704" i="59"/>
  <c r="Q706" i="59"/>
  <c r="Q708" i="59"/>
  <c r="Q710" i="59"/>
  <c r="Q712" i="59"/>
  <c r="Z702" i="59"/>
  <c r="Z704" i="59"/>
  <c r="Z706" i="59"/>
  <c r="Z708" i="59"/>
  <c r="Z710" i="59"/>
  <c r="Z712" i="59"/>
  <c r="AN702" i="59"/>
  <c r="AN704" i="59"/>
  <c r="AN706" i="59"/>
  <c r="AN708" i="59"/>
  <c r="AN710" i="59"/>
  <c r="AN712" i="59"/>
  <c r="AO702" i="59"/>
  <c r="AP702" i="59" s="1"/>
  <c r="AO704" i="59"/>
  <c r="AP704" i="59" s="1"/>
  <c r="AO706" i="59"/>
  <c r="AP706" i="59" s="1"/>
  <c r="AO708" i="59"/>
  <c r="AP708" i="59" s="1"/>
  <c r="AO710" i="59"/>
  <c r="AP710" i="59" s="1"/>
  <c r="AO712" i="59"/>
  <c r="AP712" i="59" s="1"/>
  <c r="N701" i="59"/>
  <c r="N703" i="59"/>
  <c r="N705" i="59"/>
  <c r="N707" i="59"/>
  <c r="N709" i="59"/>
  <c r="N711" i="59"/>
  <c r="Q701" i="59"/>
  <c r="Q703" i="59"/>
  <c r="Q705" i="59"/>
  <c r="Q707" i="59"/>
  <c r="Q709" i="59"/>
  <c r="Q711" i="59"/>
  <c r="Z701" i="59"/>
  <c r="Z703" i="59"/>
  <c r="Z705" i="59"/>
  <c r="Z707" i="59"/>
  <c r="Z709" i="59"/>
  <c r="Z711" i="59"/>
  <c r="AN701" i="59"/>
  <c r="AN703" i="59"/>
  <c r="AN705" i="59"/>
  <c r="AN707" i="59"/>
  <c r="AN709" i="59"/>
  <c r="AN711" i="59"/>
  <c r="AO701" i="59"/>
  <c r="AP701" i="59" s="1"/>
  <c r="AO703" i="59"/>
  <c r="AP703" i="59" s="1"/>
  <c r="AO705" i="59"/>
  <c r="AP705" i="59" s="1"/>
  <c r="AO707" i="59"/>
  <c r="AP707" i="59" s="1"/>
  <c r="AO709" i="59"/>
  <c r="AP709" i="59" s="1"/>
  <c r="AO711" i="59"/>
  <c r="AP711" i="59" s="1"/>
  <c r="N696" i="59"/>
  <c r="N698" i="59"/>
  <c r="Q696" i="59"/>
  <c r="Q698" i="59"/>
  <c r="Z696" i="59"/>
  <c r="Z698" i="59"/>
  <c r="AN696" i="59"/>
  <c r="AN698" i="59"/>
  <c r="AO696" i="59"/>
  <c r="AP696" i="59" s="1"/>
  <c r="AO698" i="59"/>
  <c r="AP698" i="59" s="1"/>
  <c r="N695" i="59"/>
  <c r="N697" i="59"/>
  <c r="Q695" i="59"/>
  <c r="Q697" i="59"/>
  <c r="Z695" i="59"/>
  <c r="Z697" i="59"/>
  <c r="AN695" i="59"/>
  <c r="AN697" i="59"/>
  <c r="AO695" i="59"/>
  <c r="AP695" i="59" s="1"/>
  <c r="AO697" i="59"/>
  <c r="AP697" i="59" s="1"/>
  <c r="N689" i="59"/>
  <c r="N692" i="59"/>
  <c r="Q689" i="59"/>
  <c r="Q692" i="59"/>
  <c r="Z689" i="59"/>
  <c r="Z692" i="59"/>
  <c r="AN689" i="59"/>
  <c r="AN692" i="59"/>
  <c r="AO689" i="59"/>
  <c r="AP689" i="59" s="1"/>
  <c r="AO692" i="59"/>
  <c r="AP692" i="59" s="1"/>
  <c r="N688" i="59"/>
  <c r="N691" i="59"/>
  <c r="Q688" i="59"/>
  <c r="Q691" i="59"/>
  <c r="Z688" i="59"/>
  <c r="Z691" i="59"/>
  <c r="AN688" i="59"/>
  <c r="AN691" i="59"/>
  <c r="AO688" i="59"/>
  <c r="AP688" i="59" s="1"/>
  <c r="AO691" i="59"/>
  <c r="AP691" i="59" s="1"/>
  <c r="N687" i="59"/>
  <c r="N690" i="59"/>
  <c r="Q687" i="59"/>
  <c r="Q690" i="59"/>
  <c r="Z687" i="59"/>
  <c r="Z690" i="59"/>
  <c r="AN687" i="59"/>
  <c r="AN690" i="59"/>
  <c r="AO687" i="59"/>
  <c r="AP687" i="59" s="1"/>
  <c r="AO690" i="59"/>
  <c r="AP690" i="59" s="1"/>
  <c r="N681" i="59"/>
  <c r="N682" i="59"/>
  <c r="N683" i="59"/>
  <c r="Q681" i="59"/>
  <c r="Q682" i="59"/>
  <c r="Q683" i="59"/>
  <c r="Z681" i="59"/>
  <c r="Z682" i="59"/>
  <c r="Z683" i="59"/>
  <c r="AN681" i="59"/>
  <c r="AN682" i="59"/>
  <c r="AN683" i="59"/>
  <c r="AO681" i="59"/>
  <c r="AP681" i="59" s="1"/>
  <c r="AO682" i="59"/>
  <c r="AP682" i="59" s="1"/>
  <c r="AO683" i="59"/>
  <c r="AP683" i="59" s="1"/>
  <c r="N675" i="59"/>
  <c r="N677" i="59"/>
  <c r="N679" i="59"/>
  <c r="Q675" i="59"/>
  <c r="Q677" i="59"/>
  <c r="Q679" i="59"/>
  <c r="Z675" i="59"/>
  <c r="Z677" i="59"/>
  <c r="Z679" i="59"/>
  <c r="AN675" i="59"/>
  <c r="AN677" i="59"/>
  <c r="AN679" i="59"/>
  <c r="AO675" i="59"/>
  <c r="AP675" i="59" s="1"/>
  <c r="AO677" i="59"/>
  <c r="AP677" i="59" s="1"/>
  <c r="AO679" i="59"/>
  <c r="AP679" i="59" s="1"/>
  <c r="N674" i="59"/>
  <c r="N676" i="59"/>
  <c r="N678" i="59"/>
  <c r="Q674" i="59"/>
  <c r="Q676" i="59"/>
  <c r="Q678" i="59"/>
  <c r="Z674" i="59"/>
  <c r="Z676" i="59"/>
  <c r="Z678" i="59"/>
  <c r="AN674" i="59"/>
  <c r="AN676" i="59"/>
  <c r="AN678" i="59"/>
  <c r="AO674" i="59"/>
  <c r="AP674" i="59" s="1"/>
  <c r="AO676" i="59"/>
  <c r="AP676" i="59" s="1"/>
  <c r="AO678" i="59"/>
  <c r="AP678" i="59" s="1"/>
  <c r="N669" i="59"/>
  <c r="N671" i="59"/>
  <c r="Q669" i="59"/>
  <c r="Q671" i="59"/>
  <c r="Z669" i="59"/>
  <c r="Z671" i="59"/>
  <c r="AN669" i="59"/>
  <c r="AN671" i="59"/>
  <c r="AO669" i="59"/>
  <c r="AP669" i="59" s="1"/>
  <c r="AO671" i="59"/>
  <c r="AP671" i="59" s="1"/>
  <c r="N668" i="59"/>
  <c r="N670" i="59"/>
  <c r="Q668" i="59"/>
  <c r="Q670" i="59"/>
  <c r="Z668" i="59"/>
  <c r="Z670" i="59"/>
  <c r="AN668" i="59"/>
  <c r="AN670" i="59"/>
  <c r="AO668" i="59"/>
  <c r="AP668" i="59" s="1"/>
  <c r="AO670" i="59"/>
  <c r="AP670" i="59" s="1"/>
  <c r="N662" i="59"/>
  <c r="N663" i="59"/>
  <c r="N664" i="59"/>
  <c r="N665" i="59"/>
  <c r="Q662" i="59"/>
  <c r="Q663" i="59"/>
  <c r="Q664" i="59"/>
  <c r="Q665" i="59"/>
  <c r="Z662" i="59"/>
  <c r="Z663" i="59"/>
  <c r="Z664" i="59"/>
  <c r="Z665" i="59"/>
  <c r="AN662" i="59"/>
  <c r="AN663" i="59"/>
  <c r="AN664" i="59"/>
  <c r="AN665" i="59"/>
  <c r="AO662" i="59"/>
  <c r="AP662" i="59" s="1"/>
  <c r="AO663" i="59"/>
  <c r="AP663" i="59" s="1"/>
  <c r="AO664" i="59"/>
  <c r="AP664" i="59" s="1"/>
  <c r="AO665" i="59"/>
  <c r="AP665" i="59" s="1"/>
  <c r="N659" i="59"/>
  <c r="N660" i="59"/>
  <c r="Q659" i="59"/>
  <c r="Q660" i="59"/>
  <c r="Z659" i="59"/>
  <c r="Z660" i="59"/>
  <c r="AN659" i="59"/>
  <c r="AN660" i="59"/>
  <c r="AO659" i="59"/>
  <c r="AP659" i="59" s="1"/>
  <c r="AO660" i="59"/>
  <c r="AP660" i="59" s="1"/>
  <c r="N643" i="59"/>
  <c r="N644" i="59"/>
  <c r="N645" i="59"/>
  <c r="N646" i="59"/>
  <c r="N647" i="59"/>
  <c r="N650" i="59"/>
  <c r="N652" i="59"/>
  <c r="N654" i="59"/>
  <c r="N656" i="59"/>
  <c r="N651" i="59"/>
  <c r="N653" i="59"/>
  <c r="N655" i="59"/>
  <c r="N657" i="59"/>
  <c r="Q643" i="59"/>
  <c r="Q644" i="59"/>
  <c r="Q645" i="59"/>
  <c r="Q646" i="59"/>
  <c r="Q647" i="59"/>
  <c r="Q650" i="59"/>
  <c r="Q652" i="59"/>
  <c r="Q654" i="59"/>
  <c r="Q656" i="59"/>
  <c r="Q651" i="59"/>
  <c r="Q653" i="59"/>
  <c r="Q655" i="59"/>
  <c r="Q657" i="59"/>
  <c r="Z643" i="59"/>
  <c r="Z644" i="59"/>
  <c r="Z645" i="59"/>
  <c r="Z646" i="59"/>
  <c r="Z647" i="59"/>
  <c r="Z650" i="59"/>
  <c r="Z652" i="59"/>
  <c r="Z654" i="59"/>
  <c r="Z656" i="59"/>
  <c r="Z651" i="59"/>
  <c r="Z653" i="59"/>
  <c r="Z655" i="59"/>
  <c r="Z657" i="59"/>
  <c r="AN643" i="59"/>
  <c r="AN644" i="59"/>
  <c r="AN645" i="59"/>
  <c r="AN646" i="59"/>
  <c r="AN647" i="59"/>
  <c r="AN650" i="59"/>
  <c r="AN652" i="59"/>
  <c r="AN654" i="59"/>
  <c r="AN656" i="59"/>
  <c r="AN651" i="59"/>
  <c r="AN653" i="59"/>
  <c r="AN655" i="59"/>
  <c r="AN657" i="59"/>
  <c r="AO643" i="59"/>
  <c r="AP643" i="59" s="1"/>
  <c r="AO644" i="59"/>
  <c r="AP644" i="59" s="1"/>
  <c r="AO645" i="59"/>
  <c r="AP645" i="59" s="1"/>
  <c r="AO646" i="59"/>
  <c r="AP646" i="59" s="1"/>
  <c r="AO647" i="59"/>
  <c r="AP647" i="59" s="1"/>
  <c r="AO650" i="59"/>
  <c r="AP650" i="59" s="1"/>
  <c r="AO652" i="59"/>
  <c r="AP652" i="59" s="1"/>
  <c r="AO654" i="59"/>
  <c r="AP654" i="59" s="1"/>
  <c r="AO656" i="59"/>
  <c r="AP656" i="59" s="1"/>
  <c r="AO651" i="59"/>
  <c r="AP651" i="59" s="1"/>
  <c r="AO653" i="59"/>
  <c r="AP653" i="59" s="1"/>
  <c r="AO655" i="59"/>
  <c r="AP655" i="59" s="1"/>
  <c r="AO657" i="59"/>
  <c r="AP657" i="59" s="1"/>
  <c r="N636" i="59"/>
  <c r="N638" i="59"/>
  <c r="N640" i="59"/>
  <c r="N641" i="59"/>
  <c r="Q636" i="59"/>
  <c r="Q638" i="59"/>
  <c r="Q640" i="59"/>
  <c r="Q641" i="59"/>
  <c r="Z636" i="59"/>
  <c r="Z638" i="59"/>
  <c r="Z640" i="59"/>
  <c r="Z641" i="59"/>
  <c r="AN636" i="59"/>
  <c r="AN638" i="59"/>
  <c r="AN640" i="59"/>
  <c r="AN641" i="59"/>
  <c r="AO636" i="59"/>
  <c r="AP636" i="59" s="1"/>
  <c r="AO638" i="59"/>
  <c r="AP638" i="59" s="1"/>
  <c r="AO640" i="59"/>
  <c r="AP640" i="59" s="1"/>
  <c r="AO641" i="59"/>
  <c r="AP641" i="59" s="1"/>
  <c r="N635" i="59"/>
  <c r="N637" i="59"/>
  <c r="Q635" i="59"/>
  <c r="Q637" i="59"/>
  <c r="Z635" i="59"/>
  <c r="Z637" i="59"/>
  <c r="AN635" i="59"/>
  <c r="AN637" i="59"/>
  <c r="AO635" i="59"/>
  <c r="AP635" i="59" s="1"/>
  <c r="AO637" i="59"/>
  <c r="AP637" i="59" s="1"/>
  <c r="N629" i="59"/>
  <c r="N630" i="59"/>
  <c r="N631" i="59"/>
  <c r="N632" i="59"/>
  <c r="Q629" i="59"/>
  <c r="Q630" i="59"/>
  <c r="Q631" i="59"/>
  <c r="Q632" i="59"/>
  <c r="Z629" i="59"/>
  <c r="Z630" i="59"/>
  <c r="Z631" i="59"/>
  <c r="Z632" i="59"/>
  <c r="AN629" i="59"/>
  <c r="AN630" i="59"/>
  <c r="AN631" i="59"/>
  <c r="AN632" i="59"/>
  <c r="AO629" i="59"/>
  <c r="AP629" i="59" s="1"/>
  <c r="AO630" i="59"/>
  <c r="AP630" i="59" s="1"/>
  <c r="AO631" i="59"/>
  <c r="AP631" i="59" s="1"/>
  <c r="AO632" i="59"/>
  <c r="AP632" i="59" s="1"/>
  <c r="N618" i="59"/>
  <c r="N621" i="59"/>
  <c r="N624" i="59"/>
  <c r="N627" i="59"/>
  <c r="Q618" i="59"/>
  <c r="Q621" i="59"/>
  <c r="Q624" i="59"/>
  <c r="Q627" i="59"/>
  <c r="Z618" i="59"/>
  <c r="Z621" i="59"/>
  <c r="Z624" i="59"/>
  <c r="Z627" i="59"/>
  <c r="AN618" i="59"/>
  <c r="AN621" i="59"/>
  <c r="AN624" i="59"/>
  <c r="AN627" i="59"/>
  <c r="AO618" i="59"/>
  <c r="AP618" i="59" s="1"/>
  <c r="AO621" i="59"/>
  <c r="AP621" i="59" s="1"/>
  <c r="AO624" i="59"/>
  <c r="AP624" i="59" s="1"/>
  <c r="AO627" i="59"/>
  <c r="AP627" i="59" s="1"/>
  <c r="N617" i="59"/>
  <c r="N620" i="59"/>
  <c r="N623" i="59"/>
  <c r="N626" i="59"/>
  <c r="Q617" i="59"/>
  <c r="Q620" i="59"/>
  <c r="Q623" i="59"/>
  <c r="Q626" i="59"/>
  <c r="Z617" i="59"/>
  <c r="Z620" i="59"/>
  <c r="Z623" i="59"/>
  <c r="Z626" i="59"/>
  <c r="AN617" i="59"/>
  <c r="AN620" i="59"/>
  <c r="AN623" i="59"/>
  <c r="AN626" i="59"/>
  <c r="AO617" i="59"/>
  <c r="AP617" i="59" s="1"/>
  <c r="AO620" i="59"/>
  <c r="AP620" i="59" s="1"/>
  <c r="AO623" i="59"/>
  <c r="AP623" i="59" s="1"/>
  <c r="AO626" i="59"/>
  <c r="AP626" i="59" s="1"/>
  <c r="N616" i="59"/>
  <c r="N619" i="59"/>
  <c r="N622" i="59"/>
  <c r="N625" i="59"/>
  <c r="Q616" i="59"/>
  <c r="Q619" i="59"/>
  <c r="Q622" i="59"/>
  <c r="Q625" i="59"/>
  <c r="Z616" i="59"/>
  <c r="Z619" i="59"/>
  <c r="Z622" i="59"/>
  <c r="Z625" i="59"/>
  <c r="AN616" i="59"/>
  <c r="AN619" i="59"/>
  <c r="AN622" i="59"/>
  <c r="AN625" i="59"/>
  <c r="AO616" i="59"/>
  <c r="AP616" i="59" s="1"/>
  <c r="AO619" i="59"/>
  <c r="AP619" i="59" s="1"/>
  <c r="AO622" i="59"/>
  <c r="AP622" i="59" s="1"/>
  <c r="AO625" i="59"/>
  <c r="AP625" i="59" s="1"/>
  <c r="N608" i="59"/>
  <c r="N610" i="59"/>
  <c r="N612" i="59"/>
  <c r="Q608" i="59"/>
  <c r="Q610" i="59"/>
  <c r="Q612" i="59"/>
  <c r="Z608" i="59"/>
  <c r="Z610" i="59"/>
  <c r="Z612" i="59"/>
  <c r="AN608" i="59"/>
  <c r="AN610" i="59"/>
  <c r="AN612" i="59"/>
  <c r="AO608" i="59"/>
  <c r="AP608" i="59" s="1"/>
  <c r="AO610" i="59"/>
  <c r="AP610" i="59" s="1"/>
  <c r="AO612" i="59"/>
  <c r="AP612" i="59" s="1"/>
  <c r="N607" i="59"/>
  <c r="N609" i="59"/>
  <c r="N611" i="59"/>
  <c r="Q607" i="59"/>
  <c r="Q609" i="59"/>
  <c r="Q611" i="59"/>
  <c r="Z607" i="59"/>
  <c r="Z609" i="59"/>
  <c r="Z611" i="59"/>
  <c r="AN607" i="59"/>
  <c r="AN609" i="59"/>
  <c r="AN611" i="59"/>
  <c r="AO607" i="59"/>
  <c r="AP607" i="59" s="1"/>
  <c r="AO609" i="59"/>
  <c r="AP609" i="59" s="1"/>
  <c r="AO611" i="59"/>
  <c r="AP611" i="59" s="1"/>
  <c r="N602" i="59"/>
  <c r="N603" i="59"/>
  <c r="N604" i="59"/>
  <c r="Q602" i="59"/>
  <c r="Q603" i="59"/>
  <c r="Q604" i="59"/>
  <c r="Z602" i="59"/>
  <c r="Z603" i="59"/>
  <c r="Z604" i="59"/>
  <c r="AN602" i="59"/>
  <c r="AN603" i="59"/>
  <c r="AN604" i="59"/>
  <c r="AO602" i="59"/>
  <c r="AP602" i="59" s="1"/>
  <c r="AO603" i="59"/>
  <c r="AP603" i="59" s="1"/>
  <c r="AO604" i="59"/>
  <c r="AP604" i="59" s="1"/>
  <c r="N599" i="59"/>
  <c r="N600" i="59"/>
  <c r="Q599" i="59"/>
  <c r="Q600" i="59"/>
  <c r="Z599" i="59"/>
  <c r="Z600" i="59"/>
  <c r="AN599" i="59"/>
  <c r="AN600" i="59"/>
  <c r="AO599" i="59"/>
  <c r="AP599" i="59" s="1"/>
  <c r="AO600" i="59"/>
  <c r="AP600" i="59" s="1"/>
  <c r="N586" i="59"/>
  <c r="N588" i="59"/>
  <c r="N590" i="59"/>
  <c r="N592" i="59"/>
  <c r="N594" i="59"/>
  <c r="N595" i="59"/>
  <c r="N596" i="59"/>
  <c r="N597" i="59"/>
  <c r="Q586" i="59"/>
  <c r="Q588" i="59"/>
  <c r="Q590" i="59"/>
  <c r="Q592" i="59"/>
  <c r="Q594" i="59"/>
  <c r="Q595" i="59"/>
  <c r="Q596" i="59"/>
  <c r="Q597" i="59"/>
  <c r="Z586" i="59"/>
  <c r="Z588" i="59"/>
  <c r="Z590" i="59"/>
  <c r="Z592" i="59"/>
  <c r="Z594" i="59"/>
  <c r="Z595" i="59"/>
  <c r="Z596" i="59"/>
  <c r="Z597" i="59"/>
  <c r="AN586" i="59"/>
  <c r="AN588" i="59"/>
  <c r="AN590" i="59"/>
  <c r="AN592" i="59"/>
  <c r="AN594" i="59"/>
  <c r="AN595" i="59"/>
  <c r="AN596" i="59"/>
  <c r="AN597" i="59"/>
  <c r="AO586" i="59"/>
  <c r="AP586" i="59" s="1"/>
  <c r="AO588" i="59"/>
  <c r="AP588" i="59" s="1"/>
  <c r="AO590" i="59"/>
  <c r="AP590" i="59" s="1"/>
  <c r="AO592" i="59"/>
  <c r="AP592" i="59" s="1"/>
  <c r="AO594" i="59"/>
  <c r="AP594" i="59" s="1"/>
  <c r="AO595" i="59"/>
  <c r="AP595" i="59" s="1"/>
  <c r="AO596" i="59"/>
  <c r="AP596" i="59" s="1"/>
  <c r="AO597" i="59"/>
  <c r="AP597" i="59" s="1"/>
  <c r="N585" i="59"/>
  <c r="N587" i="59"/>
  <c r="N589" i="59"/>
  <c r="N591" i="59"/>
  <c r="Q585" i="59"/>
  <c r="Q587" i="59"/>
  <c r="Q589" i="59"/>
  <c r="Q591" i="59"/>
  <c r="Z585" i="59"/>
  <c r="Z587" i="59"/>
  <c r="Z589" i="59"/>
  <c r="Z591" i="59"/>
  <c r="AN585" i="59"/>
  <c r="AN587" i="59"/>
  <c r="AN589" i="59"/>
  <c r="AN591" i="59"/>
  <c r="AO585" i="59"/>
  <c r="AP585" i="59" s="1"/>
  <c r="AO587" i="59"/>
  <c r="AP587" i="59" s="1"/>
  <c r="AO589" i="59"/>
  <c r="AP589" i="59" s="1"/>
  <c r="AO591" i="59"/>
  <c r="AP591" i="59" s="1"/>
  <c r="N578" i="59"/>
  <c r="N580" i="59"/>
  <c r="N582" i="59"/>
  <c r="Q578" i="59"/>
  <c r="Q580" i="59"/>
  <c r="Q582" i="59"/>
  <c r="Z578" i="59"/>
  <c r="Z580" i="59"/>
  <c r="Z582" i="59"/>
  <c r="AN578" i="59"/>
  <c r="AN580" i="59"/>
  <c r="AN582" i="59"/>
  <c r="AO578" i="59"/>
  <c r="AP578" i="59" s="1"/>
  <c r="AO580" i="59"/>
  <c r="AP580" i="59" s="1"/>
  <c r="AO582" i="59"/>
  <c r="AP582" i="59" s="1"/>
  <c r="N577" i="59"/>
  <c r="N579" i="59"/>
  <c r="N581" i="59"/>
  <c r="Q577" i="59"/>
  <c r="Q579" i="59"/>
  <c r="Q581" i="59"/>
  <c r="Z577" i="59"/>
  <c r="Z579" i="59"/>
  <c r="Z581" i="59"/>
  <c r="AN577" i="59"/>
  <c r="AN579" i="59"/>
  <c r="AN581" i="59"/>
  <c r="AO577" i="59"/>
  <c r="AP577" i="59" s="1"/>
  <c r="AO579" i="59"/>
  <c r="AP579" i="59" s="1"/>
  <c r="AO581" i="59"/>
  <c r="AP581" i="59" s="1"/>
  <c r="N573" i="59"/>
  <c r="N574" i="59"/>
  <c r="Q573" i="59"/>
  <c r="Q574" i="59"/>
  <c r="Z573" i="59"/>
  <c r="Z574" i="59"/>
  <c r="AN573" i="59"/>
  <c r="AN574" i="59"/>
  <c r="AO573" i="59"/>
  <c r="AP573" i="59" s="1"/>
  <c r="AO574" i="59"/>
  <c r="AP574" i="59" s="1"/>
  <c r="N567" i="59"/>
  <c r="N568" i="59"/>
  <c r="N570" i="59"/>
  <c r="N571" i="59"/>
  <c r="Q567" i="59"/>
  <c r="Q568" i="59"/>
  <c r="Q570" i="59"/>
  <c r="Q571" i="59"/>
  <c r="Z567" i="59"/>
  <c r="Z568" i="59"/>
  <c r="Z570" i="59"/>
  <c r="Z571" i="59"/>
  <c r="AN567" i="59"/>
  <c r="AN568" i="59"/>
  <c r="AN570" i="59"/>
  <c r="AN571" i="59"/>
  <c r="AO567" i="59"/>
  <c r="AP567" i="59" s="1"/>
  <c r="AO568" i="59"/>
  <c r="AP568" i="59" s="1"/>
  <c r="AO570" i="59"/>
  <c r="AP570" i="59" s="1"/>
  <c r="AO571" i="59"/>
  <c r="AP571" i="59" s="1"/>
  <c r="N566" i="59"/>
  <c r="N569" i="59"/>
  <c r="Q566" i="59"/>
  <c r="Q569" i="59"/>
  <c r="Z566" i="59"/>
  <c r="Z569" i="59"/>
  <c r="AN566" i="59"/>
  <c r="AN569" i="59"/>
  <c r="AO566" i="59"/>
  <c r="AP566" i="59" s="1"/>
  <c r="AO569" i="59"/>
  <c r="AP569" i="59" s="1"/>
  <c r="N561" i="59"/>
  <c r="N562" i="59"/>
  <c r="Q561" i="59"/>
  <c r="Q562" i="59"/>
  <c r="Z561" i="59"/>
  <c r="Z562" i="59"/>
  <c r="AN561" i="59"/>
  <c r="AN562" i="59"/>
  <c r="AO561" i="59"/>
  <c r="AP561" i="59" s="1"/>
  <c r="AO562" i="59"/>
  <c r="AP562" i="59" s="1"/>
  <c r="N557" i="59"/>
  <c r="N558" i="59"/>
  <c r="N559" i="59"/>
  <c r="Q557" i="59"/>
  <c r="Q558" i="59"/>
  <c r="Q559" i="59"/>
  <c r="Z557" i="59"/>
  <c r="Z558" i="59"/>
  <c r="Z559" i="59"/>
  <c r="AN557" i="59"/>
  <c r="AN558" i="59"/>
  <c r="AN559" i="59"/>
  <c r="AO557" i="59"/>
  <c r="AP557" i="59" s="1"/>
  <c r="AO558" i="59"/>
  <c r="AP558" i="59" s="1"/>
  <c r="AO559" i="59"/>
  <c r="AP559" i="59" s="1"/>
  <c r="N554" i="59"/>
  <c r="N555" i="59"/>
  <c r="Q554" i="59"/>
  <c r="Q555" i="59"/>
  <c r="Z554" i="59"/>
  <c r="Z555" i="59"/>
  <c r="AN554" i="59"/>
  <c r="AN555" i="59"/>
  <c r="AO554" i="59"/>
  <c r="AP554" i="59" s="1"/>
  <c r="AO555" i="59"/>
  <c r="AP555" i="59" s="1"/>
  <c r="N548" i="59"/>
  <c r="N550" i="59"/>
  <c r="N552" i="59"/>
  <c r="Q548" i="59"/>
  <c r="Q550" i="59"/>
  <c r="Q552" i="59"/>
  <c r="Z548" i="59"/>
  <c r="Z550" i="59"/>
  <c r="Z552" i="59"/>
  <c r="AN548" i="59"/>
  <c r="AN550" i="59"/>
  <c r="AN552" i="59"/>
  <c r="AO548" i="59"/>
  <c r="AP548" i="59" s="1"/>
  <c r="AO550" i="59"/>
  <c r="AP550" i="59" s="1"/>
  <c r="AO552" i="59"/>
  <c r="AP552" i="59" s="1"/>
  <c r="N547" i="59"/>
  <c r="N549" i="59"/>
  <c r="N551" i="59"/>
  <c r="Q547" i="59"/>
  <c r="Q549" i="59"/>
  <c r="Q551" i="59"/>
  <c r="Z547" i="59"/>
  <c r="Z549" i="59"/>
  <c r="Z551" i="59"/>
  <c r="AN547" i="59"/>
  <c r="AN549" i="59"/>
  <c r="AN551" i="59"/>
  <c r="AO547" i="59"/>
  <c r="AP547" i="59" s="1"/>
  <c r="AO549" i="59"/>
  <c r="AP549" i="59" s="1"/>
  <c r="AO551" i="59"/>
  <c r="AP551" i="59" s="1"/>
  <c r="N527" i="59"/>
  <c r="N535" i="59"/>
  <c r="N543" i="59"/>
  <c r="N528" i="59"/>
  <c r="N536" i="59"/>
  <c r="N544" i="59"/>
  <c r="Q527" i="59"/>
  <c r="Q535" i="59"/>
  <c r="Q543" i="59"/>
  <c r="Q528" i="59"/>
  <c r="Q536" i="59"/>
  <c r="Q544" i="59"/>
  <c r="Z527" i="59"/>
  <c r="Z535" i="59"/>
  <c r="Z543" i="59"/>
  <c r="Z528" i="59"/>
  <c r="Z536" i="59"/>
  <c r="Z544" i="59"/>
  <c r="AN527" i="59"/>
  <c r="AN535" i="59"/>
  <c r="AN543" i="59"/>
  <c r="AN528" i="59"/>
  <c r="AN536" i="59"/>
  <c r="AN544" i="59"/>
  <c r="AO527" i="59"/>
  <c r="AP527" i="59" s="1"/>
  <c r="AO535" i="59"/>
  <c r="AP535" i="59" s="1"/>
  <c r="AO543" i="59"/>
  <c r="AP543" i="59" s="1"/>
  <c r="AO528" i="59"/>
  <c r="AP528" i="59" s="1"/>
  <c r="AO536" i="59"/>
  <c r="AP536" i="59" s="1"/>
  <c r="AO544" i="59"/>
  <c r="AP544" i="59" s="1"/>
  <c r="N526" i="59"/>
  <c r="N534" i="59"/>
  <c r="N542" i="59"/>
  <c r="Q526" i="59"/>
  <c r="Q534" i="59"/>
  <c r="Q542" i="59"/>
  <c r="Z526" i="59"/>
  <c r="Z534" i="59"/>
  <c r="Z542" i="59"/>
  <c r="AN526" i="59"/>
  <c r="AN534" i="59"/>
  <c r="AN542" i="59"/>
  <c r="AO526" i="59"/>
  <c r="AP526" i="59" s="1"/>
  <c r="AO534" i="59"/>
  <c r="AP534" i="59" s="1"/>
  <c r="AO542" i="59"/>
  <c r="AP542" i="59" s="1"/>
  <c r="N525" i="59"/>
  <c r="N533" i="59"/>
  <c r="N541" i="59"/>
  <c r="Q525" i="59"/>
  <c r="Q533" i="59"/>
  <c r="Q541" i="59"/>
  <c r="Z525" i="59"/>
  <c r="Z533" i="59"/>
  <c r="Z541" i="59"/>
  <c r="AN525" i="59"/>
  <c r="AN533" i="59"/>
  <c r="AN541" i="59"/>
  <c r="AO525" i="59"/>
  <c r="AP525" i="59" s="1"/>
  <c r="AO533" i="59"/>
  <c r="AP533" i="59" s="1"/>
  <c r="AO541" i="59"/>
  <c r="AP541" i="59" s="1"/>
  <c r="N524" i="59"/>
  <c r="N532" i="59"/>
  <c r="N540" i="59"/>
  <c r="Q524" i="59"/>
  <c r="Q532" i="59"/>
  <c r="Q540" i="59"/>
  <c r="Z524" i="59"/>
  <c r="Z532" i="59"/>
  <c r="Z540" i="59"/>
  <c r="AN524" i="59"/>
  <c r="AN532" i="59"/>
  <c r="AN540" i="59"/>
  <c r="AO524" i="59"/>
  <c r="AP524" i="59" s="1"/>
  <c r="AO532" i="59"/>
  <c r="AP532" i="59" s="1"/>
  <c r="AO540" i="59"/>
  <c r="AP540" i="59" s="1"/>
  <c r="N523" i="59"/>
  <c r="N531" i="59"/>
  <c r="N539" i="59"/>
  <c r="Q523" i="59"/>
  <c r="Q531" i="59"/>
  <c r="Q539" i="59"/>
  <c r="Z523" i="59"/>
  <c r="Z531" i="59"/>
  <c r="Z539" i="59"/>
  <c r="AN523" i="59"/>
  <c r="AN531" i="59"/>
  <c r="AN539" i="59"/>
  <c r="AO523" i="59"/>
  <c r="AP523" i="59" s="1"/>
  <c r="AO531" i="59"/>
  <c r="AP531" i="59" s="1"/>
  <c r="AO539" i="59"/>
  <c r="AP539" i="59" s="1"/>
  <c r="N522" i="59"/>
  <c r="N530" i="59"/>
  <c r="N538" i="59"/>
  <c r="Q522" i="59"/>
  <c r="Q530" i="59"/>
  <c r="Q538" i="59"/>
  <c r="Z522" i="59"/>
  <c r="Z530" i="59"/>
  <c r="Z538" i="59"/>
  <c r="AN522" i="59"/>
  <c r="AN530" i="59"/>
  <c r="AN538" i="59"/>
  <c r="AO522" i="59"/>
  <c r="AP522" i="59" s="1"/>
  <c r="AO530" i="59"/>
  <c r="AP530" i="59" s="1"/>
  <c r="AO538" i="59"/>
  <c r="AP538" i="59" s="1"/>
  <c r="N521" i="59"/>
  <c r="N529" i="59"/>
  <c r="N537" i="59"/>
  <c r="Q521" i="59"/>
  <c r="Q529" i="59"/>
  <c r="Q537" i="59"/>
  <c r="Z521" i="59"/>
  <c r="Z529" i="59"/>
  <c r="Z537" i="59"/>
  <c r="AN521" i="59"/>
  <c r="AN529" i="59"/>
  <c r="AN537" i="59"/>
  <c r="AO521" i="59"/>
  <c r="AP521" i="59" s="1"/>
  <c r="AO529" i="59"/>
  <c r="AP529" i="59" s="1"/>
  <c r="AO537" i="59"/>
  <c r="AP537" i="59" s="1"/>
  <c r="N489" i="59"/>
  <c r="N500" i="59"/>
  <c r="N511" i="59"/>
  <c r="N490" i="59"/>
  <c r="N501" i="59"/>
  <c r="N512" i="59"/>
  <c r="Q489" i="59"/>
  <c r="Q500" i="59"/>
  <c r="Q511" i="59"/>
  <c r="Q490" i="59"/>
  <c r="Q501" i="59"/>
  <c r="Q512" i="59"/>
  <c r="Z489" i="59"/>
  <c r="Z500" i="59"/>
  <c r="Z511" i="59"/>
  <c r="Z490" i="59"/>
  <c r="Z501" i="59"/>
  <c r="Z512" i="59"/>
  <c r="AN489" i="59"/>
  <c r="AN500" i="59"/>
  <c r="AN511" i="59"/>
  <c r="AN490" i="59"/>
  <c r="AN501" i="59"/>
  <c r="AN512" i="59"/>
  <c r="AO489" i="59"/>
  <c r="AP489" i="59" s="1"/>
  <c r="AO500" i="59"/>
  <c r="AP500" i="59" s="1"/>
  <c r="AO511" i="59"/>
  <c r="AP511" i="59" s="1"/>
  <c r="AO490" i="59"/>
  <c r="AP490" i="59" s="1"/>
  <c r="AO501" i="59"/>
  <c r="AP501" i="59" s="1"/>
  <c r="AO512" i="59"/>
  <c r="AP512" i="59" s="1"/>
  <c r="N488" i="59"/>
  <c r="N499" i="59"/>
  <c r="N510" i="59"/>
  <c r="Q488" i="59"/>
  <c r="Q499" i="59"/>
  <c r="Q510" i="59"/>
  <c r="Z488" i="59"/>
  <c r="Z499" i="59"/>
  <c r="Z510" i="59"/>
  <c r="AN488" i="59"/>
  <c r="AN499" i="59"/>
  <c r="AN510" i="59"/>
  <c r="AO488" i="59"/>
  <c r="AP488" i="59" s="1"/>
  <c r="AO499" i="59"/>
  <c r="AP499" i="59" s="1"/>
  <c r="AO510" i="59"/>
  <c r="AP510" i="59" s="1"/>
  <c r="N487" i="59"/>
  <c r="N498" i="59"/>
  <c r="N509" i="59"/>
  <c r="Q487" i="59"/>
  <c r="Q498" i="59"/>
  <c r="Q509" i="59"/>
  <c r="Z487" i="59"/>
  <c r="Z498" i="59"/>
  <c r="Z509" i="59"/>
  <c r="AN487" i="59"/>
  <c r="AN498" i="59"/>
  <c r="AN509" i="59"/>
  <c r="AO487" i="59"/>
  <c r="AP487" i="59" s="1"/>
  <c r="AO498" i="59"/>
  <c r="AP498" i="59" s="1"/>
  <c r="AO509" i="59"/>
  <c r="AP509" i="59" s="1"/>
  <c r="N486" i="59"/>
  <c r="N497" i="59"/>
  <c r="N508" i="59"/>
  <c r="Q486" i="59"/>
  <c r="Q497" i="59"/>
  <c r="Q508" i="59"/>
  <c r="Z486" i="59"/>
  <c r="Z497" i="59"/>
  <c r="Z508" i="59"/>
  <c r="AN486" i="59"/>
  <c r="AN497" i="59"/>
  <c r="AN508" i="59"/>
  <c r="AO486" i="59"/>
  <c r="AP486" i="59" s="1"/>
  <c r="AO497" i="59"/>
  <c r="AP497" i="59" s="1"/>
  <c r="AO508" i="59"/>
  <c r="AP508" i="59" s="1"/>
  <c r="N485" i="59"/>
  <c r="N496" i="59"/>
  <c r="N507" i="59"/>
  <c r="Q485" i="59"/>
  <c r="Q496" i="59"/>
  <c r="Q507" i="59"/>
  <c r="Z485" i="59"/>
  <c r="Z496" i="59"/>
  <c r="Z507" i="59"/>
  <c r="AN485" i="59"/>
  <c r="AN496" i="59"/>
  <c r="AN507" i="59"/>
  <c r="AO485" i="59"/>
  <c r="AP485" i="59" s="1"/>
  <c r="AO496" i="59"/>
  <c r="AP496" i="59" s="1"/>
  <c r="AO507" i="59"/>
  <c r="AP507" i="59" s="1"/>
  <c r="N484" i="59"/>
  <c r="N495" i="59"/>
  <c r="N506" i="59"/>
  <c r="Q484" i="59"/>
  <c r="Q495" i="59"/>
  <c r="Q506" i="59"/>
  <c r="Z484" i="59"/>
  <c r="Z495" i="59"/>
  <c r="Z506" i="59"/>
  <c r="AN484" i="59"/>
  <c r="AN495" i="59"/>
  <c r="AN506" i="59"/>
  <c r="AO484" i="59"/>
  <c r="AP484" i="59" s="1"/>
  <c r="AO495" i="59"/>
  <c r="AP495" i="59" s="1"/>
  <c r="AO506" i="59"/>
  <c r="AP506" i="59" s="1"/>
  <c r="N483" i="59"/>
  <c r="N494" i="59"/>
  <c r="N505" i="59"/>
  <c r="Q483" i="59"/>
  <c r="Q494" i="59"/>
  <c r="Q505" i="59"/>
  <c r="Z483" i="59"/>
  <c r="Z494" i="59"/>
  <c r="Z505" i="59"/>
  <c r="AN483" i="59"/>
  <c r="AN494" i="59"/>
  <c r="AN505" i="59"/>
  <c r="AO483" i="59"/>
  <c r="AP483" i="59" s="1"/>
  <c r="AO494" i="59"/>
  <c r="AP494" i="59" s="1"/>
  <c r="AO505" i="59"/>
  <c r="AP505" i="59" s="1"/>
  <c r="N482" i="59"/>
  <c r="N493" i="59"/>
  <c r="N504" i="59"/>
  <c r="Q482" i="59"/>
  <c r="Q493" i="59"/>
  <c r="Q504" i="59"/>
  <c r="Z482" i="59"/>
  <c r="Z493" i="59"/>
  <c r="Z504" i="59"/>
  <c r="AN482" i="59"/>
  <c r="AN493" i="59"/>
  <c r="AN504" i="59"/>
  <c r="AO482" i="59"/>
  <c r="AP482" i="59" s="1"/>
  <c r="AO493" i="59"/>
  <c r="AP493" i="59" s="1"/>
  <c r="AO504" i="59"/>
  <c r="AP504" i="59" s="1"/>
  <c r="N481" i="59"/>
  <c r="N492" i="59"/>
  <c r="N503" i="59"/>
  <c r="Q481" i="59"/>
  <c r="Q492" i="59"/>
  <c r="Q503" i="59"/>
  <c r="Z481" i="59"/>
  <c r="Z492" i="59"/>
  <c r="Z503" i="59"/>
  <c r="AN481" i="59"/>
  <c r="AN492" i="59"/>
  <c r="AN503" i="59"/>
  <c r="AO481" i="59"/>
  <c r="AP481" i="59" s="1"/>
  <c r="AO492" i="59"/>
  <c r="AP492" i="59" s="1"/>
  <c r="AO503" i="59"/>
  <c r="AP503" i="59" s="1"/>
  <c r="N480" i="59"/>
  <c r="N491" i="59"/>
  <c r="N502" i="59"/>
  <c r="Q480" i="59"/>
  <c r="Q491" i="59"/>
  <c r="Q502" i="59"/>
  <c r="Z480" i="59"/>
  <c r="Z491" i="59"/>
  <c r="Z502" i="59"/>
  <c r="AN480" i="59"/>
  <c r="AN491" i="59"/>
  <c r="AN502" i="59"/>
  <c r="AO480" i="59"/>
  <c r="AP480" i="59" s="1"/>
  <c r="AO491" i="59"/>
  <c r="AP491" i="59" s="1"/>
  <c r="AO502" i="59"/>
  <c r="AP502" i="59" s="1"/>
  <c r="N455" i="59"/>
  <c r="N467" i="59"/>
  <c r="N456" i="59"/>
  <c r="N468" i="59"/>
  <c r="Q455" i="59"/>
  <c r="Q467" i="59"/>
  <c r="Q456" i="59"/>
  <c r="Q468" i="59"/>
  <c r="Z455" i="59"/>
  <c r="Z467" i="59"/>
  <c r="Z456" i="59"/>
  <c r="Z468" i="59"/>
  <c r="AN455" i="59"/>
  <c r="AN467" i="59"/>
  <c r="AN456" i="59"/>
  <c r="AN468" i="59"/>
  <c r="AO455" i="59"/>
  <c r="AP455" i="59" s="1"/>
  <c r="AO467" i="59"/>
  <c r="AP467" i="59" s="1"/>
  <c r="AO456" i="59"/>
  <c r="AP456" i="59" s="1"/>
  <c r="AO468" i="59"/>
  <c r="AP468" i="59" s="1"/>
  <c r="N454" i="59"/>
  <c r="N466" i="59"/>
  <c r="Q454" i="59"/>
  <c r="Q466" i="59"/>
  <c r="Z454" i="59"/>
  <c r="Z466" i="59"/>
  <c r="AN454" i="59"/>
  <c r="AN466" i="59"/>
  <c r="AO454" i="59"/>
  <c r="AP454" i="59" s="1"/>
  <c r="AO466" i="59"/>
  <c r="AP466" i="59" s="1"/>
  <c r="N453" i="59"/>
  <c r="N465" i="59"/>
  <c r="Q453" i="59"/>
  <c r="Q465" i="59"/>
  <c r="Z453" i="59"/>
  <c r="Z465" i="59"/>
  <c r="AN453" i="59"/>
  <c r="AN465" i="59"/>
  <c r="AO453" i="59"/>
  <c r="AP453" i="59" s="1"/>
  <c r="AO465" i="59"/>
  <c r="AP465" i="59" s="1"/>
  <c r="N452" i="59"/>
  <c r="N464" i="59"/>
  <c r="Q452" i="59"/>
  <c r="Q464" i="59"/>
  <c r="Z452" i="59"/>
  <c r="Z464" i="59"/>
  <c r="AN452" i="59"/>
  <c r="AN464" i="59"/>
  <c r="AO452" i="59"/>
  <c r="AP452" i="59" s="1"/>
  <c r="AO464" i="59"/>
  <c r="AP464" i="59" s="1"/>
  <c r="N451" i="59"/>
  <c r="N463" i="59"/>
  <c r="Q451" i="59"/>
  <c r="Q463" i="59"/>
  <c r="Z451" i="59"/>
  <c r="Z463" i="59"/>
  <c r="AN451" i="59"/>
  <c r="AN463" i="59"/>
  <c r="AO451" i="59"/>
  <c r="AP451" i="59" s="1"/>
  <c r="AO463" i="59"/>
  <c r="AP463" i="59" s="1"/>
  <c r="N449" i="59"/>
  <c r="N461" i="59"/>
  <c r="N450" i="59"/>
  <c r="N462" i="59"/>
  <c r="Q449" i="59"/>
  <c r="Q461" i="59"/>
  <c r="Q450" i="59"/>
  <c r="Q462" i="59"/>
  <c r="Z449" i="59"/>
  <c r="Z461" i="59"/>
  <c r="Z450" i="59"/>
  <c r="Z462" i="59"/>
  <c r="AN449" i="59"/>
  <c r="AN461" i="59"/>
  <c r="AN450" i="59"/>
  <c r="AN462" i="59"/>
  <c r="AO449" i="59"/>
  <c r="AP449" i="59" s="1"/>
  <c r="AO461" i="59"/>
  <c r="AP461" i="59" s="1"/>
  <c r="AO450" i="59"/>
  <c r="AP450" i="59" s="1"/>
  <c r="AO462" i="59"/>
  <c r="AP462" i="59" s="1"/>
  <c r="N448" i="59"/>
  <c r="N460" i="59"/>
  <c r="Q448" i="59"/>
  <c r="Q460" i="59"/>
  <c r="Z448" i="59"/>
  <c r="Z460" i="59"/>
  <c r="AN448" i="59"/>
  <c r="AN460" i="59"/>
  <c r="AO448" i="59"/>
  <c r="AP448" i="59" s="1"/>
  <c r="AO460" i="59"/>
  <c r="AP460" i="59" s="1"/>
  <c r="N447" i="59"/>
  <c r="N459" i="59"/>
  <c r="Q447" i="59"/>
  <c r="Q459" i="59"/>
  <c r="Z447" i="59"/>
  <c r="Z459" i="59"/>
  <c r="AN447" i="59"/>
  <c r="AN459" i="59"/>
  <c r="AO447" i="59"/>
  <c r="AP447" i="59" s="1"/>
  <c r="AO459" i="59"/>
  <c r="AP459" i="59" s="1"/>
  <c r="N446" i="59"/>
  <c r="N458" i="59"/>
  <c r="Q446" i="59"/>
  <c r="Q458" i="59"/>
  <c r="Z446" i="59"/>
  <c r="Z458" i="59"/>
  <c r="AN446" i="59"/>
  <c r="AN458" i="59"/>
  <c r="AO446" i="59"/>
  <c r="AP446" i="59" s="1"/>
  <c r="AO458" i="59"/>
  <c r="AP458" i="59" s="1"/>
  <c r="N445" i="59"/>
  <c r="N457" i="59"/>
  <c r="Q445" i="59"/>
  <c r="Q457" i="59"/>
  <c r="Z445" i="59"/>
  <c r="Z457" i="59"/>
  <c r="AN445" i="59"/>
  <c r="AN457" i="59"/>
  <c r="AO445" i="59"/>
  <c r="AP445" i="59" s="1"/>
  <c r="AO457" i="59"/>
  <c r="AP457" i="59" s="1"/>
  <c r="N431" i="59"/>
  <c r="N432" i="59"/>
  <c r="Q431" i="59"/>
  <c r="Q432" i="59"/>
  <c r="Z431" i="59"/>
  <c r="Z432" i="59"/>
  <c r="AN431" i="59"/>
  <c r="AN432" i="59"/>
  <c r="AO431" i="59"/>
  <c r="AP431" i="59" s="1"/>
  <c r="AO432" i="59"/>
  <c r="AP432" i="59" s="1"/>
  <c r="N409" i="59"/>
  <c r="N414" i="59"/>
  <c r="N419" i="59"/>
  <c r="N424" i="59"/>
  <c r="N429" i="59"/>
  <c r="Q409" i="59"/>
  <c r="Q414" i="59"/>
  <c r="Q419" i="59"/>
  <c r="Q424" i="59"/>
  <c r="Q429" i="59"/>
  <c r="Z409" i="59"/>
  <c r="Z414" i="59"/>
  <c r="Z419" i="59"/>
  <c r="Z424" i="59"/>
  <c r="Z429" i="59"/>
  <c r="AN409" i="59"/>
  <c r="AN414" i="59"/>
  <c r="AN419" i="59"/>
  <c r="AN424" i="59"/>
  <c r="AN429" i="59"/>
  <c r="N408" i="59"/>
  <c r="N413" i="59"/>
  <c r="N418" i="59"/>
  <c r="N423" i="59"/>
  <c r="N428" i="59"/>
  <c r="Q408" i="59"/>
  <c r="Q413" i="59"/>
  <c r="Q418" i="59"/>
  <c r="Q423" i="59"/>
  <c r="Q428" i="59"/>
  <c r="Z408" i="59"/>
  <c r="Z413" i="59"/>
  <c r="Z418" i="59"/>
  <c r="Z423" i="59"/>
  <c r="Z428" i="59"/>
  <c r="AN408" i="59"/>
  <c r="AN413" i="59"/>
  <c r="AN418" i="59"/>
  <c r="AN423" i="59"/>
  <c r="AN428" i="59"/>
  <c r="N407" i="59"/>
  <c r="N412" i="59"/>
  <c r="N417" i="59"/>
  <c r="N422" i="59"/>
  <c r="N427" i="59"/>
  <c r="Q407" i="59"/>
  <c r="Q412" i="59"/>
  <c r="Q417" i="59"/>
  <c r="Q422" i="59"/>
  <c r="Q427" i="59"/>
  <c r="Z407" i="59"/>
  <c r="Z412" i="59"/>
  <c r="Z417" i="59"/>
  <c r="Z422" i="59"/>
  <c r="Z427" i="59"/>
  <c r="AN407" i="59"/>
  <c r="AN412" i="59"/>
  <c r="AN417" i="59"/>
  <c r="AN422" i="59"/>
  <c r="AN427" i="59"/>
  <c r="N405" i="59"/>
  <c r="N410" i="59"/>
  <c r="N415" i="59"/>
  <c r="N420" i="59"/>
  <c r="N425" i="59"/>
  <c r="N406" i="59"/>
  <c r="N411" i="59"/>
  <c r="N416" i="59"/>
  <c r="N421" i="59"/>
  <c r="N426" i="59"/>
  <c r="Q405" i="59"/>
  <c r="Q410" i="59"/>
  <c r="Q415" i="59"/>
  <c r="Q420" i="59"/>
  <c r="Q425" i="59"/>
  <c r="Q406" i="59"/>
  <c r="Q411" i="59"/>
  <c r="Q416" i="59"/>
  <c r="Q421" i="59"/>
  <c r="Q426" i="59"/>
  <c r="Z405" i="59"/>
  <c r="Z410" i="59"/>
  <c r="Z415" i="59"/>
  <c r="Z420" i="59"/>
  <c r="Z425" i="59"/>
  <c r="Z406" i="59"/>
  <c r="Z411" i="59"/>
  <c r="Z416" i="59"/>
  <c r="Z421" i="59"/>
  <c r="Z426" i="59"/>
  <c r="AN405" i="59"/>
  <c r="AN410" i="59"/>
  <c r="AN415" i="59"/>
  <c r="AN420" i="59"/>
  <c r="AN425" i="59"/>
  <c r="AN406" i="59"/>
  <c r="AN411" i="59"/>
  <c r="AN416" i="59"/>
  <c r="AN421" i="59"/>
  <c r="AN426" i="59"/>
  <c r="N397" i="59"/>
  <c r="N399" i="59"/>
  <c r="Q397" i="59"/>
  <c r="Q399" i="59"/>
  <c r="Z397" i="59"/>
  <c r="Z399" i="59"/>
  <c r="AN397" i="59"/>
  <c r="AN399" i="59"/>
  <c r="AO397" i="59"/>
  <c r="AP397" i="59" s="1"/>
  <c r="AO399" i="59"/>
  <c r="AP399" i="59" s="1"/>
  <c r="N396" i="59"/>
  <c r="N398" i="59"/>
  <c r="Q396" i="59"/>
  <c r="Q398" i="59"/>
  <c r="Z396" i="59"/>
  <c r="Z398" i="59"/>
  <c r="AN396" i="59"/>
  <c r="AN398" i="59"/>
  <c r="AO396" i="59"/>
  <c r="AP396" i="59" s="1"/>
  <c r="AO398" i="59"/>
  <c r="AP398" i="59" s="1"/>
  <c r="N380" i="59"/>
  <c r="N393" i="59"/>
  <c r="Q380" i="59"/>
  <c r="Q393" i="59"/>
  <c r="Z380" i="59"/>
  <c r="Z393" i="59"/>
  <c r="AN380" i="59"/>
  <c r="AN393" i="59"/>
  <c r="N378" i="59"/>
  <c r="N391" i="59"/>
  <c r="N379" i="59"/>
  <c r="N392" i="59"/>
  <c r="Q378" i="59"/>
  <c r="Q391" i="59"/>
  <c r="Q379" i="59"/>
  <c r="Q392" i="59"/>
  <c r="Z378" i="59"/>
  <c r="Z391" i="59"/>
  <c r="Z379" i="59"/>
  <c r="Z392" i="59"/>
  <c r="AN378" i="59"/>
  <c r="AN391" i="59"/>
  <c r="AN379" i="59"/>
  <c r="AN392" i="59"/>
  <c r="N377" i="59"/>
  <c r="N390" i="59"/>
  <c r="Q377" i="59"/>
  <c r="Q390" i="59"/>
  <c r="Z377" i="59"/>
  <c r="Z390" i="59"/>
  <c r="AN377" i="59"/>
  <c r="AN390" i="59"/>
  <c r="N376" i="59"/>
  <c r="N389" i="59"/>
  <c r="Q376" i="59"/>
  <c r="Q389" i="59"/>
  <c r="Z376" i="59"/>
  <c r="Z389" i="59"/>
  <c r="AN376" i="59"/>
  <c r="AN389" i="59"/>
  <c r="N375" i="59"/>
  <c r="N388" i="59"/>
  <c r="Q375" i="59"/>
  <c r="Q388" i="59"/>
  <c r="Z375" i="59"/>
  <c r="Z388" i="59"/>
  <c r="AN375" i="59"/>
  <c r="AN388" i="59"/>
  <c r="N374" i="59"/>
  <c r="N387" i="59"/>
  <c r="Q374" i="59"/>
  <c r="Q387" i="59"/>
  <c r="Z374" i="59"/>
  <c r="Z387" i="59"/>
  <c r="AN374" i="59"/>
  <c r="AN387" i="59"/>
  <c r="N373" i="59"/>
  <c r="N386" i="59"/>
  <c r="Q373" i="59"/>
  <c r="Q386" i="59"/>
  <c r="Z373" i="59"/>
  <c r="Z386" i="59"/>
  <c r="AN373" i="59"/>
  <c r="AN386" i="59"/>
  <c r="N372" i="59"/>
  <c r="N385" i="59"/>
  <c r="Q372" i="59"/>
  <c r="Q385" i="59"/>
  <c r="Z372" i="59"/>
  <c r="Z385" i="59"/>
  <c r="AN372" i="59"/>
  <c r="AN385" i="59"/>
  <c r="N371" i="59"/>
  <c r="N384" i="59"/>
  <c r="Q371" i="59"/>
  <c r="Q384" i="59"/>
  <c r="Z371" i="59"/>
  <c r="Z384" i="59"/>
  <c r="AN371" i="59"/>
  <c r="AN384" i="59"/>
  <c r="N370" i="59"/>
  <c r="N383" i="59"/>
  <c r="Q370" i="59"/>
  <c r="Q383" i="59"/>
  <c r="Z370" i="59"/>
  <c r="Z383" i="59"/>
  <c r="AN370" i="59"/>
  <c r="AN383" i="59"/>
  <c r="N369" i="59"/>
  <c r="N382" i="59"/>
  <c r="Q369" i="59"/>
  <c r="Q382" i="59"/>
  <c r="Z369" i="59"/>
  <c r="Z382" i="59"/>
  <c r="AN369" i="59"/>
  <c r="AN382" i="59"/>
  <c r="N368" i="59"/>
  <c r="N381" i="59"/>
  <c r="Q368" i="59"/>
  <c r="Q381" i="59"/>
  <c r="Z368" i="59"/>
  <c r="Z381" i="59"/>
  <c r="AN368" i="59"/>
  <c r="AN381" i="59"/>
  <c r="N351" i="59"/>
  <c r="N352" i="59"/>
  <c r="N353" i="59"/>
  <c r="Q351" i="59"/>
  <c r="Q352" i="59"/>
  <c r="Q353" i="59"/>
  <c r="Z351" i="59"/>
  <c r="Z352" i="59"/>
  <c r="Z353" i="59"/>
  <c r="AN351" i="59"/>
  <c r="AN352" i="59"/>
  <c r="AN353" i="59"/>
  <c r="AO351" i="59"/>
  <c r="AP351" i="59" s="1"/>
  <c r="AO352" i="59"/>
  <c r="AP352" i="59" s="1"/>
  <c r="AO353" i="59"/>
  <c r="AP353" i="59" s="1"/>
  <c r="N346" i="59"/>
  <c r="N347" i="59"/>
  <c r="N348" i="59"/>
  <c r="N349" i="59"/>
  <c r="Q346" i="59"/>
  <c r="Q347" i="59"/>
  <c r="Q348" i="59"/>
  <c r="Q349" i="59"/>
  <c r="Z346" i="59"/>
  <c r="Z347" i="59"/>
  <c r="Z348" i="59"/>
  <c r="Z349" i="59"/>
  <c r="AN346" i="59"/>
  <c r="AN347" i="59"/>
  <c r="AN348" i="59"/>
  <c r="AN349" i="59"/>
  <c r="AO346" i="59"/>
  <c r="AP346" i="59" s="1"/>
  <c r="AO347" i="59"/>
  <c r="AP347" i="59" s="1"/>
  <c r="AO348" i="59"/>
  <c r="AP348" i="59" s="1"/>
  <c r="AO349" i="59"/>
  <c r="AP349" i="59" s="1"/>
  <c r="N344" i="59"/>
  <c r="Q344" i="59"/>
  <c r="Z344" i="59"/>
  <c r="AN344" i="59"/>
  <c r="AO344" i="59"/>
  <c r="AP344" i="59" s="1"/>
  <c r="N340" i="59"/>
  <c r="N341" i="59"/>
  <c r="N342" i="59"/>
  <c r="Q340" i="59"/>
  <c r="Q341" i="59"/>
  <c r="Q342" i="59"/>
  <c r="Z340" i="59"/>
  <c r="Z341" i="59"/>
  <c r="Z342" i="59"/>
  <c r="AN340" i="59"/>
  <c r="AN341" i="59"/>
  <c r="AN342" i="59"/>
  <c r="AO340" i="59"/>
  <c r="AP340" i="59" s="1"/>
  <c r="AO341" i="59"/>
  <c r="AP341" i="59" s="1"/>
  <c r="AO342" i="59"/>
  <c r="AP342" i="59" s="1"/>
  <c r="N338" i="59"/>
  <c r="Q338" i="59"/>
  <c r="Z338" i="59"/>
  <c r="AN338" i="59"/>
  <c r="AO338" i="59"/>
  <c r="AP338" i="59" s="1"/>
  <c r="N334" i="59"/>
  <c r="N335" i="59"/>
  <c r="N336" i="59"/>
  <c r="Q334" i="59"/>
  <c r="Q335" i="59"/>
  <c r="Q336" i="59"/>
  <c r="Z334" i="59"/>
  <c r="Z335" i="59"/>
  <c r="Z336" i="59"/>
  <c r="AN334" i="59"/>
  <c r="AN335" i="59"/>
  <c r="AN336" i="59"/>
  <c r="AO334" i="59"/>
  <c r="AP334" i="59" s="1"/>
  <c r="AO335" i="59"/>
  <c r="AP335" i="59" s="1"/>
  <c r="AO336" i="59"/>
  <c r="AP336" i="59" s="1"/>
  <c r="N325" i="59"/>
  <c r="N326" i="59"/>
  <c r="N327" i="59"/>
  <c r="N328" i="59"/>
  <c r="N329" i="59"/>
  <c r="N331" i="59"/>
  <c r="N332" i="59"/>
  <c r="Q325" i="59"/>
  <c r="Q326" i="59"/>
  <c r="Q327" i="59"/>
  <c r="Q328" i="59"/>
  <c r="Q329" i="59"/>
  <c r="Q331" i="59"/>
  <c r="Q332" i="59"/>
  <c r="Z325" i="59"/>
  <c r="Z326" i="59"/>
  <c r="Z327" i="59"/>
  <c r="Z328" i="59"/>
  <c r="Z329" i="59"/>
  <c r="Z331" i="59"/>
  <c r="Z332" i="59"/>
  <c r="AN325" i="59"/>
  <c r="AN326" i="59"/>
  <c r="AN327" i="59"/>
  <c r="AN328" i="59"/>
  <c r="AN329" i="59"/>
  <c r="AN331" i="59"/>
  <c r="AN332" i="59"/>
  <c r="AO325" i="59"/>
  <c r="AP325" i="59" s="1"/>
  <c r="AO326" i="59"/>
  <c r="AP326" i="59" s="1"/>
  <c r="AO327" i="59"/>
  <c r="AP327" i="59" s="1"/>
  <c r="AO328" i="59"/>
  <c r="AP328" i="59" s="1"/>
  <c r="AO329" i="59"/>
  <c r="AP329" i="59" s="1"/>
  <c r="AO331" i="59"/>
  <c r="AP331" i="59" s="1"/>
  <c r="AO332" i="59"/>
  <c r="AP332" i="59" s="1"/>
  <c r="N320" i="59"/>
  <c r="N321" i="59"/>
  <c r="N322" i="59"/>
  <c r="N323" i="59"/>
  <c r="Q320" i="59"/>
  <c r="Q321" i="59"/>
  <c r="Q322" i="59"/>
  <c r="Q323" i="59"/>
  <c r="Z320" i="59"/>
  <c r="Z321" i="59"/>
  <c r="Z322" i="59"/>
  <c r="Z323" i="59"/>
  <c r="AN320" i="59"/>
  <c r="AN321" i="59"/>
  <c r="AN322" i="59"/>
  <c r="AN323" i="59"/>
  <c r="AO320" i="59"/>
  <c r="AP320" i="59" s="1"/>
  <c r="AO321" i="59"/>
  <c r="AP321" i="59" s="1"/>
  <c r="AO322" i="59"/>
  <c r="AP322" i="59" s="1"/>
  <c r="AO323" i="59"/>
  <c r="AP323" i="59" s="1"/>
  <c r="N315" i="59"/>
  <c r="N316" i="59"/>
  <c r="N317" i="59"/>
  <c r="N318" i="59"/>
  <c r="Q315" i="59"/>
  <c r="Q316" i="59"/>
  <c r="Q317" i="59"/>
  <c r="Q318" i="59"/>
  <c r="Z315" i="59"/>
  <c r="Z316" i="59"/>
  <c r="Z317" i="59"/>
  <c r="Z318" i="59"/>
  <c r="AN315" i="59"/>
  <c r="AN316" i="59"/>
  <c r="AN317" i="59"/>
  <c r="AN318" i="59"/>
  <c r="AO315" i="59"/>
  <c r="AP315" i="59" s="1"/>
  <c r="AO316" i="59"/>
  <c r="AP316" i="59" s="1"/>
  <c r="AO317" i="59"/>
  <c r="AP317" i="59" s="1"/>
  <c r="AO318" i="59"/>
  <c r="AP318" i="59" s="1"/>
  <c r="N312" i="59"/>
  <c r="N313" i="59"/>
  <c r="Q312" i="59"/>
  <c r="Q313" i="59"/>
  <c r="Z312" i="59"/>
  <c r="Z313" i="59"/>
  <c r="AN312" i="59"/>
  <c r="AN313" i="59"/>
  <c r="AO312" i="59"/>
  <c r="AP312" i="59" s="1"/>
  <c r="AO313" i="59"/>
  <c r="AP313" i="59" s="1"/>
  <c r="N308" i="59"/>
  <c r="N309" i="59"/>
  <c r="N310" i="59"/>
  <c r="Q308" i="59"/>
  <c r="Q309" i="59"/>
  <c r="Q310" i="59"/>
  <c r="Z308" i="59"/>
  <c r="Z309" i="59"/>
  <c r="Z310" i="59"/>
  <c r="AN308" i="59"/>
  <c r="AN309" i="59"/>
  <c r="AN310" i="59"/>
  <c r="AO308" i="59"/>
  <c r="AP308" i="59" s="1"/>
  <c r="AO309" i="59"/>
  <c r="AP309" i="59" s="1"/>
  <c r="AO310" i="59"/>
  <c r="AP310" i="59" s="1"/>
  <c r="N300" i="59"/>
  <c r="N302" i="59"/>
  <c r="N304" i="59"/>
  <c r="N306" i="59"/>
  <c r="Q300" i="59"/>
  <c r="Q302" i="59"/>
  <c r="Q304" i="59"/>
  <c r="Q306" i="59"/>
  <c r="Z300" i="59"/>
  <c r="Z302" i="59"/>
  <c r="Z304" i="59"/>
  <c r="Z306" i="59"/>
  <c r="AN300" i="59"/>
  <c r="AN302" i="59"/>
  <c r="AN304" i="59"/>
  <c r="AN306" i="59"/>
  <c r="AO300" i="59"/>
  <c r="AP300" i="59" s="1"/>
  <c r="AO302" i="59"/>
  <c r="AP302" i="59" s="1"/>
  <c r="AO304" i="59"/>
  <c r="AP304" i="59" s="1"/>
  <c r="AO306" i="59"/>
  <c r="AP306" i="59" s="1"/>
  <c r="N299" i="59"/>
  <c r="N301" i="59"/>
  <c r="N303" i="59"/>
  <c r="N305" i="59"/>
  <c r="Q299" i="59"/>
  <c r="Q301" i="59"/>
  <c r="Q303" i="59"/>
  <c r="Q305" i="59"/>
  <c r="Z299" i="59"/>
  <c r="Z301" i="59"/>
  <c r="Z303" i="59"/>
  <c r="Z305" i="59"/>
  <c r="AN299" i="59"/>
  <c r="AN301" i="59"/>
  <c r="AN303" i="59"/>
  <c r="AN305" i="59"/>
  <c r="AO299" i="59"/>
  <c r="AP299" i="59" s="1"/>
  <c r="AO301" i="59"/>
  <c r="AP301" i="59" s="1"/>
  <c r="AO303" i="59"/>
  <c r="AP303" i="59" s="1"/>
  <c r="AO305" i="59"/>
  <c r="AP305" i="59" s="1"/>
  <c r="N290" i="59"/>
  <c r="N292" i="59"/>
  <c r="N294" i="59"/>
  <c r="N296" i="59"/>
  <c r="Q290" i="59"/>
  <c r="Q292" i="59"/>
  <c r="Q294" i="59"/>
  <c r="Q296" i="59"/>
  <c r="Z290" i="59"/>
  <c r="Z292" i="59"/>
  <c r="Z294" i="59"/>
  <c r="Z296" i="59"/>
  <c r="AN290" i="59"/>
  <c r="AN292" i="59"/>
  <c r="AN294" i="59"/>
  <c r="AN296" i="59"/>
  <c r="AO290" i="59"/>
  <c r="AP290" i="59" s="1"/>
  <c r="AO292" i="59"/>
  <c r="AP292" i="59" s="1"/>
  <c r="AO294" i="59"/>
  <c r="AP294" i="59" s="1"/>
  <c r="AO296" i="59"/>
  <c r="AP296" i="59" s="1"/>
  <c r="N289" i="59"/>
  <c r="N291" i="59"/>
  <c r="N293" i="59"/>
  <c r="N295" i="59"/>
  <c r="Q289" i="59"/>
  <c r="Q291" i="59"/>
  <c r="Q293" i="59"/>
  <c r="Q295" i="59"/>
  <c r="Z289" i="59"/>
  <c r="Z291" i="59"/>
  <c r="Z293" i="59"/>
  <c r="Z295" i="59"/>
  <c r="AN289" i="59"/>
  <c r="AN291" i="59"/>
  <c r="AN293" i="59"/>
  <c r="AN295" i="59"/>
  <c r="AO289" i="59"/>
  <c r="AP289" i="59" s="1"/>
  <c r="AO291" i="59"/>
  <c r="AP291" i="59" s="1"/>
  <c r="AO293" i="59"/>
  <c r="AP293" i="59" s="1"/>
  <c r="AO295" i="59"/>
  <c r="AP295" i="59" s="1"/>
  <c r="N284" i="59"/>
  <c r="N285" i="59"/>
  <c r="N286" i="59"/>
  <c r="Q284" i="59"/>
  <c r="Q285" i="59"/>
  <c r="Q286" i="59"/>
  <c r="Z284" i="59"/>
  <c r="Z285" i="59"/>
  <c r="Z286" i="59"/>
  <c r="AN284" i="59"/>
  <c r="AN285" i="59"/>
  <c r="AN286" i="59"/>
  <c r="AO284" i="59"/>
  <c r="AP284" i="59" s="1"/>
  <c r="AO285" i="59"/>
  <c r="AP285" i="59" s="1"/>
  <c r="AO286" i="59"/>
  <c r="AP286" i="59" s="1"/>
  <c r="N275" i="59"/>
  <c r="N277" i="59"/>
  <c r="N279" i="59"/>
  <c r="N281" i="59"/>
  <c r="N282" i="59"/>
  <c r="Q275" i="59"/>
  <c r="Q277" i="59"/>
  <c r="Q279" i="59"/>
  <c r="Q281" i="59"/>
  <c r="Q282" i="59"/>
  <c r="Z275" i="59"/>
  <c r="Z277" i="59"/>
  <c r="Z279" i="59"/>
  <c r="Z281" i="59"/>
  <c r="Z282" i="59"/>
  <c r="AN275" i="59"/>
  <c r="AN277" i="59"/>
  <c r="AN279" i="59"/>
  <c r="AN281" i="59"/>
  <c r="AN282" i="59"/>
  <c r="AO275" i="59"/>
  <c r="AP275" i="59" s="1"/>
  <c r="AO277" i="59"/>
  <c r="AP277" i="59" s="1"/>
  <c r="AO279" i="59"/>
  <c r="AP279" i="59" s="1"/>
  <c r="AO281" i="59"/>
  <c r="AP281" i="59" s="1"/>
  <c r="AO282" i="59"/>
  <c r="AP282" i="59" s="1"/>
  <c r="N274" i="59"/>
  <c r="N276" i="59"/>
  <c r="N278" i="59"/>
  <c r="Q274" i="59"/>
  <c r="Q276" i="59"/>
  <c r="Q278" i="59"/>
  <c r="Z274" i="59"/>
  <c r="Z276" i="59"/>
  <c r="Z278" i="59"/>
  <c r="AN274" i="59"/>
  <c r="AN276" i="59"/>
  <c r="AN278" i="59"/>
  <c r="AO274" i="59"/>
  <c r="AP274" i="59" s="1"/>
  <c r="AO276" i="59"/>
  <c r="AP276" i="59" s="1"/>
  <c r="AO278" i="59"/>
  <c r="AP278" i="59" s="1"/>
  <c r="N262" i="59"/>
  <c r="N265" i="59"/>
  <c r="N268" i="59"/>
  <c r="N271" i="59"/>
  <c r="Q262" i="59"/>
  <c r="Q265" i="59"/>
  <c r="Q268" i="59"/>
  <c r="Q271" i="59"/>
  <c r="Z262" i="59"/>
  <c r="Z265" i="59"/>
  <c r="Z268" i="59"/>
  <c r="Z271" i="59"/>
  <c r="AN262" i="59"/>
  <c r="AN265" i="59"/>
  <c r="AN268" i="59"/>
  <c r="AN271" i="59"/>
  <c r="AO262" i="59"/>
  <c r="AP262" i="59" s="1"/>
  <c r="AO265" i="59"/>
  <c r="AP265" i="59" s="1"/>
  <c r="AO268" i="59"/>
  <c r="AP268" i="59" s="1"/>
  <c r="AO271" i="59"/>
  <c r="AP271" i="59" s="1"/>
  <c r="N261" i="59"/>
  <c r="N264" i="59"/>
  <c r="N267" i="59"/>
  <c r="N270" i="59"/>
  <c r="Q261" i="59"/>
  <c r="Q264" i="59"/>
  <c r="Q267" i="59"/>
  <c r="Q270" i="59"/>
  <c r="Z261" i="59"/>
  <c r="Z264" i="59"/>
  <c r="Z267" i="59"/>
  <c r="Z270" i="59"/>
  <c r="AN261" i="59"/>
  <c r="AN264" i="59"/>
  <c r="AN267" i="59"/>
  <c r="AN270" i="59"/>
  <c r="AO261" i="59"/>
  <c r="AP261" i="59" s="1"/>
  <c r="AO264" i="59"/>
  <c r="AP264" i="59" s="1"/>
  <c r="AO267" i="59"/>
  <c r="AP267" i="59" s="1"/>
  <c r="AO270" i="59"/>
  <c r="AP270" i="59" s="1"/>
  <c r="N260" i="59"/>
  <c r="N263" i="59"/>
  <c r="N266" i="59"/>
  <c r="N269" i="59"/>
  <c r="Q260" i="59"/>
  <c r="Q263" i="59"/>
  <c r="Q266" i="59"/>
  <c r="Q269" i="59"/>
  <c r="Z260" i="59"/>
  <c r="Z263" i="59"/>
  <c r="Z266" i="59"/>
  <c r="Z269" i="59"/>
  <c r="AN260" i="59"/>
  <c r="AN263" i="59"/>
  <c r="AN266" i="59"/>
  <c r="AN269" i="59"/>
  <c r="AO260" i="59"/>
  <c r="AP260" i="59" s="1"/>
  <c r="AO263" i="59"/>
  <c r="AP263" i="59" s="1"/>
  <c r="AO266" i="59"/>
  <c r="AP266" i="59" s="1"/>
  <c r="AO269" i="59"/>
  <c r="AP269" i="59" s="1"/>
  <c r="N255" i="59"/>
  <c r="N256" i="59"/>
  <c r="Q255" i="59"/>
  <c r="Q256" i="59"/>
  <c r="Z255" i="59"/>
  <c r="Z256" i="59"/>
  <c r="AN255" i="59"/>
  <c r="AN256" i="59"/>
  <c r="AO255" i="59"/>
  <c r="AP255" i="59" s="1"/>
  <c r="AO256" i="59"/>
  <c r="AP256" i="59" s="1"/>
  <c r="N249" i="59"/>
  <c r="N250" i="59"/>
  <c r="N251" i="59"/>
  <c r="N252" i="59"/>
  <c r="N253" i="59"/>
  <c r="Q249" i="59"/>
  <c r="Q250" i="59"/>
  <c r="Q251" i="59"/>
  <c r="Q252" i="59"/>
  <c r="Q253" i="59"/>
  <c r="Z249" i="59"/>
  <c r="Z250" i="59"/>
  <c r="Z251" i="59"/>
  <c r="Z252" i="59"/>
  <c r="Z253" i="59"/>
  <c r="AN249" i="59"/>
  <c r="AN250" i="59"/>
  <c r="AN251" i="59"/>
  <c r="AN252" i="59"/>
  <c r="AN253" i="59"/>
  <c r="AO249" i="59"/>
  <c r="AP249" i="59" s="1"/>
  <c r="AO250" i="59"/>
  <c r="AP250" i="59" s="1"/>
  <c r="AO251" i="59"/>
  <c r="AP251" i="59" s="1"/>
  <c r="AO252" i="59"/>
  <c r="AP252" i="59" s="1"/>
  <c r="AO253" i="59"/>
  <c r="AP253" i="59" s="1"/>
  <c r="N239" i="59"/>
  <c r="N241" i="59"/>
  <c r="N243" i="59"/>
  <c r="N245" i="59"/>
  <c r="N247" i="59"/>
  <c r="Q239" i="59"/>
  <c r="Q241" i="59"/>
  <c r="Q243" i="59"/>
  <c r="Q245" i="59"/>
  <c r="Q247" i="59"/>
  <c r="Z239" i="59"/>
  <c r="Z241" i="59"/>
  <c r="Z243" i="59"/>
  <c r="Z245" i="59"/>
  <c r="Z247" i="59"/>
  <c r="AN239" i="59"/>
  <c r="AN241" i="59"/>
  <c r="AN243" i="59"/>
  <c r="AN245" i="59"/>
  <c r="AN247" i="59"/>
  <c r="AO239" i="59"/>
  <c r="AP239" i="59" s="1"/>
  <c r="AO241" i="59"/>
  <c r="AP241" i="59" s="1"/>
  <c r="AO243" i="59"/>
  <c r="AP243" i="59" s="1"/>
  <c r="AO245" i="59"/>
  <c r="AP245" i="59" s="1"/>
  <c r="AO247" i="59"/>
  <c r="AP247" i="59" s="1"/>
  <c r="N238" i="59"/>
  <c r="N240" i="59"/>
  <c r="N242" i="59"/>
  <c r="N244" i="59"/>
  <c r="N246" i="59"/>
  <c r="Q238" i="59"/>
  <c r="Q240" i="59"/>
  <c r="Q242" i="59"/>
  <c r="Q244" i="59"/>
  <c r="Q246" i="59"/>
  <c r="Z238" i="59"/>
  <c r="Z240" i="59"/>
  <c r="Z242" i="59"/>
  <c r="Z244" i="59"/>
  <c r="Z246" i="59"/>
  <c r="AN238" i="59"/>
  <c r="AN240" i="59"/>
  <c r="AN242" i="59"/>
  <c r="AN244" i="59"/>
  <c r="AN246" i="59"/>
  <c r="AO238" i="59"/>
  <c r="AP238" i="59" s="1"/>
  <c r="AO240" i="59"/>
  <c r="AP240" i="59" s="1"/>
  <c r="AO242" i="59"/>
  <c r="AP242" i="59" s="1"/>
  <c r="AO244" i="59"/>
  <c r="AP244" i="59" s="1"/>
  <c r="AO246" i="59"/>
  <c r="AP246" i="59" s="1"/>
  <c r="N230" i="59"/>
  <c r="N231" i="59"/>
  <c r="N232" i="59"/>
  <c r="N234" i="59"/>
  <c r="N235" i="59"/>
  <c r="Q230" i="59"/>
  <c r="Q231" i="59"/>
  <c r="Q232" i="59"/>
  <c r="Q234" i="59"/>
  <c r="Q235" i="59"/>
  <c r="Z230" i="59"/>
  <c r="Z231" i="59"/>
  <c r="Z232" i="59"/>
  <c r="Z234" i="59"/>
  <c r="Z235" i="59"/>
  <c r="AN230" i="59"/>
  <c r="AN231" i="59"/>
  <c r="AN232" i="59"/>
  <c r="AN234" i="59"/>
  <c r="AN235" i="59"/>
  <c r="AO230" i="59"/>
  <c r="AP230" i="59" s="1"/>
  <c r="AO231" i="59"/>
  <c r="AP231" i="59" s="1"/>
  <c r="AO232" i="59"/>
  <c r="AP232" i="59" s="1"/>
  <c r="AO234" i="59"/>
  <c r="AP234" i="59" s="1"/>
  <c r="AO235" i="59"/>
  <c r="AP235" i="59" s="1"/>
  <c r="N225" i="59"/>
  <c r="N228" i="59"/>
  <c r="Q225" i="59"/>
  <c r="Q228" i="59"/>
  <c r="Z225" i="59"/>
  <c r="Z228" i="59"/>
  <c r="AN225" i="59"/>
  <c r="AN228" i="59"/>
  <c r="AO225" i="59"/>
  <c r="AP225" i="59" s="1"/>
  <c r="AO228" i="59"/>
  <c r="AP228" i="59" s="1"/>
  <c r="N224" i="59"/>
  <c r="N227" i="59"/>
  <c r="Q224" i="59"/>
  <c r="Q227" i="59"/>
  <c r="Z224" i="59"/>
  <c r="Z227" i="59"/>
  <c r="AN224" i="59"/>
  <c r="AN227" i="59"/>
  <c r="AO224" i="59"/>
  <c r="AP224" i="59" s="1"/>
  <c r="AO227" i="59"/>
  <c r="AP227" i="59" s="1"/>
  <c r="N223" i="59"/>
  <c r="N226" i="59"/>
  <c r="Q223" i="59"/>
  <c r="Q226" i="59"/>
  <c r="Z223" i="59"/>
  <c r="Z226" i="59"/>
  <c r="AN223" i="59"/>
  <c r="AN226" i="59"/>
  <c r="AO223" i="59"/>
  <c r="AP223" i="59" s="1"/>
  <c r="AO226" i="59"/>
  <c r="AP226" i="59" s="1"/>
  <c r="N215" i="59"/>
  <c r="N217" i="59"/>
  <c r="N219" i="59"/>
  <c r="Q215" i="59"/>
  <c r="Q217" i="59"/>
  <c r="Q219" i="59"/>
  <c r="Z215" i="59"/>
  <c r="Z217" i="59"/>
  <c r="Z219" i="59"/>
  <c r="AN215" i="59"/>
  <c r="AN217" i="59"/>
  <c r="AN219" i="59"/>
  <c r="AO215" i="59"/>
  <c r="AP215" i="59" s="1"/>
  <c r="AO217" i="59"/>
  <c r="AP217" i="59" s="1"/>
  <c r="AO219" i="59"/>
  <c r="AP219" i="59" s="1"/>
  <c r="N214" i="59"/>
  <c r="N216" i="59"/>
  <c r="N218" i="59"/>
  <c r="Q214" i="59"/>
  <c r="Q216" i="59"/>
  <c r="Q218" i="59"/>
  <c r="Z214" i="59"/>
  <c r="Z216" i="59"/>
  <c r="Z218" i="59"/>
  <c r="AN214" i="59"/>
  <c r="AN216" i="59"/>
  <c r="AN218" i="59"/>
  <c r="AO214" i="59"/>
  <c r="AP214" i="59" s="1"/>
  <c r="AO216" i="59"/>
  <c r="AP216" i="59" s="1"/>
  <c r="AO218" i="59"/>
  <c r="AP218" i="59" s="1"/>
  <c r="N209" i="59"/>
  <c r="N210" i="59"/>
  <c r="N211" i="59"/>
  <c r="Q209" i="59"/>
  <c r="Q210" i="59"/>
  <c r="Q211" i="59"/>
  <c r="Z209" i="59"/>
  <c r="Z210" i="59"/>
  <c r="Z211" i="59"/>
  <c r="AN209" i="59"/>
  <c r="AN210" i="59"/>
  <c r="AN211" i="59"/>
  <c r="AO209" i="59"/>
  <c r="AP209" i="59" s="1"/>
  <c r="AO210" i="59"/>
  <c r="AP210" i="59" s="1"/>
  <c r="AO211" i="59"/>
  <c r="AP211" i="59" s="1"/>
  <c r="N205" i="59"/>
  <c r="N206" i="59"/>
  <c r="N207" i="59"/>
  <c r="Q205" i="59"/>
  <c r="Q206" i="59"/>
  <c r="Q207" i="59"/>
  <c r="Z205" i="59"/>
  <c r="Z206" i="59"/>
  <c r="Z207" i="59"/>
  <c r="AN205" i="59"/>
  <c r="AN206" i="59"/>
  <c r="AN207" i="59"/>
  <c r="AO205" i="59"/>
  <c r="AP205" i="59" s="1"/>
  <c r="AO206" i="59"/>
  <c r="AP206" i="59" s="1"/>
  <c r="AO207" i="59"/>
  <c r="AP207" i="59" s="1"/>
  <c r="N198" i="59"/>
  <c r="N199" i="59"/>
  <c r="N200" i="59"/>
  <c r="N201" i="59"/>
  <c r="N202" i="59"/>
  <c r="N203" i="59"/>
  <c r="Q198" i="59"/>
  <c r="Q199" i="59"/>
  <c r="Q200" i="59"/>
  <c r="Q201" i="59"/>
  <c r="Q202" i="59"/>
  <c r="Q203" i="59"/>
  <c r="Z198" i="59"/>
  <c r="Z199" i="59"/>
  <c r="Z200" i="59"/>
  <c r="Z201" i="59"/>
  <c r="Z202" i="59"/>
  <c r="Z203" i="59"/>
  <c r="AN198" i="59"/>
  <c r="AN199" i="59"/>
  <c r="AN200" i="59"/>
  <c r="AN201" i="59"/>
  <c r="AN202" i="59"/>
  <c r="AN203" i="59"/>
  <c r="AO198" i="59"/>
  <c r="AP198" i="59" s="1"/>
  <c r="AO199" i="59"/>
  <c r="AP199" i="59" s="1"/>
  <c r="AO200" i="59"/>
  <c r="AP200" i="59" s="1"/>
  <c r="AO201" i="59"/>
  <c r="AP201" i="59" s="1"/>
  <c r="AO202" i="59"/>
  <c r="AP202" i="59" s="1"/>
  <c r="AO203" i="59"/>
  <c r="AP203" i="59" s="1"/>
  <c r="N191" i="59"/>
  <c r="N192" i="59"/>
  <c r="N193" i="59"/>
  <c r="N194" i="59"/>
  <c r="Q191" i="59"/>
  <c r="Q192" i="59"/>
  <c r="Q193" i="59"/>
  <c r="Q194" i="59"/>
  <c r="Z191" i="59"/>
  <c r="Z192" i="59"/>
  <c r="Z193" i="59"/>
  <c r="Z194" i="59"/>
  <c r="AN191" i="59"/>
  <c r="AN192" i="59"/>
  <c r="AN193" i="59"/>
  <c r="AN194" i="59"/>
  <c r="AO191" i="59"/>
  <c r="AP191" i="59" s="1"/>
  <c r="AO192" i="59"/>
  <c r="AP192" i="59" s="1"/>
  <c r="AO193" i="59"/>
  <c r="AP193" i="59" s="1"/>
  <c r="AO194" i="59"/>
  <c r="AP194" i="59" s="1"/>
  <c r="N188" i="59"/>
  <c r="N189" i="59"/>
  <c r="Q188" i="59"/>
  <c r="Q189" i="59"/>
  <c r="Z188" i="59"/>
  <c r="Z189" i="59"/>
  <c r="AN188" i="59"/>
  <c r="AN189" i="59"/>
  <c r="AO188" i="59"/>
  <c r="AP188" i="59" s="1"/>
  <c r="AO189" i="59"/>
  <c r="AP189" i="59" s="1"/>
  <c r="N182" i="59"/>
  <c r="N183" i="59"/>
  <c r="N184" i="59"/>
  <c r="N185" i="59"/>
  <c r="N186" i="59"/>
  <c r="Q182" i="59"/>
  <c r="Q183" i="59"/>
  <c r="Q184" i="59"/>
  <c r="Q185" i="59"/>
  <c r="Q186" i="59"/>
  <c r="Z182" i="59"/>
  <c r="Z183" i="59"/>
  <c r="Z184" i="59"/>
  <c r="Z185" i="59"/>
  <c r="Z186" i="59"/>
  <c r="AN182" i="59"/>
  <c r="AN183" i="59"/>
  <c r="AN184" i="59"/>
  <c r="AN185" i="59"/>
  <c r="AN186" i="59"/>
  <c r="AO182" i="59"/>
  <c r="AP182" i="59" s="1"/>
  <c r="AO183" i="59"/>
  <c r="AP183" i="59" s="1"/>
  <c r="AO184" i="59"/>
  <c r="AP184" i="59" s="1"/>
  <c r="AO185" i="59"/>
  <c r="AP185" i="59" s="1"/>
  <c r="AO186" i="59"/>
  <c r="AP186" i="59" s="1"/>
  <c r="N178" i="59"/>
  <c r="N179" i="59"/>
  <c r="N180" i="59"/>
  <c r="Q178" i="59"/>
  <c r="Q179" i="59"/>
  <c r="Q180" i="59"/>
  <c r="Z178" i="59"/>
  <c r="Z179" i="59"/>
  <c r="Z180" i="59"/>
  <c r="AN178" i="59"/>
  <c r="AN179" i="59"/>
  <c r="AN180" i="59"/>
  <c r="AO178" i="59"/>
  <c r="AP178" i="59" s="1"/>
  <c r="AO179" i="59"/>
  <c r="AP179" i="59" s="1"/>
  <c r="AO180" i="59"/>
  <c r="AP180" i="59" s="1"/>
  <c r="N174" i="59"/>
  <c r="N175" i="59"/>
  <c r="N176" i="59"/>
  <c r="Q174" i="59"/>
  <c r="Q175" i="59"/>
  <c r="Q176" i="59"/>
  <c r="Z174" i="59"/>
  <c r="Z175" i="59"/>
  <c r="Z176" i="59"/>
  <c r="AN174" i="59"/>
  <c r="AN175" i="59"/>
  <c r="AN176" i="59"/>
  <c r="AO174" i="59"/>
  <c r="AP174" i="59" s="1"/>
  <c r="AO175" i="59"/>
  <c r="AP175" i="59" s="1"/>
  <c r="AO176" i="59"/>
  <c r="AP176" i="59" s="1"/>
  <c r="N170" i="59"/>
  <c r="N171" i="59"/>
  <c r="N172" i="59"/>
  <c r="Q170" i="59"/>
  <c r="Q171" i="59"/>
  <c r="Q172" i="59"/>
  <c r="Z170" i="59"/>
  <c r="Z171" i="59"/>
  <c r="Z172" i="59"/>
  <c r="AN170" i="59"/>
  <c r="AN171" i="59"/>
  <c r="AN172" i="59"/>
  <c r="AO170" i="59"/>
  <c r="AP170" i="59" s="1"/>
  <c r="AO171" i="59"/>
  <c r="AP171" i="59" s="1"/>
  <c r="AO172" i="59"/>
  <c r="AP172" i="59" s="1"/>
  <c r="N167" i="59"/>
  <c r="N168" i="59"/>
  <c r="Q167" i="59"/>
  <c r="Q168" i="59"/>
  <c r="Z167" i="59"/>
  <c r="Z168" i="59"/>
  <c r="AN167" i="59"/>
  <c r="AN168" i="59"/>
  <c r="AO167" i="59"/>
  <c r="AP167" i="59" s="1"/>
  <c r="AO168" i="59"/>
  <c r="AP168" i="59" s="1"/>
  <c r="N161" i="59"/>
  <c r="N163" i="59"/>
  <c r="N165" i="59"/>
  <c r="Q161" i="59"/>
  <c r="Q163" i="59"/>
  <c r="Q165" i="59"/>
  <c r="Z161" i="59"/>
  <c r="Z163" i="59"/>
  <c r="Z165" i="59"/>
  <c r="AN161" i="59"/>
  <c r="AN163" i="59"/>
  <c r="AN165" i="59"/>
  <c r="AO161" i="59"/>
  <c r="AP161" i="59" s="1"/>
  <c r="AO163" i="59"/>
  <c r="AP163" i="59" s="1"/>
  <c r="AO165" i="59"/>
  <c r="AP165" i="59" s="1"/>
  <c r="N160" i="59"/>
  <c r="N162" i="59"/>
  <c r="N164" i="59"/>
  <c r="Q160" i="59"/>
  <c r="Q162" i="59"/>
  <c r="Q164" i="59"/>
  <c r="Z160" i="59"/>
  <c r="Z162" i="59"/>
  <c r="Z164" i="59"/>
  <c r="AN160" i="59"/>
  <c r="AN162" i="59"/>
  <c r="AN164" i="59"/>
  <c r="AO160" i="59"/>
  <c r="AP160" i="59" s="1"/>
  <c r="AO162" i="59"/>
  <c r="AP162" i="59" s="1"/>
  <c r="AO164" i="59"/>
  <c r="AP164" i="59" s="1"/>
  <c r="N155" i="59"/>
  <c r="N156" i="59"/>
  <c r="N157" i="59"/>
  <c r="Q155" i="59"/>
  <c r="Q156" i="59"/>
  <c r="Q157" i="59"/>
  <c r="Z155" i="59"/>
  <c r="Z156" i="59"/>
  <c r="Z157" i="59"/>
  <c r="AN155" i="59"/>
  <c r="AN156" i="59"/>
  <c r="AN157" i="59"/>
  <c r="AO155" i="59"/>
  <c r="AP155" i="59" s="1"/>
  <c r="AO156" i="59"/>
  <c r="AP156" i="59" s="1"/>
  <c r="AO157" i="59"/>
  <c r="AP157" i="59" s="1"/>
  <c r="N137" i="59"/>
  <c r="N145" i="59"/>
  <c r="N153" i="59"/>
  <c r="Q137" i="59"/>
  <c r="Q145" i="59"/>
  <c r="Q153" i="59"/>
  <c r="Z137" i="59"/>
  <c r="Z145" i="59"/>
  <c r="Z153" i="59"/>
  <c r="AN137" i="59"/>
  <c r="AN145" i="59"/>
  <c r="AN153" i="59"/>
  <c r="AO137" i="59"/>
  <c r="AP137" i="59" s="1"/>
  <c r="AO145" i="59"/>
  <c r="AP145" i="59" s="1"/>
  <c r="AO153" i="59"/>
  <c r="AP153" i="59" s="1"/>
  <c r="N135" i="59"/>
  <c r="N143" i="59"/>
  <c r="N151" i="59"/>
  <c r="N136" i="59"/>
  <c r="N144" i="59"/>
  <c r="N152" i="59"/>
  <c r="Q135" i="59"/>
  <c r="Q143" i="59"/>
  <c r="Q151" i="59"/>
  <c r="Q136" i="59"/>
  <c r="Q144" i="59"/>
  <c r="Q152" i="59"/>
  <c r="Z135" i="59"/>
  <c r="Z143" i="59"/>
  <c r="Z151" i="59"/>
  <c r="Z136" i="59"/>
  <c r="Z144" i="59"/>
  <c r="Z152" i="59"/>
  <c r="AN135" i="59"/>
  <c r="AN143" i="59"/>
  <c r="AN151" i="59"/>
  <c r="AN136" i="59"/>
  <c r="AN144" i="59"/>
  <c r="AN152" i="59"/>
  <c r="AO135" i="59"/>
  <c r="AP135" i="59" s="1"/>
  <c r="AO143" i="59"/>
  <c r="AP143" i="59" s="1"/>
  <c r="AO151" i="59"/>
  <c r="AP151" i="59" s="1"/>
  <c r="AO136" i="59"/>
  <c r="AP136" i="59" s="1"/>
  <c r="AO144" i="59"/>
  <c r="AP144" i="59" s="1"/>
  <c r="AO152" i="59"/>
  <c r="AP152" i="59" s="1"/>
  <c r="N134" i="59"/>
  <c r="N142" i="59"/>
  <c r="N150" i="59"/>
  <c r="Q134" i="59"/>
  <c r="Q142" i="59"/>
  <c r="Q150" i="59"/>
  <c r="Z134" i="59"/>
  <c r="Z142" i="59"/>
  <c r="Z150" i="59"/>
  <c r="AN134" i="59"/>
  <c r="AN142" i="59"/>
  <c r="AN150" i="59"/>
  <c r="AO134" i="59"/>
  <c r="AP134" i="59" s="1"/>
  <c r="AO142" i="59"/>
  <c r="AP142" i="59" s="1"/>
  <c r="AO150" i="59"/>
  <c r="AP150" i="59" s="1"/>
  <c r="N133" i="59"/>
  <c r="N141" i="59"/>
  <c r="N149" i="59"/>
  <c r="Q133" i="59"/>
  <c r="Q141" i="59"/>
  <c r="Q149" i="59"/>
  <c r="Z133" i="59"/>
  <c r="Z141" i="59"/>
  <c r="Z149" i="59"/>
  <c r="AN133" i="59"/>
  <c r="AN141" i="59"/>
  <c r="AN149" i="59"/>
  <c r="AO133" i="59"/>
  <c r="AP133" i="59" s="1"/>
  <c r="AO141" i="59"/>
  <c r="AP141" i="59" s="1"/>
  <c r="AO149" i="59"/>
  <c r="AP149" i="59" s="1"/>
  <c r="N132" i="59"/>
  <c r="N140" i="59"/>
  <c r="N148" i="59"/>
  <c r="Q132" i="59"/>
  <c r="Q140" i="59"/>
  <c r="Q148" i="59"/>
  <c r="Z132" i="59"/>
  <c r="Z140" i="59"/>
  <c r="Z148" i="59"/>
  <c r="AN132" i="59"/>
  <c r="AN140" i="59"/>
  <c r="AN148" i="59"/>
  <c r="AO132" i="59"/>
  <c r="AP132" i="59" s="1"/>
  <c r="AO140" i="59"/>
  <c r="AP140" i="59" s="1"/>
  <c r="AO148" i="59"/>
  <c r="AP148" i="59" s="1"/>
  <c r="N131" i="59"/>
  <c r="N139" i="59"/>
  <c r="N147" i="59"/>
  <c r="Q131" i="59"/>
  <c r="Q139" i="59"/>
  <c r="Q147" i="59"/>
  <c r="Z131" i="59"/>
  <c r="Z139" i="59"/>
  <c r="Z147" i="59"/>
  <c r="AN131" i="59"/>
  <c r="AN139" i="59"/>
  <c r="AN147" i="59"/>
  <c r="AO131" i="59"/>
  <c r="AP131" i="59" s="1"/>
  <c r="AO139" i="59"/>
  <c r="AP139" i="59" s="1"/>
  <c r="AO147" i="59"/>
  <c r="AP147" i="59" s="1"/>
  <c r="N130" i="59"/>
  <c r="N138" i="59"/>
  <c r="N146" i="59"/>
  <c r="Q130" i="59"/>
  <c r="Q138" i="59"/>
  <c r="Q146" i="59"/>
  <c r="Z130" i="59"/>
  <c r="Z138" i="59"/>
  <c r="Z146" i="59"/>
  <c r="AN130" i="59"/>
  <c r="AN138" i="59"/>
  <c r="AN146" i="59"/>
  <c r="AO130" i="59"/>
  <c r="AP130" i="59" s="1"/>
  <c r="AO138" i="59"/>
  <c r="AP138" i="59" s="1"/>
  <c r="AO146" i="59"/>
  <c r="AP146" i="59" s="1"/>
  <c r="N119" i="59"/>
  <c r="N120" i="59"/>
  <c r="N121" i="59"/>
  <c r="Q119" i="59"/>
  <c r="Q120" i="59"/>
  <c r="Q121" i="59"/>
  <c r="Z119" i="59"/>
  <c r="Z120" i="59"/>
  <c r="Z121" i="59"/>
  <c r="AN119" i="59"/>
  <c r="AN120" i="59"/>
  <c r="AN121" i="59"/>
  <c r="AO119" i="59"/>
  <c r="AP119" i="59" s="1"/>
  <c r="AO120" i="59"/>
  <c r="AP120" i="59" s="1"/>
  <c r="AO121" i="59"/>
  <c r="AP121" i="59" s="1"/>
  <c r="N113" i="59"/>
  <c r="N115" i="59"/>
  <c r="N117" i="59"/>
  <c r="Q113" i="59"/>
  <c r="Q115" i="59"/>
  <c r="Q117" i="59"/>
  <c r="Z113" i="59"/>
  <c r="Z115" i="59"/>
  <c r="Z117" i="59"/>
  <c r="AN113" i="59"/>
  <c r="AN115" i="59"/>
  <c r="AN117" i="59"/>
  <c r="AO113" i="59"/>
  <c r="AP113" i="59" s="1"/>
  <c r="AO115" i="59"/>
  <c r="AP115" i="59" s="1"/>
  <c r="AO117" i="59"/>
  <c r="AP117" i="59" s="1"/>
  <c r="N112" i="59"/>
  <c r="N114" i="59"/>
  <c r="N116" i="59"/>
  <c r="Q112" i="59"/>
  <c r="Q114" i="59"/>
  <c r="Q116" i="59"/>
  <c r="Z112" i="59"/>
  <c r="Z114" i="59"/>
  <c r="Z116" i="59"/>
  <c r="AN112" i="59"/>
  <c r="AN114" i="59"/>
  <c r="AN116" i="59"/>
  <c r="AO112" i="59"/>
  <c r="AP112" i="59" s="1"/>
  <c r="AO114" i="59"/>
  <c r="AP114" i="59" s="1"/>
  <c r="AO116" i="59"/>
  <c r="AP116" i="59" s="1"/>
  <c r="N106" i="59"/>
  <c r="N109" i="59"/>
  <c r="Q106" i="59"/>
  <c r="Q109" i="59"/>
  <c r="Z106" i="59"/>
  <c r="Z109" i="59"/>
  <c r="AN106" i="59"/>
  <c r="AN109" i="59"/>
  <c r="N105" i="59"/>
  <c r="N108" i="59"/>
  <c r="Q105" i="59"/>
  <c r="Q108" i="59"/>
  <c r="Z105" i="59"/>
  <c r="Z108" i="59"/>
  <c r="AN105" i="59"/>
  <c r="AN108" i="59"/>
  <c r="N104" i="59"/>
  <c r="N107" i="59"/>
  <c r="Q104" i="59"/>
  <c r="Q107" i="59"/>
  <c r="Z104" i="59"/>
  <c r="Z107" i="59"/>
  <c r="AN104" i="59"/>
  <c r="AN107" i="59"/>
  <c r="N99" i="59"/>
  <c r="N100" i="59"/>
  <c r="Q99" i="59"/>
  <c r="Q100" i="59"/>
  <c r="Z99" i="59"/>
  <c r="Z100" i="59"/>
  <c r="AN99" i="59"/>
  <c r="AN100" i="59"/>
  <c r="AO99" i="59"/>
  <c r="AP99" i="59" s="1"/>
  <c r="AO100" i="59"/>
  <c r="AP100" i="59" s="1"/>
  <c r="N96" i="59"/>
  <c r="N97" i="59"/>
  <c r="Q96" i="59"/>
  <c r="Q97" i="59"/>
  <c r="Z96" i="59"/>
  <c r="Z97" i="59"/>
  <c r="AN96" i="59"/>
  <c r="AN97" i="59"/>
  <c r="AO96" i="59"/>
  <c r="AP96" i="59" s="1"/>
  <c r="AO97" i="59"/>
  <c r="AP97" i="59" s="1"/>
  <c r="N90" i="59"/>
  <c r="N92" i="59"/>
  <c r="N94" i="59"/>
  <c r="Q90" i="59"/>
  <c r="Q92" i="59"/>
  <c r="Q94" i="59"/>
  <c r="Z90" i="59"/>
  <c r="Z92" i="59"/>
  <c r="Z94" i="59"/>
  <c r="AN90" i="59"/>
  <c r="AN92" i="59"/>
  <c r="AN94" i="59"/>
  <c r="AO90" i="59"/>
  <c r="AP90" i="59" s="1"/>
  <c r="AO92" i="59"/>
  <c r="AP92" i="59" s="1"/>
  <c r="AO94" i="59"/>
  <c r="AP94" i="59" s="1"/>
  <c r="N89" i="59"/>
  <c r="N91" i="59"/>
  <c r="N93" i="59"/>
  <c r="Q89" i="59"/>
  <c r="Q91" i="59"/>
  <c r="Q93" i="59"/>
  <c r="Z89" i="59"/>
  <c r="Z91" i="59"/>
  <c r="Z93" i="59"/>
  <c r="AN89" i="59"/>
  <c r="AN91" i="59"/>
  <c r="AN93" i="59"/>
  <c r="AO89" i="59"/>
  <c r="AP89" i="59" s="1"/>
  <c r="AO91" i="59"/>
  <c r="AP91" i="59" s="1"/>
  <c r="AO93" i="59"/>
  <c r="AP93" i="59" s="1"/>
  <c r="N82" i="59"/>
  <c r="N84" i="59"/>
  <c r="N86" i="59"/>
  <c r="Q82" i="59"/>
  <c r="Q84" i="59"/>
  <c r="Q86" i="59"/>
  <c r="Z82" i="59"/>
  <c r="Z84" i="59"/>
  <c r="Z86" i="59"/>
  <c r="AN82" i="59"/>
  <c r="AN84" i="59"/>
  <c r="AN86" i="59"/>
  <c r="AO82" i="59"/>
  <c r="AP82" i="59" s="1"/>
  <c r="AO84" i="59"/>
  <c r="AP84" i="59" s="1"/>
  <c r="AO86" i="59"/>
  <c r="AP86" i="59" s="1"/>
  <c r="N81" i="59"/>
  <c r="N83" i="59"/>
  <c r="N85" i="59"/>
  <c r="Q81" i="59"/>
  <c r="Q83" i="59"/>
  <c r="Q85" i="59"/>
  <c r="Z81" i="59"/>
  <c r="Z83" i="59"/>
  <c r="Z85" i="59"/>
  <c r="AN81" i="59"/>
  <c r="AN83" i="59"/>
  <c r="AN85" i="59"/>
  <c r="AO81" i="59"/>
  <c r="AP81" i="59" s="1"/>
  <c r="AO83" i="59"/>
  <c r="AP83" i="59" s="1"/>
  <c r="AO85" i="59"/>
  <c r="AP85" i="59" s="1"/>
  <c r="N77" i="59"/>
  <c r="N78" i="59"/>
  <c r="Q77" i="59"/>
  <c r="Q78" i="59"/>
  <c r="Z77" i="59"/>
  <c r="Z78" i="59"/>
  <c r="AN77" i="59"/>
  <c r="AN78" i="59"/>
  <c r="AO77" i="59"/>
  <c r="AP77" i="59" s="1"/>
  <c r="AO78" i="59"/>
  <c r="AP78" i="59" s="1"/>
  <c r="N71" i="59"/>
  <c r="N73" i="59"/>
  <c r="N75" i="59"/>
  <c r="Q71" i="59"/>
  <c r="Q73" i="59"/>
  <c r="Q75" i="59"/>
  <c r="Z71" i="59"/>
  <c r="Z73" i="59"/>
  <c r="Z75" i="59"/>
  <c r="AN71" i="59"/>
  <c r="AN73" i="59"/>
  <c r="AN75" i="59"/>
  <c r="AO71" i="59"/>
  <c r="AP71" i="59" s="1"/>
  <c r="AO73" i="59"/>
  <c r="AP73" i="59" s="1"/>
  <c r="AO75" i="59"/>
  <c r="AP75" i="59" s="1"/>
  <c r="N70" i="59"/>
  <c r="N72" i="59"/>
  <c r="N74" i="59"/>
  <c r="Q70" i="59"/>
  <c r="Q72" i="59"/>
  <c r="Q74" i="59"/>
  <c r="Z70" i="59"/>
  <c r="Z72" i="59"/>
  <c r="Z74" i="59"/>
  <c r="AN70" i="59"/>
  <c r="AN72" i="59"/>
  <c r="AN74" i="59"/>
  <c r="AO70" i="59"/>
  <c r="AP70" i="59" s="1"/>
  <c r="AO72" i="59"/>
  <c r="AP72" i="59" s="1"/>
  <c r="AO74" i="59"/>
  <c r="AP74" i="59" s="1"/>
  <c r="N65" i="59"/>
  <c r="N66" i="59"/>
  <c r="N67" i="59"/>
  <c r="Q65" i="59"/>
  <c r="Q66" i="59"/>
  <c r="Q67" i="59"/>
  <c r="Z65" i="59"/>
  <c r="Z66" i="59"/>
  <c r="Z67" i="59"/>
  <c r="AN65" i="59"/>
  <c r="AN66" i="59"/>
  <c r="AN67" i="59"/>
  <c r="AO65" i="59"/>
  <c r="AP65" i="59" s="1"/>
  <c r="AO66" i="59"/>
  <c r="AP66" i="59" s="1"/>
  <c r="AO67" i="59"/>
  <c r="AP67" i="59" s="1"/>
  <c r="N47" i="59"/>
  <c r="N50" i="59"/>
  <c r="N53" i="59"/>
  <c r="N56" i="59"/>
  <c r="N59" i="59"/>
  <c r="N62" i="59"/>
  <c r="N48" i="59"/>
  <c r="N51" i="59"/>
  <c r="N54" i="59"/>
  <c r="N57" i="59"/>
  <c r="N60" i="59"/>
  <c r="N63" i="59"/>
  <c r="Q47" i="59"/>
  <c r="Q50" i="59"/>
  <c r="Q53" i="59"/>
  <c r="Q56" i="59"/>
  <c r="Q59" i="59"/>
  <c r="Q62" i="59"/>
  <c r="Q48" i="59"/>
  <c r="Q51" i="59"/>
  <c r="Q54" i="59"/>
  <c r="Q57" i="59"/>
  <c r="Q60" i="59"/>
  <c r="Q63" i="59"/>
  <c r="Z47" i="59"/>
  <c r="Z50" i="59"/>
  <c r="Z53" i="59"/>
  <c r="Z56" i="59"/>
  <c r="Z59" i="59"/>
  <c r="Z62" i="59"/>
  <c r="Z48" i="59"/>
  <c r="Z51" i="59"/>
  <c r="Z54" i="59"/>
  <c r="Z57" i="59"/>
  <c r="Z60" i="59"/>
  <c r="Z63" i="59"/>
  <c r="AN47" i="59"/>
  <c r="AN50" i="59"/>
  <c r="AN53" i="59"/>
  <c r="AN56" i="59"/>
  <c r="AN59" i="59"/>
  <c r="AN62" i="59"/>
  <c r="AN48" i="59"/>
  <c r="AN51" i="59"/>
  <c r="AN54" i="59"/>
  <c r="AN57" i="59"/>
  <c r="AN60" i="59"/>
  <c r="AN63" i="59"/>
  <c r="AO47" i="59"/>
  <c r="AP47" i="59" s="1"/>
  <c r="AO50" i="59"/>
  <c r="AP50" i="59" s="1"/>
  <c r="AO53" i="59"/>
  <c r="AP53" i="59" s="1"/>
  <c r="AO56" i="59"/>
  <c r="AP56" i="59" s="1"/>
  <c r="AO59" i="59"/>
  <c r="AP59" i="59" s="1"/>
  <c r="AO62" i="59"/>
  <c r="AP62" i="59" s="1"/>
  <c r="AO48" i="59"/>
  <c r="AP48" i="59" s="1"/>
  <c r="AO51" i="59"/>
  <c r="AP51" i="59" s="1"/>
  <c r="AO54" i="59"/>
  <c r="AP54" i="59" s="1"/>
  <c r="AO57" i="59"/>
  <c r="AP57" i="59" s="1"/>
  <c r="AO60" i="59"/>
  <c r="AP60" i="59" s="1"/>
  <c r="AO63" i="59"/>
  <c r="AP63" i="59" s="1"/>
  <c r="N46" i="59"/>
  <c r="N49" i="59"/>
  <c r="N52" i="59"/>
  <c r="N55" i="59"/>
  <c r="N58" i="59"/>
  <c r="N61" i="59"/>
  <c r="Q46" i="59"/>
  <c r="Q49" i="59"/>
  <c r="Q52" i="59"/>
  <c r="Q55" i="59"/>
  <c r="Q58" i="59"/>
  <c r="Q61" i="59"/>
  <c r="Z46" i="59"/>
  <c r="Z49" i="59"/>
  <c r="Z52" i="59"/>
  <c r="Z55" i="59"/>
  <c r="Z58" i="59"/>
  <c r="Z61" i="59"/>
  <c r="AN46" i="59"/>
  <c r="AN49" i="59"/>
  <c r="AN52" i="59"/>
  <c r="AN55" i="59"/>
  <c r="AN58" i="59"/>
  <c r="AN61" i="59"/>
  <c r="AO46" i="59"/>
  <c r="AP46" i="59" s="1"/>
  <c r="AO49" i="59"/>
  <c r="AP49" i="59" s="1"/>
  <c r="AO52" i="59"/>
  <c r="AP52" i="59" s="1"/>
  <c r="AO55" i="59"/>
  <c r="AP55" i="59" s="1"/>
  <c r="AO58" i="59"/>
  <c r="AP58" i="59" s="1"/>
  <c r="AO61" i="59"/>
  <c r="AP61" i="59" s="1"/>
  <c r="AN6" i="59"/>
  <c r="AO6" i="59"/>
  <c r="AP6" i="59" s="1"/>
  <c r="AN7" i="59"/>
  <c r="AO7" i="59"/>
  <c r="AP7" i="59" s="1"/>
  <c r="AN8" i="59"/>
  <c r="AO8" i="59"/>
  <c r="AP8" i="59" s="1"/>
  <c r="AN11" i="59"/>
  <c r="AO11" i="59"/>
  <c r="AP11" i="59" s="1"/>
  <c r="AN12" i="59"/>
  <c r="AO12" i="59"/>
  <c r="AP12" i="59" s="1"/>
  <c r="AN13" i="59"/>
  <c r="AO13" i="59"/>
  <c r="AP13" i="59" s="1"/>
  <c r="AN15" i="59"/>
  <c r="AO15" i="59"/>
  <c r="AP15" i="59" s="1"/>
  <c r="AN16" i="59"/>
  <c r="AO16" i="59"/>
  <c r="AP16" i="59" s="1"/>
  <c r="AN17" i="59"/>
  <c r="AO17" i="59"/>
  <c r="AP17" i="59" s="1"/>
  <c r="AN19" i="59"/>
  <c r="AO19" i="59"/>
  <c r="AP19" i="59" s="1"/>
  <c r="AN20" i="59"/>
  <c r="AO20" i="59"/>
  <c r="AP20" i="59" s="1"/>
  <c r="AN21" i="59"/>
  <c r="AO21" i="59"/>
  <c r="AP21" i="59" s="1"/>
  <c r="AN22" i="59"/>
  <c r="AO22" i="59"/>
  <c r="AP22" i="59" s="1"/>
  <c r="Z6" i="59"/>
  <c r="Z7" i="59"/>
  <c r="Z8" i="59"/>
  <c r="Z11" i="59"/>
  <c r="Z12" i="59"/>
  <c r="Z13" i="59"/>
  <c r="Z15" i="59"/>
  <c r="Z16" i="59"/>
  <c r="Z17" i="59"/>
  <c r="Z19" i="59"/>
  <c r="Z20" i="59"/>
  <c r="Z21" i="59"/>
  <c r="Z22" i="59"/>
  <c r="Q6" i="59"/>
  <c r="Q7" i="59"/>
  <c r="Q8" i="59"/>
  <c r="Q11" i="59"/>
  <c r="Q12" i="59"/>
  <c r="Q13" i="59"/>
  <c r="Q15" i="59"/>
  <c r="Q16" i="59"/>
  <c r="Q17" i="59"/>
  <c r="Q19" i="59"/>
  <c r="Q20" i="59"/>
  <c r="Q21" i="59"/>
  <c r="Q22" i="59"/>
  <c r="N6" i="59"/>
  <c r="N7" i="59"/>
  <c r="N8" i="59"/>
  <c r="N11" i="59"/>
  <c r="N12" i="59"/>
  <c r="N13" i="59"/>
  <c r="N15" i="59"/>
  <c r="N16" i="59"/>
  <c r="N17" i="59"/>
  <c r="N19" i="59"/>
  <c r="N20" i="59"/>
  <c r="N21" i="59"/>
  <c r="N22" i="59"/>
  <c r="L6" i="59"/>
  <c r="L7" i="59"/>
  <c r="L8" i="59"/>
  <c r="L11" i="59"/>
  <c r="L12" i="59"/>
  <c r="L13" i="59"/>
  <c r="L15" i="59"/>
  <c r="L16" i="59"/>
  <c r="L17" i="59"/>
  <c r="L19" i="59"/>
  <c r="L20" i="59"/>
  <c r="L21" i="59"/>
  <c r="L22" i="59"/>
  <c r="B6" i="59"/>
  <c r="F6" i="59"/>
  <c r="B7" i="59"/>
  <c r="F7" i="59"/>
  <c r="B8" i="59"/>
  <c r="F8" i="59"/>
  <c r="B11" i="59"/>
  <c r="F11" i="59"/>
  <c r="B12" i="59"/>
  <c r="F12" i="59"/>
  <c r="B13" i="59"/>
  <c r="F13" i="59"/>
  <c r="B15" i="59"/>
  <c r="F15" i="59"/>
  <c r="B16" i="59"/>
  <c r="F16" i="59"/>
  <c r="B17" i="59"/>
  <c r="F17" i="59"/>
  <c r="B19" i="59"/>
  <c r="F19" i="59"/>
  <c r="B20" i="59"/>
  <c r="F20" i="59"/>
  <c r="B21" i="59"/>
  <c r="F21" i="59"/>
  <c r="B22" i="59"/>
  <c r="F22" i="59"/>
  <c r="S159" i="22"/>
  <c r="S158" i="22"/>
  <c r="S7" i="22"/>
  <c r="S2" i="22"/>
  <c r="S6" i="22"/>
  <c r="S5" i="22"/>
  <c r="S4" i="22"/>
  <c r="S12" i="22"/>
  <c r="S9" i="22"/>
  <c r="S10" i="22"/>
  <c r="S11" i="22"/>
  <c r="S139" i="22"/>
  <c r="S100" i="22"/>
  <c r="S101" i="22"/>
  <c r="S18" i="22"/>
  <c r="S17" i="22"/>
  <c r="S16" i="22"/>
  <c r="S15" i="22"/>
  <c r="S14" i="22"/>
  <c r="S25" i="22"/>
  <c r="S23" i="22"/>
  <c r="S22" i="22"/>
  <c r="S21" i="22"/>
  <c r="S20" i="22"/>
  <c r="S27" i="22"/>
  <c r="S111" i="22"/>
  <c r="S119" i="22"/>
  <c r="S31" i="22"/>
  <c r="S28" i="22"/>
  <c r="S30" i="22"/>
  <c r="S29" i="22"/>
  <c r="S112" i="22"/>
  <c r="S35" i="22"/>
  <c r="S33" i="22"/>
  <c r="S36" i="22"/>
  <c r="S40" i="22"/>
  <c r="S38" i="22"/>
  <c r="S37" i="22"/>
  <c r="S46" i="22"/>
  <c r="S42" i="22"/>
  <c r="S43" i="22"/>
  <c r="S45" i="22"/>
  <c r="S44" i="22"/>
  <c r="S48" i="22"/>
  <c r="S50" i="22"/>
  <c r="S54" i="22"/>
  <c r="S57" i="22"/>
  <c r="S56" i="22"/>
  <c r="S55" i="22"/>
  <c r="S59" i="22"/>
  <c r="S58" i="22"/>
  <c r="S61" i="22"/>
  <c r="S60" i="22"/>
  <c r="S65" i="22"/>
  <c r="S66" i="22"/>
  <c r="S64" i="22"/>
  <c r="S63" i="22"/>
  <c r="S70" i="22"/>
  <c r="S69" i="22"/>
  <c r="S68" i="22"/>
  <c r="S72" i="22"/>
  <c r="S74" i="22"/>
  <c r="S77" i="22"/>
  <c r="S76" i="22"/>
  <c r="S75" i="22"/>
  <c r="S81" i="22"/>
  <c r="S80" i="22"/>
  <c r="S84" i="22"/>
  <c r="S83" i="22"/>
  <c r="S82" i="22"/>
  <c r="S85" i="22"/>
  <c r="S88" i="22"/>
  <c r="S87" i="22"/>
  <c r="S86" i="22"/>
  <c r="S93" i="22"/>
  <c r="S91" i="22"/>
  <c r="S90" i="22"/>
  <c r="S98" i="22"/>
  <c r="S97" i="22"/>
  <c r="S96" i="22"/>
  <c r="S95" i="22"/>
  <c r="S104" i="22"/>
  <c r="S103" i="22"/>
  <c r="S105" i="22"/>
  <c r="S106" i="22"/>
  <c r="S110" i="22"/>
  <c r="S109" i="22"/>
  <c r="S108" i="22"/>
  <c r="S113" i="22"/>
  <c r="S71" i="22"/>
  <c r="S24" i="22"/>
  <c r="S92" i="22"/>
  <c r="S116" i="22"/>
  <c r="S115" i="22"/>
  <c r="S122" i="22"/>
  <c r="S121" i="22"/>
  <c r="S123" i="22"/>
  <c r="S127" i="22"/>
  <c r="S126" i="22"/>
  <c r="S125" i="22"/>
  <c r="S130" i="22"/>
  <c r="S132" i="22"/>
  <c r="S131" i="22"/>
  <c r="S138" i="22"/>
  <c r="S135" i="22"/>
  <c r="S134" i="22"/>
  <c r="S133" i="22"/>
  <c r="S99" i="22"/>
  <c r="S137" i="22"/>
  <c r="S117" i="22"/>
  <c r="S145" i="22"/>
  <c r="S143" i="22"/>
  <c r="S142" i="22"/>
  <c r="S141" i="22"/>
  <c r="S146" i="22"/>
  <c r="S148" i="22"/>
  <c r="S147" i="22"/>
  <c r="S151" i="22"/>
  <c r="S150" i="22"/>
  <c r="S154" i="22"/>
  <c r="S153" i="22"/>
  <c r="S157" i="22"/>
  <c r="S156" i="22"/>
  <c r="S161" i="22"/>
  <c r="S160" i="22"/>
  <c r="S163" i="22"/>
  <c r="S164" i="22"/>
  <c r="S166" i="22"/>
  <c r="S168" i="22"/>
  <c r="S170" i="22"/>
  <c r="S172" i="22"/>
  <c r="S173" i="22"/>
  <c r="S175" i="22"/>
  <c r="S177" i="22"/>
  <c r="S176" i="22"/>
  <c r="S179" i="22"/>
  <c r="S181" i="22"/>
  <c r="S182" i="22"/>
  <c r="S184" i="22"/>
  <c r="S186" i="22"/>
  <c r="S188" i="22"/>
  <c r="S190" i="22"/>
  <c r="S192" i="22"/>
  <c r="S193" i="22"/>
  <c r="S195" i="22"/>
  <c r="S196" i="22"/>
  <c r="S198" i="22"/>
  <c r="S200" i="22"/>
  <c r="S202" i="22"/>
  <c r="S204" i="22"/>
  <c r="S206" i="22"/>
  <c r="S207" i="22"/>
  <c r="S208" i="22"/>
  <c r="S210" i="22"/>
  <c r="S212" i="22"/>
  <c r="S214" i="22"/>
  <c r="S216" i="22"/>
  <c r="S219" i="22"/>
  <c r="S218" i="22"/>
  <c r="S221" i="22"/>
  <c r="S223" i="22"/>
  <c r="S224" i="22"/>
  <c r="S226" i="22"/>
  <c r="S228" i="22"/>
  <c r="S230" i="22"/>
  <c r="S118" i="22"/>
  <c r="S136" i="22"/>
  <c r="D66" i="28"/>
  <c r="A66" i="28" s="1"/>
  <c r="M52" i="27"/>
  <c r="K52" i="27"/>
  <c r="H52" i="27"/>
  <c r="I52" i="27" s="1"/>
  <c r="I5" i="59"/>
  <c r="I9" i="59"/>
  <c r="I10" i="59"/>
  <c r="I14" i="59"/>
  <c r="I18" i="59"/>
  <c r="I23" i="59"/>
  <c r="I28" i="59"/>
  <c r="I35" i="59"/>
  <c r="I36" i="59"/>
  <c r="I43" i="59"/>
  <c r="I44" i="59"/>
  <c r="I45" i="59"/>
  <c r="I64" i="59"/>
  <c r="I68" i="59"/>
  <c r="I69" i="59"/>
  <c r="I76" i="59"/>
  <c r="I79" i="59"/>
  <c r="I80" i="59"/>
  <c r="I87" i="59"/>
  <c r="I88" i="59"/>
  <c r="I95" i="59"/>
  <c r="I98" i="59"/>
  <c r="I101" i="59"/>
  <c r="I102" i="59"/>
  <c r="I103" i="59"/>
  <c r="I110" i="59"/>
  <c r="I111" i="59"/>
  <c r="I118" i="59"/>
  <c r="I122" i="59"/>
  <c r="I123" i="59"/>
  <c r="I124" i="59"/>
  <c r="I125" i="59"/>
  <c r="I126" i="59"/>
  <c r="I127" i="59"/>
  <c r="I128" i="59"/>
  <c r="I129" i="59"/>
  <c r="I154" i="59"/>
  <c r="I158" i="59"/>
  <c r="I159" i="59"/>
  <c r="I166" i="59"/>
  <c r="I169" i="59"/>
  <c r="I173" i="59"/>
  <c r="I177" i="59"/>
  <c r="I181" i="59"/>
  <c r="I187" i="59"/>
  <c r="I190" i="59"/>
  <c r="I195" i="59"/>
  <c r="I196" i="59"/>
  <c r="I197" i="59"/>
  <c r="I204" i="59"/>
  <c r="I208" i="59"/>
  <c r="I212" i="59"/>
  <c r="I213" i="59"/>
  <c r="I220" i="59"/>
  <c r="I221" i="59"/>
  <c r="I222" i="59"/>
  <c r="I229" i="59"/>
  <c r="I233" i="59"/>
  <c r="I236" i="59"/>
  <c r="I237" i="59"/>
  <c r="I248" i="59"/>
  <c r="I254" i="59"/>
  <c r="I257" i="59"/>
  <c r="I258" i="59"/>
  <c r="I259" i="59"/>
  <c r="I272" i="59"/>
  <c r="I273" i="59"/>
  <c r="I280" i="59"/>
  <c r="I283" i="59"/>
  <c r="I287" i="59"/>
  <c r="I288" i="59"/>
  <c r="I297" i="59"/>
  <c r="I298" i="59"/>
  <c r="I307" i="59"/>
  <c r="I311" i="59"/>
  <c r="I314" i="59"/>
  <c r="I319" i="59"/>
  <c r="I324" i="59"/>
  <c r="I330" i="59"/>
  <c r="I333" i="59"/>
  <c r="I337" i="59"/>
  <c r="I339" i="59"/>
  <c r="I343" i="59"/>
  <c r="I345" i="59"/>
  <c r="I350" i="59"/>
  <c r="I354" i="59"/>
  <c r="I355" i="59"/>
  <c r="I356" i="59"/>
  <c r="I357" i="59"/>
  <c r="I358" i="59"/>
  <c r="I359" i="59"/>
  <c r="I360" i="59"/>
  <c r="I361" i="59"/>
  <c r="I362" i="59"/>
  <c r="I363" i="59"/>
  <c r="I364" i="59"/>
  <c r="I365" i="59"/>
  <c r="I366" i="59"/>
  <c r="I367" i="59"/>
  <c r="I394" i="59"/>
  <c r="I395" i="59"/>
  <c r="I400" i="59"/>
  <c r="I401" i="59"/>
  <c r="I402" i="59"/>
  <c r="I403" i="59"/>
  <c r="I404" i="59"/>
  <c r="I430" i="59"/>
  <c r="I433" i="59"/>
  <c r="I434" i="59"/>
  <c r="I435" i="59"/>
  <c r="I436" i="59"/>
  <c r="I437" i="59"/>
  <c r="I438" i="59"/>
  <c r="I439" i="59"/>
  <c r="I440" i="59"/>
  <c r="I441" i="59"/>
  <c r="I442" i="59"/>
  <c r="I443" i="59"/>
  <c r="I444" i="59"/>
  <c r="I469" i="59"/>
  <c r="I470" i="59"/>
  <c r="I471" i="59"/>
  <c r="I472" i="59"/>
  <c r="I473" i="59"/>
  <c r="I474" i="59"/>
  <c r="I475" i="59"/>
  <c r="I476" i="59"/>
  <c r="I477" i="59"/>
  <c r="I478" i="59"/>
  <c r="I479" i="59"/>
  <c r="I513" i="59"/>
  <c r="I514" i="59"/>
  <c r="I515" i="59"/>
  <c r="I516" i="59"/>
  <c r="I517" i="59"/>
  <c r="I518" i="59"/>
  <c r="I519" i="59"/>
  <c r="I520" i="59"/>
  <c r="I545" i="59"/>
  <c r="I546" i="59"/>
  <c r="I553" i="59"/>
  <c r="I556" i="59"/>
  <c r="I560" i="59"/>
  <c r="I563" i="59"/>
  <c r="I564" i="59"/>
  <c r="I565" i="59"/>
  <c r="I572" i="59"/>
  <c r="I575" i="59"/>
  <c r="I576" i="59"/>
  <c r="I583" i="59"/>
  <c r="I584" i="59"/>
  <c r="I593" i="59"/>
  <c r="I598" i="59"/>
  <c r="I601" i="59"/>
  <c r="I605" i="59"/>
  <c r="I606" i="59"/>
  <c r="I613" i="59"/>
  <c r="I614" i="59"/>
  <c r="I615" i="59"/>
  <c r="I628" i="59"/>
  <c r="I633" i="59"/>
  <c r="I634" i="59"/>
  <c r="I639" i="59"/>
  <c r="I642" i="59"/>
  <c r="I648" i="59"/>
  <c r="I649" i="59"/>
  <c r="I658" i="59"/>
  <c r="I661" i="59"/>
  <c r="I666" i="59"/>
  <c r="I667" i="59"/>
  <c r="I672" i="59"/>
  <c r="I673" i="59"/>
  <c r="I680" i="59"/>
  <c r="I684" i="59"/>
  <c r="I685" i="59"/>
  <c r="I686" i="59"/>
  <c r="I693" i="59"/>
  <c r="I694" i="59"/>
  <c r="I699" i="59"/>
  <c r="I700" i="59"/>
  <c r="I713" i="59"/>
  <c r="I715" i="59"/>
  <c r="I716" i="59"/>
  <c r="I723" i="59"/>
  <c r="I726" i="59"/>
  <c r="I727" i="59"/>
  <c r="I734" i="59"/>
  <c r="I736" i="59"/>
  <c r="I740" i="59"/>
  <c r="I743" i="59"/>
  <c r="I748" i="59"/>
  <c r="I749" i="59"/>
  <c r="I756" i="59"/>
  <c r="I760" i="59"/>
  <c r="I763" i="59"/>
  <c r="I768" i="59"/>
  <c r="I769" i="59"/>
  <c r="I770" i="59"/>
  <c r="I780" i="59"/>
  <c r="I783" i="59"/>
  <c r="I785" i="59"/>
  <c r="I787" i="59"/>
  <c r="I789" i="59"/>
  <c r="I790" i="59"/>
  <c r="I792" i="59"/>
  <c r="I793" i="59"/>
  <c r="I797" i="59"/>
  <c r="I801" i="59"/>
  <c r="I804" i="59"/>
  <c r="I805" i="59"/>
  <c r="I806" i="59"/>
  <c r="I813" i="59"/>
  <c r="I817" i="59"/>
  <c r="I821" i="59"/>
  <c r="I825" i="59"/>
  <c r="I830" i="59"/>
  <c r="I834" i="59"/>
  <c r="I838" i="59"/>
  <c r="I845" i="59"/>
  <c r="I849" i="59"/>
  <c r="I855" i="59"/>
  <c r="I856" i="59"/>
  <c r="I861" i="59"/>
  <c r="I862" i="59"/>
  <c r="I867" i="59"/>
  <c r="I868" i="59"/>
  <c r="I873" i="59"/>
  <c r="I876" i="59"/>
  <c r="I883" i="59"/>
  <c r="I887" i="59"/>
  <c r="I891" i="59"/>
  <c r="I894" i="59"/>
  <c r="I895" i="59"/>
  <c r="I896" i="59"/>
  <c r="I903" i="59"/>
  <c r="I904" i="59"/>
  <c r="I908" i="59"/>
  <c r="I909" i="59"/>
  <c r="I910" i="59"/>
  <c r="I911" i="59"/>
  <c r="I912" i="59"/>
  <c r="I913" i="59"/>
  <c r="I914" i="59"/>
  <c r="I915" i="59"/>
  <c r="I916" i="59"/>
  <c r="I918" i="59"/>
  <c r="I920" i="59"/>
  <c r="I923" i="59"/>
  <c r="I924" i="59"/>
  <c r="I926" i="59"/>
  <c r="I927" i="59"/>
  <c r="I928" i="59"/>
  <c r="I929" i="59"/>
  <c r="I930" i="59"/>
  <c r="I931" i="59"/>
  <c r="I936" i="59"/>
  <c r="I937" i="59"/>
  <c r="I932" i="59"/>
  <c r="I938" i="59"/>
  <c r="I939" i="59"/>
  <c r="I940" i="59"/>
  <c r="I933" i="59"/>
  <c r="I941" i="59"/>
  <c r="I942" i="59"/>
  <c r="I934" i="59"/>
  <c r="I943" i="59"/>
  <c r="I944" i="59"/>
  <c r="I945" i="59"/>
  <c r="I946" i="59"/>
  <c r="I947" i="59"/>
  <c r="I948" i="59"/>
  <c r="I949" i="59"/>
  <c r="I950" i="59"/>
  <c r="I952" i="59"/>
  <c r="I954" i="59"/>
  <c r="I956" i="59"/>
  <c r="I935" i="59"/>
  <c r="I957" i="59"/>
  <c r="I958" i="59"/>
  <c r="I959" i="59"/>
  <c r="I960" i="59"/>
  <c r="I961" i="59"/>
  <c r="I964" i="59"/>
  <c r="I966" i="59"/>
  <c r="I968" i="59"/>
  <c r="I969" i="59"/>
  <c r="I970" i="59"/>
  <c r="I973" i="59"/>
  <c r="I975" i="59"/>
  <c r="I976" i="59"/>
  <c r="I977" i="59"/>
  <c r="I978" i="59"/>
  <c r="I979" i="59"/>
  <c r="I981" i="59"/>
  <c r="I982" i="59"/>
  <c r="I984" i="59"/>
  <c r="I985" i="59"/>
  <c r="I986" i="59"/>
  <c r="I987" i="59"/>
  <c r="I988" i="59"/>
  <c r="I989" i="59"/>
  <c r="I990" i="59"/>
  <c r="I991" i="59"/>
  <c r="I992" i="59"/>
  <c r="I993" i="59"/>
  <c r="I994" i="59"/>
  <c r="I995" i="59"/>
  <c r="I996" i="59"/>
  <c r="I997" i="59"/>
  <c r="I998" i="59"/>
  <c r="I7" i="59"/>
  <c r="I8" i="59"/>
  <c r="I11" i="59"/>
  <c r="I12" i="59"/>
  <c r="I13" i="59"/>
  <c r="I15" i="59"/>
  <c r="I16" i="59"/>
  <c r="I17" i="59"/>
  <c r="I19" i="59"/>
  <c r="I20" i="59"/>
  <c r="I21" i="59"/>
  <c r="I22" i="59"/>
  <c r="AO998" i="59"/>
  <c r="AP998" i="59" s="1"/>
  <c r="AN998" i="59"/>
  <c r="Z998" i="59"/>
  <c r="Q998" i="59"/>
  <c r="N998" i="59"/>
  <c r="L998" i="59"/>
  <c r="F998" i="59"/>
  <c r="B998" i="59"/>
  <c r="AO997" i="59"/>
  <c r="AP997" i="59" s="1"/>
  <c r="AN997" i="59"/>
  <c r="Z997" i="59"/>
  <c r="Q997" i="59"/>
  <c r="N997" i="59"/>
  <c r="L997" i="59"/>
  <c r="F997" i="59"/>
  <c r="B997" i="59"/>
  <c r="AO996" i="59"/>
  <c r="AP996" i="59" s="1"/>
  <c r="AN996" i="59"/>
  <c r="Z996" i="59"/>
  <c r="Q996" i="59"/>
  <c r="N996" i="59"/>
  <c r="L996" i="59"/>
  <c r="F996" i="59"/>
  <c r="B996" i="59"/>
  <c r="AO995" i="59"/>
  <c r="AP995" i="59" s="1"/>
  <c r="AN995" i="59"/>
  <c r="Z995" i="59"/>
  <c r="Q995" i="59"/>
  <c r="N995" i="59"/>
  <c r="L995" i="59"/>
  <c r="F995" i="59"/>
  <c r="B995" i="59"/>
  <c r="AO994" i="59"/>
  <c r="AP994" i="59" s="1"/>
  <c r="AN994" i="59"/>
  <c r="Z994" i="59"/>
  <c r="Q994" i="59"/>
  <c r="N994" i="59"/>
  <c r="L994" i="59"/>
  <c r="F994" i="59"/>
  <c r="B994" i="59"/>
  <c r="AO993" i="59"/>
  <c r="AP993" i="59" s="1"/>
  <c r="AN993" i="59"/>
  <c r="Z993" i="59"/>
  <c r="Q993" i="59"/>
  <c r="N993" i="59"/>
  <c r="L993" i="59"/>
  <c r="F993" i="59"/>
  <c r="B993" i="59"/>
  <c r="AO992" i="59"/>
  <c r="AP992" i="59" s="1"/>
  <c r="AN992" i="59"/>
  <c r="Z992" i="59"/>
  <c r="Q992" i="59"/>
  <c r="N992" i="59"/>
  <c r="L992" i="59"/>
  <c r="F992" i="59"/>
  <c r="B992" i="59"/>
  <c r="AO991" i="59"/>
  <c r="AP991" i="59" s="1"/>
  <c r="AN991" i="59"/>
  <c r="Z991" i="59"/>
  <c r="Q991" i="59"/>
  <c r="N991" i="59"/>
  <c r="L991" i="59"/>
  <c r="F991" i="59"/>
  <c r="B991" i="59"/>
  <c r="AO990" i="59"/>
  <c r="AP990" i="59" s="1"/>
  <c r="AN990" i="59"/>
  <c r="Z990" i="59"/>
  <c r="Q990" i="59"/>
  <c r="N990" i="59"/>
  <c r="L990" i="59"/>
  <c r="F990" i="59"/>
  <c r="B990" i="59"/>
  <c r="AO989" i="59"/>
  <c r="AP989" i="59" s="1"/>
  <c r="AN989" i="59"/>
  <c r="Z989" i="59"/>
  <c r="Q989" i="59"/>
  <c r="N989" i="59"/>
  <c r="L989" i="59"/>
  <c r="F989" i="59"/>
  <c r="B989" i="59"/>
  <c r="AO988" i="59"/>
  <c r="AP988" i="59" s="1"/>
  <c r="AN988" i="59"/>
  <c r="Z988" i="59"/>
  <c r="Q988" i="59"/>
  <c r="N988" i="59"/>
  <c r="L988" i="59"/>
  <c r="F988" i="59"/>
  <c r="B988" i="59"/>
  <c r="AO987" i="59"/>
  <c r="AP987" i="59" s="1"/>
  <c r="AN987" i="59"/>
  <c r="Z987" i="59"/>
  <c r="Q987" i="59"/>
  <c r="N987" i="59"/>
  <c r="L987" i="59"/>
  <c r="F987" i="59"/>
  <c r="B987" i="59"/>
  <c r="AO986" i="59"/>
  <c r="AP986" i="59" s="1"/>
  <c r="AN986" i="59"/>
  <c r="Z986" i="59"/>
  <c r="Q986" i="59"/>
  <c r="N986" i="59"/>
  <c r="L986" i="59"/>
  <c r="F986" i="59"/>
  <c r="B986" i="59"/>
  <c r="AO985" i="59"/>
  <c r="AP985" i="59" s="1"/>
  <c r="AN985" i="59"/>
  <c r="Z985" i="59"/>
  <c r="Q985" i="59"/>
  <c r="N985" i="59"/>
  <c r="L985" i="59"/>
  <c r="F985" i="59"/>
  <c r="B985" i="59"/>
  <c r="AN984" i="59"/>
  <c r="Z984" i="59"/>
  <c r="Q984" i="59"/>
  <c r="N984" i="59"/>
  <c r="L984" i="59"/>
  <c r="F984" i="59"/>
  <c r="B984" i="59"/>
  <c r="AO982" i="59"/>
  <c r="AP982" i="59" s="1"/>
  <c r="AN982" i="59"/>
  <c r="Z982" i="59"/>
  <c r="Q982" i="59"/>
  <c r="N982" i="59"/>
  <c r="L982" i="59"/>
  <c r="F982" i="59"/>
  <c r="B982" i="59"/>
  <c r="AO981" i="59"/>
  <c r="AP981" i="59" s="1"/>
  <c r="AN981" i="59"/>
  <c r="Z981" i="59"/>
  <c r="Q981" i="59"/>
  <c r="N981" i="59"/>
  <c r="L981" i="59"/>
  <c r="F981" i="59"/>
  <c r="B981" i="59"/>
  <c r="AO979" i="59"/>
  <c r="AP979" i="59" s="1"/>
  <c r="AN979" i="59"/>
  <c r="Z979" i="59"/>
  <c r="Q979" i="59"/>
  <c r="N979" i="59"/>
  <c r="L979" i="59"/>
  <c r="F979" i="59"/>
  <c r="B979" i="59"/>
  <c r="AO978" i="59"/>
  <c r="AP978" i="59" s="1"/>
  <c r="AN978" i="59"/>
  <c r="Z978" i="59"/>
  <c r="Q978" i="59"/>
  <c r="N978" i="59"/>
  <c r="L978" i="59"/>
  <c r="F978" i="59"/>
  <c r="B978" i="59"/>
  <c r="AO977" i="59"/>
  <c r="AP977" i="59" s="1"/>
  <c r="AN977" i="59"/>
  <c r="Z977" i="59"/>
  <c r="Q977" i="59"/>
  <c r="N977" i="59"/>
  <c r="L977" i="59"/>
  <c r="F977" i="59"/>
  <c r="B977" i="59"/>
  <c r="AO976" i="59"/>
  <c r="AP976" i="59" s="1"/>
  <c r="AN976" i="59"/>
  <c r="Z976" i="59"/>
  <c r="Q976" i="59"/>
  <c r="N976" i="59"/>
  <c r="L976" i="59"/>
  <c r="F976" i="59"/>
  <c r="B976" i="59"/>
  <c r="AO975" i="59"/>
  <c r="AP975" i="59" s="1"/>
  <c r="AN975" i="59"/>
  <c r="Z975" i="59"/>
  <c r="Q975" i="59"/>
  <c r="N975" i="59"/>
  <c r="L975" i="59"/>
  <c r="F975" i="59"/>
  <c r="B975" i="59"/>
  <c r="AO973" i="59"/>
  <c r="AP973" i="59" s="1"/>
  <c r="AN973" i="59"/>
  <c r="Z973" i="59"/>
  <c r="Q973" i="59"/>
  <c r="N973" i="59"/>
  <c r="L973" i="59"/>
  <c r="F973" i="59"/>
  <c r="B973" i="59"/>
  <c r="AO970" i="59"/>
  <c r="AP970" i="59" s="1"/>
  <c r="AN970" i="59"/>
  <c r="Z970" i="59"/>
  <c r="Q970" i="59"/>
  <c r="N970" i="59"/>
  <c r="L970" i="59"/>
  <c r="F970" i="59"/>
  <c r="B970" i="59"/>
  <c r="AO969" i="59"/>
  <c r="AP969" i="59" s="1"/>
  <c r="AN969" i="59"/>
  <c r="Z969" i="59"/>
  <c r="Q969" i="59"/>
  <c r="N969" i="59"/>
  <c r="L969" i="59"/>
  <c r="F969" i="59"/>
  <c r="B969" i="59"/>
  <c r="AO968" i="59"/>
  <c r="AP968" i="59" s="1"/>
  <c r="AN968" i="59"/>
  <c r="Z968" i="59"/>
  <c r="Q968" i="59"/>
  <c r="N968" i="59"/>
  <c r="L968" i="59"/>
  <c r="F968" i="59"/>
  <c r="B968" i="59"/>
  <c r="AO966" i="59"/>
  <c r="AP966" i="59" s="1"/>
  <c r="AN966" i="59"/>
  <c r="Z966" i="59"/>
  <c r="Q966" i="59"/>
  <c r="N966" i="59"/>
  <c r="L966" i="59"/>
  <c r="F966" i="59"/>
  <c r="B966" i="59"/>
  <c r="AO964" i="59"/>
  <c r="AP964" i="59" s="1"/>
  <c r="AN964" i="59"/>
  <c r="Z964" i="59"/>
  <c r="Q964" i="59"/>
  <c r="N964" i="59"/>
  <c r="L964" i="59"/>
  <c r="F964" i="59"/>
  <c r="B964" i="59"/>
  <c r="AO961" i="59"/>
  <c r="AP961" i="59" s="1"/>
  <c r="AN961" i="59"/>
  <c r="Z961" i="59"/>
  <c r="Q961" i="59"/>
  <c r="N961" i="59"/>
  <c r="L961" i="59"/>
  <c r="F961" i="59"/>
  <c r="B961" i="59"/>
  <c r="AO960" i="59"/>
  <c r="AP960" i="59" s="1"/>
  <c r="AN960" i="59"/>
  <c r="Z960" i="59"/>
  <c r="Q960" i="59"/>
  <c r="N960" i="59"/>
  <c r="L960" i="59"/>
  <c r="F960" i="59"/>
  <c r="B960" i="59"/>
  <c r="AO959" i="59"/>
  <c r="AP959" i="59" s="1"/>
  <c r="AN959" i="59"/>
  <c r="Z959" i="59"/>
  <c r="Q959" i="59"/>
  <c r="N959" i="59"/>
  <c r="L959" i="59"/>
  <c r="F959" i="59"/>
  <c r="B959" i="59"/>
  <c r="AO958" i="59"/>
  <c r="AP958" i="59" s="1"/>
  <c r="AN958" i="59"/>
  <c r="Z958" i="59"/>
  <c r="Q958" i="59"/>
  <c r="N958" i="59"/>
  <c r="L958" i="59"/>
  <c r="F958" i="59"/>
  <c r="B958" i="59"/>
  <c r="AO957" i="59"/>
  <c r="AP957" i="59" s="1"/>
  <c r="AN957" i="59"/>
  <c r="Z957" i="59"/>
  <c r="Q957" i="59"/>
  <c r="N957" i="59"/>
  <c r="L957" i="59"/>
  <c r="F957" i="59"/>
  <c r="B957" i="59"/>
  <c r="AO935" i="59"/>
  <c r="AP935" i="59" s="1"/>
  <c r="AN935" i="59"/>
  <c r="Z935" i="59"/>
  <c r="Q935" i="59"/>
  <c r="N935" i="59"/>
  <c r="L935" i="59"/>
  <c r="F935" i="59"/>
  <c r="B935" i="59"/>
  <c r="AO956" i="59"/>
  <c r="AP956" i="59" s="1"/>
  <c r="AN956" i="59"/>
  <c r="Z956" i="59"/>
  <c r="Q956" i="59"/>
  <c r="N956" i="59"/>
  <c r="L956" i="59"/>
  <c r="F956" i="59"/>
  <c r="B956" i="59"/>
  <c r="AN954" i="59"/>
  <c r="Z954" i="59"/>
  <c r="Q954" i="59"/>
  <c r="N954" i="59"/>
  <c r="L954" i="59"/>
  <c r="F954" i="59"/>
  <c r="B954" i="59"/>
  <c r="AN952" i="59"/>
  <c r="Z952" i="59"/>
  <c r="Q952" i="59"/>
  <c r="N952" i="59"/>
  <c r="L952" i="59"/>
  <c r="F952" i="59"/>
  <c r="B952" i="59"/>
  <c r="AO950" i="59"/>
  <c r="AP950" i="59" s="1"/>
  <c r="AN950" i="59"/>
  <c r="Z950" i="59"/>
  <c r="Q950" i="59"/>
  <c r="N950" i="59"/>
  <c r="L950" i="59"/>
  <c r="F950" i="59"/>
  <c r="B950" i="59"/>
  <c r="AO949" i="59"/>
  <c r="AP949" i="59" s="1"/>
  <c r="AN949" i="59"/>
  <c r="Z949" i="59"/>
  <c r="Q949" i="59"/>
  <c r="N949" i="59"/>
  <c r="L949" i="59"/>
  <c r="F949" i="59"/>
  <c r="B949" i="59"/>
  <c r="AO948" i="59"/>
  <c r="AP948" i="59" s="1"/>
  <c r="AN948" i="59"/>
  <c r="Z948" i="59"/>
  <c r="Q948" i="59"/>
  <c r="N948" i="59"/>
  <c r="L948" i="59"/>
  <c r="F948" i="59"/>
  <c r="B948" i="59"/>
  <c r="AO947" i="59"/>
  <c r="AP947" i="59" s="1"/>
  <c r="AN947" i="59"/>
  <c r="Z947" i="59"/>
  <c r="Q947" i="59"/>
  <c r="N947" i="59"/>
  <c r="L947" i="59"/>
  <c r="F947" i="59"/>
  <c r="B947" i="59"/>
  <c r="AO946" i="59"/>
  <c r="AP946" i="59" s="1"/>
  <c r="AN946" i="59"/>
  <c r="Z946" i="59"/>
  <c r="Q946" i="59"/>
  <c r="N946" i="59"/>
  <c r="L946" i="59"/>
  <c r="F946" i="59"/>
  <c r="B946" i="59"/>
  <c r="AN945" i="59"/>
  <c r="Z945" i="59"/>
  <c r="Q945" i="59"/>
  <c r="O945" i="59"/>
  <c r="N945" i="59"/>
  <c r="L945" i="59"/>
  <c r="F945" i="59"/>
  <c r="B945" i="59"/>
  <c r="AN944" i="59"/>
  <c r="Z944" i="59"/>
  <c r="Q944" i="59"/>
  <c r="O944" i="59"/>
  <c r="N944" i="59"/>
  <c r="L944" i="59"/>
  <c r="F944" i="59"/>
  <c r="B944" i="59"/>
  <c r="AN943" i="59"/>
  <c r="Z943" i="59"/>
  <c r="Q943" i="59"/>
  <c r="O943" i="59"/>
  <c r="N943" i="59"/>
  <c r="L943" i="59"/>
  <c r="F943" i="59"/>
  <c r="B943" i="59"/>
  <c r="AO934" i="59"/>
  <c r="AP934" i="59" s="1"/>
  <c r="AN934" i="59"/>
  <c r="Z934" i="59"/>
  <c r="Q934" i="59"/>
  <c r="N934" i="59"/>
  <c r="L934" i="59"/>
  <c r="F934" i="59"/>
  <c r="B934" i="59"/>
  <c r="AN942" i="59"/>
  <c r="Z942" i="59"/>
  <c r="Q942" i="59"/>
  <c r="N942" i="59"/>
  <c r="L942" i="59"/>
  <c r="F942" i="59"/>
  <c r="B942" i="59"/>
  <c r="AN941" i="59"/>
  <c r="Z941" i="59"/>
  <c r="Q941" i="59"/>
  <c r="O941" i="59"/>
  <c r="N941" i="59"/>
  <c r="L941" i="59"/>
  <c r="F941" i="59"/>
  <c r="B941" i="59"/>
  <c r="AO933" i="59"/>
  <c r="AP933" i="59" s="1"/>
  <c r="AN933" i="59"/>
  <c r="Z933" i="59"/>
  <c r="Q933" i="59"/>
  <c r="N933" i="59"/>
  <c r="L933" i="59"/>
  <c r="F933" i="59"/>
  <c r="B933" i="59"/>
  <c r="AO940" i="59"/>
  <c r="AP940" i="59" s="1"/>
  <c r="AN940" i="59"/>
  <c r="Z940" i="59"/>
  <c r="Q940" i="59"/>
  <c r="N940" i="59"/>
  <c r="L940" i="59"/>
  <c r="F940" i="59"/>
  <c r="B940" i="59"/>
  <c r="AN939" i="59"/>
  <c r="Z939" i="59"/>
  <c r="Q939" i="59"/>
  <c r="O939" i="59"/>
  <c r="N939" i="59"/>
  <c r="L939" i="59"/>
  <c r="F939" i="59"/>
  <c r="B939" i="59"/>
  <c r="AN938" i="59"/>
  <c r="Z938" i="59"/>
  <c r="Q938" i="59"/>
  <c r="O938" i="59"/>
  <c r="N938" i="59"/>
  <c r="L938" i="59"/>
  <c r="F938" i="59"/>
  <c r="B938" i="59"/>
  <c r="AO932" i="59"/>
  <c r="AP932" i="59" s="1"/>
  <c r="AN932" i="59"/>
  <c r="Z932" i="59"/>
  <c r="Q932" i="59"/>
  <c r="N932" i="59"/>
  <c r="L932" i="59"/>
  <c r="F932" i="59"/>
  <c r="B932" i="59"/>
  <c r="AN937" i="59"/>
  <c r="Z937" i="59"/>
  <c r="Q937" i="59"/>
  <c r="N937" i="59"/>
  <c r="L937" i="59"/>
  <c r="F937" i="59"/>
  <c r="B937" i="59"/>
  <c r="AN936" i="59"/>
  <c r="Z936" i="59"/>
  <c r="Q936" i="59"/>
  <c r="O936" i="59"/>
  <c r="N936" i="59"/>
  <c r="L936" i="59"/>
  <c r="F936" i="59"/>
  <c r="B936" i="59"/>
  <c r="AO931" i="59"/>
  <c r="AP931" i="59" s="1"/>
  <c r="AN931" i="59"/>
  <c r="Z931" i="59"/>
  <c r="Q931" i="59"/>
  <c r="N931" i="59"/>
  <c r="L931" i="59"/>
  <c r="F931" i="59"/>
  <c r="B931" i="59"/>
  <c r="AO930" i="59"/>
  <c r="AP930" i="59" s="1"/>
  <c r="AN930" i="59"/>
  <c r="Z930" i="59"/>
  <c r="Q930" i="59"/>
  <c r="N930" i="59"/>
  <c r="L930" i="59"/>
  <c r="F930" i="59"/>
  <c r="B930" i="59"/>
  <c r="AO929" i="59"/>
  <c r="AP929" i="59" s="1"/>
  <c r="AN929" i="59"/>
  <c r="Z929" i="59"/>
  <c r="Q929" i="59"/>
  <c r="N929" i="59"/>
  <c r="L929" i="59"/>
  <c r="F929" i="59"/>
  <c r="B929" i="59"/>
  <c r="AO928" i="59"/>
  <c r="AP928" i="59" s="1"/>
  <c r="AN928" i="59"/>
  <c r="Z928" i="59"/>
  <c r="Q928" i="59"/>
  <c r="N928" i="59"/>
  <c r="L928" i="59"/>
  <c r="F928" i="59"/>
  <c r="B928" i="59"/>
  <c r="AO927" i="59"/>
  <c r="AP927" i="59" s="1"/>
  <c r="AN927" i="59"/>
  <c r="Z927" i="59"/>
  <c r="Q927" i="59"/>
  <c r="N927" i="59"/>
  <c r="L927" i="59"/>
  <c r="F927" i="59"/>
  <c r="B927" i="59"/>
  <c r="AO926" i="59"/>
  <c r="AP926" i="59" s="1"/>
  <c r="AN926" i="59"/>
  <c r="Z926" i="59"/>
  <c r="Q926" i="59"/>
  <c r="N926" i="59"/>
  <c r="L926" i="59"/>
  <c r="F926" i="59"/>
  <c r="B926" i="59"/>
  <c r="AO924" i="59"/>
  <c r="AP924" i="59" s="1"/>
  <c r="AN924" i="59"/>
  <c r="Z924" i="59"/>
  <c r="Q924" i="59"/>
  <c r="N924" i="59"/>
  <c r="L924" i="59"/>
  <c r="F924" i="59"/>
  <c r="B924" i="59"/>
  <c r="AO923" i="59"/>
  <c r="AP923" i="59" s="1"/>
  <c r="AN923" i="59"/>
  <c r="Z923" i="59"/>
  <c r="Q923" i="59"/>
  <c r="N923" i="59"/>
  <c r="L923" i="59"/>
  <c r="F923" i="59"/>
  <c r="B923" i="59"/>
  <c r="AO920" i="59"/>
  <c r="AP920" i="59" s="1"/>
  <c r="AN920" i="59"/>
  <c r="Z920" i="59"/>
  <c r="Q920" i="59"/>
  <c r="N920" i="59"/>
  <c r="L920" i="59"/>
  <c r="F920" i="59"/>
  <c r="B920" i="59"/>
  <c r="AO918" i="59"/>
  <c r="AP918" i="59" s="1"/>
  <c r="AN918" i="59"/>
  <c r="Z918" i="59"/>
  <c r="Q918" i="59"/>
  <c r="N918" i="59"/>
  <c r="L918" i="59"/>
  <c r="F918" i="59"/>
  <c r="B918" i="59"/>
  <c r="AO916" i="59"/>
  <c r="AP916" i="59" s="1"/>
  <c r="AN916" i="59"/>
  <c r="Z916" i="59"/>
  <c r="Q916" i="59"/>
  <c r="N916" i="59"/>
  <c r="L916" i="59"/>
  <c r="F916" i="59"/>
  <c r="B916" i="59"/>
  <c r="AO915" i="59"/>
  <c r="AP915" i="59" s="1"/>
  <c r="AN915" i="59"/>
  <c r="Z915" i="59"/>
  <c r="Q915" i="59"/>
  <c r="N915" i="59"/>
  <c r="L915" i="59"/>
  <c r="F915" i="59"/>
  <c r="B915" i="59"/>
  <c r="AO914" i="59"/>
  <c r="AP914" i="59" s="1"/>
  <c r="AN914" i="59"/>
  <c r="Z914" i="59"/>
  <c r="Q914" i="59"/>
  <c r="N914" i="59"/>
  <c r="L914" i="59"/>
  <c r="F914" i="59"/>
  <c r="B914" i="59"/>
  <c r="AO913" i="59"/>
  <c r="AP913" i="59" s="1"/>
  <c r="AN913" i="59"/>
  <c r="Z913" i="59"/>
  <c r="Q913" i="59"/>
  <c r="N913" i="59"/>
  <c r="L913" i="59"/>
  <c r="F913" i="59"/>
  <c r="B913" i="59"/>
  <c r="AO912" i="59"/>
  <c r="AP912" i="59" s="1"/>
  <c r="AN912" i="59"/>
  <c r="Z912" i="59"/>
  <c r="Q912" i="59"/>
  <c r="N912" i="59"/>
  <c r="L912" i="59"/>
  <c r="F912" i="59"/>
  <c r="B912" i="59"/>
  <c r="AN911" i="59"/>
  <c r="Z911" i="59"/>
  <c r="Q911" i="59"/>
  <c r="N911" i="59"/>
  <c r="L911" i="59"/>
  <c r="F911" i="59"/>
  <c r="B911" i="59"/>
  <c r="AO910" i="59"/>
  <c r="AP910" i="59" s="1"/>
  <c r="AN910" i="59"/>
  <c r="Z910" i="59"/>
  <c r="Q910" i="59"/>
  <c r="N910" i="59"/>
  <c r="L910" i="59"/>
  <c r="F910" i="59"/>
  <c r="B910" i="59"/>
  <c r="AO909" i="59"/>
  <c r="AP909" i="59" s="1"/>
  <c r="AN909" i="59"/>
  <c r="Z909" i="59"/>
  <c r="Q909" i="59"/>
  <c r="N909" i="59"/>
  <c r="L909" i="59"/>
  <c r="F909" i="59"/>
  <c r="B909" i="59"/>
  <c r="AO908" i="59"/>
  <c r="AP908" i="59" s="1"/>
  <c r="AN908" i="59"/>
  <c r="Z908" i="59"/>
  <c r="Q908" i="59"/>
  <c r="N908" i="59"/>
  <c r="L908" i="59"/>
  <c r="F908" i="59"/>
  <c r="B908" i="59"/>
  <c r="AO904" i="59"/>
  <c r="AP904" i="59" s="1"/>
  <c r="AN904" i="59"/>
  <c r="Z904" i="59"/>
  <c r="Q904" i="59"/>
  <c r="N904" i="59"/>
  <c r="L904" i="59"/>
  <c r="F904" i="59"/>
  <c r="B904" i="59"/>
  <c r="AO903" i="59"/>
  <c r="AP903" i="59" s="1"/>
  <c r="AN903" i="59"/>
  <c r="Z903" i="59"/>
  <c r="Q903" i="59"/>
  <c r="N903" i="59"/>
  <c r="L903" i="59"/>
  <c r="F903" i="59"/>
  <c r="B903" i="59"/>
  <c r="AN896" i="59"/>
  <c r="Z896" i="59"/>
  <c r="Q896" i="59"/>
  <c r="N896" i="59"/>
  <c r="L896" i="59"/>
  <c r="F896" i="59"/>
  <c r="B896" i="59"/>
  <c r="AN895" i="59"/>
  <c r="Z895" i="59"/>
  <c r="Q895" i="59"/>
  <c r="N895" i="59"/>
  <c r="L895" i="59"/>
  <c r="F895" i="59"/>
  <c r="B895" i="59"/>
  <c r="AN894" i="59"/>
  <c r="Z894" i="59"/>
  <c r="Q894" i="59"/>
  <c r="O894" i="59"/>
  <c r="N894" i="59"/>
  <c r="L894" i="59"/>
  <c r="F894" i="59"/>
  <c r="B894" i="59"/>
  <c r="AO891" i="59"/>
  <c r="AP891" i="59" s="1"/>
  <c r="AN891" i="59"/>
  <c r="Z891" i="59"/>
  <c r="Q891" i="59"/>
  <c r="N891" i="59"/>
  <c r="L891" i="59"/>
  <c r="F891" i="59"/>
  <c r="B891" i="59"/>
  <c r="AO887" i="59"/>
  <c r="AP887" i="59" s="1"/>
  <c r="AN887" i="59"/>
  <c r="Z887" i="59"/>
  <c r="Q887" i="59"/>
  <c r="N887" i="59"/>
  <c r="L887" i="59"/>
  <c r="F887" i="59"/>
  <c r="B887" i="59"/>
  <c r="AO883" i="59"/>
  <c r="AP883" i="59" s="1"/>
  <c r="AN883" i="59"/>
  <c r="Z883" i="59"/>
  <c r="Q883" i="59"/>
  <c r="N883" i="59"/>
  <c r="L883" i="59"/>
  <c r="F883" i="59"/>
  <c r="B883" i="59"/>
  <c r="AO876" i="59"/>
  <c r="AP876" i="59" s="1"/>
  <c r="AN876" i="59"/>
  <c r="Z876" i="59"/>
  <c r="Q876" i="59"/>
  <c r="N876" i="59"/>
  <c r="L876" i="59"/>
  <c r="F876" i="59"/>
  <c r="B876" i="59"/>
  <c r="AO873" i="59"/>
  <c r="AP873" i="59" s="1"/>
  <c r="AN873" i="59"/>
  <c r="Z873" i="59"/>
  <c r="Q873" i="59"/>
  <c r="N873" i="59"/>
  <c r="L873" i="59"/>
  <c r="F873" i="59"/>
  <c r="B873" i="59"/>
  <c r="AO868" i="59"/>
  <c r="AP868" i="59" s="1"/>
  <c r="AN868" i="59"/>
  <c r="Z868" i="59"/>
  <c r="Q868" i="59"/>
  <c r="N868" i="59"/>
  <c r="L868" i="59"/>
  <c r="F868" i="59"/>
  <c r="B868" i="59"/>
  <c r="AO867" i="59"/>
  <c r="AP867" i="59" s="1"/>
  <c r="AN867" i="59"/>
  <c r="Z867" i="59"/>
  <c r="Q867" i="59"/>
  <c r="N867" i="59"/>
  <c r="L867" i="59"/>
  <c r="F867" i="59"/>
  <c r="B867" i="59"/>
  <c r="AN862" i="59"/>
  <c r="Z862" i="59"/>
  <c r="Q862" i="59"/>
  <c r="O862" i="59"/>
  <c r="N862" i="59"/>
  <c r="L862" i="59"/>
  <c r="F862" i="59"/>
  <c r="B862" i="59"/>
  <c r="AN861" i="59"/>
  <c r="Z861" i="59"/>
  <c r="Q861" i="59"/>
  <c r="O861" i="59"/>
  <c r="N861" i="59"/>
  <c r="L861" i="59"/>
  <c r="F861" i="59"/>
  <c r="B861" i="59"/>
  <c r="AN856" i="59"/>
  <c r="Z856" i="59"/>
  <c r="Q856" i="59"/>
  <c r="N856" i="59"/>
  <c r="L856" i="59"/>
  <c r="F856" i="59"/>
  <c r="B856" i="59"/>
  <c r="AN855" i="59"/>
  <c r="Z855" i="59"/>
  <c r="Q855" i="59"/>
  <c r="O855" i="59"/>
  <c r="N855" i="59"/>
  <c r="L855" i="59"/>
  <c r="F855" i="59"/>
  <c r="B855" i="59"/>
  <c r="AO849" i="59"/>
  <c r="AP849" i="59" s="1"/>
  <c r="AN849" i="59"/>
  <c r="Z849" i="59"/>
  <c r="Q849" i="59"/>
  <c r="N849" i="59"/>
  <c r="L849" i="59"/>
  <c r="F849" i="59"/>
  <c r="B849" i="59"/>
  <c r="AN845" i="59"/>
  <c r="Z845" i="59"/>
  <c r="Q845" i="59"/>
  <c r="N845" i="59"/>
  <c r="L845" i="59"/>
  <c r="F845" i="59"/>
  <c r="B845" i="59"/>
  <c r="AO838" i="59"/>
  <c r="AP838" i="59" s="1"/>
  <c r="AN838" i="59"/>
  <c r="Z838" i="59"/>
  <c r="Q838" i="59"/>
  <c r="N838" i="59"/>
  <c r="L838" i="59"/>
  <c r="F838" i="59"/>
  <c r="B838" i="59"/>
  <c r="AO834" i="59"/>
  <c r="AP834" i="59" s="1"/>
  <c r="AN834" i="59"/>
  <c r="Z834" i="59"/>
  <c r="Q834" i="59"/>
  <c r="N834" i="59"/>
  <c r="L834" i="59"/>
  <c r="F834" i="59"/>
  <c r="B834" i="59"/>
  <c r="AO830" i="59"/>
  <c r="AP830" i="59" s="1"/>
  <c r="AN830" i="59"/>
  <c r="Z830" i="59"/>
  <c r="Q830" i="59"/>
  <c r="N830" i="59"/>
  <c r="L830" i="59"/>
  <c r="F830" i="59"/>
  <c r="B830" i="59"/>
  <c r="AO825" i="59"/>
  <c r="AP825" i="59" s="1"/>
  <c r="AN825" i="59"/>
  <c r="Z825" i="59"/>
  <c r="Q825" i="59"/>
  <c r="N825" i="59"/>
  <c r="L825" i="59"/>
  <c r="F825" i="59"/>
  <c r="B825" i="59"/>
  <c r="AO821" i="59"/>
  <c r="AP821" i="59" s="1"/>
  <c r="AN821" i="59"/>
  <c r="Z821" i="59"/>
  <c r="Q821" i="59"/>
  <c r="N821" i="59"/>
  <c r="L821" i="59"/>
  <c r="F821" i="59"/>
  <c r="B821" i="59"/>
  <c r="AO817" i="59"/>
  <c r="AP817" i="59" s="1"/>
  <c r="AN817" i="59"/>
  <c r="Z817" i="59"/>
  <c r="Q817" i="59"/>
  <c r="N817" i="59"/>
  <c r="L817" i="59"/>
  <c r="F817" i="59"/>
  <c r="B817" i="59"/>
  <c r="AO813" i="59"/>
  <c r="AP813" i="59" s="1"/>
  <c r="AN813" i="59"/>
  <c r="Z813" i="59"/>
  <c r="Q813" i="59"/>
  <c r="N813" i="59"/>
  <c r="L813" i="59"/>
  <c r="F813" i="59"/>
  <c r="B813" i="59"/>
  <c r="AN806" i="59"/>
  <c r="Z806" i="59"/>
  <c r="Q806" i="59"/>
  <c r="O806" i="59"/>
  <c r="N806" i="59"/>
  <c r="L806" i="59"/>
  <c r="F806" i="59"/>
  <c r="B806" i="59"/>
  <c r="AN805" i="59"/>
  <c r="Z805" i="59"/>
  <c r="Q805" i="59"/>
  <c r="O805" i="59"/>
  <c r="N805" i="59"/>
  <c r="L805" i="59"/>
  <c r="F805" i="59"/>
  <c r="B805" i="59"/>
  <c r="AN804" i="59"/>
  <c r="Z804" i="59"/>
  <c r="Q804" i="59"/>
  <c r="O804" i="59"/>
  <c r="N804" i="59"/>
  <c r="L804" i="59"/>
  <c r="F804" i="59"/>
  <c r="B804" i="59"/>
  <c r="AO801" i="59"/>
  <c r="AP801" i="59" s="1"/>
  <c r="AN801" i="59"/>
  <c r="Z801" i="59"/>
  <c r="Q801" i="59"/>
  <c r="N801" i="59"/>
  <c r="L801" i="59"/>
  <c r="F801" i="59"/>
  <c r="B801" i="59"/>
  <c r="AO797" i="59"/>
  <c r="AP797" i="59" s="1"/>
  <c r="AN797" i="59"/>
  <c r="Z797" i="59"/>
  <c r="Q797" i="59"/>
  <c r="N797" i="59"/>
  <c r="L797" i="59"/>
  <c r="F797" i="59"/>
  <c r="B797" i="59"/>
  <c r="AO793" i="59"/>
  <c r="AP793" i="59" s="1"/>
  <c r="AN793" i="59"/>
  <c r="Z793" i="59"/>
  <c r="Q793" i="59"/>
  <c r="N793" i="59"/>
  <c r="L793" i="59"/>
  <c r="F793" i="59"/>
  <c r="B793" i="59"/>
  <c r="AO792" i="59"/>
  <c r="AP792" i="59" s="1"/>
  <c r="AN792" i="59"/>
  <c r="Z792" i="59"/>
  <c r="Q792" i="59"/>
  <c r="N792" i="59"/>
  <c r="L792" i="59"/>
  <c r="F792" i="59"/>
  <c r="B792" i="59"/>
  <c r="AO790" i="59"/>
  <c r="AP790" i="59" s="1"/>
  <c r="AN790" i="59"/>
  <c r="Z790" i="59"/>
  <c r="Q790" i="59"/>
  <c r="N790" i="59"/>
  <c r="L790" i="59"/>
  <c r="F790" i="59"/>
  <c r="B790" i="59"/>
  <c r="AO789" i="59"/>
  <c r="AP789" i="59" s="1"/>
  <c r="AN789" i="59"/>
  <c r="Z789" i="59"/>
  <c r="Q789" i="59"/>
  <c r="N789" i="59"/>
  <c r="L789" i="59"/>
  <c r="F789" i="59"/>
  <c r="B789" i="59"/>
  <c r="AO787" i="59"/>
  <c r="AP787" i="59" s="1"/>
  <c r="AN787" i="59"/>
  <c r="Z787" i="59"/>
  <c r="Q787" i="59"/>
  <c r="N787" i="59"/>
  <c r="L787" i="59"/>
  <c r="F787" i="59"/>
  <c r="B787" i="59"/>
  <c r="AO785" i="59"/>
  <c r="AP785" i="59" s="1"/>
  <c r="AN785" i="59"/>
  <c r="Z785" i="59"/>
  <c r="Q785" i="59"/>
  <c r="N785" i="59"/>
  <c r="L785" i="59"/>
  <c r="F785" i="59"/>
  <c r="B785" i="59"/>
  <c r="AO783" i="59"/>
  <c r="AP783" i="59" s="1"/>
  <c r="AN783" i="59"/>
  <c r="Z783" i="59"/>
  <c r="Q783" i="59"/>
  <c r="N783" i="59"/>
  <c r="L783" i="59"/>
  <c r="F783" i="59"/>
  <c r="B783" i="59"/>
  <c r="AO780" i="59"/>
  <c r="AP780" i="59" s="1"/>
  <c r="AN780" i="59"/>
  <c r="Z780" i="59"/>
  <c r="Q780" i="59"/>
  <c r="N780" i="59"/>
  <c r="L780" i="59"/>
  <c r="F780" i="59"/>
  <c r="B780" i="59"/>
  <c r="AO770" i="59"/>
  <c r="AP770" i="59" s="1"/>
  <c r="AN770" i="59"/>
  <c r="Z770" i="59"/>
  <c r="Q770" i="59"/>
  <c r="N770" i="59"/>
  <c r="L770" i="59"/>
  <c r="F770" i="59"/>
  <c r="B770" i="59"/>
  <c r="AO769" i="59"/>
  <c r="AP769" i="59" s="1"/>
  <c r="AN769" i="59"/>
  <c r="Z769" i="59"/>
  <c r="Q769" i="59"/>
  <c r="N769" i="59"/>
  <c r="L769" i="59"/>
  <c r="F769" i="59"/>
  <c r="B769" i="59"/>
  <c r="AO768" i="59"/>
  <c r="AP768" i="59" s="1"/>
  <c r="AN768" i="59"/>
  <c r="Z768" i="59"/>
  <c r="Q768" i="59"/>
  <c r="N768" i="59"/>
  <c r="L768" i="59"/>
  <c r="F768" i="59"/>
  <c r="B768" i="59"/>
  <c r="AO763" i="59"/>
  <c r="AP763" i="59" s="1"/>
  <c r="AN763" i="59"/>
  <c r="Z763" i="59"/>
  <c r="Q763" i="59"/>
  <c r="N763" i="59"/>
  <c r="L763" i="59"/>
  <c r="F763" i="59"/>
  <c r="B763" i="59"/>
  <c r="AN760" i="59"/>
  <c r="Z760" i="59"/>
  <c r="Q760" i="59"/>
  <c r="N760" i="59"/>
  <c r="L760" i="59"/>
  <c r="F760" i="59"/>
  <c r="B760" i="59"/>
  <c r="AO756" i="59"/>
  <c r="AP756" i="59" s="1"/>
  <c r="AN756" i="59"/>
  <c r="Z756" i="59"/>
  <c r="Q756" i="59"/>
  <c r="N756" i="59"/>
  <c r="L756" i="59"/>
  <c r="F756" i="59"/>
  <c r="B756" i="59"/>
  <c r="AO749" i="59"/>
  <c r="AP749" i="59" s="1"/>
  <c r="AN749" i="59"/>
  <c r="Z749" i="59"/>
  <c r="Q749" i="59"/>
  <c r="N749" i="59"/>
  <c r="L749" i="59"/>
  <c r="F749" i="59"/>
  <c r="B749" i="59"/>
  <c r="AO748" i="59"/>
  <c r="AP748" i="59" s="1"/>
  <c r="AN748" i="59"/>
  <c r="Z748" i="59"/>
  <c r="Q748" i="59"/>
  <c r="N748" i="59"/>
  <c r="L748" i="59"/>
  <c r="F748" i="59"/>
  <c r="B748" i="59"/>
  <c r="AO743" i="59"/>
  <c r="AP743" i="59" s="1"/>
  <c r="AN743" i="59"/>
  <c r="Z743" i="59"/>
  <c r="Q743" i="59"/>
  <c r="N743" i="59"/>
  <c r="L743" i="59"/>
  <c r="F743" i="59"/>
  <c r="B743" i="59"/>
  <c r="AO740" i="59"/>
  <c r="AP740" i="59" s="1"/>
  <c r="AN740" i="59"/>
  <c r="Z740" i="59"/>
  <c r="Q740" i="59"/>
  <c r="N740" i="59"/>
  <c r="L740" i="59"/>
  <c r="F740" i="59"/>
  <c r="B740" i="59"/>
  <c r="AO736" i="59"/>
  <c r="AP736" i="59" s="1"/>
  <c r="AN736" i="59"/>
  <c r="Z736" i="59"/>
  <c r="Q736" i="59"/>
  <c r="N736" i="59"/>
  <c r="L736" i="59"/>
  <c r="F736" i="59"/>
  <c r="B736" i="59"/>
  <c r="AO734" i="59"/>
  <c r="AP734" i="59" s="1"/>
  <c r="AN734" i="59"/>
  <c r="Z734" i="59"/>
  <c r="Q734" i="59"/>
  <c r="N734" i="59"/>
  <c r="L734" i="59"/>
  <c r="F734" i="59"/>
  <c r="B734" i="59"/>
  <c r="AO727" i="59"/>
  <c r="AP727" i="59" s="1"/>
  <c r="AN727" i="59"/>
  <c r="Z727" i="59"/>
  <c r="Q727" i="59"/>
  <c r="N727" i="59"/>
  <c r="L727" i="59"/>
  <c r="F727" i="59"/>
  <c r="B727" i="59"/>
  <c r="AO726" i="59"/>
  <c r="AP726" i="59" s="1"/>
  <c r="AN726" i="59"/>
  <c r="Z726" i="59"/>
  <c r="Q726" i="59"/>
  <c r="N726" i="59"/>
  <c r="L726" i="59"/>
  <c r="F726" i="59"/>
  <c r="B726" i="59"/>
  <c r="AO723" i="59"/>
  <c r="AP723" i="59" s="1"/>
  <c r="AN723" i="59"/>
  <c r="Z723" i="59"/>
  <c r="Q723" i="59"/>
  <c r="N723" i="59"/>
  <c r="L723" i="59"/>
  <c r="F723" i="59"/>
  <c r="B723" i="59"/>
  <c r="AO716" i="59"/>
  <c r="AP716" i="59" s="1"/>
  <c r="AN716" i="59"/>
  <c r="Z716" i="59"/>
  <c r="Q716" i="59"/>
  <c r="N716" i="59"/>
  <c r="L716" i="59"/>
  <c r="F716" i="59"/>
  <c r="B716" i="59"/>
  <c r="AO715" i="59"/>
  <c r="AP715" i="59" s="1"/>
  <c r="AN715" i="59"/>
  <c r="Z715" i="59"/>
  <c r="Q715" i="59"/>
  <c r="N715" i="59"/>
  <c r="L715" i="59"/>
  <c r="F715" i="59"/>
  <c r="B715" i="59"/>
  <c r="AO713" i="59"/>
  <c r="AP713" i="59" s="1"/>
  <c r="AN713" i="59"/>
  <c r="Z713" i="59"/>
  <c r="Q713" i="59"/>
  <c r="N713" i="59"/>
  <c r="L713" i="59"/>
  <c r="F713" i="59"/>
  <c r="B713" i="59"/>
  <c r="AO700" i="59"/>
  <c r="AP700" i="59" s="1"/>
  <c r="AN700" i="59"/>
  <c r="Z700" i="59"/>
  <c r="Q700" i="59"/>
  <c r="N700" i="59"/>
  <c r="L700" i="59"/>
  <c r="F700" i="59"/>
  <c r="B700" i="59"/>
  <c r="AO699" i="59"/>
  <c r="AP699" i="59" s="1"/>
  <c r="AN699" i="59"/>
  <c r="Z699" i="59"/>
  <c r="Q699" i="59"/>
  <c r="N699" i="59"/>
  <c r="L699" i="59"/>
  <c r="F699" i="59"/>
  <c r="B699" i="59"/>
  <c r="AO694" i="59"/>
  <c r="AP694" i="59" s="1"/>
  <c r="AN694" i="59"/>
  <c r="Z694" i="59"/>
  <c r="Q694" i="59"/>
  <c r="N694" i="59"/>
  <c r="L694" i="59"/>
  <c r="F694" i="59"/>
  <c r="B694" i="59"/>
  <c r="AO693" i="59"/>
  <c r="AP693" i="59" s="1"/>
  <c r="AN693" i="59"/>
  <c r="Z693" i="59"/>
  <c r="Q693" i="59"/>
  <c r="N693" i="59"/>
  <c r="L693" i="59"/>
  <c r="F693" i="59"/>
  <c r="B693" i="59"/>
  <c r="AO686" i="59"/>
  <c r="AP686" i="59" s="1"/>
  <c r="AN686" i="59"/>
  <c r="Z686" i="59"/>
  <c r="Q686" i="59"/>
  <c r="N686" i="59"/>
  <c r="L686" i="59"/>
  <c r="F686" i="59"/>
  <c r="B686" i="59"/>
  <c r="AO685" i="59"/>
  <c r="AP685" i="59" s="1"/>
  <c r="AN685" i="59"/>
  <c r="Z685" i="59"/>
  <c r="Q685" i="59"/>
  <c r="N685" i="59"/>
  <c r="L685" i="59"/>
  <c r="F685" i="59"/>
  <c r="B685" i="59"/>
  <c r="AO684" i="59"/>
  <c r="AP684" i="59" s="1"/>
  <c r="AN684" i="59"/>
  <c r="Z684" i="59"/>
  <c r="Q684" i="59"/>
  <c r="N684" i="59"/>
  <c r="L684" i="59"/>
  <c r="F684" i="59"/>
  <c r="B684" i="59"/>
  <c r="AO680" i="59"/>
  <c r="AP680" i="59" s="1"/>
  <c r="AN680" i="59"/>
  <c r="Z680" i="59"/>
  <c r="Q680" i="59"/>
  <c r="N680" i="59"/>
  <c r="L680" i="59"/>
  <c r="F680" i="59"/>
  <c r="B680" i="59"/>
  <c r="AO673" i="59"/>
  <c r="AP673" i="59" s="1"/>
  <c r="AN673" i="59"/>
  <c r="Z673" i="59"/>
  <c r="Q673" i="59"/>
  <c r="N673" i="59"/>
  <c r="L673" i="59"/>
  <c r="F673" i="59"/>
  <c r="B673" i="59"/>
  <c r="AO672" i="59"/>
  <c r="AP672" i="59" s="1"/>
  <c r="AN672" i="59"/>
  <c r="Z672" i="59"/>
  <c r="Q672" i="59"/>
  <c r="N672" i="59"/>
  <c r="L672" i="59"/>
  <c r="F672" i="59"/>
  <c r="B672" i="59"/>
  <c r="AO667" i="59"/>
  <c r="AP667" i="59" s="1"/>
  <c r="AN667" i="59"/>
  <c r="Z667" i="59"/>
  <c r="Q667" i="59"/>
  <c r="N667" i="59"/>
  <c r="L667" i="59"/>
  <c r="F667" i="59"/>
  <c r="B667" i="59"/>
  <c r="AO666" i="59"/>
  <c r="AP666" i="59" s="1"/>
  <c r="AN666" i="59"/>
  <c r="Z666" i="59"/>
  <c r="Q666" i="59"/>
  <c r="N666" i="59"/>
  <c r="L666" i="59"/>
  <c r="F666" i="59"/>
  <c r="B666" i="59"/>
  <c r="AO661" i="59"/>
  <c r="AP661" i="59" s="1"/>
  <c r="AN661" i="59"/>
  <c r="Z661" i="59"/>
  <c r="Q661" i="59"/>
  <c r="N661" i="59"/>
  <c r="L661" i="59"/>
  <c r="F661" i="59"/>
  <c r="B661" i="59"/>
  <c r="AO658" i="59"/>
  <c r="AP658" i="59" s="1"/>
  <c r="AN658" i="59"/>
  <c r="Z658" i="59"/>
  <c r="Q658" i="59"/>
  <c r="N658" i="59"/>
  <c r="L658" i="59"/>
  <c r="F658" i="59"/>
  <c r="B658" i="59"/>
  <c r="AO649" i="59"/>
  <c r="AP649" i="59" s="1"/>
  <c r="AN649" i="59"/>
  <c r="Z649" i="59"/>
  <c r="Q649" i="59"/>
  <c r="N649" i="59"/>
  <c r="L649" i="59"/>
  <c r="F649" i="59"/>
  <c r="B649" i="59"/>
  <c r="AO648" i="59"/>
  <c r="AP648" i="59" s="1"/>
  <c r="AN648" i="59"/>
  <c r="Z648" i="59"/>
  <c r="Q648" i="59"/>
  <c r="N648" i="59"/>
  <c r="L648" i="59"/>
  <c r="F648" i="59"/>
  <c r="B648" i="59"/>
  <c r="AO642" i="59"/>
  <c r="AP642" i="59" s="1"/>
  <c r="AN642" i="59"/>
  <c r="Z642" i="59"/>
  <c r="Q642" i="59"/>
  <c r="N642" i="59"/>
  <c r="L642" i="59"/>
  <c r="F642" i="59"/>
  <c r="B642" i="59"/>
  <c r="AO639" i="59"/>
  <c r="AP639" i="59" s="1"/>
  <c r="AN639" i="59"/>
  <c r="Z639" i="59"/>
  <c r="Q639" i="59"/>
  <c r="N639" i="59"/>
  <c r="L639" i="59"/>
  <c r="F639" i="59"/>
  <c r="B639" i="59"/>
  <c r="AO634" i="59"/>
  <c r="AP634" i="59" s="1"/>
  <c r="AN634" i="59"/>
  <c r="Z634" i="59"/>
  <c r="Q634" i="59"/>
  <c r="N634" i="59"/>
  <c r="L634" i="59"/>
  <c r="F634" i="59"/>
  <c r="B634" i="59"/>
  <c r="AO633" i="59"/>
  <c r="AP633" i="59" s="1"/>
  <c r="AN633" i="59"/>
  <c r="Z633" i="59"/>
  <c r="Q633" i="59"/>
  <c r="N633" i="59"/>
  <c r="L633" i="59"/>
  <c r="F633" i="59"/>
  <c r="B633" i="59"/>
  <c r="AO628" i="59"/>
  <c r="AP628" i="59" s="1"/>
  <c r="AN628" i="59"/>
  <c r="Z628" i="59"/>
  <c r="Q628" i="59"/>
  <c r="N628" i="59"/>
  <c r="L628" i="59"/>
  <c r="F628" i="59"/>
  <c r="B628" i="59"/>
  <c r="AO615" i="59"/>
  <c r="AP615" i="59" s="1"/>
  <c r="AN615" i="59"/>
  <c r="Z615" i="59"/>
  <c r="Q615" i="59"/>
  <c r="N615" i="59"/>
  <c r="L615" i="59"/>
  <c r="F615" i="59"/>
  <c r="B615" i="59"/>
  <c r="AO614" i="59"/>
  <c r="AP614" i="59" s="1"/>
  <c r="AN614" i="59"/>
  <c r="Z614" i="59"/>
  <c r="Q614" i="59"/>
  <c r="N614" i="59"/>
  <c r="L614" i="59"/>
  <c r="F614" i="59"/>
  <c r="B614" i="59"/>
  <c r="AO613" i="59"/>
  <c r="AP613" i="59" s="1"/>
  <c r="AN613" i="59"/>
  <c r="Z613" i="59"/>
  <c r="Q613" i="59"/>
  <c r="N613" i="59"/>
  <c r="L613" i="59"/>
  <c r="F613" i="59"/>
  <c r="B613" i="59"/>
  <c r="AO606" i="59"/>
  <c r="AP606" i="59" s="1"/>
  <c r="AN606" i="59"/>
  <c r="Z606" i="59"/>
  <c r="Q606" i="59"/>
  <c r="N606" i="59"/>
  <c r="L606" i="59"/>
  <c r="F606" i="59"/>
  <c r="B606" i="59"/>
  <c r="AO605" i="59"/>
  <c r="AP605" i="59" s="1"/>
  <c r="AN605" i="59"/>
  <c r="Z605" i="59"/>
  <c r="Q605" i="59"/>
  <c r="N605" i="59"/>
  <c r="L605" i="59"/>
  <c r="F605" i="59"/>
  <c r="B605" i="59"/>
  <c r="AO601" i="59"/>
  <c r="AP601" i="59" s="1"/>
  <c r="AN601" i="59"/>
  <c r="Z601" i="59"/>
  <c r="Q601" i="59"/>
  <c r="N601" i="59"/>
  <c r="L601" i="59"/>
  <c r="F601" i="59"/>
  <c r="B601" i="59"/>
  <c r="AO598" i="59"/>
  <c r="AP598" i="59" s="1"/>
  <c r="AN598" i="59"/>
  <c r="Z598" i="59"/>
  <c r="Q598" i="59"/>
  <c r="N598" i="59"/>
  <c r="L598" i="59"/>
  <c r="F598" i="59"/>
  <c r="B598" i="59"/>
  <c r="AO593" i="59"/>
  <c r="AP593" i="59" s="1"/>
  <c r="AN593" i="59"/>
  <c r="Z593" i="59"/>
  <c r="Q593" i="59"/>
  <c r="N593" i="59"/>
  <c r="L593" i="59"/>
  <c r="F593" i="59"/>
  <c r="B593" i="59"/>
  <c r="AO584" i="59"/>
  <c r="AP584" i="59" s="1"/>
  <c r="AN584" i="59"/>
  <c r="Z584" i="59"/>
  <c r="Q584" i="59"/>
  <c r="N584" i="59"/>
  <c r="L584" i="59"/>
  <c r="F584" i="59"/>
  <c r="B584" i="59"/>
  <c r="AO583" i="59"/>
  <c r="AP583" i="59" s="1"/>
  <c r="AN583" i="59"/>
  <c r="Z583" i="59"/>
  <c r="Q583" i="59"/>
  <c r="N583" i="59"/>
  <c r="L583" i="59"/>
  <c r="F583" i="59"/>
  <c r="B583" i="59"/>
  <c r="AO576" i="59"/>
  <c r="AP576" i="59" s="1"/>
  <c r="AN576" i="59"/>
  <c r="Z576" i="59"/>
  <c r="Q576" i="59"/>
  <c r="N576" i="59"/>
  <c r="L576" i="59"/>
  <c r="F576" i="59"/>
  <c r="B576" i="59"/>
  <c r="AO575" i="59"/>
  <c r="AP575" i="59" s="1"/>
  <c r="AN575" i="59"/>
  <c r="Z575" i="59"/>
  <c r="Q575" i="59"/>
  <c r="N575" i="59"/>
  <c r="L575" i="59"/>
  <c r="F575" i="59"/>
  <c r="B575" i="59"/>
  <c r="AO572" i="59"/>
  <c r="AP572" i="59" s="1"/>
  <c r="AN572" i="59"/>
  <c r="Z572" i="59"/>
  <c r="Q572" i="59"/>
  <c r="N572" i="59"/>
  <c r="L572" i="59"/>
  <c r="F572" i="59"/>
  <c r="B572" i="59"/>
  <c r="AO565" i="59"/>
  <c r="AP565" i="59" s="1"/>
  <c r="AN565" i="59"/>
  <c r="Z565" i="59"/>
  <c r="Q565" i="59"/>
  <c r="N565" i="59"/>
  <c r="L565" i="59"/>
  <c r="F565" i="59"/>
  <c r="B565" i="59"/>
  <c r="AO564" i="59"/>
  <c r="AP564" i="59" s="1"/>
  <c r="AN564" i="59"/>
  <c r="Z564" i="59"/>
  <c r="Q564" i="59"/>
  <c r="N564" i="59"/>
  <c r="L564" i="59"/>
  <c r="F564" i="59"/>
  <c r="B564" i="59"/>
  <c r="AO563" i="59"/>
  <c r="AP563" i="59" s="1"/>
  <c r="AN563" i="59"/>
  <c r="Z563" i="59"/>
  <c r="Q563" i="59"/>
  <c r="N563" i="59"/>
  <c r="L563" i="59"/>
  <c r="F563" i="59"/>
  <c r="B563" i="59"/>
  <c r="AO560" i="59"/>
  <c r="AP560" i="59" s="1"/>
  <c r="AN560" i="59"/>
  <c r="Z560" i="59"/>
  <c r="Q560" i="59"/>
  <c r="N560" i="59"/>
  <c r="L560" i="59"/>
  <c r="F560" i="59"/>
  <c r="B560" i="59"/>
  <c r="AO556" i="59"/>
  <c r="AP556" i="59" s="1"/>
  <c r="AN556" i="59"/>
  <c r="Z556" i="59"/>
  <c r="Q556" i="59"/>
  <c r="N556" i="59"/>
  <c r="L556" i="59"/>
  <c r="F556" i="59"/>
  <c r="B556" i="59"/>
  <c r="AO553" i="59"/>
  <c r="AP553" i="59" s="1"/>
  <c r="AN553" i="59"/>
  <c r="Z553" i="59"/>
  <c r="Q553" i="59"/>
  <c r="N553" i="59"/>
  <c r="L553" i="59"/>
  <c r="F553" i="59"/>
  <c r="B553" i="59"/>
  <c r="AO546" i="59"/>
  <c r="AP546" i="59" s="1"/>
  <c r="AN546" i="59"/>
  <c r="Z546" i="59"/>
  <c r="Q546" i="59"/>
  <c r="N546" i="59"/>
  <c r="L546" i="59"/>
  <c r="F546" i="59"/>
  <c r="B546" i="59"/>
  <c r="AO545" i="59"/>
  <c r="AP545" i="59" s="1"/>
  <c r="AN545" i="59"/>
  <c r="Z545" i="59"/>
  <c r="Q545" i="59"/>
  <c r="N545" i="59"/>
  <c r="L545" i="59"/>
  <c r="F545" i="59"/>
  <c r="B545" i="59"/>
  <c r="AO520" i="59"/>
  <c r="AP520" i="59" s="1"/>
  <c r="AN520" i="59"/>
  <c r="Z520" i="59"/>
  <c r="Q520" i="59"/>
  <c r="N520" i="59"/>
  <c r="L520" i="59"/>
  <c r="F520" i="59"/>
  <c r="B520" i="59"/>
  <c r="AO519" i="59"/>
  <c r="AP519" i="59" s="1"/>
  <c r="AN519" i="59"/>
  <c r="Z519" i="59"/>
  <c r="Q519" i="59"/>
  <c r="N519" i="59"/>
  <c r="L519" i="59"/>
  <c r="F519" i="59"/>
  <c r="B519" i="59"/>
  <c r="AO518" i="59"/>
  <c r="AP518" i="59" s="1"/>
  <c r="AN518" i="59"/>
  <c r="Z518" i="59"/>
  <c r="Q518" i="59"/>
  <c r="N518" i="59"/>
  <c r="L518" i="59"/>
  <c r="F518" i="59"/>
  <c r="B518" i="59"/>
  <c r="AO517" i="59"/>
  <c r="AP517" i="59" s="1"/>
  <c r="AN517" i="59"/>
  <c r="Z517" i="59"/>
  <c r="Q517" i="59"/>
  <c r="N517" i="59"/>
  <c r="L517" i="59"/>
  <c r="F517" i="59"/>
  <c r="B517" i="59"/>
  <c r="AO516" i="59"/>
  <c r="AP516" i="59" s="1"/>
  <c r="AN516" i="59"/>
  <c r="Z516" i="59"/>
  <c r="Q516" i="59"/>
  <c r="N516" i="59"/>
  <c r="L516" i="59"/>
  <c r="F516" i="59"/>
  <c r="B516" i="59"/>
  <c r="AO515" i="59"/>
  <c r="AP515" i="59" s="1"/>
  <c r="AN515" i="59"/>
  <c r="Z515" i="59"/>
  <c r="Q515" i="59"/>
  <c r="N515" i="59"/>
  <c r="L515" i="59"/>
  <c r="F515" i="59"/>
  <c r="B515" i="59"/>
  <c r="AO514" i="59"/>
  <c r="AP514" i="59" s="1"/>
  <c r="AN514" i="59"/>
  <c r="Z514" i="59"/>
  <c r="Q514" i="59"/>
  <c r="N514" i="59"/>
  <c r="L514" i="59"/>
  <c r="F514" i="59"/>
  <c r="B514" i="59"/>
  <c r="AO513" i="59"/>
  <c r="AP513" i="59" s="1"/>
  <c r="AN513" i="59"/>
  <c r="Z513" i="59"/>
  <c r="Q513" i="59"/>
  <c r="N513" i="59"/>
  <c r="L513" i="59"/>
  <c r="F513" i="59"/>
  <c r="B513" i="59"/>
  <c r="AO479" i="59"/>
  <c r="AP479" i="59" s="1"/>
  <c r="AN479" i="59"/>
  <c r="Z479" i="59"/>
  <c r="Q479" i="59"/>
  <c r="N479" i="59"/>
  <c r="L479" i="59"/>
  <c r="F479" i="59"/>
  <c r="B479" i="59"/>
  <c r="AO478" i="59"/>
  <c r="AP478" i="59" s="1"/>
  <c r="AN478" i="59"/>
  <c r="Z478" i="59"/>
  <c r="Q478" i="59"/>
  <c r="N478" i="59"/>
  <c r="L478" i="59"/>
  <c r="F478" i="59"/>
  <c r="B478" i="59"/>
  <c r="AO477" i="59"/>
  <c r="AP477" i="59" s="1"/>
  <c r="AN477" i="59"/>
  <c r="Z477" i="59"/>
  <c r="Q477" i="59"/>
  <c r="N477" i="59"/>
  <c r="L477" i="59"/>
  <c r="F477" i="59"/>
  <c r="B477" i="59"/>
  <c r="AO476" i="59"/>
  <c r="AP476" i="59" s="1"/>
  <c r="AN476" i="59"/>
  <c r="Z476" i="59"/>
  <c r="Q476" i="59"/>
  <c r="N476" i="59"/>
  <c r="L476" i="59"/>
  <c r="F476" i="59"/>
  <c r="B476" i="59"/>
  <c r="AO475" i="59"/>
  <c r="AP475" i="59" s="1"/>
  <c r="AN475" i="59"/>
  <c r="Z475" i="59"/>
  <c r="Q475" i="59"/>
  <c r="N475" i="59"/>
  <c r="L475" i="59"/>
  <c r="F475" i="59"/>
  <c r="B475" i="59"/>
  <c r="AO474" i="59"/>
  <c r="AP474" i="59" s="1"/>
  <c r="AN474" i="59"/>
  <c r="Z474" i="59"/>
  <c r="Q474" i="59"/>
  <c r="N474" i="59"/>
  <c r="L474" i="59"/>
  <c r="F474" i="59"/>
  <c r="B474" i="59"/>
  <c r="AO473" i="59"/>
  <c r="AP473" i="59" s="1"/>
  <c r="AN473" i="59"/>
  <c r="Z473" i="59"/>
  <c r="Q473" i="59"/>
  <c r="N473" i="59"/>
  <c r="L473" i="59"/>
  <c r="F473" i="59"/>
  <c r="B473" i="59"/>
  <c r="AO472" i="59"/>
  <c r="AP472" i="59" s="1"/>
  <c r="AN472" i="59"/>
  <c r="Z472" i="59"/>
  <c r="Q472" i="59"/>
  <c r="N472" i="59"/>
  <c r="L472" i="59"/>
  <c r="F472" i="59"/>
  <c r="B472" i="59"/>
  <c r="AO471" i="59"/>
  <c r="AP471" i="59" s="1"/>
  <c r="AN471" i="59"/>
  <c r="Z471" i="59"/>
  <c r="Q471" i="59"/>
  <c r="N471" i="59"/>
  <c r="L471" i="59"/>
  <c r="F471" i="59"/>
  <c r="B471" i="59"/>
  <c r="AO470" i="59"/>
  <c r="AP470" i="59" s="1"/>
  <c r="AN470" i="59"/>
  <c r="Z470" i="59"/>
  <c r="Q470" i="59"/>
  <c r="N470" i="59"/>
  <c r="L470" i="59"/>
  <c r="F470" i="59"/>
  <c r="B470" i="59"/>
  <c r="AO469" i="59"/>
  <c r="AP469" i="59" s="1"/>
  <c r="AN469" i="59"/>
  <c r="Z469" i="59"/>
  <c r="Q469" i="59"/>
  <c r="N469" i="59"/>
  <c r="L469" i="59"/>
  <c r="F469" i="59"/>
  <c r="B469" i="59"/>
  <c r="AO444" i="59"/>
  <c r="AP444" i="59" s="1"/>
  <c r="AN444" i="59"/>
  <c r="Z444" i="59"/>
  <c r="Q444" i="59"/>
  <c r="N444" i="59"/>
  <c r="L444" i="59"/>
  <c r="F444" i="59"/>
  <c r="B444" i="59"/>
  <c r="AO443" i="59"/>
  <c r="AP443" i="59" s="1"/>
  <c r="AN443" i="59"/>
  <c r="Z443" i="59"/>
  <c r="Q443" i="59"/>
  <c r="N443" i="59"/>
  <c r="L443" i="59"/>
  <c r="F443" i="59"/>
  <c r="B443" i="59"/>
  <c r="AO442" i="59"/>
  <c r="AP442" i="59" s="1"/>
  <c r="AN442" i="59"/>
  <c r="Z442" i="59"/>
  <c r="Q442" i="59"/>
  <c r="N442" i="59"/>
  <c r="L442" i="59"/>
  <c r="F442" i="59"/>
  <c r="B442" i="59"/>
  <c r="AO441" i="59"/>
  <c r="AP441" i="59" s="1"/>
  <c r="AN441" i="59"/>
  <c r="Z441" i="59"/>
  <c r="Q441" i="59"/>
  <c r="N441" i="59"/>
  <c r="L441" i="59"/>
  <c r="F441" i="59"/>
  <c r="B441" i="59"/>
  <c r="AO440" i="59"/>
  <c r="AP440" i="59" s="1"/>
  <c r="AN440" i="59"/>
  <c r="Z440" i="59"/>
  <c r="Q440" i="59"/>
  <c r="N440" i="59"/>
  <c r="L440" i="59"/>
  <c r="F440" i="59"/>
  <c r="B440" i="59"/>
  <c r="AO439" i="59"/>
  <c r="AP439" i="59" s="1"/>
  <c r="AN439" i="59"/>
  <c r="Z439" i="59"/>
  <c r="Q439" i="59"/>
  <c r="N439" i="59"/>
  <c r="L439" i="59"/>
  <c r="F439" i="59"/>
  <c r="B439" i="59"/>
  <c r="AO438" i="59"/>
  <c r="AP438" i="59" s="1"/>
  <c r="AN438" i="59"/>
  <c r="Z438" i="59"/>
  <c r="Q438" i="59"/>
  <c r="N438" i="59"/>
  <c r="L438" i="59"/>
  <c r="F438" i="59"/>
  <c r="B438" i="59"/>
  <c r="AO437" i="59"/>
  <c r="AP437" i="59" s="1"/>
  <c r="AN437" i="59"/>
  <c r="Z437" i="59"/>
  <c r="Q437" i="59"/>
  <c r="N437" i="59"/>
  <c r="L437" i="59"/>
  <c r="F437" i="59"/>
  <c r="B437" i="59"/>
  <c r="AO436" i="59"/>
  <c r="AP436" i="59" s="1"/>
  <c r="AN436" i="59"/>
  <c r="Z436" i="59"/>
  <c r="Q436" i="59"/>
  <c r="N436" i="59"/>
  <c r="L436" i="59"/>
  <c r="F436" i="59"/>
  <c r="B436" i="59"/>
  <c r="AO435" i="59"/>
  <c r="AP435" i="59" s="1"/>
  <c r="AN435" i="59"/>
  <c r="Z435" i="59"/>
  <c r="Q435" i="59"/>
  <c r="N435" i="59"/>
  <c r="L435" i="59"/>
  <c r="F435" i="59"/>
  <c r="B435" i="59"/>
  <c r="AO434" i="59"/>
  <c r="AP434" i="59" s="1"/>
  <c r="AN434" i="59"/>
  <c r="Z434" i="59"/>
  <c r="Q434" i="59"/>
  <c r="N434" i="59"/>
  <c r="L434" i="59"/>
  <c r="F434" i="59"/>
  <c r="B434" i="59"/>
  <c r="AO433" i="59"/>
  <c r="AP433" i="59" s="1"/>
  <c r="AN433" i="59"/>
  <c r="Z433" i="59"/>
  <c r="Q433" i="59"/>
  <c r="N433" i="59"/>
  <c r="L433" i="59"/>
  <c r="F433" i="59"/>
  <c r="B433" i="59"/>
  <c r="AO430" i="59"/>
  <c r="AP430" i="59" s="1"/>
  <c r="AN430" i="59"/>
  <c r="Z430" i="59"/>
  <c r="Q430" i="59"/>
  <c r="N430" i="59"/>
  <c r="L430" i="59"/>
  <c r="F430" i="59"/>
  <c r="B430" i="59"/>
  <c r="AN404" i="59"/>
  <c r="Z404" i="59"/>
  <c r="Q404" i="59"/>
  <c r="N404" i="59"/>
  <c r="L404" i="59"/>
  <c r="F404" i="59"/>
  <c r="B404" i="59"/>
  <c r="AN403" i="59"/>
  <c r="Z403" i="59"/>
  <c r="Q403" i="59"/>
  <c r="N403" i="59"/>
  <c r="L403" i="59"/>
  <c r="F403" i="59"/>
  <c r="B403" i="59"/>
  <c r="AN402" i="59"/>
  <c r="Z402" i="59"/>
  <c r="Q402" i="59"/>
  <c r="O402" i="59"/>
  <c r="N402" i="59"/>
  <c r="L402" i="59"/>
  <c r="F402" i="59"/>
  <c r="B402" i="59"/>
  <c r="AN401" i="59"/>
  <c r="Z401" i="59"/>
  <c r="Q401" i="59"/>
  <c r="O401" i="59"/>
  <c r="N401" i="59"/>
  <c r="L401" i="59"/>
  <c r="F401" i="59"/>
  <c r="B401" i="59"/>
  <c r="AN400" i="59"/>
  <c r="Z400" i="59"/>
  <c r="Q400" i="59"/>
  <c r="N400" i="59"/>
  <c r="L400" i="59"/>
  <c r="F400" i="59"/>
  <c r="B400" i="59"/>
  <c r="AN395" i="59"/>
  <c r="Z395" i="59"/>
  <c r="Q395" i="59"/>
  <c r="N395" i="59"/>
  <c r="L395" i="59"/>
  <c r="F395" i="59"/>
  <c r="B395" i="59"/>
  <c r="AN394" i="59"/>
  <c r="Z394" i="59"/>
  <c r="Q394" i="59"/>
  <c r="N394" i="59"/>
  <c r="L394" i="59"/>
  <c r="F394" i="59"/>
  <c r="B394" i="59"/>
  <c r="AN367" i="59"/>
  <c r="Z367" i="59"/>
  <c r="Q367" i="59"/>
  <c r="N367" i="59"/>
  <c r="L367" i="59"/>
  <c r="F367" i="59"/>
  <c r="B367" i="59"/>
  <c r="AN366" i="59"/>
  <c r="Z366" i="59"/>
  <c r="Q366" i="59"/>
  <c r="O366" i="59"/>
  <c r="N366" i="59"/>
  <c r="L366" i="59"/>
  <c r="F366" i="59"/>
  <c r="B366" i="59"/>
  <c r="AN365" i="59"/>
  <c r="Z365" i="59"/>
  <c r="Q365" i="59"/>
  <c r="O365" i="59"/>
  <c r="N365" i="59"/>
  <c r="L365" i="59"/>
  <c r="F365" i="59"/>
  <c r="B365" i="59"/>
  <c r="AN364" i="59"/>
  <c r="Z364" i="59"/>
  <c r="Q364" i="59"/>
  <c r="O364" i="59"/>
  <c r="N364" i="59"/>
  <c r="L364" i="59"/>
  <c r="F364" i="59"/>
  <c r="B364" i="59"/>
  <c r="AN363" i="59"/>
  <c r="Z363" i="59"/>
  <c r="Q363" i="59"/>
  <c r="O363" i="59"/>
  <c r="N363" i="59"/>
  <c r="L363" i="59"/>
  <c r="F363" i="59"/>
  <c r="B363" i="59"/>
  <c r="AN362" i="59"/>
  <c r="Z362" i="59"/>
  <c r="Q362" i="59"/>
  <c r="N362" i="59"/>
  <c r="L362" i="59"/>
  <c r="F362" i="59"/>
  <c r="B362" i="59"/>
  <c r="AN361" i="59"/>
  <c r="Z361" i="59"/>
  <c r="Q361" i="59"/>
  <c r="O361" i="59"/>
  <c r="N361" i="59"/>
  <c r="L361" i="59"/>
  <c r="F361" i="59"/>
  <c r="B361" i="59"/>
  <c r="AN360" i="59"/>
  <c r="Z360" i="59"/>
  <c r="Q360" i="59"/>
  <c r="O360" i="59"/>
  <c r="N360" i="59"/>
  <c r="L360" i="59"/>
  <c r="F360" i="59"/>
  <c r="B360" i="59"/>
  <c r="AN359" i="59"/>
  <c r="Z359" i="59"/>
  <c r="Q359" i="59"/>
  <c r="O359" i="59"/>
  <c r="N359" i="59"/>
  <c r="L359" i="59"/>
  <c r="F359" i="59"/>
  <c r="B359" i="59"/>
  <c r="AN358" i="59"/>
  <c r="Z358" i="59"/>
  <c r="Q358" i="59"/>
  <c r="O358" i="59"/>
  <c r="N358" i="59"/>
  <c r="L358" i="59"/>
  <c r="F358" i="59"/>
  <c r="B358" i="59"/>
  <c r="AN357" i="59"/>
  <c r="Z357" i="59"/>
  <c r="Q357" i="59"/>
  <c r="O357" i="59"/>
  <c r="N357" i="59"/>
  <c r="L357" i="59"/>
  <c r="F357" i="59"/>
  <c r="B357" i="59"/>
  <c r="AN356" i="59"/>
  <c r="Z356" i="59"/>
  <c r="Q356" i="59"/>
  <c r="O356" i="59"/>
  <c r="N356" i="59"/>
  <c r="L356" i="59"/>
  <c r="F356" i="59"/>
  <c r="B356" i="59"/>
  <c r="AN355" i="59"/>
  <c r="Z355" i="59"/>
  <c r="Q355" i="59"/>
  <c r="O355" i="59"/>
  <c r="N355" i="59"/>
  <c r="L355" i="59"/>
  <c r="F355" i="59"/>
  <c r="B355" i="59"/>
  <c r="AO354" i="59"/>
  <c r="AP354" i="59" s="1"/>
  <c r="AN354" i="59"/>
  <c r="Z354" i="59"/>
  <c r="Q354" i="59"/>
  <c r="N354" i="59"/>
  <c r="L354" i="59"/>
  <c r="F354" i="59"/>
  <c r="B354" i="59"/>
  <c r="AO350" i="59"/>
  <c r="AP350" i="59" s="1"/>
  <c r="AN350" i="59"/>
  <c r="Z350" i="59"/>
  <c r="Q350" i="59"/>
  <c r="N350" i="59"/>
  <c r="L350" i="59"/>
  <c r="F350" i="59"/>
  <c r="B350" i="59"/>
  <c r="AO345" i="59"/>
  <c r="AP345" i="59" s="1"/>
  <c r="AN345" i="59"/>
  <c r="Z345" i="59"/>
  <c r="Q345" i="59"/>
  <c r="N345" i="59"/>
  <c r="L345" i="59"/>
  <c r="F345" i="59"/>
  <c r="B345" i="59"/>
  <c r="AO343" i="59"/>
  <c r="AP343" i="59" s="1"/>
  <c r="AN343" i="59"/>
  <c r="Z343" i="59"/>
  <c r="Q343" i="59"/>
  <c r="N343" i="59"/>
  <c r="L343" i="59"/>
  <c r="F343" i="59"/>
  <c r="B343" i="59"/>
  <c r="AO339" i="59"/>
  <c r="AP339" i="59" s="1"/>
  <c r="AN339" i="59"/>
  <c r="Z339" i="59"/>
  <c r="Q339" i="59"/>
  <c r="N339" i="59"/>
  <c r="L339" i="59"/>
  <c r="F339" i="59"/>
  <c r="B339" i="59"/>
  <c r="AO337" i="59"/>
  <c r="AP337" i="59" s="1"/>
  <c r="AN337" i="59"/>
  <c r="Z337" i="59"/>
  <c r="Q337" i="59"/>
  <c r="N337" i="59"/>
  <c r="L337" i="59"/>
  <c r="F337" i="59"/>
  <c r="B337" i="59"/>
  <c r="AO333" i="59"/>
  <c r="AP333" i="59" s="1"/>
  <c r="AN333" i="59"/>
  <c r="Z333" i="59"/>
  <c r="Q333" i="59"/>
  <c r="N333" i="59"/>
  <c r="L333" i="59"/>
  <c r="F333" i="59"/>
  <c r="B333" i="59"/>
  <c r="AO330" i="59"/>
  <c r="AP330" i="59" s="1"/>
  <c r="AN330" i="59"/>
  <c r="Z330" i="59"/>
  <c r="Q330" i="59"/>
  <c r="N330" i="59"/>
  <c r="L330" i="59"/>
  <c r="F330" i="59"/>
  <c r="B330" i="59"/>
  <c r="AO324" i="59"/>
  <c r="AP324" i="59" s="1"/>
  <c r="AN324" i="59"/>
  <c r="Z324" i="59"/>
  <c r="Q324" i="59"/>
  <c r="N324" i="59"/>
  <c r="L324" i="59"/>
  <c r="F324" i="59"/>
  <c r="B324" i="59"/>
  <c r="AO319" i="59"/>
  <c r="AP319" i="59" s="1"/>
  <c r="AN319" i="59"/>
  <c r="Z319" i="59"/>
  <c r="Q319" i="59"/>
  <c r="N319" i="59"/>
  <c r="L319" i="59"/>
  <c r="F319" i="59"/>
  <c r="B319" i="59"/>
  <c r="AO314" i="59"/>
  <c r="AP314" i="59" s="1"/>
  <c r="AN314" i="59"/>
  <c r="Z314" i="59"/>
  <c r="Q314" i="59"/>
  <c r="N314" i="59"/>
  <c r="L314" i="59"/>
  <c r="F314" i="59"/>
  <c r="B314" i="59"/>
  <c r="AO311" i="59"/>
  <c r="AP311" i="59" s="1"/>
  <c r="AN311" i="59"/>
  <c r="Z311" i="59"/>
  <c r="Q311" i="59"/>
  <c r="N311" i="59"/>
  <c r="L311" i="59"/>
  <c r="F311" i="59"/>
  <c r="B311" i="59"/>
  <c r="AO307" i="59"/>
  <c r="AP307" i="59" s="1"/>
  <c r="AN307" i="59"/>
  <c r="Z307" i="59"/>
  <c r="Q307" i="59"/>
  <c r="N307" i="59"/>
  <c r="L307" i="59"/>
  <c r="F307" i="59"/>
  <c r="B307" i="59"/>
  <c r="AO298" i="59"/>
  <c r="AP298" i="59" s="1"/>
  <c r="AN298" i="59"/>
  <c r="Z298" i="59"/>
  <c r="Q298" i="59"/>
  <c r="N298" i="59"/>
  <c r="L298" i="59"/>
  <c r="F298" i="59"/>
  <c r="B298" i="59"/>
  <c r="AO297" i="59"/>
  <c r="AP297" i="59" s="1"/>
  <c r="AN297" i="59"/>
  <c r="Z297" i="59"/>
  <c r="Q297" i="59"/>
  <c r="N297" i="59"/>
  <c r="L297" i="59"/>
  <c r="F297" i="59"/>
  <c r="B297" i="59"/>
  <c r="AO288" i="59"/>
  <c r="AP288" i="59" s="1"/>
  <c r="AN288" i="59"/>
  <c r="Z288" i="59"/>
  <c r="Q288" i="59"/>
  <c r="N288" i="59"/>
  <c r="L288" i="59"/>
  <c r="F288" i="59"/>
  <c r="B288" i="59"/>
  <c r="AO287" i="59"/>
  <c r="AP287" i="59" s="1"/>
  <c r="AN287" i="59"/>
  <c r="Z287" i="59"/>
  <c r="Q287" i="59"/>
  <c r="N287" i="59"/>
  <c r="L287" i="59"/>
  <c r="F287" i="59"/>
  <c r="B287" i="59"/>
  <c r="AO283" i="59"/>
  <c r="AP283" i="59" s="1"/>
  <c r="AN283" i="59"/>
  <c r="Z283" i="59"/>
  <c r="Q283" i="59"/>
  <c r="N283" i="59"/>
  <c r="L283" i="59"/>
  <c r="F283" i="59"/>
  <c r="B283" i="59"/>
  <c r="AO280" i="59"/>
  <c r="AP280" i="59" s="1"/>
  <c r="AN280" i="59"/>
  <c r="Z280" i="59"/>
  <c r="Q280" i="59"/>
  <c r="N280" i="59"/>
  <c r="L280" i="59"/>
  <c r="F280" i="59"/>
  <c r="B280" i="59"/>
  <c r="AO273" i="59"/>
  <c r="AP273" i="59" s="1"/>
  <c r="AN273" i="59"/>
  <c r="Z273" i="59"/>
  <c r="Q273" i="59"/>
  <c r="N273" i="59"/>
  <c r="L273" i="59"/>
  <c r="F273" i="59"/>
  <c r="B273" i="59"/>
  <c r="AO272" i="59"/>
  <c r="AP272" i="59" s="1"/>
  <c r="AN272" i="59"/>
  <c r="Z272" i="59"/>
  <c r="Q272" i="59"/>
  <c r="N272" i="59"/>
  <c r="L272" i="59"/>
  <c r="F272" i="59"/>
  <c r="B272" i="59"/>
  <c r="AO259" i="59"/>
  <c r="AP259" i="59" s="1"/>
  <c r="AN259" i="59"/>
  <c r="Z259" i="59"/>
  <c r="Q259" i="59"/>
  <c r="N259" i="59"/>
  <c r="L259" i="59"/>
  <c r="F259" i="59"/>
  <c r="B259" i="59"/>
  <c r="AO258" i="59"/>
  <c r="AP258" i="59" s="1"/>
  <c r="AN258" i="59"/>
  <c r="Z258" i="59"/>
  <c r="Q258" i="59"/>
  <c r="N258" i="59"/>
  <c r="L258" i="59"/>
  <c r="F258" i="59"/>
  <c r="B258" i="59"/>
  <c r="AO257" i="59"/>
  <c r="AP257" i="59" s="1"/>
  <c r="AN257" i="59"/>
  <c r="Z257" i="59"/>
  <c r="Q257" i="59"/>
  <c r="N257" i="59"/>
  <c r="L257" i="59"/>
  <c r="F257" i="59"/>
  <c r="B257" i="59"/>
  <c r="AO254" i="59"/>
  <c r="AP254" i="59" s="1"/>
  <c r="AN254" i="59"/>
  <c r="Z254" i="59"/>
  <c r="Q254" i="59"/>
  <c r="N254" i="59"/>
  <c r="L254" i="59"/>
  <c r="F254" i="59"/>
  <c r="B254" i="59"/>
  <c r="AO248" i="59"/>
  <c r="AP248" i="59" s="1"/>
  <c r="AN248" i="59"/>
  <c r="Z248" i="59"/>
  <c r="Q248" i="59"/>
  <c r="N248" i="59"/>
  <c r="L248" i="59"/>
  <c r="F248" i="59"/>
  <c r="B248" i="59"/>
  <c r="AO237" i="59"/>
  <c r="AP237" i="59" s="1"/>
  <c r="AN237" i="59"/>
  <c r="Z237" i="59"/>
  <c r="Q237" i="59"/>
  <c r="N237" i="59"/>
  <c r="L237" i="59"/>
  <c r="F237" i="59"/>
  <c r="B237" i="59"/>
  <c r="AO236" i="59"/>
  <c r="AP236" i="59" s="1"/>
  <c r="AN236" i="59"/>
  <c r="Z236" i="59"/>
  <c r="Q236" i="59"/>
  <c r="N236" i="59"/>
  <c r="L236" i="59"/>
  <c r="F236" i="59"/>
  <c r="B236" i="59"/>
  <c r="AO233" i="59"/>
  <c r="AP233" i="59" s="1"/>
  <c r="AN233" i="59"/>
  <c r="Z233" i="59"/>
  <c r="Q233" i="59"/>
  <c r="N233" i="59"/>
  <c r="L233" i="59"/>
  <c r="F233" i="59"/>
  <c r="B233" i="59"/>
  <c r="AO229" i="59"/>
  <c r="AP229" i="59" s="1"/>
  <c r="AN229" i="59"/>
  <c r="Z229" i="59"/>
  <c r="Q229" i="59"/>
  <c r="N229" i="59"/>
  <c r="L229" i="59"/>
  <c r="F229" i="59"/>
  <c r="B229" i="59"/>
  <c r="AO222" i="59"/>
  <c r="AP222" i="59" s="1"/>
  <c r="AN222" i="59"/>
  <c r="Z222" i="59"/>
  <c r="Q222" i="59"/>
  <c r="N222" i="59"/>
  <c r="L222" i="59"/>
  <c r="F222" i="59"/>
  <c r="B222" i="59"/>
  <c r="AO221" i="59"/>
  <c r="AP221" i="59" s="1"/>
  <c r="AN221" i="59"/>
  <c r="Z221" i="59"/>
  <c r="Q221" i="59"/>
  <c r="N221" i="59"/>
  <c r="L221" i="59"/>
  <c r="F221" i="59"/>
  <c r="B221" i="59"/>
  <c r="AO220" i="59"/>
  <c r="AP220" i="59" s="1"/>
  <c r="AN220" i="59"/>
  <c r="Z220" i="59"/>
  <c r="Q220" i="59"/>
  <c r="N220" i="59"/>
  <c r="L220" i="59"/>
  <c r="F220" i="59"/>
  <c r="B220" i="59"/>
  <c r="AO213" i="59"/>
  <c r="AP213" i="59" s="1"/>
  <c r="AN213" i="59"/>
  <c r="Z213" i="59"/>
  <c r="Q213" i="59"/>
  <c r="N213" i="59"/>
  <c r="L213" i="59"/>
  <c r="F213" i="59"/>
  <c r="B213" i="59"/>
  <c r="AO212" i="59"/>
  <c r="AP212" i="59" s="1"/>
  <c r="AN212" i="59"/>
  <c r="Z212" i="59"/>
  <c r="Q212" i="59"/>
  <c r="N212" i="59"/>
  <c r="L212" i="59"/>
  <c r="F212" i="59"/>
  <c r="B212" i="59"/>
  <c r="AO208" i="59"/>
  <c r="AP208" i="59" s="1"/>
  <c r="AN208" i="59"/>
  <c r="Z208" i="59"/>
  <c r="Q208" i="59"/>
  <c r="N208" i="59"/>
  <c r="L208" i="59"/>
  <c r="F208" i="59"/>
  <c r="B208" i="59"/>
  <c r="AO204" i="59"/>
  <c r="AP204" i="59" s="1"/>
  <c r="AN204" i="59"/>
  <c r="Z204" i="59"/>
  <c r="Q204" i="59"/>
  <c r="N204" i="59"/>
  <c r="L204" i="59"/>
  <c r="F204" i="59"/>
  <c r="B204" i="59"/>
  <c r="AO197" i="59"/>
  <c r="AP197" i="59" s="1"/>
  <c r="AN197" i="59"/>
  <c r="Z197" i="59"/>
  <c r="Q197" i="59"/>
  <c r="N197" i="59"/>
  <c r="L197" i="59"/>
  <c r="F197" i="59"/>
  <c r="B197" i="59"/>
  <c r="AO196" i="59"/>
  <c r="AP196" i="59" s="1"/>
  <c r="AN196" i="59"/>
  <c r="Z196" i="59"/>
  <c r="Q196" i="59"/>
  <c r="N196" i="59"/>
  <c r="L196" i="59"/>
  <c r="F196" i="59"/>
  <c r="B196" i="59"/>
  <c r="AO195" i="59"/>
  <c r="AP195" i="59" s="1"/>
  <c r="AN195" i="59"/>
  <c r="Z195" i="59"/>
  <c r="Q195" i="59"/>
  <c r="N195" i="59"/>
  <c r="L195" i="59"/>
  <c r="F195" i="59"/>
  <c r="B195" i="59"/>
  <c r="AO190" i="59"/>
  <c r="AP190" i="59" s="1"/>
  <c r="AN190" i="59"/>
  <c r="Z190" i="59"/>
  <c r="Q190" i="59"/>
  <c r="N190" i="59"/>
  <c r="L190" i="59"/>
  <c r="F190" i="59"/>
  <c r="B190" i="59"/>
  <c r="AO187" i="59"/>
  <c r="AP187" i="59" s="1"/>
  <c r="AN187" i="59"/>
  <c r="Z187" i="59"/>
  <c r="Q187" i="59"/>
  <c r="N187" i="59"/>
  <c r="L187" i="59"/>
  <c r="F187" i="59"/>
  <c r="B187" i="59"/>
  <c r="AO181" i="59"/>
  <c r="AP181" i="59" s="1"/>
  <c r="AN181" i="59"/>
  <c r="Z181" i="59"/>
  <c r="Q181" i="59"/>
  <c r="N181" i="59"/>
  <c r="L181" i="59"/>
  <c r="F181" i="59"/>
  <c r="B181" i="59"/>
  <c r="AO177" i="59"/>
  <c r="AP177" i="59" s="1"/>
  <c r="AN177" i="59"/>
  <c r="Z177" i="59"/>
  <c r="Q177" i="59"/>
  <c r="N177" i="59"/>
  <c r="L177" i="59"/>
  <c r="F177" i="59"/>
  <c r="B177" i="59"/>
  <c r="AO173" i="59"/>
  <c r="AP173" i="59" s="1"/>
  <c r="AN173" i="59"/>
  <c r="Z173" i="59"/>
  <c r="Q173" i="59"/>
  <c r="N173" i="59"/>
  <c r="L173" i="59"/>
  <c r="F173" i="59"/>
  <c r="B173" i="59"/>
  <c r="AO169" i="59"/>
  <c r="AP169" i="59" s="1"/>
  <c r="AN169" i="59"/>
  <c r="Z169" i="59"/>
  <c r="Q169" i="59"/>
  <c r="N169" i="59"/>
  <c r="L169" i="59"/>
  <c r="F169" i="59"/>
  <c r="B169" i="59"/>
  <c r="AO166" i="59"/>
  <c r="AP166" i="59" s="1"/>
  <c r="AN166" i="59"/>
  <c r="Z166" i="59"/>
  <c r="Q166" i="59"/>
  <c r="N166" i="59"/>
  <c r="L166" i="59"/>
  <c r="F166" i="59"/>
  <c r="B166" i="59"/>
  <c r="AO159" i="59"/>
  <c r="AP159" i="59" s="1"/>
  <c r="AN159" i="59"/>
  <c r="Z159" i="59"/>
  <c r="Q159" i="59"/>
  <c r="N159" i="59"/>
  <c r="L159" i="59"/>
  <c r="F159" i="59"/>
  <c r="B159" i="59"/>
  <c r="AO158" i="59"/>
  <c r="AP158" i="59" s="1"/>
  <c r="AN158" i="59"/>
  <c r="Z158" i="59"/>
  <c r="Q158" i="59"/>
  <c r="N158" i="59"/>
  <c r="L158" i="59"/>
  <c r="F158" i="59"/>
  <c r="B158" i="59"/>
  <c r="AO154" i="59"/>
  <c r="AP154" i="59" s="1"/>
  <c r="AN154" i="59"/>
  <c r="Z154" i="59"/>
  <c r="Q154" i="59"/>
  <c r="N154" i="59"/>
  <c r="L154" i="59"/>
  <c r="F154" i="59"/>
  <c r="B154" i="59"/>
  <c r="AO129" i="59"/>
  <c r="AP129" i="59" s="1"/>
  <c r="AN129" i="59"/>
  <c r="Z129" i="59"/>
  <c r="Q129" i="59"/>
  <c r="N129" i="59"/>
  <c r="L129" i="59"/>
  <c r="F129" i="59"/>
  <c r="B129" i="59"/>
  <c r="AO128" i="59"/>
  <c r="AP128" i="59" s="1"/>
  <c r="AN128" i="59"/>
  <c r="Z128" i="59"/>
  <c r="Q128" i="59"/>
  <c r="N128" i="59"/>
  <c r="L128" i="59"/>
  <c r="F128" i="59"/>
  <c r="B128" i="59"/>
  <c r="AO127" i="59"/>
  <c r="AP127" i="59" s="1"/>
  <c r="AN127" i="59"/>
  <c r="Z127" i="59"/>
  <c r="Q127" i="59"/>
  <c r="N127" i="59"/>
  <c r="L127" i="59"/>
  <c r="F127" i="59"/>
  <c r="B127" i="59"/>
  <c r="AO126" i="59"/>
  <c r="AP126" i="59" s="1"/>
  <c r="AN126" i="59"/>
  <c r="Z126" i="59"/>
  <c r="Q126" i="59"/>
  <c r="N126" i="59"/>
  <c r="L126" i="59"/>
  <c r="F126" i="59"/>
  <c r="B126" i="59"/>
  <c r="AO125" i="59"/>
  <c r="AP125" i="59" s="1"/>
  <c r="AN125" i="59"/>
  <c r="Z125" i="59"/>
  <c r="Q125" i="59"/>
  <c r="N125" i="59"/>
  <c r="L125" i="59"/>
  <c r="F125" i="59"/>
  <c r="B125" i="59"/>
  <c r="AO124" i="59"/>
  <c r="AP124" i="59" s="1"/>
  <c r="AN124" i="59"/>
  <c r="Z124" i="59"/>
  <c r="Q124" i="59"/>
  <c r="N124" i="59"/>
  <c r="L124" i="59"/>
  <c r="F124" i="59"/>
  <c r="B124" i="59"/>
  <c r="AO123" i="59"/>
  <c r="AP123" i="59" s="1"/>
  <c r="AN123" i="59"/>
  <c r="Z123" i="59"/>
  <c r="Q123" i="59"/>
  <c r="N123" i="59"/>
  <c r="L123" i="59"/>
  <c r="F123" i="59"/>
  <c r="B123" i="59"/>
  <c r="AO122" i="59"/>
  <c r="AP122" i="59" s="1"/>
  <c r="AN122" i="59"/>
  <c r="Z122" i="59"/>
  <c r="Q122" i="59"/>
  <c r="N122" i="59"/>
  <c r="L122" i="59"/>
  <c r="F122" i="59"/>
  <c r="B122" i="59"/>
  <c r="AO118" i="59"/>
  <c r="AP118" i="59" s="1"/>
  <c r="AN118" i="59"/>
  <c r="Z118" i="59"/>
  <c r="Q118" i="59"/>
  <c r="N118" i="59"/>
  <c r="L118" i="59"/>
  <c r="F118" i="59"/>
  <c r="B118" i="59"/>
  <c r="AO111" i="59"/>
  <c r="AP111" i="59" s="1"/>
  <c r="AN111" i="59"/>
  <c r="Z111" i="59"/>
  <c r="Q111" i="59"/>
  <c r="N111" i="59"/>
  <c r="L111" i="59"/>
  <c r="F111" i="59"/>
  <c r="B111" i="59"/>
  <c r="AO110" i="59"/>
  <c r="AP110" i="59" s="1"/>
  <c r="AN110" i="59"/>
  <c r="Z110" i="59"/>
  <c r="Q110" i="59"/>
  <c r="N110" i="59"/>
  <c r="L110" i="59"/>
  <c r="F110" i="59"/>
  <c r="B110" i="59"/>
  <c r="AN103" i="59"/>
  <c r="Z103" i="59"/>
  <c r="Q103" i="59"/>
  <c r="N103" i="59"/>
  <c r="L103" i="59"/>
  <c r="F103" i="59"/>
  <c r="B103" i="59"/>
  <c r="AN102" i="59"/>
  <c r="Z102" i="59"/>
  <c r="Q102" i="59"/>
  <c r="N102" i="59"/>
  <c r="L102" i="59"/>
  <c r="F102" i="59"/>
  <c r="B102" i="59"/>
  <c r="AN101" i="59"/>
  <c r="Z101" i="59"/>
  <c r="Q101" i="59"/>
  <c r="N101" i="59"/>
  <c r="L101" i="59"/>
  <c r="F101" i="59"/>
  <c r="B101" i="59"/>
  <c r="AO98" i="59"/>
  <c r="AP98" i="59" s="1"/>
  <c r="AN98" i="59"/>
  <c r="Z98" i="59"/>
  <c r="Q98" i="59"/>
  <c r="N98" i="59"/>
  <c r="L98" i="59"/>
  <c r="F98" i="59"/>
  <c r="B98" i="59"/>
  <c r="AO95" i="59"/>
  <c r="AP95" i="59" s="1"/>
  <c r="AN95" i="59"/>
  <c r="Z95" i="59"/>
  <c r="Q95" i="59"/>
  <c r="N95" i="59"/>
  <c r="L95" i="59"/>
  <c r="F95" i="59"/>
  <c r="B95" i="59"/>
  <c r="AO88" i="59"/>
  <c r="AP88" i="59" s="1"/>
  <c r="AN88" i="59"/>
  <c r="Z88" i="59"/>
  <c r="Q88" i="59"/>
  <c r="N88" i="59"/>
  <c r="L88" i="59"/>
  <c r="F88" i="59"/>
  <c r="B88" i="59"/>
  <c r="AO87" i="59"/>
  <c r="AP87" i="59" s="1"/>
  <c r="AN87" i="59"/>
  <c r="Z87" i="59"/>
  <c r="Q87" i="59"/>
  <c r="N87" i="59"/>
  <c r="L87" i="59"/>
  <c r="F87" i="59"/>
  <c r="B87" i="59"/>
  <c r="AO80" i="59"/>
  <c r="AP80" i="59" s="1"/>
  <c r="AN80" i="59"/>
  <c r="Z80" i="59"/>
  <c r="Q80" i="59"/>
  <c r="N80" i="59"/>
  <c r="L80" i="59"/>
  <c r="F80" i="59"/>
  <c r="B80" i="59"/>
  <c r="AO79" i="59"/>
  <c r="AP79" i="59" s="1"/>
  <c r="AN79" i="59"/>
  <c r="Z79" i="59"/>
  <c r="Q79" i="59"/>
  <c r="N79" i="59"/>
  <c r="L79" i="59"/>
  <c r="F79" i="59"/>
  <c r="B79" i="59"/>
  <c r="AO76" i="59"/>
  <c r="AP76" i="59" s="1"/>
  <c r="AN76" i="59"/>
  <c r="Z76" i="59"/>
  <c r="Q76" i="59"/>
  <c r="N76" i="59"/>
  <c r="L76" i="59"/>
  <c r="F76" i="59"/>
  <c r="B76" i="59"/>
  <c r="AO69" i="59"/>
  <c r="AP69" i="59" s="1"/>
  <c r="AN69" i="59"/>
  <c r="Z69" i="59"/>
  <c r="Q69" i="59"/>
  <c r="N69" i="59"/>
  <c r="L69" i="59"/>
  <c r="F69" i="59"/>
  <c r="B69" i="59"/>
  <c r="AO68" i="59"/>
  <c r="AP68" i="59" s="1"/>
  <c r="AN68" i="59"/>
  <c r="Z68" i="59"/>
  <c r="Q68" i="59"/>
  <c r="N68" i="59"/>
  <c r="L68" i="59"/>
  <c r="F68" i="59"/>
  <c r="B68" i="59"/>
  <c r="AO64" i="59"/>
  <c r="AP64" i="59" s="1"/>
  <c r="AN64" i="59"/>
  <c r="Z64" i="59"/>
  <c r="Q64" i="59"/>
  <c r="N64" i="59"/>
  <c r="L64" i="59"/>
  <c r="F64" i="59"/>
  <c r="B64" i="59"/>
  <c r="AO45" i="59"/>
  <c r="AP45" i="59" s="1"/>
  <c r="AN45" i="59"/>
  <c r="Z45" i="59"/>
  <c r="Q45" i="59"/>
  <c r="N45" i="59"/>
  <c r="L45" i="59"/>
  <c r="F45" i="59"/>
  <c r="B45" i="59"/>
  <c r="AO44" i="59"/>
  <c r="AP44" i="59" s="1"/>
  <c r="AN44" i="59"/>
  <c r="Z44" i="59"/>
  <c r="Q44" i="59"/>
  <c r="N44" i="59"/>
  <c r="L44" i="59"/>
  <c r="F44" i="59"/>
  <c r="B44" i="59"/>
  <c r="AO43" i="59"/>
  <c r="AP43" i="59" s="1"/>
  <c r="AN43" i="59"/>
  <c r="Z43" i="59"/>
  <c r="Q43" i="59"/>
  <c r="N43" i="59"/>
  <c r="L43" i="59"/>
  <c r="F43" i="59"/>
  <c r="B43" i="59"/>
  <c r="AO36" i="59"/>
  <c r="AP36" i="59" s="1"/>
  <c r="AN36" i="59"/>
  <c r="Z36" i="59"/>
  <c r="Q36" i="59"/>
  <c r="N36" i="59"/>
  <c r="L36" i="59"/>
  <c r="F36" i="59"/>
  <c r="B36" i="59"/>
  <c r="AO35" i="59"/>
  <c r="AP35" i="59" s="1"/>
  <c r="AN35" i="59"/>
  <c r="Z35" i="59"/>
  <c r="Q35" i="59"/>
  <c r="N35" i="59"/>
  <c r="L35" i="59"/>
  <c r="F35" i="59"/>
  <c r="B35" i="59"/>
  <c r="AO28" i="59"/>
  <c r="AP28" i="59" s="1"/>
  <c r="AN28" i="59"/>
  <c r="Z28" i="59"/>
  <c r="Q28" i="59"/>
  <c r="N28" i="59"/>
  <c r="L28" i="59"/>
  <c r="F28" i="59"/>
  <c r="B28" i="59"/>
  <c r="AO23" i="59"/>
  <c r="AP23" i="59" s="1"/>
  <c r="AN23" i="59"/>
  <c r="Z23" i="59"/>
  <c r="Q23" i="59"/>
  <c r="N23" i="59"/>
  <c r="L23" i="59"/>
  <c r="F23" i="59"/>
  <c r="B23" i="59"/>
  <c r="AO18" i="59"/>
  <c r="AP18" i="59" s="1"/>
  <c r="AN18" i="59"/>
  <c r="Z18" i="59"/>
  <c r="Q18" i="59"/>
  <c r="N18" i="59"/>
  <c r="L18" i="59"/>
  <c r="F18" i="59"/>
  <c r="B18" i="59"/>
  <c r="AO14" i="59"/>
  <c r="AP14" i="59" s="1"/>
  <c r="AN14" i="59"/>
  <c r="Z14" i="59"/>
  <c r="Q14" i="59"/>
  <c r="N14" i="59"/>
  <c r="L14" i="59"/>
  <c r="F14" i="59"/>
  <c r="B14" i="59"/>
  <c r="AO10" i="59"/>
  <c r="AP10" i="59" s="1"/>
  <c r="AN10" i="59"/>
  <c r="Z10" i="59"/>
  <c r="Q10" i="59"/>
  <c r="N10" i="59"/>
  <c r="L10" i="59"/>
  <c r="F10" i="59"/>
  <c r="B10" i="59"/>
  <c r="AO9" i="59"/>
  <c r="AP9" i="59" s="1"/>
  <c r="AN9" i="59"/>
  <c r="Z9" i="59"/>
  <c r="Q9" i="59"/>
  <c r="N9" i="59"/>
  <c r="L9" i="59"/>
  <c r="F9" i="59"/>
  <c r="B9" i="59"/>
  <c r="AO5" i="59"/>
  <c r="AP5" i="59" s="1"/>
  <c r="AN5" i="59"/>
  <c r="Z5" i="59"/>
  <c r="Q5" i="59"/>
  <c r="N5" i="59"/>
  <c r="L5" i="59"/>
  <c r="F5" i="59"/>
  <c r="B5" i="59"/>
  <c r="D52" i="27" l="1"/>
  <c r="A52" i="27"/>
  <c r="B52" i="27"/>
  <c r="C52" i="27"/>
  <c r="AG15" i="59"/>
  <c r="AG27" i="59"/>
  <c r="AG39" i="59"/>
  <c r="AG51" i="59"/>
  <c r="AG63" i="59"/>
  <c r="AG75" i="59"/>
  <c r="AG87" i="59"/>
  <c r="AG99" i="59"/>
  <c r="AG111" i="59"/>
  <c r="AG123" i="59"/>
  <c r="AG135" i="59"/>
  <c r="AG147" i="59"/>
  <c r="AG159" i="59"/>
  <c r="AG5" i="59"/>
  <c r="AG17" i="59"/>
  <c r="AG29" i="59"/>
  <c r="AG41" i="59"/>
  <c r="AG53" i="59"/>
  <c r="AG65" i="59"/>
  <c r="AG77" i="59"/>
  <c r="AG89" i="59"/>
  <c r="AG101" i="59"/>
  <c r="AG113" i="59"/>
  <c r="AG125" i="59"/>
  <c r="AG137" i="59"/>
  <c r="AG149" i="59"/>
  <c r="AG161" i="59"/>
  <c r="AG173" i="59"/>
  <c r="AG185" i="59"/>
  <c r="AG197" i="59"/>
  <c r="AG209" i="59"/>
  <c r="AG221" i="59"/>
  <c r="AG233" i="59"/>
  <c r="AG245" i="59"/>
  <c r="AG257" i="59"/>
  <c r="AG269" i="59"/>
  <c r="AG281" i="59"/>
  <c r="AG293" i="59"/>
  <c r="AG305" i="59"/>
  <c r="AG317" i="59"/>
  <c r="AG329" i="59"/>
  <c r="AG341" i="59"/>
  <c r="AG353" i="59"/>
  <c r="AG365" i="59"/>
  <c r="AG377" i="59"/>
  <c r="AG389" i="59"/>
  <c r="AG401" i="59"/>
  <c r="AG413" i="59"/>
  <c r="AG425" i="59"/>
  <c r="AG437" i="59"/>
  <c r="AG449" i="59"/>
  <c r="AG461" i="59"/>
  <c r="AG473" i="59"/>
  <c r="AG485" i="59"/>
  <c r="AG497" i="59"/>
  <c r="AG509" i="59"/>
  <c r="AG521" i="59"/>
  <c r="AG533" i="59"/>
  <c r="AG545" i="59"/>
  <c r="AG557" i="59"/>
  <c r="AG569" i="59"/>
  <c r="AG581" i="59"/>
  <c r="AG593" i="59"/>
  <c r="AG605" i="59"/>
  <c r="AG617" i="59"/>
  <c r="AG629" i="59"/>
  <c r="AG641" i="59"/>
  <c r="AG653" i="59"/>
  <c r="AG665" i="59"/>
  <c r="AG677" i="59"/>
  <c r="AG689" i="59"/>
  <c r="AG701" i="59"/>
  <c r="AG713" i="59"/>
  <c r="AG725" i="59"/>
  <c r="AG737" i="59"/>
  <c r="AG749" i="59"/>
  <c r="AG761" i="59"/>
  <c r="AG773" i="59"/>
  <c r="AG6" i="59"/>
  <c r="AG18" i="59"/>
  <c r="AG30" i="59"/>
  <c r="AG42" i="59"/>
  <c r="AG54" i="59"/>
  <c r="AG66" i="59"/>
  <c r="AG78" i="59"/>
  <c r="AG90" i="59"/>
  <c r="AG102" i="59"/>
  <c r="AG114" i="59"/>
  <c r="AG126" i="59"/>
  <c r="AG138" i="59"/>
  <c r="AG150" i="59"/>
  <c r="AG162" i="59"/>
  <c r="AG174" i="59"/>
  <c r="AG186" i="59"/>
  <c r="AG198" i="59"/>
  <c r="AG210" i="59"/>
  <c r="AG222" i="59"/>
  <c r="AG234" i="59"/>
  <c r="AG246" i="59"/>
  <c r="AG258" i="59"/>
  <c r="AG270" i="59"/>
  <c r="AG282" i="59"/>
  <c r="AG294" i="59"/>
  <c r="AG306" i="59"/>
  <c r="AG318" i="59"/>
  <c r="AG330" i="59"/>
  <c r="AG342" i="59"/>
  <c r="AG354" i="59"/>
  <c r="AG366" i="59"/>
  <c r="AG378" i="59"/>
  <c r="AG390" i="59"/>
  <c r="AG402" i="59"/>
  <c r="AG414" i="59"/>
  <c r="AG426" i="59"/>
  <c r="AG438" i="59"/>
  <c r="AG450" i="59"/>
  <c r="AG462" i="59"/>
  <c r="AG474" i="59"/>
  <c r="AG486" i="59"/>
  <c r="AG498" i="59"/>
  <c r="AG510" i="59"/>
  <c r="AG522" i="59"/>
  <c r="AG534" i="59"/>
  <c r="AG546" i="59"/>
  <c r="AG558" i="59"/>
  <c r="AG570" i="59"/>
  <c r="AG582" i="59"/>
  <c r="AG594" i="59"/>
  <c r="AG606" i="59"/>
  <c r="AG618" i="59"/>
  <c r="AG630" i="59"/>
  <c r="AG642" i="59"/>
  <c r="AG654" i="59"/>
  <c r="AG666" i="59"/>
  <c r="AG678" i="59"/>
  <c r="AG690" i="59"/>
  <c r="AG702" i="59"/>
  <c r="AG714" i="59"/>
  <c r="AG726" i="59"/>
  <c r="AG738" i="59"/>
  <c r="AG750" i="59"/>
  <c r="AG762" i="59"/>
  <c r="AG774" i="59"/>
  <c r="AG786" i="59"/>
  <c r="AG798" i="59"/>
  <c r="AG810" i="59"/>
  <c r="AG822" i="59"/>
  <c r="AG834" i="59"/>
  <c r="AG846" i="59"/>
  <c r="AG858" i="59"/>
  <c r="AG870" i="59"/>
  <c r="AG882" i="59"/>
  <c r="AG894" i="59"/>
  <c r="AG906" i="59"/>
  <c r="AG918" i="59"/>
  <c r="AG930" i="59"/>
  <c r="AG942" i="59"/>
  <c r="AG954" i="59"/>
  <c r="AG966" i="59"/>
  <c r="AG978" i="59"/>
  <c r="AG990" i="59"/>
  <c r="AG871" i="59"/>
  <c r="AG895" i="59"/>
  <c r="AG7" i="59"/>
  <c r="AG19" i="59"/>
  <c r="AG31" i="59"/>
  <c r="AG43" i="59"/>
  <c r="AG55" i="59"/>
  <c r="AG67" i="59"/>
  <c r="AG79" i="59"/>
  <c r="AG91" i="59"/>
  <c r="AG103" i="59"/>
  <c r="AG115" i="59"/>
  <c r="AG127" i="59"/>
  <c r="AG139" i="59"/>
  <c r="AG151" i="59"/>
  <c r="AG163" i="59"/>
  <c r="AG175" i="59"/>
  <c r="AG187" i="59"/>
  <c r="AG199" i="59"/>
  <c r="AG211" i="59"/>
  <c r="AG223" i="59"/>
  <c r="AG235" i="59"/>
  <c r="AG247" i="59"/>
  <c r="AG259" i="59"/>
  <c r="AG271" i="59"/>
  <c r="AG283" i="59"/>
  <c r="AG295" i="59"/>
  <c r="AG307" i="59"/>
  <c r="AG319" i="59"/>
  <c r="AG331" i="59"/>
  <c r="AG343" i="59"/>
  <c r="AG355" i="59"/>
  <c r="AG367" i="59"/>
  <c r="AG379" i="59"/>
  <c r="AG391" i="59"/>
  <c r="AG403" i="59"/>
  <c r="AG415" i="59"/>
  <c r="AG427" i="59"/>
  <c r="AG439" i="59"/>
  <c r="AG451" i="59"/>
  <c r="AG463" i="59"/>
  <c r="AG475" i="59"/>
  <c r="AG487" i="59"/>
  <c r="AG499" i="59"/>
  <c r="AG511" i="59"/>
  <c r="AG523" i="59"/>
  <c r="AG535" i="59"/>
  <c r="AG547" i="59"/>
  <c r="AG559" i="59"/>
  <c r="AG571" i="59"/>
  <c r="AG583" i="59"/>
  <c r="AG595" i="59"/>
  <c r="AG607" i="59"/>
  <c r="AG619" i="59"/>
  <c r="AG631" i="59"/>
  <c r="AG643" i="59"/>
  <c r="AG655" i="59"/>
  <c r="AG667" i="59"/>
  <c r="AG679" i="59"/>
  <c r="AG691" i="59"/>
  <c r="AG703" i="59"/>
  <c r="AG715" i="59"/>
  <c r="AG727" i="59"/>
  <c r="AG739" i="59"/>
  <c r="AG751" i="59"/>
  <c r="AG763" i="59"/>
  <c r="AG775" i="59"/>
  <c r="AG787" i="59"/>
  <c r="AG799" i="59"/>
  <c r="AG811" i="59"/>
  <c r="AG823" i="59"/>
  <c r="AG835" i="59"/>
  <c r="AG847" i="59"/>
  <c r="AG859" i="59"/>
  <c r="AG883" i="59"/>
  <c r="AG907" i="59"/>
  <c r="AG919" i="59"/>
  <c r="AG8" i="59"/>
  <c r="AG20" i="59"/>
  <c r="AG32" i="59"/>
  <c r="AG44" i="59"/>
  <c r="AG56" i="59"/>
  <c r="AG68" i="59"/>
  <c r="AG80" i="59"/>
  <c r="AG92" i="59"/>
  <c r="AG104" i="59"/>
  <c r="AG116" i="59"/>
  <c r="AG128" i="59"/>
  <c r="AG140" i="59"/>
  <c r="AG152" i="59"/>
  <c r="AG164" i="59"/>
  <c r="AG176" i="59"/>
  <c r="AG188" i="59"/>
  <c r="AG200" i="59"/>
  <c r="AG212" i="59"/>
  <c r="AG224" i="59"/>
  <c r="AG236" i="59"/>
  <c r="AG248" i="59"/>
  <c r="AG260" i="59"/>
  <c r="AG272" i="59"/>
  <c r="AG284" i="59"/>
  <c r="AG296" i="59"/>
  <c r="AG308" i="59"/>
  <c r="AG320" i="59"/>
  <c r="AG332" i="59"/>
  <c r="AG344" i="59"/>
  <c r="AG356" i="59"/>
  <c r="AG368" i="59"/>
  <c r="AG380" i="59"/>
  <c r="AG392" i="59"/>
  <c r="AG404" i="59"/>
  <c r="AG416" i="59"/>
  <c r="AG428" i="59"/>
  <c r="AG440" i="59"/>
  <c r="AG452" i="59"/>
  <c r="AG464" i="59"/>
  <c r="AG476" i="59"/>
  <c r="AG488" i="59"/>
  <c r="AG500" i="59"/>
  <c r="AG512" i="59"/>
  <c r="AG524" i="59"/>
  <c r="AG536" i="59"/>
  <c r="AG548" i="59"/>
  <c r="AG560" i="59"/>
  <c r="AG572" i="59"/>
  <c r="AG584" i="59"/>
  <c r="AG596" i="59"/>
  <c r="AG608" i="59"/>
  <c r="AG620" i="59"/>
  <c r="AG632" i="59"/>
  <c r="AG644" i="59"/>
  <c r="AG656" i="59"/>
  <c r="AG668" i="59"/>
  <c r="AG680" i="59"/>
  <c r="AG692" i="59"/>
  <c r="AG704" i="59"/>
  <c r="AG716" i="59"/>
  <c r="AG728" i="59"/>
  <c r="AG740" i="59"/>
  <c r="AG752" i="59"/>
  <c r="AG764" i="59"/>
  <c r="AG776" i="59"/>
  <c r="AG788" i="59"/>
  <c r="AG800" i="59"/>
  <c r="AG9" i="59"/>
  <c r="AG21" i="59"/>
  <c r="AG33" i="59"/>
  <c r="AG45" i="59"/>
  <c r="AG57" i="59"/>
  <c r="AG69" i="59"/>
  <c r="AG81" i="59"/>
  <c r="AG93" i="59"/>
  <c r="AG105" i="59"/>
  <c r="AG117" i="59"/>
  <c r="AG129" i="59"/>
  <c r="AG141" i="59"/>
  <c r="AG153" i="59"/>
  <c r="AG165" i="59"/>
  <c r="AG177" i="59"/>
  <c r="AG189" i="59"/>
  <c r="AG201" i="59"/>
  <c r="AG213" i="59"/>
  <c r="AG225" i="59"/>
  <c r="AG237" i="59"/>
  <c r="AG249" i="59"/>
  <c r="AG261" i="59"/>
  <c r="AG273" i="59"/>
  <c r="AG285" i="59"/>
  <c r="AG297" i="59"/>
  <c r="AG309" i="59"/>
  <c r="AG321" i="59"/>
  <c r="AG333" i="59"/>
  <c r="AG345" i="59"/>
  <c r="AG357" i="59"/>
  <c r="AG369" i="59"/>
  <c r="AG381" i="59"/>
  <c r="AG393" i="59"/>
  <c r="AG405" i="59"/>
  <c r="AG417" i="59"/>
  <c r="AG429" i="59"/>
  <c r="AG441" i="59"/>
  <c r="AG453" i="59"/>
  <c r="AG465" i="59"/>
  <c r="AG477" i="59"/>
  <c r="AG489" i="59"/>
  <c r="AG501" i="59"/>
  <c r="AG513" i="59"/>
  <c r="AG525" i="59"/>
  <c r="AG537" i="59"/>
  <c r="AG549" i="59"/>
  <c r="AG561" i="59"/>
  <c r="AG573" i="59"/>
  <c r="AG585" i="59"/>
  <c r="AG597" i="59"/>
  <c r="AG609" i="59"/>
  <c r="AG621" i="59"/>
  <c r="AG633" i="59"/>
  <c r="AG645" i="59"/>
  <c r="AG657" i="59"/>
  <c r="AG669" i="59"/>
  <c r="AG10" i="59"/>
  <c r="AG22" i="59"/>
  <c r="AG34" i="59"/>
  <c r="AG46" i="59"/>
  <c r="AG58" i="59"/>
  <c r="AG70" i="59"/>
  <c r="AG82" i="59"/>
  <c r="AG94" i="59"/>
  <c r="AG106" i="59"/>
  <c r="AG118" i="59"/>
  <c r="AG130" i="59"/>
  <c r="AG142" i="59"/>
  <c r="AG154" i="59"/>
  <c r="AG166" i="59"/>
  <c r="AG178" i="59"/>
  <c r="AG190" i="59"/>
  <c r="AG202" i="59"/>
  <c r="AG214" i="59"/>
  <c r="AG226" i="59"/>
  <c r="AG238" i="59"/>
  <c r="AG250" i="59"/>
  <c r="AG262" i="59"/>
  <c r="AG274" i="59"/>
  <c r="AG286" i="59"/>
  <c r="AG298" i="59"/>
  <c r="AG310" i="59"/>
  <c r="AG322" i="59"/>
  <c r="AG334" i="59"/>
  <c r="AG346" i="59"/>
  <c r="AG358" i="59"/>
  <c r="AG370" i="59"/>
  <c r="AG382" i="59"/>
  <c r="AG394" i="59"/>
  <c r="AG406" i="59"/>
  <c r="AG418" i="59"/>
  <c r="AG430" i="59"/>
  <c r="AG442" i="59"/>
  <c r="AG454" i="59"/>
  <c r="AG466" i="59"/>
  <c r="AG478" i="59"/>
  <c r="AG490" i="59"/>
  <c r="AG502" i="59"/>
  <c r="AG11" i="59"/>
  <c r="AG23" i="59"/>
  <c r="AG35" i="59"/>
  <c r="AG47" i="59"/>
  <c r="AG59" i="59"/>
  <c r="AG71" i="59"/>
  <c r="AG83" i="59"/>
  <c r="AG95" i="59"/>
  <c r="AG107" i="59"/>
  <c r="AG119" i="59"/>
  <c r="AG131" i="59"/>
  <c r="AG143" i="59"/>
  <c r="AG155" i="59"/>
  <c r="AG167" i="59"/>
  <c r="AG179" i="59"/>
  <c r="AG191" i="59"/>
  <c r="AG203" i="59"/>
  <c r="AG215" i="59"/>
  <c r="AG227" i="59"/>
  <c r="AG239" i="59"/>
  <c r="AG251" i="59"/>
  <c r="AG263" i="59"/>
  <c r="AG275" i="59"/>
  <c r="AG287" i="59"/>
  <c r="AG299" i="59"/>
  <c r="AG311" i="59"/>
  <c r="AG323" i="59"/>
  <c r="AG335" i="59"/>
  <c r="AG347" i="59"/>
  <c r="AG359" i="59"/>
  <c r="AG371" i="59"/>
  <c r="AG383" i="59"/>
  <c r="AG395" i="59"/>
  <c r="AG407" i="59"/>
  <c r="AG419" i="59"/>
  <c r="AG431" i="59"/>
  <c r="AG443" i="59"/>
  <c r="AG455" i="59"/>
  <c r="AG467" i="59"/>
  <c r="AG479" i="59"/>
  <c r="AG491" i="59"/>
  <c r="AG503" i="59"/>
  <c r="AG515" i="59"/>
  <c r="AG527" i="59"/>
  <c r="AG539" i="59"/>
  <c r="AG551" i="59"/>
  <c r="AG563" i="59"/>
  <c r="AG575" i="59"/>
  <c r="AG12" i="59"/>
  <c r="AG24" i="59"/>
  <c r="AG36" i="59"/>
  <c r="AG48" i="59"/>
  <c r="AG60" i="59"/>
  <c r="AG72" i="59"/>
  <c r="AG84" i="59"/>
  <c r="AG96" i="59"/>
  <c r="AG108" i="59"/>
  <c r="AG120" i="59"/>
  <c r="AG132" i="59"/>
  <c r="AG144" i="59"/>
  <c r="AG156" i="59"/>
  <c r="AG168" i="59"/>
  <c r="AG180" i="59"/>
  <c r="AG192" i="59"/>
  <c r="AG204" i="59"/>
  <c r="AG216" i="59"/>
  <c r="AG228" i="59"/>
  <c r="AG240" i="59"/>
  <c r="AG252" i="59"/>
  <c r="AG264" i="59"/>
  <c r="AG276" i="59"/>
  <c r="AG288" i="59"/>
  <c r="AG300" i="59"/>
  <c r="AG312" i="59"/>
  <c r="AG324" i="59"/>
  <c r="AG336" i="59"/>
  <c r="AG348" i="59"/>
  <c r="AG360" i="59"/>
  <c r="AG372" i="59"/>
  <c r="AG384" i="59"/>
  <c r="AG396" i="59"/>
  <c r="AG408" i="59"/>
  <c r="AG420" i="59"/>
  <c r="AG432" i="59"/>
  <c r="AG444" i="59"/>
  <c r="AG456" i="59"/>
  <c r="AG468" i="59"/>
  <c r="AG480" i="59"/>
  <c r="AG492" i="59"/>
  <c r="AG504" i="59"/>
  <c r="AG516" i="59"/>
  <c r="AG528" i="59"/>
  <c r="AG540" i="59"/>
  <c r="AG552" i="59"/>
  <c r="AG564" i="59"/>
  <c r="AG576" i="59"/>
  <c r="AG588" i="59"/>
  <c r="AG600" i="59"/>
  <c r="AG612" i="59"/>
  <c r="AG624" i="59"/>
  <c r="AG13" i="59"/>
  <c r="AG25" i="59"/>
  <c r="AG37" i="59"/>
  <c r="AG49" i="59"/>
  <c r="AG61" i="59"/>
  <c r="AG73" i="59"/>
  <c r="AG85" i="59"/>
  <c r="AG97" i="59"/>
  <c r="AG109" i="59"/>
  <c r="AG121" i="59"/>
  <c r="AG133" i="59"/>
  <c r="AG145" i="59"/>
  <c r="AG157" i="59"/>
  <c r="AG169" i="59"/>
  <c r="AG181" i="59"/>
  <c r="AG193" i="59"/>
  <c r="AG205" i="59"/>
  <c r="AG217" i="59"/>
  <c r="AG229" i="59"/>
  <c r="AG241" i="59"/>
  <c r="AG253" i="59"/>
  <c r="AG265" i="59"/>
  <c r="AG277" i="59"/>
  <c r="AG289" i="59"/>
  <c r="AG301" i="59"/>
  <c r="AG313" i="59"/>
  <c r="AG325" i="59"/>
  <c r="AG337" i="59"/>
  <c r="AG349" i="59"/>
  <c r="AG361" i="59"/>
  <c r="AG373" i="59"/>
  <c r="AG385" i="59"/>
  <c r="AG397" i="59"/>
  <c r="AG409" i="59"/>
  <c r="AG421" i="59"/>
  <c r="AG433" i="59"/>
  <c r="AG445" i="59"/>
  <c r="AG457" i="59"/>
  <c r="AG469" i="59"/>
  <c r="AG481" i="59"/>
  <c r="AG493" i="59"/>
  <c r="AG505" i="59"/>
  <c r="AG517" i="59"/>
  <c r="AG529" i="59"/>
  <c r="AG541" i="59"/>
  <c r="AG553" i="59"/>
  <c r="AG565" i="59"/>
  <c r="AG577" i="59"/>
  <c r="AG589" i="59"/>
  <c r="AG601" i="59"/>
  <c r="AG613" i="59"/>
  <c r="AG625" i="59"/>
  <c r="AG637" i="59"/>
  <c r="AG649" i="59"/>
  <c r="AG661" i="59"/>
  <c r="AG673" i="59"/>
  <c r="AG685" i="59"/>
  <c r="AG697" i="59"/>
  <c r="AG709" i="59"/>
  <c r="AG721" i="59"/>
  <c r="AG733" i="59"/>
  <c r="AG745" i="59"/>
  <c r="AG757" i="59"/>
  <c r="AG769" i="59"/>
  <c r="AG781" i="59"/>
  <c r="AG793" i="59"/>
  <c r="AG805" i="59"/>
  <c r="AG817" i="59"/>
  <c r="AG829" i="59"/>
  <c r="AG841" i="59"/>
  <c r="AG853" i="59"/>
  <c r="AG865" i="59"/>
  <c r="AG877" i="59"/>
  <c r="AG889" i="59"/>
  <c r="AG901" i="59"/>
  <c r="AG14" i="59"/>
  <c r="AG26" i="59"/>
  <c r="AG38" i="59"/>
  <c r="AG50" i="59"/>
  <c r="AG62" i="59"/>
  <c r="AG74" i="59"/>
  <c r="AG86" i="59"/>
  <c r="AG98" i="59"/>
  <c r="AG110" i="59"/>
  <c r="AG122" i="59"/>
  <c r="AG134" i="59"/>
  <c r="AG146" i="59"/>
  <c r="AG158" i="59"/>
  <c r="AG170" i="59"/>
  <c r="AG182" i="59"/>
  <c r="AG194" i="59"/>
  <c r="AG206" i="59"/>
  <c r="AG218" i="59"/>
  <c r="AG230" i="59"/>
  <c r="AG242" i="59"/>
  <c r="AG254" i="59"/>
  <c r="AG266" i="59"/>
  <c r="AG278" i="59"/>
  <c r="AG290" i="59"/>
  <c r="AG302" i="59"/>
  <c r="AG314" i="59"/>
  <c r="AG326" i="59"/>
  <c r="AG338" i="59"/>
  <c r="AG350" i="59"/>
  <c r="AG362" i="59"/>
  <c r="AG374" i="59"/>
  <c r="AG386" i="59"/>
  <c r="AG398" i="59"/>
  <c r="AG410" i="59"/>
  <c r="AG422" i="59"/>
  <c r="AG434" i="59"/>
  <c r="AG446" i="59"/>
  <c r="AG458" i="59"/>
  <c r="AG470" i="59"/>
  <c r="AG482" i="59"/>
  <c r="AG494" i="59"/>
  <c r="AG506" i="59"/>
  <c r="AG518" i="59"/>
  <c r="AG530" i="59"/>
  <c r="AG542" i="59"/>
  <c r="AG554" i="59"/>
  <c r="AG566" i="59"/>
  <c r="AG578" i="59"/>
  <c r="AG590" i="59"/>
  <c r="AG136" i="59"/>
  <c r="AG220" i="59"/>
  <c r="AG292" i="59"/>
  <c r="AG364" i="59"/>
  <c r="AG436" i="59"/>
  <c r="AG148" i="59"/>
  <c r="AG231" i="59"/>
  <c r="AG303" i="59"/>
  <c r="AG375" i="59"/>
  <c r="AG447" i="59"/>
  <c r="AG514" i="59"/>
  <c r="AG562" i="59"/>
  <c r="AG602" i="59"/>
  <c r="AG628" i="59"/>
  <c r="AG652" i="59"/>
  <c r="AG676" i="59"/>
  <c r="AG698" i="59"/>
  <c r="AG719" i="59"/>
  <c r="AG741" i="59"/>
  <c r="AG759" i="59"/>
  <c r="AG780" i="59"/>
  <c r="AG797" i="59"/>
  <c r="AG815" i="59"/>
  <c r="AG831" i="59"/>
  <c r="AG848" i="59"/>
  <c r="AG863" i="59"/>
  <c r="AG879" i="59"/>
  <c r="AG896" i="59"/>
  <c r="AG911" i="59"/>
  <c r="AG925" i="59"/>
  <c r="AG938" i="59"/>
  <c r="AG951" i="59"/>
  <c r="AG991" i="59"/>
  <c r="AG992" i="59"/>
  <c r="AG947" i="59"/>
  <c r="AG16" i="59"/>
  <c r="AG160" i="59"/>
  <c r="AG232" i="59"/>
  <c r="AG304" i="59"/>
  <c r="AG376" i="59"/>
  <c r="AG448" i="59"/>
  <c r="AG519" i="59"/>
  <c r="AG567" i="59"/>
  <c r="AG603" i="59"/>
  <c r="AG634" i="59"/>
  <c r="AG658" i="59"/>
  <c r="AG681" i="59"/>
  <c r="AG699" i="59"/>
  <c r="AG720" i="59"/>
  <c r="AG742" i="59"/>
  <c r="AG760" i="59"/>
  <c r="AG782" i="59"/>
  <c r="AG801" i="59"/>
  <c r="AG816" i="59"/>
  <c r="AG832" i="59"/>
  <c r="AG849" i="59"/>
  <c r="AG864" i="59"/>
  <c r="AG880" i="59"/>
  <c r="AG897" i="59"/>
  <c r="AG912" i="59"/>
  <c r="AG926" i="59"/>
  <c r="AG939" i="59"/>
  <c r="AG965" i="59"/>
  <c r="AG967" i="59"/>
  <c r="AG28" i="59"/>
  <c r="AG171" i="59"/>
  <c r="AG243" i="59"/>
  <c r="AG315" i="59"/>
  <c r="AG387" i="59"/>
  <c r="AG459" i="59"/>
  <c r="AG520" i="59"/>
  <c r="AG568" i="59"/>
  <c r="AG604" i="59"/>
  <c r="AG635" i="59"/>
  <c r="AG659" i="59"/>
  <c r="AG682" i="59"/>
  <c r="AG700" i="59"/>
  <c r="AG722" i="59"/>
  <c r="AG743" i="59"/>
  <c r="AG765" i="59"/>
  <c r="AG783" i="59"/>
  <c r="AG802" i="59"/>
  <c r="AG818" i="59"/>
  <c r="AG833" i="59"/>
  <c r="AG850" i="59"/>
  <c r="AG866" i="59"/>
  <c r="AG881" i="59"/>
  <c r="AG898" i="59"/>
  <c r="AG913" i="59"/>
  <c r="AG940" i="59"/>
  <c r="AG40" i="59"/>
  <c r="AG172" i="59"/>
  <c r="AG244" i="59"/>
  <c r="AG316" i="59"/>
  <c r="AG388" i="59"/>
  <c r="AG460" i="59"/>
  <c r="AG526" i="59"/>
  <c r="AG574" i="59"/>
  <c r="AG610" i="59"/>
  <c r="AG636" i="59"/>
  <c r="AG660" i="59"/>
  <c r="AG683" i="59"/>
  <c r="AG705" i="59"/>
  <c r="AG723" i="59"/>
  <c r="AG744" i="59"/>
  <c r="AG766" i="59"/>
  <c r="AG784" i="59"/>
  <c r="AG803" i="59"/>
  <c r="AG819" i="59"/>
  <c r="AG836" i="59"/>
  <c r="AG851" i="59"/>
  <c r="AG867" i="59"/>
  <c r="AG884" i="59"/>
  <c r="AG899" i="59"/>
  <c r="AG914" i="59"/>
  <c r="AG928" i="59"/>
  <c r="AG941" i="59"/>
  <c r="AG955" i="59"/>
  <c r="AG968" i="59"/>
  <c r="AG981" i="59"/>
  <c r="AG994" i="59"/>
  <c r="AG982" i="59"/>
  <c r="AG972" i="59"/>
  <c r="AG998" i="59"/>
  <c r="AG857" i="59"/>
  <c r="AG905" i="59"/>
  <c r="AG986" i="59"/>
  <c r="AG52" i="59"/>
  <c r="AG183" i="59"/>
  <c r="AG255" i="59"/>
  <c r="AG327" i="59"/>
  <c r="AG399" i="59"/>
  <c r="AG471" i="59"/>
  <c r="AG531" i="59"/>
  <c r="AG579" i="59"/>
  <c r="AG611" i="59"/>
  <c r="AG638" i="59"/>
  <c r="AG662" i="59"/>
  <c r="AG684" i="59"/>
  <c r="AG706" i="59"/>
  <c r="AG724" i="59"/>
  <c r="AG746" i="59"/>
  <c r="AG767" i="59"/>
  <c r="AG785" i="59"/>
  <c r="AG804" i="59"/>
  <c r="AG820" i="59"/>
  <c r="AG837" i="59"/>
  <c r="AG852" i="59"/>
  <c r="AG868" i="59"/>
  <c r="AG885" i="59"/>
  <c r="AG900" i="59"/>
  <c r="AG915" i="59"/>
  <c r="AG929" i="59"/>
  <c r="AG943" i="59"/>
  <c r="AG956" i="59"/>
  <c r="AG969" i="59"/>
  <c r="AG995" i="59"/>
  <c r="AG807" i="59"/>
  <c r="AG824" i="59"/>
  <c r="AG872" i="59"/>
  <c r="AG903" i="59"/>
  <c r="AG971" i="59"/>
  <c r="AG997" i="59"/>
  <c r="AG842" i="59"/>
  <c r="AG934" i="59"/>
  <c r="AG64" i="59"/>
  <c r="AG184" i="59"/>
  <c r="AG256" i="59"/>
  <c r="AG328" i="59"/>
  <c r="AG400" i="59"/>
  <c r="AG472" i="59"/>
  <c r="AG532" i="59"/>
  <c r="AG580" i="59"/>
  <c r="AG614" i="59"/>
  <c r="AG639" i="59"/>
  <c r="AG663" i="59"/>
  <c r="AG686" i="59"/>
  <c r="AG707" i="59"/>
  <c r="AG729" i="59"/>
  <c r="AG747" i="59"/>
  <c r="AG768" i="59"/>
  <c r="AG789" i="59"/>
  <c r="AG806" i="59"/>
  <c r="AG821" i="59"/>
  <c r="AG838" i="59"/>
  <c r="AG854" i="59"/>
  <c r="AG869" i="59"/>
  <c r="AG886" i="59"/>
  <c r="AG902" i="59"/>
  <c r="AG916" i="59"/>
  <c r="AG931" i="59"/>
  <c r="AG944" i="59"/>
  <c r="AG957" i="59"/>
  <c r="AG970" i="59"/>
  <c r="AG983" i="59"/>
  <c r="AG996" i="59"/>
  <c r="AG855" i="59"/>
  <c r="AG917" i="59"/>
  <c r="AG945" i="59"/>
  <c r="AG710" i="59"/>
  <c r="AG771" i="59"/>
  <c r="AG808" i="59"/>
  <c r="AG840" i="59"/>
  <c r="AG888" i="59"/>
  <c r="AG904" i="59"/>
  <c r="AG946" i="59"/>
  <c r="AG985" i="59"/>
  <c r="AG76" i="59"/>
  <c r="AG195" i="59"/>
  <c r="AG267" i="59"/>
  <c r="AG339" i="59"/>
  <c r="AG411" i="59"/>
  <c r="AG483" i="59"/>
  <c r="AG538" i="59"/>
  <c r="AG586" i="59"/>
  <c r="AG615" i="59"/>
  <c r="AG640" i="59"/>
  <c r="AG664" i="59"/>
  <c r="AG687" i="59"/>
  <c r="AG708" i="59"/>
  <c r="AG730" i="59"/>
  <c r="AG748" i="59"/>
  <c r="AG770" i="59"/>
  <c r="AG790" i="59"/>
  <c r="AG839" i="59"/>
  <c r="AG887" i="59"/>
  <c r="AG932" i="59"/>
  <c r="AG958" i="59"/>
  <c r="AG984" i="59"/>
  <c r="AG753" i="59"/>
  <c r="AG825" i="59"/>
  <c r="AG873" i="59"/>
  <c r="AG920" i="59"/>
  <c r="AG959" i="59"/>
  <c r="AG826" i="59"/>
  <c r="AG921" i="59"/>
  <c r="AG88" i="59"/>
  <c r="AG196" i="59"/>
  <c r="AG268" i="59"/>
  <c r="AG340" i="59"/>
  <c r="AG412" i="59"/>
  <c r="AG484" i="59"/>
  <c r="AG543" i="59"/>
  <c r="AG587" i="59"/>
  <c r="AG616" i="59"/>
  <c r="AG646" i="59"/>
  <c r="AG670" i="59"/>
  <c r="AG688" i="59"/>
  <c r="AG731" i="59"/>
  <c r="AG791" i="59"/>
  <c r="AG856" i="59"/>
  <c r="AG933" i="59"/>
  <c r="AG890" i="59"/>
  <c r="AG100" i="59"/>
  <c r="AG207" i="59"/>
  <c r="AG279" i="59"/>
  <c r="AG351" i="59"/>
  <c r="AG423" i="59"/>
  <c r="AG495" i="59"/>
  <c r="AG544" i="59"/>
  <c r="AG591" i="59"/>
  <c r="AG622" i="59"/>
  <c r="AG647" i="59"/>
  <c r="AG671" i="59"/>
  <c r="AG693" i="59"/>
  <c r="AG711" i="59"/>
  <c r="AG732" i="59"/>
  <c r="AG754" i="59"/>
  <c r="AG772" i="59"/>
  <c r="AG792" i="59"/>
  <c r="AG809" i="59"/>
  <c r="AG874" i="59"/>
  <c r="AG960" i="59"/>
  <c r="AG112" i="59"/>
  <c r="AG208" i="59"/>
  <c r="AG280" i="59"/>
  <c r="AG352" i="59"/>
  <c r="AG424" i="59"/>
  <c r="AG496" i="59"/>
  <c r="AG550" i="59"/>
  <c r="AG592" i="59"/>
  <c r="AG623" i="59"/>
  <c r="AG648" i="59"/>
  <c r="AG672" i="59"/>
  <c r="AG694" i="59"/>
  <c r="AG712" i="59"/>
  <c r="AG734" i="59"/>
  <c r="AG755" i="59"/>
  <c r="AG777" i="59"/>
  <c r="AG794" i="59"/>
  <c r="AG812" i="59"/>
  <c r="AG827" i="59"/>
  <c r="AG843" i="59"/>
  <c r="AG860" i="59"/>
  <c r="AG875" i="59"/>
  <c r="AG891" i="59"/>
  <c r="AG908" i="59"/>
  <c r="AG922" i="59"/>
  <c r="AG935" i="59"/>
  <c r="AG948" i="59"/>
  <c r="AG961" i="59"/>
  <c r="AG974" i="59"/>
  <c r="AG987" i="59"/>
  <c r="AG599" i="59"/>
  <c r="AG627" i="59"/>
  <c r="AG675" i="59"/>
  <c r="AG718" i="59"/>
  <c r="AG758" i="59"/>
  <c r="AG796" i="59"/>
  <c r="AG830" i="59"/>
  <c r="AG862" i="59"/>
  <c r="AG878" i="59"/>
  <c r="AG937" i="59"/>
  <c r="AG950" i="59"/>
  <c r="AG976" i="59"/>
  <c r="AG964" i="59"/>
  <c r="AG979" i="59"/>
  <c r="AG953" i="59"/>
  <c r="AG993" i="59"/>
  <c r="AG124" i="59"/>
  <c r="AG219" i="59"/>
  <c r="AG291" i="59"/>
  <c r="AG363" i="59"/>
  <c r="AG435" i="59"/>
  <c r="AG507" i="59"/>
  <c r="AG555" i="59"/>
  <c r="AG598" i="59"/>
  <c r="AG626" i="59"/>
  <c r="AG650" i="59"/>
  <c r="AG674" i="59"/>
  <c r="AG695" i="59"/>
  <c r="AG717" i="59"/>
  <c r="AG735" i="59"/>
  <c r="AG756" i="59"/>
  <c r="AG778" i="59"/>
  <c r="AG795" i="59"/>
  <c r="AG813" i="59"/>
  <c r="AG828" i="59"/>
  <c r="AG844" i="59"/>
  <c r="AG861" i="59"/>
  <c r="AG876" i="59"/>
  <c r="AG892" i="59"/>
  <c r="AG909" i="59"/>
  <c r="AG923" i="59"/>
  <c r="AG936" i="59"/>
  <c r="AG949" i="59"/>
  <c r="AG962" i="59"/>
  <c r="AG975" i="59"/>
  <c r="AG988" i="59"/>
  <c r="AG508" i="59"/>
  <c r="AG556" i="59"/>
  <c r="AG651" i="59"/>
  <c r="AG696" i="59"/>
  <c r="AG736" i="59"/>
  <c r="AG779" i="59"/>
  <c r="AG814" i="59"/>
  <c r="AG845" i="59"/>
  <c r="AG893" i="59"/>
  <c r="AG910" i="59"/>
  <c r="AG924" i="59"/>
  <c r="AG963" i="59"/>
  <c r="AG989" i="59"/>
  <c r="AG977" i="59"/>
  <c r="AG952" i="59"/>
  <c r="AG927" i="59"/>
  <c r="AG980" i="59"/>
  <c r="AG973" i="59"/>
  <c r="AY759" i="59"/>
  <c r="AY16" i="59"/>
  <c r="AY160" i="59"/>
  <c r="AY13" i="59"/>
  <c r="AY81" i="59"/>
  <c r="AY33" i="59"/>
  <c r="AY24" i="59"/>
  <c r="AY963" i="59"/>
  <c r="AY907" i="59"/>
  <c r="AY889" i="59"/>
  <c r="AY872" i="59"/>
  <c r="AY857" i="59"/>
  <c r="AY843" i="59"/>
  <c r="AY823" i="59"/>
  <c r="AY800" i="59"/>
  <c r="AY773" i="59"/>
  <c r="AY746" i="59"/>
  <c r="AY718" i="59"/>
  <c r="AY689" i="59"/>
  <c r="AY647" i="59"/>
  <c r="AY607" i="59"/>
  <c r="AY562" i="59"/>
  <c r="AY524" i="59"/>
  <c r="AY506" i="59"/>
  <c r="AY448" i="59"/>
  <c r="AY410" i="59"/>
  <c r="AY353" i="59"/>
  <c r="AY313" i="59"/>
  <c r="AY271" i="59"/>
  <c r="AY211" i="59"/>
  <c r="AY170" i="59"/>
  <c r="AY131" i="59"/>
  <c r="AY85" i="59"/>
  <c r="AY15" i="59"/>
  <c r="AY42" i="59"/>
  <c r="AY32" i="59"/>
  <c r="AY983" i="59"/>
  <c r="AY962" i="59"/>
  <c r="AY906" i="59"/>
  <c r="AY885" i="59"/>
  <c r="AY870" i="59"/>
  <c r="AY841" i="59"/>
  <c r="AY820" i="59"/>
  <c r="AY798" i="59"/>
  <c r="AY777" i="59"/>
  <c r="AY745" i="59"/>
  <c r="AY712" i="59"/>
  <c r="AY688" i="59"/>
  <c r="AY645" i="59"/>
  <c r="AY603" i="59"/>
  <c r="AY559" i="59"/>
  <c r="AY539" i="59"/>
  <c r="AY484" i="59"/>
  <c r="AY447" i="59"/>
  <c r="AY399" i="59"/>
  <c r="AY351" i="59"/>
  <c r="AY310" i="59"/>
  <c r="AY265" i="59"/>
  <c r="AY246" i="59"/>
  <c r="AY209" i="59"/>
  <c r="AY167" i="59"/>
  <c r="AY138" i="59"/>
  <c r="AY980" i="59"/>
  <c r="AY854" i="59"/>
  <c r="AY552" i="59"/>
  <c r="AY115" i="59"/>
  <c r="AY22" i="59"/>
  <c r="AY12" i="59"/>
  <c r="AY46" i="59"/>
  <c r="AY53" i="59"/>
  <c r="AY60" i="59"/>
  <c r="AY71" i="59"/>
  <c r="AY82" i="59"/>
  <c r="AY94" i="59"/>
  <c r="AY108" i="59"/>
  <c r="AY117" i="59"/>
  <c r="AY139" i="59"/>
  <c r="AY134" i="59"/>
  <c r="AY152" i="59"/>
  <c r="AY162" i="59"/>
  <c r="AY171" i="59"/>
  <c r="AY182" i="59"/>
  <c r="AY191" i="59"/>
  <c r="AY202" i="59"/>
  <c r="AY214" i="59"/>
  <c r="AY224" i="59"/>
  <c r="AY235" i="59"/>
  <c r="AY256" i="59"/>
  <c r="AY264" i="59"/>
  <c r="AY274" i="59"/>
  <c r="AY284" i="59"/>
  <c r="AY292" i="59"/>
  <c r="AY302" i="59"/>
  <c r="AY315" i="59"/>
  <c r="AY325" i="59"/>
  <c r="AY335" i="59"/>
  <c r="AY344" i="59"/>
  <c r="AY368" i="59"/>
  <c r="AY372" i="59"/>
  <c r="AY376" i="59"/>
  <c r="AY380" i="59"/>
  <c r="AY415" i="59"/>
  <c r="AY407" i="59"/>
  <c r="AY423" i="59"/>
  <c r="AY432" i="59"/>
  <c r="AY460" i="59"/>
  <c r="AY464" i="59"/>
  <c r="AY468" i="59"/>
  <c r="AY493" i="59"/>
  <c r="AY485" i="59"/>
  <c r="AY509" i="59"/>
  <c r="AY501" i="59"/>
  <c r="AY530" i="59"/>
  <c r="AY532" i="59"/>
  <c r="AY534" i="59"/>
  <c r="AY536" i="59"/>
  <c r="AY554" i="59"/>
  <c r="AY566" i="59"/>
  <c r="AY577" i="59"/>
  <c r="AY589" i="59"/>
  <c r="AY596" i="59"/>
  <c r="AY609" i="59"/>
  <c r="AY625" i="59"/>
  <c r="AY627" i="59"/>
  <c r="AY638" i="59"/>
  <c r="AY650" i="59"/>
  <c r="AY659" i="59"/>
  <c r="AY669" i="59"/>
  <c r="AY681" i="59"/>
  <c r="AY49" i="59"/>
  <c r="AY56" i="59"/>
  <c r="AY63" i="59"/>
  <c r="AY73" i="59"/>
  <c r="AY84" i="59"/>
  <c r="AY96" i="59"/>
  <c r="AY106" i="59"/>
  <c r="AY119" i="59"/>
  <c r="AY147" i="59"/>
  <c r="AY142" i="59"/>
  <c r="AY137" i="59"/>
  <c r="AY164" i="59"/>
  <c r="AY172" i="59"/>
  <c r="AY192" i="59"/>
  <c r="AY203" i="59"/>
  <c r="AY216" i="59"/>
  <c r="AY227" i="59"/>
  <c r="AY238" i="59"/>
  <c r="AY239" i="59"/>
  <c r="AY247" i="59"/>
  <c r="AY260" i="59"/>
  <c r="AY267" i="59"/>
  <c r="AY276" i="59"/>
  <c r="AY285" i="59"/>
  <c r="AY294" i="59"/>
  <c r="AY304" i="59"/>
  <c r="AY316" i="59"/>
  <c r="AY326" i="59"/>
  <c r="AY336" i="59"/>
  <c r="AY346" i="59"/>
  <c r="AY381" i="59"/>
  <c r="AY385" i="59"/>
  <c r="AY389" i="59"/>
  <c r="AY393" i="59"/>
  <c r="AY420" i="59"/>
  <c r="AY412" i="59"/>
  <c r="AY428" i="59"/>
  <c r="AY445" i="59"/>
  <c r="AY449" i="59"/>
  <c r="AY453" i="59"/>
  <c r="AY480" i="59"/>
  <c r="AY504" i="59"/>
  <c r="AY496" i="59"/>
  <c r="AY488" i="59"/>
  <c r="AY512" i="59"/>
  <c r="AY538" i="59"/>
  <c r="AY540" i="59"/>
  <c r="AY542" i="59"/>
  <c r="AY544" i="59"/>
  <c r="AY555" i="59"/>
  <c r="AY569" i="59"/>
  <c r="AY579" i="59"/>
  <c r="AY591" i="59"/>
  <c r="AY597" i="59"/>
  <c r="AY611" i="59"/>
  <c r="AY617" i="59"/>
  <c r="AY629" i="59"/>
  <c r="AY640" i="59"/>
  <c r="AY652" i="59"/>
  <c r="AY660" i="59"/>
  <c r="AY671" i="59"/>
  <c r="AY682" i="59"/>
  <c r="AY695" i="59"/>
  <c r="AY709" i="59"/>
  <c r="AY714" i="59"/>
  <c r="AY725" i="59"/>
  <c r="AY737" i="59"/>
  <c r="AY747" i="59"/>
  <c r="AY758" i="59"/>
  <c r="AY771" i="59"/>
  <c r="AY52" i="59"/>
  <c r="AY59" i="59"/>
  <c r="AY65" i="59"/>
  <c r="AY75" i="59"/>
  <c r="AY86" i="59"/>
  <c r="AY97" i="59"/>
  <c r="AY109" i="59"/>
  <c r="AY120" i="59"/>
  <c r="AY132" i="59"/>
  <c r="AY150" i="59"/>
  <c r="AY145" i="59"/>
  <c r="AY161" i="59"/>
  <c r="AY174" i="59"/>
  <c r="AY183" i="59"/>
  <c r="AY193" i="59"/>
  <c r="AY205" i="59"/>
  <c r="AY218" i="59"/>
  <c r="AY225" i="59"/>
  <c r="AY241" i="59"/>
  <c r="AY249" i="59"/>
  <c r="AY270" i="59"/>
  <c r="AY278" i="59"/>
  <c r="AY286" i="59"/>
  <c r="AY296" i="59"/>
  <c r="AY306" i="59"/>
  <c r="AY317" i="59"/>
  <c r="AY327" i="59"/>
  <c r="AY347" i="59"/>
  <c r="AY369" i="59"/>
  <c r="AY373" i="59"/>
  <c r="AY377" i="59"/>
  <c r="AY396" i="59"/>
  <c r="AY425" i="59"/>
  <c r="AY417" i="59"/>
  <c r="AY409" i="59"/>
  <c r="AY457" i="59"/>
  <c r="AY461" i="59"/>
  <c r="AY465" i="59"/>
  <c r="AY491" i="59"/>
  <c r="AY483" i="59"/>
  <c r="AY507" i="59"/>
  <c r="AY499" i="59"/>
  <c r="AY521" i="59"/>
  <c r="AY523" i="59"/>
  <c r="AY547" i="59"/>
  <c r="AY557" i="59"/>
  <c r="AY567" i="59"/>
  <c r="AY581" i="59"/>
  <c r="AY586" i="59"/>
  <c r="AY599" i="59"/>
  <c r="AY608" i="59"/>
  <c r="AY620" i="59"/>
  <c r="AY630" i="59"/>
  <c r="AY641" i="59"/>
  <c r="AY654" i="59"/>
  <c r="AY662" i="59"/>
  <c r="AY674" i="59"/>
  <c r="AY683" i="59"/>
  <c r="AY697" i="59"/>
  <c r="AY711" i="59"/>
  <c r="AY717" i="59"/>
  <c r="AY728" i="59"/>
  <c r="AY738" i="59"/>
  <c r="AY750" i="59"/>
  <c r="AY772" i="59"/>
  <c r="AY781" i="59"/>
  <c r="AY794" i="59"/>
  <c r="AY807" i="59"/>
  <c r="AY816" i="59"/>
  <c r="AY827" i="59"/>
  <c r="AY837" i="59"/>
  <c r="AY55" i="59"/>
  <c r="AY62" i="59"/>
  <c r="AY66" i="59"/>
  <c r="AY77" i="59"/>
  <c r="AY89" i="59"/>
  <c r="AY99" i="59"/>
  <c r="AY112" i="59"/>
  <c r="AY121" i="59"/>
  <c r="AY140" i="59"/>
  <c r="AY135" i="59"/>
  <c r="AY153" i="59"/>
  <c r="AY163" i="59"/>
  <c r="AY175" i="59"/>
  <c r="AY184" i="59"/>
  <c r="AY194" i="59"/>
  <c r="AY206" i="59"/>
  <c r="AY215" i="59"/>
  <c r="AY228" i="59"/>
  <c r="AY250" i="59"/>
  <c r="AY263" i="59"/>
  <c r="AY262" i="59"/>
  <c r="AY275" i="59"/>
  <c r="AY289" i="59"/>
  <c r="AY299" i="59"/>
  <c r="AY308" i="59"/>
  <c r="AY318" i="59"/>
  <c r="AY328" i="59"/>
  <c r="AY348" i="59"/>
  <c r="AY382" i="59"/>
  <c r="AY386" i="59"/>
  <c r="AY390" i="59"/>
  <c r="AY398" i="59"/>
  <c r="AY406" i="59"/>
  <c r="AY422" i="59"/>
  <c r="AY414" i="59"/>
  <c r="AY446" i="59"/>
  <c r="AY450" i="59"/>
  <c r="AY454" i="59"/>
  <c r="AY502" i="59"/>
  <c r="AY494" i="59"/>
  <c r="AY486" i="59"/>
  <c r="AY510" i="59"/>
  <c r="AY525" i="59"/>
  <c r="AY527" i="59"/>
  <c r="AY549" i="59"/>
  <c r="AY568" i="59"/>
  <c r="AY578" i="59"/>
  <c r="AY588" i="59"/>
  <c r="AY600" i="59"/>
  <c r="AY610" i="59"/>
  <c r="AY623" i="59"/>
  <c r="AY631" i="59"/>
  <c r="AY643" i="59"/>
  <c r="AY656" i="59"/>
  <c r="AY663" i="59"/>
  <c r="AY676" i="59"/>
  <c r="AY687" i="59"/>
  <c r="AY696" i="59"/>
  <c r="AY702" i="59"/>
  <c r="AY719" i="59"/>
  <c r="AY730" i="59"/>
  <c r="AY739" i="59"/>
  <c r="AY752" i="59"/>
  <c r="AY761" i="59"/>
  <c r="AY774" i="59"/>
  <c r="AY782" i="59"/>
  <c r="AY795" i="59"/>
  <c r="AY810" i="59"/>
  <c r="AY818" i="59"/>
  <c r="AY828" i="59"/>
  <c r="AY839" i="59"/>
  <c r="AY848" i="59"/>
  <c r="AY858" i="59"/>
  <c r="AY864" i="59"/>
  <c r="AY877" i="59"/>
  <c r="AY886" i="59"/>
  <c r="AY898" i="59"/>
  <c r="AY919" i="59"/>
  <c r="AY58" i="59"/>
  <c r="AY48" i="59"/>
  <c r="AY67" i="59"/>
  <c r="AY78" i="59"/>
  <c r="AY91" i="59"/>
  <c r="AY100" i="59"/>
  <c r="AY114" i="59"/>
  <c r="AY130" i="59"/>
  <c r="AY148" i="59"/>
  <c r="AY143" i="59"/>
  <c r="AY155" i="59"/>
  <c r="AY165" i="59"/>
  <c r="AY176" i="59"/>
  <c r="AY185" i="59"/>
  <c r="AY198" i="59"/>
  <c r="AY207" i="59"/>
  <c r="AY217" i="59"/>
  <c r="AY230" i="59"/>
  <c r="AY244" i="59"/>
  <c r="AY251" i="59"/>
  <c r="AY266" i="59"/>
  <c r="AY277" i="59"/>
  <c r="AY291" i="59"/>
  <c r="AY301" i="59"/>
  <c r="AY309" i="59"/>
  <c r="AY320" i="59"/>
  <c r="AY329" i="59"/>
  <c r="AY338" i="59"/>
  <c r="AY349" i="59"/>
  <c r="AY370" i="59"/>
  <c r="AY374" i="59"/>
  <c r="AY378" i="59"/>
  <c r="AY397" i="59"/>
  <c r="AY411" i="59"/>
  <c r="AY427" i="59"/>
  <c r="AY419" i="59"/>
  <c r="AY458" i="59"/>
  <c r="AY462" i="59"/>
  <c r="AY466" i="59"/>
  <c r="AY481" i="59"/>
  <c r="AY505" i="59"/>
  <c r="AY497" i="59"/>
  <c r="AY489" i="59"/>
  <c r="AY529" i="59"/>
  <c r="AY531" i="59"/>
  <c r="AY533" i="59"/>
  <c r="AY535" i="59"/>
  <c r="AY551" i="59"/>
  <c r="AY558" i="59"/>
  <c r="AY570" i="59"/>
  <c r="AY580" i="59"/>
  <c r="AY590" i="59"/>
  <c r="AY602" i="59"/>
  <c r="AY612" i="59"/>
  <c r="AY626" i="59"/>
  <c r="AY632" i="59"/>
  <c r="AY644" i="59"/>
  <c r="AY651" i="59"/>
  <c r="AY664" i="59"/>
  <c r="AY678" i="59"/>
  <c r="AY690" i="59"/>
  <c r="AY698" i="59"/>
  <c r="AY704" i="59"/>
  <c r="AY721" i="59"/>
  <c r="AY732" i="59"/>
  <c r="AY741" i="59"/>
  <c r="AY754" i="59"/>
  <c r="AY762" i="59"/>
  <c r="AY775" i="59"/>
  <c r="AY784" i="59"/>
  <c r="AY796" i="59"/>
  <c r="AY808" i="59"/>
  <c r="AY819" i="59"/>
  <c r="AY829" i="59"/>
  <c r="AY840" i="59"/>
  <c r="AY850" i="59"/>
  <c r="AY866" i="59"/>
  <c r="AY878" i="59"/>
  <c r="AY888" i="59"/>
  <c r="AY901" i="59"/>
  <c r="AY921" i="59"/>
  <c r="AY47" i="59"/>
  <c r="AY54" i="59"/>
  <c r="AY72" i="59"/>
  <c r="AY83" i="59"/>
  <c r="AY90" i="59"/>
  <c r="AY107" i="59"/>
  <c r="AY113" i="59"/>
  <c r="AY146" i="59"/>
  <c r="AY141" i="59"/>
  <c r="AY136" i="59"/>
  <c r="AY157" i="59"/>
  <c r="AY168" i="59"/>
  <c r="AY179" i="59"/>
  <c r="AY188" i="59"/>
  <c r="AY200" i="59"/>
  <c r="AY210" i="59"/>
  <c r="AY223" i="59"/>
  <c r="AY232" i="59"/>
  <c r="AY240" i="59"/>
  <c r="AY245" i="59"/>
  <c r="AY253" i="59"/>
  <c r="AY261" i="59"/>
  <c r="AY268" i="59"/>
  <c r="AY281" i="59"/>
  <c r="AY295" i="59"/>
  <c r="AY305" i="59"/>
  <c r="AY312" i="59"/>
  <c r="AY322" i="59"/>
  <c r="AY332" i="59"/>
  <c r="AY341" i="59"/>
  <c r="AY352" i="59"/>
  <c r="AY371" i="59"/>
  <c r="AY375" i="59"/>
  <c r="AY379" i="59"/>
  <c r="AY405" i="59"/>
  <c r="AY421" i="59"/>
  <c r="AY413" i="59"/>
  <c r="AY429" i="59"/>
  <c r="AY459" i="59"/>
  <c r="AY463" i="59"/>
  <c r="AY467" i="59"/>
  <c r="AY503" i="59"/>
  <c r="AY495" i="59"/>
  <c r="AY487" i="59"/>
  <c r="AY511" i="59"/>
  <c r="AY522" i="59"/>
  <c r="AY550" i="59"/>
  <c r="AY561" i="59"/>
  <c r="AY573" i="59"/>
  <c r="AY585" i="59"/>
  <c r="AY594" i="59"/>
  <c r="AY604" i="59"/>
  <c r="AY619" i="59"/>
  <c r="AY621" i="59"/>
  <c r="AY637" i="59"/>
  <c r="AY646" i="59"/>
  <c r="AY655" i="59"/>
  <c r="AY668" i="59"/>
  <c r="AY677" i="59"/>
  <c r="AY691" i="59"/>
  <c r="AY703" i="59"/>
  <c r="AY708" i="59"/>
  <c r="AY720" i="59"/>
  <c r="AY731" i="59"/>
  <c r="AY744" i="59"/>
  <c r="AY753" i="59"/>
  <c r="AY765" i="59"/>
  <c r="AY778" i="59"/>
  <c r="AY788" i="59"/>
  <c r="AY799" i="59"/>
  <c r="AY809" i="59"/>
  <c r="AY822" i="59"/>
  <c r="AY832" i="59"/>
  <c r="AY842" i="59"/>
  <c r="AY852" i="59"/>
  <c r="AY859" i="59"/>
  <c r="AY871" i="59"/>
  <c r="AY880" i="59"/>
  <c r="AY890" i="59"/>
  <c r="AY902" i="59"/>
  <c r="AY925" i="59"/>
  <c r="AY38" i="59"/>
  <c r="AY30" i="59"/>
  <c r="AY974" i="59"/>
  <c r="AY953" i="59"/>
  <c r="AY899" i="59"/>
  <c r="AY882" i="59"/>
  <c r="AY865" i="59"/>
  <c r="AY853" i="59"/>
  <c r="AY835" i="59"/>
  <c r="AY814" i="59"/>
  <c r="AY766" i="59"/>
  <c r="AY735" i="59"/>
  <c r="AY706" i="59"/>
  <c r="AY675" i="59"/>
  <c r="AY635" i="59"/>
  <c r="AY592" i="59"/>
  <c r="AY548" i="59"/>
  <c r="AY537" i="59"/>
  <c r="AY492" i="59"/>
  <c r="AY424" i="59"/>
  <c r="AY391" i="59"/>
  <c r="AY340" i="59"/>
  <c r="AY303" i="59"/>
  <c r="AY269" i="59"/>
  <c r="AY199" i="59"/>
  <c r="AY156" i="59"/>
  <c r="AY116" i="59"/>
  <c r="AY70" i="59"/>
  <c r="AY905" i="59"/>
  <c r="AY767" i="59"/>
  <c r="AY636" i="59"/>
  <c r="AY300" i="59"/>
  <c r="AY74" i="59"/>
  <c r="AY21" i="59"/>
  <c r="AY11" i="59"/>
  <c r="AY41" i="59"/>
  <c r="AY29" i="59"/>
  <c r="AY972" i="59"/>
  <c r="AY951" i="59"/>
  <c r="AY900" i="59"/>
  <c r="AY881" i="59"/>
  <c r="AY863" i="59"/>
  <c r="AY851" i="59"/>
  <c r="AY833" i="59"/>
  <c r="AY812" i="59"/>
  <c r="AY791" i="59"/>
  <c r="AY764" i="59"/>
  <c r="AY733" i="59"/>
  <c r="AY707" i="59"/>
  <c r="AY670" i="59"/>
  <c r="AY624" i="59"/>
  <c r="AY587" i="59"/>
  <c r="AY528" i="59"/>
  <c r="AY490" i="59"/>
  <c r="AY456" i="59"/>
  <c r="AY418" i="59"/>
  <c r="AY388" i="59"/>
  <c r="AY334" i="59"/>
  <c r="AY290" i="59"/>
  <c r="AY255" i="59"/>
  <c r="AY234" i="59"/>
  <c r="AY189" i="59"/>
  <c r="AY144" i="59"/>
  <c r="AY105" i="59"/>
  <c r="AY57" i="59"/>
  <c r="AY40" i="59"/>
  <c r="AY884" i="59"/>
  <c r="AY815" i="59"/>
  <c r="AY679" i="59"/>
  <c r="AY482" i="59"/>
  <c r="AY342" i="59"/>
  <c r="AY242" i="59"/>
  <c r="AY20" i="59"/>
  <c r="AY8" i="59"/>
  <c r="AY39" i="59"/>
  <c r="AY27" i="59"/>
  <c r="AY971" i="59"/>
  <c r="AY897" i="59"/>
  <c r="AY879" i="59"/>
  <c r="AY860" i="59"/>
  <c r="AY847" i="59"/>
  <c r="AY831" i="59"/>
  <c r="AY811" i="59"/>
  <c r="AY786" i="59"/>
  <c r="AY757" i="59"/>
  <c r="AY729" i="59"/>
  <c r="AY705" i="59"/>
  <c r="AY665" i="59"/>
  <c r="AY618" i="59"/>
  <c r="AY582" i="59"/>
  <c r="AY543" i="59"/>
  <c r="AY500" i="59"/>
  <c r="AY455" i="59"/>
  <c r="AY408" i="59"/>
  <c r="AY387" i="59"/>
  <c r="AY331" i="59"/>
  <c r="AY293" i="59"/>
  <c r="AY252" i="59"/>
  <c r="AY231" i="59"/>
  <c r="AY186" i="59"/>
  <c r="AY151" i="59"/>
  <c r="AY104" i="59"/>
  <c r="AY51" i="59"/>
  <c r="AY955" i="59"/>
  <c r="AY836" i="59"/>
  <c r="AY710" i="59"/>
  <c r="AY392" i="59"/>
  <c r="AY201" i="59"/>
  <c r="AY19" i="59"/>
  <c r="AY7" i="59"/>
  <c r="AY37" i="59"/>
  <c r="AY26" i="59"/>
  <c r="AY967" i="59"/>
  <c r="AY922" i="59"/>
  <c r="AY893" i="59"/>
  <c r="AY875" i="59"/>
  <c r="AY846" i="59"/>
  <c r="AY826" i="59"/>
  <c r="AY803" i="59"/>
  <c r="AY779" i="59"/>
  <c r="AY755" i="59"/>
  <c r="AY724" i="59"/>
  <c r="AY701" i="59"/>
  <c r="AY657" i="59"/>
  <c r="AY622" i="59"/>
  <c r="AY574" i="59"/>
  <c r="AY526" i="59"/>
  <c r="AY498" i="59"/>
  <c r="AY452" i="59"/>
  <c r="AY426" i="59"/>
  <c r="AY384" i="59"/>
  <c r="AY323" i="59"/>
  <c r="AY282" i="59"/>
  <c r="AY226" i="59"/>
  <c r="AY180" i="59"/>
  <c r="AY149" i="59"/>
  <c r="AY92" i="59"/>
  <c r="AY50" i="59"/>
  <c r="AY31" i="59"/>
  <c r="AY869" i="59"/>
  <c r="AY742" i="59"/>
  <c r="AY595" i="59"/>
  <c r="AY431" i="59"/>
  <c r="AY17" i="59"/>
  <c r="AY6" i="59"/>
  <c r="AY34" i="59"/>
  <c r="AY25" i="59"/>
  <c r="AY965" i="59"/>
  <c r="AY917" i="59"/>
  <c r="AY892" i="59"/>
  <c r="AY874" i="59"/>
  <c r="AY844" i="59"/>
  <c r="AY824" i="59"/>
  <c r="AY802" i="59"/>
  <c r="AY776" i="59"/>
  <c r="AY751" i="59"/>
  <c r="AY722" i="59"/>
  <c r="AY692" i="59"/>
  <c r="AY653" i="59"/>
  <c r="AY616" i="59"/>
  <c r="AY571" i="59"/>
  <c r="AY541" i="59"/>
  <c r="AY508" i="59"/>
  <c r="AY451" i="59"/>
  <c r="AY416" i="59"/>
  <c r="AY383" i="59"/>
  <c r="AY321" i="59"/>
  <c r="AY279" i="59"/>
  <c r="AY243" i="59"/>
  <c r="AY219" i="59"/>
  <c r="AY178" i="59"/>
  <c r="AY133" i="59"/>
  <c r="AY93" i="59"/>
  <c r="AY61" i="59"/>
  <c r="AD972" i="59"/>
  <c r="AE972" i="59"/>
  <c r="AH972" i="59"/>
  <c r="G972" i="59" s="1"/>
  <c r="AI972" i="59"/>
  <c r="AB972" i="59"/>
  <c r="C972" i="59" s="1"/>
  <c r="AJ972" i="59"/>
  <c r="AC972" i="59"/>
  <c r="AK972" i="59"/>
  <c r="AD951" i="59"/>
  <c r="AE951" i="59"/>
  <c r="AH951" i="59"/>
  <c r="G951" i="59" s="1"/>
  <c r="AI951" i="59"/>
  <c r="AB951" i="59"/>
  <c r="AJ951" i="59"/>
  <c r="AC951" i="59"/>
  <c r="AK951" i="59"/>
  <c r="AD906" i="59"/>
  <c r="AE906" i="59"/>
  <c r="AH906" i="59"/>
  <c r="G906" i="59" s="1"/>
  <c r="AI906" i="59"/>
  <c r="AB906" i="59"/>
  <c r="C906" i="59" s="1"/>
  <c r="AJ906" i="59"/>
  <c r="AC906" i="59"/>
  <c r="AK906" i="59"/>
  <c r="AD893" i="59"/>
  <c r="AE893" i="59"/>
  <c r="AH893" i="59"/>
  <c r="G893" i="59" s="1"/>
  <c r="AI893" i="59"/>
  <c r="AB893" i="59"/>
  <c r="C893" i="59" s="1"/>
  <c r="AJ893" i="59"/>
  <c r="AC893" i="59"/>
  <c r="AK893" i="59"/>
  <c r="AD882" i="59"/>
  <c r="AE882" i="59"/>
  <c r="AH882" i="59"/>
  <c r="G882" i="59" s="1"/>
  <c r="AI882" i="59"/>
  <c r="AB882" i="59"/>
  <c r="C882" i="59" s="1"/>
  <c r="AJ882" i="59"/>
  <c r="AC882" i="59"/>
  <c r="AK882" i="59"/>
  <c r="AE965" i="59"/>
  <c r="AH965" i="59"/>
  <c r="G965" i="59" s="1"/>
  <c r="AI965" i="59"/>
  <c r="AB965" i="59"/>
  <c r="C965" i="59" s="1"/>
  <c r="AJ965" i="59"/>
  <c r="AC965" i="59"/>
  <c r="AK965" i="59"/>
  <c r="AD965" i="59"/>
  <c r="AE922" i="59"/>
  <c r="AH922" i="59"/>
  <c r="G922" i="59" s="1"/>
  <c r="AI922" i="59"/>
  <c r="AB922" i="59"/>
  <c r="D922" i="59" s="1"/>
  <c r="AJ922" i="59"/>
  <c r="AC922" i="59"/>
  <c r="AK922" i="59"/>
  <c r="AD922" i="59"/>
  <c r="AE899" i="59"/>
  <c r="AH899" i="59"/>
  <c r="G899" i="59" s="1"/>
  <c r="AI899" i="59"/>
  <c r="AB899" i="59"/>
  <c r="AJ899" i="59"/>
  <c r="AC899" i="59"/>
  <c r="AK899" i="59"/>
  <c r="AD899" i="59"/>
  <c r="AE889" i="59"/>
  <c r="AH889" i="59"/>
  <c r="G889" i="59" s="1"/>
  <c r="AI889" i="59"/>
  <c r="AB889" i="59"/>
  <c r="AJ889" i="59"/>
  <c r="AC889" i="59"/>
  <c r="AK889" i="59"/>
  <c r="AD889" i="59"/>
  <c r="AE879" i="59"/>
  <c r="AH879" i="59"/>
  <c r="G879" i="59" s="1"/>
  <c r="AI879" i="59"/>
  <c r="AB879" i="59"/>
  <c r="AJ879" i="59"/>
  <c r="AC879" i="59"/>
  <c r="AK879" i="59"/>
  <c r="AD879" i="59"/>
  <c r="AH875" i="59"/>
  <c r="G875" i="59" s="1"/>
  <c r="AI875" i="59"/>
  <c r="AB875" i="59"/>
  <c r="AJ875" i="59"/>
  <c r="AC875" i="59"/>
  <c r="AK875" i="59"/>
  <c r="AD875" i="59"/>
  <c r="AE875" i="59"/>
  <c r="AH980" i="59"/>
  <c r="G980" i="59" s="1"/>
  <c r="AI980" i="59"/>
  <c r="AB980" i="59"/>
  <c r="H980" i="59" s="1"/>
  <c r="AJ980" i="59"/>
  <c r="AC980" i="59"/>
  <c r="AK980" i="59"/>
  <c r="AD980" i="59"/>
  <c r="AE980" i="59"/>
  <c r="AH955" i="59"/>
  <c r="G955" i="59" s="1"/>
  <c r="AI955" i="59"/>
  <c r="AB955" i="59"/>
  <c r="D955" i="59" s="1"/>
  <c r="AJ955" i="59"/>
  <c r="AC955" i="59"/>
  <c r="AK955" i="59"/>
  <c r="AD955" i="59"/>
  <c r="AE955" i="59"/>
  <c r="AH917" i="59"/>
  <c r="G917" i="59" s="1"/>
  <c r="AI917" i="59"/>
  <c r="AB917" i="59"/>
  <c r="C917" i="59" s="1"/>
  <c r="AJ917" i="59"/>
  <c r="AC917" i="59"/>
  <c r="AK917" i="59"/>
  <c r="AD917" i="59"/>
  <c r="AE917" i="59"/>
  <c r="AH900" i="59"/>
  <c r="G900" i="59" s="1"/>
  <c r="AI900" i="59"/>
  <c r="AB900" i="59"/>
  <c r="D900" i="59" s="1"/>
  <c r="AJ900" i="59"/>
  <c r="AC900" i="59"/>
  <c r="AK900" i="59"/>
  <c r="AD900" i="59"/>
  <c r="AE900" i="59"/>
  <c r="AH885" i="59"/>
  <c r="G885" i="59" s="1"/>
  <c r="AI885" i="59"/>
  <c r="AB885" i="59"/>
  <c r="AJ885" i="59"/>
  <c r="AC885" i="59"/>
  <c r="AK885" i="59"/>
  <c r="AD885" i="59"/>
  <c r="AE885" i="59"/>
  <c r="AI874" i="59"/>
  <c r="AB874" i="59"/>
  <c r="C874" i="59" s="1"/>
  <c r="AJ874" i="59"/>
  <c r="AC874" i="59"/>
  <c r="AK874" i="59"/>
  <c r="AD874" i="59"/>
  <c r="AE874" i="59"/>
  <c r="AH874" i="59"/>
  <c r="G874" i="59" s="1"/>
  <c r="AB852" i="59"/>
  <c r="D852" i="59" s="1"/>
  <c r="AJ852" i="59"/>
  <c r="AC852" i="59"/>
  <c r="AK852" i="59"/>
  <c r="AD852" i="59"/>
  <c r="AE852" i="59"/>
  <c r="AH852" i="59"/>
  <c r="G852" i="59" s="1"/>
  <c r="AI852" i="59"/>
  <c r="AH971" i="59"/>
  <c r="G971" i="59" s="1"/>
  <c r="AI971" i="59"/>
  <c r="AB971" i="59"/>
  <c r="AJ971" i="59"/>
  <c r="AC971" i="59"/>
  <c r="AK971" i="59"/>
  <c r="AD971" i="59"/>
  <c r="AE971" i="59"/>
  <c r="AH905" i="59"/>
  <c r="G905" i="59" s="1"/>
  <c r="AI905" i="59"/>
  <c r="AB905" i="59"/>
  <c r="AJ905" i="59"/>
  <c r="AC905" i="59"/>
  <c r="AK905" i="59"/>
  <c r="AD905" i="59"/>
  <c r="AE905" i="59"/>
  <c r="AH892" i="59"/>
  <c r="G892" i="59" s="1"/>
  <c r="AI892" i="59"/>
  <c r="AB892" i="59"/>
  <c r="C892" i="59" s="1"/>
  <c r="AJ892" i="59"/>
  <c r="AC892" i="59"/>
  <c r="AK892" i="59"/>
  <c r="AD892" i="59"/>
  <c r="AE892" i="59"/>
  <c r="AH881" i="59"/>
  <c r="G881" i="59" s="1"/>
  <c r="AI881" i="59"/>
  <c r="AB881" i="59"/>
  <c r="C881" i="59" s="1"/>
  <c r="AJ881" i="59"/>
  <c r="AC881" i="59"/>
  <c r="AK881" i="59"/>
  <c r="AD881" i="59"/>
  <c r="AE881" i="59"/>
  <c r="AH963" i="59"/>
  <c r="G963" i="59" s="1"/>
  <c r="AI963" i="59"/>
  <c r="AB963" i="59"/>
  <c r="AJ963" i="59"/>
  <c r="AC963" i="59"/>
  <c r="AK963" i="59"/>
  <c r="AD963" i="59"/>
  <c r="AE963" i="59"/>
  <c r="AH921" i="59"/>
  <c r="G921" i="59" s="1"/>
  <c r="AI921" i="59"/>
  <c r="AB921" i="59"/>
  <c r="D921" i="59" s="1"/>
  <c r="AJ921" i="59"/>
  <c r="AC921" i="59"/>
  <c r="AK921" i="59"/>
  <c r="AD921" i="59"/>
  <c r="AE921" i="59"/>
  <c r="AH901" i="59"/>
  <c r="G901" i="59" s="1"/>
  <c r="AI901" i="59"/>
  <c r="AB901" i="59"/>
  <c r="AJ901" i="59"/>
  <c r="AC901" i="59"/>
  <c r="AK901" i="59"/>
  <c r="AD901" i="59"/>
  <c r="AE901" i="59"/>
  <c r="AH888" i="59"/>
  <c r="G888" i="59" s="1"/>
  <c r="AI888" i="59"/>
  <c r="AB888" i="59"/>
  <c r="AJ888" i="59"/>
  <c r="AC888" i="59"/>
  <c r="AK888" i="59"/>
  <c r="AD888" i="59"/>
  <c r="AE888" i="59"/>
  <c r="AH878" i="59"/>
  <c r="G878" i="59" s="1"/>
  <c r="AI878" i="59"/>
  <c r="AB878" i="59"/>
  <c r="C878" i="59" s="1"/>
  <c r="AJ878" i="59"/>
  <c r="AC878" i="59"/>
  <c r="AK878" i="59"/>
  <c r="AD878" i="59"/>
  <c r="AE878" i="59"/>
  <c r="AC864" i="59"/>
  <c r="AK864" i="59"/>
  <c r="AD864" i="59"/>
  <c r="AE864" i="59"/>
  <c r="AH864" i="59"/>
  <c r="G864" i="59" s="1"/>
  <c r="AI864" i="59"/>
  <c r="AB864" i="59"/>
  <c r="C864" i="59" s="1"/>
  <c r="AJ864" i="59"/>
  <c r="AH865" i="59"/>
  <c r="G865" i="59" s="1"/>
  <c r="AI865" i="59"/>
  <c r="AB865" i="59"/>
  <c r="D865" i="59" s="1"/>
  <c r="AJ865" i="59"/>
  <c r="AC865" i="59"/>
  <c r="AK865" i="59"/>
  <c r="AD865" i="59"/>
  <c r="AE865" i="59"/>
  <c r="AI863" i="59"/>
  <c r="AB863" i="59"/>
  <c r="C863" i="59" s="1"/>
  <c r="AJ863" i="59"/>
  <c r="AC863" i="59"/>
  <c r="AK863" i="59"/>
  <c r="AD863" i="59"/>
  <c r="AE863" i="59"/>
  <c r="AH863" i="59"/>
  <c r="G863" i="59" s="1"/>
  <c r="AI974" i="59"/>
  <c r="AB974" i="59"/>
  <c r="H974" i="59" s="1"/>
  <c r="AJ974" i="59"/>
  <c r="AC974" i="59"/>
  <c r="AK974" i="59"/>
  <c r="AD974" i="59"/>
  <c r="AE974" i="59"/>
  <c r="AH974" i="59"/>
  <c r="G974" i="59" s="1"/>
  <c r="AI953" i="59"/>
  <c r="AB953" i="59"/>
  <c r="C953" i="59" s="1"/>
  <c r="AJ953" i="59"/>
  <c r="AC953" i="59"/>
  <c r="AK953" i="59"/>
  <c r="AD953" i="59"/>
  <c r="AE953" i="59"/>
  <c r="AH953" i="59"/>
  <c r="G953" i="59" s="1"/>
  <c r="AI907" i="59"/>
  <c r="AB907" i="59"/>
  <c r="C907" i="59" s="1"/>
  <c r="AJ907" i="59"/>
  <c r="AC907" i="59"/>
  <c r="AK907" i="59"/>
  <c r="AD907" i="59"/>
  <c r="AE907" i="59"/>
  <c r="AH907" i="59"/>
  <c r="G907" i="59" s="1"/>
  <c r="AI897" i="59"/>
  <c r="AB897" i="59"/>
  <c r="AJ897" i="59"/>
  <c r="AC897" i="59"/>
  <c r="AK897" i="59"/>
  <c r="AD897" i="59"/>
  <c r="AE897" i="59"/>
  <c r="AH897" i="59"/>
  <c r="G897" i="59" s="1"/>
  <c r="AI884" i="59"/>
  <c r="AB884" i="59"/>
  <c r="AJ884" i="59"/>
  <c r="AC884" i="59"/>
  <c r="AK884" i="59"/>
  <c r="AD884" i="59"/>
  <c r="AE884" i="59"/>
  <c r="AH884" i="59"/>
  <c r="G884" i="59" s="1"/>
  <c r="AD872" i="59"/>
  <c r="AE872" i="59"/>
  <c r="AH872" i="59"/>
  <c r="G872" i="59" s="1"/>
  <c r="AI872" i="59"/>
  <c r="AB872" i="59"/>
  <c r="C872" i="59" s="1"/>
  <c r="AJ872" i="59"/>
  <c r="AC872" i="59"/>
  <c r="AK872" i="59"/>
  <c r="AB967" i="59"/>
  <c r="H967" i="59" s="1"/>
  <c r="AJ967" i="59"/>
  <c r="AC967" i="59"/>
  <c r="AK967" i="59"/>
  <c r="AD967" i="59"/>
  <c r="AE967" i="59"/>
  <c r="AH967" i="59"/>
  <c r="G967" i="59" s="1"/>
  <c r="AI967" i="59"/>
  <c r="AB925" i="59"/>
  <c r="H925" i="59" s="1"/>
  <c r="AJ925" i="59"/>
  <c r="AC925" i="59"/>
  <c r="AK925" i="59"/>
  <c r="AD925" i="59"/>
  <c r="AE925" i="59"/>
  <c r="AH925" i="59"/>
  <c r="G925" i="59" s="1"/>
  <c r="AI925" i="59"/>
  <c r="AB902" i="59"/>
  <c r="AJ902" i="59"/>
  <c r="AC902" i="59"/>
  <c r="AK902" i="59"/>
  <c r="AD902" i="59"/>
  <c r="AE902" i="59"/>
  <c r="AH902" i="59"/>
  <c r="G902" i="59" s="1"/>
  <c r="AI902" i="59"/>
  <c r="AB890" i="59"/>
  <c r="C890" i="59" s="1"/>
  <c r="AJ890" i="59"/>
  <c r="AC890" i="59"/>
  <c r="AK890" i="59"/>
  <c r="AD890" i="59"/>
  <c r="AE890" i="59"/>
  <c r="AH890" i="59"/>
  <c r="G890" i="59" s="1"/>
  <c r="AI890" i="59"/>
  <c r="AB880" i="59"/>
  <c r="AJ880" i="59"/>
  <c r="AC880" i="59"/>
  <c r="AK880" i="59"/>
  <c r="AD880" i="59"/>
  <c r="AE880" i="59"/>
  <c r="AH880" i="59"/>
  <c r="G880" i="59" s="1"/>
  <c r="AI880" i="59"/>
  <c r="AH857" i="59"/>
  <c r="G857" i="59" s="1"/>
  <c r="AI857" i="59"/>
  <c r="AB857" i="59"/>
  <c r="C857" i="59" s="1"/>
  <c r="AJ857" i="59"/>
  <c r="AC857" i="59"/>
  <c r="AK857" i="59"/>
  <c r="AD857" i="59"/>
  <c r="AE857" i="59"/>
  <c r="AC983" i="59"/>
  <c r="AK983" i="59"/>
  <c r="AD983" i="59"/>
  <c r="AE983" i="59"/>
  <c r="AH983" i="59"/>
  <c r="G983" i="59" s="1"/>
  <c r="AI983" i="59"/>
  <c r="AB983" i="59"/>
  <c r="H983" i="59" s="1"/>
  <c r="AJ983" i="59"/>
  <c r="AC962" i="59"/>
  <c r="AK962" i="59"/>
  <c r="AD962" i="59"/>
  <c r="AE962" i="59"/>
  <c r="AH962" i="59"/>
  <c r="G962" i="59" s="1"/>
  <c r="AI962" i="59"/>
  <c r="AB962" i="59"/>
  <c r="AJ962" i="59"/>
  <c r="AC919" i="59"/>
  <c r="AK919" i="59"/>
  <c r="AD919" i="59"/>
  <c r="AE919" i="59"/>
  <c r="AH919" i="59"/>
  <c r="G919" i="59" s="1"/>
  <c r="AI919" i="59"/>
  <c r="AB919" i="59"/>
  <c r="C919" i="59" s="1"/>
  <c r="AJ919" i="59"/>
  <c r="AC898" i="59"/>
  <c r="AK898" i="59"/>
  <c r="AD898" i="59"/>
  <c r="AE898" i="59"/>
  <c r="AH898" i="59"/>
  <c r="G898" i="59" s="1"/>
  <c r="AI898" i="59"/>
  <c r="AB898" i="59"/>
  <c r="C898" i="59" s="1"/>
  <c r="AJ898" i="59"/>
  <c r="AC886" i="59"/>
  <c r="AK886" i="59"/>
  <c r="AD886" i="59"/>
  <c r="AE886" i="59"/>
  <c r="AH886" i="59"/>
  <c r="G886" i="59" s="1"/>
  <c r="AI886" i="59"/>
  <c r="AB886" i="59"/>
  <c r="C886" i="59" s="1"/>
  <c r="AJ886" i="59"/>
  <c r="AC877" i="59"/>
  <c r="AK877" i="59"/>
  <c r="AD877" i="59"/>
  <c r="AE877" i="59"/>
  <c r="AH877" i="59"/>
  <c r="G877" i="59" s="1"/>
  <c r="AI877" i="59"/>
  <c r="AB877" i="59"/>
  <c r="D877" i="59" s="1"/>
  <c r="AJ877" i="59"/>
  <c r="AH870" i="59"/>
  <c r="G870" i="59" s="1"/>
  <c r="AI870" i="59"/>
  <c r="AB870" i="59"/>
  <c r="D870" i="59" s="1"/>
  <c r="AJ870" i="59"/>
  <c r="AC870" i="59"/>
  <c r="AK870" i="59"/>
  <c r="AD870" i="59"/>
  <c r="AE870" i="59"/>
  <c r="AB871" i="59"/>
  <c r="AJ871" i="59"/>
  <c r="AC871" i="59"/>
  <c r="AK871" i="59"/>
  <c r="AD871" i="59"/>
  <c r="AE871" i="59"/>
  <c r="AH871" i="59"/>
  <c r="G871" i="59" s="1"/>
  <c r="AI871" i="59"/>
  <c r="AE869" i="59"/>
  <c r="AH869" i="59"/>
  <c r="G869" i="59" s="1"/>
  <c r="AI869" i="59"/>
  <c r="AB869" i="59"/>
  <c r="AJ869" i="59"/>
  <c r="AC869" i="59"/>
  <c r="AK869" i="59"/>
  <c r="AD869" i="59"/>
  <c r="AB859" i="59"/>
  <c r="C859" i="59" s="1"/>
  <c r="AJ859" i="59"/>
  <c r="AC859" i="59"/>
  <c r="AK859" i="59"/>
  <c r="AD859" i="59"/>
  <c r="AE859" i="59"/>
  <c r="AH859" i="59"/>
  <c r="G859" i="59" s="1"/>
  <c r="AI859" i="59"/>
  <c r="AE851" i="59"/>
  <c r="AH851" i="59"/>
  <c r="G851" i="59" s="1"/>
  <c r="AI851" i="59"/>
  <c r="AB851" i="59"/>
  <c r="AJ851" i="59"/>
  <c r="AC851" i="59"/>
  <c r="AK851" i="59"/>
  <c r="AD851" i="59"/>
  <c r="AH866" i="59"/>
  <c r="G866" i="59" s="1"/>
  <c r="AI866" i="59"/>
  <c r="AB866" i="59"/>
  <c r="AJ866" i="59"/>
  <c r="AC866" i="59"/>
  <c r="AK866" i="59"/>
  <c r="AD866" i="59"/>
  <c r="AE866" i="59"/>
  <c r="AH850" i="59"/>
  <c r="G850" i="59" s="1"/>
  <c r="AI850" i="59"/>
  <c r="AB850" i="59"/>
  <c r="AJ850" i="59"/>
  <c r="AC850" i="59"/>
  <c r="AK850" i="59"/>
  <c r="AD850" i="59"/>
  <c r="AE850" i="59"/>
  <c r="AC840" i="59"/>
  <c r="AK840" i="59"/>
  <c r="AE840" i="59"/>
  <c r="AH840" i="59"/>
  <c r="G840" i="59" s="1"/>
  <c r="AI840" i="59"/>
  <c r="AJ840" i="59"/>
  <c r="AB840" i="59"/>
  <c r="AD840" i="59"/>
  <c r="AC829" i="59"/>
  <c r="AK829" i="59"/>
  <c r="AH829" i="59"/>
  <c r="G829" i="59" s="1"/>
  <c r="AI829" i="59"/>
  <c r="AJ829" i="59"/>
  <c r="AB829" i="59"/>
  <c r="C829" i="59" s="1"/>
  <c r="AD829" i="59"/>
  <c r="AE829" i="59"/>
  <c r="AC819" i="59"/>
  <c r="AK819" i="59"/>
  <c r="AJ819" i="59"/>
  <c r="AB819" i="59"/>
  <c r="C819" i="59" s="1"/>
  <c r="AD819" i="59"/>
  <c r="AE819" i="59"/>
  <c r="AH819" i="59"/>
  <c r="G819" i="59" s="1"/>
  <c r="AI819" i="59"/>
  <c r="AC808" i="59"/>
  <c r="AK808" i="59"/>
  <c r="AB808" i="59"/>
  <c r="AD808" i="59"/>
  <c r="AE808" i="59"/>
  <c r="AH808" i="59"/>
  <c r="G808" i="59" s="1"/>
  <c r="AI808" i="59"/>
  <c r="AJ808" i="59"/>
  <c r="AC796" i="59"/>
  <c r="AK796" i="59"/>
  <c r="AE796" i="59"/>
  <c r="AH796" i="59"/>
  <c r="G796" i="59" s="1"/>
  <c r="AI796" i="59"/>
  <c r="AJ796" i="59"/>
  <c r="AB796" i="59"/>
  <c r="C796" i="59" s="1"/>
  <c r="AD796" i="59"/>
  <c r="AC784" i="59"/>
  <c r="AK784" i="59"/>
  <c r="AH784" i="59"/>
  <c r="G784" i="59" s="1"/>
  <c r="AI784" i="59"/>
  <c r="AJ784" i="59"/>
  <c r="AB784" i="59"/>
  <c r="H784" i="59" s="1"/>
  <c r="AD784" i="59"/>
  <c r="AE784" i="59"/>
  <c r="AC775" i="59"/>
  <c r="AK775" i="59"/>
  <c r="AJ775" i="59"/>
  <c r="AB775" i="59"/>
  <c r="AD775" i="59"/>
  <c r="AE775" i="59"/>
  <c r="AH775" i="59"/>
  <c r="G775" i="59" s="1"/>
  <c r="AI775" i="59"/>
  <c r="AC762" i="59"/>
  <c r="AK762" i="59"/>
  <c r="AB762" i="59"/>
  <c r="AD762" i="59"/>
  <c r="AE762" i="59"/>
  <c r="AH762" i="59"/>
  <c r="G762" i="59" s="1"/>
  <c r="AI762" i="59"/>
  <c r="AJ762" i="59"/>
  <c r="AC754" i="59"/>
  <c r="AK754" i="59"/>
  <c r="AE754" i="59"/>
  <c r="AH754" i="59"/>
  <c r="G754" i="59" s="1"/>
  <c r="AI754" i="59"/>
  <c r="AJ754" i="59"/>
  <c r="AB754" i="59"/>
  <c r="AD754" i="59"/>
  <c r="AD741" i="59"/>
  <c r="AE741" i="59"/>
  <c r="AH741" i="59"/>
  <c r="G741" i="59" s="1"/>
  <c r="AI741" i="59"/>
  <c r="AB741" i="59"/>
  <c r="H741" i="59" s="1"/>
  <c r="AJ741" i="59"/>
  <c r="AC741" i="59"/>
  <c r="AK741" i="59"/>
  <c r="AD732" i="59"/>
  <c r="AE732" i="59"/>
  <c r="AH732" i="59"/>
  <c r="G732" i="59" s="1"/>
  <c r="AI732" i="59"/>
  <c r="AB732" i="59"/>
  <c r="AJ732" i="59"/>
  <c r="AC732" i="59"/>
  <c r="AK732" i="59"/>
  <c r="AC721" i="59"/>
  <c r="AD721" i="59"/>
  <c r="AE721" i="59"/>
  <c r="AH721" i="59"/>
  <c r="G721" i="59" s="1"/>
  <c r="AI721" i="59"/>
  <c r="AJ721" i="59"/>
  <c r="AB721" i="59"/>
  <c r="AK721" i="59"/>
  <c r="AC704" i="59"/>
  <c r="AK704" i="59"/>
  <c r="AH704" i="59"/>
  <c r="G704" i="59" s="1"/>
  <c r="AI704" i="59"/>
  <c r="AJ704" i="59"/>
  <c r="AB704" i="59"/>
  <c r="AD704" i="59"/>
  <c r="AE704" i="59"/>
  <c r="AC698" i="59"/>
  <c r="AK698" i="59"/>
  <c r="AI698" i="59"/>
  <c r="AJ698" i="59"/>
  <c r="AB698" i="59"/>
  <c r="AD698" i="59"/>
  <c r="AE698" i="59"/>
  <c r="AH698" i="59"/>
  <c r="G698" i="59" s="1"/>
  <c r="AC690" i="59"/>
  <c r="AK690" i="59"/>
  <c r="AB690" i="59"/>
  <c r="D690" i="59" s="1"/>
  <c r="AD690" i="59"/>
  <c r="AE690" i="59"/>
  <c r="AH690" i="59"/>
  <c r="G690" i="59" s="1"/>
  <c r="AI690" i="59"/>
  <c r="AJ690" i="59"/>
  <c r="AC678" i="59"/>
  <c r="AK678" i="59"/>
  <c r="AD678" i="59"/>
  <c r="AE678" i="59"/>
  <c r="AH678" i="59"/>
  <c r="G678" i="59" s="1"/>
  <c r="AI678" i="59"/>
  <c r="AJ678" i="59"/>
  <c r="AB678" i="59"/>
  <c r="AC664" i="59"/>
  <c r="AK664" i="59"/>
  <c r="AH664" i="59"/>
  <c r="G664" i="59" s="1"/>
  <c r="AI664" i="59"/>
  <c r="AJ664" i="59"/>
  <c r="AB664" i="59"/>
  <c r="C664" i="59" s="1"/>
  <c r="AD664" i="59"/>
  <c r="AE664" i="59"/>
  <c r="AH651" i="59"/>
  <c r="G651" i="59" s="1"/>
  <c r="AI651" i="59"/>
  <c r="AB651" i="59"/>
  <c r="C651" i="59" s="1"/>
  <c r="AJ651" i="59"/>
  <c r="AC651" i="59"/>
  <c r="AK651" i="59"/>
  <c r="AD651" i="59"/>
  <c r="AE651" i="59"/>
  <c r="AH644" i="59"/>
  <c r="G644" i="59" s="1"/>
  <c r="AI644" i="59"/>
  <c r="AB644" i="59"/>
  <c r="D644" i="59" s="1"/>
  <c r="AJ644" i="59"/>
  <c r="AC644" i="59"/>
  <c r="AK644" i="59"/>
  <c r="AD644" i="59"/>
  <c r="AE644" i="59"/>
  <c r="AH632" i="59"/>
  <c r="G632" i="59" s="1"/>
  <c r="AI632" i="59"/>
  <c r="AB632" i="59"/>
  <c r="C632" i="59" s="1"/>
  <c r="AJ632" i="59"/>
  <c r="AC632" i="59"/>
  <c r="AK632" i="59"/>
  <c r="AD632" i="59"/>
  <c r="AE632" i="59"/>
  <c r="AI846" i="59"/>
  <c r="AB846" i="59"/>
  <c r="C846" i="59" s="1"/>
  <c r="AJ846" i="59"/>
  <c r="AC846" i="59"/>
  <c r="AK846" i="59"/>
  <c r="AD846" i="59"/>
  <c r="AE846" i="59"/>
  <c r="AH846" i="59"/>
  <c r="G846" i="59" s="1"/>
  <c r="AH836" i="59"/>
  <c r="G836" i="59" s="1"/>
  <c r="AD836" i="59"/>
  <c r="AI836" i="59"/>
  <c r="AJ836" i="59"/>
  <c r="AK836" i="59"/>
  <c r="AB836" i="59"/>
  <c r="C836" i="59" s="1"/>
  <c r="AC836" i="59"/>
  <c r="AE836" i="59"/>
  <c r="AH826" i="59"/>
  <c r="G826" i="59" s="1"/>
  <c r="AD826" i="59"/>
  <c r="AI826" i="59"/>
  <c r="AJ826" i="59"/>
  <c r="AK826" i="59"/>
  <c r="AB826" i="59"/>
  <c r="C826" i="59" s="1"/>
  <c r="AC826" i="59"/>
  <c r="AE826" i="59"/>
  <c r="AH815" i="59"/>
  <c r="G815" i="59" s="1"/>
  <c r="AD815" i="59"/>
  <c r="AK815" i="59"/>
  <c r="AB815" i="59"/>
  <c r="AC815" i="59"/>
  <c r="AE815" i="59"/>
  <c r="AI815" i="59"/>
  <c r="AJ815" i="59"/>
  <c r="AH803" i="59"/>
  <c r="G803" i="59" s="1"/>
  <c r="AD803" i="59"/>
  <c r="AC803" i="59"/>
  <c r="AE803" i="59"/>
  <c r="AI803" i="59"/>
  <c r="AJ803" i="59"/>
  <c r="AK803" i="59"/>
  <c r="AB803" i="59"/>
  <c r="AH779" i="59"/>
  <c r="G779" i="59" s="1"/>
  <c r="AD779" i="59"/>
  <c r="AI779" i="59"/>
  <c r="AJ779" i="59"/>
  <c r="AK779" i="59"/>
  <c r="AB779" i="59"/>
  <c r="AC779" i="59"/>
  <c r="AE779" i="59"/>
  <c r="AH771" i="59"/>
  <c r="G771" i="59" s="1"/>
  <c r="AD771" i="59"/>
  <c r="AK771" i="59"/>
  <c r="AB771" i="59"/>
  <c r="H771" i="59" s="1"/>
  <c r="AC771" i="59"/>
  <c r="AE771" i="59"/>
  <c r="AI771" i="59"/>
  <c r="AJ771" i="59"/>
  <c r="AH758" i="59"/>
  <c r="G758" i="59" s="1"/>
  <c r="AD758" i="59"/>
  <c r="AC758" i="59"/>
  <c r="AE758" i="59"/>
  <c r="AI758" i="59"/>
  <c r="AJ758" i="59"/>
  <c r="AK758" i="59"/>
  <c r="AB758" i="59"/>
  <c r="H758" i="59" s="1"/>
  <c r="AE747" i="59"/>
  <c r="AH747" i="59"/>
  <c r="G747" i="59" s="1"/>
  <c r="AI747" i="59"/>
  <c r="AB747" i="59"/>
  <c r="AJ747" i="59"/>
  <c r="AC747" i="59"/>
  <c r="AK747" i="59"/>
  <c r="AD747" i="59"/>
  <c r="AE737" i="59"/>
  <c r="AH737" i="59"/>
  <c r="G737" i="59" s="1"/>
  <c r="AI737" i="59"/>
  <c r="AB737" i="59"/>
  <c r="AJ737" i="59"/>
  <c r="AC737" i="59"/>
  <c r="AK737" i="59"/>
  <c r="AD737" i="59"/>
  <c r="AE725" i="59"/>
  <c r="AH725" i="59"/>
  <c r="G725" i="59" s="1"/>
  <c r="AI725" i="59"/>
  <c r="AB725" i="59"/>
  <c r="C725" i="59" s="1"/>
  <c r="AJ725" i="59"/>
  <c r="AC725" i="59"/>
  <c r="AK725" i="59"/>
  <c r="AD725" i="59"/>
  <c r="AD714" i="59"/>
  <c r="AH714" i="59"/>
  <c r="G714" i="59" s="1"/>
  <c r="AE714" i="59"/>
  <c r="AI714" i="59"/>
  <c r="AJ714" i="59"/>
  <c r="AK714" i="59"/>
  <c r="AB714" i="59"/>
  <c r="H714" i="59" s="1"/>
  <c r="AC714" i="59"/>
  <c r="AD709" i="59"/>
  <c r="AH709" i="59"/>
  <c r="G709" i="59" s="1"/>
  <c r="AI709" i="59"/>
  <c r="AJ709" i="59"/>
  <c r="AK709" i="59"/>
  <c r="AB709" i="59"/>
  <c r="C709" i="59" s="1"/>
  <c r="AC709" i="59"/>
  <c r="AE709" i="59"/>
  <c r="AD695" i="59"/>
  <c r="AH695" i="59"/>
  <c r="G695" i="59" s="1"/>
  <c r="AJ695" i="59"/>
  <c r="AK695" i="59"/>
  <c r="AB695" i="59"/>
  <c r="C695" i="59" s="1"/>
  <c r="AC695" i="59"/>
  <c r="AE695" i="59"/>
  <c r="AI695" i="59"/>
  <c r="AD682" i="59"/>
  <c r="AH682" i="59"/>
  <c r="G682" i="59" s="1"/>
  <c r="AB682" i="59"/>
  <c r="H682" i="59" s="1"/>
  <c r="AC682" i="59"/>
  <c r="AE682" i="59"/>
  <c r="AI682" i="59"/>
  <c r="AJ682" i="59"/>
  <c r="AK682" i="59"/>
  <c r="AD671" i="59"/>
  <c r="AH671" i="59"/>
  <c r="G671" i="59" s="1"/>
  <c r="AE671" i="59"/>
  <c r="AI671" i="59"/>
  <c r="AJ671" i="59"/>
  <c r="AK671" i="59"/>
  <c r="AB671" i="59"/>
  <c r="C671" i="59" s="1"/>
  <c r="AC671" i="59"/>
  <c r="AD660" i="59"/>
  <c r="AH660" i="59"/>
  <c r="G660" i="59" s="1"/>
  <c r="AI660" i="59"/>
  <c r="AJ660" i="59"/>
  <c r="AK660" i="59"/>
  <c r="AB660" i="59"/>
  <c r="C660" i="59" s="1"/>
  <c r="AC660" i="59"/>
  <c r="AE660" i="59"/>
  <c r="AI652" i="59"/>
  <c r="AB652" i="59"/>
  <c r="AJ652" i="59"/>
  <c r="AC652" i="59"/>
  <c r="AK652" i="59"/>
  <c r="AD652" i="59"/>
  <c r="AE652" i="59"/>
  <c r="AH652" i="59"/>
  <c r="G652" i="59" s="1"/>
  <c r="AI640" i="59"/>
  <c r="AB640" i="59"/>
  <c r="AJ640" i="59"/>
  <c r="AC640" i="59"/>
  <c r="AK640" i="59"/>
  <c r="AD640" i="59"/>
  <c r="AE640" i="59"/>
  <c r="AH640" i="59"/>
  <c r="G640" i="59" s="1"/>
  <c r="AI629" i="59"/>
  <c r="AB629" i="59"/>
  <c r="D629" i="59" s="1"/>
  <c r="AJ629" i="59"/>
  <c r="AC629" i="59"/>
  <c r="AK629" i="59"/>
  <c r="AD629" i="59"/>
  <c r="AE629" i="59"/>
  <c r="AH629" i="59"/>
  <c r="G629" i="59" s="1"/>
  <c r="AC623" i="59"/>
  <c r="AK623" i="59"/>
  <c r="AD623" i="59"/>
  <c r="AE623" i="59"/>
  <c r="AH623" i="59"/>
  <c r="G623" i="59" s="1"/>
  <c r="AI623" i="59"/>
  <c r="AB623" i="59"/>
  <c r="AJ623" i="59"/>
  <c r="AB842" i="59"/>
  <c r="AJ842" i="59"/>
  <c r="AC842" i="59"/>
  <c r="AK842" i="59"/>
  <c r="AD842" i="59"/>
  <c r="AE842" i="59"/>
  <c r="AH842" i="59"/>
  <c r="G842" i="59" s="1"/>
  <c r="AI842" i="59"/>
  <c r="AI832" i="59"/>
  <c r="AE832" i="59"/>
  <c r="AH832" i="59"/>
  <c r="G832" i="59" s="1"/>
  <c r="AJ832" i="59"/>
  <c r="AK832" i="59"/>
  <c r="AB832" i="59"/>
  <c r="AC832" i="59"/>
  <c r="AD832" i="59"/>
  <c r="AI822" i="59"/>
  <c r="AE822" i="59"/>
  <c r="AJ822" i="59"/>
  <c r="AK822" i="59"/>
  <c r="AB822" i="59"/>
  <c r="C822" i="59" s="1"/>
  <c r="AC822" i="59"/>
  <c r="AD822" i="59"/>
  <c r="AH822" i="59"/>
  <c r="G822" i="59" s="1"/>
  <c r="AI809" i="59"/>
  <c r="AE809" i="59"/>
  <c r="AB809" i="59"/>
  <c r="AC809" i="59"/>
  <c r="AD809" i="59"/>
  <c r="AH809" i="59"/>
  <c r="G809" i="59" s="1"/>
  <c r="AJ809" i="59"/>
  <c r="AK809" i="59"/>
  <c r="AI799" i="59"/>
  <c r="AE799" i="59"/>
  <c r="AD799" i="59"/>
  <c r="AH799" i="59"/>
  <c r="G799" i="59" s="1"/>
  <c r="AJ799" i="59"/>
  <c r="AK799" i="59"/>
  <c r="AB799" i="59"/>
  <c r="D799" i="59" s="1"/>
  <c r="AC799" i="59"/>
  <c r="AI788" i="59"/>
  <c r="AE788" i="59"/>
  <c r="AH788" i="59"/>
  <c r="G788" i="59" s="1"/>
  <c r="AJ788" i="59"/>
  <c r="AK788" i="59"/>
  <c r="AB788" i="59"/>
  <c r="D788" i="59" s="1"/>
  <c r="AC788" i="59"/>
  <c r="AD788" i="59"/>
  <c r="AI778" i="59"/>
  <c r="AE778" i="59"/>
  <c r="AJ778" i="59"/>
  <c r="AK778" i="59"/>
  <c r="AB778" i="59"/>
  <c r="D778" i="59" s="1"/>
  <c r="AC778" i="59"/>
  <c r="AD778" i="59"/>
  <c r="AH778" i="59"/>
  <c r="G778" i="59" s="1"/>
  <c r="AI765" i="59"/>
  <c r="AE765" i="59"/>
  <c r="AB765" i="59"/>
  <c r="D765" i="59" s="1"/>
  <c r="AC765" i="59"/>
  <c r="AD765" i="59"/>
  <c r="AH765" i="59"/>
  <c r="G765" i="59" s="1"/>
  <c r="AJ765" i="59"/>
  <c r="AK765" i="59"/>
  <c r="AI753" i="59"/>
  <c r="AE753" i="59"/>
  <c r="AD753" i="59"/>
  <c r="AH753" i="59"/>
  <c r="G753" i="59" s="1"/>
  <c r="AJ753" i="59"/>
  <c r="AK753" i="59"/>
  <c r="AB753" i="59"/>
  <c r="AC753" i="59"/>
  <c r="AH744" i="59"/>
  <c r="G744" i="59" s="1"/>
  <c r="AI744" i="59"/>
  <c r="AB744" i="59"/>
  <c r="H744" i="59" s="1"/>
  <c r="AJ744" i="59"/>
  <c r="AC744" i="59"/>
  <c r="AK744" i="59"/>
  <c r="AD744" i="59"/>
  <c r="AE744" i="59"/>
  <c r="AH731" i="59"/>
  <c r="G731" i="59" s="1"/>
  <c r="AI731" i="59"/>
  <c r="AB731" i="59"/>
  <c r="AJ731" i="59"/>
  <c r="AC731" i="59"/>
  <c r="AK731" i="59"/>
  <c r="AD731" i="59"/>
  <c r="AE731" i="59"/>
  <c r="AH720" i="59"/>
  <c r="G720" i="59" s="1"/>
  <c r="AI720" i="59"/>
  <c r="AB720" i="59"/>
  <c r="D720" i="59" s="1"/>
  <c r="AJ720" i="59"/>
  <c r="AC720" i="59"/>
  <c r="AK720" i="59"/>
  <c r="AD720" i="59"/>
  <c r="AE720" i="59"/>
  <c r="AE708" i="59"/>
  <c r="AI708" i="59"/>
  <c r="AH708" i="59"/>
  <c r="G708" i="59" s="1"/>
  <c r="AJ708" i="59"/>
  <c r="AK708" i="59"/>
  <c r="AB708" i="59"/>
  <c r="D708" i="59" s="1"/>
  <c r="AC708" i="59"/>
  <c r="AD708" i="59"/>
  <c r="AE703" i="59"/>
  <c r="AI703" i="59"/>
  <c r="AH703" i="59"/>
  <c r="G703" i="59" s="1"/>
  <c r="AJ703" i="59"/>
  <c r="AK703" i="59"/>
  <c r="AB703" i="59"/>
  <c r="D703" i="59" s="1"/>
  <c r="AC703" i="59"/>
  <c r="AD703" i="59"/>
  <c r="AE691" i="59"/>
  <c r="AI691" i="59"/>
  <c r="AK691" i="59"/>
  <c r="AB691" i="59"/>
  <c r="D691" i="59" s="1"/>
  <c r="AC691" i="59"/>
  <c r="AD691" i="59"/>
  <c r="AH691" i="59"/>
  <c r="G691" i="59" s="1"/>
  <c r="AJ691" i="59"/>
  <c r="AE677" i="59"/>
  <c r="AI677" i="59"/>
  <c r="AC677" i="59"/>
  <c r="AD677" i="59"/>
  <c r="AH677" i="59"/>
  <c r="G677" i="59" s="1"/>
  <c r="AJ677" i="59"/>
  <c r="AK677" i="59"/>
  <c r="AB677" i="59"/>
  <c r="C677" i="59" s="1"/>
  <c r="AE668" i="59"/>
  <c r="AI668" i="59"/>
  <c r="AH668" i="59"/>
  <c r="G668" i="59" s="1"/>
  <c r="AJ668" i="59"/>
  <c r="AK668" i="59"/>
  <c r="AB668" i="59"/>
  <c r="AC668" i="59"/>
  <c r="AD668" i="59"/>
  <c r="AE655" i="59"/>
  <c r="AH655" i="59"/>
  <c r="G655" i="59" s="1"/>
  <c r="AI655" i="59"/>
  <c r="AC655" i="59"/>
  <c r="AD655" i="59"/>
  <c r="AJ655" i="59"/>
  <c r="AK655" i="59"/>
  <c r="AB655" i="59"/>
  <c r="C655" i="59" s="1"/>
  <c r="AB646" i="59"/>
  <c r="D646" i="59" s="1"/>
  <c r="AJ646" i="59"/>
  <c r="AC646" i="59"/>
  <c r="AK646" i="59"/>
  <c r="AD646" i="59"/>
  <c r="AE646" i="59"/>
  <c r="AH646" i="59"/>
  <c r="G646" i="59" s="1"/>
  <c r="AI646" i="59"/>
  <c r="AB637" i="59"/>
  <c r="D637" i="59" s="1"/>
  <c r="AJ637" i="59"/>
  <c r="AC637" i="59"/>
  <c r="AK637" i="59"/>
  <c r="AD637" i="59"/>
  <c r="AE637" i="59"/>
  <c r="AH637" i="59"/>
  <c r="G637" i="59" s="1"/>
  <c r="AI637" i="59"/>
  <c r="AD625" i="59"/>
  <c r="AE625" i="59"/>
  <c r="AH625" i="59"/>
  <c r="G625" i="59" s="1"/>
  <c r="AI625" i="59"/>
  <c r="AB625" i="59"/>
  <c r="C625" i="59" s="1"/>
  <c r="AJ625" i="59"/>
  <c r="AC625" i="59"/>
  <c r="AK625" i="59"/>
  <c r="AH607" i="59"/>
  <c r="G607" i="59" s="1"/>
  <c r="AI607" i="59"/>
  <c r="AB607" i="59"/>
  <c r="AJ607" i="59"/>
  <c r="AC607" i="59"/>
  <c r="AK607" i="59"/>
  <c r="AD607" i="59"/>
  <c r="AE607" i="59"/>
  <c r="AC858" i="59"/>
  <c r="AK858" i="59"/>
  <c r="AD858" i="59"/>
  <c r="AE858" i="59"/>
  <c r="AH858" i="59"/>
  <c r="G858" i="59" s="1"/>
  <c r="AI858" i="59"/>
  <c r="AB858" i="59"/>
  <c r="D858" i="59" s="1"/>
  <c r="AJ858" i="59"/>
  <c r="AC848" i="59"/>
  <c r="AK848" i="59"/>
  <c r="AD848" i="59"/>
  <c r="AE848" i="59"/>
  <c r="AH848" i="59"/>
  <c r="G848" i="59" s="1"/>
  <c r="AI848" i="59"/>
  <c r="AB848" i="59"/>
  <c r="C848" i="59" s="1"/>
  <c r="AJ848" i="59"/>
  <c r="AB839" i="59"/>
  <c r="AJ839" i="59"/>
  <c r="AE839" i="59"/>
  <c r="AH839" i="59"/>
  <c r="G839" i="59" s="1"/>
  <c r="AI839" i="59"/>
  <c r="AK839" i="59"/>
  <c r="AC839" i="59"/>
  <c r="AD839" i="59"/>
  <c r="AB828" i="59"/>
  <c r="C828" i="59" s="1"/>
  <c r="AJ828" i="59"/>
  <c r="AH828" i="59"/>
  <c r="G828" i="59" s="1"/>
  <c r="AI828" i="59"/>
  <c r="AK828" i="59"/>
  <c r="AC828" i="59"/>
  <c r="AD828" i="59"/>
  <c r="AE828" i="59"/>
  <c r="AB818" i="59"/>
  <c r="AJ818" i="59"/>
  <c r="AK818" i="59"/>
  <c r="AC818" i="59"/>
  <c r="AD818" i="59"/>
  <c r="AE818" i="59"/>
  <c r="AH818" i="59"/>
  <c r="G818" i="59" s="1"/>
  <c r="AI818" i="59"/>
  <c r="AB810" i="59"/>
  <c r="C810" i="59" s="1"/>
  <c r="AJ810" i="59"/>
  <c r="AC810" i="59"/>
  <c r="AD810" i="59"/>
  <c r="AE810" i="59"/>
  <c r="AH810" i="59"/>
  <c r="G810" i="59" s="1"/>
  <c r="AI810" i="59"/>
  <c r="AK810" i="59"/>
  <c r="AB795" i="59"/>
  <c r="AJ795" i="59"/>
  <c r="AE795" i="59"/>
  <c r="AH795" i="59"/>
  <c r="G795" i="59" s="1"/>
  <c r="AI795" i="59"/>
  <c r="AK795" i="59"/>
  <c r="AC795" i="59"/>
  <c r="AD795" i="59"/>
  <c r="AB782" i="59"/>
  <c r="C782" i="59" s="1"/>
  <c r="AJ782" i="59"/>
  <c r="AH782" i="59"/>
  <c r="G782" i="59" s="1"/>
  <c r="AI782" i="59"/>
  <c r="AK782" i="59"/>
  <c r="AC782" i="59"/>
  <c r="AD782" i="59"/>
  <c r="AE782" i="59"/>
  <c r="AB774" i="59"/>
  <c r="AJ774" i="59"/>
  <c r="AK774" i="59"/>
  <c r="AC774" i="59"/>
  <c r="AD774" i="59"/>
  <c r="AE774" i="59"/>
  <c r="AH774" i="59"/>
  <c r="G774" i="59" s="1"/>
  <c r="AI774" i="59"/>
  <c r="AB761" i="59"/>
  <c r="AJ761" i="59"/>
  <c r="AC761" i="59"/>
  <c r="AD761" i="59"/>
  <c r="AE761" i="59"/>
  <c r="AH761" i="59"/>
  <c r="G761" i="59" s="1"/>
  <c r="AI761" i="59"/>
  <c r="AK761" i="59"/>
  <c r="AB752" i="59"/>
  <c r="AJ752" i="59"/>
  <c r="AE752" i="59"/>
  <c r="AH752" i="59"/>
  <c r="G752" i="59" s="1"/>
  <c r="AI752" i="59"/>
  <c r="AK752" i="59"/>
  <c r="AC752" i="59"/>
  <c r="AD752" i="59"/>
  <c r="AH739" i="59"/>
  <c r="G739" i="59" s="1"/>
  <c r="AI739" i="59"/>
  <c r="AB739" i="59"/>
  <c r="C739" i="59" s="1"/>
  <c r="AJ739" i="59"/>
  <c r="AC739" i="59"/>
  <c r="AK739" i="59"/>
  <c r="AD739" i="59"/>
  <c r="AE739" i="59"/>
  <c r="AH730" i="59"/>
  <c r="G730" i="59" s="1"/>
  <c r="AI730" i="59"/>
  <c r="AB730" i="59"/>
  <c r="C730" i="59" s="1"/>
  <c r="AJ730" i="59"/>
  <c r="AC730" i="59"/>
  <c r="AK730" i="59"/>
  <c r="AD730" i="59"/>
  <c r="AE730" i="59"/>
  <c r="AB719" i="59"/>
  <c r="C719" i="59" s="1"/>
  <c r="AJ719" i="59"/>
  <c r="AD719" i="59"/>
  <c r="AE719" i="59"/>
  <c r="AH719" i="59"/>
  <c r="G719" i="59" s="1"/>
  <c r="AI719" i="59"/>
  <c r="AK719" i="59"/>
  <c r="AC719" i="59"/>
  <c r="AB702" i="59"/>
  <c r="C702" i="59" s="1"/>
  <c r="AJ702" i="59"/>
  <c r="AH702" i="59"/>
  <c r="G702" i="59" s="1"/>
  <c r="AI702" i="59"/>
  <c r="AK702" i="59"/>
  <c r="AC702" i="59"/>
  <c r="AD702" i="59"/>
  <c r="AE702" i="59"/>
  <c r="AB696" i="59"/>
  <c r="AJ696" i="59"/>
  <c r="AI696" i="59"/>
  <c r="AK696" i="59"/>
  <c r="AC696" i="59"/>
  <c r="AD696" i="59"/>
  <c r="AE696" i="59"/>
  <c r="AH696" i="59"/>
  <c r="G696" i="59" s="1"/>
  <c r="AB687" i="59"/>
  <c r="AJ687" i="59"/>
  <c r="AC687" i="59"/>
  <c r="AD687" i="59"/>
  <c r="AE687" i="59"/>
  <c r="AH687" i="59"/>
  <c r="G687" i="59" s="1"/>
  <c r="AI687" i="59"/>
  <c r="AK687" i="59"/>
  <c r="AB676" i="59"/>
  <c r="AJ676" i="59"/>
  <c r="AD676" i="59"/>
  <c r="AE676" i="59"/>
  <c r="AH676" i="59"/>
  <c r="G676" i="59" s="1"/>
  <c r="AI676" i="59"/>
  <c r="AK676" i="59"/>
  <c r="AC676" i="59"/>
  <c r="AB663" i="59"/>
  <c r="AJ663" i="59"/>
  <c r="AH663" i="59"/>
  <c r="G663" i="59" s="1"/>
  <c r="AI663" i="59"/>
  <c r="AK663" i="59"/>
  <c r="AC663" i="59"/>
  <c r="AD663" i="59"/>
  <c r="AE663" i="59"/>
  <c r="AC656" i="59"/>
  <c r="AK656" i="59"/>
  <c r="AD656" i="59"/>
  <c r="AE656" i="59"/>
  <c r="AH656" i="59"/>
  <c r="G656" i="59" s="1"/>
  <c r="AI656" i="59"/>
  <c r="AB656" i="59"/>
  <c r="AJ656" i="59"/>
  <c r="AC643" i="59"/>
  <c r="AK643" i="59"/>
  <c r="AD643" i="59"/>
  <c r="AE643" i="59"/>
  <c r="AH643" i="59"/>
  <c r="G643" i="59" s="1"/>
  <c r="AI643" i="59"/>
  <c r="AB643" i="59"/>
  <c r="D643" i="59" s="1"/>
  <c r="AJ643" i="59"/>
  <c r="AC631" i="59"/>
  <c r="AK631" i="59"/>
  <c r="AD631" i="59"/>
  <c r="AE631" i="59"/>
  <c r="AH631" i="59"/>
  <c r="G631" i="59" s="1"/>
  <c r="AI631" i="59"/>
  <c r="AB631" i="59"/>
  <c r="C631" i="59" s="1"/>
  <c r="AJ631" i="59"/>
  <c r="AD627" i="59"/>
  <c r="AE627" i="59"/>
  <c r="AH627" i="59"/>
  <c r="G627" i="59" s="1"/>
  <c r="AI627" i="59"/>
  <c r="AB627" i="59"/>
  <c r="D627" i="59" s="1"/>
  <c r="AJ627" i="59"/>
  <c r="AC627" i="59"/>
  <c r="AK627" i="59"/>
  <c r="AH624" i="59"/>
  <c r="G624" i="59" s="1"/>
  <c r="AI624" i="59"/>
  <c r="AB624" i="59"/>
  <c r="AJ624" i="59"/>
  <c r="AC624" i="59"/>
  <c r="AK624" i="59"/>
  <c r="AD624" i="59"/>
  <c r="AE624" i="59"/>
  <c r="AC610" i="59"/>
  <c r="AK610" i="59"/>
  <c r="AD610" i="59"/>
  <c r="AE610" i="59"/>
  <c r="AH610" i="59"/>
  <c r="G610" i="59" s="1"/>
  <c r="AI610" i="59"/>
  <c r="AB610" i="59"/>
  <c r="AJ610" i="59"/>
  <c r="AD860" i="59"/>
  <c r="AE860" i="59"/>
  <c r="AH860" i="59"/>
  <c r="G860" i="59" s="1"/>
  <c r="AI860" i="59"/>
  <c r="AB860" i="59"/>
  <c r="C860" i="59" s="1"/>
  <c r="AJ860" i="59"/>
  <c r="AC860" i="59"/>
  <c r="AK860" i="59"/>
  <c r="AD854" i="59"/>
  <c r="AE854" i="59"/>
  <c r="AH854" i="59"/>
  <c r="G854" i="59" s="1"/>
  <c r="AI854" i="59"/>
  <c r="AB854" i="59"/>
  <c r="AJ854" i="59"/>
  <c r="AC854" i="59"/>
  <c r="AK854" i="59"/>
  <c r="AD844" i="59"/>
  <c r="AE844" i="59"/>
  <c r="AH844" i="59"/>
  <c r="G844" i="59" s="1"/>
  <c r="AI844" i="59"/>
  <c r="AB844" i="59"/>
  <c r="AJ844" i="59"/>
  <c r="AC844" i="59"/>
  <c r="AK844" i="59"/>
  <c r="AC835" i="59"/>
  <c r="AK835" i="59"/>
  <c r="AH835" i="59"/>
  <c r="G835" i="59" s="1"/>
  <c r="AI835" i="59"/>
  <c r="AJ835" i="59"/>
  <c r="AB835" i="59"/>
  <c r="AD835" i="59"/>
  <c r="AE835" i="59"/>
  <c r="AC824" i="59"/>
  <c r="AK824" i="59"/>
  <c r="AI824" i="59"/>
  <c r="AJ824" i="59"/>
  <c r="AB824" i="59"/>
  <c r="AD824" i="59"/>
  <c r="AE824" i="59"/>
  <c r="AH824" i="59"/>
  <c r="G824" i="59" s="1"/>
  <c r="AC814" i="59"/>
  <c r="AK814" i="59"/>
  <c r="AB814" i="59"/>
  <c r="AD814" i="59"/>
  <c r="AE814" i="59"/>
  <c r="AH814" i="59"/>
  <c r="G814" i="59" s="1"/>
  <c r="AI814" i="59"/>
  <c r="AJ814" i="59"/>
  <c r="AC802" i="59"/>
  <c r="AK802" i="59"/>
  <c r="AD802" i="59"/>
  <c r="AE802" i="59"/>
  <c r="AH802" i="59"/>
  <c r="G802" i="59" s="1"/>
  <c r="AI802" i="59"/>
  <c r="AJ802" i="59"/>
  <c r="AB802" i="59"/>
  <c r="AC776" i="59"/>
  <c r="AK776" i="59"/>
  <c r="AI776" i="59"/>
  <c r="AJ776" i="59"/>
  <c r="AB776" i="59"/>
  <c r="C776" i="59" s="1"/>
  <c r="AD776" i="59"/>
  <c r="AE776" i="59"/>
  <c r="AH776" i="59"/>
  <c r="G776" i="59" s="1"/>
  <c r="AC767" i="59"/>
  <c r="AK767" i="59"/>
  <c r="AB767" i="59"/>
  <c r="AD767" i="59"/>
  <c r="AE767" i="59"/>
  <c r="AH767" i="59"/>
  <c r="G767" i="59" s="1"/>
  <c r="AI767" i="59"/>
  <c r="AJ767" i="59"/>
  <c r="AC757" i="59"/>
  <c r="AK757" i="59"/>
  <c r="AD757" i="59"/>
  <c r="AE757" i="59"/>
  <c r="AH757" i="59"/>
  <c r="G757" i="59" s="1"/>
  <c r="AI757" i="59"/>
  <c r="AJ757" i="59"/>
  <c r="AB757" i="59"/>
  <c r="H757" i="59" s="1"/>
  <c r="AH746" i="59"/>
  <c r="G746" i="59" s="1"/>
  <c r="AI746" i="59"/>
  <c r="AB746" i="59"/>
  <c r="H746" i="59" s="1"/>
  <c r="AJ746" i="59"/>
  <c r="AC746" i="59"/>
  <c r="AK746" i="59"/>
  <c r="AD746" i="59"/>
  <c r="AE746" i="59"/>
  <c r="AH735" i="59"/>
  <c r="G735" i="59" s="1"/>
  <c r="AI735" i="59"/>
  <c r="AB735" i="59"/>
  <c r="AJ735" i="59"/>
  <c r="AC735" i="59"/>
  <c r="AK735" i="59"/>
  <c r="AD735" i="59"/>
  <c r="AE735" i="59"/>
  <c r="AH724" i="59"/>
  <c r="G724" i="59" s="1"/>
  <c r="AI724" i="59"/>
  <c r="AB724" i="59"/>
  <c r="AJ724" i="59"/>
  <c r="AC724" i="59"/>
  <c r="AK724" i="59"/>
  <c r="AD724" i="59"/>
  <c r="AE724" i="59"/>
  <c r="AC712" i="59"/>
  <c r="AK712" i="59"/>
  <c r="AE712" i="59"/>
  <c r="AH712" i="59"/>
  <c r="G712" i="59" s="1"/>
  <c r="AI712" i="59"/>
  <c r="AJ712" i="59"/>
  <c r="AB712" i="59"/>
  <c r="AD712" i="59"/>
  <c r="AC707" i="59"/>
  <c r="AK707" i="59"/>
  <c r="AH707" i="59"/>
  <c r="G707" i="59" s="1"/>
  <c r="AI707" i="59"/>
  <c r="AJ707" i="59"/>
  <c r="AB707" i="59"/>
  <c r="C707" i="59" s="1"/>
  <c r="AD707" i="59"/>
  <c r="AE707" i="59"/>
  <c r="AC692" i="59"/>
  <c r="AK692" i="59"/>
  <c r="AJ692" i="59"/>
  <c r="AB692" i="59"/>
  <c r="AD692" i="59"/>
  <c r="AE692" i="59"/>
  <c r="AH692" i="59"/>
  <c r="G692" i="59" s="1"/>
  <c r="AI692" i="59"/>
  <c r="AC681" i="59"/>
  <c r="AK681" i="59"/>
  <c r="AB681" i="59"/>
  <c r="H681" i="59" s="1"/>
  <c r="AD681" i="59"/>
  <c r="AE681" i="59"/>
  <c r="AH681" i="59"/>
  <c r="G681" i="59" s="1"/>
  <c r="AI681" i="59"/>
  <c r="AJ681" i="59"/>
  <c r="AC669" i="59"/>
  <c r="AK669" i="59"/>
  <c r="AE669" i="59"/>
  <c r="AH669" i="59"/>
  <c r="G669" i="59" s="1"/>
  <c r="AI669" i="59"/>
  <c r="AJ669" i="59"/>
  <c r="AB669" i="59"/>
  <c r="AD669" i="59"/>
  <c r="AC659" i="59"/>
  <c r="AK659" i="59"/>
  <c r="AH659" i="59"/>
  <c r="G659" i="59" s="1"/>
  <c r="AI659" i="59"/>
  <c r="AJ659" i="59"/>
  <c r="AB659" i="59"/>
  <c r="AD659" i="59"/>
  <c r="AE659" i="59"/>
  <c r="AD650" i="59"/>
  <c r="AE650" i="59"/>
  <c r="AH650" i="59"/>
  <c r="G650" i="59" s="1"/>
  <c r="AI650" i="59"/>
  <c r="AB650" i="59"/>
  <c r="AJ650" i="59"/>
  <c r="AC650" i="59"/>
  <c r="AK650" i="59"/>
  <c r="AD638" i="59"/>
  <c r="AE638" i="59"/>
  <c r="AH638" i="59"/>
  <c r="G638" i="59" s="1"/>
  <c r="AI638" i="59"/>
  <c r="AB638" i="59"/>
  <c r="AJ638" i="59"/>
  <c r="AC638" i="59"/>
  <c r="AK638" i="59"/>
  <c r="AH626" i="59"/>
  <c r="G626" i="59" s="1"/>
  <c r="AI626" i="59"/>
  <c r="AB626" i="59"/>
  <c r="AJ626" i="59"/>
  <c r="AC626" i="59"/>
  <c r="AK626" i="59"/>
  <c r="AD626" i="59"/>
  <c r="AE626" i="59"/>
  <c r="AD841" i="59"/>
  <c r="AE841" i="59"/>
  <c r="AH841" i="59"/>
  <c r="G841" i="59" s="1"/>
  <c r="AI841" i="59"/>
  <c r="AJ841" i="59"/>
  <c r="AB841" i="59"/>
  <c r="C841" i="59" s="1"/>
  <c r="AK841" i="59"/>
  <c r="AC841" i="59"/>
  <c r="AD831" i="59"/>
  <c r="AH831" i="59"/>
  <c r="G831" i="59" s="1"/>
  <c r="AI831" i="59"/>
  <c r="AJ831" i="59"/>
  <c r="AK831" i="59"/>
  <c r="AB831" i="59"/>
  <c r="AC831" i="59"/>
  <c r="AE831" i="59"/>
  <c r="AD820" i="59"/>
  <c r="AH820" i="59"/>
  <c r="G820" i="59" s="1"/>
  <c r="AJ820" i="59"/>
  <c r="AK820" i="59"/>
  <c r="AB820" i="59"/>
  <c r="C820" i="59" s="1"/>
  <c r="AC820" i="59"/>
  <c r="AE820" i="59"/>
  <c r="AI820" i="59"/>
  <c r="AD811" i="59"/>
  <c r="AH811" i="59"/>
  <c r="G811" i="59" s="1"/>
  <c r="AB811" i="59"/>
  <c r="C811" i="59" s="1"/>
  <c r="AC811" i="59"/>
  <c r="AE811" i="59"/>
  <c r="AI811" i="59"/>
  <c r="AJ811" i="59"/>
  <c r="AK811" i="59"/>
  <c r="AD798" i="59"/>
  <c r="AH798" i="59"/>
  <c r="G798" i="59" s="1"/>
  <c r="AE798" i="59"/>
  <c r="AI798" i="59"/>
  <c r="AJ798" i="59"/>
  <c r="AK798" i="59"/>
  <c r="AB798" i="59"/>
  <c r="AC798" i="59"/>
  <c r="AD786" i="59"/>
  <c r="AH786" i="59"/>
  <c r="G786" i="59" s="1"/>
  <c r="AI786" i="59"/>
  <c r="AJ786" i="59"/>
  <c r="AK786" i="59"/>
  <c r="AB786" i="59"/>
  <c r="AC786" i="59"/>
  <c r="AE786" i="59"/>
  <c r="AD777" i="59"/>
  <c r="AH777" i="59"/>
  <c r="G777" i="59" s="1"/>
  <c r="AJ777" i="59"/>
  <c r="AK777" i="59"/>
  <c r="AB777" i="59"/>
  <c r="AC777" i="59"/>
  <c r="AE777" i="59"/>
  <c r="AI777" i="59"/>
  <c r="AD764" i="59"/>
  <c r="AH764" i="59"/>
  <c r="G764" i="59" s="1"/>
  <c r="AB764" i="59"/>
  <c r="AC764" i="59"/>
  <c r="AE764" i="59"/>
  <c r="AI764" i="59"/>
  <c r="AJ764" i="59"/>
  <c r="AK764" i="59"/>
  <c r="AD751" i="59"/>
  <c r="AH751" i="59"/>
  <c r="G751" i="59" s="1"/>
  <c r="AE751" i="59"/>
  <c r="AI751" i="59"/>
  <c r="AJ751" i="59"/>
  <c r="AK751" i="59"/>
  <c r="AB751" i="59"/>
  <c r="C751" i="59" s="1"/>
  <c r="AC751" i="59"/>
  <c r="AI742" i="59"/>
  <c r="AB742" i="59"/>
  <c r="AJ742" i="59"/>
  <c r="AC742" i="59"/>
  <c r="AK742" i="59"/>
  <c r="AD742" i="59"/>
  <c r="AE742" i="59"/>
  <c r="AH742" i="59"/>
  <c r="G742" i="59" s="1"/>
  <c r="AI729" i="59"/>
  <c r="AB729" i="59"/>
  <c r="AJ729" i="59"/>
  <c r="AC729" i="59"/>
  <c r="AK729" i="59"/>
  <c r="AD729" i="59"/>
  <c r="AE729" i="59"/>
  <c r="AH729" i="59"/>
  <c r="G729" i="59" s="1"/>
  <c r="AI718" i="59"/>
  <c r="AB718" i="59"/>
  <c r="C718" i="59" s="1"/>
  <c r="AJ718" i="59"/>
  <c r="AC718" i="59"/>
  <c r="AK718" i="59"/>
  <c r="AD718" i="59"/>
  <c r="AE718" i="59"/>
  <c r="AH718" i="59"/>
  <c r="G718" i="59" s="1"/>
  <c r="AH706" i="59"/>
  <c r="G706" i="59" s="1"/>
  <c r="AD706" i="59"/>
  <c r="AI706" i="59"/>
  <c r="AJ706" i="59"/>
  <c r="AK706" i="59"/>
  <c r="AB706" i="59"/>
  <c r="AC706" i="59"/>
  <c r="AE706" i="59"/>
  <c r="AH701" i="59"/>
  <c r="G701" i="59" s="1"/>
  <c r="AD701" i="59"/>
  <c r="AI701" i="59"/>
  <c r="AJ701" i="59"/>
  <c r="AK701" i="59"/>
  <c r="AB701" i="59"/>
  <c r="AC701" i="59"/>
  <c r="AE701" i="59"/>
  <c r="AH688" i="59"/>
  <c r="G688" i="59" s="1"/>
  <c r="AD688" i="59"/>
  <c r="AK688" i="59"/>
  <c r="AB688" i="59"/>
  <c r="AC688" i="59"/>
  <c r="AE688" i="59"/>
  <c r="AI688" i="59"/>
  <c r="AJ688" i="59"/>
  <c r="AH675" i="59"/>
  <c r="G675" i="59" s="1"/>
  <c r="AD675" i="59"/>
  <c r="AC675" i="59"/>
  <c r="AE675" i="59"/>
  <c r="AI675" i="59"/>
  <c r="AJ675" i="59"/>
  <c r="AK675" i="59"/>
  <c r="AB675" i="59"/>
  <c r="D675" i="59" s="1"/>
  <c r="AH665" i="59"/>
  <c r="G665" i="59" s="1"/>
  <c r="AD665" i="59"/>
  <c r="AI665" i="59"/>
  <c r="AJ665" i="59"/>
  <c r="AK665" i="59"/>
  <c r="AB665" i="59"/>
  <c r="C665" i="59" s="1"/>
  <c r="AC665" i="59"/>
  <c r="AE665" i="59"/>
  <c r="AE653" i="59"/>
  <c r="AH653" i="59"/>
  <c r="G653" i="59" s="1"/>
  <c r="AI653" i="59"/>
  <c r="AB653" i="59"/>
  <c r="C653" i="59" s="1"/>
  <c r="AJ653" i="59"/>
  <c r="AC653" i="59"/>
  <c r="AK653" i="59"/>
  <c r="AD653" i="59"/>
  <c r="AE645" i="59"/>
  <c r="AH645" i="59"/>
  <c r="G645" i="59" s="1"/>
  <c r="AI645" i="59"/>
  <c r="AB645" i="59"/>
  <c r="C645" i="59" s="1"/>
  <c r="AJ645" i="59"/>
  <c r="AC645" i="59"/>
  <c r="AK645" i="59"/>
  <c r="AD645" i="59"/>
  <c r="AE635" i="59"/>
  <c r="AH635" i="59"/>
  <c r="G635" i="59" s="1"/>
  <c r="AI635" i="59"/>
  <c r="AB635" i="59"/>
  <c r="C635" i="59" s="1"/>
  <c r="AJ635" i="59"/>
  <c r="AC635" i="59"/>
  <c r="AK635" i="59"/>
  <c r="AD635" i="59"/>
  <c r="AH847" i="59"/>
  <c r="G847" i="59" s="1"/>
  <c r="AI847" i="59"/>
  <c r="AB847" i="59"/>
  <c r="AJ847" i="59"/>
  <c r="AC847" i="59"/>
  <c r="AK847" i="59"/>
  <c r="AD847" i="59"/>
  <c r="AE847" i="59"/>
  <c r="AE837" i="59"/>
  <c r="AI837" i="59"/>
  <c r="AH837" i="59"/>
  <c r="G837" i="59" s="1"/>
  <c r="AJ837" i="59"/>
  <c r="AK837" i="59"/>
  <c r="AB837" i="59"/>
  <c r="AC837" i="59"/>
  <c r="AD837" i="59"/>
  <c r="AE827" i="59"/>
  <c r="AI827" i="59"/>
  <c r="AH827" i="59"/>
  <c r="G827" i="59" s="1"/>
  <c r="AJ827" i="59"/>
  <c r="AK827" i="59"/>
  <c r="AB827" i="59"/>
  <c r="AC827" i="59"/>
  <c r="AD827" i="59"/>
  <c r="AE816" i="59"/>
  <c r="AI816" i="59"/>
  <c r="AK816" i="59"/>
  <c r="AB816" i="59"/>
  <c r="AC816" i="59"/>
  <c r="AD816" i="59"/>
  <c r="AH816" i="59"/>
  <c r="G816" i="59" s="1"/>
  <c r="AJ816" i="59"/>
  <c r="AE807" i="59"/>
  <c r="AI807" i="59"/>
  <c r="AC807" i="59"/>
  <c r="AD807" i="59"/>
  <c r="AH807" i="59"/>
  <c r="G807" i="59" s="1"/>
  <c r="AJ807" i="59"/>
  <c r="AK807" i="59"/>
  <c r="AB807" i="59"/>
  <c r="C807" i="59" s="1"/>
  <c r="AE794" i="59"/>
  <c r="AI794" i="59"/>
  <c r="AH794" i="59"/>
  <c r="G794" i="59" s="1"/>
  <c r="AJ794" i="59"/>
  <c r="AK794" i="59"/>
  <c r="AB794" i="59"/>
  <c r="D794" i="59" s="1"/>
  <c r="AC794" i="59"/>
  <c r="AD794" i="59"/>
  <c r="AE781" i="59"/>
  <c r="AI781" i="59"/>
  <c r="AH781" i="59"/>
  <c r="G781" i="59" s="1"/>
  <c r="AJ781" i="59"/>
  <c r="AK781" i="59"/>
  <c r="AB781" i="59"/>
  <c r="C781" i="59" s="1"/>
  <c r="AC781" i="59"/>
  <c r="AD781" i="59"/>
  <c r="AE772" i="59"/>
  <c r="AI772" i="59"/>
  <c r="AK772" i="59"/>
  <c r="AB772" i="59"/>
  <c r="C772" i="59" s="1"/>
  <c r="AC772" i="59"/>
  <c r="AD772" i="59"/>
  <c r="AH772" i="59"/>
  <c r="G772" i="59" s="1"/>
  <c r="AJ772" i="59"/>
  <c r="AE759" i="59"/>
  <c r="AI759" i="59"/>
  <c r="AC759" i="59"/>
  <c r="AD759" i="59"/>
  <c r="AH759" i="59"/>
  <c r="G759" i="59" s="1"/>
  <c r="AJ759" i="59"/>
  <c r="AK759" i="59"/>
  <c r="AB759" i="59"/>
  <c r="H759" i="59" s="1"/>
  <c r="AB750" i="59"/>
  <c r="D750" i="59" s="1"/>
  <c r="AD750" i="59"/>
  <c r="AE750" i="59"/>
  <c r="AI750" i="59"/>
  <c r="AH750" i="59"/>
  <c r="G750" i="59" s="1"/>
  <c r="AJ750" i="59"/>
  <c r="AK750" i="59"/>
  <c r="AC750" i="59"/>
  <c r="AB738" i="59"/>
  <c r="D738" i="59" s="1"/>
  <c r="AJ738" i="59"/>
  <c r="AC738" i="59"/>
  <c r="AK738" i="59"/>
  <c r="AD738" i="59"/>
  <c r="AE738" i="59"/>
  <c r="AH738" i="59"/>
  <c r="G738" i="59" s="1"/>
  <c r="AI738" i="59"/>
  <c r="AB728" i="59"/>
  <c r="AJ728" i="59"/>
  <c r="AC728" i="59"/>
  <c r="AK728" i="59"/>
  <c r="AD728" i="59"/>
  <c r="AE728" i="59"/>
  <c r="AH728" i="59"/>
  <c r="G728" i="59" s="1"/>
  <c r="AI728" i="59"/>
  <c r="AI717" i="59"/>
  <c r="AE717" i="59"/>
  <c r="AD717" i="59"/>
  <c r="AH717" i="59"/>
  <c r="G717" i="59" s="1"/>
  <c r="AJ717" i="59"/>
  <c r="AK717" i="59"/>
  <c r="AB717" i="59"/>
  <c r="AC717" i="59"/>
  <c r="AI711" i="59"/>
  <c r="AE711" i="59"/>
  <c r="AH711" i="59"/>
  <c r="G711" i="59" s="1"/>
  <c r="AJ711" i="59"/>
  <c r="AK711" i="59"/>
  <c r="AB711" i="59"/>
  <c r="AC711" i="59"/>
  <c r="AD711" i="59"/>
  <c r="AI697" i="59"/>
  <c r="AE697" i="59"/>
  <c r="AJ697" i="59"/>
  <c r="AK697" i="59"/>
  <c r="AB697" i="59"/>
  <c r="D697" i="59" s="1"/>
  <c r="AC697" i="59"/>
  <c r="AD697" i="59"/>
  <c r="AH697" i="59"/>
  <c r="G697" i="59" s="1"/>
  <c r="AI683" i="59"/>
  <c r="AE683" i="59"/>
  <c r="AB683" i="59"/>
  <c r="C683" i="59" s="1"/>
  <c r="AC683" i="59"/>
  <c r="AD683" i="59"/>
  <c r="AH683" i="59"/>
  <c r="G683" i="59" s="1"/>
  <c r="AJ683" i="59"/>
  <c r="AK683" i="59"/>
  <c r="AI674" i="59"/>
  <c r="AE674" i="59"/>
  <c r="AD674" i="59"/>
  <c r="AH674" i="59"/>
  <c r="G674" i="59" s="1"/>
  <c r="AJ674" i="59"/>
  <c r="AK674" i="59"/>
  <c r="AB674" i="59"/>
  <c r="AC674" i="59"/>
  <c r="AI662" i="59"/>
  <c r="AE662" i="59"/>
  <c r="AH662" i="59"/>
  <c r="G662" i="59" s="1"/>
  <c r="AJ662" i="59"/>
  <c r="AK662" i="59"/>
  <c r="AB662" i="59"/>
  <c r="AC662" i="59"/>
  <c r="AD662" i="59"/>
  <c r="AH654" i="59"/>
  <c r="G654" i="59" s="1"/>
  <c r="AI654" i="59"/>
  <c r="AB654" i="59"/>
  <c r="AJ654" i="59"/>
  <c r="AC654" i="59"/>
  <c r="AK654" i="59"/>
  <c r="AD654" i="59"/>
  <c r="AE654" i="59"/>
  <c r="AH641" i="59"/>
  <c r="G641" i="59" s="1"/>
  <c r="AI641" i="59"/>
  <c r="AB641" i="59"/>
  <c r="AJ641" i="59"/>
  <c r="AC641" i="59"/>
  <c r="AK641" i="59"/>
  <c r="AD641" i="59"/>
  <c r="AE641" i="59"/>
  <c r="AH630" i="59"/>
  <c r="G630" i="59" s="1"/>
  <c r="AI630" i="59"/>
  <c r="AB630" i="59"/>
  <c r="AJ630" i="59"/>
  <c r="AC630" i="59"/>
  <c r="AK630" i="59"/>
  <c r="AD630" i="59"/>
  <c r="AE630" i="59"/>
  <c r="AH853" i="59"/>
  <c r="G853" i="59" s="1"/>
  <c r="AI853" i="59"/>
  <c r="AB853" i="59"/>
  <c r="AJ853" i="59"/>
  <c r="AC853" i="59"/>
  <c r="AK853" i="59"/>
  <c r="AD853" i="59"/>
  <c r="AE853" i="59"/>
  <c r="AH843" i="59"/>
  <c r="G843" i="59" s="1"/>
  <c r="AI843" i="59"/>
  <c r="AB843" i="59"/>
  <c r="AJ843" i="59"/>
  <c r="AC843" i="59"/>
  <c r="AK843" i="59"/>
  <c r="AD843" i="59"/>
  <c r="AE843" i="59"/>
  <c r="AB833" i="59"/>
  <c r="AJ833" i="59"/>
  <c r="AH833" i="59"/>
  <c r="G833" i="59" s="1"/>
  <c r="AI833" i="59"/>
  <c r="AK833" i="59"/>
  <c r="AC833" i="59"/>
  <c r="AD833" i="59"/>
  <c r="AE833" i="59"/>
  <c r="AB823" i="59"/>
  <c r="C823" i="59" s="1"/>
  <c r="AJ823" i="59"/>
  <c r="AI823" i="59"/>
  <c r="AK823" i="59"/>
  <c r="AC823" i="59"/>
  <c r="AD823" i="59"/>
  <c r="AE823" i="59"/>
  <c r="AH823" i="59"/>
  <c r="G823" i="59" s="1"/>
  <c r="AB812" i="59"/>
  <c r="D812" i="59" s="1"/>
  <c r="AJ812" i="59"/>
  <c r="AC812" i="59"/>
  <c r="AD812" i="59"/>
  <c r="AE812" i="59"/>
  <c r="AH812" i="59"/>
  <c r="G812" i="59" s="1"/>
  <c r="AI812" i="59"/>
  <c r="AK812" i="59"/>
  <c r="AB800" i="59"/>
  <c r="C800" i="59" s="1"/>
  <c r="AJ800" i="59"/>
  <c r="AD800" i="59"/>
  <c r="AE800" i="59"/>
  <c r="AH800" i="59"/>
  <c r="G800" i="59" s="1"/>
  <c r="AI800" i="59"/>
  <c r="AK800" i="59"/>
  <c r="AC800" i="59"/>
  <c r="AB791" i="59"/>
  <c r="AJ791" i="59"/>
  <c r="AH791" i="59"/>
  <c r="G791" i="59" s="1"/>
  <c r="AI791" i="59"/>
  <c r="AK791" i="59"/>
  <c r="AC791" i="59"/>
  <c r="AD791" i="59"/>
  <c r="AE791" i="59"/>
  <c r="AB773" i="59"/>
  <c r="AJ773" i="59"/>
  <c r="AI773" i="59"/>
  <c r="AK773" i="59"/>
  <c r="AC773" i="59"/>
  <c r="AD773" i="59"/>
  <c r="AE773" i="59"/>
  <c r="AH773" i="59"/>
  <c r="G773" i="59" s="1"/>
  <c r="AB766" i="59"/>
  <c r="AJ766" i="59"/>
  <c r="AC766" i="59"/>
  <c r="AD766" i="59"/>
  <c r="AE766" i="59"/>
  <c r="AH766" i="59"/>
  <c r="G766" i="59" s="1"/>
  <c r="AI766" i="59"/>
  <c r="AK766" i="59"/>
  <c r="AB755" i="59"/>
  <c r="AJ755" i="59"/>
  <c r="AD755" i="59"/>
  <c r="AE755" i="59"/>
  <c r="AH755" i="59"/>
  <c r="G755" i="59" s="1"/>
  <c r="AI755" i="59"/>
  <c r="AK755" i="59"/>
  <c r="AC755" i="59"/>
  <c r="AC745" i="59"/>
  <c r="AK745" i="59"/>
  <c r="AD745" i="59"/>
  <c r="AE745" i="59"/>
  <c r="AH745" i="59"/>
  <c r="G745" i="59" s="1"/>
  <c r="AI745" i="59"/>
  <c r="AB745" i="59"/>
  <c r="AJ745" i="59"/>
  <c r="AC733" i="59"/>
  <c r="AK733" i="59"/>
  <c r="AD733" i="59"/>
  <c r="AE733" i="59"/>
  <c r="AH733" i="59"/>
  <c r="G733" i="59" s="1"/>
  <c r="AI733" i="59"/>
  <c r="AB733" i="59"/>
  <c r="AJ733" i="59"/>
  <c r="AC722" i="59"/>
  <c r="AK722" i="59"/>
  <c r="AD722" i="59"/>
  <c r="AE722" i="59"/>
  <c r="AH722" i="59"/>
  <c r="G722" i="59" s="1"/>
  <c r="AI722" i="59"/>
  <c r="AB722" i="59"/>
  <c r="C722" i="59" s="1"/>
  <c r="AJ722" i="59"/>
  <c r="AB710" i="59"/>
  <c r="C710" i="59" s="1"/>
  <c r="AJ710" i="59"/>
  <c r="AE710" i="59"/>
  <c r="AH710" i="59"/>
  <c r="G710" i="59" s="1"/>
  <c r="AI710" i="59"/>
  <c r="AK710" i="59"/>
  <c r="AC710" i="59"/>
  <c r="AD710" i="59"/>
  <c r="AB705" i="59"/>
  <c r="C705" i="59" s="1"/>
  <c r="AJ705" i="59"/>
  <c r="AH705" i="59"/>
  <c r="G705" i="59" s="1"/>
  <c r="AI705" i="59"/>
  <c r="AK705" i="59"/>
  <c r="AC705" i="59"/>
  <c r="AD705" i="59"/>
  <c r="AE705" i="59"/>
  <c r="AB689" i="59"/>
  <c r="AJ689" i="59"/>
  <c r="AK689" i="59"/>
  <c r="AC689" i="59"/>
  <c r="AD689" i="59"/>
  <c r="AE689" i="59"/>
  <c r="AH689" i="59"/>
  <c r="G689" i="59" s="1"/>
  <c r="AI689" i="59"/>
  <c r="AB679" i="59"/>
  <c r="AJ679" i="59"/>
  <c r="AC679" i="59"/>
  <c r="AD679" i="59"/>
  <c r="AE679" i="59"/>
  <c r="AH679" i="59"/>
  <c r="G679" i="59" s="1"/>
  <c r="AI679" i="59"/>
  <c r="AK679" i="59"/>
  <c r="AB670" i="59"/>
  <c r="AJ670" i="59"/>
  <c r="AE670" i="59"/>
  <c r="AH670" i="59"/>
  <c r="G670" i="59" s="1"/>
  <c r="AI670" i="59"/>
  <c r="AK670" i="59"/>
  <c r="AC670" i="59"/>
  <c r="AD670" i="59"/>
  <c r="AB657" i="59"/>
  <c r="AJ657" i="59"/>
  <c r="AC657" i="59"/>
  <c r="AE657" i="59"/>
  <c r="AH657" i="59"/>
  <c r="G657" i="59" s="1"/>
  <c r="AI657" i="59"/>
  <c r="AK657" i="59"/>
  <c r="AD657" i="59"/>
  <c r="AH647" i="59"/>
  <c r="G647" i="59" s="1"/>
  <c r="AI647" i="59"/>
  <c r="AB647" i="59"/>
  <c r="AJ647" i="59"/>
  <c r="AC647" i="59"/>
  <c r="AK647" i="59"/>
  <c r="AD647" i="59"/>
  <c r="AE647" i="59"/>
  <c r="AH636" i="59"/>
  <c r="G636" i="59" s="1"/>
  <c r="AI636" i="59"/>
  <c r="AB636" i="59"/>
  <c r="AJ636" i="59"/>
  <c r="AC636" i="59"/>
  <c r="AK636" i="59"/>
  <c r="AD636" i="59"/>
  <c r="AE636" i="59"/>
  <c r="AH622" i="59"/>
  <c r="G622" i="59" s="1"/>
  <c r="AI622" i="59"/>
  <c r="AB622" i="59"/>
  <c r="AJ622" i="59"/>
  <c r="AC622" i="59"/>
  <c r="AK622" i="59"/>
  <c r="AD622" i="59"/>
  <c r="AE622" i="59"/>
  <c r="AH612" i="59"/>
  <c r="G612" i="59" s="1"/>
  <c r="AI612" i="59"/>
  <c r="AB612" i="59"/>
  <c r="AJ612" i="59"/>
  <c r="AC612" i="59"/>
  <c r="AK612" i="59"/>
  <c r="AD612" i="59"/>
  <c r="AE612" i="59"/>
  <c r="AE618" i="59"/>
  <c r="AH618" i="59"/>
  <c r="G618" i="59" s="1"/>
  <c r="AI618" i="59"/>
  <c r="AB618" i="59"/>
  <c r="D618" i="59" s="1"/>
  <c r="AJ618" i="59"/>
  <c r="AC618" i="59"/>
  <c r="AK618" i="59"/>
  <c r="AD618" i="59"/>
  <c r="AE616" i="59"/>
  <c r="AH616" i="59"/>
  <c r="G616" i="59" s="1"/>
  <c r="AI616" i="59"/>
  <c r="AB616" i="59"/>
  <c r="D616" i="59" s="1"/>
  <c r="AJ616" i="59"/>
  <c r="AC616" i="59"/>
  <c r="AK616" i="59"/>
  <c r="AD616" i="59"/>
  <c r="AE603" i="59"/>
  <c r="AH603" i="59"/>
  <c r="G603" i="59" s="1"/>
  <c r="AI603" i="59"/>
  <c r="AB603" i="59"/>
  <c r="C603" i="59" s="1"/>
  <c r="AJ603" i="59"/>
  <c r="AC603" i="59"/>
  <c r="AK603" i="59"/>
  <c r="AD603" i="59"/>
  <c r="AC592" i="59"/>
  <c r="AK592" i="59"/>
  <c r="AD592" i="59"/>
  <c r="AE592" i="59"/>
  <c r="AH592" i="59"/>
  <c r="G592" i="59" s="1"/>
  <c r="AI592" i="59"/>
  <c r="AJ592" i="59"/>
  <c r="AB592" i="59"/>
  <c r="AC582" i="59"/>
  <c r="AK582" i="59"/>
  <c r="AH582" i="59"/>
  <c r="G582" i="59" s="1"/>
  <c r="AI582" i="59"/>
  <c r="AJ582" i="59"/>
  <c r="AB582" i="59"/>
  <c r="AD582" i="59"/>
  <c r="AE582" i="59"/>
  <c r="AC571" i="59"/>
  <c r="AK571" i="59"/>
  <c r="AI571" i="59"/>
  <c r="AJ571" i="59"/>
  <c r="AB571" i="59"/>
  <c r="AD571" i="59"/>
  <c r="AE571" i="59"/>
  <c r="AH571" i="59"/>
  <c r="G571" i="59" s="1"/>
  <c r="AC559" i="59"/>
  <c r="AK559" i="59"/>
  <c r="AB559" i="59"/>
  <c r="AD559" i="59"/>
  <c r="AE559" i="59"/>
  <c r="AH559" i="59"/>
  <c r="G559" i="59" s="1"/>
  <c r="AI559" i="59"/>
  <c r="AJ559" i="59"/>
  <c r="AC548" i="59"/>
  <c r="AK548" i="59"/>
  <c r="AD548" i="59"/>
  <c r="AE548" i="59"/>
  <c r="AH548" i="59"/>
  <c r="G548" i="59" s="1"/>
  <c r="AI548" i="59"/>
  <c r="AJ548" i="59"/>
  <c r="AB548" i="59"/>
  <c r="AD543" i="59"/>
  <c r="AE543" i="59"/>
  <c r="AH543" i="59"/>
  <c r="G543" i="59" s="1"/>
  <c r="AI543" i="59"/>
  <c r="AB543" i="59"/>
  <c r="C543" i="59" s="1"/>
  <c r="AJ543" i="59"/>
  <c r="AC543" i="59"/>
  <c r="AK543" i="59"/>
  <c r="AD541" i="59"/>
  <c r="AE541" i="59"/>
  <c r="AH541" i="59"/>
  <c r="G541" i="59" s="1"/>
  <c r="AI541" i="59"/>
  <c r="AB541" i="59"/>
  <c r="D541" i="59" s="1"/>
  <c r="AJ541" i="59"/>
  <c r="AC541" i="59"/>
  <c r="AK541" i="59"/>
  <c r="AD539" i="59"/>
  <c r="AE539" i="59"/>
  <c r="AH539" i="59"/>
  <c r="G539" i="59" s="1"/>
  <c r="AI539" i="59"/>
  <c r="AB539" i="59"/>
  <c r="AJ539" i="59"/>
  <c r="AC539" i="59"/>
  <c r="AK539" i="59"/>
  <c r="AB537" i="59"/>
  <c r="AJ537" i="59"/>
  <c r="AI537" i="59"/>
  <c r="AK537" i="59"/>
  <c r="AC537" i="59"/>
  <c r="AD537" i="59"/>
  <c r="AE537" i="59"/>
  <c r="AH537" i="59"/>
  <c r="G537" i="59" s="1"/>
  <c r="AB500" i="59"/>
  <c r="C500" i="59" s="1"/>
  <c r="AJ500" i="59"/>
  <c r="AC500" i="59"/>
  <c r="AD500" i="59"/>
  <c r="AE500" i="59"/>
  <c r="AH500" i="59"/>
  <c r="G500" i="59" s="1"/>
  <c r="AI500" i="59"/>
  <c r="AK500" i="59"/>
  <c r="AB508" i="59"/>
  <c r="AJ508" i="59"/>
  <c r="AD508" i="59"/>
  <c r="AE508" i="59"/>
  <c r="AH508" i="59"/>
  <c r="G508" i="59" s="1"/>
  <c r="AI508" i="59"/>
  <c r="AK508" i="59"/>
  <c r="AC508" i="59"/>
  <c r="AB484" i="59"/>
  <c r="C484" i="59" s="1"/>
  <c r="AJ484" i="59"/>
  <c r="AH484" i="59"/>
  <c r="G484" i="59" s="1"/>
  <c r="AI484" i="59"/>
  <c r="AK484" i="59"/>
  <c r="AC484" i="59"/>
  <c r="AD484" i="59"/>
  <c r="AE484" i="59"/>
  <c r="AB492" i="59"/>
  <c r="C492" i="59" s="1"/>
  <c r="AJ492" i="59"/>
  <c r="AI492" i="59"/>
  <c r="AK492" i="59"/>
  <c r="AC492" i="59"/>
  <c r="AD492" i="59"/>
  <c r="AE492" i="59"/>
  <c r="AH492" i="59"/>
  <c r="G492" i="59" s="1"/>
  <c r="AB455" i="59"/>
  <c r="AJ455" i="59"/>
  <c r="AC455" i="59"/>
  <c r="AD455" i="59"/>
  <c r="AE455" i="59"/>
  <c r="AH455" i="59"/>
  <c r="G455" i="59" s="1"/>
  <c r="AI455" i="59"/>
  <c r="AK455" i="59"/>
  <c r="AB451" i="59"/>
  <c r="AJ451" i="59"/>
  <c r="AD451" i="59"/>
  <c r="AE451" i="59"/>
  <c r="AH451" i="59"/>
  <c r="G451" i="59" s="1"/>
  <c r="AI451" i="59"/>
  <c r="AK451" i="59"/>
  <c r="AC451" i="59"/>
  <c r="AC447" i="59"/>
  <c r="AK447" i="59"/>
  <c r="AD447" i="59"/>
  <c r="AE447" i="59"/>
  <c r="AH447" i="59"/>
  <c r="G447" i="59" s="1"/>
  <c r="AI447" i="59"/>
  <c r="AB447" i="59"/>
  <c r="C447" i="59" s="1"/>
  <c r="AJ447" i="59"/>
  <c r="AC424" i="59"/>
  <c r="AK424" i="59"/>
  <c r="AD424" i="59"/>
  <c r="AE424" i="59"/>
  <c r="AH424" i="59"/>
  <c r="G424" i="59" s="1"/>
  <c r="AI424" i="59"/>
  <c r="AB424" i="59"/>
  <c r="AJ424" i="59"/>
  <c r="AC408" i="59"/>
  <c r="AK408" i="59"/>
  <c r="AE408" i="59"/>
  <c r="AH408" i="59"/>
  <c r="G408" i="59" s="1"/>
  <c r="AI408" i="59"/>
  <c r="AJ408" i="59"/>
  <c r="AB408" i="59"/>
  <c r="AD408" i="59"/>
  <c r="AC416" i="59"/>
  <c r="AK416" i="59"/>
  <c r="AH416" i="59"/>
  <c r="G416" i="59" s="1"/>
  <c r="AI416" i="59"/>
  <c r="AJ416" i="59"/>
  <c r="AB416" i="59"/>
  <c r="AD416" i="59"/>
  <c r="AE416" i="59"/>
  <c r="AC399" i="59"/>
  <c r="AK399" i="59"/>
  <c r="AJ399" i="59"/>
  <c r="AB399" i="59"/>
  <c r="AD399" i="59"/>
  <c r="AE399" i="59"/>
  <c r="AH399" i="59"/>
  <c r="G399" i="59" s="1"/>
  <c r="AI399" i="59"/>
  <c r="AC391" i="59"/>
  <c r="AK391" i="59"/>
  <c r="AB391" i="59"/>
  <c r="AD391" i="59"/>
  <c r="AE391" i="59"/>
  <c r="AH391" i="59"/>
  <c r="G391" i="59" s="1"/>
  <c r="AI391" i="59"/>
  <c r="AJ391" i="59"/>
  <c r="AH620" i="59"/>
  <c r="G620" i="59" s="1"/>
  <c r="AI620" i="59"/>
  <c r="AB620" i="59"/>
  <c r="AJ620" i="59"/>
  <c r="AC620" i="59"/>
  <c r="AK620" i="59"/>
  <c r="AD620" i="59"/>
  <c r="AE620" i="59"/>
  <c r="AH608" i="59"/>
  <c r="G608" i="59" s="1"/>
  <c r="AI608" i="59"/>
  <c r="AB608" i="59"/>
  <c r="C608" i="59" s="1"/>
  <c r="AJ608" i="59"/>
  <c r="AC608" i="59"/>
  <c r="AK608" i="59"/>
  <c r="AD608" i="59"/>
  <c r="AE608" i="59"/>
  <c r="AH599" i="59"/>
  <c r="G599" i="59" s="1"/>
  <c r="AI599" i="59"/>
  <c r="AB599" i="59"/>
  <c r="C599" i="59" s="1"/>
  <c r="AJ599" i="59"/>
  <c r="AC599" i="59"/>
  <c r="AK599" i="59"/>
  <c r="AD599" i="59"/>
  <c r="AE599" i="59"/>
  <c r="AH586" i="59"/>
  <c r="G586" i="59" s="1"/>
  <c r="AD586" i="59"/>
  <c r="AE586" i="59"/>
  <c r="AI586" i="59"/>
  <c r="AJ586" i="59"/>
  <c r="AK586" i="59"/>
  <c r="AB586" i="59"/>
  <c r="AC586" i="59"/>
  <c r="AH581" i="59"/>
  <c r="G581" i="59" s="1"/>
  <c r="AD581" i="59"/>
  <c r="AI581" i="59"/>
  <c r="AJ581" i="59"/>
  <c r="AK581" i="59"/>
  <c r="AB581" i="59"/>
  <c r="AC581" i="59"/>
  <c r="AE581" i="59"/>
  <c r="AH567" i="59"/>
  <c r="G567" i="59" s="1"/>
  <c r="AD567" i="59"/>
  <c r="AJ567" i="59"/>
  <c r="AK567" i="59"/>
  <c r="AB567" i="59"/>
  <c r="D567" i="59" s="1"/>
  <c r="AC567" i="59"/>
  <c r="AE567" i="59"/>
  <c r="AI567" i="59"/>
  <c r="AH557" i="59"/>
  <c r="G557" i="59" s="1"/>
  <c r="AD557" i="59"/>
  <c r="AB557" i="59"/>
  <c r="H557" i="59" s="1"/>
  <c r="AC557" i="59"/>
  <c r="AE557" i="59"/>
  <c r="AI557" i="59"/>
  <c r="AJ557" i="59"/>
  <c r="AK557" i="59"/>
  <c r="AH547" i="59"/>
  <c r="G547" i="59" s="1"/>
  <c r="AD547" i="59"/>
  <c r="AE547" i="59"/>
  <c r="AI547" i="59"/>
  <c r="AJ547" i="59"/>
  <c r="AK547" i="59"/>
  <c r="AB547" i="59"/>
  <c r="C547" i="59" s="1"/>
  <c r="AC547" i="59"/>
  <c r="AE523" i="59"/>
  <c r="AH523" i="59"/>
  <c r="G523" i="59" s="1"/>
  <c r="AI523" i="59"/>
  <c r="AB523" i="59"/>
  <c r="D523" i="59" s="1"/>
  <c r="AJ523" i="59"/>
  <c r="AC523" i="59"/>
  <c r="AK523" i="59"/>
  <c r="AD523" i="59"/>
  <c r="AC521" i="59"/>
  <c r="AK521" i="59"/>
  <c r="AJ521" i="59"/>
  <c r="AB521" i="59"/>
  <c r="AD521" i="59"/>
  <c r="AE521" i="59"/>
  <c r="AH521" i="59"/>
  <c r="G521" i="59" s="1"/>
  <c r="AI521" i="59"/>
  <c r="AC499" i="59"/>
  <c r="AK499" i="59"/>
  <c r="AB499" i="59"/>
  <c r="C499" i="59" s="1"/>
  <c r="AD499" i="59"/>
  <c r="AE499" i="59"/>
  <c r="AH499" i="59"/>
  <c r="G499" i="59" s="1"/>
  <c r="AI499" i="59"/>
  <c r="AJ499" i="59"/>
  <c r="AC507" i="59"/>
  <c r="AK507" i="59"/>
  <c r="AE507" i="59"/>
  <c r="AH507" i="59"/>
  <c r="G507" i="59" s="1"/>
  <c r="AI507" i="59"/>
  <c r="AJ507" i="59"/>
  <c r="AB507" i="59"/>
  <c r="C507" i="59" s="1"/>
  <c r="AD507" i="59"/>
  <c r="AC483" i="59"/>
  <c r="AK483" i="59"/>
  <c r="AH483" i="59"/>
  <c r="G483" i="59" s="1"/>
  <c r="AI483" i="59"/>
  <c r="AJ483" i="59"/>
  <c r="AB483" i="59"/>
  <c r="C483" i="59" s="1"/>
  <c r="AD483" i="59"/>
  <c r="AE483" i="59"/>
  <c r="AC491" i="59"/>
  <c r="AK491" i="59"/>
  <c r="AJ491" i="59"/>
  <c r="AB491" i="59"/>
  <c r="AD491" i="59"/>
  <c r="AE491" i="59"/>
  <c r="AH491" i="59"/>
  <c r="G491" i="59" s="1"/>
  <c r="AI491" i="59"/>
  <c r="AC465" i="59"/>
  <c r="AK465" i="59"/>
  <c r="AB465" i="59"/>
  <c r="AD465" i="59"/>
  <c r="AE465" i="59"/>
  <c r="AH465" i="59"/>
  <c r="G465" i="59" s="1"/>
  <c r="AI465" i="59"/>
  <c r="AJ465" i="59"/>
  <c r="AH461" i="59"/>
  <c r="G461" i="59" s="1"/>
  <c r="AB461" i="59"/>
  <c r="AJ461" i="59"/>
  <c r="AC461" i="59"/>
  <c r="AK461" i="59"/>
  <c r="AD461" i="59"/>
  <c r="AE461" i="59"/>
  <c r="AI461" i="59"/>
  <c r="AD457" i="59"/>
  <c r="AE457" i="59"/>
  <c r="AH457" i="59"/>
  <c r="G457" i="59" s="1"/>
  <c r="AI457" i="59"/>
  <c r="AB457" i="59"/>
  <c r="D457" i="59" s="1"/>
  <c r="AJ457" i="59"/>
  <c r="AC457" i="59"/>
  <c r="AK457" i="59"/>
  <c r="AD409" i="59"/>
  <c r="AE409" i="59"/>
  <c r="AH409" i="59"/>
  <c r="G409" i="59" s="1"/>
  <c r="AI409" i="59"/>
  <c r="AB409" i="59"/>
  <c r="AJ409" i="59"/>
  <c r="AC409" i="59"/>
  <c r="AK409" i="59"/>
  <c r="AD417" i="59"/>
  <c r="AH417" i="59"/>
  <c r="G417" i="59" s="1"/>
  <c r="AI417" i="59"/>
  <c r="AJ417" i="59"/>
  <c r="AK417" i="59"/>
  <c r="AB417" i="59"/>
  <c r="AC417" i="59"/>
  <c r="AE417" i="59"/>
  <c r="AD425" i="59"/>
  <c r="AH425" i="59"/>
  <c r="G425" i="59" s="1"/>
  <c r="AI425" i="59"/>
  <c r="AJ425" i="59"/>
  <c r="AK425" i="59"/>
  <c r="AB425" i="59"/>
  <c r="AC425" i="59"/>
  <c r="AE425" i="59"/>
  <c r="AD396" i="59"/>
  <c r="AH396" i="59"/>
  <c r="G396" i="59" s="1"/>
  <c r="AK396" i="59"/>
  <c r="AB396" i="59"/>
  <c r="H396" i="59" s="1"/>
  <c r="AC396" i="59"/>
  <c r="AE396" i="59"/>
  <c r="AI396" i="59"/>
  <c r="AJ396" i="59"/>
  <c r="AD377" i="59"/>
  <c r="AH377" i="59"/>
  <c r="G377" i="59" s="1"/>
  <c r="AC377" i="59"/>
  <c r="AE377" i="59"/>
  <c r="AI377" i="59"/>
  <c r="AJ377" i="59"/>
  <c r="AK377" i="59"/>
  <c r="AB377" i="59"/>
  <c r="C377" i="59" s="1"/>
  <c r="AI595" i="59"/>
  <c r="AE595" i="59"/>
  <c r="AC595" i="59"/>
  <c r="AD595" i="59"/>
  <c r="AH595" i="59"/>
  <c r="G595" i="59" s="1"/>
  <c r="AJ595" i="59"/>
  <c r="AK595" i="59"/>
  <c r="AB595" i="59"/>
  <c r="D595" i="59" s="1"/>
  <c r="AI587" i="59"/>
  <c r="AE587" i="59"/>
  <c r="AH587" i="59"/>
  <c r="G587" i="59" s="1"/>
  <c r="AJ587" i="59"/>
  <c r="AK587" i="59"/>
  <c r="AB587" i="59"/>
  <c r="C587" i="59" s="1"/>
  <c r="AC587" i="59"/>
  <c r="AD587" i="59"/>
  <c r="AI574" i="59"/>
  <c r="AE574" i="59"/>
  <c r="AH574" i="59"/>
  <c r="G574" i="59" s="1"/>
  <c r="AJ574" i="59"/>
  <c r="AK574" i="59"/>
  <c r="AB574" i="59"/>
  <c r="AC574" i="59"/>
  <c r="AD574" i="59"/>
  <c r="AI562" i="59"/>
  <c r="AE562" i="59"/>
  <c r="AK562" i="59"/>
  <c r="AB562" i="59"/>
  <c r="D562" i="59" s="1"/>
  <c r="AC562" i="59"/>
  <c r="AD562" i="59"/>
  <c r="AH562" i="59"/>
  <c r="G562" i="59" s="1"/>
  <c r="AJ562" i="59"/>
  <c r="AI552" i="59"/>
  <c r="AE552" i="59"/>
  <c r="AC552" i="59"/>
  <c r="AD552" i="59"/>
  <c r="AH552" i="59"/>
  <c r="G552" i="59" s="1"/>
  <c r="AJ552" i="59"/>
  <c r="AK552" i="59"/>
  <c r="AB552" i="59"/>
  <c r="D552" i="59" s="1"/>
  <c r="AI528" i="59"/>
  <c r="AE528" i="59"/>
  <c r="AH528" i="59"/>
  <c r="G528" i="59" s="1"/>
  <c r="AJ528" i="59"/>
  <c r="AK528" i="59"/>
  <c r="AB528" i="59"/>
  <c r="AC528" i="59"/>
  <c r="AD528" i="59"/>
  <c r="AH526" i="59"/>
  <c r="G526" i="59" s="1"/>
  <c r="AI526" i="59"/>
  <c r="AB526" i="59"/>
  <c r="AJ526" i="59"/>
  <c r="AC526" i="59"/>
  <c r="AK526" i="59"/>
  <c r="AD526" i="59"/>
  <c r="AE526" i="59"/>
  <c r="AH524" i="59"/>
  <c r="G524" i="59" s="1"/>
  <c r="AI524" i="59"/>
  <c r="AB524" i="59"/>
  <c r="AJ524" i="59"/>
  <c r="AC524" i="59"/>
  <c r="AK524" i="59"/>
  <c r="AD524" i="59"/>
  <c r="AE524" i="59"/>
  <c r="AH490" i="59"/>
  <c r="G490" i="59" s="1"/>
  <c r="AD490" i="59"/>
  <c r="AK490" i="59"/>
  <c r="AB490" i="59"/>
  <c r="D490" i="59" s="1"/>
  <c r="AC490" i="59"/>
  <c r="AE490" i="59"/>
  <c r="AI490" i="59"/>
  <c r="AJ490" i="59"/>
  <c r="AH498" i="59"/>
  <c r="G498" i="59" s="1"/>
  <c r="AD498" i="59"/>
  <c r="AC498" i="59"/>
  <c r="AE498" i="59"/>
  <c r="AI498" i="59"/>
  <c r="AJ498" i="59"/>
  <c r="AK498" i="59"/>
  <c r="AB498" i="59"/>
  <c r="AH506" i="59"/>
  <c r="G506" i="59" s="1"/>
  <c r="AD506" i="59"/>
  <c r="AI506" i="59"/>
  <c r="AJ506" i="59"/>
  <c r="AK506" i="59"/>
  <c r="AB506" i="59"/>
  <c r="D506" i="59" s="1"/>
  <c r="AC506" i="59"/>
  <c r="AE506" i="59"/>
  <c r="AH482" i="59"/>
  <c r="G482" i="59" s="1"/>
  <c r="AD482" i="59"/>
  <c r="AI482" i="59"/>
  <c r="AJ482" i="59"/>
  <c r="AK482" i="59"/>
  <c r="AB482" i="59"/>
  <c r="AC482" i="59"/>
  <c r="AE482" i="59"/>
  <c r="AH456" i="59"/>
  <c r="G456" i="59" s="1"/>
  <c r="AD456" i="59"/>
  <c r="AK456" i="59"/>
  <c r="AB456" i="59"/>
  <c r="AC456" i="59"/>
  <c r="AE456" i="59"/>
  <c r="AI456" i="59"/>
  <c r="AJ456" i="59"/>
  <c r="AH452" i="59"/>
  <c r="G452" i="59" s="1"/>
  <c r="AD452" i="59"/>
  <c r="AC452" i="59"/>
  <c r="AE452" i="59"/>
  <c r="AI452" i="59"/>
  <c r="AJ452" i="59"/>
  <c r="AK452" i="59"/>
  <c r="AB452" i="59"/>
  <c r="D452" i="59" s="1"/>
  <c r="AE448" i="59"/>
  <c r="AH448" i="59"/>
  <c r="G448" i="59" s="1"/>
  <c r="AI448" i="59"/>
  <c r="AB448" i="59"/>
  <c r="AJ448" i="59"/>
  <c r="AC448" i="59"/>
  <c r="AK448" i="59"/>
  <c r="AD448" i="59"/>
  <c r="AE431" i="59"/>
  <c r="AH431" i="59"/>
  <c r="G431" i="59" s="1"/>
  <c r="AI431" i="59"/>
  <c r="AB431" i="59"/>
  <c r="H431" i="59" s="1"/>
  <c r="AJ431" i="59"/>
  <c r="AC431" i="59"/>
  <c r="AK431" i="59"/>
  <c r="AD431" i="59"/>
  <c r="AE418" i="59"/>
  <c r="AD418" i="59"/>
  <c r="AH418" i="59"/>
  <c r="G418" i="59" s="1"/>
  <c r="AI418" i="59"/>
  <c r="AJ418" i="59"/>
  <c r="AB418" i="59"/>
  <c r="AK418" i="59"/>
  <c r="AC418" i="59"/>
  <c r="AE426" i="59"/>
  <c r="AI426" i="59"/>
  <c r="AH426" i="59"/>
  <c r="G426" i="59" s="1"/>
  <c r="AJ426" i="59"/>
  <c r="AK426" i="59"/>
  <c r="AB426" i="59"/>
  <c r="AC426" i="59"/>
  <c r="AD426" i="59"/>
  <c r="AE410" i="59"/>
  <c r="AI410" i="59"/>
  <c r="AJ410" i="59"/>
  <c r="AK410" i="59"/>
  <c r="AB410" i="59"/>
  <c r="AC410" i="59"/>
  <c r="AD410" i="59"/>
  <c r="AH410" i="59"/>
  <c r="G410" i="59" s="1"/>
  <c r="AE392" i="59"/>
  <c r="AI392" i="59"/>
  <c r="AB392" i="59"/>
  <c r="D392" i="59" s="1"/>
  <c r="AC392" i="59"/>
  <c r="AD392" i="59"/>
  <c r="AH392" i="59"/>
  <c r="G392" i="59" s="1"/>
  <c r="AJ392" i="59"/>
  <c r="AK392" i="59"/>
  <c r="AE388" i="59"/>
  <c r="AI388" i="59"/>
  <c r="AD388" i="59"/>
  <c r="AH388" i="59"/>
  <c r="G388" i="59" s="1"/>
  <c r="AJ388" i="59"/>
  <c r="AK388" i="59"/>
  <c r="AB388" i="59"/>
  <c r="D388" i="59" s="1"/>
  <c r="AC388" i="59"/>
  <c r="AC387" i="59"/>
  <c r="AK387" i="59"/>
  <c r="AE387" i="59"/>
  <c r="AH387" i="59"/>
  <c r="G387" i="59" s="1"/>
  <c r="AI387" i="59"/>
  <c r="AJ387" i="59"/>
  <c r="AB387" i="59"/>
  <c r="C387" i="59" s="1"/>
  <c r="AD387" i="59"/>
  <c r="AC383" i="59"/>
  <c r="AK383" i="59"/>
  <c r="AH383" i="59"/>
  <c r="G383" i="59" s="1"/>
  <c r="AI383" i="59"/>
  <c r="AJ383" i="59"/>
  <c r="AB383" i="59"/>
  <c r="D383" i="59" s="1"/>
  <c r="AD383" i="59"/>
  <c r="AE383" i="59"/>
  <c r="AH602" i="59"/>
  <c r="G602" i="59" s="1"/>
  <c r="AI602" i="59"/>
  <c r="AB602" i="59"/>
  <c r="AJ602" i="59"/>
  <c r="AC602" i="59"/>
  <c r="AK602" i="59"/>
  <c r="AD602" i="59"/>
  <c r="AE602" i="59"/>
  <c r="AB590" i="59"/>
  <c r="AJ590" i="59"/>
  <c r="AD590" i="59"/>
  <c r="AE590" i="59"/>
  <c r="AH590" i="59"/>
  <c r="G590" i="59" s="1"/>
  <c r="AI590" i="59"/>
  <c r="AK590" i="59"/>
  <c r="AC590" i="59"/>
  <c r="AB580" i="59"/>
  <c r="AJ580" i="59"/>
  <c r="AH580" i="59"/>
  <c r="G580" i="59" s="1"/>
  <c r="AI580" i="59"/>
  <c r="AK580" i="59"/>
  <c r="AC580" i="59"/>
  <c r="AD580" i="59"/>
  <c r="AE580" i="59"/>
  <c r="AB570" i="59"/>
  <c r="AJ570" i="59"/>
  <c r="AI570" i="59"/>
  <c r="AK570" i="59"/>
  <c r="AC570" i="59"/>
  <c r="AD570" i="59"/>
  <c r="AE570" i="59"/>
  <c r="AH570" i="59"/>
  <c r="G570" i="59" s="1"/>
  <c r="AB558" i="59"/>
  <c r="C558" i="59" s="1"/>
  <c r="AJ558" i="59"/>
  <c r="AC558" i="59"/>
  <c r="AD558" i="59"/>
  <c r="AE558" i="59"/>
  <c r="AH558" i="59"/>
  <c r="G558" i="59" s="1"/>
  <c r="AI558" i="59"/>
  <c r="AK558" i="59"/>
  <c r="AB551" i="59"/>
  <c r="AJ551" i="59"/>
  <c r="AD551" i="59"/>
  <c r="AE551" i="59"/>
  <c r="AH551" i="59"/>
  <c r="G551" i="59" s="1"/>
  <c r="AI551" i="59"/>
  <c r="AK551" i="59"/>
  <c r="AC551" i="59"/>
  <c r="AH535" i="59"/>
  <c r="G535" i="59" s="1"/>
  <c r="AI535" i="59"/>
  <c r="AB535" i="59"/>
  <c r="C535" i="59" s="1"/>
  <c r="AJ535" i="59"/>
  <c r="AC535" i="59"/>
  <c r="AK535" i="59"/>
  <c r="AD535" i="59"/>
  <c r="AE535" i="59"/>
  <c r="AH533" i="59"/>
  <c r="G533" i="59" s="1"/>
  <c r="AI533" i="59"/>
  <c r="AB533" i="59"/>
  <c r="AJ533" i="59"/>
  <c r="AC533" i="59"/>
  <c r="AK533" i="59"/>
  <c r="AD533" i="59"/>
  <c r="AE533" i="59"/>
  <c r="AH531" i="59"/>
  <c r="G531" i="59" s="1"/>
  <c r="AI531" i="59"/>
  <c r="AB531" i="59"/>
  <c r="AJ531" i="59"/>
  <c r="AC531" i="59"/>
  <c r="AK531" i="59"/>
  <c r="AD531" i="59"/>
  <c r="AE531" i="59"/>
  <c r="AI529" i="59"/>
  <c r="AE529" i="59"/>
  <c r="AJ529" i="59"/>
  <c r="AK529" i="59"/>
  <c r="AB529" i="59"/>
  <c r="C529" i="59" s="1"/>
  <c r="AC529" i="59"/>
  <c r="AD529" i="59"/>
  <c r="AH529" i="59"/>
  <c r="G529" i="59" s="1"/>
  <c r="AI489" i="59"/>
  <c r="AE489" i="59"/>
  <c r="AB489" i="59"/>
  <c r="C489" i="59" s="1"/>
  <c r="AC489" i="59"/>
  <c r="AD489" i="59"/>
  <c r="AH489" i="59"/>
  <c r="G489" i="59" s="1"/>
  <c r="AJ489" i="59"/>
  <c r="AK489" i="59"/>
  <c r="AI497" i="59"/>
  <c r="AE497" i="59"/>
  <c r="AD497" i="59"/>
  <c r="AH497" i="59"/>
  <c r="G497" i="59" s="1"/>
  <c r="AJ497" i="59"/>
  <c r="AK497" i="59"/>
  <c r="AB497" i="59"/>
  <c r="AC497" i="59"/>
  <c r="AI505" i="59"/>
  <c r="AE505" i="59"/>
  <c r="AH505" i="59"/>
  <c r="G505" i="59" s="1"/>
  <c r="AJ505" i="59"/>
  <c r="AK505" i="59"/>
  <c r="AB505" i="59"/>
  <c r="AC505" i="59"/>
  <c r="AD505" i="59"/>
  <c r="AI481" i="59"/>
  <c r="AE481" i="59"/>
  <c r="AJ481" i="59"/>
  <c r="AK481" i="59"/>
  <c r="AB481" i="59"/>
  <c r="AC481" i="59"/>
  <c r="AD481" i="59"/>
  <c r="AH481" i="59"/>
  <c r="G481" i="59" s="1"/>
  <c r="AI466" i="59"/>
  <c r="AE466" i="59"/>
  <c r="AB466" i="59"/>
  <c r="D466" i="59" s="1"/>
  <c r="AC466" i="59"/>
  <c r="AD466" i="59"/>
  <c r="AH466" i="59"/>
  <c r="G466" i="59" s="1"/>
  <c r="AJ466" i="59"/>
  <c r="AK466" i="59"/>
  <c r="AI462" i="59"/>
  <c r="AE462" i="59"/>
  <c r="AD462" i="59"/>
  <c r="AH462" i="59"/>
  <c r="G462" i="59" s="1"/>
  <c r="AJ462" i="59"/>
  <c r="AK462" i="59"/>
  <c r="AB462" i="59"/>
  <c r="D462" i="59" s="1"/>
  <c r="AC462" i="59"/>
  <c r="AH458" i="59"/>
  <c r="G458" i="59" s="1"/>
  <c r="AI458" i="59"/>
  <c r="AB458" i="59"/>
  <c r="AJ458" i="59"/>
  <c r="AC458" i="59"/>
  <c r="AK458" i="59"/>
  <c r="AD458" i="59"/>
  <c r="AE458" i="59"/>
  <c r="AH419" i="59"/>
  <c r="G419" i="59" s="1"/>
  <c r="AI419" i="59"/>
  <c r="AB419" i="59"/>
  <c r="C419" i="59" s="1"/>
  <c r="AJ419" i="59"/>
  <c r="AC419" i="59"/>
  <c r="AK419" i="59"/>
  <c r="AD419" i="59"/>
  <c r="AE419" i="59"/>
  <c r="AB427" i="59"/>
  <c r="AJ427" i="59"/>
  <c r="AE427" i="59"/>
  <c r="AH427" i="59"/>
  <c r="G427" i="59" s="1"/>
  <c r="AI427" i="59"/>
  <c r="AK427" i="59"/>
  <c r="AC427" i="59"/>
  <c r="AD427" i="59"/>
  <c r="AB411" i="59"/>
  <c r="AJ411" i="59"/>
  <c r="AH411" i="59"/>
  <c r="G411" i="59" s="1"/>
  <c r="AI411" i="59"/>
  <c r="AK411" i="59"/>
  <c r="AC411" i="59"/>
  <c r="AD411" i="59"/>
  <c r="AE411" i="59"/>
  <c r="AB397" i="59"/>
  <c r="C397" i="59" s="1"/>
  <c r="AJ397" i="59"/>
  <c r="AK397" i="59"/>
  <c r="AC397" i="59"/>
  <c r="AD397" i="59"/>
  <c r="AE397" i="59"/>
  <c r="AH397" i="59"/>
  <c r="G397" i="59" s="1"/>
  <c r="AI397" i="59"/>
  <c r="AB378" i="59"/>
  <c r="AJ378" i="59"/>
  <c r="AC378" i="59"/>
  <c r="AD378" i="59"/>
  <c r="AE378" i="59"/>
  <c r="AH378" i="59"/>
  <c r="G378" i="59" s="1"/>
  <c r="AI378" i="59"/>
  <c r="AK378" i="59"/>
  <c r="AI617" i="59"/>
  <c r="AB617" i="59"/>
  <c r="D617" i="59" s="1"/>
  <c r="AJ617" i="59"/>
  <c r="AC617" i="59"/>
  <c r="AK617" i="59"/>
  <c r="AD617" i="59"/>
  <c r="AE617" i="59"/>
  <c r="AH617" i="59"/>
  <c r="G617" i="59" s="1"/>
  <c r="AI611" i="59"/>
  <c r="AB611" i="59"/>
  <c r="AJ611" i="59"/>
  <c r="AC611" i="59"/>
  <c r="AK611" i="59"/>
  <c r="AD611" i="59"/>
  <c r="AE611" i="59"/>
  <c r="AH611" i="59"/>
  <c r="G611" i="59" s="1"/>
  <c r="AI597" i="59"/>
  <c r="AB597" i="59"/>
  <c r="AJ597" i="59"/>
  <c r="AC597" i="59"/>
  <c r="AK597" i="59"/>
  <c r="AD597" i="59"/>
  <c r="AE597" i="59"/>
  <c r="AH597" i="59"/>
  <c r="G597" i="59" s="1"/>
  <c r="AC591" i="59"/>
  <c r="AK591" i="59"/>
  <c r="AE591" i="59"/>
  <c r="AH591" i="59"/>
  <c r="G591" i="59" s="1"/>
  <c r="AI591" i="59"/>
  <c r="AJ591" i="59"/>
  <c r="AB591" i="59"/>
  <c r="AD591" i="59"/>
  <c r="AC579" i="59"/>
  <c r="AK579" i="59"/>
  <c r="AH579" i="59"/>
  <c r="G579" i="59" s="1"/>
  <c r="AI579" i="59"/>
  <c r="AJ579" i="59"/>
  <c r="AB579" i="59"/>
  <c r="C579" i="59" s="1"/>
  <c r="AD579" i="59"/>
  <c r="AE579" i="59"/>
  <c r="AC569" i="59"/>
  <c r="AK569" i="59"/>
  <c r="AJ569" i="59"/>
  <c r="AB569" i="59"/>
  <c r="C569" i="59" s="1"/>
  <c r="AD569" i="59"/>
  <c r="AE569" i="59"/>
  <c r="AH569" i="59"/>
  <c r="G569" i="59" s="1"/>
  <c r="AI569" i="59"/>
  <c r="AC555" i="59"/>
  <c r="AK555" i="59"/>
  <c r="AB555" i="59"/>
  <c r="H555" i="59" s="1"/>
  <c r="AD555" i="59"/>
  <c r="AE555" i="59"/>
  <c r="AH555" i="59"/>
  <c r="G555" i="59" s="1"/>
  <c r="AI555" i="59"/>
  <c r="AJ555" i="59"/>
  <c r="AC544" i="59"/>
  <c r="AK544" i="59"/>
  <c r="AE544" i="59"/>
  <c r="AH544" i="59"/>
  <c r="G544" i="59" s="1"/>
  <c r="AI544" i="59"/>
  <c r="AJ544" i="59"/>
  <c r="AB544" i="59"/>
  <c r="C544" i="59" s="1"/>
  <c r="AD544" i="59"/>
  <c r="AH542" i="59"/>
  <c r="G542" i="59" s="1"/>
  <c r="AI542" i="59"/>
  <c r="AB542" i="59"/>
  <c r="AJ542" i="59"/>
  <c r="AC542" i="59"/>
  <c r="AK542" i="59"/>
  <c r="AD542" i="59"/>
  <c r="AE542" i="59"/>
  <c r="AH540" i="59"/>
  <c r="G540" i="59" s="1"/>
  <c r="AI540" i="59"/>
  <c r="AB540" i="59"/>
  <c r="AJ540" i="59"/>
  <c r="AC540" i="59"/>
  <c r="AK540" i="59"/>
  <c r="AD540" i="59"/>
  <c r="AE540" i="59"/>
  <c r="AB538" i="59"/>
  <c r="AH538" i="59"/>
  <c r="G538" i="59" s="1"/>
  <c r="AI538" i="59"/>
  <c r="AJ538" i="59"/>
  <c r="AK538" i="59"/>
  <c r="AC538" i="59"/>
  <c r="AD538" i="59"/>
  <c r="AE538" i="59"/>
  <c r="AB512" i="59"/>
  <c r="AJ512" i="59"/>
  <c r="AK512" i="59"/>
  <c r="AC512" i="59"/>
  <c r="AD512" i="59"/>
  <c r="AE512" i="59"/>
  <c r="AH512" i="59"/>
  <c r="G512" i="59" s="1"/>
  <c r="AI512" i="59"/>
  <c r="AB488" i="59"/>
  <c r="AJ488" i="59"/>
  <c r="AC488" i="59"/>
  <c r="AD488" i="59"/>
  <c r="AE488" i="59"/>
  <c r="AH488" i="59"/>
  <c r="G488" i="59" s="1"/>
  <c r="AI488" i="59"/>
  <c r="AK488" i="59"/>
  <c r="AB496" i="59"/>
  <c r="AJ496" i="59"/>
  <c r="AE496" i="59"/>
  <c r="AH496" i="59"/>
  <c r="G496" i="59" s="1"/>
  <c r="AI496" i="59"/>
  <c r="AK496" i="59"/>
  <c r="AC496" i="59"/>
  <c r="AD496" i="59"/>
  <c r="AB504" i="59"/>
  <c r="C504" i="59" s="1"/>
  <c r="AJ504" i="59"/>
  <c r="AH504" i="59"/>
  <c r="G504" i="59" s="1"/>
  <c r="AI504" i="59"/>
  <c r="AK504" i="59"/>
  <c r="AC504" i="59"/>
  <c r="AD504" i="59"/>
  <c r="AE504" i="59"/>
  <c r="AB480" i="59"/>
  <c r="C480" i="59" s="1"/>
  <c r="AJ480" i="59"/>
  <c r="AK480" i="59"/>
  <c r="AC480" i="59"/>
  <c r="AD480" i="59"/>
  <c r="AE480" i="59"/>
  <c r="AH480" i="59"/>
  <c r="G480" i="59" s="1"/>
  <c r="AI480" i="59"/>
  <c r="AB453" i="59"/>
  <c r="C453" i="59" s="1"/>
  <c r="AJ453" i="59"/>
  <c r="AC453" i="59"/>
  <c r="AD453" i="59"/>
  <c r="AE453" i="59"/>
  <c r="AH453" i="59"/>
  <c r="G453" i="59" s="1"/>
  <c r="AI453" i="59"/>
  <c r="AK453" i="59"/>
  <c r="AI449" i="59"/>
  <c r="AB449" i="59"/>
  <c r="AJ449" i="59"/>
  <c r="AC449" i="59"/>
  <c r="AK449" i="59"/>
  <c r="AD449" i="59"/>
  <c r="AE449" i="59"/>
  <c r="AH449" i="59"/>
  <c r="G449" i="59" s="1"/>
  <c r="AH445" i="59"/>
  <c r="G445" i="59" s="1"/>
  <c r="AI445" i="59"/>
  <c r="AB445" i="59"/>
  <c r="AJ445" i="59"/>
  <c r="AC445" i="59"/>
  <c r="AK445" i="59"/>
  <c r="AD445" i="59"/>
  <c r="AE445" i="59"/>
  <c r="AH428" i="59"/>
  <c r="G428" i="59" s="1"/>
  <c r="AI428" i="59"/>
  <c r="AB428" i="59"/>
  <c r="C428" i="59" s="1"/>
  <c r="AJ428" i="59"/>
  <c r="AC428" i="59"/>
  <c r="AK428" i="59"/>
  <c r="AD428" i="59"/>
  <c r="AE428" i="59"/>
  <c r="AC412" i="59"/>
  <c r="AK412" i="59"/>
  <c r="AH412" i="59"/>
  <c r="G412" i="59" s="1"/>
  <c r="AI412" i="59"/>
  <c r="AJ412" i="59"/>
  <c r="AB412" i="59"/>
  <c r="C412" i="59" s="1"/>
  <c r="AD412" i="59"/>
  <c r="AE412" i="59"/>
  <c r="AC420" i="59"/>
  <c r="AK420" i="59"/>
  <c r="AI420" i="59"/>
  <c r="AJ420" i="59"/>
  <c r="AB420" i="59"/>
  <c r="D420" i="59" s="1"/>
  <c r="AD420" i="59"/>
  <c r="AE420" i="59"/>
  <c r="AH420" i="59"/>
  <c r="G420" i="59" s="1"/>
  <c r="AC393" i="59"/>
  <c r="AK393" i="59"/>
  <c r="AB393" i="59"/>
  <c r="AD393" i="59"/>
  <c r="AE393" i="59"/>
  <c r="AH393" i="59"/>
  <c r="G393" i="59" s="1"/>
  <c r="AI393" i="59"/>
  <c r="AJ393" i="59"/>
  <c r="AC389" i="59"/>
  <c r="AK389" i="59"/>
  <c r="AD389" i="59"/>
  <c r="AE389" i="59"/>
  <c r="AH389" i="59"/>
  <c r="G389" i="59" s="1"/>
  <c r="AI389" i="59"/>
  <c r="AJ389" i="59"/>
  <c r="AB389" i="59"/>
  <c r="C389" i="59" s="1"/>
  <c r="AH375" i="59"/>
  <c r="G375" i="59" s="1"/>
  <c r="AD375" i="59"/>
  <c r="AE375" i="59"/>
  <c r="AI375" i="59"/>
  <c r="AJ375" i="59"/>
  <c r="AK375" i="59"/>
  <c r="AB375" i="59"/>
  <c r="C375" i="59" s="1"/>
  <c r="AC375" i="59"/>
  <c r="AB621" i="59"/>
  <c r="AJ621" i="59"/>
  <c r="AC621" i="59"/>
  <c r="AK621" i="59"/>
  <c r="AD621" i="59"/>
  <c r="AE621" i="59"/>
  <c r="AH621" i="59"/>
  <c r="G621" i="59" s="1"/>
  <c r="AI621" i="59"/>
  <c r="AB619" i="59"/>
  <c r="AJ619" i="59"/>
  <c r="AC619" i="59"/>
  <c r="AK619" i="59"/>
  <c r="AD619" i="59"/>
  <c r="AE619" i="59"/>
  <c r="AH619" i="59"/>
  <c r="G619" i="59" s="1"/>
  <c r="AI619" i="59"/>
  <c r="AB604" i="59"/>
  <c r="AJ604" i="59"/>
  <c r="AC604" i="59"/>
  <c r="AK604" i="59"/>
  <c r="AD604" i="59"/>
  <c r="AE604" i="59"/>
  <c r="AH604" i="59"/>
  <c r="G604" i="59" s="1"/>
  <c r="AI604" i="59"/>
  <c r="AD594" i="59"/>
  <c r="AH594" i="59"/>
  <c r="G594" i="59" s="1"/>
  <c r="AC594" i="59"/>
  <c r="AE594" i="59"/>
  <c r="AI594" i="59"/>
  <c r="AJ594" i="59"/>
  <c r="AK594" i="59"/>
  <c r="AB594" i="59"/>
  <c r="AD585" i="59"/>
  <c r="AH585" i="59"/>
  <c r="G585" i="59" s="1"/>
  <c r="AI585" i="59"/>
  <c r="AJ585" i="59"/>
  <c r="AK585" i="59"/>
  <c r="AB585" i="59"/>
  <c r="AC585" i="59"/>
  <c r="AE585" i="59"/>
  <c r="AD573" i="59"/>
  <c r="AH573" i="59"/>
  <c r="G573" i="59" s="1"/>
  <c r="AI573" i="59"/>
  <c r="AJ573" i="59"/>
  <c r="AK573" i="59"/>
  <c r="AB573" i="59"/>
  <c r="H573" i="59" s="1"/>
  <c r="AC573" i="59"/>
  <c r="AE573" i="59"/>
  <c r="AD561" i="59"/>
  <c r="AH561" i="59"/>
  <c r="G561" i="59" s="1"/>
  <c r="AK561" i="59"/>
  <c r="AB561" i="59"/>
  <c r="H561" i="59" s="1"/>
  <c r="AC561" i="59"/>
  <c r="AE561" i="59"/>
  <c r="AI561" i="59"/>
  <c r="AJ561" i="59"/>
  <c r="AD550" i="59"/>
  <c r="AH550" i="59"/>
  <c r="G550" i="59" s="1"/>
  <c r="AC550" i="59"/>
  <c r="AE550" i="59"/>
  <c r="AI550" i="59"/>
  <c r="AJ550" i="59"/>
  <c r="AK550" i="59"/>
  <c r="AB550" i="59"/>
  <c r="D550" i="59" s="1"/>
  <c r="AC522" i="59"/>
  <c r="AK522" i="59"/>
  <c r="AI522" i="59"/>
  <c r="AJ522" i="59"/>
  <c r="AB522" i="59"/>
  <c r="AD522" i="59"/>
  <c r="AE522" i="59"/>
  <c r="AH522" i="59"/>
  <c r="G522" i="59" s="1"/>
  <c r="AC511" i="59"/>
  <c r="AK511" i="59"/>
  <c r="AB511" i="59"/>
  <c r="C511" i="59" s="1"/>
  <c r="AD511" i="59"/>
  <c r="AE511" i="59"/>
  <c r="AH511" i="59"/>
  <c r="G511" i="59" s="1"/>
  <c r="AI511" i="59"/>
  <c r="AJ511" i="59"/>
  <c r="AC487" i="59"/>
  <c r="AK487" i="59"/>
  <c r="AD487" i="59"/>
  <c r="AE487" i="59"/>
  <c r="AH487" i="59"/>
  <c r="G487" i="59" s="1"/>
  <c r="AI487" i="59"/>
  <c r="AJ487" i="59"/>
  <c r="AB487" i="59"/>
  <c r="C487" i="59" s="1"/>
  <c r="AC495" i="59"/>
  <c r="AK495" i="59"/>
  <c r="AH495" i="59"/>
  <c r="G495" i="59" s="1"/>
  <c r="AI495" i="59"/>
  <c r="AJ495" i="59"/>
  <c r="AB495" i="59"/>
  <c r="AD495" i="59"/>
  <c r="AE495" i="59"/>
  <c r="AC503" i="59"/>
  <c r="AK503" i="59"/>
  <c r="AI503" i="59"/>
  <c r="AJ503" i="59"/>
  <c r="AB503" i="59"/>
  <c r="AD503" i="59"/>
  <c r="AE503" i="59"/>
  <c r="AH503" i="59"/>
  <c r="G503" i="59" s="1"/>
  <c r="AC467" i="59"/>
  <c r="AK467" i="59"/>
  <c r="AB467" i="59"/>
  <c r="AD467" i="59"/>
  <c r="AE467" i="59"/>
  <c r="AH467" i="59"/>
  <c r="G467" i="59" s="1"/>
  <c r="AI467" i="59"/>
  <c r="AJ467" i="59"/>
  <c r="AC463" i="59"/>
  <c r="AK463" i="59"/>
  <c r="AD463" i="59"/>
  <c r="AE463" i="59"/>
  <c r="AH463" i="59"/>
  <c r="G463" i="59" s="1"/>
  <c r="AI463" i="59"/>
  <c r="AJ463" i="59"/>
  <c r="AB463" i="59"/>
  <c r="AH459" i="59"/>
  <c r="G459" i="59" s="1"/>
  <c r="AI459" i="59"/>
  <c r="AB459" i="59"/>
  <c r="AJ459" i="59"/>
  <c r="AC459" i="59"/>
  <c r="AK459" i="59"/>
  <c r="AD459" i="59"/>
  <c r="AE459" i="59"/>
  <c r="AH429" i="59"/>
  <c r="G429" i="59" s="1"/>
  <c r="AI429" i="59"/>
  <c r="AB429" i="59"/>
  <c r="C429" i="59" s="1"/>
  <c r="AJ429" i="59"/>
  <c r="AC429" i="59"/>
  <c r="AK429" i="59"/>
  <c r="AD429" i="59"/>
  <c r="AE429" i="59"/>
  <c r="AH413" i="59"/>
  <c r="G413" i="59" s="1"/>
  <c r="AD413" i="59"/>
  <c r="AE413" i="59"/>
  <c r="AI413" i="59"/>
  <c r="AJ413" i="59"/>
  <c r="AK413" i="59"/>
  <c r="AB413" i="59"/>
  <c r="AC413" i="59"/>
  <c r="AH421" i="59"/>
  <c r="G421" i="59" s="1"/>
  <c r="AD421" i="59"/>
  <c r="AI421" i="59"/>
  <c r="AJ421" i="59"/>
  <c r="AK421" i="59"/>
  <c r="AB421" i="59"/>
  <c r="AC421" i="59"/>
  <c r="AE421" i="59"/>
  <c r="AH405" i="59"/>
  <c r="G405" i="59" s="1"/>
  <c r="AD405" i="59"/>
  <c r="AJ405" i="59"/>
  <c r="AK405" i="59"/>
  <c r="AB405" i="59"/>
  <c r="C405" i="59" s="1"/>
  <c r="AC405" i="59"/>
  <c r="AE405" i="59"/>
  <c r="AI405" i="59"/>
  <c r="AH379" i="59"/>
  <c r="G379" i="59" s="1"/>
  <c r="AD379" i="59"/>
  <c r="AB379" i="59"/>
  <c r="AC379" i="59"/>
  <c r="AE379" i="59"/>
  <c r="AI379" i="59"/>
  <c r="AJ379" i="59"/>
  <c r="AK379" i="59"/>
  <c r="AC600" i="59"/>
  <c r="AK600" i="59"/>
  <c r="AD600" i="59"/>
  <c r="AE600" i="59"/>
  <c r="AH600" i="59"/>
  <c r="G600" i="59" s="1"/>
  <c r="AI600" i="59"/>
  <c r="AB600" i="59"/>
  <c r="AJ600" i="59"/>
  <c r="AE588" i="59"/>
  <c r="AI588" i="59"/>
  <c r="AD588" i="59"/>
  <c r="AH588" i="59"/>
  <c r="G588" i="59" s="1"/>
  <c r="AJ588" i="59"/>
  <c r="AK588" i="59"/>
  <c r="AB588" i="59"/>
  <c r="AC588" i="59"/>
  <c r="AE578" i="59"/>
  <c r="AI578" i="59"/>
  <c r="AH578" i="59"/>
  <c r="G578" i="59" s="1"/>
  <c r="AJ578" i="59"/>
  <c r="AK578" i="59"/>
  <c r="AB578" i="59"/>
  <c r="AC578" i="59"/>
  <c r="AD578" i="59"/>
  <c r="AE568" i="59"/>
  <c r="AI568" i="59"/>
  <c r="AJ568" i="59"/>
  <c r="AK568" i="59"/>
  <c r="AB568" i="59"/>
  <c r="AC568" i="59"/>
  <c r="AD568" i="59"/>
  <c r="AH568" i="59"/>
  <c r="G568" i="59" s="1"/>
  <c r="AE549" i="59"/>
  <c r="AI549" i="59"/>
  <c r="AD549" i="59"/>
  <c r="AH549" i="59"/>
  <c r="G549" i="59" s="1"/>
  <c r="AJ549" i="59"/>
  <c r="AK549" i="59"/>
  <c r="AB549" i="59"/>
  <c r="AC549" i="59"/>
  <c r="AB527" i="59"/>
  <c r="C527" i="59" s="1"/>
  <c r="AJ527" i="59"/>
  <c r="AC527" i="59"/>
  <c r="AK527" i="59"/>
  <c r="AD527" i="59"/>
  <c r="AE527" i="59"/>
  <c r="AH527" i="59"/>
  <c r="G527" i="59" s="1"/>
  <c r="AI527" i="59"/>
  <c r="AB525" i="59"/>
  <c r="C525" i="59" s="1"/>
  <c r="AJ525" i="59"/>
  <c r="AC525" i="59"/>
  <c r="AK525" i="59"/>
  <c r="AD525" i="59"/>
  <c r="AE525" i="59"/>
  <c r="AH525" i="59"/>
  <c r="G525" i="59" s="1"/>
  <c r="AI525" i="59"/>
  <c r="AD510" i="59"/>
  <c r="AH510" i="59"/>
  <c r="G510" i="59" s="1"/>
  <c r="AB510" i="59"/>
  <c r="AC510" i="59"/>
  <c r="AE510" i="59"/>
  <c r="AI510" i="59"/>
  <c r="AJ510" i="59"/>
  <c r="AK510" i="59"/>
  <c r="AD486" i="59"/>
  <c r="AH486" i="59"/>
  <c r="G486" i="59" s="1"/>
  <c r="AE486" i="59"/>
  <c r="AI486" i="59"/>
  <c r="AJ486" i="59"/>
  <c r="AK486" i="59"/>
  <c r="AB486" i="59"/>
  <c r="AC486" i="59"/>
  <c r="AD494" i="59"/>
  <c r="AH494" i="59"/>
  <c r="G494" i="59" s="1"/>
  <c r="AI494" i="59"/>
  <c r="AJ494" i="59"/>
  <c r="AK494" i="59"/>
  <c r="AB494" i="59"/>
  <c r="AC494" i="59"/>
  <c r="AE494" i="59"/>
  <c r="AD502" i="59"/>
  <c r="AH502" i="59"/>
  <c r="G502" i="59" s="1"/>
  <c r="AJ502" i="59"/>
  <c r="AK502" i="59"/>
  <c r="AB502" i="59"/>
  <c r="AC502" i="59"/>
  <c r="AE502" i="59"/>
  <c r="AI502" i="59"/>
  <c r="AD454" i="59"/>
  <c r="AH454" i="59"/>
  <c r="G454" i="59" s="1"/>
  <c r="AB454" i="59"/>
  <c r="AC454" i="59"/>
  <c r="AE454" i="59"/>
  <c r="AI454" i="59"/>
  <c r="AJ454" i="59"/>
  <c r="AK454" i="59"/>
  <c r="AD450" i="59"/>
  <c r="AH450" i="59"/>
  <c r="G450" i="59" s="1"/>
  <c r="AE450" i="59"/>
  <c r="AI450" i="59"/>
  <c r="AJ450" i="59"/>
  <c r="AK450" i="59"/>
  <c r="AB450" i="59"/>
  <c r="C450" i="59" s="1"/>
  <c r="AC450" i="59"/>
  <c r="AI446" i="59"/>
  <c r="AB446" i="59"/>
  <c r="C446" i="59" s="1"/>
  <c r="AJ446" i="59"/>
  <c r="AC446" i="59"/>
  <c r="AK446" i="59"/>
  <c r="AD446" i="59"/>
  <c r="AE446" i="59"/>
  <c r="AH446" i="59"/>
  <c r="G446" i="59" s="1"/>
  <c r="AI414" i="59"/>
  <c r="AB414" i="59"/>
  <c r="D414" i="59" s="1"/>
  <c r="AJ414" i="59"/>
  <c r="AC414" i="59"/>
  <c r="AK414" i="59"/>
  <c r="AD414" i="59"/>
  <c r="AE414" i="59"/>
  <c r="AH414" i="59"/>
  <c r="G414" i="59" s="1"/>
  <c r="AI422" i="59"/>
  <c r="AE422" i="59"/>
  <c r="AH422" i="59"/>
  <c r="G422" i="59" s="1"/>
  <c r="AJ422" i="59"/>
  <c r="AK422" i="59"/>
  <c r="AB422" i="59"/>
  <c r="C422" i="59" s="1"/>
  <c r="AC422" i="59"/>
  <c r="AD422" i="59"/>
  <c r="AI406" i="59"/>
  <c r="AE406" i="59"/>
  <c r="AH406" i="59"/>
  <c r="G406" i="59" s="1"/>
  <c r="AJ406" i="59"/>
  <c r="AK406" i="59"/>
  <c r="AB406" i="59"/>
  <c r="AC406" i="59"/>
  <c r="AD406" i="59"/>
  <c r="AI398" i="59"/>
  <c r="AE398" i="59"/>
  <c r="AK398" i="59"/>
  <c r="AB398" i="59"/>
  <c r="AC398" i="59"/>
  <c r="AD398" i="59"/>
  <c r="AH398" i="59"/>
  <c r="G398" i="59" s="1"/>
  <c r="AJ398" i="59"/>
  <c r="AI390" i="59"/>
  <c r="AE390" i="59"/>
  <c r="AC390" i="59"/>
  <c r="AD390" i="59"/>
  <c r="AH390" i="59"/>
  <c r="G390" i="59" s="1"/>
  <c r="AJ390" i="59"/>
  <c r="AK390" i="59"/>
  <c r="AB390" i="59"/>
  <c r="C390" i="59" s="1"/>
  <c r="AD373" i="59"/>
  <c r="AH373" i="59"/>
  <c r="G373" i="59" s="1"/>
  <c r="AI373" i="59"/>
  <c r="AJ373" i="59"/>
  <c r="AK373" i="59"/>
  <c r="AB373" i="59"/>
  <c r="AC373" i="59"/>
  <c r="AE373" i="59"/>
  <c r="AH371" i="59"/>
  <c r="G371" i="59" s="1"/>
  <c r="AD371" i="59"/>
  <c r="AI371" i="59"/>
  <c r="AJ371" i="59"/>
  <c r="AK371" i="59"/>
  <c r="AB371" i="59"/>
  <c r="C371" i="59" s="1"/>
  <c r="AC371" i="59"/>
  <c r="AE371" i="59"/>
  <c r="AD609" i="59"/>
  <c r="AE609" i="59"/>
  <c r="AH609" i="59"/>
  <c r="G609" i="59" s="1"/>
  <c r="AI609" i="59"/>
  <c r="AB609" i="59"/>
  <c r="C609" i="59" s="1"/>
  <c r="AJ609" i="59"/>
  <c r="AC609" i="59"/>
  <c r="AK609" i="59"/>
  <c r="AB596" i="59"/>
  <c r="C596" i="59" s="1"/>
  <c r="AC596" i="59"/>
  <c r="AD596" i="59"/>
  <c r="AE596" i="59"/>
  <c r="AH596" i="59"/>
  <c r="G596" i="59" s="1"/>
  <c r="AI596" i="59"/>
  <c r="AJ596" i="59"/>
  <c r="AK596" i="59"/>
  <c r="AB589" i="59"/>
  <c r="AJ589" i="59"/>
  <c r="AE589" i="59"/>
  <c r="AH589" i="59"/>
  <c r="G589" i="59" s="1"/>
  <c r="AI589" i="59"/>
  <c r="AK589" i="59"/>
  <c r="AC589" i="59"/>
  <c r="AD589" i="59"/>
  <c r="AB577" i="59"/>
  <c r="AJ577" i="59"/>
  <c r="AH577" i="59"/>
  <c r="G577" i="59" s="1"/>
  <c r="AI577" i="59"/>
  <c r="AK577" i="59"/>
  <c r="AC577" i="59"/>
  <c r="AD577" i="59"/>
  <c r="AE577" i="59"/>
  <c r="AB566" i="59"/>
  <c r="AJ566" i="59"/>
  <c r="AK566" i="59"/>
  <c r="AC566" i="59"/>
  <c r="AD566" i="59"/>
  <c r="AE566" i="59"/>
  <c r="AH566" i="59"/>
  <c r="G566" i="59" s="1"/>
  <c r="AI566" i="59"/>
  <c r="AB554" i="59"/>
  <c r="D554" i="59" s="1"/>
  <c r="AJ554" i="59"/>
  <c r="AC554" i="59"/>
  <c r="AD554" i="59"/>
  <c r="AE554" i="59"/>
  <c r="AH554" i="59"/>
  <c r="G554" i="59" s="1"/>
  <c r="AI554" i="59"/>
  <c r="AK554" i="59"/>
  <c r="AB536" i="59"/>
  <c r="C536" i="59" s="1"/>
  <c r="AJ536" i="59"/>
  <c r="AE536" i="59"/>
  <c r="AH536" i="59"/>
  <c r="G536" i="59" s="1"/>
  <c r="AI536" i="59"/>
  <c r="AK536" i="59"/>
  <c r="AC536" i="59"/>
  <c r="AD536" i="59"/>
  <c r="AC534" i="59"/>
  <c r="AK534" i="59"/>
  <c r="AD534" i="59"/>
  <c r="AE534" i="59"/>
  <c r="AH534" i="59"/>
  <c r="G534" i="59" s="1"/>
  <c r="AI534" i="59"/>
  <c r="AB534" i="59"/>
  <c r="AJ534" i="59"/>
  <c r="AC532" i="59"/>
  <c r="AK532" i="59"/>
  <c r="AD532" i="59"/>
  <c r="AE532" i="59"/>
  <c r="AH532" i="59"/>
  <c r="G532" i="59" s="1"/>
  <c r="AI532" i="59"/>
  <c r="AB532" i="59"/>
  <c r="C532" i="59" s="1"/>
  <c r="AJ532" i="59"/>
  <c r="AE530" i="59"/>
  <c r="AI530" i="59"/>
  <c r="AH530" i="59"/>
  <c r="G530" i="59" s="1"/>
  <c r="AJ530" i="59"/>
  <c r="AK530" i="59"/>
  <c r="AB530" i="59"/>
  <c r="C530" i="59" s="1"/>
  <c r="AC530" i="59"/>
  <c r="AD530" i="59"/>
  <c r="AE501" i="59"/>
  <c r="AI501" i="59"/>
  <c r="AK501" i="59"/>
  <c r="AB501" i="59"/>
  <c r="D501" i="59" s="1"/>
  <c r="AC501" i="59"/>
  <c r="AD501" i="59"/>
  <c r="AH501" i="59"/>
  <c r="G501" i="59" s="1"/>
  <c r="AJ501" i="59"/>
  <c r="AE509" i="59"/>
  <c r="AI509" i="59"/>
  <c r="AC509" i="59"/>
  <c r="AD509" i="59"/>
  <c r="AH509" i="59"/>
  <c r="G509" i="59" s="1"/>
  <c r="AJ509" i="59"/>
  <c r="AK509" i="59"/>
  <c r="AB509" i="59"/>
  <c r="AE485" i="59"/>
  <c r="AI485" i="59"/>
  <c r="AH485" i="59"/>
  <c r="G485" i="59" s="1"/>
  <c r="AJ485" i="59"/>
  <c r="AK485" i="59"/>
  <c r="AB485" i="59"/>
  <c r="AC485" i="59"/>
  <c r="AD485" i="59"/>
  <c r="AE493" i="59"/>
  <c r="AI493" i="59"/>
  <c r="AH493" i="59"/>
  <c r="G493" i="59" s="1"/>
  <c r="AJ493" i="59"/>
  <c r="AK493" i="59"/>
  <c r="AB493" i="59"/>
  <c r="AC493" i="59"/>
  <c r="AD493" i="59"/>
  <c r="AE468" i="59"/>
  <c r="AI468" i="59"/>
  <c r="AK468" i="59"/>
  <c r="AB468" i="59"/>
  <c r="C468" i="59" s="1"/>
  <c r="AC468" i="59"/>
  <c r="AD468" i="59"/>
  <c r="AH468" i="59"/>
  <c r="G468" i="59" s="1"/>
  <c r="AJ468" i="59"/>
  <c r="AE464" i="59"/>
  <c r="AI464" i="59"/>
  <c r="AC464" i="59"/>
  <c r="AD464" i="59"/>
  <c r="AH464" i="59"/>
  <c r="G464" i="59" s="1"/>
  <c r="AJ464" i="59"/>
  <c r="AK464" i="59"/>
  <c r="AB464" i="59"/>
  <c r="C464" i="59" s="1"/>
  <c r="AB460" i="59"/>
  <c r="AJ460" i="59"/>
  <c r="AC460" i="59"/>
  <c r="AK460" i="59"/>
  <c r="AD460" i="59"/>
  <c r="AE460" i="59"/>
  <c r="AH460" i="59"/>
  <c r="G460" i="59" s="1"/>
  <c r="AI460" i="59"/>
  <c r="AB432" i="59"/>
  <c r="C432" i="59" s="1"/>
  <c r="AJ432" i="59"/>
  <c r="AC432" i="59"/>
  <c r="AK432" i="59"/>
  <c r="AD432" i="59"/>
  <c r="AE432" i="59"/>
  <c r="AH432" i="59"/>
  <c r="G432" i="59" s="1"/>
  <c r="AI432" i="59"/>
  <c r="AB423" i="59"/>
  <c r="AJ423" i="59"/>
  <c r="AC423" i="59"/>
  <c r="AK423" i="59"/>
  <c r="AD423" i="59"/>
  <c r="AE423" i="59"/>
  <c r="AH423" i="59"/>
  <c r="G423" i="59" s="1"/>
  <c r="AI423" i="59"/>
  <c r="AB407" i="59"/>
  <c r="AJ407" i="59"/>
  <c r="AH407" i="59"/>
  <c r="G407" i="59" s="1"/>
  <c r="AI407" i="59"/>
  <c r="AK407" i="59"/>
  <c r="AC407" i="59"/>
  <c r="AD407" i="59"/>
  <c r="AE407" i="59"/>
  <c r="AB415" i="59"/>
  <c r="AJ415" i="59"/>
  <c r="AI415" i="59"/>
  <c r="AK415" i="59"/>
  <c r="AC415" i="59"/>
  <c r="AD415" i="59"/>
  <c r="AE415" i="59"/>
  <c r="AH415" i="59"/>
  <c r="G415" i="59" s="1"/>
  <c r="AB380" i="59"/>
  <c r="C380" i="59" s="1"/>
  <c r="AJ380" i="59"/>
  <c r="AC380" i="59"/>
  <c r="AD380" i="59"/>
  <c r="AE380" i="59"/>
  <c r="AH380" i="59"/>
  <c r="G380" i="59" s="1"/>
  <c r="AI380" i="59"/>
  <c r="AK380" i="59"/>
  <c r="AB376" i="59"/>
  <c r="AJ376" i="59"/>
  <c r="AD376" i="59"/>
  <c r="AE376" i="59"/>
  <c r="AH376" i="59"/>
  <c r="G376" i="59" s="1"/>
  <c r="AI376" i="59"/>
  <c r="AK376" i="59"/>
  <c r="AC376" i="59"/>
  <c r="AI386" i="59"/>
  <c r="AE386" i="59"/>
  <c r="AH386" i="59"/>
  <c r="G386" i="59" s="1"/>
  <c r="AJ386" i="59"/>
  <c r="AK386" i="59"/>
  <c r="AB386" i="59"/>
  <c r="D386" i="59" s="1"/>
  <c r="AC386" i="59"/>
  <c r="AD386" i="59"/>
  <c r="AI382" i="59"/>
  <c r="AE382" i="59"/>
  <c r="AH382" i="59"/>
  <c r="G382" i="59" s="1"/>
  <c r="AJ382" i="59"/>
  <c r="AK382" i="59"/>
  <c r="AB382" i="59"/>
  <c r="C382" i="59" s="1"/>
  <c r="AC382" i="59"/>
  <c r="AD382" i="59"/>
  <c r="AI348" i="59"/>
  <c r="AE348" i="59"/>
  <c r="AK348" i="59"/>
  <c r="AB348" i="59"/>
  <c r="AC348" i="59"/>
  <c r="AD348" i="59"/>
  <c r="AH348" i="59"/>
  <c r="G348" i="59" s="1"/>
  <c r="AJ348" i="59"/>
  <c r="AH328" i="59"/>
  <c r="G328" i="59" s="1"/>
  <c r="AI328" i="59"/>
  <c r="AB328" i="59"/>
  <c r="D328" i="59" s="1"/>
  <c r="AJ328" i="59"/>
  <c r="AC328" i="59"/>
  <c r="AK328" i="59"/>
  <c r="AD328" i="59"/>
  <c r="AE328" i="59"/>
  <c r="AH318" i="59"/>
  <c r="G318" i="59" s="1"/>
  <c r="AI318" i="59"/>
  <c r="AB318" i="59"/>
  <c r="AJ318" i="59"/>
  <c r="AC318" i="59"/>
  <c r="AK318" i="59"/>
  <c r="AD318" i="59"/>
  <c r="AE318" i="59"/>
  <c r="AH308" i="59"/>
  <c r="G308" i="59" s="1"/>
  <c r="AI308" i="59"/>
  <c r="AB308" i="59"/>
  <c r="D308" i="59" s="1"/>
  <c r="AJ308" i="59"/>
  <c r="AC308" i="59"/>
  <c r="AK308" i="59"/>
  <c r="AD308" i="59"/>
  <c r="AE308" i="59"/>
  <c r="AC299" i="59"/>
  <c r="AK299" i="59"/>
  <c r="AB299" i="59"/>
  <c r="C299" i="59" s="1"/>
  <c r="AD299" i="59"/>
  <c r="AE299" i="59"/>
  <c r="AH299" i="59"/>
  <c r="G299" i="59" s="1"/>
  <c r="AI299" i="59"/>
  <c r="AJ299" i="59"/>
  <c r="AC289" i="59"/>
  <c r="AK289" i="59"/>
  <c r="AD289" i="59"/>
  <c r="AE289" i="59"/>
  <c r="AH289" i="59"/>
  <c r="G289" i="59" s="1"/>
  <c r="AI289" i="59"/>
  <c r="AJ289" i="59"/>
  <c r="AB289" i="59"/>
  <c r="C289" i="59" s="1"/>
  <c r="AC275" i="59"/>
  <c r="AK275" i="59"/>
  <c r="AH275" i="59"/>
  <c r="G275" i="59" s="1"/>
  <c r="AI275" i="59"/>
  <c r="AJ275" i="59"/>
  <c r="AB275" i="59"/>
  <c r="D275" i="59" s="1"/>
  <c r="AD275" i="59"/>
  <c r="AE275" i="59"/>
  <c r="AC262" i="59"/>
  <c r="AK262" i="59"/>
  <c r="AI262" i="59"/>
  <c r="AJ262" i="59"/>
  <c r="AB262" i="59"/>
  <c r="C262" i="59" s="1"/>
  <c r="AD262" i="59"/>
  <c r="AE262" i="59"/>
  <c r="AH262" i="59"/>
  <c r="G262" i="59" s="1"/>
  <c r="AC263" i="59"/>
  <c r="AK263" i="59"/>
  <c r="AB263" i="59"/>
  <c r="C263" i="59" s="1"/>
  <c r="AD263" i="59"/>
  <c r="AE263" i="59"/>
  <c r="AH263" i="59"/>
  <c r="G263" i="59" s="1"/>
  <c r="AI263" i="59"/>
  <c r="AJ263" i="59"/>
  <c r="AD250" i="59"/>
  <c r="AE250" i="59"/>
  <c r="AH250" i="59"/>
  <c r="G250" i="59" s="1"/>
  <c r="AI250" i="59"/>
  <c r="AB250" i="59"/>
  <c r="D250" i="59" s="1"/>
  <c r="AJ250" i="59"/>
  <c r="AC250" i="59"/>
  <c r="AK250" i="59"/>
  <c r="AC242" i="59"/>
  <c r="AK242" i="59"/>
  <c r="AH242" i="59"/>
  <c r="G242" i="59" s="1"/>
  <c r="AI242" i="59"/>
  <c r="AJ242" i="59"/>
  <c r="AB242" i="59"/>
  <c r="AD242" i="59"/>
  <c r="AE242" i="59"/>
  <c r="AI186" i="59"/>
  <c r="AE186" i="59"/>
  <c r="AK186" i="59"/>
  <c r="AB186" i="59"/>
  <c r="C186" i="59" s="1"/>
  <c r="AC186" i="59"/>
  <c r="AD186" i="59"/>
  <c r="AH186" i="59"/>
  <c r="G186" i="59" s="1"/>
  <c r="AJ186" i="59"/>
  <c r="AH171" i="59"/>
  <c r="G171" i="59" s="1"/>
  <c r="AD171" i="59"/>
  <c r="AE171" i="59"/>
  <c r="AI171" i="59"/>
  <c r="AJ171" i="59"/>
  <c r="AK171" i="59"/>
  <c r="AB171" i="59"/>
  <c r="C171" i="59" s="1"/>
  <c r="AC171" i="59"/>
  <c r="AE162" i="59"/>
  <c r="AH162" i="59"/>
  <c r="G162" i="59" s="1"/>
  <c r="AI162" i="59"/>
  <c r="AB162" i="59"/>
  <c r="AJ162" i="59"/>
  <c r="AC162" i="59"/>
  <c r="AK162" i="59"/>
  <c r="AD162" i="59"/>
  <c r="AE149" i="59"/>
  <c r="AI149" i="59"/>
  <c r="AD149" i="59"/>
  <c r="AH149" i="59"/>
  <c r="G149" i="59" s="1"/>
  <c r="AJ149" i="59"/>
  <c r="AK149" i="59"/>
  <c r="AB149" i="59"/>
  <c r="C149" i="59" s="1"/>
  <c r="AC149" i="59"/>
  <c r="AC117" i="59"/>
  <c r="AK117" i="59"/>
  <c r="AD117" i="59"/>
  <c r="AE117" i="59"/>
  <c r="AH117" i="59"/>
  <c r="G117" i="59" s="1"/>
  <c r="AI117" i="59"/>
  <c r="AJ117" i="59"/>
  <c r="AB117" i="59"/>
  <c r="D117" i="59" s="1"/>
  <c r="AI92" i="59"/>
  <c r="AB92" i="59"/>
  <c r="AE92" i="59"/>
  <c r="AH92" i="59"/>
  <c r="G92" i="59" s="1"/>
  <c r="AJ92" i="59"/>
  <c r="AK92" i="59"/>
  <c r="AC92" i="59"/>
  <c r="AD92" i="59"/>
  <c r="AB46" i="59"/>
  <c r="AJ46" i="59"/>
  <c r="AC46" i="59"/>
  <c r="AK46" i="59"/>
  <c r="AD46" i="59"/>
  <c r="AH46" i="59"/>
  <c r="G46" i="59" s="1"/>
  <c r="AE46" i="59"/>
  <c r="AI46" i="59"/>
  <c r="AB372" i="59"/>
  <c r="AJ372" i="59"/>
  <c r="AH372" i="59"/>
  <c r="G372" i="59" s="1"/>
  <c r="AI372" i="59"/>
  <c r="AK372" i="59"/>
  <c r="AC372" i="59"/>
  <c r="AD372" i="59"/>
  <c r="AE372" i="59"/>
  <c r="AB368" i="59"/>
  <c r="C368" i="59" s="1"/>
  <c r="AJ368" i="59"/>
  <c r="AI368" i="59"/>
  <c r="AK368" i="59"/>
  <c r="AC368" i="59"/>
  <c r="AD368" i="59"/>
  <c r="AE368" i="59"/>
  <c r="AH368" i="59"/>
  <c r="G368" i="59" s="1"/>
  <c r="AB344" i="59"/>
  <c r="C344" i="59" s="1"/>
  <c r="AJ344" i="59"/>
  <c r="AC344" i="59"/>
  <c r="AD344" i="59"/>
  <c r="AE344" i="59"/>
  <c r="AH344" i="59"/>
  <c r="G344" i="59" s="1"/>
  <c r="AI344" i="59"/>
  <c r="AK344" i="59"/>
  <c r="AH335" i="59"/>
  <c r="G335" i="59" s="1"/>
  <c r="AI335" i="59"/>
  <c r="AB335" i="59"/>
  <c r="AJ335" i="59"/>
  <c r="AC335" i="59"/>
  <c r="AK335" i="59"/>
  <c r="AD335" i="59"/>
  <c r="AE335" i="59"/>
  <c r="AH325" i="59"/>
  <c r="G325" i="59" s="1"/>
  <c r="AI325" i="59"/>
  <c r="AB325" i="59"/>
  <c r="AJ325" i="59"/>
  <c r="AC325" i="59"/>
  <c r="AK325" i="59"/>
  <c r="AD325" i="59"/>
  <c r="AE325" i="59"/>
  <c r="AH315" i="59"/>
  <c r="G315" i="59" s="1"/>
  <c r="AI315" i="59"/>
  <c r="AB315" i="59"/>
  <c r="AJ315" i="59"/>
  <c r="AC315" i="59"/>
  <c r="AK315" i="59"/>
  <c r="AD315" i="59"/>
  <c r="AE315" i="59"/>
  <c r="AH302" i="59"/>
  <c r="G302" i="59" s="1"/>
  <c r="AI302" i="59"/>
  <c r="AB302" i="59"/>
  <c r="C302" i="59" s="1"/>
  <c r="AJ302" i="59"/>
  <c r="AC302" i="59"/>
  <c r="AK302" i="59"/>
  <c r="AD302" i="59"/>
  <c r="AE302" i="59"/>
  <c r="AH292" i="59"/>
  <c r="G292" i="59" s="1"/>
  <c r="AD292" i="59"/>
  <c r="AB292" i="59"/>
  <c r="C292" i="59" s="1"/>
  <c r="AC292" i="59"/>
  <c r="AE292" i="59"/>
  <c r="AI292" i="59"/>
  <c r="AJ292" i="59"/>
  <c r="AK292" i="59"/>
  <c r="AH284" i="59"/>
  <c r="G284" i="59" s="1"/>
  <c r="AD284" i="59"/>
  <c r="AE284" i="59"/>
  <c r="AI284" i="59"/>
  <c r="AJ284" i="59"/>
  <c r="AK284" i="59"/>
  <c r="AB284" i="59"/>
  <c r="AC284" i="59"/>
  <c r="AH274" i="59"/>
  <c r="G274" i="59" s="1"/>
  <c r="AD274" i="59"/>
  <c r="AI274" i="59"/>
  <c r="AJ274" i="59"/>
  <c r="AK274" i="59"/>
  <c r="AB274" i="59"/>
  <c r="AC274" i="59"/>
  <c r="AE274" i="59"/>
  <c r="AH264" i="59"/>
  <c r="G264" i="59" s="1"/>
  <c r="AD264" i="59"/>
  <c r="AJ264" i="59"/>
  <c r="AK264" i="59"/>
  <c r="AB264" i="59"/>
  <c r="AC264" i="59"/>
  <c r="AE264" i="59"/>
  <c r="AI264" i="59"/>
  <c r="AH256" i="59"/>
  <c r="G256" i="59" s="1"/>
  <c r="AD256" i="59"/>
  <c r="AB256" i="59"/>
  <c r="D256" i="59" s="1"/>
  <c r="AC256" i="59"/>
  <c r="AE256" i="59"/>
  <c r="AI256" i="59"/>
  <c r="AJ256" i="59"/>
  <c r="AK256" i="59"/>
  <c r="AH243" i="59"/>
  <c r="G243" i="59" s="1"/>
  <c r="AI243" i="59"/>
  <c r="AB243" i="59"/>
  <c r="AJ243" i="59"/>
  <c r="AC243" i="59"/>
  <c r="AK243" i="59"/>
  <c r="AD243" i="59"/>
  <c r="AE243" i="59"/>
  <c r="AH241" i="59"/>
  <c r="G241" i="59" s="1"/>
  <c r="AI241" i="59"/>
  <c r="AB241" i="59"/>
  <c r="D241" i="59" s="1"/>
  <c r="AJ241" i="59"/>
  <c r="AC241" i="59"/>
  <c r="AK241" i="59"/>
  <c r="AD241" i="59"/>
  <c r="AE241" i="59"/>
  <c r="AC234" i="59"/>
  <c r="AK234" i="59"/>
  <c r="AJ234" i="59"/>
  <c r="AB234" i="59"/>
  <c r="D234" i="59" s="1"/>
  <c r="AD234" i="59"/>
  <c r="AE234" i="59"/>
  <c r="AH234" i="59"/>
  <c r="G234" i="59" s="1"/>
  <c r="AI234" i="59"/>
  <c r="AI199" i="59"/>
  <c r="AE199" i="59"/>
  <c r="AH199" i="59"/>
  <c r="G199" i="59" s="1"/>
  <c r="AJ199" i="59"/>
  <c r="AK199" i="59"/>
  <c r="AB199" i="59"/>
  <c r="AC199" i="59"/>
  <c r="AD199" i="59"/>
  <c r="AC189" i="59"/>
  <c r="AK189" i="59"/>
  <c r="AJ189" i="59"/>
  <c r="AB189" i="59"/>
  <c r="AD189" i="59"/>
  <c r="AE189" i="59"/>
  <c r="AH189" i="59"/>
  <c r="G189" i="59" s="1"/>
  <c r="AI189" i="59"/>
  <c r="AC180" i="59"/>
  <c r="AK180" i="59"/>
  <c r="AB180" i="59"/>
  <c r="AD180" i="59"/>
  <c r="AE180" i="59"/>
  <c r="AH180" i="59"/>
  <c r="G180" i="59" s="1"/>
  <c r="AI180" i="59"/>
  <c r="AJ180" i="59"/>
  <c r="AB53" i="59"/>
  <c r="C53" i="59" s="1"/>
  <c r="AJ53" i="59"/>
  <c r="AC53" i="59"/>
  <c r="AK53" i="59"/>
  <c r="AD53" i="59"/>
  <c r="AH53" i="59"/>
  <c r="G53" i="59" s="1"/>
  <c r="AI53" i="59"/>
  <c r="AE53" i="59"/>
  <c r="AC351" i="59"/>
  <c r="AK351" i="59"/>
  <c r="AJ351" i="59"/>
  <c r="AB351" i="59"/>
  <c r="H351" i="59" s="1"/>
  <c r="AD351" i="59"/>
  <c r="AE351" i="59"/>
  <c r="AH351" i="59"/>
  <c r="G351" i="59" s="1"/>
  <c r="AI351" i="59"/>
  <c r="AC340" i="59"/>
  <c r="AK340" i="59"/>
  <c r="AD340" i="59"/>
  <c r="AB340" i="59"/>
  <c r="C340" i="59" s="1"/>
  <c r="AE340" i="59"/>
  <c r="AH340" i="59"/>
  <c r="G340" i="59" s="1"/>
  <c r="AI340" i="59"/>
  <c r="AJ340" i="59"/>
  <c r="AH331" i="59"/>
  <c r="G331" i="59" s="1"/>
  <c r="AI331" i="59"/>
  <c r="AB331" i="59"/>
  <c r="AJ331" i="59"/>
  <c r="AC331" i="59"/>
  <c r="AK331" i="59"/>
  <c r="AD331" i="59"/>
  <c r="AE331" i="59"/>
  <c r="AH321" i="59"/>
  <c r="G321" i="59" s="1"/>
  <c r="AI321" i="59"/>
  <c r="AB321" i="59"/>
  <c r="D321" i="59" s="1"/>
  <c r="AJ321" i="59"/>
  <c r="AC321" i="59"/>
  <c r="AK321" i="59"/>
  <c r="AD321" i="59"/>
  <c r="AE321" i="59"/>
  <c r="AH310" i="59"/>
  <c r="G310" i="59" s="1"/>
  <c r="AI310" i="59"/>
  <c r="AB310" i="59"/>
  <c r="AJ310" i="59"/>
  <c r="AC310" i="59"/>
  <c r="AK310" i="59"/>
  <c r="AD310" i="59"/>
  <c r="AE310" i="59"/>
  <c r="AH303" i="59"/>
  <c r="G303" i="59" s="1"/>
  <c r="AI303" i="59"/>
  <c r="AB303" i="59"/>
  <c r="AJ303" i="59"/>
  <c r="AC303" i="59"/>
  <c r="AK303" i="59"/>
  <c r="AD303" i="59"/>
  <c r="AE303" i="59"/>
  <c r="AI293" i="59"/>
  <c r="AE293" i="59"/>
  <c r="AC293" i="59"/>
  <c r="AD293" i="59"/>
  <c r="AH293" i="59"/>
  <c r="G293" i="59" s="1"/>
  <c r="AJ293" i="59"/>
  <c r="AK293" i="59"/>
  <c r="AB293" i="59"/>
  <c r="AI279" i="59"/>
  <c r="AE279" i="59"/>
  <c r="AH279" i="59"/>
  <c r="G279" i="59" s="1"/>
  <c r="AJ279" i="59"/>
  <c r="AK279" i="59"/>
  <c r="AB279" i="59"/>
  <c r="AC279" i="59"/>
  <c r="AD279" i="59"/>
  <c r="AI265" i="59"/>
  <c r="AE265" i="59"/>
  <c r="AH265" i="59"/>
  <c r="G265" i="59" s="1"/>
  <c r="AJ265" i="59"/>
  <c r="AK265" i="59"/>
  <c r="AB265" i="59"/>
  <c r="AC265" i="59"/>
  <c r="AD265" i="59"/>
  <c r="AI269" i="59"/>
  <c r="AE269" i="59"/>
  <c r="AK269" i="59"/>
  <c r="AB269" i="59"/>
  <c r="D269" i="59" s="1"/>
  <c r="AC269" i="59"/>
  <c r="AD269" i="59"/>
  <c r="AH269" i="59"/>
  <c r="G269" i="59" s="1"/>
  <c r="AJ269" i="59"/>
  <c r="AI252" i="59"/>
  <c r="AC252" i="59"/>
  <c r="AD252" i="59"/>
  <c r="AE252" i="59"/>
  <c r="AB252" i="59"/>
  <c r="AH252" i="59"/>
  <c r="G252" i="59" s="1"/>
  <c r="AJ252" i="59"/>
  <c r="AK252" i="59"/>
  <c r="AE246" i="59"/>
  <c r="AH246" i="59"/>
  <c r="G246" i="59" s="1"/>
  <c r="AI246" i="59"/>
  <c r="AJ246" i="59"/>
  <c r="AB246" i="59"/>
  <c r="C246" i="59" s="1"/>
  <c r="AK246" i="59"/>
  <c r="AC246" i="59"/>
  <c r="AD246" i="59"/>
  <c r="AB240" i="59"/>
  <c r="C240" i="59" s="1"/>
  <c r="AJ240" i="59"/>
  <c r="AH240" i="59"/>
  <c r="G240" i="59" s="1"/>
  <c r="AI240" i="59"/>
  <c r="AK240" i="59"/>
  <c r="AC240" i="59"/>
  <c r="AD240" i="59"/>
  <c r="AE240" i="59"/>
  <c r="AC226" i="59"/>
  <c r="AK226" i="59"/>
  <c r="AB226" i="59"/>
  <c r="D226" i="59" s="1"/>
  <c r="AD226" i="59"/>
  <c r="AE226" i="59"/>
  <c r="AH226" i="59"/>
  <c r="G226" i="59" s="1"/>
  <c r="AI226" i="59"/>
  <c r="AJ226" i="59"/>
  <c r="AE203" i="59"/>
  <c r="AI203" i="59"/>
  <c r="AH203" i="59"/>
  <c r="G203" i="59" s="1"/>
  <c r="AJ203" i="59"/>
  <c r="AK203" i="59"/>
  <c r="AB203" i="59"/>
  <c r="AC203" i="59"/>
  <c r="AD203" i="59"/>
  <c r="AH202" i="59"/>
  <c r="G202" i="59" s="1"/>
  <c r="AD202" i="59"/>
  <c r="AI202" i="59"/>
  <c r="AJ202" i="59"/>
  <c r="AK202" i="59"/>
  <c r="AB202" i="59"/>
  <c r="AC202" i="59"/>
  <c r="AE202" i="59"/>
  <c r="AC201" i="59"/>
  <c r="AK201" i="59"/>
  <c r="AH201" i="59"/>
  <c r="G201" i="59" s="1"/>
  <c r="AI201" i="59"/>
  <c r="AJ201" i="59"/>
  <c r="AB201" i="59"/>
  <c r="AD201" i="59"/>
  <c r="AE201" i="59"/>
  <c r="AB200" i="59"/>
  <c r="C200" i="59" s="1"/>
  <c r="AJ200" i="59"/>
  <c r="AH200" i="59"/>
  <c r="G200" i="59" s="1"/>
  <c r="AI200" i="59"/>
  <c r="AK200" i="59"/>
  <c r="AC200" i="59"/>
  <c r="AD200" i="59"/>
  <c r="AE200" i="59"/>
  <c r="AH191" i="59"/>
  <c r="G191" i="59" s="1"/>
  <c r="AD191" i="59"/>
  <c r="AJ191" i="59"/>
  <c r="AK191" i="59"/>
  <c r="AB191" i="59"/>
  <c r="AC191" i="59"/>
  <c r="AE191" i="59"/>
  <c r="AI191" i="59"/>
  <c r="AH144" i="59"/>
  <c r="G144" i="59" s="1"/>
  <c r="AI144" i="59"/>
  <c r="AB144" i="59"/>
  <c r="AJ144" i="59"/>
  <c r="AC144" i="59"/>
  <c r="AK144" i="59"/>
  <c r="AD144" i="59"/>
  <c r="AE144" i="59"/>
  <c r="AB139" i="59"/>
  <c r="AJ139" i="59"/>
  <c r="AH139" i="59"/>
  <c r="G139" i="59" s="1"/>
  <c r="AI139" i="59"/>
  <c r="AK139" i="59"/>
  <c r="AC139" i="59"/>
  <c r="AD139" i="59"/>
  <c r="AE139" i="59"/>
  <c r="AI105" i="59"/>
  <c r="AD105" i="59"/>
  <c r="AJ105" i="59"/>
  <c r="AC105" i="59"/>
  <c r="AE105" i="59"/>
  <c r="AH105" i="59"/>
  <c r="G105" i="59" s="1"/>
  <c r="AK105" i="59"/>
  <c r="AB105" i="59"/>
  <c r="AD82" i="59"/>
  <c r="AH82" i="59"/>
  <c r="G82" i="59" s="1"/>
  <c r="AC82" i="59"/>
  <c r="AI82" i="59"/>
  <c r="AE82" i="59"/>
  <c r="AJ82" i="59"/>
  <c r="AK82" i="59"/>
  <c r="AB82" i="59"/>
  <c r="AD60" i="59"/>
  <c r="AH60" i="59"/>
  <c r="G60" i="59" s="1"/>
  <c r="AI60" i="59"/>
  <c r="AB60" i="59"/>
  <c r="AJ60" i="59"/>
  <c r="AK60" i="59"/>
  <c r="AC60" i="59"/>
  <c r="AE60" i="59"/>
  <c r="AD369" i="59"/>
  <c r="AH369" i="59"/>
  <c r="G369" i="59" s="1"/>
  <c r="AI369" i="59"/>
  <c r="AJ369" i="59"/>
  <c r="AK369" i="59"/>
  <c r="AB369" i="59"/>
  <c r="AC369" i="59"/>
  <c r="AE369" i="59"/>
  <c r="AD347" i="59"/>
  <c r="AH347" i="59"/>
  <c r="G347" i="59" s="1"/>
  <c r="AK347" i="59"/>
  <c r="AB347" i="59"/>
  <c r="AC347" i="59"/>
  <c r="AE347" i="59"/>
  <c r="AI347" i="59"/>
  <c r="AJ347" i="59"/>
  <c r="AI327" i="59"/>
  <c r="AB327" i="59"/>
  <c r="AJ327" i="59"/>
  <c r="AC327" i="59"/>
  <c r="AK327" i="59"/>
  <c r="AD327" i="59"/>
  <c r="AE327" i="59"/>
  <c r="AH327" i="59"/>
  <c r="G327" i="59" s="1"/>
  <c r="AI317" i="59"/>
  <c r="AB317" i="59"/>
  <c r="AJ317" i="59"/>
  <c r="AC317" i="59"/>
  <c r="AK317" i="59"/>
  <c r="AD317" i="59"/>
  <c r="AE317" i="59"/>
  <c r="AH317" i="59"/>
  <c r="G317" i="59" s="1"/>
  <c r="AI306" i="59"/>
  <c r="AB306" i="59"/>
  <c r="AJ306" i="59"/>
  <c r="AC306" i="59"/>
  <c r="AK306" i="59"/>
  <c r="AD306" i="59"/>
  <c r="AE306" i="59"/>
  <c r="AH306" i="59"/>
  <c r="G306" i="59" s="1"/>
  <c r="AB296" i="59"/>
  <c r="AJ296" i="59"/>
  <c r="AC296" i="59"/>
  <c r="AD296" i="59"/>
  <c r="AE296" i="59"/>
  <c r="AH296" i="59"/>
  <c r="G296" i="59" s="1"/>
  <c r="AI296" i="59"/>
  <c r="AK296" i="59"/>
  <c r="AB286" i="59"/>
  <c r="AJ286" i="59"/>
  <c r="AD286" i="59"/>
  <c r="AE286" i="59"/>
  <c r="AH286" i="59"/>
  <c r="G286" i="59" s="1"/>
  <c r="AI286" i="59"/>
  <c r="AK286" i="59"/>
  <c r="AC286" i="59"/>
  <c r="AB278" i="59"/>
  <c r="C278" i="59" s="1"/>
  <c r="AJ278" i="59"/>
  <c r="AH278" i="59"/>
  <c r="G278" i="59" s="1"/>
  <c r="AI278" i="59"/>
  <c r="AK278" i="59"/>
  <c r="AC278" i="59"/>
  <c r="AD278" i="59"/>
  <c r="AE278" i="59"/>
  <c r="AB270" i="59"/>
  <c r="D270" i="59" s="1"/>
  <c r="AJ270" i="59"/>
  <c r="AI270" i="59"/>
  <c r="AK270" i="59"/>
  <c r="AC270" i="59"/>
  <c r="AD270" i="59"/>
  <c r="AE270" i="59"/>
  <c r="AH270" i="59"/>
  <c r="G270" i="59" s="1"/>
  <c r="AH249" i="59"/>
  <c r="G249" i="59" s="1"/>
  <c r="AI249" i="59"/>
  <c r="AB249" i="59"/>
  <c r="AJ249" i="59"/>
  <c r="AC249" i="59"/>
  <c r="AK249" i="59"/>
  <c r="AD249" i="59"/>
  <c r="AE249" i="59"/>
  <c r="AB239" i="59"/>
  <c r="AJ239" i="59"/>
  <c r="AC239" i="59"/>
  <c r="AK239" i="59"/>
  <c r="AD239" i="59"/>
  <c r="AE239" i="59"/>
  <c r="AH239" i="59"/>
  <c r="G239" i="59" s="1"/>
  <c r="AI239" i="59"/>
  <c r="AB232" i="59"/>
  <c r="D232" i="59" s="1"/>
  <c r="AJ232" i="59"/>
  <c r="AK232" i="59"/>
  <c r="AC232" i="59"/>
  <c r="AD232" i="59"/>
  <c r="AE232" i="59"/>
  <c r="AH232" i="59"/>
  <c r="G232" i="59" s="1"/>
  <c r="AI232" i="59"/>
  <c r="AH182" i="59"/>
  <c r="G182" i="59" s="1"/>
  <c r="AD182" i="59"/>
  <c r="AB182" i="59"/>
  <c r="AC182" i="59"/>
  <c r="AE182" i="59"/>
  <c r="AI182" i="59"/>
  <c r="AJ182" i="59"/>
  <c r="AK182" i="59"/>
  <c r="AD71" i="59"/>
  <c r="AH71" i="59"/>
  <c r="G71" i="59" s="1"/>
  <c r="AJ71" i="59"/>
  <c r="AC71" i="59"/>
  <c r="AK71" i="59"/>
  <c r="AB71" i="59"/>
  <c r="C71" i="59" s="1"/>
  <c r="AE71" i="59"/>
  <c r="AI71" i="59"/>
  <c r="AE384" i="59"/>
  <c r="AI384" i="59"/>
  <c r="AH384" i="59"/>
  <c r="G384" i="59" s="1"/>
  <c r="AJ384" i="59"/>
  <c r="AK384" i="59"/>
  <c r="AB384" i="59"/>
  <c r="AC384" i="59"/>
  <c r="AD384" i="59"/>
  <c r="AE353" i="59"/>
  <c r="AI353" i="59"/>
  <c r="AJ353" i="59"/>
  <c r="AK353" i="59"/>
  <c r="AB353" i="59"/>
  <c r="AC353" i="59"/>
  <c r="AD353" i="59"/>
  <c r="AH353" i="59"/>
  <c r="G353" i="59" s="1"/>
  <c r="AE342" i="59"/>
  <c r="AI342" i="59"/>
  <c r="AB342" i="59"/>
  <c r="C342" i="59" s="1"/>
  <c r="AC342" i="59"/>
  <c r="AD342" i="59"/>
  <c r="AH342" i="59"/>
  <c r="G342" i="59" s="1"/>
  <c r="AJ342" i="59"/>
  <c r="AK342" i="59"/>
  <c r="AB334" i="59"/>
  <c r="C334" i="59" s="1"/>
  <c r="AJ334" i="59"/>
  <c r="AC334" i="59"/>
  <c r="AK334" i="59"/>
  <c r="AD334" i="59"/>
  <c r="AE334" i="59"/>
  <c r="AH334" i="59"/>
  <c r="G334" i="59" s="1"/>
  <c r="AI334" i="59"/>
  <c r="AB323" i="59"/>
  <c r="AJ323" i="59"/>
  <c r="AC323" i="59"/>
  <c r="AK323" i="59"/>
  <c r="AD323" i="59"/>
  <c r="AE323" i="59"/>
  <c r="AH323" i="59"/>
  <c r="G323" i="59" s="1"/>
  <c r="AI323" i="59"/>
  <c r="AB313" i="59"/>
  <c r="C313" i="59" s="1"/>
  <c r="AJ313" i="59"/>
  <c r="AC313" i="59"/>
  <c r="AK313" i="59"/>
  <c r="AD313" i="59"/>
  <c r="AE313" i="59"/>
  <c r="AH313" i="59"/>
  <c r="G313" i="59" s="1"/>
  <c r="AI313" i="59"/>
  <c r="AB300" i="59"/>
  <c r="AJ300" i="59"/>
  <c r="AC300" i="59"/>
  <c r="AK300" i="59"/>
  <c r="AD300" i="59"/>
  <c r="AE300" i="59"/>
  <c r="AH300" i="59"/>
  <c r="G300" i="59" s="1"/>
  <c r="AI300" i="59"/>
  <c r="AC290" i="59"/>
  <c r="AK290" i="59"/>
  <c r="AB290" i="59"/>
  <c r="C290" i="59" s="1"/>
  <c r="AD290" i="59"/>
  <c r="AE290" i="59"/>
  <c r="AH290" i="59"/>
  <c r="G290" i="59" s="1"/>
  <c r="AI290" i="59"/>
  <c r="AJ290" i="59"/>
  <c r="AC282" i="59"/>
  <c r="AK282" i="59"/>
  <c r="AE282" i="59"/>
  <c r="AH282" i="59"/>
  <c r="G282" i="59" s="1"/>
  <c r="AI282" i="59"/>
  <c r="AJ282" i="59"/>
  <c r="AB282" i="59"/>
  <c r="AD282" i="59"/>
  <c r="AC271" i="59"/>
  <c r="AK271" i="59"/>
  <c r="AH271" i="59"/>
  <c r="G271" i="59" s="1"/>
  <c r="AI271" i="59"/>
  <c r="AJ271" i="59"/>
  <c r="AB271" i="59"/>
  <c r="AD271" i="59"/>
  <c r="AE271" i="59"/>
  <c r="AC255" i="59"/>
  <c r="AK255" i="59"/>
  <c r="AB255" i="59"/>
  <c r="AD255" i="59"/>
  <c r="AE255" i="59"/>
  <c r="AH255" i="59"/>
  <c r="G255" i="59" s="1"/>
  <c r="AI255" i="59"/>
  <c r="AJ255" i="59"/>
  <c r="AD244" i="59"/>
  <c r="AH244" i="59"/>
  <c r="G244" i="59" s="1"/>
  <c r="AI244" i="59"/>
  <c r="AJ244" i="59"/>
  <c r="AK244" i="59"/>
  <c r="AB244" i="59"/>
  <c r="AC244" i="59"/>
  <c r="AE244" i="59"/>
  <c r="AI231" i="59"/>
  <c r="AE231" i="59"/>
  <c r="AK231" i="59"/>
  <c r="AB231" i="59"/>
  <c r="AC231" i="59"/>
  <c r="AD231" i="59"/>
  <c r="AH231" i="59"/>
  <c r="G231" i="59" s="1"/>
  <c r="AJ231" i="59"/>
  <c r="AB225" i="59"/>
  <c r="D225" i="59" s="1"/>
  <c r="AJ225" i="59"/>
  <c r="AC225" i="59"/>
  <c r="AD225" i="59"/>
  <c r="AE225" i="59"/>
  <c r="AH225" i="59"/>
  <c r="G225" i="59" s="1"/>
  <c r="AI225" i="59"/>
  <c r="AK225" i="59"/>
  <c r="AB223" i="59"/>
  <c r="C223" i="59" s="1"/>
  <c r="AJ223" i="59"/>
  <c r="AC223" i="59"/>
  <c r="AD223" i="59"/>
  <c r="AE223" i="59"/>
  <c r="AH223" i="59"/>
  <c r="G223" i="59" s="1"/>
  <c r="AI223" i="59"/>
  <c r="AK223" i="59"/>
  <c r="AB218" i="59"/>
  <c r="AJ218" i="59"/>
  <c r="AD218" i="59"/>
  <c r="AE218" i="59"/>
  <c r="AH218" i="59"/>
  <c r="G218" i="59" s="1"/>
  <c r="AI218" i="59"/>
  <c r="AK218" i="59"/>
  <c r="AC218" i="59"/>
  <c r="AE216" i="59"/>
  <c r="AI216" i="59"/>
  <c r="AD216" i="59"/>
  <c r="AH216" i="59"/>
  <c r="G216" i="59" s="1"/>
  <c r="AJ216" i="59"/>
  <c r="AK216" i="59"/>
  <c r="AB216" i="59"/>
  <c r="C216" i="59" s="1"/>
  <c r="AC216" i="59"/>
  <c r="AE192" i="59"/>
  <c r="AI192" i="59"/>
  <c r="AJ192" i="59"/>
  <c r="AK192" i="59"/>
  <c r="AB192" i="59"/>
  <c r="C192" i="59" s="1"/>
  <c r="AC192" i="59"/>
  <c r="AD192" i="59"/>
  <c r="AH192" i="59"/>
  <c r="G192" i="59" s="1"/>
  <c r="AH160" i="59"/>
  <c r="G160" i="59" s="1"/>
  <c r="AI160" i="59"/>
  <c r="AB160" i="59"/>
  <c r="AJ160" i="59"/>
  <c r="AC160" i="59"/>
  <c r="AK160" i="59"/>
  <c r="AD160" i="59"/>
  <c r="AE160" i="59"/>
  <c r="AB134" i="59"/>
  <c r="AJ134" i="59"/>
  <c r="AD134" i="59"/>
  <c r="AE134" i="59"/>
  <c r="AH134" i="59"/>
  <c r="G134" i="59" s="1"/>
  <c r="AI134" i="59"/>
  <c r="AK134" i="59"/>
  <c r="AC134" i="59"/>
  <c r="AI115" i="59"/>
  <c r="AB115" i="59"/>
  <c r="C115" i="59" s="1"/>
  <c r="AC115" i="59"/>
  <c r="AD115" i="59"/>
  <c r="AE115" i="59"/>
  <c r="AH115" i="59"/>
  <c r="G115" i="59" s="1"/>
  <c r="AJ115" i="59"/>
  <c r="AK115" i="59"/>
  <c r="AC94" i="59"/>
  <c r="AK94" i="59"/>
  <c r="AI94" i="59"/>
  <c r="AJ94" i="59"/>
  <c r="AB94" i="59"/>
  <c r="AD94" i="59"/>
  <c r="AE94" i="59"/>
  <c r="AH94" i="59"/>
  <c r="G94" i="59" s="1"/>
  <c r="AB374" i="59"/>
  <c r="C374" i="59" s="1"/>
  <c r="AJ374" i="59"/>
  <c r="AE374" i="59"/>
  <c r="AH374" i="59"/>
  <c r="G374" i="59" s="1"/>
  <c r="AI374" i="59"/>
  <c r="AK374" i="59"/>
  <c r="AC374" i="59"/>
  <c r="AD374" i="59"/>
  <c r="AB370" i="59"/>
  <c r="C370" i="59" s="1"/>
  <c r="AJ370" i="59"/>
  <c r="AH370" i="59"/>
  <c r="G370" i="59" s="1"/>
  <c r="AI370" i="59"/>
  <c r="AK370" i="59"/>
  <c r="AC370" i="59"/>
  <c r="AD370" i="59"/>
  <c r="AE370" i="59"/>
  <c r="AB349" i="59"/>
  <c r="C349" i="59" s="1"/>
  <c r="AJ349" i="59"/>
  <c r="AK349" i="59"/>
  <c r="AC349" i="59"/>
  <c r="AD349" i="59"/>
  <c r="AE349" i="59"/>
  <c r="AH349" i="59"/>
  <c r="G349" i="59" s="1"/>
  <c r="AI349" i="59"/>
  <c r="AC338" i="59"/>
  <c r="AD338" i="59"/>
  <c r="AE338" i="59"/>
  <c r="AH338" i="59"/>
  <c r="G338" i="59" s="1"/>
  <c r="AI338" i="59"/>
  <c r="AB338" i="59"/>
  <c r="AJ338" i="59"/>
  <c r="AK338" i="59"/>
  <c r="AC329" i="59"/>
  <c r="AK329" i="59"/>
  <c r="AD329" i="59"/>
  <c r="AE329" i="59"/>
  <c r="AH329" i="59"/>
  <c r="G329" i="59" s="1"/>
  <c r="AI329" i="59"/>
  <c r="AB329" i="59"/>
  <c r="C329" i="59" s="1"/>
  <c r="AJ329" i="59"/>
  <c r="AC320" i="59"/>
  <c r="AK320" i="59"/>
  <c r="AD320" i="59"/>
  <c r="AE320" i="59"/>
  <c r="AH320" i="59"/>
  <c r="G320" i="59" s="1"/>
  <c r="AI320" i="59"/>
  <c r="AB320" i="59"/>
  <c r="D320" i="59" s="1"/>
  <c r="AJ320" i="59"/>
  <c r="AC309" i="59"/>
  <c r="AK309" i="59"/>
  <c r="AD309" i="59"/>
  <c r="AE309" i="59"/>
  <c r="AH309" i="59"/>
  <c r="G309" i="59" s="1"/>
  <c r="AI309" i="59"/>
  <c r="AB309" i="59"/>
  <c r="AJ309" i="59"/>
  <c r="AD301" i="59"/>
  <c r="AH301" i="59"/>
  <c r="G301" i="59" s="1"/>
  <c r="AK301" i="59"/>
  <c r="AB301" i="59"/>
  <c r="C301" i="59" s="1"/>
  <c r="AC301" i="59"/>
  <c r="AE301" i="59"/>
  <c r="AI301" i="59"/>
  <c r="AJ301" i="59"/>
  <c r="AD291" i="59"/>
  <c r="AH291" i="59"/>
  <c r="G291" i="59" s="1"/>
  <c r="AC291" i="59"/>
  <c r="AE291" i="59"/>
  <c r="AI291" i="59"/>
  <c r="AJ291" i="59"/>
  <c r="AK291" i="59"/>
  <c r="AB291" i="59"/>
  <c r="C291" i="59" s="1"/>
  <c r="AD277" i="59"/>
  <c r="AH277" i="59"/>
  <c r="G277" i="59" s="1"/>
  <c r="AI277" i="59"/>
  <c r="AJ277" i="59"/>
  <c r="AK277" i="59"/>
  <c r="AB277" i="59"/>
  <c r="C277" i="59" s="1"/>
  <c r="AC277" i="59"/>
  <c r="AE277" i="59"/>
  <c r="AD266" i="59"/>
  <c r="AH266" i="59"/>
  <c r="G266" i="59" s="1"/>
  <c r="AK266" i="59"/>
  <c r="AB266" i="59"/>
  <c r="AC266" i="59"/>
  <c r="AE266" i="59"/>
  <c r="AI266" i="59"/>
  <c r="AJ266" i="59"/>
  <c r="AB251" i="59"/>
  <c r="AC251" i="59"/>
  <c r="AD251" i="59"/>
  <c r="AE251" i="59"/>
  <c r="AH251" i="59"/>
  <c r="G251" i="59" s="1"/>
  <c r="AJ251" i="59"/>
  <c r="AK251" i="59"/>
  <c r="AI251" i="59"/>
  <c r="AE238" i="59"/>
  <c r="AI238" i="59"/>
  <c r="AJ238" i="59"/>
  <c r="AK238" i="59"/>
  <c r="AB238" i="59"/>
  <c r="AC238" i="59"/>
  <c r="AD238" i="59"/>
  <c r="AH238" i="59"/>
  <c r="G238" i="59" s="1"/>
  <c r="AI219" i="59"/>
  <c r="AE219" i="59"/>
  <c r="AC219" i="59"/>
  <c r="AD219" i="59"/>
  <c r="AH219" i="59"/>
  <c r="G219" i="59" s="1"/>
  <c r="AJ219" i="59"/>
  <c r="AK219" i="59"/>
  <c r="AB219" i="59"/>
  <c r="C219" i="59" s="1"/>
  <c r="AH214" i="59"/>
  <c r="G214" i="59" s="1"/>
  <c r="AD214" i="59"/>
  <c r="AE214" i="59"/>
  <c r="AI214" i="59"/>
  <c r="AJ214" i="59"/>
  <c r="AK214" i="59"/>
  <c r="AB214" i="59"/>
  <c r="AC214" i="59"/>
  <c r="AC385" i="59"/>
  <c r="AK385" i="59"/>
  <c r="AH385" i="59"/>
  <c r="G385" i="59" s="1"/>
  <c r="AI385" i="59"/>
  <c r="AJ385" i="59"/>
  <c r="AB385" i="59"/>
  <c r="AD385" i="59"/>
  <c r="AE385" i="59"/>
  <c r="AC381" i="59"/>
  <c r="AK381" i="59"/>
  <c r="AI381" i="59"/>
  <c r="AJ381" i="59"/>
  <c r="AB381" i="59"/>
  <c r="AD381" i="59"/>
  <c r="AE381" i="59"/>
  <c r="AH381" i="59"/>
  <c r="G381" i="59" s="1"/>
  <c r="AC346" i="59"/>
  <c r="AK346" i="59"/>
  <c r="AB346" i="59"/>
  <c r="AD346" i="59"/>
  <c r="AE346" i="59"/>
  <c r="AH346" i="59"/>
  <c r="G346" i="59" s="1"/>
  <c r="AI346" i="59"/>
  <c r="AJ346" i="59"/>
  <c r="AD336" i="59"/>
  <c r="AE336" i="59"/>
  <c r="AH336" i="59"/>
  <c r="G336" i="59" s="1"/>
  <c r="AI336" i="59"/>
  <c r="AB336" i="59"/>
  <c r="AJ336" i="59"/>
  <c r="AC336" i="59"/>
  <c r="AK336" i="59"/>
  <c r="AD326" i="59"/>
  <c r="AE326" i="59"/>
  <c r="AH326" i="59"/>
  <c r="G326" i="59" s="1"/>
  <c r="AI326" i="59"/>
  <c r="AB326" i="59"/>
  <c r="AJ326" i="59"/>
  <c r="AC326" i="59"/>
  <c r="AK326" i="59"/>
  <c r="AD316" i="59"/>
  <c r="AE316" i="59"/>
  <c r="AH316" i="59"/>
  <c r="G316" i="59" s="1"/>
  <c r="AI316" i="59"/>
  <c r="AB316" i="59"/>
  <c r="D316" i="59" s="1"/>
  <c r="AJ316" i="59"/>
  <c r="AC316" i="59"/>
  <c r="AK316" i="59"/>
  <c r="AD304" i="59"/>
  <c r="AE304" i="59"/>
  <c r="AH304" i="59"/>
  <c r="G304" i="59" s="1"/>
  <c r="AI304" i="59"/>
  <c r="AB304" i="59"/>
  <c r="AJ304" i="59"/>
  <c r="AC304" i="59"/>
  <c r="AK304" i="59"/>
  <c r="AE294" i="59"/>
  <c r="AI294" i="59"/>
  <c r="AB294" i="59"/>
  <c r="AC294" i="59"/>
  <c r="AD294" i="59"/>
  <c r="AH294" i="59"/>
  <c r="G294" i="59" s="1"/>
  <c r="AJ294" i="59"/>
  <c r="AK294" i="59"/>
  <c r="AE285" i="59"/>
  <c r="AI285" i="59"/>
  <c r="AD285" i="59"/>
  <c r="AH285" i="59"/>
  <c r="G285" i="59" s="1"/>
  <c r="AJ285" i="59"/>
  <c r="AK285" i="59"/>
  <c r="AB285" i="59"/>
  <c r="AC285" i="59"/>
  <c r="AE276" i="59"/>
  <c r="AI276" i="59"/>
  <c r="AH276" i="59"/>
  <c r="G276" i="59" s="1"/>
  <c r="AJ276" i="59"/>
  <c r="AK276" i="59"/>
  <c r="AB276" i="59"/>
  <c r="AC276" i="59"/>
  <c r="AD276" i="59"/>
  <c r="AE267" i="59"/>
  <c r="AI267" i="59"/>
  <c r="AJ267" i="59"/>
  <c r="AK267" i="59"/>
  <c r="AB267" i="59"/>
  <c r="C267" i="59" s="1"/>
  <c r="AC267" i="59"/>
  <c r="AD267" i="59"/>
  <c r="AH267" i="59"/>
  <c r="G267" i="59" s="1"/>
  <c r="AE260" i="59"/>
  <c r="AI260" i="59"/>
  <c r="AB260" i="59"/>
  <c r="AC260" i="59"/>
  <c r="AD260" i="59"/>
  <c r="AH260" i="59"/>
  <c r="G260" i="59" s="1"/>
  <c r="AJ260" i="59"/>
  <c r="AK260" i="59"/>
  <c r="AB247" i="59"/>
  <c r="AJ247" i="59"/>
  <c r="AC247" i="59"/>
  <c r="AK247" i="59"/>
  <c r="AD247" i="59"/>
  <c r="AE247" i="59"/>
  <c r="AH247" i="59"/>
  <c r="G247" i="59" s="1"/>
  <c r="AI247" i="59"/>
  <c r="AH235" i="59"/>
  <c r="G235" i="59" s="1"/>
  <c r="AD235" i="59"/>
  <c r="AJ235" i="59"/>
  <c r="AK235" i="59"/>
  <c r="AB235" i="59"/>
  <c r="AC235" i="59"/>
  <c r="AE235" i="59"/>
  <c r="AI235" i="59"/>
  <c r="AD230" i="59"/>
  <c r="AH230" i="59"/>
  <c r="G230" i="59" s="1"/>
  <c r="AK230" i="59"/>
  <c r="AB230" i="59"/>
  <c r="AC230" i="59"/>
  <c r="AE230" i="59"/>
  <c r="AI230" i="59"/>
  <c r="AJ230" i="59"/>
  <c r="AE227" i="59"/>
  <c r="AI227" i="59"/>
  <c r="AB227" i="59"/>
  <c r="AC227" i="59"/>
  <c r="AD227" i="59"/>
  <c r="AH227" i="59"/>
  <c r="G227" i="59" s="1"/>
  <c r="AJ227" i="59"/>
  <c r="AK227" i="59"/>
  <c r="AI209" i="59"/>
  <c r="AE209" i="59"/>
  <c r="AH209" i="59"/>
  <c r="G209" i="59" s="1"/>
  <c r="AJ209" i="59"/>
  <c r="AK209" i="59"/>
  <c r="AB209" i="59"/>
  <c r="AC209" i="59"/>
  <c r="AD209" i="59"/>
  <c r="AI178" i="59"/>
  <c r="AE178" i="59"/>
  <c r="AC178" i="59"/>
  <c r="AD178" i="59"/>
  <c r="AH178" i="59"/>
  <c r="G178" i="59" s="1"/>
  <c r="AJ178" i="59"/>
  <c r="AK178" i="59"/>
  <c r="AB178" i="59"/>
  <c r="AC170" i="59"/>
  <c r="AK170" i="59"/>
  <c r="AD170" i="59"/>
  <c r="AB170" i="59"/>
  <c r="D170" i="59" s="1"/>
  <c r="AE170" i="59"/>
  <c r="AH170" i="59"/>
  <c r="G170" i="59" s="1"/>
  <c r="AI170" i="59"/>
  <c r="AJ170" i="59"/>
  <c r="AE152" i="59"/>
  <c r="AH152" i="59"/>
  <c r="G152" i="59" s="1"/>
  <c r="AI152" i="59"/>
  <c r="AB152" i="59"/>
  <c r="AJ152" i="59"/>
  <c r="AC152" i="59"/>
  <c r="AK152" i="59"/>
  <c r="AD152" i="59"/>
  <c r="AE131" i="59"/>
  <c r="AI131" i="59"/>
  <c r="AH131" i="59"/>
  <c r="G131" i="59" s="1"/>
  <c r="AJ131" i="59"/>
  <c r="AK131" i="59"/>
  <c r="AB131" i="59"/>
  <c r="D131" i="59" s="1"/>
  <c r="AC131" i="59"/>
  <c r="AD131" i="59"/>
  <c r="AC108" i="59"/>
  <c r="AK108" i="59"/>
  <c r="AD108" i="59"/>
  <c r="AI108" i="59"/>
  <c r="AH108" i="59"/>
  <c r="G108" i="59" s="1"/>
  <c r="AJ108" i="59"/>
  <c r="AB108" i="59"/>
  <c r="AE108" i="59"/>
  <c r="AC85" i="59"/>
  <c r="AK85" i="59"/>
  <c r="AD85" i="59"/>
  <c r="AH85" i="59"/>
  <c r="G85" i="59" s="1"/>
  <c r="AE85" i="59"/>
  <c r="AB85" i="59"/>
  <c r="D85" i="59" s="1"/>
  <c r="AI85" i="59"/>
  <c r="AJ85" i="59"/>
  <c r="AH352" i="59"/>
  <c r="G352" i="59" s="1"/>
  <c r="AD352" i="59"/>
  <c r="AJ352" i="59"/>
  <c r="AK352" i="59"/>
  <c r="AB352" i="59"/>
  <c r="D352" i="59" s="1"/>
  <c r="AC352" i="59"/>
  <c r="AE352" i="59"/>
  <c r="AI352" i="59"/>
  <c r="AH341" i="59"/>
  <c r="G341" i="59" s="1"/>
  <c r="AD341" i="59"/>
  <c r="AB341" i="59"/>
  <c r="C341" i="59" s="1"/>
  <c r="AC341" i="59"/>
  <c r="AE341" i="59"/>
  <c r="AI341" i="59"/>
  <c r="AJ341" i="59"/>
  <c r="AK341" i="59"/>
  <c r="AE332" i="59"/>
  <c r="AH332" i="59"/>
  <c r="G332" i="59" s="1"/>
  <c r="AI332" i="59"/>
  <c r="AB332" i="59"/>
  <c r="D332" i="59" s="1"/>
  <c r="AJ332" i="59"/>
  <c r="AC332" i="59"/>
  <c r="AK332" i="59"/>
  <c r="AD332" i="59"/>
  <c r="AE322" i="59"/>
  <c r="AH322" i="59"/>
  <c r="G322" i="59" s="1"/>
  <c r="AI322" i="59"/>
  <c r="AB322" i="59"/>
  <c r="AJ322" i="59"/>
  <c r="AC322" i="59"/>
  <c r="AK322" i="59"/>
  <c r="AD322" i="59"/>
  <c r="AE312" i="59"/>
  <c r="AH312" i="59"/>
  <c r="G312" i="59" s="1"/>
  <c r="AI312" i="59"/>
  <c r="AB312" i="59"/>
  <c r="AJ312" i="59"/>
  <c r="AC312" i="59"/>
  <c r="AK312" i="59"/>
  <c r="AD312" i="59"/>
  <c r="AE305" i="59"/>
  <c r="AH305" i="59"/>
  <c r="G305" i="59" s="1"/>
  <c r="AI305" i="59"/>
  <c r="AB305" i="59"/>
  <c r="AJ305" i="59"/>
  <c r="AC305" i="59"/>
  <c r="AK305" i="59"/>
  <c r="AD305" i="59"/>
  <c r="AB295" i="59"/>
  <c r="AJ295" i="59"/>
  <c r="AC295" i="59"/>
  <c r="AD295" i="59"/>
  <c r="AE295" i="59"/>
  <c r="AH295" i="59"/>
  <c r="G295" i="59" s="1"/>
  <c r="AI295" i="59"/>
  <c r="AK295" i="59"/>
  <c r="AB281" i="59"/>
  <c r="C281" i="59" s="1"/>
  <c r="AJ281" i="59"/>
  <c r="AE281" i="59"/>
  <c r="AH281" i="59"/>
  <c r="G281" i="59" s="1"/>
  <c r="AI281" i="59"/>
  <c r="AK281" i="59"/>
  <c r="AC281" i="59"/>
  <c r="AD281" i="59"/>
  <c r="AB268" i="59"/>
  <c r="AJ268" i="59"/>
  <c r="AH268" i="59"/>
  <c r="G268" i="59" s="1"/>
  <c r="AI268" i="59"/>
  <c r="AK268" i="59"/>
  <c r="AC268" i="59"/>
  <c r="AD268" i="59"/>
  <c r="AE268" i="59"/>
  <c r="AB261" i="59"/>
  <c r="AJ261" i="59"/>
  <c r="AK261" i="59"/>
  <c r="AC261" i="59"/>
  <c r="AD261" i="59"/>
  <c r="AE261" i="59"/>
  <c r="AH261" i="59"/>
  <c r="G261" i="59" s="1"/>
  <c r="AI261" i="59"/>
  <c r="AB253" i="59"/>
  <c r="C253" i="59" s="1"/>
  <c r="AJ253" i="59"/>
  <c r="AC253" i="59"/>
  <c r="AD253" i="59"/>
  <c r="AE253" i="59"/>
  <c r="AH253" i="59"/>
  <c r="G253" i="59" s="1"/>
  <c r="AI253" i="59"/>
  <c r="AK253" i="59"/>
  <c r="AC245" i="59"/>
  <c r="AK245" i="59"/>
  <c r="AD245" i="59"/>
  <c r="AE245" i="59"/>
  <c r="AH245" i="59"/>
  <c r="G245" i="59" s="1"/>
  <c r="AI245" i="59"/>
  <c r="AB245" i="59"/>
  <c r="D245" i="59" s="1"/>
  <c r="AJ245" i="59"/>
  <c r="AH224" i="59"/>
  <c r="G224" i="59" s="1"/>
  <c r="AD224" i="59"/>
  <c r="AB224" i="59"/>
  <c r="AC224" i="59"/>
  <c r="AE224" i="59"/>
  <c r="AI224" i="59"/>
  <c r="AJ224" i="59"/>
  <c r="AK224" i="59"/>
  <c r="AC211" i="59"/>
  <c r="AK211" i="59"/>
  <c r="AE211" i="59"/>
  <c r="AH211" i="59"/>
  <c r="G211" i="59" s="1"/>
  <c r="AI211" i="59"/>
  <c r="AJ211" i="59"/>
  <c r="AB211" i="59"/>
  <c r="D211" i="59" s="1"/>
  <c r="AD211" i="59"/>
  <c r="AB210" i="59"/>
  <c r="C210" i="59" s="1"/>
  <c r="AJ210" i="59"/>
  <c r="AE210" i="59"/>
  <c r="AH210" i="59"/>
  <c r="G210" i="59" s="1"/>
  <c r="AI210" i="59"/>
  <c r="AK210" i="59"/>
  <c r="AC210" i="59"/>
  <c r="AD210" i="59"/>
  <c r="AB33" i="59"/>
  <c r="AJ33" i="59"/>
  <c r="AC33" i="59"/>
  <c r="AK33" i="59"/>
  <c r="AD33" i="59"/>
  <c r="AH33" i="59"/>
  <c r="G33" i="59" s="1"/>
  <c r="AI33" i="59"/>
  <c r="AE33" i="59"/>
  <c r="AB205" i="59"/>
  <c r="AJ205" i="59"/>
  <c r="AH205" i="59"/>
  <c r="G205" i="59" s="1"/>
  <c r="AI205" i="59"/>
  <c r="AK205" i="59"/>
  <c r="AC205" i="59"/>
  <c r="AD205" i="59"/>
  <c r="AE205" i="59"/>
  <c r="AB193" i="59"/>
  <c r="AJ193" i="59"/>
  <c r="AI193" i="59"/>
  <c r="AK193" i="59"/>
  <c r="AC193" i="59"/>
  <c r="AD193" i="59"/>
  <c r="AE193" i="59"/>
  <c r="AH193" i="59"/>
  <c r="G193" i="59" s="1"/>
  <c r="AB183" i="59"/>
  <c r="AJ183" i="59"/>
  <c r="AC183" i="59"/>
  <c r="AD183" i="59"/>
  <c r="AE183" i="59"/>
  <c r="AH183" i="59"/>
  <c r="G183" i="59" s="1"/>
  <c r="AI183" i="59"/>
  <c r="AK183" i="59"/>
  <c r="AB174" i="59"/>
  <c r="AJ174" i="59"/>
  <c r="AD174" i="59"/>
  <c r="AE174" i="59"/>
  <c r="AH174" i="59"/>
  <c r="G174" i="59" s="1"/>
  <c r="AI174" i="59"/>
  <c r="AK174" i="59"/>
  <c r="AC174" i="59"/>
  <c r="AH161" i="59"/>
  <c r="G161" i="59" s="1"/>
  <c r="AI161" i="59"/>
  <c r="AB161" i="59"/>
  <c r="D161" i="59" s="1"/>
  <c r="AJ161" i="59"/>
  <c r="AC161" i="59"/>
  <c r="AK161" i="59"/>
  <c r="AD161" i="59"/>
  <c r="AE161" i="59"/>
  <c r="AH145" i="59"/>
  <c r="G145" i="59" s="1"/>
  <c r="AI145" i="59"/>
  <c r="AB145" i="59"/>
  <c r="C145" i="59" s="1"/>
  <c r="AJ145" i="59"/>
  <c r="AC145" i="59"/>
  <c r="AK145" i="59"/>
  <c r="AD145" i="59"/>
  <c r="AE145" i="59"/>
  <c r="AD150" i="59"/>
  <c r="AH150" i="59"/>
  <c r="G150" i="59" s="1"/>
  <c r="AC150" i="59"/>
  <c r="AE150" i="59"/>
  <c r="AI150" i="59"/>
  <c r="AJ150" i="59"/>
  <c r="AK150" i="59"/>
  <c r="AB150" i="59"/>
  <c r="D150" i="59" s="1"/>
  <c r="AD132" i="59"/>
  <c r="AH132" i="59"/>
  <c r="G132" i="59" s="1"/>
  <c r="AI132" i="59"/>
  <c r="AJ132" i="59"/>
  <c r="AK132" i="59"/>
  <c r="AB132" i="59"/>
  <c r="AC132" i="59"/>
  <c r="AE132" i="59"/>
  <c r="AE120" i="59"/>
  <c r="AH120" i="59"/>
  <c r="G120" i="59" s="1"/>
  <c r="AK120" i="59"/>
  <c r="AJ120" i="59"/>
  <c r="AB120" i="59"/>
  <c r="AC120" i="59"/>
  <c r="AD120" i="59"/>
  <c r="AI120" i="59"/>
  <c r="AE109" i="59"/>
  <c r="AH109" i="59"/>
  <c r="G109" i="59" s="1"/>
  <c r="AC109" i="59"/>
  <c r="AI109" i="59"/>
  <c r="AB109" i="59"/>
  <c r="AD109" i="59"/>
  <c r="AJ109" i="59"/>
  <c r="AK109" i="59"/>
  <c r="AE97" i="59"/>
  <c r="AH97" i="59"/>
  <c r="G97" i="59" s="1"/>
  <c r="AK97" i="59"/>
  <c r="AB97" i="59"/>
  <c r="AC97" i="59"/>
  <c r="AD97" i="59"/>
  <c r="AI97" i="59"/>
  <c r="AJ97" i="59"/>
  <c r="AB86" i="59"/>
  <c r="AC86" i="59"/>
  <c r="AH86" i="59"/>
  <c r="G86" i="59" s="1"/>
  <c r="AD86" i="59"/>
  <c r="AE86" i="59"/>
  <c r="AI86" i="59"/>
  <c r="AJ86" i="59"/>
  <c r="AK86" i="59"/>
  <c r="AB75" i="59"/>
  <c r="AJ75" i="59"/>
  <c r="AE75" i="59"/>
  <c r="AI75" i="59"/>
  <c r="AK75" i="59"/>
  <c r="AC75" i="59"/>
  <c r="AD75" i="59"/>
  <c r="AH75" i="59"/>
  <c r="G75" i="59" s="1"/>
  <c r="AB65" i="59"/>
  <c r="AJ65" i="59"/>
  <c r="AH65" i="59"/>
  <c r="G65" i="59" s="1"/>
  <c r="AE65" i="59"/>
  <c r="AI65" i="59"/>
  <c r="AK65" i="59"/>
  <c r="AC65" i="59"/>
  <c r="AD65" i="59"/>
  <c r="AD59" i="59"/>
  <c r="AE59" i="59"/>
  <c r="AB59" i="59"/>
  <c r="D59" i="59" s="1"/>
  <c r="AJ59" i="59"/>
  <c r="AC59" i="59"/>
  <c r="AI59" i="59"/>
  <c r="AK59" i="59"/>
  <c r="AH59" i="59"/>
  <c r="G59" i="59" s="1"/>
  <c r="AD52" i="59"/>
  <c r="AE52" i="59"/>
  <c r="AB52" i="59"/>
  <c r="AJ52" i="59"/>
  <c r="AK52" i="59"/>
  <c r="AC52" i="59"/>
  <c r="AH52" i="59"/>
  <c r="G52" i="59" s="1"/>
  <c r="AI52" i="59"/>
  <c r="AD37" i="59"/>
  <c r="AE37" i="59"/>
  <c r="AI37" i="59"/>
  <c r="AB37" i="59"/>
  <c r="AJ37" i="59"/>
  <c r="AH37" i="59"/>
  <c r="G37" i="59" s="1"/>
  <c r="AC37" i="59"/>
  <c r="AK37" i="59"/>
  <c r="AD26" i="59"/>
  <c r="AE26" i="59"/>
  <c r="AI26" i="59"/>
  <c r="AB26" i="59"/>
  <c r="AJ26" i="59"/>
  <c r="AC26" i="59"/>
  <c r="AK26" i="59"/>
  <c r="AH26" i="59"/>
  <c r="G26" i="59" s="1"/>
  <c r="AC74" i="59"/>
  <c r="AK74" i="59"/>
  <c r="AJ74" i="59"/>
  <c r="AH74" i="59"/>
  <c r="G74" i="59" s="1"/>
  <c r="AI74" i="59"/>
  <c r="AB74" i="59"/>
  <c r="C74" i="59" s="1"/>
  <c r="AD74" i="59"/>
  <c r="AE74" i="59"/>
  <c r="AC57" i="59"/>
  <c r="AK57" i="59"/>
  <c r="AI57" i="59"/>
  <c r="AB57" i="59"/>
  <c r="C57" i="59" s="1"/>
  <c r="AD57" i="59"/>
  <c r="AJ57" i="59"/>
  <c r="AE57" i="59"/>
  <c r="AH57" i="59"/>
  <c r="G57" i="59" s="1"/>
  <c r="AE50" i="59"/>
  <c r="AC50" i="59"/>
  <c r="AK50" i="59"/>
  <c r="AD50" i="59"/>
  <c r="AJ50" i="59"/>
  <c r="AB50" i="59"/>
  <c r="C50" i="59" s="1"/>
  <c r="AH50" i="59"/>
  <c r="G50" i="59" s="1"/>
  <c r="AI50" i="59"/>
  <c r="AE42" i="59"/>
  <c r="AC42" i="59"/>
  <c r="AK42" i="59"/>
  <c r="AB42" i="59"/>
  <c r="AD42" i="59"/>
  <c r="AH42" i="59"/>
  <c r="G42" i="59" s="1"/>
  <c r="AI42" i="59"/>
  <c r="AJ42" i="59"/>
  <c r="AE32" i="59"/>
  <c r="AB32" i="59"/>
  <c r="AJ32" i="59"/>
  <c r="AC32" i="59"/>
  <c r="AK32" i="59"/>
  <c r="AI32" i="59"/>
  <c r="AH32" i="59"/>
  <c r="G32" i="59" s="1"/>
  <c r="AD32" i="59"/>
  <c r="AD217" i="59"/>
  <c r="AH217" i="59"/>
  <c r="G217" i="59" s="1"/>
  <c r="AC217" i="59"/>
  <c r="AE217" i="59"/>
  <c r="AI217" i="59"/>
  <c r="AJ217" i="59"/>
  <c r="AK217" i="59"/>
  <c r="AB217" i="59"/>
  <c r="D217" i="59" s="1"/>
  <c r="AD207" i="59"/>
  <c r="AH207" i="59"/>
  <c r="G207" i="59" s="1"/>
  <c r="AI207" i="59"/>
  <c r="AJ207" i="59"/>
  <c r="AK207" i="59"/>
  <c r="AB207" i="59"/>
  <c r="C207" i="59" s="1"/>
  <c r="AC207" i="59"/>
  <c r="AE207" i="59"/>
  <c r="AD198" i="59"/>
  <c r="AH198" i="59"/>
  <c r="G198" i="59" s="1"/>
  <c r="AI198" i="59"/>
  <c r="AJ198" i="59"/>
  <c r="AK198" i="59"/>
  <c r="AB198" i="59"/>
  <c r="D198" i="59" s="1"/>
  <c r="AC198" i="59"/>
  <c r="AE198" i="59"/>
  <c r="AD185" i="59"/>
  <c r="AH185" i="59"/>
  <c r="G185" i="59" s="1"/>
  <c r="AK185" i="59"/>
  <c r="AB185" i="59"/>
  <c r="C185" i="59" s="1"/>
  <c r="AC185" i="59"/>
  <c r="AE185" i="59"/>
  <c r="AI185" i="59"/>
  <c r="AJ185" i="59"/>
  <c r="AD176" i="59"/>
  <c r="AH176" i="59"/>
  <c r="G176" i="59" s="1"/>
  <c r="AC176" i="59"/>
  <c r="AE176" i="59"/>
  <c r="AI176" i="59"/>
  <c r="AJ176" i="59"/>
  <c r="AK176" i="59"/>
  <c r="AB176" i="59"/>
  <c r="AI165" i="59"/>
  <c r="AB165" i="59"/>
  <c r="D165" i="59" s="1"/>
  <c r="AJ165" i="59"/>
  <c r="AC165" i="59"/>
  <c r="AK165" i="59"/>
  <c r="AD165" i="59"/>
  <c r="AE165" i="59"/>
  <c r="AH165" i="59"/>
  <c r="G165" i="59" s="1"/>
  <c r="AI155" i="59"/>
  <c r="AB155" i="59"/>
  <c r="D155" i="59" s="1"/>
  <c r="AJ155" i="59"/>
  <c r="AC155" i="59"/>
  <c r="AK155" i="59"/>
  <c r="AD155" i="59"/>
  <c r="AE155" i="59"/>
  <c r="AH155" i="59"/>
  <c r="G155" i="59" s="1"/>
  <c r="AB143" i="59"/>
  <c r="D143" i="59" s="1"/>
  <c r="AJ143" i="59"/>
  <c r="AC143" i="59"/>
  <c r="AD143" i="59"/>
  <c r="AE143" i="59"/>
  <c r="AH143" i="59"/>
  <c r="G143" i="59" s="1"/>
  <c r="AI143" i="59"/>
  <c r="AK143" i="59"/>
  <c r="AB148" i="59"/>
  <c r="D148" i="59" s="1"/>
  <c r="AJ148" i="59"/>
  <c r="AE148" i="59"/>
  <c r="AH148" i="59"/>
  <c r="G148" i="59" s="1"/>
  <c r="AI148" i="59"/>
  <c r="AK148" i="59"/>
  <c r="AC148" i="59"/>
  <c r="AD148" i="59"/>
  <c r="AB130" i="59"/>
  <c r="AJ130" i="59"/>
  <c r="AK130" i="59"/>
  <c r="AE130" i="59"/>
  <c r="AC130" i="59"/>
  <c r="AD130" i="59"/>
  <c r="AH130" i="59"/>
  <c r="G130" i="59" s="1"/>
  <c r="AI130" i="59"/>
  <c r="AB114" i="59"/>
  <c r="AJ114" i="59"/>
  <c r="AC114" i="59"/>
  <c r="AH114" i="59"/>
  <c r="G114" i="59" s="1"/>
  <c r="AE114" i="59"/>
  <c r="AI114" i="59"/>
  <c r="AK114" i="59"/>
  <c r="AD114" i="59"/>
  <c r="AB100" i="59"/>
  <c r="AJ100" i="59"/>
  <c r="AE100" i="59"/>
  <c r="AK100" i="59"/>
  <c r="AH100" i="59"/>
  <c r="G100" i="59" s="1"/>
  <c r="AI100" i="59"/>
  <c r="AC100" i="59"/>
  <c r="AD100" i="59"/>
  <c r="AB91" i="59"/>
  <c r="AJ91" i="59"/>
  <c r="AH91" i="59"/>
  <c r="G91" i="59" s="1"/>
  <c r="AC91" i="59"/>
  <c r="AK91" i="59"/>
  <c r="AD91" i="59"/>
  <c r="AE91" i="59"/>
  <c r="AI91" i="59"/>
  <c r="AH78" i="59"/>
  <c r="G78" i="59" s="1"/>
  <c r="AD78" i="59"/>
  <c r="AE78" i="59"/>
  <c r="AI78" i="59"/>
  <c r="AB78" i="59"/>
  <c r="C78" i="59" s="1"/>
  <c r="AJ78" i="59"/>
  <c r="AK78" i="59"/>
  <c r="AC78" i="59"/>
  <c r="AH67" i="59"/>
  <c r="G67" i="59" s="1"/>
  <c r="AD67" i="59"/>
  <c r="AK67" i="59"/>
  <c r="AE67" i="59"/>
  <c r="AC67" i="59"/>
  <c r="AI67" i="59"/>
  <c r="AJ67" i="59"/>
  <c r="AB67" i="59"/>
  <c r="D67" i="59" s="1"/>
  <c r="AH48" i="59"/>
  <c r="G48" i="59" s="1"/>
  <c r="AD48" i="59"/>
  <c r="AJ48" i="59"/>
  <c r="AB48" i="59"/>
  <c r="D48" i="59" s="1"/>
  <c r="AC48" i="59"/>
  <c r="AE48" i="59"/>
  <c r="AI48" i="59"/>
  <c r="AK48" i="59"/>
  <c r="AH58" i="59"/>
  <c r="G58" i="59" s="1"/>
  <c r="AD58" i="59"/>
  <c r="AE58" i="59"/>
  <c r="AK58" i="59"/>
  <c r="AC58" i="59"/>
  <c r="AB58" i="59"/>
  <c r="C58" i="59" s="1"/>
  <c r="AI58" i="59"/>
  <c r="AJ58" i="59"/>
  <c r="AH41" i="59"/>
  <c r="G41" i="59" s="1"/>
  <c r="AD41" i="59"/>
  <c r="AC41" i="59"/>
  <c r="AI41" i="59"/>
  <c r="AE41" i="59"/>
  <c r="AB41" i="59"/>
  <c r="AJ41" i="59"/>
  <c r="AK41" i="59"/>
  <c r="AH29" i="59"/>
  <c r="G29" i="59" s="1"/>
  <c r="AC29" i="59"/>
  <c r="AK29" i="59"/>
  <c r="AD29" i="59"/>
  <c r="AB29" i="59"/>
  <c r="AJ29" i="59"/>
  <c r="AE29" i="59"/>
  <c r="AI29" i="59"/>
  <c r="AE172" i="59"/>
  <c r="AI172" i="59"/>
  <c r="AD172" i="59"/>
  <c r="AH172" i="59"/>
  <c r="G172" i="59" s="1"/>
  <c r="AJ172" i="59"/>
  <c r="AK172" i="59"/>
  <c r="AB172" i="59"/>
  <c r="AC172" i="59"/>
  <c r="AB164" i="59"/>
  <c r="AJ164" i="59"/>
  <c r="AC164" i="59"/>
  <c r="AK164" i="59"/>
  <c r="AD164" i="59"/>
  <c r="AE164" i="59"/>
  <c r="AH164" i="59"/>
  <c r="G164" i="59" s="1"/>
  <c r="AI164" i="59"/>
  <c r="AB137" i="59"/>
  <c r="D137" i="59" s="1"/>
  <c r="AJ137" i="59"/>
  <c r="AC137" i="59"/>
  <c r="AK137" i="59"/>
  <c r="AD137" i="59"/>
  <c r="AE137" i="59"/>
  <c r="AH137" i="59"/>
  <c r="G137" i="59" s="1"/>
  <c r="AI137" i="59"/>
  <c r="AC142" i="59"/>
  <c r="AK142" i="59"/>
  <c r="AD142" i="59"/>
  <c r="AE142" i="59"/>
  <c r="AH142" i="59"/>
  <c r="G142" i="59" s="1"/>
  <c r="AI142" i="59"/>
  <c r="AJ142" i="59"/>
  <c r="AB142" i="59"/>
  <c r="AC147" i="59"/>
  <c r="AK147" i="59"/>
  <c r="AH147" i="59"/>
  <c r="G147" i="59" s="1"/>
  <c r="AI147" i="59"/>
  <c r="AJ147" i="59"/>
  <c r="AB147" i="59"/>
  <c r="AD147" i="59"/>
  <c r="AE147" i="59"/>
  <c r="AH119" i="59"/>
  <c r="G119" i="59" s="1"/>
  <c r="AC119" i="59"/>
  <c r="AK119" i="59"/>
  <c r="AI119" i="59"/>
  <c r="AJ119" i="59"/>
  <c r="AB119" i="59"/>
  <c r="AD119" i="59"/>
  <c r="AE119" i="59"/>
  <c r="AH106" i="59"/>
  <c r="G106" i="59" s="1"/>
  <c r="AC106" i="59"/>
  <c r="AK106" i="59"/>
  <c r="AD106" i="59"/>
  <c r="AI106" i="59"/>
  <c r="AJ106" i="59"/>
  <c r="AB106" i="59"/>
  <c r="AE106" i="59"/>
  <c r="AH96" i="59"/>
  <c r="G96" i="59" s="1"/>
  <c r="AC96" i="59"/>
  <c r="AK96" i="59"/>
  <c r="AB96" i="59"/>
  <c r="AD96" i="59"/>
  <c r="AE96" i="59"/>
  <c r="AI96" i="59"/>
  <c r="AJ96" i="59"/>
  <c r="AI84" i="59"/>
  <c r="AE84" i="59"/>
  <c r="AC84" i="59"/>
  <c r="AD84" i="59"/>
  <c r="AK84" i="59"/>
  <c r="AB84" i="59"/>
  <c r="C84" i="59" s="1"/>
  <c r="AH84" i="59"/>
  <c r="G84" i="59" s="1"/>
  <c r="AJ84" i="59"/>
  <c r="AI73" i="59"/>
  <c r="AE73" i="59"/>
  <c r="AJ73" i="59"/>
  <c r="AD73" i="59"/>
  <c r="AH73" i="59"/>
  <c r="G73" i="59" s="1"/>
  <c r="AK73" i="59"/>
  <c r="AB73" i="59"/>
  <c r="AC73" i="59"/>
  <c r="AI63" i="59"/>
  <c r="AE63" i="59"/>
  <c r="AH63" i="59"/>
  <c r="G63" i="59" s="1"/>
  <c r="AB63" i="59"/>
  <c r="AJ63" i="59"/>
  <c r="AC63" i="59"/>
  <c r="AD63" i="59"/>
  <c r="AK63" i="59"/>
  <c r="AH56" i="59"/>
  <c r="G56" i="59" s="1"/>
  <c r="AI56" i="59"/>
  <c r="AE56" i="59"/>
  <c r="AD56" i="59"/>
  <c r="AB56" i="59"/>
  <c r="AC56" i="59"/>
  <c r="AK56" i="59"/>
  <c r="AJ56" i="59"/>
  <c r="AH49" i="59"/>
  <c r="G49" i="59" s="1"/>
  <c r="AI49" i="59"/>
  <c r="AE49" i="59"/>
  <c r="AC49" i="59"/>
  <c r="AD49" i="59"/>
  <c r="AB49" i="59"/>
  <c r="AJ49" i="59"/>
  <c r="AK49" i="59"/>
  <c r="AH34" i="59"/>
  <c r="G34" i="59" s="1"/>
  <c r="AI34" i="59"/>
  <c r="AD34" i="59"/>
  <c r="AE34" i="59"/>
  <c r="AK34" i="59"/>
  <c r="AB34" i="59"/>
  <c r="AC34" i="59"/>
  <c r="AJ34" i="59"/>
  <c r="AH25" i="59"/>
  <c r="G25" i="59" s="1"/>
  <c r="AI25" i="59"/>
  <c r="AD25" i="59"/>
  <c r="AE25" i="59"/>
  <c r="AB25" i="59"/>
  <c r="AC25" i="59"/>
  <c r="AJ25" i="59"/>
  <c r="AK25" i="59"/>
  <c r="AB188" i="59"/>
  <c r="D188" i="59" s="1"/>
  <c r="AJ188" i="59"/>
  <c r="AK188" i="59"/>
  <c r="AC188" i="59"/>
  <c r="AD188" i="59"/>
  <c r="AE188" i="59"/>
  <c r="AH188" i="59"/>
  <c r="G188" i="59" s="1"/>
  <c r="AI188" i="59"/>
  <c r="AB179" i="59"/>
  <c r="AJ179" i="59"/>
  <c r="AC179" i="59"/>
  <c r="AD179" i="59"/>
  <c r="AE179" i="59"/>
  <c r="AH179" i="59"/>
  <c r="G179" i="59" s="1"/>
  <c r="AI179" i="59"/>
  <c r="AK179" i="59"/>
  <c r="AC168" i="59"/>
  <c r="AK168" i="59"/>
  <c r="AD168" i="59"/>
  <c r="AE168" i="59"/>
  <c r="AI168" i="59"/>
  <c r="AB168" i="59"/>
  <c r="C168" i="59" s="1"/>
  <c r="AJ168" i="59"/>
  <c r="AH168" i="59"/>
  <c r="G168" i="59" s="1"/>
  <c r="AC157" i="59"/>
  <c r="AK157" i="59"/>
  <c r="AD157" i="59"/>
  <c r="AE157" i="59"/>
  <c r="AH157" i="59"/>
  <c r="G157" i="59" s="1"/>
  <c r="AI157" i="59"/>
  <c r="AB157" i="59"/>
  <c r="AJ157" i="59"/>
  <c r="AD136" i="59"/>
  <c r="AB136" i="59"/>
  <c r="C136" i="59" s="1"/>
  <c r="AK136" i="59"/>
  <c r="AC136" i="59"/>
  <c r="AE136" i="59"/>
  <c r="AH136" i="59"/>
  <c r="G136" i="59" s="1"/>
  <c r="AI136" i="59"/>
  <c r="AJ136" i="59"/>
  <c r="AH141" i="59"/>
  <c r="G141" i="59" s="1"/>
  <c r="AD141" i="59"/>
  <c r="AE141" i="59"/>
  <c r="AI141" i="59"/>
  <c r="AJ141" i="59"/>
  <c r="AK141" i="59"/>
  <c r="AB141" i="59"/>
  <c r="AC141" i="59"/>
  <c r="AH146" i="59"/>
  <c r="G146" i="59" s="1"/>
  <c r="AD146" i="59"/>
  <c r="AI146" i="59"/>
  <c r="AJ146" i="59"/>
  <c r="AK146" i="59"/>
  <c r="AB146" i="59"/>
  <c r="AC146" i="59"/>
  <c r="AE146" i="59"/>
  <c r="AI113" i="59"/>
  <c r="AD113" i="59"/>
  <c r="AB113" i="59"/>
  <c r="AK113" i="59"/>
  <c r="AC113" i="59"/>
  <c r="AE113" i="59"/>
  <c r="AH113" i="59"/>
  <c r="G113" i="59" s="1"/>
  <c r="AJ113" i="59"/>
  <c r="AI107" i="59"/>
  <c r="AD107" i="59"/>
  <c r="AE107" i="59"/>
  <c r="AJ107" i="59"/>
  <c r="AB107" i="59"/>
  <c r="C107" i="59" s="1"/>
  <c r="AC107" i="59"/>
  <c r="AH107" i="59"/>
  <c r="G107" i="59" s="1"/>
  <c r="AK107" i="59"/>
  <c r="AI90" i="59"/>
  <c r="AD90" i="59"/>
  <c r="AB90" i="59"/>
  <c r="C90" i="59" s="1"/>
  <c r="AC90" i="59"/>
  <c r="AE90" i="59"/>
  <c r="AH90" i="59"/>
  <c r="G90" i="59" s="1"/>
  <c r="AJ90" i="59"/>
  <c r="AK90" i="59"/>
  <c r="AB83" i="59"/>
  <c r="AJ83" i="59"/>
  <c r="AD83" i="59"/>
  <c r="AH83" i="59"/>
  <c r="G83" i="59" s="1"/>
  <c r="AI83" i="59"/>
  <c r="AK83" i="59"/>
  <c r="AC83" i="59"/>
  <c r="AE83" i="59"/>
  <c r="AB72" i="59"/>
  <c r="AJ72" i="59"/>
  <c r="AK72" i="59"/>
  <c r="AD72" i="59"/>
  <c r="AC72" i="59"/>
  <c r="AE72" i="59"/>
  <c r="AH72" i="59"/>
  <c r="G72" i="59" s="1"/>
  <c r="AI72" i="59"/>
  <c r="AB54" i="59"/>
  <c r="C54" i="59" s="1"/>
  <c r="AJ54" i="59"/>
  <c r="AI54" i="59"/>
  <c r="AC54" i="59"/>
  <c r="AD54" i="59"/>
  <c r="AE54" i="59"/>
  <c r="AH54" i="59"/>
  <c r="G54" i="59" s="1"/>
  <c r="AK54" i="59"/>
  <c r="AH47" i="59"/>
  <c r="G47" i="59" s="1"/>
  <c r="AI47" i="59"/>
  <c r="AB47" i="59"/>
  <c r="C47" i="59" s="1"/>
  <c r="AJ47" i="59"/>
  <c r="AE47" i="59"/>
  <c r="AD47" i="59"/>
  <c r="AC47" i="59"/>
  <c r="AK47" i="59"/>
  <c r="AH40" i="59"/>
  <c r="G40" i="59" s="1"/>
  <c r="AI40" i="59"/>
  <c r="AB40" i="59"/>
  <c r="AJ40" i="59"/>
  <c r="AE40" i="59"/>
  <c r="AD40" i="59"/>
  <c r="AC40" i="59"/>
  <c r="AK40" i="59"/>
  <c r="AH31" i="59"/>
  <c r="G31" i="59" s="1"/>
  <c r="AI31" i="59"/>
  <c r="AB31" i="59"/>
  <c r="AJ31" i="59"/>
  <c r="AE31" i="59"/>
  <c r="AC31" i="59"/>
  <c r="AK31" i="59"/>
  <c r="AD31" i="59"/>
  <c r="AC228" i="59"/>
  <c r="AK228" i="59"/>
  <c r="AB228" i="59"/>
  <c r="C228" i="59" s="1"/>
  <c r="AD228" i="59"/>
  <c r="AE228" i="59"/>
  <c r="AH228" i="59"/>
  <c r="G228" i="59" s="1"/>
  <c r="AI228" i="59"/>
  <c r="AJ228" i="59"/>
  <c r="AC215" i="59"/>
  <c r="AK215" i="59"/>
  <c r="AD215" i="59"/>
  <c r="AE215" i="59"/>
  <c r="AH215" i="59"/>
  <c r="G215" i="59" s="1"/>
  <c r="AI215" i="59"/>
  <c r="AJ215" i="59"/>
  <c r="AB215" i="59"/>
  <c r="AC206" i="59"/>
  <c r="AK206" i="59"/>
  <c r="AH206" i="59"/>
  <c r="G206" i="59" s="1"/>
  <c r="AI206" i="59"/>
  <c r="AJ206" i="59"/>
  <c r="AB206" i="59"/>
  <c r="AD206" i="59"/>
  <c r="AE206" i="59"/>
  <c r="AC194" i="59"/>
  <c r="AK194" i="59"/>
  <c r="AI194" i="59"/>
  <c r="AJ194" i="59"/>
  <c r="AB194" i="59"/>
  <c r="AD194" i="59"/>
  <c r="AE194" i="59"/>
  <c r="AH194" i="59"/>
  <c r="G194" i="59" s="1"/>
  <c r="AC184" i="59"/>
  <c r="AK184" i="59"/>
  <c r="AB184" i="59"/>
  <c r="AD184" i="59"/>
  <c r="AE184" i="59"/>
  <c r="AH184" i="59"/>
  <c r="G184" i="59" s="1"/>
  <c r="AI184" i="59"/>
  <c r="AJ184" i="59"/>
  <c r="AC175" i="59"/>
  <c r="AK175" i="59"/>
  <c r="AD175" i="59"/>
  <c r="AE175" i="59"/>
  <c r="AH175" i="59"/>
  <c r="G175" i="59" s="1"/>
  <c r="AI175" i="59"/>
  <c r="AJ175" i="59"/>
  <c r="AB175" i="59"/>
  <c r="AD163" i="59"/>
  <c r="AE163" i="59"/>
  <c r="AH163" i="59"/>
  <c r="G163" i="59" s="1"/>
  <c r="AI163" i="59"/>
  <c r="AB163" i="59"/>
  <c r="C163" i="59" s="1"/>
  <c r="AJ163" i="59"/>
  <c r="AC163" i="59"/>
  <c r="AK163" i="59"/>
  <c r="AD153" i="59"/>
  <c r="AE153" i="59"/>
  <c r="AH153" i="59"/>
  <c r="G153" i="59" s="1"/>
  <c r="AI153" i="59"/>
  <c r="AB153" i="59"/>
  <c r="C153" i="59" s="1"/>
  <c r="AJ153" i="59"/>
  <c r="AC153" i="59"/>
  <c r="AK153" i="59"/>
  <c r="AI135" i="59"/>
  <c r="AE135" i="59"/>
  <c r="AC135" i="59"/>
  <c r="AD135" i="59"/>
  <c r="AH135" i="59"/>
  <c r="G135" i="59" s="1"/>
  <c r="AJ135" i="59"/>
  <c r="AK135" i="59"/>
  <c r="AB135" i="59"/>
  <c r="AI140" i="59"/>
  <c r="AE140" i="59"/>
  <c r="AH140" i="59"/>
  <c r="G140" i="59" s="1"/>
  <c r="AJ140" i="59"/>
  <c r="AK140" i="59"/>
  <c r="AB140" i="59"/>
  <c r="AC140" i="59"/>
  <c r="AD140" i="59"/>
  <c r="AB121" i="59"/>
  <c r="C121" i="59" s="1"/>
  <c r="AJ121" i="59"/>
  <c r="AE121" i="59"/>
  <c r="AK121" i="59"/>
  <c r="AC121" i="59"/>
  <c r="AD121" i="59"/>
  <c r="AH121" i="59"/>
  <c r="G121" i="59" s="1"/>
  <c r="AI121" i="59"/>
  <c r="AB112" i="59"/>
  <c r="D112" i="59" s="1"/>
  <c r="AJ112" i="59"/>
  <c r="AE112" i="59"/>
  <c r="AC112" i="59"/>
  <c r="AH112" i="59"/>
  <c r="G112" i="59" s="1"/>
  <c r="AD112" i="59"/>
  <c r="AI112" i="59"/>
  <c r="AK112" i="59"/>
  <c r="AB99" i="59"/>
  <c r="AJ99" i="59"/>
  <c r="AE99" i="59"/>
  <c r="AK99" i="59"/>
  <c r="AD99" i="59"/>
  <c r="AH99" i="59"/>
  <c r="G99" i="59" s="1"/>
  <c r="AI99" i="59"/>
  <c r="AC99" i="59"/>
  <c r="AC89" i="59"/>
  <c r="AJ89" i="59"/>
  <c r="AE89" i="59"/>
  <c r="AH89" i="59"/>
  <c r="G89" i="59" s="1"/>
  <c r="AB89" i="59"/>
  <c r="C89" i="59" s="1"/>
  <c r="AI89" i="59"/>
  <c r="AK89" i="59"/>
  <c r="AD89" i="59"/>
  <c r="AC77" i="59"/>
  <c r="AK77" i="59"/>
  <c r="AE77" i="59"/>
  <c r="AI77" i="59"/>
  <c r="AB77" i="59"/>
  <c r="AD77" i="59"/>
  <c r="AH77" i="59"/>
  <c r="G77" i="59" s="1"/>
  <c r="AJ77" i="59"/>
  <c r="AC66" i="59"/>
  <c r="AK66" i="59"/>
  <c r="AH66" i="59"/>
  <c r="G66" i="59" s="1"/>
  <c r="AB66" i="59"/>
  <c r="AI66" i="59"/>
  <c r="AD66" i="59"/>
  <c r="AE66" i="59"/>
  <c r="AJ66" i="59"/>
  <c r="AI62" i="59"/>
  <c r="AB62" i="59"/>
  <c r="D62" i="59" s="1"/>
  <c r="AC62" i="59"/>
  <c r="AK62" i="59"/>
  <c r="AH62" i="59"/>
  <c r="G62" i="59" s="1"/>
  <c r="AD62" i="59"/>
  <c r="AJ62" i="59"/>
  <c r="AE62" i="59"/>
  <c r="AI55" i="59"/>
  <c r="AB55" i="59"/>
  <c r="AJ55" i="59"/>
  <c r="AC55" i="59"/>
  <c r="AK55" i="59"/>
  <c r="AD55" i="59"/>
  <c r="AE55" i="59"/>
  <c r="AH55" i="59"/>
  <c r="G55" i="59" s="1"/>
  <c r="AI39" i="59"/>
  <c r="AB39" i="59"/>
  <c r="AJ39" i="59"/>
  <c r="AC39" i="59"/>
  <c r="AK39" i="59"/>
  <c r="AH39" i="59"/>
  <c r="G39" i="59" s="1"/>
  <c r="AE39" i="59"/>
  <c r="AD39" i="59"/>
  <c r="AI27" i="59"/>
  <c r="AB27" i="59"/>
  <c r="AJ27" i="59"/>
  <c r="AC27" i="59"/>
  <c r="AK27" i="59"/>
  <c r="AH27" i="59"/>
  <c r="G27" i="59" s="1"/>
  <c r="AD27" i="59"/>
  <c r="AE27" i="59"/>
  <c r="AB24" i="59"/>
  <c r="AJ24" i="59"/>
  <c r="AC24" i="59"/>
  <c r="AK24" i="59"/>
  <c r="AD24" i="59"/>
  <c r="AH24" i="59"/>
  <c r="G24" i="59" s="1"/>
  <c r="AE24" i="59"/>
  <c r="AI24" i="59"/>
  <c r="AH167" i="59"/>
  <c r="G167" i="59" s="1"/>
  <c r="AI167" i="59"/>
  <c r="AB167" i="59"/>
  <c r="AJ167" i="59"/>
  <c r="AC167" i="59"/>
  <c r="AK167" i="59"/>
  <c r="AD167" i="59"/>
  <c r="AE167" i="59"/>
  <c r="AH156" i="59"/>
  <c r="G156" i="59" s="1"/>
  <c r="AI156" i="59"/>
  <c r="AB156" i="59"/>
  <c r="AJ156" i="59"/>
  <c r="AC156" i="59"/>
  <c r="AK156" i="59"/>
  <c r="AD156" i="59"/>
  <c r="AE156" i="59"/>
  <c r="AC151" i="59"/>
  <c r="AK151" i="59"/>
  <c r="AB151" i="59"/>
  <c r="AD151" i="59"/>
  <c r="AE151" i="59"/>
  <c r="AH151" i="59"/>
  <c r="G151" i="59" s="1"/>
  <c r="AI151" i="59"/>
  <c r="AJ151" i="59"/>
  <c r="AC133" i="59"/>
  <c r="AK133" i="59"/>
  <c r="AE133" i="59"/>
  <c r="AH133" i="59"/>
  <c r="G133" i="59" s="1"/>
  <c r="AI133" i="59"/>
  <c r="AJ133" i="59"/>
  <c r="AB133" i="59"/>
  <c r="AD133" i="59"/>
  <c r="AD138" i="59"/>
  <c r="AJ138" i="59"/>
  <c r="AE138" i="59"/>
  <c r="AH138" i="59"/>
  <c r="G138" i="59" s="1"/>
  <c r="AI138" i="59"/>
  <c r="AK138" i="59"/>
  <c r="AB138" i="59"/>
  <c r="AC138" i="59"/>
  <c r="AD116" i="59"/>
  <c r="AB116" i="59"/>
  <c r="AH116" i="59"/>
  <c r="G116" i="59" s="1"/>
  <c r="AI116" i="59"/>
  <c r="AJ116" i="59"/>
  <c r="AK116" i="59"/>
  <c r="AC116" i="59"/>
  <c r="AE116" i="59"/>
  <c r="AD104" i="59"/>
  <c r="AE104" i="59"/>
  <c r="AJ104" i="59"/>
  <c r="AK104" i="59"/>
  <c r="AB104" i="59"/>
  <c r="AC104" i="59"/>
  <c r="AH104" i="59"/>
  <c r="G104" i="59" s="1"/>
  <c r="AI104" i="59"/>
  <c r="AD93" i="59"/>
  <c r="AH93" i="59"/>
  <c r="G93" i="59" s="1"/>
  <c r="AB93" i="59"/>
  <c r="AC93" i="59"/>
  <c r="AE93" i="59"/>
  <c r="AI93" i="59"/>
  <c r="AJ93" i="59"/>
  <c r="AK93" i="59"/>
  <c r="AE81" i="59"/>
  <c r="AI81" i="59"/>
  <c r="AD81" i="59"/>
  <c r="AH81" i="59"/>
  <c r="G81" i="59" s="1"/>
  <c r="AB81" i="59"/>
  <c r="C81" i="59" s="1"/>
  <c r="AC81" i="59"/>
  <c r="AJ81" i="59"/>
  <c r="AK81" i="59"/>
  <c r="AE70" i="59"/>
  <c r="AI70" i="59"/>
  <c r="AK70" i="59"/>
  <c r="AH70" i="59"/>
  <c r="G70" i="59" s="1"/>
  <c r="AB70" i="59"/>
  <c r="AC70" i="59"/>
  <c r="AD70" i="59"/>
  <c r="AJ70" i="59"/>
  <c r="AE51" i="59"/>
  <c r="AI51" i="59"/>
  <c r="AJ51" i="59"/>
  <c r="AC51" i="59"/>
  <c r="AK51" i="59"/>
  <c r="AD51" i="59"/>
  <c r="AH51" i="59"/>
  <c r="G51" i="59" s="1"/>
  <c r="AB51" i="59"/>
  <c r="AC61" i="59"/>
  <c r="AK61" i="59"/>
  <c r="AD61" i="59"/>
  <c r="AE61" i="59"/>
  <c r="AI61" i="59"/>
  <c r="AJ61" i="59"/>
  <c r="AB61" i="59"/>
  <c r="AH61" i="59"/>
  <c r="G61" i="59" s="1"/>
  <c r="AC38" i="59"/>
  <c r="AK38" i="59"/>
  <c r="AD38" i="59"/>
  <c r="AE38" i="59"/>
  <c r="AI38" i="59"/>
  <c r="AB38" i="59"/>
  <c r="AH38" i="59"/>
  <c r="G38" i="59" s="1"/>
  <c r="AJ38" i="59"/>
  <c r="AC30" i="59"/>
  <c r="AK30" i="59"/>
  <c r="AD30" i="59"/>
  <c r="AE30" i="59"/>
  <c r="AH30" i="59"/>
  <c r="G30" i="59" s="1"/>
  <c r="AI30" i="59"/>
  <c r="AB30" i="59"/>
  <c r="AJ30" i="59"/>
  <c r="AB927" i="59"/>
  <c r="AB903" i="59"/>
  <c r="AB944" i="59"/>
  <c r="AB845" i="59"/>
  <c r="AD658" i="59"/>
  <c r="AE154" i="59"/>
  <c r="AB987" i="59"/>
  <c r="AB964" i="59"/>
  <c r="AB672" i="59"/>
  <c r="AB79" i="59"/>
  <c r="AC469" i="59"/>
  <c r="AE991" i="59"/>
  <c r="AD970" i="59"/>
  <c r="AD946" i="59"/>
  <c r="AE576" i="59"/>
  <c r="AD515" i="59"/>
  <c r="AE440" i="59"/>
  <c r="AD367" i="59"/>
  <c r="AE339" i="59"/>
  <c r="AD208" i="59"/>
  <c r="AH994" i="59"/>
  <c r="AB357" i="59"/>
  <c r="AC861" i="59"/>
  <c r="AE834" i="59"/>
  <c r="AH6" i="59"/>
  <c r="G6" i="59" s="1"/>
  <c r="AD8" i="59"/>
  <c r="AC11" i="59"/>
  <c r="AB12" i="59"/>
  <c r="H12" i="59" s="1"/>
  <c r="AK12" i="59"/>
  <c r="AJ13" i="59"/>
  <c r="AI15" i="59"/>
  <c r="AH16" i="59"/>
  <c r="G16" i="59" s="1"/>
  <c r="AE19" i="59"/>
  <c r="AD20" i="59"/>
  <c r="AC21" i="59"/>
  <c r="AB22" i="59"/>
  <c r="D22" i="59" s="1"/>
  <c r="AK22" i="59"/>
  <c r="AY28" i="59"/>
  <c r="AY69" i="59"/>
  <c r="AY101" i="59"/>
  <c r="AY124" i="59"/>
  <c r="AY159" i="59"/>
  <c r="AY195" i="59"/>
  <c r="AY221" i="59"/>
  <c r="AY257" i="59"/>
  <c r="AY288" i="59"/>
  <c r="AY330" i="59"/>
  <c r="AY354" i="59"/>
  <c r="AY362" i="59"/>
  <c r="AY400" i="59"/>
  <c r="AY435" i="59"/>
  <c r="AY443" i="59"/>
  <c r="AY475" i="59"/>
  <c r="AY516" i="59"/>
  <c r="AY556" i="59"/>
  <c r="AY583" i="59"/>
  <c r="AY614" i="59"/>
  <c r="AI6" i="59"/>
  <c r="AJ6" i="59"/>
  <c r="AI7" i="59"/>
  <c r="AE11" i="59"/>
  <c r="AD12" i="59"/>
  <c r="AC13" i="59"/>
  <c r="AB15" i="59"/>
  <c r="D15" i="59" s="1"/>
  <c r="AK15" i="59"/>
  <c r="AJ16" i="59"/>
  <c r="AI17" i="59"/>
  <c r="AH19" i="59"/>
  <c r="G19" i="59" s="1"/>
  <c r="AE21" i="59"/>
  <c r="AD22" i="59"/>
  <c r="AY36" i="59"/>
  <c r="AY79" i="59"/>
  <c r="AY103" i="59"/>
  <c r="AY126" i="59"/>
  <c r="AY169" i="59"/>
  <c r="AY197" i="59"/>
  <c r="AY229" i="59"/>
  <c r="AY259" i="59"/>
  <c r="AY298" i="59"/>
  <c r="AY337" i="59"/>
  <c r="AY356" i="59"/>
  <c r="AY364" i="59"/>
  <c r="AY402" i="59"/>
  <c r="AY437" i="59"/>
  <c r="AY469" i="59"/>
  <c r="AY477" i="59"/>
  <c r="AY518" i="59"/>
  <c r="AY563" i="59"/>
  <c r="AY593" i="59"/>
  <c r="AY628" i="59"/>
  <c r="AY661" i="59"/>
  <c r="AY686" i="59"/>
  <c r="AY723" i="59"/>
  <c r="AC6" i="59"/>
  <c r="AB7" i="59"/>
  <c r="C7" i="59" s="1"/>
  <c r="AK7" i="59"/>
  <c r="AI8" i="59"/>
  <c r="AH11" i="59"/>
  <c r="G11" i="59" s="1"/>
  <c r="AE13" i="59"/>
  <c r="AD15" i="59"/>
  <c r="AC16" i="59"/>
  <c r="AB17" i="59"/>
  <c r="C17" i="59" s="1"/>
  <c r="AK17" i="59"/>
  <c r="AJ19" i="59"/>
  <c r="AI20" i="59"/>
  <c r="AH21" i="59"/>
  <c r="G21" i="59" s="1"/>
  <c r="AY10" i="59"/>
  <c r="AY44" i="59"/>
  <c r="AY87" i="59"/>
  <c r="AY111" i="59"/>
  <c r="AY128" i="59"/>
  <c r="AY177" i="59"/>
  <c r="AY208" i="59"/>
  <c r="AY236" i="59"/>
  <c r="AY273" i="59"/>
  <c r="AY311" i="59"/>
  <c r="AY358" i="59"/>
  <c r="AY366" i="59"/>
  <c r="AY404" i="59"/>
  <c r="AY439" i="59"/>
  <c r="AY471" i="59"/>
  <c r="AY479" i="59"/>
  <c r="AY520" i="59"/>
  <c r="AY565" i="59"/>
  <c r="AY601" i="59"/>
  <c r="AY634" i="59"/>
  <c r="AY667" i="59"/>
  <c r="AD6" i="59"/>
  <c r="AC7" i="59"/>
  <c r="AJ8" i="59"/>
  <c r="AI11" i="59"/>
  <c r="AH12" i="59"/>
  <c r="G12" i="59" s="1"/>
  <c r="AE15" i="59"/>
  <c r="AD16" i="59"/>
  <c r="AC17" i="59"/>
  <c r="AB19" i="59"/>
  <c r="C19" i="59" s="1"/>
  <c r="AK19" i="59"/>
  <c r="AJ20" i="59"/>
  <c r="AI21" i="59"/>
  <c r="AH22" i="59"/>
  <c r="G22" i="59" s="1"/>
  <c r="AY14" i="59"/>
  <c r="AY45" i="59"/>
  <c r="AY88" i="59"/>
  <c r="AY118" i="59"/>
  <c r="AY129" i="59"/>
  <c r="AY181" i="59"/>
  <c r="AY212" i="59"/>
  <c r="AY237" i="59"/>
  <c r="AY280" i="59"/>
  <c r="AY314" i="59"/>
  <c r="AE6" i="59"/>
  <c r="AD7" i="59"/>
  <c r="AB8" i="59"/>
  <c r="D8" i="59" s="1"/>
  <c r="AK8" i="59"/>
  <c r="AJ11" i="59"/>
  <c r="AI12" i="59"/>
  <c r="AH13" i="59"/>
  <c r="G13" i="59" s="1"/>
  <c r="AE16" i="59"/>
  <c r="AD17" i="59"/>
  <c r="AC19" i="59"/>
  <c r="AB20" i="59"/>
  <c r="C20" i="59" s="1"/>
  <c r="AK20" i="59"/>
  <c r="AJ21" i="59"/>
  <c r="AI22" i="59"/>
  <c r="AY18" i="59"/>
  <c r="AY64" i="59"/>
  <c r="AY95" i="59"/>
  <c r="AY122" i="59"/>
  <c r="AY154" i="59"/>
  <c r="AY187" i="59"/>
  <c r="AY213" i="59"/>
  <c r="AY248" i="59"/>
  <c r="AY283" i="59"/>
  <c r="AY319" i="59"/>
  <c r="AY345" i="59"/>
  <c r="AY360" i="59"/>
  <c r="AY394" i="59"/>
  <c r="AY433" i="59"/>
  <c r="AY441" i="59"/>
  <c r="AY473" i="59"/>
  <c r="AY514" i="59"/>
  <c r="AY546" i="59"/>
  <c r="AY575" i="59"/>
  <c r="AY606" i="59"/>
  <c r="AY642" i="59"/>
  <c r="AY673" i="59"/>
  <c r="AH7" i="59"/>
  <c r="G7" i="59" s="1"/>
  <c r="AK11" i="59"/>
  <c r="AC15" i="59"/>
  <c r="AH17" i="59"/>
  <c r="AB21" i="59"/>
  <c r="C21" i="59" s="1"/>
  <c r="AY35" i="59"/>
  <c r="AY123" i="59"/>
  <c r="AY204" i="59"/>
  <c r="AY297" i="59"/>
  <c r="AY357" i="59"/>
  <c r="AY403" i="59"/>
  <c r="AY470" i="59"/>
  <c r="AY519" i="59"/>
  <c r="AY598" i="59"/>
  <c r="AY658" i="59"/>
  <c r="AY699" i="59"/>
  <c r="AY736" i="59"/>
  <c r="AY768" i="59"/>
  <c r="AY790" i="59"/>
  <c r="AY813" i="59"/>
  <c r="AY849" i="59"/>
  <c r="AY876" i="59"/>
  <c r="AY904" i="59"/>
  <c r="AY915" i="59"/>
  <c r="AY928" i="59"/>
  <c r="AY939" i="59"/>
  <c r="AY945" i="59"/>
  <c r="AY956" i="59"/>
  <c r="AY966" i="59"/>
  <c r="AY978" i="59"/>
  <c r="AY988" i="59"/>
  <c r="AY996" i="59"/>
  <c r="AK23" i="59"/>
  <c r="AK68" i="59"/>
  <c r="AJ7" i="59"/>
  <c r="AC12" i="59"/>
  <c r="AH15" i="59"/>
  <c r="G15" i="59" s="1"/>
  <c r="AJ17" i="59"/>
  <c r="AD21" i="59"/>
  <c r="AY43" i="59"/>
  <c r="AY125" i="59"/>
  <c r="AY220" i="59"/>
  <c r="AY307" i="59"/>
  <c r="AY359" i="59"/>
  <c r="AY430" i="59"/>
  <c r="AY472" i="59"/>
  <c r="AY545" i="59"/>
  <c r="AY605" i="59"/>
  <c r="AY666" i="59"/>
  <c r="AY700" i="59"/>
  <c r="AY740" i="59"/>
  <c r="AY769" i="59"/>
  <c r="AY792" i="59"/>
  <c r="AY817" i="59"/>
  <c r="AY855" i="59"/>
  <c r="AY883" i="59"/>
  <c r="AY908" i="59"/>
  <c r="AY916" i="59"/>
  <c r="AY929" i="59"/>
  <c r="AY940" i="59"/>
  <c r="AY946" i="59"/>
  <c r="AC8" i="59"/>
  <c r="AE12" i="59"/>
  <c r="AJ15" i="59"/>
  <c r="AD19" i="59"/>
  <c r="AY68" i="59"/>
  <c r="AY127" i="59"/>
  <c r="AY222" i="59"/>
  <c r="AY324" i="59"/>
  <c r="AY361" i="59"/>
  <c r="AY434" i="59"/>
  <c r="AY474" i="59"/>
  <c r="AY553" i="59"/>
  <c r="AY613" i="59"/>
  <c r="AY672" i="59"/>
  <c r="AY713" i="59"/>
  <c r="AY743" i="59"/>
  <c r="AY770" i="59"/>
  <c r="AY793" i="59"/>
  <c r="AY821" i="59"/>
  <c r="AY856" i="59"/>
  <c r="AY887" i="59"/>
  <c r="AY909" i="59"/>
  <c r="AY918" i="59"/>
  <c r="AY930" i="59"/>
  <c r="AY933" i="59"/>
  <c r="AY947" i="59"/>
  <c r="AY957" i="59"/>
  <c r="AY969" i="59"/>
  <c r="AY981" i="59"/>
  <c r="AY990" i="59"/>
  <c r="AY998" i="59"/>
  <c r="AK35" i="59"/>
  <c r="AK76" i="59"/>
  <c r="AK102" i="59"/>
  <c r="AK125" i="59"/>
  <c r="AK166" i="59"/>
  <c r="AK196" i="59"/>
  <c r="AK222" i="59"/>
  <c r="AK258" i="59"/>
  <c r="AK297" i="59"/>
  <c r="AK333" i="59"/>
  <c r="AK355" i="59"/>
  <c r="AK363" i="59"/>
  <c r="AE8" i="59"/>
  <c r="AJ12" i="59"/>
  <c r="AB16" i="59"/>
  <c r="C16" i="59" s="1"/>
  <c r="AK21" i="59"/>
  <c r="AY76" i="59"/>
  <c r="AY158" i="59"/>
  <c r="AY233" i="59"/>
  <c r="AY333" i="59"/>
  <c r="AY363" i="59"/>
  <c r="AY436" i="59"/>
  <c r="AY476" i="59"/>
  <c r="AY560" i="59"/>
  <c r="AY615" i="59"/>
  <c r="AY680" i="59"/>
  <c r="AY715" i="59"/>
  <c r="AY748" i="59"/>
  <c r="AY780" i="59"/>
  <c r="AY797" i="59"/>
  <c r="AY825" i="59"/>
  <c r="AY861" i="59"/>
  <c r="AY891" i="59"/>
  <c r="AY910" i="59"/>
  <c r="AY920" i="59"/>
  <c r="AY931" i="59"/>
  <c r="AY941" i="59"/>
  <c r="AY948" i="59"/>
  <c r="AY958" i="59"/>
  <c r="AY970" i="59"/>
  <c r="AY982" i="59"/>
  <c r="AY991" i="59"/>
  <c r="AY5" i="59"/>
  <c r="AK36" i="59"/>
  <c r="AK79" i="59"/>
  <c r="AK103" i="59"/>
  <c r="AK126" i="59"/>
  <c r="AK169" i="59"/>
  <c r="AK197" i="59"/>
  <c r="AK229" i="59"/>
  <c r="AK259" i="59"/>
  <c r="AK298" i="59"/>
  <c r="AK337" i="59"/>
  <c r="AK356" i="59"/>
  <c r="AK364" i="59"/>
  <c r="AK402" i="59"/>
  <c r="AK437" i="59"/>
  <c r="AK469" i="59"/>
  <c r="AK477" i="59"/>
  <c r="AK518" i="59"/>
  <c r="AB6" i="59"/>
  <c r="C6" i="59" s="1"/>
  <c r="AH8" i="59"/>
  <c r="G8" i="59" s="1"/>
  <c r="AB13" i="59"/>
  <c r="D13" i="59" s="1"/>
  <c r="AI19" i="59"/>
  <c r="AC22" i="59"/>
  <c r="AY80" i="59"/>
  <c r="AY166" i="59"/>
  <c r="AY254" i="59"/>
  <c r="AY339" i="59"/>
  <c r="AY365" i="59"/>
  <c r="AY438" i="59"/>
  <c r="AY478" i="59"/>
  <c r="AY564" i="59"/>
  <c r="AY633" i="59"/>
  <c r="AY684" i="59"/>
  <c r="AY716" i="59"/>
  <c r="AY749" i="59"/>
  <c r="AY783" i="59"/>
  <c r="AY801" i="59"/>
  <c r="AY830" i="59"/>
  <c r="AY862" i="59"/>
  <c r="AY894" i="59"/>
  <c r="AY911" i="59"/>
  <c r="AY923" i="59"/>
  <c r="AY936" i="59"/>
  <c r="AY942" i="59"/>
  <c r="AY949" i="59"/>
  <c r="AY959" i="59"/>
  <c r="AY973" i="59"/>
  <c r="AY984" i="59"/>
  <c r="AY992" i="59"/>
  <c r="AK9" i="59"/>
  <c r="AK43" i="59"/>
  <c r="AK80" i="59"/>
  <c r="AK110" i="59"/>
  <c r="AK127" i="59"/>
  <c r="AK173" i="59"/>
  <c r="AK204" i="59"/>
  <c r="AK233" i="59"/>
  <c r="AK272" i="59"/>
  <c r="AK307" i="59"/>
  <c r="AK339" i="59"/>
  <c r="AK357" i="59"/>
  <c r="AK365" i="59"/>
  <c r="AK403" i="59"/>
  <c r="AK438" i="59"/>
  <c r="AK470" i="59"/>
  <c r="AK478" i="59"/>
  <c r="AK519" i="59"/>
  <c r="AK564" i="59"/>
  <c r="AK598" i="59"/>
  <c r="AK633" i="59"/>
  <c r="AK666" i="59"/>
  <c r="AK693" i="59"/>
  <c r="AK726" i="59"/>
  <c r="AK756" i="59"/>
  <c r="AK785" i="59"/>
  <c r="AK804" i="59"/>
  <c r="AK834" i="59"/>
  <c r="AK867" i="59"/>
  <c r="AK895" i="59"/>
  <c r="AK912" i="59"/>
  <c r="AK924" i="59"/>
  <c r="AK937" i="59"/>
  <c r="AK934" i="59"/>
  <c r="AK950" i="59"/>
  <c r="AK960" i="59"/>
  <c r="AK975" i="59"/>
  <c r="AK985" i="59"/>
  <c r="AK993" i="59"/>
  <c r="AJ9" i="59"/>
  <c r="AJ23" i="59"/>
  <c r="AJ43" i="59"/>
  <c r="AJ68" i="59"/>
  <c r="AB11" i="59"/>
  <c r="C11" i="59" s="1"/>
  <c r="AD13" i="59"/>
  <c r="AI16" i="59"/>
  <c r="AC20" i="59"/>
  <c r="AE22" i="59"/>
  <c r="AY98" i="59"/>
  <c r="AY173" i="59"/>
  <c r="AY258" i="59"/>
  <c r="AY343" i="59"/>
  <c r="AY367" i="59"/>
  <c r="AY440" i="59"/>
  <c r="AY513" i="59"/>
  <c r="AY572" i="59"/>
  <c r="AY639" i="59"/>
  <c r="AY685" i="59"/>
  <c r="AY726" i="59"/>
  <c r="AY756" i="59"/>
  <c r="AY785" i="59"/>
  <c r="AY804" i="59"/>
  <c r="AY834" i="59"/>
  <c r="AY867" i="59"/>
  <c r="AY895" i="59"/>
  <c r="AY912" i="59"/>
  <c r="AK6" i="59"/>
  <c r="AD11" i="59"/>
  <c r="AI13" i="59"/>
  <c r="AK16" i="59"/>
  <c r="AE20" i="59"/>
  <c r="AJ22" i="59"/>
  <c r="AY9" i="59"/>
  <c r="AY102" i="59"/>
  <c r="AY190" i="59"/>
  <c r="AY272" i="59"/>
  <c r="AY350" i="59"/>
  <c r="AY395" i="59"/>
  <c r="AY442" i="59"/>
  <c r="AY515" i="59"/>
  <c r="AY576" i="59"/>
  <c r="AY648" i="59"/>
  <c r="AY693" i="59"/>
  <c r="AY727" i="59"/>
  <c r="AY760" i="59"/>
  <c r="AY787" i="59"/>
  <c r="AY805" i="59"/>
  <c r="AY838" i="59"/>
  <c r="AY868" i="59"/>
  <c r="AY896" i="59"/>
  <c r="AY913" i="59"/>
  <c r="AY926" i="59"/>
  <c r="AY932" i="59"/>
  <c r="AY943" i="59"/>
  <c r="AY952" i="59"/>
  <c r="AY961" i="59"/>
  <c r="AY976" i="59"/>
  <c r="AY986" i="59"/>
  <c r="AY994" i="59"/>
  <c r="AK14" i="59"/>
  <c r="AK45" i="59"/>
  <c r="AK88" i="59"/>
  <c r="AK118" i="59"/>
  <c r="AK129" i="59"/>
  <c r="AK181" i="59"/>
  <c r="AK212" i="59"/>
  <c r="AK237" i="59"/>
  <c r="AK280" i="59"/>
  <c r="AK314" i="59"/>
  <c r="AK343" i="59"/>
  <c r="AK359" i="59"/>
  <c r="AK367" i="59"/>
  <c r="AK430" i="59"/>
  <c r="AK440" i="59"/>
  <c r="AK472" i="59"/>
  <c r="AK513" i="59"/>
  <c r="AK545" i="59"/>
  <c r="AK572" i="59"/>
  <c r="AK605" i="59"/>
  <c r="AK639" i="59"/>
  <c r="AK672" i="59"/>
  <c r="AK699" i="59"/>
  <c r="AK734" i="59"/>
  <c r="AK763" i="59"/>
  <c r="AH20" i="59"/>
  <c r="G20" i="59" s="1"/>
  <c r="AY355" i="59"/>
  <c r="AY763" i="59"/>
  <c r="AY927" i="59"/>
  <c r="AY960" i="59"/>
  <c r="AY989" i="59"/>
  <c r="AK64" i="59"/>
  <c r="AK123" i="59"/>
  <c r="AK190" i="59"/>
  <c r="AK254" i="59"/>
  <c r="AK324" i="59"/>
  <c r="AK361" i="59"/>
  <c r="AK433" i="59"/>
  <c r="AK444" i="59"/>
  <c r="AK515" i="59"/>
  <c r="AK563" i="59"/>
  <c r="AK606" i="59"/>
  <c r="AK649" i="59"/>
  <c r="AK686" i="59"/>
  <c r="AK736" i="59"/>
  <c r="AK770" i="59"/>
  <c r="AK797" i="59"/>
  <c r="AK830" i="59"/>
  <c r="AK868" i="59"/>
  <c r="AK903" i="59"/>
  <c r="AK915" i="59"/>
  <c r="AK929" i="59"/>
  <c r="AK933" i="59"/>
  <c r="AK948" i="59"/>
  <c r="AK959" i="59"/>
  <c r="AK976" i="59"/>
  <c r="AK987" i="59"/>
  <c r="AK996" i="59"/>
  <c r="AJ14" i="59"/>
  <c r="AI36" i="59"/>
  <c r="AJ64" i="59"/>
  <c r="AI80" i="59"/>
  <c r="AI98" i="59"/>
  <c r="AI110" i="59"/>
  <c r="AI123" i="59"/>
  <c r="AI127" i="59"/>
  <c r="AI158" i="59"/>
  <c r="AI173" i="59"/>
  <c r="AI190" i="59"/>
  <c r="AI204" i="59"/>
  <c r="AI220" i="59"/>
  <c r="AI233" i="59"/>
  <c r="AI254" i="59"/>
  <c r="AI272" i="59"/>
  <c r="AI287" i="59"/>
  <c r="AI307" i="59"/>
  <c r="AI324" i="59"/>
  <c r="AI339" i="59"/>
  <c r="AI350" i="59"/>
  <c r="AI357" i="59"/>
  <c r="AI361" i="59"/>
  <c r="AI365" i="59"/>
  <c r="AI395" i="59"/>
  <c r="AI403" i="59"/>
  <c r="AI434" i="59"/>
  <c r="AI438" i="59"/>
  <c r="AI442" i="59"/>
  <c r="AI470" i="59"/>
  <c r="AI474" i="59"/>
  <c r="AI478" i="59"/>
  <c r="AI515" i="59"/>
  <c r="AI519" i="59"/>
  <c r="AI553" i="59"/>
  <c r="AI564" i="59"/>
  <c r="AI576" i="59"/>
  <c r="AI598" i="59"/>
  <c r="AI613" i="59"/>
  <c r="AI633" i="59"/>
  <c r="AI648" i="59"/>
  <c r="AI666" i="59"/>
  <c r="AI680" i="59"/>
  <c r="AI693" i="59"/>
  <c r="AI713" i="59"/>
  <c r="AI726" i="59"/>
  <c r="AI740" i="59"/>
  <c r="AI756" i="59"/>
  <c r="AI769" i="59"/>
  <c r="AI785" i="59"/>
  <c r="AI792" i="59"/>
  <c r="AI804" i="59"/>
  <c r="AI817" i="59"/>
  <c r="AI834" i="59"/>
  <c r="AI855" i="59"/>
  <c r="AI867" i="59"/>
  <c r="AI883" i="59"/>
  <c r="AI895" i="59"/>
  <c r="AI908" i="59"/>
  <c r="AI912" i="59"/>
  <c r="AI916" i="59"/>
  <c r="AI924" i="59"/>
  <c r="AY401" i="59"/>
  <c r="AY789" i="59"/>
  <c r="AY937" i="59"/>
  <c r="AY964" i="59"/>
  <c r="AY993" i="59"/>
  <c r="AK69" i="59"/>
  <c r="AK124" i="59"/>
  <c r="AK195" i="59"/>
  <c r="AK257" i="59"/>
  <c r="AK330" i="59"/>
  <c r="AK362" i="59"/>
  <c r="AK434" i="59"/>
  <c r="AK471" i="59"/>
  <c r="AK516" i="59"/>
  <c r="AK565" i="59"/>
  <c r="AK613" i="59"/>
  <c r="AK658" i="59"/>
  <c r="AK694" i="59"/>
  <c r="AK740" i="59"/>
  <c r="AK780" i="59"/>
  <c r="AK801" i="59"/>
  <c r="AK838" i="59"/>
  <c r="AK873" i="59"/>
  <c r="AK904" i="59"/>
  <c r="AK916" i="59"/>
  <c r="AK930" i="59"/>
  <c r="AK941" i="59"/>
  <c r="AK949" i="59"/>
  <c r="AK961" i="59"/>
  <c r="AK977" i="59"/>
  <c r="AK988" i="59"/>
  <c r="AK997" i="59"/>
  <c r="AI18" i="59"/>
  <c r="AJ36" i="59"/>
  <c r="AI68" i="59"/>
  <c r="AJ80" i="59"/>
  <c r="AJ98" i="59"/>
  <c r="AJ110" i="59"/>
  <c r="AJ123" i="59"/>
  <c r="AJ127" i="59"/>
  <c r="AJ158" i="59"/>
  <c r="AJ173" i="59"/>
  <c r="AJ190" i="59"/>
  <c r="AJ204" i="59"/>
  <c r="AJ220" i="59"/>
  <c r="AJ233" i="59"/>
  <c r="AJ254" i="59"/>
  <c r="AJ272" i="59"/>
  <c r="AJ287" i="59"/>
  <c r="AJ307" i="59"/>
  <c r="AJ324" i="59"/>
  <c r="AJ339" i="59"/>
  <c r="AJ350" i="59"/>
  <c r="AJ357" i="59"/>
  <c r="AJ361" i="59"/>
  <c r="AJ365" i="59"/>
  <c r="AJ395" i="59"/>
  <c r="AJ403" i="59"/>
  <c r="AJ434" i="59"/>
  <c r="AJ438" i="59"/>
  <c r="AJ442" i="59"/>
  <c r="AJ470" i="59"/>
  <c r="AJ474" i="59"/>
  <c r="AJ478" i="59"/>
  <c r="AJ515" i="59"/>
  <c r="AJ519" i="59"/>
  <c r="AJ553" i="59"/>
  <c r="AY444" i="59"/>
  <c r="AY806" i="59"/>
  <c r="AY938" i="59"/>
  <c r="AY968" i="59"/>
  <c r="AY995" i="59"/>
  <c r="AY517" i="59"/>
  <c r="AY845" i="59"/>
  <c r="AY934" i="59"/>
  <c r="AY975" i="59"/>
  <c r="AY997" i="59"/>
  <c r="AK95" i="59"/>
  <c r="AK154" i="59"/>
  <c r="AK213" i="59"/>
  <c r="AK283" i="59"/>
  <c r="AK345" i="59"/>
  <c r="AK394" i="59"/>
  <c r="AK436" i="59"/>
  <c r="AK474" i="59"/>
  <c r="AK520" i="59"/>
  <c r="AK576" i="59"/>
  <c r="AK615" i="59"/>
  <c r="AK667" i="59"/>
  <c r="AK713" i="59"/>
  <c r="AK748" i="59"/>
  <c r="AK787" i="59"/>
  <c r="AK806" i="59"/>
  <c r="AK849" i="59"/>
  <c r="AK883" i="59"/>
  <c r="AK909" i="59"/>
  <c r="AK920" i="59"/>
  <c r="AK936" i="59"/>
  <c r="AK943" i="59"/>
  <c r="AK954" i="59"/>
  <c r="AK966" i="59"/>
  <c r="AK979" i="59"/>
  <c r="AK990" i="59"/>
  <c r="AK5" i="59"/>
  <c r="AI23" i="59"/>
  <c r="AI44" i="59"/>
  <c r="AJ69" i="59"/>
  <c r="AJ87" i="59"/>
  <c r="AJ101" i="59"/>
  <c r="AJ111" i="59"/>
  <c r="AJ124" i="59"/>
  <c r="AJ128" i="59"/>
  <c r="AJ159" i="59"/>
  <c r="AJ177" i="59"/>
  <c r="AJ195" i="59"/>
  <c r="AJ208" i="59"/>
  <c r="AJ221" i="59"/>
  <c r="AJ236" i="59"/>
  <c r="AJ257" i="59"/>
  <c r="AJ273" i="59"/>
  <c r="AJ288" i="59"/>
  <c r="AJ311" i="59"/>
  <c r="AJ330" i="59"/>
  <c r="AJ354" i="59"/>
  <c r="AJ358" i="59"/>
  <c r="AJ362" i="59"/>
  <c r="AJ366" i="59"/>
  <c r="AJ400" i="59"/>
  <c r="AJ404" i="59"/>
  <c r="AJ435" i="59"/>
  <c r="AJ439" i="59"/>
  <c r="AJ443" i="59"/>
  <c r="AJ471" i="59"/>
  <c r="AJ475" i="59"/>
  <c r="AJ479" i="59"/>
  <c r="AJ516" i="59"/>
  <c r="AJ520" i="59"/>
  <c r="AJ556" i="59"/>
  <c r="AJ565" i="59"/>
  <c r="AE7" i="59"/>
  <c r="AY23" i="59"/>
  <c r="AY584" i="59"/>
  <c r="AY873" i="59"/>
  <c r="AY944" i="59"/>
  <c r="AY977" i="59"/>
  <c r="AK10" i="59"/>
  <c r="AK98" i="59"/>
  <c r="AK158" i="59"/>
  <c r="AK220" i="59"/>
  <c r="AK287" i="59"/>
  <c r="AK350" i="59"/>
  <c r="AK395" i="59"/>
  <c r="AK439" i="59"/>
  <c r="AK475" i="59"/>
  <c r="AK546" i="59"/>
  <c r="AK583" i="59"/>
  <c r="AK628" i="59"/>
  <c r="AK673" i="59"/>
  <c r="AK715" i="59"/>
  <c r="AK749" i="59"/>
  <c r="AK789" i="59"/>
  <c r="AK813" i="59"/>
  <c r="AK855" i="59"/>
  <c r="AK887" i="59"/>
  <c r="AK910" i="59"/>
  <c r="AK923" i="59"/>
  <c r="AK932" i="59"/>
  <c r="AK944" i="59"/>
  <c r="AK956" i="59"/>
  <c r="AK968" i="59"/>
  <c r="AK981" i="59"/>
  <c r="AK991" i="59"/>
  <c r="AI9" i="59"/>
  <c r="AI28" i="59"/>
  <c r="AJ44" i="59"/>
  <c r="AI76" i="59"/>
  <c r="AI88" i="59"/>
  <c r="AI102" i="59"/>
  <c r="AI118" i="59"/>
  <c r="AI125" i="59"/>
  <c r="AI129" i="59"/>
  <c r="AI166" i="59"/>
  <c r="AI181" i="59"/>
  <c r="AI196" i="59"/>
  <c r="AI212" i="59"/>
  <c r="AI222" i="59"/>
  <c r="AI237" i="59"/>
  <c r="AI258" i="59"/>
  <c r="AI280" i="59"/>
  <c r="AI297" i="59"/>
  <c r="AI314" i="59"/>
  <c r="AI333" i="59"/>
  <c r="AI343" i="59"/>
  <c r="AI355" i="59"/>
  <c r="AI359" i="59"/>
  <c r="AI363" i="59"/>
  <c r="AI367" i="59"/>
  <c r="AI401" i="59"/>
  <c r="AI430" i="59"/>
  <c r="AI436" i="59"/>
  <c r="AI440" i="59"/>
  <c r="AI444" i="59"/>
  <c r="AI472" i="59"/>
  <c r="AI476" i="59"/>
  <c r="AI513" i="59"/>
  <c r="AI517" i="59"/>
  <c r="AI545" i="59"/>
  <c r="AI560" i="59"/>
  <c r="AI572" i="59"/>
  <c r="AI584" i="59"/>
  <c r="AI605" i="59"/>
  <c r="AI615" i="59"/>
  <c r="AI639" i="59"/>
  <c r="AI658" i="59"/>
  <c r="AI672" i="59"/>
  <c r="AI685" i="59"/>
  <c r="AI699" i="59"/>
  <c r="AI716" i="59"/>
  <c r="AY110" i="59"/>
  <c r="AY649" i="59"/>
  <c r="AY903" i="59"/>
  <c r="AY950" i="59"/>
  <c r="AY979" i="59"/>
  <c r="AK18" i="59"/>
  <c r="AK101" i="59"/>
  <c r="AK159" i="59"/>
  <c r="AK221" i="59"/>
  <c r="AK288" i="59"/>
  <c r="AK354" i="59"/>
  <c r="AK400" i="59"/>
  <c r="AK441" i="59"/>
  <c r="AK476" i="59"/>
  <c r="AK553" i="59"/>
  <c r="AK584" i="59"/>
  <c r="AK634" i="59"/>
  <c r="AK680" i="59"/>
  <c r="AK716" i="59"/>
  <c r="AK760" i="59"/>
  <c r="AK790" i="59"/>
  <c r="AK817" i="59"/>
  <c r="AK856" i="59"/>
  <c r="AK891" i="59"/>
  <c r="AK911" i="59"/>
  <c r="AK926" i="59"/>
  <c r="AK938" i="59"/>
  <c r="AK945" i="59"/>
  <c r="AK935" i="59"/>
  <c r="AK969" i="59"/>
  <c r="AK982" i="59"/>
  <c r="AK992" i="59"/>
  <c r="AI10" i="59"/>
  <c r="AJ28" i="59"/>
  <c r="AI45" i="59"/>
  <c r="AJ76" i="59"/>
  <c r="AJ88" i="59"/>
  <c r="AJ102" i="59"/>
  <c r="AJ118" i="59"/>
  <c r="AJ125" i="59"/>
  <c r="AJ129" i="59"/>
  <c r="AJ166" i="59"/>
  <c r="AJ181" i="59"/>
  <c r="AJ196" i="59"/>
  <c r="AJ212" i="59"/>
  <c r="AJ222" i="59"/>
  <c r="AJ237" i="59"/>
  <c r="AJ258" i="59"/>
  <c r="AJ280" i="59"/>
  <c r="AJ297" i="59"/>
  <c r="AJ314" i="59"/>
  <c r="AJ333" i="59"/>
  <c r="AJ343" i="59"/>
  <c r="AJ355" i="59"/>
  <c r="AJ359" i="59"/>
  <c r="AJ363" i="59"/>
  <c r="AJ367" i="59"/>
  <c r="AJ401" i="59"/>
  <c r="AJ430" i="59"/>
  <c r="AJ436" i="59"/>
  <c r="AJ440" i="59"/>
  <c r="AJ444" i="59"/>
  <c r="AJ472" i="59"/>
  <c r="AJ476" i="59"/>
  <c r="AJ513" i="59"/>
  <c r="AJ517" i="59"/>
  <c r="AJ545" i="59"/>
  <c r="AJ560" i="59"/>
  <c r="AJ572" i="59"/>
  <c r="AJ584" i="59"/>
  <c r="AJ605" i="59"/>
  <c r="AJ615" i="59"/>
  <c r="AJ639" i="59"/>
  <c r="AJ658" i="59"/>
  <c r="AJ672" i="59"/>
  <c r="AJ685" i="59"/>
  <c r="AJ699" i="59"/>
  <c r="AJ716" i="59"/>
  <c r="AJ734" i="59"/>
  <c r="AJ748" i="59"/>
  <c r="AJ763" i="59"/>
  <c r="AJ780" i="59"/>
  <c r="AJ789" i="59"/>
  <c r="AK13" i="59"/>
  <c r="AY196" i="59"/>
  <c r="AY694" i="59"/>
  <c r="AY914" i="59"/>
  <c r="AY954" i="59"/>
  <c r="AY985" i="59"/>
  <c r="AK28" i="59"/>
  <c r="AK111" i="59"/>
  <c r="AK177" i="59"/>
  <c r="AK236" i="59"/>
  <c r="AK311" i="59"/>
  <c r="AK358" i="59"/>
  <c r="AK401" i="59"/>
  <c r="AK442" i="59"/>
  <c r="AK479" i="59"/>
  <c r="AK556" i="59"/>
  <c r="AK593" i="59"/>
  <c r="AK642" i="59"/>
  <c r="AK684" i="59"/>
  <c r="AK723" i="59"/>
  <c r="AK768" i="59"/>
  <c r="AK792" i="59"/>
  <c r="AK821" i="59"/>
  <c r="AK861" i="59"/>
  <c r="AK894" i="59"/>
  <c r="AK913" i="59"/>
  <c r="AK927" i="59"/>
  <c r="AK939" i="59"/>
  <c r="AK946" i="59"/>
  <c r="AK957" i="59"/>
  <c r="AK970" i="59"/>
  <c r="AK984" i="59"/>
  <c r="AK994" i="59"/>
  <c r="AJ10" i="59"/>
  <c r="AI35" i="59"/>
  <c r="AJ45" i="59"/>
  <c r="AI79" i="59"/>
  <c r="AI95" i="59"/>
  <c r="AI103" i="59"/>
  <c r="AI122" i="59"/>
  <c r="AI126" i="59"/>
  <c r="AI154" i="59"/>
  <c r="AI169" i="59"/>
  <c r="AI187" i="59"/>
  <c r="AI197" i="59"/>
  <c r="AI213" i="59"/>
  <c r="AI229" i="59"/>
  <c r="AI248" i="59"/>
  <c r="AI259" i="59"/>
  <c r="AI283" i="59"/>
  <c r="AI298" i="59"/>
  <c r="AI319" i="59"/>
  <c r="AI337" i="59"/>
  <c r="AI345" i="59"/>
  <c r="AI356" i="59"/>
  <c r="AI360" i="59"/>
  <c r="AI364" i="59"/>
  <c r="AI394" i="59"/>
  <c r="AI402" i="59"/>
  <c r="AI433" i="59"/>
  <c r="AI437" i="59"/>
  <c r="AI441" i="59"/>
  <c r="AI469" i="59"/>
  <c r="AE17" i="59"/>
  <c r="AY287" i="59"/>
  <c r="AY734" i="59"/>
  <c r="AY924" i="59"/>
  <c r="AY935" i="59"/>
  <c r="AY987" i="59"/>
  <c r="AK44" i="59"/>
  <c r="AK122" i="59"/>
  <c r="AK187" i="59"/>
  <c r="AK248" i="59"/>
  <c r="AK319" i="59"/>
  <c r="AK360" i="59"/>
  <c r="AK404" i="59"/>
  <c r="AK443" i="59"/>
  <c r="AK514" i="59"/>
  <c r="AK560" i="59"/>
  <c r="AK601" i="59"/>
  <c r="AK648" i="59"/>
  <c r="AK685" i="59"/>
  <c r="AK727" i="59"/>
  <c r="AK769" i="59"/>
  <c r="AK793" i="59"/>
  <c r="AK825" i="59"/>
  <c r="AK273" i="59"/>
  <c r="AK661" i="59"/>
  <c r="AK896" i="59"/>
  <c r="AK947" i="59"/>
  <c r="AK995" i="59"/>
  <c r="AJ79" i="59"/>
  <c r="AJ126" i="59"/>
  <c r="AJ197" i="59"/>
  <c r="AJ259" i="59"/>
  <c r="AJ337" i="59"/>
  <c r="AJ364" i="59"/>
  <c r="AJ437" i="59"/>
  <c r="AI475" i="59"/>
  <c r="AJ518" i="59"/>
  <c r="AI565" i="59"/>
  <c r="AJ598" i="59"/>
  <c r="AI628" i="59"/>
  <c r="AI649" i="59"/>
  <c r="AJ673" i="59"/>
  <c r="AJ694" i="59"/>
  <c r="AJ726" i="59"/>
  <c r="AJ743" i="59"/>
  <c r="AI768" i="59"/>
  <c r="AJ785" i="59"/>
  <c r="AJ793" i="59"/>
  <c r="AI806" i="59"/>
  <c r="AJ825" i="59"/>
  <c r="AI849" i="59"/>
  <c r="AJ862" i="59"/>
  <c r="AJ883" i="59"/>
  <c r="AI896" i="59"/>
  <c r="AJ909" i="59"/>
  <c r="AI914" i="59"/>
  <c r="AJ920" i="59"/>
  <c r="AI928" i="59"/>
  <c r="AI936" i="59"/>
  <c r="AI939" i="59"/>
  <c r="AI942" i="59"/>
  <c r="AI945" i="59"/>
  <c r="AI949" i="59"/>
  <c r="AI956" i="59"/>
  <c r="AI959" i="59"/>
  <c r="AI966" i="59"/>
  <c r="AI973" i="59"/>
  <c r="AI978" i="59"/>
  <c r="AI984" i="59"/>
  <c r="AI988" i="59"/>
  <c r="AI992" i="59"/>
  <c r="AI996" i="59"/>
  <c r="AH9" i="59"/>
  <c r="AH43" i="59"/>
  <c r="AH80" i="59"/>
  <c r="AH110" i="59"/>
  <c r="AH127" i="59"/>
  <c r="AH173" i="59"/>
  <c r="AH204" i="59"/>
  <c r="AH233" i="59"/>
  <c r="AH272" i="59"/>
  <c r="AH307" i="59"/>
  <c r="AH339" i="59"/>
  <c r="AH357" i="59"/>
  <c r="AH365" i="59"/>
  <c r="AH403" i="59"/>
  <c r="AH438" i="59"/>
  <c r="AH470" i="59"/>
  <c r="AH478" i="59"/>
  <c r="AH519" i="59"/>
  <c r="AH564" i="59"/>
  <c r="AH598" i="59"/>
  <c r="AH633" i="59"/>
  <c r="AH666" i="59"/>
  <c r="AH693" i="59"/>
  <c r="AH726" i="59"/>
  <c r="AH756" i="59"/>
  <c r="AH785" i="59"/>
  <c r="AH804" i="59"/>
  <c r="AH834" i="59"/>
  <c r="AH867" i="59"/>
  <c r="AH895" i="59"/>
  <c r="AK700" i="59"/>
  <c r="AK908" i="59"/>
  <c r="AK952" i="59"/>
  <c r="AK998" i="59"/>
  <c r="AI87" i="59"/>
  <c r="AI128" i="59"/>
  <c r="AI208" i="59"/>
  <c r="AI273" i="59"/>
  <c r="AI366" i="59"/>
  <c r="AI439" i="59"/>
  <c r="AI477" i="59"/>
  <c r="AI520" i="59"/>
  <c r="AI575" i="59"/>
  <c r="AI601" i="59"/>
  <c r="AJ628" i="59"/>
  <c r="AJ649" i="59"/>
  <c r="AJ680" i="59"/>
  <c r="AI700" i="59"/>
  <c r="AI727" i="59"/>
  <c r="AI748" i="59"/>
  <c r="AJ768" i="59"/>
  <c r="AI787" i="59"/>
  <c r="AI797" i="59"/>
  <c r="AJ806" i="59"/>
  <c r="AI830" i="59"/>
  <c r="AJ849" i="59"/>
  <c r="AJ867" i="59"/>
  <c r="AI887" i="59"/>
  <c r="AJ896" i="59"/>
  <c r="AI910" i="59"/>
  <c r="AJ914" i="59"/>
  <c r="AI923" i="59"/>
  <c r="AJ928" i="59"/>
  <c r="AJ936" i="59"/>
  <c r="AJ939" i="59"/>
  <c r="AJ942" i="59"/>
  <c r="AJ945" i="59"/>
  <c r="AJ949" i="59"/>
  <c r="AJ956" i="59"/>
  <c r="AJ959" i="59"/>
  <c r="AJ966" i="59"/>
  <c r="AJ973" i="59"/>
  <c r="AJ978" i="59"/>
  <c r="AJ984" i="59"/>
  <c r="AJ988" i="59"/>
  <c r="AJ992" i="59"/>
  <c r="AJ996" i="59"/>
  <c r="AH10" i="59"/>
  <c r="AH44" i="59"/>
  <c r="AH87" i="59"/>
  <c r="AH111" i="59"/>
  <c r="AH128" i="59"/>
  <c r="AH177" i="59"/>
  <c r="AH208" i="59"/>
  <c r="AH236" i="59"/>
  <c r="AH273" i="59"/>
  <c r="AH311" i="59"/>
  <c r="AH358" i="59"/>
  <c r="AH366" i="59"/>
  <c r="AH404" i="59"/>
  <c r="AH439" i="59"/>
  <c r="AH471" i="59"/>
  <c r="AH479" i="59"/>
  <c r="AH520" i="59"/>
  <c r="AH565" i="59"/>
  <c r="AH601" i="59"/>
  <c r="AH634" i="59"/>
  <c r="AH667" i="59"/>
  <c r="AH694" i="59"/>
  <c r="AH727" i="59"/>
  <c r="AH760" i="59"/>
  <c r="AH787" i="59"/>
  <c r="AH805" i="59"/>
  <c r="AH838" i="59"/>
  <c r="AH868" i="59"/>
  <c r="AH896" i="59"/>
  <c r="AH913" i="59"/>
  <c r="AH926" i="59"/>
  <c r="AH932" i="59"/>
  <c r="AK366" i="59"/>
  <c r="AK743" i="59"/>
  <c r="AK914" i="59"/>
  <c r="AK958" i="59"/>
  <c r="AI14" i="59"/>
  <c r="AJ95" i="59"/>
  <c r="AJ154" i="59"/>
  <c r="AJ213" i="59"/>
  <c r="AJ283" i="59"/>
  <c r="AJ345" i="59"/>
  <c r="AJ394" i="59"/>
  <c r="AJ441" i="59"/>
  <c r="AJ477" i="59"/>
  <c r="AI546" i="59"/>
  <c r="AJ575" i="59"/>
  <c r="AJ601" i="59"/>
  <c r="AJ633" i="59"/>
  <c r="AI661" i="59"/>
  <c r="AI684" i="59"/>
  <c r="AJ700" i="59"/>
  <c r="AJ727" i="59"/>
  <c r="AI749" i="59"/>
  <c r="AJ769" i="59"/>
  <c r="AJ787" i="59"/>
  <c r="AJ797" i="59"/>
  <c r="AI813" i="59"/>
  <c r="AJ830" i="59"/>
  <c r="AJ855" i="59"/>
  <c r="AI868" i="59"/>
  <c r="AJ887" i="59"/>
  <c r="AI903" i="59"/>
  <c r="AK435" i="59"/>
  <c r="AK783" i="59"/>
  <c r="AK918" i="59"/>
  <c r="AK964" i="59"/>
  <c r="AJ18" i="59"/>
  <c r="AI101" i="59"/>
  <c r="AI159" i="59"/>
  <c r="AI221" i="59"/>
  <c r="AI288" i="59"/>
  <c r="AI354" i="59"/>
  <c r="AI400" i="59"/>
  <c r="AI443" i="59"/>
  <c r="AI479" i="59"/>
  <c r="AJ546" i="59"/>
  <c r="AJ576" i="59"/>
  <c r="AI606" i="59"/>
  <c r="AI634" i="59"/>
  <c r="AJ661" i="59"/>
  <c r="AJ684" i="59"/>
  <c r="AJ713" i="59"/>
  <c r="AI734" i="59"/>
  <c r="AJ749" i="59"/>
  <c r="AI770" i="59"/>
  <c r="AI789" i="59"/>
  <c r="AI801" i="59"/>
  <c r="AJ813" i="59"/>
  <c r="AJ834" i="59"/>
  <c r="AI856" i="59"/>
  <c r="AJ868" i="59"/>
  <c r="AI891" i="59"/>
  <c r="AJ903" i="59"/>
  <c r="AI911" i="59"/>
  <c r="AJ915" i="59"/>
  <c r="AJ924" i="59"/>
  <c r="AJ929" i="59"/>
  <c r="AJ937" i="59"/>
  <c r="AJ940" i="59"/>
  <c r="AJ934" i="59"/>
  <c r="AJ946" i="59"/>
  <c r="AJ950" i="59"/>
  <c r="AJ935" i="59"/>
  <c r="AJ960" i="59"/>
  <c r="AJ968" i="59"/>
  <c r="AJ975" i="59"/>
  <c r="AJ979" i="59"/>
  <c r="AJ985" i="59"/>
  <c r="AJ989" i="59"/>
  <c r="AJ993" i="59"/>
  <c r="AJ997" i="59"/>
  <c r="AH18" i="59"/>
  <c r="AH64" i="59"/>
  <c r="AH95" i="59"/>
  <c r="AH122" i="59"/>
  <c r="AH154" i="59"/>
  <c r="AH187" i="59"/>
  <c r="AH213" i="59"/>
  <c r="AH248" i="59"/>
  <c r="AH283" i="59"/>
  <c r="AH319" i="59"/>
  <c r="AH345" i="59"/>
  <c r="AH360" i="59"/>
  <c r="AH394" i="59"/>
  <c r="AH433" i="59"/>
  <c r="AH441" i="59"/>
  <c r="AH473" i="59"/>
  <c r="AH514" i="59"/>
  <c r="AH546" i="59"/>
  <c r="AH575" i="59"/>
  <c r="AH606" i="59"/>
  <c r="AH642" i="59"/>
  <c r="AH673" i="59"/>
  <c r="AH700" i="59"/>
  <c r="AH736" i="59"/>
  <c r="AH768" i="59"/>
  <c r="AH790" i="59"/>
  <c r="AH813" i="59"/>
  <c r="AH849" i="59"/>
  <c r="AH876" i="59"/>
  <c r="AH904" i="59"/>
  <c r="AH915" i="59"/>
  <c r="AH928" i="59"/>
  <c r="AH939" i="59"/>
  <c r="AH945" i="59"/>
  <c r="AH956" i="59"/>
  <c r="AH966" i="59"/>
  <c r="AK473" i="59"/>
  <c r="AK805" i="59"/>
  <c r="AK928" i="59"/>
  <c r="AK973" i="59"/>
  <c r="AJ35" i="59"/>
  <c r="AJ103" i="59"/>
  <c r="AJ169" i="59"/>
  <c r="AJ229" i="59"/>
  <c r="AJ298" i="59"/>
  <c r="AJ356" i="59"/>
  <c r="AJ402" i="59"/>
  <c r="AJ469" i="59"/>
  <c r="AI514" i="59"/>
  <c r="AI556" i="59"/>
  <c r="AI583" i="59"/>
  <c r="AJ606" i="59"/>
  <c r="AJ634" i="59"/>
  <c r="AJ666" i="59"/>
  <c r="AI686" i="59"/>
  <c r="AI715" i="59"/>
  <c r="AI736" i="59"/>
  <c r="AJ756" i="59"/>
  <c r="AJ770" i="59"/>
  <c r="AI790" i="59"/>
  <c r="AJ801" i="59"/>
  <c r="AJ817" i="59"/>
  <c r="AI838" i="59"/>
  <c r="AJ856" i="59"/>
  <c r="AI873" i="59"/>
  <c r="AJ891" i="59"/>
  <c r="AI904" i="59"/>
  <c r="AJ911" i="59"/>
  <c r="AJ916" i="59"/>
  <c r="AI926" i="59"/>
  <c r="AI930" i="59"/>
  <c r="AI932" i="59"/>
  <c r="AI933" i="59"/>
  <c r="AI943" i="59"/>
  <c r="AI947" i="59"/>
  <c r="AI952" i="59"/>
  <c r="AI957" i="59"/>
  <c r="AI961" i="59"/>
  <c r="AI969" i="59"/>
  <c r="AI976" i="59"/>
  <c r="AK87" i="59"/>
  <c r="AK517" i="59"/>
  <c r="AK845" i="59"/>
  <c r="AK931" i="59"/>
  <c r="AK978" i="59"/>
  <c r="AI43" i="59"/>
  <c r="AI111" i="59"/>
  <c r="AI177" i="59"/>
  <c r="AI236" i="59"/>
  <c r="AI311" i="59"/>
  <c r="AI358" i="59"/>
  <c r="AI404" i="59"/>
  <c r="AI471" i="59"/>
  <c r="AJ514" i="59"/>
  <c r="AI563" i="59"/>
  <c r="AJ583" i="59"/>
  <c r="AJ613" i="59"/>
  <c r="AI642" i="59"/>
  <c r="AI667" i="59"/>
  <c r="AJ686" i="59"/>
  <c r="AJ715" i="59"/>
  <c r="AJ736" i="59"/>
  <c r="AI760" i="59"/>
  <c r="AI780" i="59"/>
  <c r="AJ790" i="59"/>
  <c r="AJ804" i="59"/>
  <c r="AI821" i="59"/>
  <c r="AJ838" i="59"/>
  <c r="AI861" i="59"/>
  <c r="AJ873" i="59"/>
  <c r="AI894" i="59"/>
  <c r="AJ904" i="59"/>
  <c r="AJ912" i="59"/>
  <c r="AI918" i="59"/>
  <c r="AJ926" i="59"/>
  <c r="AJ930" i="59"/>
  <c r="AJ932" i="59"/>
  <c r="AJ933" i="59"/>
  <c r="AJ943" i="59"/>
  <c r="AJ947" i="59"/>
  <c r="AJ952" i="59"/>
  <c r="AJ957" i="59"/>
  <c r="AJ961" i="59"/>
  <c r="AJ969" i="59"/>
  <c r="AJ976" i="59"/>
  <c r="AJ981" i="59"/>
  <c r="AJ986" i="59"/>
  <c r="AJ990" i="59"/>
  <c r="AJ994" i="59"/>
  <c r="AJ998" i="59"/>
  <c r="AH28" i="59"/>
  <c r="AH69" i="59"/>
  <c r="AH101" i="59"/>
  <c r="AH124" i="59"/>
  <c r="AH159" i="59"/>
  <c r="AH195" i="59"/>
  <c r="AH221" i="59"/>
  <c r="AH257" i="59"/>
  <c r="AH288" i="59"/>
  <c r="AH330" i="59"/>
  <c r="AH354" i="59"/>
  <c r="AH362" i="59"/>
  <c r="AH400" i="59"/>
  <c r="AH435" i="59"/>
  <c r="AH443" i="59"/>
  <c r="AH475" i="59"/>
  <c r="AH516" i="59"/>
  <c r="AH556" i="59"/>
  <c r="AH583" i="59"/>
  <c r="AH614" i="59"/>
  <c r="AH649" i="59"/>
  <c r="AH684" i="59"/>
  <c r="AH715" i="59"/>
  <c r="AH743" i="59"/>
  <c r="AH770" i="59"/>
  <c r="AH793" i="59"/>
  <c r="AH821" i="59"/>
  <c r="AH856" i="59"/>
  <c r="AH887" i="59"/>
  <c r="AH909" i="59"/>
  <c r="AH918" i="59"/>
  <c r="AH930" i="59"/>
  <c r="AH933" i="59"/>
  <c r="AK128" i="59"/>
  <c r="AK575" i="59"/>
  <c r="AK862" i="59"/>
  <c r="AK940" i="59"/>
  <c r="AK986" i="59"/>
  <c r="AI64" i="59"/>
  <c r="AJ122" i="59"/>
  <c r="AJ187" i="59"/>
  <c r="AJ248" i="59"/>
  <c r="AJ319" i="59"/>
  <c r="AJ360" i="59"/>
  <c r="AJ433" i="59"/>
  <c r="AI473" i="59"/>
  <c r="AI516" i="59"/>
  <c r="AJ563" i="59"/>
  <c r="AI593" i="59"/>
  <c r="AI614" i="59"/>
  <c r="AJ642" i="59"/>
  <c r="AJ667" i="59"/>
  <c r="AJ693" i="59"/>
  <c r="AI723" i="59"/>
  <c r="AJ740" i="59"/>
  <c r="AJ760" i="59"/>
  <c r="AI783" i="59"/>
  <c r="AJ792" i="59"/>
  <c r="AI805" i="59"/>
  <c r="AJ821" i="59"/>
  <c r="AI845" i="59"/>
  <c r="AJ861" i="59"/>
  <c r="AI876" i="59"/>
  <c r="AJ894" i="59"/>
  <c r="AJ908" i="59"/>
  <c r="AI913" i="59"/>
  <c r="AJ918" i="59"/>
  <c r="AK208" i="59"/>
  <c r="AK614" i="59"/>
  <c r="AK876" i="59"/>
  <c r="AK942" i="59"/>
  <c r="AK989" i="59"/>
  <c r="AI69" i="59"/>
  <c r="AI124" i="59"/>
  <c r="AI195" i="59"/>
  <c r="AI257" i="59"/>
  <c r="AI330" i="59"/>
  <c r="AI362" i="59"/>
  <c r="AI435" i="59"/>
  <c r="AJ473" i="59"/>
  <c r="AI518" i="59"/>
  <c r="AJ564" i="59"/>
  <c r="AJ593" i="59"/>
  <c r="AJ614" i="59"/>
  <c r="AJ648" i="59"/>
  <c r="AI673" i="59"/>
  <c r="AI694" i="59"/>
  <c r="AJ723" i="59"/>
  <c r="AI743" i="59"/>
  <c r="AI763" i="59"/>
  <c r="AJ783" i="59"/>
  <c r="AI793" i="59"/>
  <c r="AJ805" i="59"/>
  <c r="AI825" i="59"/>
  <c r="AJ845" i="59"/>
  <c r="AI862" i="59"/>
  <c r="AJ876" i="59"/>
  <c r="AJ895" i="59"/>
  <c r="AI909" i="59"/>
  <c r="AJ913" i="59"/>
  <c r="AI920" i="59"/>
  <c r="AJ927" i="59"/>
  <c r="AJ931" i="59"/>
  <c r="AJ938" i="59"/>
  <c r="AJ941" i="59"/>
  <c r="AJ944" i="59"/>
  <c r="AJ948" i="59"/>
  <c r="AJ954" i="59"/>
  <c r="AJ958" i="59"/>
  <c r="AJ964" i="59"/>
  <c r="AJ970" i="59"/>
  <c r="AI927" i="59"/>
  <c r="AI944" i="59"/>
  <c r="AI964" i="59"/>
  <c r="AI982" i="59"/>
  <c r="AI991" i="59"/>
  <c r="AI929" i="59"/>
  <c r="AI946" i="59"/>
  <c r="AI968" i="59"/>
  <c r="AJ982" i="59"/>
  <c r="AJ991" i="59"/>
  <c r="AJ5" i="59"/>
  <c r="AH79" i="59"/>
  <c r="AH126" i="59"/>
  <c r="AH197" i="59"/>
  <c r="AH259" i="59"/>
  <c r="AH337" i="59"/>
  <c r="AH364" i="59"/>
  <c r="AH437" i="59"/>
  <c r="AH477" i="59"/>
  <c r="AH563" i="59"/>
  <c r="AH628" i="59"/>
  <c r="AH686" i="59"/>
  <c r="AH749" i="59"/>
  <c r="AH801" i="59"/>
  <c r="AH862" i="59"/>
  <c r="AH911" i="59"/>
  <c r="AH929" i="59"/>
  <c r="AH934" i="59"/>
  <c r="AH952" i="59"/>
  <c r="AH964" i="59"/>
  <c r="AH978" i="59"/>
  <c r="AH988" i="59"/>
  <c r="AH996" i="59"/>
  <c r="AE14" i="59"/>
  <c r="AE35" i="59"/>
  <c r="AE45" i="59"/>
  <c r="AE76" i="59"/>
  <c r="AE88" i="59"/>
  <c r="AE102" i="59"/>
  <c r="AE118" i="59"/>
  <c r="AE125" i="59"/>
  <c r="AE129" i="59"/>
  <c r="AE166" i="59"/>
  <c r="AE181" i="59"/>
  <c r="AE196" i="59"/>
  <c r="AE212" i="59"/>
  <c r="AE222" i="59"/>
  <c r="AE237" i="59"/>
  <c r="AE258" i="59"/>
  <c r="AE280" i="59"/>
  <c r="AE297" i="59"/>
  <c r="AI931" i="59"/>
  <c r="AI948" i="59"/>
  <c r="AI970" i="59"/>
  <c r="AI985" i="59"/>
  <c r="AI993" i="59"/>
  <c r="AH14" i="59"/>
  <c r="AH88" i="59"/>
  <c r="AH129" i="59"/>
  <c r="AH212" i="59"/>
  <c r="AH280" i="59"/>
  <c r="AH343" i="59"/>
  <c r="AH367" i="59"/>
  <c r="AH440" i="59"/>
  <c r="AH513" i="59"/>
  <c r="AH572" i="59"/>
  <c r="AH639" i="59"/>
  <c r="AH699" i="59"/>
  <c r="AH763" i="59"/>
  <c r="AH806" i="59"/>
  <c r="AH873" i="59"/>
  <c r="AH912" i="59"/>
  <c r="AH931" i="59"/>
  <c r="AH943" i="59"/>
  <c r="AH954" i="59"/>
  <c r="AH968" i="59"/>
  <c r="AH979" i="59"/>
  <c r="AH989" i="59"/>
  <c r="AH997" i="59"/>
  <c r="AI937" i="59"/>
  <c r="AI950" i="59"/>
  <c r="AI975" i="59"/>
  <c r="AI986" i="59"/>
  <c r="AI994" i="59"/>
  <c r="AH23" i="59"/>
  <c r="AH98" i="59"/>
  <c r="AH158" i="59"/>
  <c r="AH220" i="59"/>
  <c r="AH287" i="59"/>
  <c r="AH350" i="59"/>
  <c r="AH395" i="59"/>
  <c r="AH442" i="59"/>
  <c r="AH515" i="59"/>
  <c r="AH576" i="59"/>
  <c r="AH648" i="59"/>
  <c r="AH713" i="59"/>
  <c r="AH769" i="59"/>
  <c r="AH817" i="59"/>
  <c r="AH883" i="59"/>
  <c r="AH914" i="59"/>
  <c r="AH936" i="59"/>
  <c r="AH944" i="59"/>
  <c r="AH935" i="59"/>
  <c r="AH969" i="59"/>
  <c r="AH981" i="59"/>
  <c r="AH990" i="59"/>
  <c r="AH998" i="59"/>
  <c r="AI938" i="59"/>
  <c r="AI954" i="59"/>
  <c r="AI977" i="59"/>
  <c r="AI987" i="59"/>
  <c r="AI995" i="59"/>
  <c r="AH35" i="59"/>
  <c r="AH102" i="59"/>
  <c r="AH166" i="59"/>
  <c r="AH222" i="59"/>
  <c r="AH297" i="59"/>
  <c r="AH355" i="59"/>
  <c r="AH401" i="59"/>
  <c r="AH444" i="59"/>
  <c r="AH517" i="59"/>
  <c r="AH584" i="59"/>
  <c r="AH658" i="59"/>
  <c r="AH716" i="59"/>
  <c r="AH780" i="59"/>
  <c r="AH825" i="59"/>
  <c r="AH891" i="59"/>
  <c r="AH916" i="59"/>
  <c r="AH937" i="59"/>
  <c r="AH946" i="59"/>
  <c r="AH957" i="59"/>
  <c r="AH970" i="59"/>
  <c r="AH982" i="59"/>
  <c r="AH991" i="59"/>
  <c r="AH5" i="59"/>
  <c r="AD9" i="59"/>
  <c r="AD23" i="59"/>
  <c r="AD43" i="59"/>
  <c r="AD68" i="59"/>
  <c r="AD80" i="59"/>
  <c r="AD98" i="59"/>
  <c r="AD110" i="59"/>
  <c r="AD123" i="59"/>
  <c r="AD127" i="59"/>
  <c r="AD158" i="59"/>
  <c r="AD173" i="59"/>
  <c r="AD190" i="59"/>
  <c r="AD204" i="59"/>
  <c r="AD220" i="59"/>
  <c r="AD233" i="59"/>
  <c r="AD254" i="59"/>
  <c r="AD272" i="59"/>
  <c r="AD287" i="59"/>
  <c r="AD307" i="59"/>
  <c r="AD324" i="59"/>
  <c r="AD339" i="59"/>
  <c r="AI940" i="59"/>
  <c r="AI981" i="59"/>
  <c r="AH36" i="59"/>
  <c r="AH169" i="59"/>
  <c r="AH298" i="59"/>
  <c r="AH402" i="59"/>
  <c r="AH518" i="59"/>
  <c r="AH661" i="59"/>
  <c r="AH783" i="59"/>
  <c r="AH894" i="59"/>
  <c r="AH938" i="59"/>
  <c r="AH958" i="59"/>
  <c r="AH984" i="59"/>
  <c r="AD28" i="59"/>
  <c r="AD45" i="59"/>
  <c r="AE79" i="59"/>
  <c r="AD101" i="59"/>
  <c r="AD118" i="59"/>
  <c r="AE126" i="59"/>
  <c r="AD159" i="59"/>
  <c r="AD181" i="59"/>
  <c r="AE197" i="59"/>
  <c r="AD221" i="59"/>
  <c r="AD237" i="59"/>
  <c r="AE259" i="59"/>
  <c r="AI941" i="59"/>
  <c r="AJ987" i="59"/>
  <c r="AH45" i="59"/>
  <c r="AH181" i="59"/>
  <c r="AH314" i="59"/>
  <c r="AH430" i="59"/>
  <c r="AH545" i="59"/>
  <c r="AH672" i="59"/>
  <c r="AH789" i="59"/>
  <c r="AH903" i="59"/>
  <c r="AH940" i="59"/>
  <c r="AH959" i="59"/>
  <c r="AH985" i="59"/>
  <c r="AE9" i="59"/>
  <c r="AE28" i="59"/>
  <c r="AD64" i="59"/>
  <c r="AE80" i="59"/>
  <c r="AE101" i="59"/>
  <c r="AD122" i="59"/>
  <c r="AE127" i="59"/>
  <c r="AE159" i="59"/>
  <c r="AD187" i="59"/>
  <c r="AE204" i="59"/>
  <c r="AE221" i="59"/>
  <c r="AD248" i="59"/>
  <c r="AE272" i="59"/>
  <c r="AE288" i="59"/>
  <c r="AE314" i="59"/>
  <c r="AD337" i="59"/>
  <c r="AE345" i="59"/>
  <c r="AE356" i="59"/>
  <c r="AE360" i="59"/>
  <c r="AE364" i="59"/>
  <c r="AE394" i="59"/>
  <c r="AE402" i="59"/>
  <c r="AE433" i="59"/>
  <c r="AE437" i="59"/>
  <c r="AE441" i="59"/>
  <c r="AE469" i="59"/>
  <c r="AE473" i="59"/>
  <c r="AE477" i="59"/>
  <c r="AE514" i="59"/>
  <c r="AE518" i="59"/>
  <c r="AE546" i="59"/>
  <c r="AE563" i="59"/>
  <c r="AE575" i="59"/>
  <c r="AE593" i="59"/>
  <c r="AE606" i="59"/>
  <c r="AE628" i="59"/>
  <c r="AE642" i="59"/>
  <c r="AE661" i="59"/>
  <c r="AE673" i="59"/>
  <c r="AE686" i="59"/>
  <c r="AE700" i="59"/>
  <c r="AE723" i="59"/>
  <c r="AE736" i="59"/>
  <c r="AE749" i="59"/>
  <c r="AE768" i="59"/>
  <c r="AE783" i="59"/>
  <c r="AE790" i="59"/>
  <c r="AE801" i="59"/>
  <c r="AE813" i="59"/>
  <c r="AE830" i="59"/>
  <c r="AE849" i="59"/>
  <c r="AE862" i="59"/>
  <c r="AE876" i="59"/>
  <c r="AE894" i="59"/>
  <c r="AE904" i="59"/>
  <c r="AE911" i="59"/>
  <c r="AE915" i="59"/>
  <c r="AE923" i="59"/>
  <c r="AE928" i="59"/>
  <c r="AE936" i="59"/>
  <c r="AE939" i="59"/>
  <c r="AE942" i="59"/>
  <c r="AE945" i="59"/>
  <c r="AE949" i="59"/>
  <c r="AE956" i="59"/>
  <c r="AE959" i="59"/>
  <c r="AE966" i="59"/>
  <c r="AE973" i="59"/>
  <c r="AE978" i="59"/>
  <c r="AE984" i="59"/>
  <c r="AE988" i="59"/>
  <c r="AE992" i="59"/>
  <c r="AE996" i="59"/>
  <c r="AC10" i="59"/>
  <c r="AC44" i="59"/>
  <c r="AC87" i="59"/>
  <c r="AC111" i="59"/>
  <c r="AC128" i="59"/>
  <c r="AC177" i="59"/>
  <c r="AC208" i="59"/>
  <c r="AC236" i="59"/>
  <c r="AC273" i="59"/>
  <c r="AC311" i="59"/>
  <c r="AC358" i="59"/>
  <c r="AC366" i="59"/>
  <c r="AC404" i="59"/>
  <c r="AC439" i="59"/>
  <c r="AC471" i="59"/>
  <c r="AC479" i="59"/>
  <c r="AC520" i="59"/>
  <c r="AC565" i="59"/>
  <c r="AC601" i="59"/>
  <c r="AC634" i="59"/>
  <c r="AC667" i="59"/>
  <c r="AC694" i="59"/>
  <c r="AC727" i="59"/>
  <c r="AC760" i="59"/>
  <c r="AC787" i="59"/>
  <c r="AC805" i="59"/>
  <c r="AC838" i="59"/>
  <c r="AC868" i="59"/>
  <c r="AI934" i="59"/>
  <c r="AI989" i="59"/>
  <c r="AH68" i="59"/>
  <c r="AH190" i="59"/>
  <c r="AH324" i="59"/>
  <c r="AH434" i="59"/>
  <c r="AH553" i="59"/>
  <c r="AH680" i="59"/>
  <c r="AH792" i="59"/>
  <c r="AH908" i="59"/>
  <c r="AH941" i="59"/>
  <c r="AH960" i="59"/>
  <c r="AH986" i="59"/>
  <c r="AD10" i="59"/>
  <c r="AD35" i="59"/>
  <c r="AE64" i="59"/>
  <c r="AD87" i="59"/>
  <c r="AD102" i="59"/>
  <c r="AE122" i="59"/>
  <c r="AD128" i="59"/>
  <c r="AD166" i="59"/>
  <c r="AE187" i="59"/>
  <c r="AI935" i="59"/>
  <c r="AI990" i="59"/>
  <c r="AH76" i="59"/>
  <c r="AH196" i="59"/>
  <c r="AH333" i="59"/>
  <c r="AH436" i="59"/>
  <c r="AH560" i="59"/>
  <c r="AH685" i="59"/>
  <c r="AH797" i="59"/>
  <c r="AH910" i="59"/>
  <c r="AH942" i="59"/>
  <c r="AH961" i="59"/>
  <c r="AH987" i="59"/>
  <c r="AE10" i="59"/>
  <c r="AI958" i="59"/>
  <c r="AJ995" i="59"/>
  <c r="AH103" i="59"/>
  <c r="AH229" i="59"/>
  <c r="AH356" i="59"/>
  <c r="AH469" i="59"/>
  <c r="AH593" i="59"/>
  <c r="AH723" i="59"/>
  <c r="AH830" i="59"/>
  <c r="AH920" i="59"/>
  <c r="AH947" i="59"/>
  <c r="AH973" i="59"/>
  <c r="AH992" i="59"/>
  <c r="AD14" i="59"/>
  <c r="AE36" i="59"/>
  <c r="AD69" i="59"/>
  <c r="AD88" i="59"/>
  <c r="AE103" i="59"/>
  <c r="AD124" i="59"/>
  <c r="AD129" i="59"/>
  <c r="AE169" i="59"/>
  <c r="AD195" i="59"/>
  <c r="AD212" i="59"/>
  <c r="AE229" i="59"/>
  <c r="AD257" i="59"/>
  <c r="AD280" i="59"/>
  <c r="AE298" i="59"/>
  <c r="AE324" i="59"/>
  <c r="AD354" i="59"/>
  <c r="AD358" i="59"/>
  <c r="AD362" i="59"/>
  <c r="AD366" i="59"/>
  <c r="AD400" i="59"/>
  <c r="AD404" i="59"/>
  <c r="AD435" i="59"/>
  <c r="AD439" i="59"/>
  <c r="AD443" i="59"/>
  <c r="AD471" i="59"/>
  <c r="AD475" i="59"/>
  <c r="AD479" i="59"/>
  <c r="AD516" i="59"/>
  <c r="AD520" i="59"/>
  <c r="AD556" i="59"/>
  <c r="AD565" i="59"/>
  <c r="AD583" i="59"/>
  <c r="AD601" i="59"/>
  <c r="AD614" i="59"/>
  <c r="AD634" i="59"/>
  <c r="AD649" i="59"/>
  <c r="AD667" i="59"/>
  <c r="AD684" i="59"/>
  <c r="AD694" i="59"/>
  <c r="AD715" i="59"/>
  <c r="AD727" i="59"/>
  <c r="AD743" i="59"/>
  <c r="AD760" i="59"/>
  <c r="AD770" i="59"/>
  <c r="AD787" i="59"/>
  <c r="AD793" i="59"/>
  <c r="AD805" i="59"/>
  <c r="AD821" i="59"/>
  <c r="AD838" i="59"/>
  <c r="AD856" i="59"/>
  <c r="AD868" i="59"/>
  <c r="AD887" i="59"/>
  <c r="AD896" i="59"/>
  <c r="AD909" i="59"/>
  <c r="AD913" i="59"/>
  <c r="AD918" i="59"/>
  <c r="AD926" i="59"/>
  <c r="AD930" i="59"/>
  <c r="AD932" i="59"/>
  <c r="AD933" i="59"/>
  <c r="AD943" i="59"/>
  <c r="AD947" i="59"/>
  <c r="AD952" i="59"/>
  <c r="AD957" i="59"/>
  <c r="AD961" i="59"/>
  <c r="AD969" i="59"/>
  <c r="AD976" i="59"/>
  <c r="AD981" i="59"/>
  <c r="AD986" i="59"/>
  <c r="AD990" i="59"/>
  <c r="AD994" i="59"/>
  <c r="AD998" i="59"/>
  <c r="AC23" i="59"/>
  <c r="AC68" i="59"/>
  <c r="AC98" i="59"/>
  <c r="AC123" i="59"/>
  <c r="AC158" i="59"/>
  <c r="AC190" i="59"/>
  <c r="AC220" i="59"/>
  <c r="AC254" i="59"/>
  <c r="AC287" i="59"/>
  <c r="AC324" i="59"/>
  <c r="AC350" i="59"/>
  <c r="AC361" i="59"/>
  <c r="AC395" i="59"/>
  <c r="AC434" i="59"/>
  <c r="AC442" i="59"/>
  <c r="AC474" i="59"/>
  <c r="AC515" i="59"/>
  <c r="AC553" i="59"/>
  <c r="AC576" i="59"/>
  <c r="AC613" i="59"/>
  <c r="AC648" i="59"/>
  <c r="AC680" i="59"/>
  <c r="AC713" i="59"/>
  <c r="AC740" i="59"/>
  <c r="AC769" i="59"/>
  <c r="AC792" i="59"/>
  <c r="AC817" i="59"/>
  <c r="AC855" i="59"/>
  <c r="AC883" i="59"/>
  <c r="AC908" i="59"/>
  <c r="AC916" i="59"/>
  <c r="AC929" i="59"/>
  <c r="AC940" i="59"/>
  <c r="AC946" i="59"/>
  <c r="AC935" i="59"/>
  <c r="AC968" i="59"/>
  <c r="AC979" i="59"/>
  <c r="AC989" i="59"/>
  <c r="AC997" i="59"/>
  <c r="AB28" i="59"/>
  <c r="AB69" i="59"/>
  <c r="AB101" i="59"/>
  <c r="AB124" i="59"/>
  <c r="AB159" i="59"/>
  <c r="AB195" i="59"/>
  <c r="AB221" i="59"/>
  <c r="AB257" i="59"/>
  <c r="AB288" i="59"/>
  <c r="AB330" i="59"/>
  <c r="AB354" i="59"/>
  <c r="AB362" i="59"/>
  <c r="AB400" i="59"/>
  <c r="AB435" i="59"/>
  <c r="AB443" i="59"/>
  <c r="AB475" i="59"/>
  <c r="AB516" i="59"/>
  <c r="AB556" i="59"/>
  <c r="AB583" i="59"/>
  <c r="AB614" i="59"/>
  <c r="AB649" i="59"/>
  <c r="AJ910" i="59"/>
  <c r="AI960" i="59"/>
  <c r="AI997" i="59"/>
  <c r="AH118" i="59"/>
  <c r="AH237" i="59"/>
  <c r="AH359" i="59"/>
  <c r="AH472" i="59"/>
  <c r="AH605" i="59"/>
  <c r="AH734" i="59"/>
  <c r="AH845" i="59"/>
  <c r="AH923" i="59"/>
  <c r="AH948" i="59"/>
  <c r="AH975" i="59"/>
  <c r="AH993" i="59"/>
  <c r="AD18" i="59"/>
  <c r="AE43" i="59"/>
  <c r="AE69" i="59"/>
  <c r="AD95" i="59"/>
  <c r="AE110" i="59"/>
  <c r="AE124" i="59"/>
  <c r="AD154" i="59"/>
  <c r="AE173" i="59"/>
  <c r="AE195" i="59"/>
  <c r="AD213" i="59"/>
  <c r="AE233" i="59"/>
  <c r="AE257" i="59"/>
  <c r="AD283" i="59"/>
  <c r="AE307" i="59"/>
  <c r="AD330" i="59"/>
  <c r="AE354" i="59"/>
  <c r="AE358" i="59"/>
  <c r="AE362" i="59"/>
  <c r="AE366" i="59"/>
  <c r="AE400" i="59"/>
  <c r="AE404" i="59"/>
  <c r="AE435" i="59"/>
  <c r="AE439" i="59"/>
  <c r="AE443" i="59"/>
  <c r="AE471" i="59"/>
  <c r="AE475" i="59"/>
  <c r="AE479" i="59"/>
  <c r="AE516" i="59"/>
  <c r="AE520" i="59"/>
  <c r="AE556" i="59"/>
  <c r="AE565" i="59"/>
  <c r="AE583" i="59"/>
  <c r="AE601" i="59"/>
  <c r="AE614" i="59"/>
  <c r="AE634" i="59"/>
  <c r="AE649" i="59"/>
  <c r="AE667" i="59"/>
  <c r="AE684" i="59"/>
  <c r="AE694" i="59"/>
  <c r="AE715" i="59"/>
  <c r="AE727" i="59"/>
  <c r="AE743" i="59"/>
  <c r="AE760" i="59"/>
  <c r="AE770" i="59"/>
  <c r="AE787" i="59"/>
  <c r="AE793" i="59"/>
  <c r="AE805" i="59"/>
  <c r="AE821" i="59"/>
  <c r="AE838" i="59"/>
  <c r="AE856" i="59"/>
  <c r="AE868" i="59"/>
  <c r="AE887" i="59"/>
  <c r="AE896" i="59"/>
  <c r="AE909" i="59"/>
  <c r="AE913" i="59"/>
  <c r="AE918" i="59"/>
  <c r="AE926" i="59"/>
  <c r="AE930" i="59"/>
  <c r="AE932" i="59"/>
  <c r="AE933" i="59"/>
  <c r="AE943" i="59"/>
  <c r="AE947" i="59"/>
  <c r="AE952" i="59"/>
  <c r="AE957" i="59"/>
  <c r="AE961" i="59"/>
  <c r="AE969" i="59"/>
  <c r="AE976" i="59"/>
  <c r="AE981" i="59"/>
  <c r="AE986" i="59"/>
  <c r="AE990" i="59"/>
  <c r="AE994" i="59"/>
  <c r="AE998" i="59"/>
  <c r="AC28" i="59"/>
  <c r="AC69" i="59"/>
  <c r="AC101" i="59"/>
  <c r="AC124" i="59"/>
  <c r="AC159" i="59"/>
  <c r="AC195" i="59"/>
  <c r="AC221" i="59"/>
  <c r="AC257" i="59"/>
  <c r="AC288" i="59"/>
  <c r="AC330" i="59"/>
  <c r="AC354" i="59"/>
  <c r="AC362" i="59"/>
  <c r="AC400" i="59"/>
  <c r="AC435" i="59"/>
  <c r="AC443" i="59"/>
  <c r="AC475" i="59"/>
  <c r="AC516" i="59"/>
  <c r="AC556" i="59"/>
  <c r="AC583" i="59"/>
  <c r="AC614" i="59"/>
  <c r="AC649" i="59"/>
  <c r="AC684" i="59"/>
  <c r="AC715" i="59"/>
  <c r="AC743" i="59"/>
  <c r="AC770" i="59"/>
  <c r="AC793" i="59"/>
  <c r="AC821" i="59"/>
  <c r="AC856" i="59"/>
  <c r="AC887" i="59"/>
  <c r="AC909" i="59"/>
  <c r="AC918" i="59"/>
  <c r="AC930" i="59"/>
  <c r="AI915" i="59"/>
  <c r="AJ977" i="59"/>
  <c r="AI998" i="59"/>
  <c r="AH123" i="59"/>
  <c r="AH254" i="59"/>
  <c r="AJ923" i="59"/>
  <c r="AI979" i="59"/>
  <c r="AI5" i="59"/>
  <c r="AH125" i="59"/>
  <c r="AH258" i="59"/>
  <c r="AH363" i="59"/>
  <c r="AH476" i="59"/>
  <c r="AH615" i="59"/>
  <c r="AH748" i="59"/>
  <c r="AH861" i="59"/>
  <c r="AH927" i="59"/>
  <c r="AH950" i="59"/>
  <c r="AH977" i="59"/>
  <c r="AH995" i="59"/>
  <c r="AE23" i="59"/>
  <c r="AE44" i="59"/>
  <c r="AD79" i="59"/>
  <c r="AE98" i="59"/>
  <c r="AE111" i="59"/>
  <c r="AD126" i="59"/>
  <c r="AE158" i="59"/>
  <c r="AE177" i="59"/>
  <c r="AD197" i="59"/>
  <c r="AE220" i="59"/>
  <c r="AE236" i="59"/>
  <c r="AD259" i="59"/>
  <c r="AE287" i="59"/>
  <c r="AE311" i="59"/>
  <c r="AD333" i="59"/>
  <c r="AH740" i="59"/>
  <c r="AD44" i="59"/>
  <c r="AD125" i="59"/>
  <c r="AE208" i="59"/>
  <c r="AD273" i="59"/>
  <c r="AD319" i="59"/>
  <c r="AD345" i="59"/>
  <c r="AD359" i="59"/>
  <c r="AD365" i="59"/>
  <c r="AE401" i="59"/>
  <c r="AE434" i="59"/>
  <c r="AD441" i="59"/>
  <c r="AD472" i="59"/>
  <c r="AD478" i="59"/>
  <c r="AE517" i="59"/>
  <c r="AE553" i="59"/>
  <c r="AD575" i="59"/>
  <c r="AD605" i="59"/>
  <c r="AD633" i="59"/>
  <c r="AE658" i="59"/>
  <c r="AE680" i="59"/>
  <c r="AD700" i="59"/>
  <c r="AD734" i="59"/>
  <c r="AD756" i="59"/>
  <c r="AE780" i="59"/>
  <c r="AE792" i="59"/>
  <c r="AD813" i="59"/>
  <c r="AD845" i="59"/>
  <c r="AD867" i="59"/>
  <c r="AE891" i="59"/>
  <c r="AE908" i="59"/>
  <c r="AD915" i="59"/>
  <c r="AD927" i="59"/>
  <c r="AD937" i="59"/>
  <c r="AE941" i="59"/>
  <c r="AE946" i="59"/>
  <c r="AD956" i="59"/>
  <c r="AD964" i="59"/>
  <c r="AD975" i="59"/>
  <c r="AE982" i="59"/>
  <c r="AE989" i="59"/>
  <c r="AD996" i="59"/>
  <c r="AC35" i="59"/>
  <c r="AC88" i="59"/>
  <c r="AC126" i="59"/>
  <c r="AC187" i="59"/>
  <c r="AC233" i="59"/>
  <c r="AC297" i="59"/>
  <c r="AC343" i="59"/>
  <c r="AC364" i="59"/>
  <c r="AC433" i="59"/>
  <c r="AC470" i="59"/>
  <c r="AC517" i="59"/>
  <c r="AC572" i="59"/>
  <c r="AC628" i="59"/>
  <c r="AC673" i="59"/>
  <c r="AC726" i="59"/>
  <c r="AC780" i="59"/>
  <c r="AC806" i="59"/>
  <c r="AC862" i="59"/>
  <c r="AC903" i="59"/>
  <c r="AC920" i="59"/>
  <c r="AC937" i="59"/>
  <c r="AC943" i="59"/>
  <c r="AC954" i="59"/>
  <c r="AC966" i="59"/>
  <c r="AC981" i="59"/>
  <c r="AC991" i="59"/>
  <c r="AB9" i="59"/>
  <c r="AB44" i="59"/>
  <c r="AB88" i="59"/>
  <c r="AB122" i="59"/>
  <c r="AB158" i="59"/>
  <c r="AB196" i="59"/>
  <c r="AB229" i="59"/>
  <c r="AB272" i="59"/>
  <c r="AB311" i="59"/>
  <c r="AB343" i="59"/>
  <c r="AB360" i="59"/>
  <c r="AB395" i="59"/>
  <c r="AB436" i="59"/>
  <c r="AB469" i="59"/>
  <c r="AB478" i="59"/>
  <c r="AB520" i="59"/>
  <c r="AB572" i="59"/>
  <c r="AB606" i="59"/>
  <c r="AB648" i="59"/>
  <c r="AB684" i="59"/>
  <c r="AB715" i="59"/>
  <c r="AB743" i="59"/>
  <c r="AB770" i="59"/>
  <c r="AB793" i="59"/>
  <c r="AB821" i="59"/>
  <c r="AB856" i="59"/>
  <c r="AB887" i="59"/>
  <c r="AB909" i="59"/>
  <c r="AB918" i="59"/>
  <c r="AB930" i="59"/>
  <c r="AB933" i="59"/>
  <c r="AB947" i="59"/>
  <c r="AB957" i="59"/>
  <c r="AB969" i="59"/>
  <c r="AB981" i="59"/>
  <c r="AB990" i="59"/>
  <c r="AB998" i="59"/>
  <c r="AH855" i="59"/>
  <c r="AE68" i="59"/>
  <c r="AE128" i="59"/>
  <c r="AE213" i="59"/>
  <c r="AE273" i="59"/>
  <c r="AE319" i="59"/>
  <c r="AD350" i="59"/>
  <c r="AE359" i="59"/>
  <c r="AE365" i="59"/>
  <c r="AD402" i="59"/>
  <c r="AD436" i="59"/>
  <c r="AD442" i="59"/>
  <c r="AE472" i="59"/>
  <c r="AE478" i="59"/>
  <c r="AD518" i="59"/>
  <c r="AD560" i="59"/>
  <c r="AD576" i="59"/>
  <c r="AE605" i="59"/>
  <c r="AE633" i="59"/>
  <c r="AD661" i="59"/>
  <c r="AD685" i="59"/>
  <c r="AD713" i="59"/>
  <c r="AE734" i="59"/>
  <c r="AE756" i="59"/>
  <c r="AD783" i="59"/>
  <c r="AD797" i="59"/>
  <c r="AD817" i="59"/>
  <c r="AE845" i="59"/>
  <c r="AE867" i="59"/>
  <c r="AD894" i="59"/>
  <c r="AD910" i="59"/>
  <c r="AD916" i="59"/>
  <c r="AE927" i="59"/>
  <c r="AE937" i="59"/>
  <c r="AD942" i="59"/>
  <c r="AD948" i="59"/>
  <c r="AD935" i="59"/>
  <c r="AE964" i="59"/>
  <c r="AE975" i="59"/>
  <c r="AD984" i="59"/>
  <c r="AD991" i="59"/>
  <c r="AD997" i="59"/>
  <c r="AC36" i="59"/>
  <c r="AC95" i="59"/>
  <c r="AC127" i="59"/>
  <c r="AC196" i="59"/>
  <c r="AC237" i="59"/>
  <c r="AC298" i="59"/>
  <c r="AC345" i="59"/>
  <c r="AC365" i="59"/>
  <c r="AC436" i="59"/>
  <c r="AC472" i="59"/>
  <c r="AC518" i="59"/>
  <c r="AC575" i="59"/>
  <c r="AC633" i="59"/>
  <c r="AC685" i="59"/>
  <c r="AC734" i="59"/>
  <c r="AC783" i="59"/>
  <c r="AC813" i="59"/>
  <c r="AC867" i="59"/>
  <c r="AC904" i="59"/>
  <c r="AC923" i="59"/>
  <c r="AC932" i="59"/>
  <c r="AC944" i="59"/>
  <c r="AC956" i="59"/>
  <c r="AC969" i="59"/>
  <c r="AC982" i="59"/>
  <c r="AC992" i="59"/>
  <c r="AB10" i="59"/>
  <c r="AB45" i="59"/>
  <c r="AB95" i="59"/>
  <c r="AB123" i="59"/>
  <c r="AB166" i="59"/>
  <c r="AB197" i="59"/>
  <c r="AB233" i="59"/>
  <c r="AB273" i="59"/>
  <c r="AB314" i="59"/>
  <c r="AB345" i="59"/>
  <c r="AB361" i="59"/>
  <c r="AB401" i="59"/>
  <c r="AB437" i="59"/>
  <c r="AB470" i="59"/>
  <c r="AB479" i="59"/>
  <c r="AB545" i="59"/>
  <c r="AB575" i="59"/>
  <c r="AB613" i="59"/>
  <c r="AB658" i="59"/>
  <c r="AB685" i="59"/>
  <c r="AB716" i="59"/>
  <c r="AB748" i="59"/>
  <c r="AB780" i="59"/>
  <c r="AB797" i="59"/>
  <c r="AB825" i="59"/>
  <c r="AB861" i="59"/>
  <c r="AB891" i="59"/>
  <c r="AB910" i="59"/>
  <c r="AB920" i="59"/>
  <c r="AB931" i="59"/>
  <c r="AB941" i="59"/>
  <c r="AB948" i="59"/>
  <c r="AB958" i="59"/>
  <c r="AB970" i="59"/>
  <c r="AB982" i="59"/>
  <c r="AB991" i="59"/>
  <c r="AB5" i="59"/>
  <c r="AH924" i="59"/>
  <c r="AH949" i="59"/>
  <c r="AE87" i="59"/>
  <c r="AD169" i="59"/>
  <c r="AD229" i="59"/>
  <c r="AD288" i="59"/>
  <c r="AE333" i="59"/>
  <c r="AD355" i="59"/>
  <c r="AD361" i="59"/>
  <c r="AE367" i="59"/>
  <c r="AE403" i="59"/>
  <c r="AD437" i="59"/>
  <c r="AD444" i="59"/>
  <c r="AD474" i="59"/>
  <c r="AE513" i="59"/>
  <c r="AE519" i="59"/>
  <c r="AD563" i="59"/>
  <c r="AD584" i="59"/>
  <c r="AD613" i="59"/>
  <c r="AE639" i="59"/>
  <c r="AE666" i="59"/>
  <c r="AD686" i="59"/>
  <c r="AD716" i="59"/>
  <c r="AD740" i="59"/>
  <c r="AE763" i="59"/>
  <c r="AE785" i="59"/>
  <c r="AD801" i="59"/>
  <c r="AD825" i="59"/>
  <c r="AD855" i="59"/>
  <c r="AE873" i="59"/>
  <c r="AE895" i="59"/>
  <c r="AD911" i="59"/>
  <c r="AD920" i="59"/>
  <c r="AD929" i="59"/>
  <c r="AE938" i="59"/>
  <c r="AE934" i="59"/>
  <c r="AD949" i="59"/>
  <c r="AD958" i="59"/>
  <c r="AD968" i="59"/>
  <c r="AE977" i="59"/>
  <c r="AE985" i="59"/>
  <c r="AD992" i="59"/>
  <c r="AD5" i="59"/>
  <c r="AC45" i="59"/>
  <c r="AC103" i="59"/>
  <c r="AC154" i="59"/>
  <c r="AC204" i="59"/>
  <c r="AC258" i="59"/>
  <c r="AC314" i="59"/>
  <c r="AC356" i="59"/>
  <c r="AC394" i="59"/>
  <c r="AC438" i="59"/>
  <c r="AC476" i="59"/>
  <c r="AC545" i="59"/>
  <c r="AC593" i="59"/>
  <c r="AC642" i="59"/>
  <c r="AC693" i="59"/>
  <c r="AC748" i="59"/>
  <c r="AC789" i="59"/>
  <c r="AC830" i="59"/>
  <c r="AC876" i="59"/>
  <c r="AC911" i="59"/>
  <c r="AC926" i="59"/>
  <c r="AC939" i="59"/>
  <c r="AC947" i="59"/>
  <c r="AC958" i="59"/>
  <c r="AC973" i="59"/>
  <c r="AC985" i="59"/>
  <c r="AC994" i="59"/>
  <c r="AB18" i="59"/>
  <c r="AB68" i="59"/>
  <c r="AB102" i="59"/>
  <c r="AB126" i="59"/>
  <c r="AB173" i="59"/>
  <c r="AB208" i="59"/>
  <c r="AB237" i="59"/>
  <c r="AB283" i="59"/>
  <c r="AB324" i="59"/>
  <c r="AB355" i="59"/>
  <c r="AB364" i="59"/>
  <c r="AB403" i="59"/>
  <c r="AB439" i="59"/>
  <c r="AB472" i="59"/>
  <c r="AB514" i="59"/>
  <c r="AB553" i="59"/>
  <c r="AB584" i="59"/>
  <c r="AB628" i="59"/>
  <c r="AB666" i="59"/>
  <c r="AB693" i="59"/>
  <c r="AB726" i="59"/>
  <c r="AB756" i="59"/>
  <c r="AB785" i="59"/>
  <c r="AB804" i="59"/>
  <c r="AB834" i="59"/>
  <c r="AB867" i="59"/>
  <c r="AB895" i="59"/>
  <c r="AB912" i="59"/>
  <c r="AB924" i="59"/>
  <c r="AB937" i="59"/>
  <c r="AB934" i="59"/>
  <c r="AB950" i="59"/>
  <c r="AB960" i="59"/>
  <c r="AB975" i="59"/>
  <c r="AB985" i="59"/>
  <c r="AB993" i="59"/>
  <c r="AH976" i="59"/>
  <c r="AE95" i="59"/>
  <c r="AD177" i="59"/>
  <c r="AD236" i="59"/>
  <c r="AD297" i="59"/>
  <c r="AE337" i="59"/>
  <c r="AE355" i="59"/>
  <c r="AE361" i="59"/>
  <c r="AD394" i="59"/>
  <c r="AD430" i="59"/>
  <c r="AD438" i="59"/>
  <c r="AE444" i="59"/>
  <c r="AE474" i="59"/>
  <c r="AD514" i="59"/>
  <c r="AD545" i="59"/>
  <c r="AD564" i="59"/>
  <c r="AE584" i="59"/>
  <c r="AE613" i="59"/>
  <c r="AD642" i="59"/>
  <c r="AD672" i="59"/>
  <c r="AD693" i="59"/>
  <c r="AE716" i="59"/>
  <c r="AE740" i="59"/>
  <c r="AD768" i="59"/>
  <c r="AD789" i="59"/>
  <c r="AD804" i="59"/>
  <c r="AE825" i="59"/>
  <c r="AE855" i="59"/>
  <c r="AD876" i="59"/>
  <c r="AD903" i="59"/>
  <c r="AD912" i="59"/>
  <c r="AE920" i="59"/>
  <c r="AE929" i="59"/>
  <c r="AD939" i="59"/>
  <c r="AD944" i="59"/>
  <c r="AD950" i="59"/>
  <c r="AE958" i="59"/>
  <c r="AE968" i="59"/>
  <c r="AD978" i="59"/>
  <c r="AD987" i="59"/>
  <c r="AD993" i="59"/>
  <c r="AE5" i="59"/>
  <c r="AC64" i="59"/>
  <c r="AC110" i="59"/>
  <c r="AC166" i="59"/>
  <c r="AC212" i="59"/>
  <c r="AC259" i="59"/>
  <c r="AC319" i="59"/>
  <c r="AC357" i="59"/>
  <c r="AC401" i="59"/>
  <c r="AC440" i="59"/>
  <c r="AC477" i="59"/>
  <c r="AC546" i="59"/>
  <c r="AC598" i="59"/>
  <c r="AC658" i="59"/>
  <c r="AC699" i="59"/>
  <c r="AC749" i="59"/>
  <c r="AC790" i="59"/>
  <c r="AC834" i="59"/>
  <c r="AC891" i="59"/>
  <c r="AC912" i="59"/>
  <c r="AC927" i="59"/>
  <c r="AC933" i="59"/>
  <c r="AC948" i="59"/>
  <c r="AC959" i="59"/>
  <c r="AC975" i="59"/>
  <c r="AC986" i="59"/>
  <c r="AC995" i="59"/>
  <c r="AB23" i="59"/>
  <c r="AB76" i="59"/>
  <c r="AB103" i="59"/>
  <c r="AB127" i="59"/>
  <c r="AB177" i="59"/>
  <c r="AB212" i="59"/>
  <c r="AB248" i="59"/>
  <c r="AB287" i="59"/>
  <c r="AB333" i="59"/>
  <c r="AB356" i="59"/>
  <c r="AB365" i="59"/>
  <c r="AB404" i="59"/>
  <c r="AB440" i="59"/>
  <c r="AB473" i="59"/>
  <c r="AB515" i="59"/>
  <c r="AB560" i="59"/>
  <c r="AB593" i="59"/>
  <c r="AB633" i="59"/>
  <c r="AB667" i="59"/>
  <c r="AB694" i="59"/>
  <c r="AB727" i="59"/>
  <c r="AB760" i="59"/>
  <c r="AB787" i="59"/>
  <c r="AB805" i="59"/>
  <c r="AB838" i="59"/>
  <c r="AB868" i="59"/>
  <c r="AB896" i="59"/>
  <c r="AB913" i="59"/>
  <c r="AB926" i="59"/>
  <c r="AB932" i="59"/>
  <c r="AB943" i="59"/>
  <c r="AB952" i="59"/>
  <c r="AB961" i="59"/>
  <c r="AB976" i="59"/>
  <c r="AB986" i="59"/>
  <c r="AB994" i="59"/>
  <c r="AH474" i="59"/>
  <c r="AE18" i="59"/>
  <c r="AD111" i="59"/>
  <c r="AD196" i="59"/>
  <c r="AE254" i="59"/>
  <c r="AD311" i="59"/>
  <c r="AD343" i="59"/>
  <c r="AD357" i="59"/>
  <c r="AE363" i="59"/>
  <c r="AE395" i="59"/>
  <c r="AD433" i="59"/>
  <c r="AD440" i="59"/>
  <c r="AD470" i="59"/>
  <c r="AE476" i="59"/>
  <c r="AE515" i="59"/>
  <c r="AD546" i="59"/>
  <c r="AD572" i="59"/>
  <c r="AD598" i="59"/>
  <c r="AE615" i="59"/>
  <c r="AE648" i="59"/>
  <c r="AD673" i="59"/>
  <c r="AD699" i="59"/>
  <c r="AD726" i="59"/>
  <c r="AE748" i="59"/>
  <c r="AE769" i="59"/>
  <c r="AD790" i="59"/>
  <c r="AD806" i="59"/>
  <c r="AD834" i="59"/>
  <c r="AE861" i="59"/>
  <c r="AE883" i="59"/>
  <c r="AD904" i="59"/>
  <c r="AD914" i="59"/>
  <c r="AD924" i="59"/>
  <c r="AE931" i="59"/>
  <c r="AE940" i="59"/>
  <c r="AD945" i="59"/>
  <c r="AD954" i="59"/>
  <c r="AD960" i="59"/>
  <c r="AE970" i="59"/>
  <c r="AE979" i="59"/>
  <c r="AD988" i="59"/>
  <c r="AD995" i="59"/>
  <c r="AC14" i="59"/>
  <c r="AC79" i="59"/>
  <c r="AC122" i="59"/>
  <c r="AC173" i="59"/>
  <c r="AC222" i="59"/>
  <c r="AC280" i="59"/>
  <c r="AC337" i="59"/>
  <c r="AC360" i="59"/>
  <c r="AC403" i="59"/>
  <c r="AC444" i="59"/>
  <c r="AC513" i="59"/>
  <c r="AC563" i="59"/>
  <c r="AC606" i="59"/>
  <c r="AC666" i="59"/>
  <c r="AC716" i="59"/>
  <c r="AC763" i="59"/>
  <c r="AC801" i="59"/>
  <c r="AC849" i="59"/>
  <c r="AC895" i="59"/>
  <c r="AC914" i="59"/>
  <c r="AC931" i="59"/>
  <c r="AC942" i="59"/>
  <c r="AC950" i="59"/>
  <c r="AC961" i="59"/>
  <c r="AC977" i="59"/>
  <c r="AC988" i="59"/>
  <c r="AC998" i="59"/>
  <c r="AB36" i="59"/>
  <c r="AB80" i="59"/>
  <c r="AB111" i="59"/>
  <c r="AB129" i="59"/>
  <c r="AB187" i="59"/>
  <c r="AB220" i="59"/>
  <c r="AB258" i="59"/>
  <c r="AB298" i="59"/>
  <c r="AB339" i="59"/>
  <c r="AB358" i="59"/>
  <c r="AB367" i="59"/>
  <c r="AB433" i="59"/>
  <c r="AB442" i="59"/>
  <c r="AB984" i="59"/>
  <c r="AB959" i="59"/>
  <c r="AB942" i="59"/>
  <c r="AB923" i="59"/>
  <c r="AB894" i="59"/>
  <c r="AB830" i="59"/>
  <c r="AB783" i="59"/>
  <c r="AB723" i="59"/>
  <c r="AB661" i="59"/>
  <c r="AB576" i="59"/>
  <c r="AB513" i="59"/>
  <c r="AB434" i="59"/>
  <c r="AB350" i="59"/>
  <c r="AB254" i="59"/>
  <c r="AB154" i="59"/>
  <c r="AB64" i="59"/>
  <c r="AC987" i="59"/>
  <c r="AC952" i="59"/>
  <c r="AC924" i="59"/>
  <c r="AC845" i="59"/>
  <c r="AC723" i="59"/>
  <c r="AC584" i="59"/>
  <c r="AC441" i="59"/>
  <c r="AC339" i="59"/>
  <c r="AC197" i="59"/>
  <c r="AC76" i="59"/>
  <c r="AD989" i="59"/>
  <c r="AD966" i="59"/>
  <c r="AE944" i="59"/>
  <c r="AE924" i="59"/>
  <c r="AD895" i="59"/>
  <c r="AD830" i="59"/>
  <c r="AD780" i="59"/>
  <c r="AE713" i="59"/>
  <c r="AD648" i="59"/>
  <c r="AE572" i="59"/>
  <c r="AD513" i="59"/>
  <c r="AE438" i="59"/>
  <c r="AD364" i="59"/>
  <c r="AE330" i="59"/>
  <c r="AE190" i="59"/>
  <c r="AH613" i="59"/>
  <c r="AB438" i="59"/>
  <c r="AC928" i="59"/>
  <c r="AC80" i="59"/>
  <c r="AD785" i="59"/>
  <c r="AB979" i="59"/>
  <c r="AB883" i="59"/>
  <c r="AB430" i="59"/>
  <c r="AE564" i="59"/>
  <c r="AD477" i="59"/>
  <c r="AE436" i="59"/>
  <c r="AD363" i="59"/>
  <c r="AB517" i="59"/>
  <c r="AC957" i="59"/>
  <c r="AC213" i="59"/>
  <c r="AD723" i="59"/>
  <c r="AB997" i="59"/>
  <c r="AB935" i="59"/>
  <c r="AB817" i="59"/>
  <c r="AB642" i="59"/>
  <c r="AB43" i="59"/>
  <c r="AC915" i="59"/>
  <c r="AC564" i="59"/>
  <c r="AC181" i="59"/>
  <c r="AE960" i="59"/>
  <c r="AD769" i="59"/>
  <c r="AH361" i="59"/>
  <c r="AB996" i="59"/>
  <c r="AB978" i="59"/>
  <c r="AB956" i="59"/>
  <c r="AB939" i="59"/>
  <c r="AB915" i="59"/>
  <c r="AB876" i="59"/>
  <c r="AB813" i="59"/>
  <c r="AB768" i="59"/>
  <c r="AB700" i="59"/>
  <c r="AB639" i="59"/>
  <c r="AB564" i="59"/>
  <c r="AB476" i="59"/>
  <c r="AB402" i="59"/>
  <c r="AB337" i="59"/>
  <c r="AB222" i="59"/>
  <c r="AB125" i="59"/>
  <c r="AB35" i="59"/>
  <c r="AC978" i="59"/>
  <c r="AC945" i="59"/>
  <c r="AC913" i="59"/>
  <c r="AC804" i="59"/>
  <c r="AC686" i="59"/>
  <c r="AC560" i="59"/>
  <c r="AC430" i="59"/>
  <c r="AC307" i="59"/>
  <c r="AC169" i="59"/>
  <c r="AC18" i="59"/>
  <c r="AD985" i="59"/>
  <c r="AD959" i="59"/>
  <c r="AD941" i="59"/>
  <c r="AE916" i="59"/>
  <c r="AD883" i="59"/>
  <c r="AE806" i="59"/>
  <c r="AD763" i="59"/>
  <c r="AE693" i="59"/>
  <c r="AD628" i="59"/>
  <c r="AE560" i="59"/>
  <c r="AD476" i="59"/>
  <c r="AD434" i="59"/>
  <c r="AD360" i="59"/>
  <c r="AD298" i="59"/>
  <c r="AE123" i="59"/>
  <c r="AB734" i="59"/>
  <c r="AB169" i="59"/>
  <c r="AC605" i="59"/>
  <c r="AE903" i="59"/>
  <c r="AB916" i="59"/>
  <c r="AB713" i="59"/>
  <c r="AB477" i="59"/>
  <c r="AB128" i="59"/>
  <c r="AC984" i="59"/>
  <c r="AC700" i="59"/>
  <c r="AC333" i="59"/>
  <c r="AE987" i="59"/>
  <c r="AD923" i="59"/>
  <c r="AE817" i="59"/>
  <c r="AE699" i="59"/>
  <c r="AD314" i="59"/>
  <c r="AB995" i="59"/>
  <c r="AB977" i="59"/>
  <c r="AB954" i="59"/>
  <c r="AB938" i="59"/>
  <c r="AB914" i="59"/>
  <c r="AB873" i="59"/>
  <c r="AB806" i="59"/>
  <c r="AB763" i="59"/>
  <c r="AB699" i="59"/>
  <c r="AB634" i="59"/>
  <c r="AB563" i="59"/>
  <c r="AB474" i="59"/>
  <c r="AB394" i="59"/>
  <c r="AB319" i="59"/>
  <c r="AB213" i="59"/>
  <c r="AB118" i="59"/>
  <c r="AB14" i="59"/>
  <c r="AC976" i="59"/>
  <c r="AC934" i="59"/>
  <c r="AC910" i="59"/>
  <c r="AC797" i="59"/>
  <c r="AC672" i="59"/>
  <c r="AC519" i="59"/>
  <c r="AC402" i="59"/>
  <c r="AC283" i="59"/>
  <c r="AC129" i="59"/>
  <c r="AC9" i="59"/>
  <c r="AD982" i="59"/>
  <c r="AE935" i="59"/>
  <c r="AD940" i="59"/>
  <c r="AE914" i="59"/>
  <c r="AD873" i="59"/>
  <c r="AE804" i="59"/>
  <c r="AD749" i="59"/>
  <c r="AE685" i="59"/>
  <c r="AD615" i="59"/>
  <c r="AD553" i="59"/>
  <c r="AD473" i="59"/>
  <c r="AE430" i="59"/>
  <c r="AE357" i="59"/>
  <c r="AE283" i="59"/>
  <c r="AD103" i="59"/>
  <c r="AB789" i="59"/>
  <c r="AB259" i="59"/>
  <c r="AC736" i="59"/>
  <c r="AD928" i="59"/>
  <c r="AB940" i="59"/>
  <c r="AB769" i="59"/>
  <c r="AB565" i="59"/>
  <c r="AB236" i="59"/>
  <c r="AC949" i="59"/>
  <c r="AC825" i="59"/>
  <c r="AC437" i="59"/>
  <c r="AC43" i="59"/>
  <c r="AD934" i="59"/>
  <c r="AD891" i="59"/>
  <c r="AD639" i="59"/>
  <c r="AB992" i="59"/>
  <c r="AB973" i="59"/>
  <c r="AB949" i="59"/>
  <c r="AB936" i="59"/>
  <c r="AB911" i="59"/>
  <c r="AB862" i="59"/>
  <c r="AB801" i="59"/>
  <c r="AB749" i="59"/>
  <c r="AB686" i="59"/>
  <c r="AB615" i="59"/>
  <c r="AB546" i="59"/>
  <c r="AB471" i="59"/>
  <c r="AB366" i="59"/>
  <c r="AB307" i="59"/>
  <c r="AB204" i="59"/>
  <c r="AB110" i="59"/>
  <c r="AC5" i="59"/>
  <c r="AC970" i="59"/>
  <c r="AC941" i="59"/>
  <c r="AC896" i="59"/>
  <c r="AC785" i="59"/>
  <c r="AC661" i="59"/>
  <c r="AC514" i="59"/>
  <c r="AC367" i="59"/>
  <c r="AC272" i="59"/>
  <c r="AC125" i="59"/>
  <c r="AE997" i="59"/>
  <c r="AD979" i="59"/>
  <c r="AE954" i="59"/>
  <c r="AD938" i="59"/>
  <c r="AE912" i="59"/>
  <c r="AD862" i="59"/>
  <c r="AE797" i="59"/>
  <c r="AD748" i="59"/>
  <c r="AD680" i="59"/>
  <c r="AD606" i="59"/>
  <c r="AE545" i="59"/>
  <c r="AE470" i="59"/>
  <c r="AD403" i="59"/>
  <c r="AD356" i="59"/>
  <c r="AD258" i="59"/>
  <c r="AD76" i="59"/>
  <c r="AB989" i="59"/>
  <c r="AB968" i="59"/>
  <c r="AB946" i="59"/>
  <c r="AB929" i="59"/>
  <c r="AB908" i="59"/>
  <c r="AB855" i="59"/>
  <c r="AB792" i="59"/>
  <c r="AB740" i="59"/>
  <c r="AB680" i="59"/>
  <c r="AB605" i="59"/>
  <c r="AB519" i="59"/>
  <c r="AB444" i="59"/>
  <c r="AB363" i="59"/>
  <c r="AB297" i="59"/>
  <c r="AB190" i="59"/>
  <c r="AB98" i="59"/>
  <c r="AC996" i="59"/>
  <c r="AC964" i="59"/>
  <c r="AC938" i="59"/>
  <c r="AC894" i="59"/>
  <c r="AC768" i="59"/>
  <c r="AC639" i="59"/>
  <c r="AC478" i="59"/>
  <c r="AC363" i="59"/>
  <c r="AC248" i="59"/>
  <c r="AC118" i="59"/>
  <c r="AE995" i="59"/>
  <c r="AD977" i="59"/>
  <c r="AE950" i="59"/>
  <c r="AD936" i="59"/>
  <c r="AE910" i="59"/>
  <c r="AD861" i="59"/>
  <c r="AD792" i="59"/>
  <c r="AD736" i="59"/>
  <c r="AE672" i="59"/>
  <c r="AE598" i="59"/>
  <c r="AD519" i="59"/>
  <c r="AD469" i="59"/>
  <c r="AD401" i="59"/>
  <c r="AE350" i="59"/>
  <c r="AE248" i="59"/>
  <c r="AD36" i="59"/>
  <c r="AB598" i="59"/>
  <c r="AC990" i="59"/>
  <c r="AC355" i="59"/>
  <c r="AB988" i="59"/>
  <c r="AB966" i="59"/>
  <c r="AB945" i="59"/>
  <c r="AB928" i="59"/>
  <c r="AB904" i="59"/>
  <c r="AB849" i="59"/>
  <c r="AB790" i="59"/>
  <c r="AB736" i="59"/>
  <c r="AB673" i="59"/>
  <c r="AB601" i="59"/>
  <c r="AB518" i="59"/>
  <c r="AB441" i="59"/>
  <c r="AB359" i="59"/>
  <c r="AB280" i="59"/>
  <c r="AB181" i="59"/>
  <c r="AB87" i="59"/>
  <c r="AC993" i="59"/>
  <c r="AC960" i="59"/>
  <c r="AC936" i="59"/>
  <c r="AC873" i="59"/>
  <c r="AC756" i="59"/>
  <c r="AC615" i="59"/>
  <c r="AC473" i="59"/>
  <c r="AC359" i="59"/>
  <c r="AC229" i="59"/>
  <c r="AC102" i="59"/>
  <c r="AE993" i="59"/>
  <c r="AD973" i="59"/>
  <c r="AE948" i="59"/>
  <c r="AD931" i="59"/>
  <c r="AD908" i="59"/>
  <c r="AD849" i="59"/>
  <c r="AE789" i="59"/>
  <c r="AE726" i="59"/>
  <c r="AD666" i="59"/>
  <c r="AD593" i="59"/>
  <c r="AD517" i="59"/>
  <c r="AE442" i="59"/>
  <c r="AD395" i="59"/>
  <c r="AE343" i="59"/>
  <c r="AD222" i="59"/>
  <c r="J52" i="27"/>
  <c r="AU964" i="59" l="1"/>
  <c r="J685" i="59"/>
  <c r="J576" i="59"/>
  <c r="C30" i="59"/>
  <c r="D30" i="59"/>
  <c r="E30" i="59"/>
  <c r="H30" i="59"/>
  <c r="J30" i="59"/>
  <c r="AU38" i="59"/>
  <c r="E104" i="59"/>
  <c r="H104" i="59"/>
  <c r="J104" i="59"/>
  <c r="C104" i="59"/>
  <c r="D104" i="59"/>
  <c r="E138" i="59"/>
  <c r="H138" i="59"/>
  <c r="J138" i="59"/>
  <c r="D138" i="59"/>
  <c r="C138" i="59"/>
  <c r="E167" i="59"/>
  <c r="H167" i="59"/>
  <c r="J167" i="59"/>
  <c r="C167" i="59"/>
  <c r="D167" i="59"/>
  <c r="AU27" i="59"/>
  <c r="J135" i="59"/>
  <c r="E135" i="59"/>
  <c r="H135" i="59"/>
  <c r="C135" i="59"/>
  <c r="D135" i="59"/>
  <c r="E194" i="59"/>
  <c r="J194" i="59"/>
  <c r="H194" i="59"/>
  <c r="D194" i="59"/>
  <c r="C194" i="59"/>
  <c r="J206" i="59"/>
  <c r="E206" i="59"/>
  <c r="H206" i="59"/>
  <c r="D206" i="59"/>
  <c r="C206" i="59"/>
  <c r="H72" i="59"/>
  <c r="J72" i="59"/>
  <c r="E72" i="59"/>
  <c r="C72" i="59"/>
  <c r="D72" i="59"/>
  <c r="E49" i="59"/>
  <c r="H49" i="59"/>
  <c r="J49" i="59"/>
  <c r="C49" i="59"/>
  <c r="D49" i="59"/>
  <c r="E96" i="59"/>
  <c r="H96" i="59"/>
  <c r="J96" i="59"/>
  <c r="D96" i="59"/>
  <c r="C96" i="59"/>
  <c r="E147" i="59"/>
  <c r="H147" i="59"/>
  <c r="J147" i="59"/>
  <c r="D147" i="59"/>
  <c r="C147" i="59"/>
  <c r="J65" i="59"/>
  <c r="E65" i="59"/>
  <c r="H65" i="59"/>
  <c r="D65" i="59"/>
  <c r="C65" i="59"/>
  <c r="J97" i="59"/>
  <c r="E97" i="59"/>
  <c r="H97" i="59"/>
  <c r="D97" i="59"/>
  <c r="C97" i="59"/>
  <c r="J109" i="59"/>
  <c r="E109" i="59"/>
  <c r="H109" i="59"/>
  <c r="D109" i="59"/>
  <c r="C109" i="59"/>
  <c r="J132" i="59"/>
  <c r="E132" i="59"/>
  <c r="H132" i="59"/>
  <c r="D132" i="59"/>
  <c r="C132" i="59"/>
  <c r="E51" i="59"/>
  <c r="H51" i="59"/>
  <c r="J51" i="59"/>
  <c r="D51" i="59"/>
  <c r="C51" i="59"/>
  <c r="E93" i="59"/>
  <c r="H93" i="59"/>
  <c r="J93" i="59"/>
  <c r="C93" i="59"/>
  <c r="D93" i="59"/>
  <c r="E133" i="59"/>
  <c r="H133" i="59"/>
  <c r="J133" i="59"/>
  <c r="D133" i="59"/>
  <c r="C133" i="59"/>
  <c r="AU39" i="59"/>
  <c r="J140" i="59"/>
  <c r="E140" i="59"/>
  <c r="H140" i="59"/>
  <c r="C140" i="59"/>
  <c r="D140" i="59"/>
  <c r="J184" i="59"/>
  <c r="H184" i="59"/>
  <c r="E184" i="59"/>
  <c r="C184" i="59"/>
  <c r="D184" i="59"/>
  <c r="AU40" i="59"/>
  <c r="H83" i="59"/>
  <c r="J83" i="59"/>
  <c r="E83" i="59"/>
  <c r="C83" i="59"/>
  <c r="D83" i="59"/>
  <c r="H157" i="59"/>
  <c r="J157" i="59"/>
  <c r="E157" i="59"/>
  <c r="C157" i="59"/>
  <c r="D157" i="59"/>
  <c r="E164" i="59"/>
  <c r="H164" i="59"/>
  <c r="J164" i="59"/>
  <c r="D164" i="59"/>
  <c r="C164" i="59"/>
  <c r="H91" i="59"/>
  <c r="E91" i="59"/>
  <c r="J91" i="59"/>
  <c r="D91" i="59"/>
  <c r="C91" i="59"/>
  <c r="J26" i="59"/>
  <c r="D26" i="59"/>
  <c r="E26" i="59"/>
  <c r="H26" i="59"/>
  <c r="C26" i="59"/>
  <c r="J75" i="59"/>
  <c r="E75" i="59"/>
  <c r="H75" i="59"/>
  <c r="C75" i="59"/>
  <c r="D75" i="59"/>
  <c r="J120" i="59"/>
  <c r="E120" i="59"/>
  <c r="H120" i="59"/>
  <c r="C120" i="59"/>
  <c r="D120" i="59"/>
  <c r="C38" i="59"/>
  <c r="D38" i="59"/>
  <c r="E38" i="59"/>
  <c r="H38" i="59"/>
  <c r="J38" i="59"/>
  <c r="E61" i="59"/>
  <c r="H61" i="59"/>
  <c r="J61" i="59"/>
  <c r="C61" i="59"/>
  <c r="D61" i="59"/>
  <c r="H31" i="59"/>
  <c r="J31" i="59"/>
  <c r="C31" i="59"/>
  <c r="D31" i="59"/>
  <c r="E31" i="59"/>
  <c r="H113" i="59"/>
  <c r="J113" i="59"/>
  <c r="E113" i="59"/>
  <c r="C113" i="59"/>
  <c r="D113" i="59"/>
  <c r="J179" i="59"/>
  <c r="E179" i="59"/>
  <c r="H179" i="59"/>
  <c r="C179" i="59"/>
  <c r="D179" i="59"/>
  <c r="E56" i="59"/>
  <c r="H56" i="59"/>
  <c r="J56" i="59"/>
  <c r="C56" i="59"/>
  <c r="D56" i="59"/>
  <c r="E73" i="59"/>
  <c r="H73" i="59"/>
  <c r="J73" i="59"/>
  <c r="C73" i="59"/>
  <c r="D73" i="59"/>
  <c r="H100" i="59"/>
  <c r="E100" i="59"/>
  <c r="J100" i="59"/>
  <c r="D100" i="59"/>
  <c r="C100" i="59"/>
  <c r="H176" i="59"/>
  <c r="E176" i="59"/>
  <c r="J176" i="59"/>
  <c r="C176" i="59"/>
  <c r="D176" i="59"/>
  <c r="H266" i="59"/>
  <c r="J266" i="59"/>
  <c r="E266" i="59"/>
  <c r="C266" i="59"/>
  <c r="D266" i="59"/>
  <c r="E160" i="59"/>
  <c r="H160" i="59"/>
  <c r="J160" i="59"/>
  <c r="C160" i="59"/>
  <c r="D160" i="59"/>
  <c r="J175" i="59"/>
  <c r="E175" i="59"/>
  <c r="H175" i="59"/>
  <c r="C175" i="59"/>
  <c r="D175" i="59"/>
  <c r="H40" i="59"/>
  <c r="J40" i="59"/>
  <c r="C40" i="59"/>
  <c r="D40" i="59"/>
  <c r="E40" i="59"/>
  <c r="E243" i="59"/>
  <c r="H243" i="59"/>
  <c r="J243" i="59"/>
  <c r="D243" i="59"/>
  <c r="C243" i="59"/>
  <c r="E315" i="59"/>
  <c r="H315" i="59"/>
  <c r="J315" i="59"/>
  <c r="C315" i="59"/>
  <c r="D315" i="59"/>
  <c r="E372" i="59"/>
  <c r="J372" i="59"/>
  <c r="H372" i="59"/>
  <c r="D372" i="59"/>
  <c r="C372" i="59"/>
  <c r="E92" i="59"/>
  <c r="H92" i="59"/>
  <c r="J92" i="59"/>
  <c r="C92" i="59"/>
  <c r="D92" i="59"/>
  <c r="J348" i="59"/>
  <c r="E348" i="59"/>
  <c r="H348" i="59"/>
  <c r="D348" i="59"/>
  <c r="C348" i="59"/>
  <c r="J415" i="59"/>
  <c r="E415" i="59"/>
  <c r="H415" i="59"/>
  <c r="C415" i="59"/>
  <c r="D415" i="59"/>
  <c r="J566" i="59"/>
  <c r="E566" i="59"/>
  <c r="H566" i="59"/>
  <c r="C566" i="59"/>
  <c r="D566" i="59"/>
  <c r="H373" i="59"/>
  <c r="J373" i="59"/>
  <c r="E373" i="59"/>
  <c r="C373" i="59"/>
  <c r="D373" i="59"/>
  <c r="H510" i="59"/>
  <c r="J510" i="59"/>
  <c r="E510" i="59"/>
  <c r="C510" i="59"/>
  <c r="D510" i="59"/>
  <c r="H549" i="59"/>
  <c r="J549" i="59"/>
  <c r="E549" i="59"/>
  <c r="C549" i="59"/>
  <c r="D549" i="59"/>
  <c r="H459" i="59"/>
  <c r="J459" i="59"/>
  <c r="E459" i="59"/>
  <c r="C459" i="59"/>
  <c r="D459" i="59"/>
  <c r="H503" i="59"/>
  <c r="J503" i="59"/>
  <c r="E503" i="59"/>
  <c r="C503" i="59"/>
  <c r="D503" i="59"/>
  <c r="H495" i="59"/>
  <c r="J495" i="59"/>
  <c r="E495" i="59"/>
  <c r="C495" i="59"/>
  <c r="D495" i="59"/>
  <c r="H445" i="59"/>
  <c r="J445" i="59"/>
  <c r="E445" i="59"/>
  <c r="C445" i="59"/>
  <c r="D445" i="59"/>
  <c r="H496" i="59"/>
  <c r="J496" i="59"/>
  <c r="E496" i="59"/>
  <c r="C496" i="59"/>
  <c r="D496" i="59"/>
  <c r="E411" i="59"/>
  <c r="H411" i="59"/>
  <c r="J411" i="59"/>
  <c r="C411" i="59"/>
  <c r="D411" i="59"/>
  <c r="E458" i="59"/>
  <c r="H458" i="59"/>
  <c r="J458" i="59"/>
  <c r="C458" i="59"/>
  <c r="D458" i="59"/>
  <c r="E531" i="59"/>
  <c r="H531" i="59"/>
  <c r="J531" i="59"/>
  <c r="C531" i="59"/>
  <c r="D531" i="59"/>
  <c r="E570" i="59"/>
  <c r="H570" i="59"/>
  <c r="J570" i="59"/>
  <c r="D570" i="59"/>
  <c r="C570" i="59"/>
  <c r="E448" i="59"/>
  <c r="H448" i="59"/>
  <c r="J448" i="59"/>
  <c r="D448" i="59"/>
  <c r="C448" i="59"/>
  <c r="E528" i="59"/>
  <c r="H528" i="59"/>
  <c r="J528" i="59"/>
  <c r="D528" i="59"/>
  <c r="C528" i="59"/>
  <c r="E461" i="59"/>
  <c r="H461" i="59"/>
  <c r="J461" i="59"/>
  <c r="C461" i="59"/>
  <c r="D461" i="59"/>
  <c r="E465" i="59"/>
  <c r="H465" i="59"/>
  <c r="J465" i="59"/>
  <c r="C465" i="59"/>
  <c r="D465" i="59"/>
  <c r="E491" i="59"/>
  <c r="H491" i="59"/>
  <c r="J491" i="59"/>
  <c r="D491" i="59"/>
  <c r="C491" i="59"/>
  <c r="E620" i="59"/>
  <c r="J620" i="59"/>
  <c r="H620" i="59"/>
  <c r="C620" i="59"/>
  <c r="D620" i="59"/>
  <c r="J416" i="59"/>
  <c r="E416" i="59"/>
  <c r="H416" i="59"/>
  <c r="C416" i="59"/>
  <c r="D416" i="59"/>
  <c r="J408" i="59"/>
  <c r="E408" i="59"/>
  <c r="H408" i="59"/>
  <c r="C408" i="59"/>
  <c r="D408" i="59"/>
  <c r="J537" i="59"/>
  <c r="E537" i="59"/>
  <c r="H537" i="59"/>
  <c r="D537" i="59"/>
  <c r="C537" i="59"/>
  <c r="J592" i="59"/>
  <c r="E592" i="59"/>
  <c r="H592" i="59"/>
  <c r="C592" i="59"/>
  <c r="D592" i="59"/>
  <c r="J657" i="59"/>
  <c r="E657" i="59"/>
  <c r="H657" i="59"/>
  <c r="C657" i="59"/>
  <c r="D657" i="59"/>
  <c r="J733" i="59"/>
  <c r="E733" i="59"/>
  <c r="H733" i="59"/>
  <c r="C733" i="59"/>
  <c r="D733" i="59"/>
  <c r="J833" i="59"/>
  <c r="E833" i="59"/>
  <c r="H833" i="59"/>
  <c r="C833" i="59"/>
  <c r="D833" i="59"/>
  <c r="H630" i="59"/>
  <c r="J630" i="59"/>
  <c r="E630" i="59"/>
  <c r="C630" i="59"/>
  <c r="D630" i="59"/>
  <c r="J662" i="59"/>
  <c r="E662" i="59"/>
  <c r="H662" i="59"/>
  <c r="C662" i="59"/>
  <c r="D662" i="59"/>
  <c r="J674" i="59"/>
  <c r="E674" i="59"/>
  <c r="H674" i="59"/>
  <c r="C674" i="59"/>
  <c r="D674" i="59"/>
  <c r="H827" i="59"/>
  <c r="J827" i="59"/>
  <c r="E827" i="59"/>
  <c r="C827" i="59"/>
  <c r="D827" i="59"/>
  <c r="H837" i="59"/>
  <c r="J837" i="59"/>
  <c r="E837" i="59"/>
  <c r="C837" i="59"/>
  <c r="D837" i="59"/>
  <c r="H729" i="59"/>
  <c r="J729" i="59"/>
  <c r="E729" i="59"/>
  <c r="C729" i="59"/>
  <c r="D729" i="59"/>
  <c r="J786" i="59"/>
  <c r="E786" i="59"/>
  <c r="C786" i="59"/>
  <c r="H786" i="59"/>
  <c r="D786" i="59"/>
  <c r="H798" i="59"/>
  <c r="J798" i="59"/>
  <c r="E798" i="59"/>
  <c r="C798" i="59"/>
  <c r="D798" i="59"/>
  <c r="H638" i="59"/>
  <c r="J638" i="59"/>
  <c r="E638" i="59"/>
  <c r="C638" i="59"/>
  <c r="D638" i="59"/>
  <c r="E178" i="59"/>
  <c r="J178" i="59"/>
  <c r="H178" i="59"/>
  <c r="C178" i="59"/>
  <c r="D178" i="59"/>
  <c r="H227" i="59"/>
  <c r="J227" i="59"/>
  <c r="E227" i="59"/>
  <c r="C227" i="59"/>
  <c r="D227" i="59"/>
  <c r="H230" i="59"/>
  <c r="J230" i="59"/>
  <c r="E230" i="59"/>
  <c r="C230" i="59"/>
  <c r="D230" i="59"/>
  <c r="J235" i="59"/>
  <c r="H235" i="59"/>
  <c r="E235" i="59"/>
  <c r="C235" i="59"/>
  <c r="D235" i="59"/>
  <c r="H294" i="59"/>
  <c r="J294" i="59"/>
  <c r="E294" i="59"/>
  <c r="C294" i="59"/>
  <c r="D294" i="59"/>
  <c r="H326" i="59"/>
  <c r="J326" i="59"/>
  <c r="E326" i="59"/>
  <c r="C326" i="59"/>
  <c r="D326" i="59"/>
  <c r="J261" i="59"/>
  <c r="E261" i="59"/>
  <c r="H261" i="59"/>
  <c r="D261" i="59"/>
  <c r="C261" i="59"/>
  <c r="J305" i="59"/>
  <c r="E305" i="59"/>
  <c r="H305" i="59"/>
  <c r="C305" i="59"/>
  <c r="D305" i="59"/>
  <c r="H33" i="59"/>
  <c r="J33" i="59"/>
  <c r="C33" i="59"/>
  <c r="D33" i="59"/>
  <c r="E33" i="59"/>
  <c r="J268" i="59"/>
  <c r="E268" i="59"/>
  <c r="H268" i="59"/>
  <c r="C268" i="59"/>
  <c r="D268" i="59"/>
  <c r="J312" i="59"/>
  <c r="E312" i="59"/>
  <c r="H312" i="59"/>
  <c r="C312" i="59"/>
  <c r="D312" i="59"/>
  <c r="E249" i="59"/>
  <c r="H249" i="59"/>
  <c r="J249" i="59"/>
  <c r="D249" i="59"/>
  <c r="C249" i="59"/>
  <c r="E296" i="59"/>
  <c r="H296" i="59"/>
  <c r="J296" i="59"/>
  <c r="C296" i="59"/>
  <c r="D296" i="59"/>
  <c r="E306" i="59"/>
  <c r="H306" i="59"/>
  <c r="J306" i="59"/>
  <c r="C306" i="59"/>
  <c r="D306" i="59"/>
  <c r="H82" i="59"/>
  <c r="J82" i="59"/>
  <c r="E82" i="59"/>
  <c r="C82" i="59"/>
  <c r="D82" i="59"/>
  <c r="J191" i="59"/>
  <c r="E191" i="59"/>
  <c r="H191" i="59"/>
  <c r="C191" i="59"/>
  <c r="D191" i="59"/>
  <c r="E201" i="59"/>
  <c r="H201" i="59"/>
  <c r="J201" i="59"/>
  <c r="C201" i="59"/>
  <c r="D201" i="59"/>
  <c r="E303" i="59"/>
  <c r="H303" i="59"/>
  <c r="J303" i="59"/>
  <c r="D303" i="59"/>
  <c r="C303" i="59"/>
  <c r="H336" i="59"/>
  <c r="J336" i="59"/>
  <c r="E336" i="59"/>
  <c r="H309" i="59"/>
  <c r="J309" i="59"/>
  <c r="E309" i="59"/>
  <c r="H134" i="59"/>
  <c r="J134" i="59"/>
  <c r="E134" i="59"/>
  <c r="H271" i="59"/>
  <c r="J271" i="59"/>
  <c r="E271" i="59"/>
  <c r="H282" i="59"/>
  <c r="J282" i="59"/>
  <c r="E282" i="59"/>
  <c r="E239" i="59"/>
  <c r="H239" i="59"/>
  <c r="J239" i="59"/>
  <c r="E317" i="59"/>
  <c r="H317" i="59"/>
  <c r="J317" i="59"/>
  <c r="E369" i="59"/>
  <c r="H369" i="59"/>
  <c r="J369" i="59"/>
  <c r="E105" i="59"/>
  <c r="H105" i="59"/>
  <c r="J105" i="59"/>
  <c r="E144" i="59"/>
  <c r="H144" i="59"/>
  <c r="J144" i="59"/>
  <c r="J202" i="59"/>
  <c r="E202" i="59"/>
  <c r="E252" i="59"/>
  <c r="H252" i="59"/>
  <c r="J252" i="59"/>
  <c r="E293" i="59"/>
  <c r="H293" i="59"/>
  <c r="J293" i="59"/>
  <c r="E310" i="59"/>
  <c r="H310" i="59"/>
  <c r="J310" i="59"/>
  <c r="E274" i="59"/>
  <c r="H274" i="59"/>
  <c r="J274" i="59"/>
  <c r="E284" i="59"/>
  <c r="H284" i="59"/>
  <c r="J284" i="59"/>
  <c r="E325" i="59"/>
  <c r="H325" i="59"/>
  <c r="J325" i="59"/>
  <c r="H46" i="59"/>
  <c r="J46" i="59"/>
  <c r="E46" i="59"/>
  <c r="H162" i="59"/>
  <c r="J162" i="59"/>
  <c r="E162" i="59"/>
  <c r="J407" i="59"/>
  <c r="E407" i="59"/>
  <c r="H407" i="59"/>
  <c r="J509" i="59"/>
  <c r="E509" i="59"/>
  <c r="H509" i="59"/>
  <c r="J577" i="59"/>
  <c r="E577" i="59"/>
  <c r="H421" i="59"/>
  <c r="J421" i="59"/>
  <c r="E421" i="59"/>
  <c r="H413" i="59"/>
  <c r="J413" i="59"/>
  <c r="E413" i="59"/>
  <c r="H467" i="59"/>
  <c r="J467" i="59"/>
  <c r="E467" i="59"/>
  <c r="J594" i="59"/>
  <c r="E594" i="59"/>
  <c r="H488" i="59"/>
  <c r="J488" i="59"/>
  <c r="E488" i="59"/>
  <c r="E427" i="59"/>
  <c r="H427" i="59"/>
  <c r="J427" i="59"/>
  <c r="E505" i="59"/>
  <c r="H505" i="59"/>
  <c r="J505" i="59"/>
  <c r="E497" i="59"/>
  <c r="H497" i="59"/>
  <c r="J497" i="59"/>
  <c r="E533" i="59"/>
  <c r="H533" i="59"/>
  <c r="J533" i="59"/>
  <c r="E580" i="59"/>
  <c r="J580" i="59"/>
  <c r="E602" i="59"/>
  <c r="H602" i="59"/>
  <c r="J602" i="59"/>
  <c r="E498" i="59"/>
  <c r="H498" i="59"/>
  <c r="J498" i="59"/>
  <c r="E524" i="59"/>
  <c r="H524" i="59"/>
  <c r="J524" i="59"/>
  <c r="E425" i="59"/>
  <c r="H425" i="59"/>
  <c r="J425" i="59"/>
  <c r="E417" i="59"/>
  <c r="H417" i="59"/>
  <c r="J417" i="59"/>
  <c r="E581" i="59"/>
  <c r="J581" i="59"/>
  <c r="E586" i="59"/>
  <c r="H586" i="59"/>
  <c r="J586" i="59"/>
  <c r="J391" i="59"/>
  <c r="E391" i="59"/>
  <c r="H391" i="59"/>
  <c r="J399" i="59"/>
  <c r="E399" i="59"/>
  <c r="J424" i="59"/>
  <c r="E424" i="59"/>
  <c r="H424" i="59"/>
  <c r="J571" i="59"/>
  <c r="E571" i="59"/>
  <c r="J582" i="59"/>
  <c r="E582" i="59"/>
  <c r="J670" i="59"/>
  <c r="E670" i="59"/>
  <c r="H670" i="59"/>
  <c r="J745" i="59"/>
  <c r="E745" i="59"/>
  <c r="J755" i="59"/>
  <c r="E755" i="59"/>
  <c r="H755" i="59"/>
  <c r="J641" i="59"/>
  <c r="E641" i="59"/>
  <c r="H816" i="59"/>
  <c r="J816" i="59"/>
  <c r="E816" i="59"/>
  <c r="H701" i="59"/>
  <c r="J701" i="59"/>
  <c r="E701" i="59"/>
  <c r="H706" i="59"/>
  <c r="J706" i="59"/>
  <c r="E706" i="59"/>
  <c r="J742" i="59"/>
  <c r="E742" i="59"/>
  <c r="J777" i="59"/>
  <c r="E777" i="59"/>
  <c r="H650" i="59"/>
  <c r="J650" i="59"/>
  <c r="E650" i="59"/>
  <c r="J659" i="59"/>
  <c r="E659" i="59"/>
  <c r="H669" i="59"/>
  <c r="J669" i="59"/>
  <c r="E669" i="59"/>
  <c r="H824" i="59"/>
  <c r="J824" i="59"/>
  <c r="E824" i="59"/>
  <c r="H835" i="59"/>
  <c r="J835" i="59"/>
  <c r="E835" i="59"/>
  <c r="J624" i="59"/>
  <c r="E624" i="59"/>
  <c r="H624" i="59"/>
  <c r="E656" i="59"/>
  <c r="H656" i="59"/>
  <c r="J656" i="59"/>
  <c r="E663" i="59"/>
  <c r="J663" i="59"/>
  <c r="E752" i="59"/>
  <c r="H752" i="59"/>
  <c r="J752" i="59"/>
  <c r="E839" i="59"/>
  <c r="H839" i="59"/>
  <c r="J839" i="59"/>
  <c r="E607" i="59"/>
  <c r="H607" i="59"/>
  <c r="J607" i="59"/>
  <c r="E842" i="59"/>
  <c r="H842" i="59"/>
  <c r="J842" i="59"/>
  <c r="E737" i="59"/>
  <c r="H737" i="59"/>
  <c r="J737" i="59"/>
  <c r="E815" i="59"/>
  <c r="H815" i="59"/>
  <c r="J815" i="59"/>
  <c r="J698" i="59"/>
  <c r="E698" i="59"/>
  <c r="H698" i="59"/>
  <c r="J704" i="59"/>
  <c r="E704" i="59"/>
  <c r="H704" i="59"/>
  <c r="J721" i="59"/>
  <c r="E721" i="59"/>
  <c r="H721" i="59"/>
  <c r="J762" i="59"/>
  <c r="E762" i="59"/>
  <c r="H762" i="59"/>
  <c r="J775" i="59"/>
  <c r="E775" i="59"/>
  <c r="H775" i="59"/>
  <c r="J962" i="59"/>
  <c r="E962" i="59"/>
  <c r="H962" i="59"/>
  <c r="J884" i="59"/>
  <c r="E884" i="59"/>
  <c r="H888" i="59"/>
  <c r="J888" i="59"/>
  <c r="E888" i="59"/>
  <c r="E971" i="59"/>
  <c r="J971" i="59"/>
  <c r="E875" i="59"/>
  <c r="H875" i="59"/>
  <c r="J875" i="59"/>
  <c r="E879" i="59"/>
  <c r="H879" i="59"/>
  <c r="J879" i="59"/>
  <c r="J951" i="59"/>
  <c r="E951" i="59"/>
  <c r="D967" i="59"/>
  <c r="D695" i="59"/>
  <c r="D670" i="59"/>
  <c r="C594" i="59"/>
  <c r="D492" i="59"/>
  <c r="D446" i="59"/>
  <c r="D202" i="59"/>
  <c r="C48" i="59"/>
  <c r="D153" i="59"/>
  <c r="D907" i="59"/>
  <c r="C877" i="59"/>
  <c r="C762" i="59"/>
  <c r="C595" i="59"/>
  <c r="D334" i="59"/>
  <c r="D267" i="59"/>
  <c r="C900" i="59"/>
  <c r="H745" i="59"/>
  <c r="C682" i="59"/>
  <c r="D656" i="59"/>
  <c r="D596" i="59"/>
  <c r="D579" i="59"/>
  <c r="D504" i="59"/>
  <c r="D375" i="59"/>
  <c r="C232" i="59"/>
  <c r="C143" i="59"/>
  <c r="D115" i="59"/>
  <c r="D819" i="59"/>
  <c r="H765" i="59"/>
  <c r="D744" i="59"/>
  <c r="D532" i="59"/>
  <c r="D407" i="59"/>
  <c r="C388" i="59"/>
  <c r="D313" i="59"/>
  <c r="C269" i="59"/>
  <c r="D246" i="59"/>
  <c r="D50" i="59"/>
  <c r="D310" i="59"/>
  <c r="D980" i="59"/>
  <c r="D925" i="59"/>
  <c r="D820" i="59"/>
  <c r="C788" i="59"/>
  <c r="D752" i="59"/>
  <c r="C720" i="59"/>
  <c r="D645" i="59"/>
  <c r="C586" i="59"/>
  <c r="D527" i="59"/>
  <c r="D500" i="59"/>
  <c r="D431" i="59"/>
  <c r="D344" i="59"/>
  <c r="D274" i="59"/>
  <c r="D185" i="59"/>
  <c r="D228" i="59"/>
  <c r="D811" i="59"/>
  <c r="C758" i="59"/>
  <c r="D737" i="59"/>
  <c r="D707" i="59"/>
  <c r="D664" i="59"/>
  <c r="D641" i="59"/>
  <c r="D602" i="59"/>
  <c r="D425" i="59"/>
  <c r="D262" i="59"/>
  <c r="D149" i="59"/>
  <c r="C392" i="59"/>
  <c r="D309" i="59"/>
  <c r="D200" i="59"/>
  <c r="D90" i="59"/>
  <c r="D382" i="59"/>
  <c r="C137" i="59"/>
  <c r="D893" i="59"/>
  <c r="D882" i="59"/>
  <c r="D846" i="59"/>
  <c r="C759" i="59"/>
  <c r="D671" i="59"/>
  <c r="C571" i="59"/>
  <c r="D480" i="59"/>
  <c r="D807" i="59"/>
  <c r="D784" i="59"/>
  <c r="D739" i="59"/>
  <c r="D725" i="59"/>
  <c r="H659" i="59"/>
  <c r="H594" i="59"/>
  <c r="C533" i="59"/>
  <c r="H168" i="59"/>
  <c r="J168" i="59"/>
  <c r="E168" i="59"/>
  <c r="H188" i="59"/>
  <c r="E188" i="59"/>
  <c r="J188" i="59"/>
  <c r="H172" i="59"/>
  <c r="J172" i="59"/>
  <c r="E172" i="59"/>
  <c r="H114" i="59"/>
  <c r="J114" i="59"/>
  <c r="E114" i="59"/>
  <c r="J37" i="59"/>
  <c r="E37" i="59"/>
  <c r="H37" i="59"/>
  <c r="C37" i="59"/>
  <c r="J86" i="59"/>
  <c r="E86" i="59"/>
  <c r="H86" i="59"/>
  <c r="E174" i="59"/>
  <c r="H174" i="59"/>
  <c r="J174" i="59"/>
  <c r="E210" i="59"/>
  <c r="J210" i="59"/>
  <c r="J224" i="59"/>
  <c r="E224" i="59"/>
  <c r="H224" i="59"/>
  <c r="J281" i="59"/>
  <c r="E281" i="59"/>
  <c r="H281" i="59"/>
  <c r="J322" i="59"/>
  <c r="E322" i="59"/>
  <c r="H322" i="59"/>
  <c r="D37" i="59"/>
  <c r="H152" i="59"/>
  <c r="J152" i="59"/>
  <c r="E152" i="59"/>
  <c r="H276" i="59"/>
  <c r="J276" i="59"/>
  <c r="E276" i="59"/>
  <c r="H285" i="59"/>
  <c r="J285" i="59"/>
  <c r="E285" i="59"/>
  <c r="H251" i="59"/>
  <c r="J251" i="59"/>
  <c r="E251" i="59"/>
  <c r="H320" i="59"/>
  <c r="J320" i="59"/>
  <c r="E320" i="59"/>
  <c r="H94" i="59"/>
  <c r="J94" i="59"/>
  <c r="E94" i="59"/>
  <c r="H255" i="59"/>
  <c r="J255" i="59"/>
  <c r="E255" i="59"/>
  <c r="H300" i="59"/>
  <c r="J300" i="59"/>
  <c r="E300" i="59"/>
  <c r="H384" i="59"/>
  <c r="J384" i="59"/>
  <c r="E384" i="59"/>
  <c r="E327" i="59"/>
  <c r="H327" i="59"/>
  <c r="J327" i="59"/>
  <c r="E347" i="59"/>
  <c r="H347" i="59"/>
  <c r="J347" i="59"/>
  <c r="H139" i="59"/>
  <c r="J139" i="59"/>
  <c r="E139" i="59"/>
  <c r="J203" i="59"/>
  <c r="E203" i="59"/>
  <c r="H240" i="59"/>
  <c r="E240" i="59"/>
  <c r="J240" i="59"/>
  <c r="E265" i="59"/>
  <c r="H265" i="59"/>
  <c r="J265" i="59"/>
  <c r="E279" i="59"/>
  <c r="H279" i="59"/>
  <c r="J279" i="59"/>
  <c r="E321" i="59"/>
  <c r="H321" i="59"/>
  <c r="J321" i="59"/>
  <c r="E340" i="59"/>
  <c r="J340" i="59"/>
  <c r="E180" i="59"/>
  <c r="J180" i="59"/>
  <c r="E189" i="59"/>
  <c r="H189" i="59"/>
  <c r="J189" i="59"/>
  <c r="E199" i="59"/>
  <c r="J199" i="59"/>
  <c r="E264" i="59"/>
  <c r="H264" i="59"/>
  <c r="J264" i="59"/>
  <c r="E335" i="59"/>
  <c r="H335" i="59"/>
  <c r="J335" i="59"/>
  <c r="E242" i="59"/>
  <c r="J242" i="59"/>
  <c r="H242" i="59"/>
  <c r="J423" i="59"/>
  <c r="E423" i="59"/>
  <c r="H423" i="59"/>
  <c r="J493" i="59"/>
  <c r="E493" i="59"/>
  <c r="H493" i="59"/>
  <c r="J485" i="59"/>
  <c r="E485" i="59"/>
  <c r="H485" i="59"/>
  <c r="J589" i="59"/>
  <c r="E589" i="59"/>
  <c r="H589" i="59"/>
  <c r="H414" i="59"/>
  <c r="J414" i="59"/>
  <c r="E414" i="59"/>
  <c r="H494" i="59"/>
  <c r="J494" i="59"/>
  <c r="E494" i="59"/>
  <c r="H486" i="59"/>
  <c r="J486" i="59"/>
  <c r="E486" i="59"/>
  <c r="H405" i="59"/>
  <c r="J405" i="59"/>
  <c r="E405" i="59"/>
  <c r="J573" i="59"/>
  <c r="E573" i="59"/>
  <c r="H585" i="59"/>
  <c r="J585" i="59"/>
  <c r="E585" i="59"/>
  <c r="H604" i="59"/>
  <c r="J604" i="59"/>
  <c r="E604" i="59"/>
  <c r="H512" i="59"/>
  <c r="J512" i="59"/>
  <c r="E512" i="59"/>
  <c r="H540" i="59"/>
  <c r="J540" i="59"/>
  <c r="E540" i="59"/>
  <c r="J597" i="59"/>
  <c r="E597" i="59"/>
  <c r="E481" i="59"/>
  <c r="H481" i="59"/>
  <c r="J481" i="59"/>
  <c r="E535" i="59"/>
  <c r="H535" i="59"/>
  <c r="J535" i="59"/>
  <c r="E590" i="59"/>
  <c r="H590" i="59"/>
  <c r="J590" i="59"/>
  <c r="E482" i="59"/>
  <c r="H482" i="59"/>
  <c r="J482" i="59"/>
  <c r="E506" i="59"/>
  <c r="H506" i="59"/>
  <c r="J506" i="59"/>
  <c r="E526" i="59"/>
  <c r="H526" i="59"/>
  <c r="J526" i="59"/>
  <c r="E396" i="59"/>
  <c r="J396" i="59"/>
  <c r="E567" i="59"/>
  <c r="H567" i="59"/>
  <c r="J567" i="59"/>
  <c r="J447" i="59"/>
  <c r="E447" i="59"/>
  <c r="H447" i="59"/>
  <c r="J451" i="59"/>
  <c r="E451" i="59"/>
  <c r="H451" i="59"/>
  <c r="J559" i="59"/>
  <c r="E559" i="59"/>
  <c r="E612" i="59"/>
  <c r="H612" i="59"/>
  <c r="J612" i="59"/>
  <c r="J622" i="59"/>
  <c r="E622" i="59"/>
  <c r="H622" i="59"/>
  <c r="J679" i="59"/>
  <c r="E679" i="59"/>
  <c r="J766" i="59"/>
  <c r="E766" i="59"/>
  <c r="H654" i="59"/>
  <c r="J654" i="59"/>
  <c r="E654" i="59"/>
  <c r="H688" i="59"/>
  <c r="J688" i="59"/>
  <c r="E688" i="59"/>
  <c r="J764" i="59"/>
  <c r="E764" i="59"/>
  <c r="H626" i="59"/>
  <c r="E626" i="59"/>
  <c r="J626" i="59"/>
  <c r="H814" i="59"/>
  <c r="J814" i="59"/>
  <c r="E814" i="59"/>
  <c r="E676" i="59"/>
  <c r="J676" i="59"/>
  <c r="E761" i="59"/>
  <c r="H761" i="59"/>
  <c r="J761" i="59"/>
  <c r="E677" i="59"/>
  <c r="J677" i="59"/>
  <c r="E753" i="59"/>
  <c r="H753" i="59"/>
  <c r="J753" i="59"/>
  <c r="E832" i="59"/>
  <c r="H832" i="59"/>
  <c r="J832" i="59"/>
  <c r="E629" i="59"/>
  <c r="H629" i="59"/>
  <c r="J629" i="59"/>
  <c r="E747" i="59"/>
  <c r="J747" i="59"/>
  <c r="J690" i="59"/>
  <c r="E690" i="59"/>
  <c r="H690" i="59"/>
  <c r="J850" i="59"/>
  <c r="E850" i="59"/>
  <c r="H850" i="59"/>
  <c r="J871" i="59"/>
  <c r="E871" i="59"/>
  <c r="H871" i="59"/>
  <c r="J983" i="59"/>
  <c r="E983" i="59"/>
  <c r="H897" i="59"/>
  <c r="J897" i="59"/>
  <c r="E897" i="59"/>
  <c r="H864" i="59"/>
  <c r="E864" i="59"/>
  <c r="J864" i="59"/>
  <c r="H901" i="59"/>
  <c r="J901" i="59"/>
  <c r="E901" i="59"/>
  <c r="E889" i="59"/>
  <c r="H889" i="59"/>
  <c r="J889" i="59"/>
  <c r="J972" i="59"/>
  <c r="E972" i="59"/>
  <c r="C967" i="59"/>
  <c r="D872" i="59"/>
  <c r="D839" i="59"/>
  <c r="D800" i="59"/>
  <c r="D761" i="59"/>
  <c r="D730" i="59"/>
  <c r="C670" i="59"/>
  <c r="C617" i="59"/>
  <c r="H595" i="59"/>
  <c r="D512" i="59"/>
  <c r="C202" i="59"/>
  <c r="C155" i="59"/>
  <c r="D121" i="59"/>
  <c r="D677" i="59"/>
  <c r="H641" i="59"/>
  <c r="D421" i="59"/>
  <c r="D841" i="59"/>
  <c r="D814" i="59"/>
  <c r="D679" i="59"/>
  <c r="C656" i="59"/>
  <c r="D544" i="59"/>
  <c r="C414" i="59"/>
  <c r="D291" i="59"/>
  <c r="C241" i="59"/>
  <c r="C188" i="59"/>
  <c r="C161" i="59"/>
  <c r="D54" i="59"/>
  <c r="D850" i="59"/>
  <c r="D751" i="59"/>
  <c r="D702" i="59"/>
  <c r="H675" i="59"/>
  <c r="D597" i="59"/>
  <c r="C567" i="59"/>
  <c r="C407" i="59"/>
  <c r="D340" i="59"/>
  <c r="D163" i="59"/>
  <c r="C386" i="59"/>
  <c r="C265" i="59"/>
  <c r="C925" i="59"/>
  <c r="D864" i="59"/>
  <c r="H766" i="59"/>
  <c r="C752" i="59"/>
  <c r="D688" i="59"/>
  <c r="C618" i="59"/>
  <c r="D582" i="59"/>
  <c r="C452" i="59"/>
  <c r="D424" i="59"/>
  <c r="D370" i="59"/>
  <c r="C320" i="59"/>
  <c r="C274" i="59"/>
  <c r="D207" i="59"/>
  <c r="D136" i="59"/>
  <c r="D53" i="59"/>
  <c r="D965" i="59"/>
  <c r="D892" i="59"/>
  <c r="D881" i="59"/>
  <c r="C852" i="59"/>
  <c r="D772" i="59"/>
  <c r="C737" i="59"/>
  <c r="C641" i="59"/>
  <c r="C602" i="59"/>
  <c r="D487" i="59"/>
  <c r="D464" i="59"/>
  <c r="D429" i="59"/>
  <c r="C425" i="59"/>
  <c r="D387" i="59"/>
  <c r="D342" i="59"/>
  <c r="D242" i="59"/>
  <c r="D180" i="59"/>
  <c r="D422" i="59"/>
  <c r="D349" i="59"/>
  <c r="C309" i="59"/>
  <c r="D277" i="59"/>
  <c r="C225" i="59"/>
  <c r="D826" i="59"/>
  <c r="D782" i="59"/>
  <c r="D747" i="59"/>
  <c r="D709" i="59"/>
  <c r="D603" i="59"/>
  <c r="D569" i="59"/>
  <c r="D525" i="59"/>
  <c r="D488" i="59"/>
  <c r="D890" i="59"/>
  <c r="C858" i="59"/>
  <c r="D836" i="59"/>
  <c r="C784" i="59"/>
  <c r="C690" i="59"/>
  <c r="D650" i="59"/>
  <c r="D585" i="59"/>
  <c r="H554" i="59"/>
  <c r="D467" i="59"/>
  <c r="E116" i="59"/>
  <c r="H116" i="59"/>
  <c r="J116" i="59"/>
  <c r="H24" i="59"/>
  <c r="J24" i="59"/>
  <c r="C24" i="59"/>
  <c r="D24" i="59"/>
  <c r="E24" i="59"/>
  <c r="J27" i="59"/>
  <c r="C27" i="59"/>
  <c r="D27" i="59"/>
  <c r="E27" i="59"/>
  <c r="H27" i="59"/>
  <c r="J99" i="59"/>
  <c r="E99" i="59"/>
  <c r="H99" i="59"/>
  <c r="J153" i="59"/>
  <c r="E153" i="59"/>
  <c r="H153" i="59"/>
  <c r="AU31" i="59"/>
  <c r="H47" i="59"/>
  <c r="J47" i="59"/>
  <c r="E47" i="59"/>
  <c r="AU25" i="59"/>
  <c r="E84" i="59"/>
  <c r="H84" i="59"/>
  <c r="J84" i="59"/>
  <c r="AU29" i="59"/>
  <c r="H48" i="59"/>
  <c r="J48" i="59"/>
  <c r="E48" i="59"/>
  <c r="H130" i="59"/>
  <c r="J130" i="59"/>
  <c r="E130" i="59"/>
  <c r="E50" i="59"/>
  <c r="H50" i="59"/>
  <c r="J50" i="59"/>
  <c r="E183" i="59"/>
  <c r="H183" i="59"/>
  <c r="J183" i="59"/>
  <c r="J295" i="59"/>
  <c r="E295" i="59"/>
  <c r="H295" i="59"/>
  <c r="J332" i="59"/>
  <c r="E332" i="59"/>
  <c r="H332" i="59"/>
  <c r="E170" i="59"/>
  <c r="H170" i="59"/>
  <c r="J170" i="59"/>
  <c r="J209" i="59"/>
  <c r="E209" i="59"/>
  <c r="H267" i="59"/>
  <c r="J267" i="59"/>
  <c r="E267" i="59"/>
  <c r="H381" i="59"/>
  <c r="J381" i="59"/>
  <c r="E381" i="59"/>
  <c r="J385" i="59"/>
  <c r="E385" i="59"/>
  <c r="H385" i="59"/>
  <c r="H238" i="59"/>
  <c r="J238" i="59"/>
  <c r="E238" i="59"/>
  <c r="H329" i="59"/>
  <c r="J329" i="59"/>
  <c r="E329" i="59"/>
  <c r="H313" i="59"/>
  <c r="J313" i="59"/>
  <c r="E313" i="59"/>
  <c r="J353" i="59"/>
  <c r="E353" i="59"/>
  <c r="J182" i="59"/>
  <c r="E182" i="59"/>
  <c r="H182" i="59"/>
  <c r="E269" i="59"/>
  <c r="H269" i="59"/>
  <c r="J269" i="59"/>
  <c r="E331" i="59"/>
  <c r="H331" i="59"/>
  <c r="J331" i="59"/>
  <c r="E351" i="59"/>
  <c r="J351" i="59"/>
  <c r="E256" i="59"/>
  <c r="H256" i="59"/>
  <c r="J256" i="59"/>
  <c r="H117" i="59"/>
  <c r="J117" i="59"/>
  <c r="E117" i="59"/>
  <c r="J299" i="59"/>
  <c r="E299" i="59"/>
  <c r="H299" i="59"/>
  <c r="J432" i="59"/>
  <c r="E432" i="59"/>
  <c r="J468" i="59"/>
  <c r="E468" i="59"/>
  <c r="H468" i="59"/>
  <c r="J596" i="59"/>
  <c r="E596" i="59"/>
  <c r="H446" i="59"/>
  <c r="J446" i="59"/>
  <c r="E446" i="59"/>
  <c r="H502" i="59"/>
  <c r="J502" i="59"/>
  <c r="E502" i="59"/>
  <c r="H379" i="59"/>
  <c r="J379" i="59"/>
  <c r="E379" i="59"/>
  <c r="H463" i="59"/>
  <c r="J463" i="59"/>
  <c r="E463" i="59"/>
  <c r="J561" i="59"/>
  <c r="E561" i="59"/>
  <c r="J619" i="59"/>
  <c r="E619" i="59"/>
  <c r="H619" i="59"/>
  <c r="H420" i="59"/>
  <c r="J420" i="59"/>
  <c r="E420" i="59"/>
  <c r="H412" i="59"/>
  <c r="J412" i="59"/>
  <c r="E412" i="59"/>
  <c r="H449" i="59"/>
  <c r="J449" i="59"/>
  <c r="E449" i="59"/>
  <c r="H538" i="59"/>
  <c r="J538" i="59"/>
  <c r="E538" i="59"/>
  <c r="H542" i="59"/>
  <c r="J542" i="59"/>
  <c r="E542" i="59"/>
  <c r="J579" i="59"/>
  <c r="E579" i="59"/>
  <c r="H591" i="59"/>
  <c r="J591" i="59"/>
  <c r="E591" i="59"/>
  <c r="H611" i="59"/>
  <c r="E611" i="59"/>
  <c r="J611" i="59"/>
  <c r="E466" i="59"/>
  <c r="H466" i="59"/>
  <c r="J466" i="59"/>
  <c r="E426" i="59"/>
  <c r="H426" i="59"/>
  <c r="J426" i="59"/>
  <c r="E456" i="59"/>
  <c r="H456" i="59"/>
  <c r="J456" i="59"/>
  <c r="E595" i="59"/>
  <c r="J595" i="59"/>
  <c r="E409" i="59"/>
  <c r="H409" i="59"/>
  <c r="J409" i="59"/>
  <c r="E557" i="59"/>
  <c r="J557" i="59"/>
  <c r="J455" i="59"/>
  <c r="E455" i="59"/>
  <c r="H455" i="59"/>
  <c r="J636" i="59"/>
  <c r="E636" i="59"/>
  <c r="H636" i="59"/>
  <c r="J689" i="59"/>
  <c r="E689" i="59"/>
  <c r="H689" i="59"/>
  <c r="J773" i="59"/>
  <c r="E773" i="59"/>
  <c r="H773" i="59"/>
  <c r="H807" i="59"/>
  <c r="J807" i="59"/>
  <c r="E807" i="59"/>
  <c r="H724" i="59"/>
  <c r="J724" i="59"/>
  <c r="E724" i="59"/>
  <c r="H844" i="59"/>
  <c r="J844" i="59"/>
  <c r="E844" i="59"/>
  <c r="E687" i="59"/>
  <c r="H687" i="59"/>
  <c r="J687" i="59"/>
  <c r="E774" i="59"/>
  <c r="J774" i="59"/>
  <c r="E848" i="59"/>
  <c r="H848" i="59"/>
  <c r="J848" i="59"/>
  <c r="E668" i="59"/>
  <c r="H668" i="59"/>
  <c r="J668" i="59"/>
  <c r="E720" i="59"/>
  <c r="H720" i="59"/>
  <c r="J720" i="59"/>
  <c r="E822" i="59"/>
  <c r="H822" i="59"/>
  <c r="J822" i="59"/>
  <c r="J623" i="59"/>
  <c r="E623" i="59"/>
  <c r="H623" i="59"/>
  <c r="E640" i="59"/>
  <c r="J640" i="59"/>
  <c r="E803" i="59"/>
  <c r="H803" i="59"/>
  <c r="J803" i="59"/>
  <c r="H851" i="59"/>
  <c r="J851" i="59"/>
  <c r="E851" i="59"/>
  <c r="H880" i="59"/>
  <c r="J880" i="59"/>
  <c r="E880" i="59"/>
  <c r="H907" i="59"/>
  <c r="J907" i="59"/>
  <c r="E907" i="59"/>
  <c r="J921" i="59"/>
  <c r="E921" i="59"/>
  <c r="E899" i="59"/>
  <c r="H899" i="59"/>
  <c r="J899" i="59"/>
  <c r="H919" i="59"/>
  <c r="C839" i="59"/>
  <c r="C761" i="59"/>
  <c r="H663" i="59"/>
  <c r="C512" i="59"/>
  <c r="D502" i="59"/>
  <c r="C117" i="59"/>
  <c r="C170" i="59"/>
  <c r="D822" i="59"/>
  <c r="H596" i="59"/>
  <c r="H558" i="59"/>
  <c r="D493" i="59"/>
  <c r="C466" i="59"/>
  <c r="C421" i="59"/>
  <c r="C331" i="59"/>
  <c r="D289" i="59"/>
  <c r="D263" i="59"/>
  <c r="C203" i="59"/>
  <c r="H886" i="59"/>
  <c r="C814" i="59"/>
  <c r="H782" i="59"/>
  <c r="C679" i="59"/>
  <c r="D636" i="59"/>
  <c r="H597" i="59"/>
  <c r="D484" i="59"/>
  <c r="D453" i="59"/>
  <c r="D371" i="59"/>
  <c r="C332" i="59"/>
  <c r="D223" i="59"/>
  <c r="C183" i="59"/>
  <c r="C921" i="59"/>
  <c r="C850" i="59"/>
  <c r="D776" i="59"/>
  <c r="H742" i="59"/>
  <c r="H676" i="59"/>
  <c r="C597" i="59"/>
  <c r="D557" i="59"/>
  <c r="D530" i="59"/>
  <c r="C384" i="59"/>
  <c r="D81" i="59"/>
  <c r="D57" i="59"/>
  <c r="D265" i="59"/>
  <c r="D971" i="59"/>
  <c r="D860" i="59"/>
  <c r="D757" i="59"/>
  <c r="D719" i="59"/>
  <c r="C688" i="59"/>
  <c r="D653" i="59"/>
  <c r="C582" i="59"/>
  <c r="D542" i="59"/>
  <c r="D486" i="59"/>
  <c r="C424" i="59"/>
  <c r="C420" i="59"/>
  <c r="D341" i="59"/>
  <c r="D71" i="59"/>
  <c r="H203" i="59"/>
  <c r="D755" i="59"/>
  <c r="D722" i="59"/>
  <c r="C691" i="59"/>
  <c r="D659" i="59"/>
  <c r="C637" i="59"/>
  <c r="H397" i="59"/>
  <c r="D285" i="59"/>
  <c r="D255" i="59"/>
  <c r="C242" i="59"/>
  <c r="C180" i="59"/>
  <c r="D84" i="59"/>
  <c r="D390" i="59"/>
  <c r="D302" i="59"/>
  <c r="C256" i="59"/>
  <c r="H202" i="59"/>
  <c r="C59" i="59"/>
  <c r="H352" i="59"/>
  <c r="D116" i="59"/>
  <c r="C955" i="59"/>
  <c r="D889" i="59"/>
  <c r="D875" i="59"/>
  <c r="C747" i="59"/>
  <c r="D665" i="59"/>
  <c r="D624" i="59"/>
  <c r="C488" i="59"/>
  <c r="H955" i="59"/>
  <c r="C799" i="59"/>
  <c r="D775" i="59"/>
  <c r="D710" i="59"/>
  <c r="C650" i="59"/>
  <c r="D609" i="59"/>
  <c r="C585" i="59"/>
  <c r="D547" i="59"/>
  <c r="D509" i="59"/>
  <c r="C467" i="59"/>
  <c r="E70" i="59"/>
  <c r="H70" i="59"/>
  <c r="J70" i="59"/>
  <c r="J39" i="59"/>
  <c r="C39" i="59"/>
  <c r="D39" i="59"/>
  <c r="E39" i="59"/>
  <c r="H39" i="59"/>
  <c r="J66" i="59"/>
  <c r="E66" i="59"/>
  <c r="H66" i="59"/>
  <c r="J77" i="59"/>
  <c r="E77" i="59"/>
  <c r="H77" i="59"/>
  <c r="J112" i="59"/>
  <c r="E112" i="59"/>
  <c r="H112" i="59"/>
  <c r="J163" i="59"/>
  <c r="H163" i="59"/>
  <c r="E163" i="59"/>
  <c r="E228" i="59"/>
  <c r="H228" i="59"/>
  <c r="J228" i="59"/>
  <c r="AU34" i="59"/>
  <c r="E63" i="59"/>
  <c r="H63" i="59"/>
  <c r="J63" i="59"/>
  <c r="AU41" i="59"/>
  <c r="H78" i="59"/>
  <c r="J78" i="59"/>
  <c r="E78" i="59"/>
  <c r="C42" i="59"/>
  <c r="E42" i="59"/>
  <c r="H42" i="59"/>
  <c r="J42" i="59"/>
  <c r="D42" i="59"/>
  <c r="AU26" i="59"/>
  <c r="J52" i="59"/>
  <c r="E52" i="59"/>
  <c r="H52" i="59"/>
  <c r="E193" i="59"/>
  <c r="J193" i="59"/>
  <c r="AU33" i="59"/>
  <c r="E211" i="59"/>
  <c r="J211" i="59"/>
  <c r="H260" i="59"/>
  <c r="J260" i="59"/>
  <c r="E260" i="59"/>
  <c r="H346" i="59"/>
  <c r="J346" i="59"/>
  <c r="E346" i="59"/>
  <c r="H301" i="59"/>
  <c r="J301" i="59"/>
  <c r="E301" i="59"/>
  <c r="H349" i="59"/>
  <c r="J349" i="59"/>
  <c r="E349" i="59"/>
  <c r="H244" i="59"/>
  <c r="J244" i="59"/>
  <c r="E244" i="59"/>
  <c r="H323" i="59"/>
  <c r="J323" i="59"/>
  <c r="E323" i="59"/>
  <c r="J342" i="59"/>
  <c r="E342" i="59"/>
  <c r="H60" i="59"/>
  <c r="J60" i="59"/>
  <c r="E60" i="59"/>
  <c r="H53" i="59"/>
  <c r="J53" i="59"/>
  <c r="E53" i="59"/>
  <c r="E234" i="59"/>
  <c r="H234" i="59"/>
  <c r="J234" i="59"/>
  <c r="H186" i="59"/>
  <c r="J186" i="59"/>
  <c r="E186" i="59"/>
  <c r="J250" i="59"/>
  <c r="E250" i="59"/>
  <c r="H250" i="59"/>
  <c r="J308" i="59"/>
  <c r="E308" i="59"/>
  <c r="H308" i="59"/>
  <c r="J460" i="59"/>
  <c r="E460" i="59"/>
  <c r="H460" i="59"/>
  <c r="H406" i="59"/>
  <c r="J406" i="59"/>
  <c r="E406" i="59"/>
  <c r="H422" i="59"/>
  <c r="J422" i="59"/>
  <c r="E422" i="59"/>
  <c r="H454" i="59"/>
  <c r="J454" i="59"/>
  <c r="E454" i="59"/>
  <c r="J578" i="59"/>
  <c r="E578" i="59"/>
  <c r="H588" i="59"/>
  <c r="J588" i="59"/>
  <c r="E588" i="59"/>
  <c r="H522" i="59"/>
  <c r="J522" i="59"/>
  <c r="E522" i="59"/>
  <c r="J621" i="59"/>
  <c r="E621" i="59"/>
  <c r="H621" i="59"/>
  <c r="H393" i="59"/>
  <c r="J393" i="59"/>
  <c r="E393" i="59"/>
  <c r="J555" i="59"/>
  <c r="E555" i="59"/>
  <c r="H569" i="59"/>
  <c r="J569" i="59"/>
  <c r="E569" i="59"/>
  <c r="H617" i="59"/>
  <c r="E617" i="59"/>
  <c r="J617" i="59"/>
  <c r="E410" i="59"/>
  <c r="H410" i="59"/>
  <c r="J410" i="59"/>
  <c r="E418" i="59"/>
  <c r="H418" i="59"/>
  <c r="J418" i="59"/>
  <c r="E574" i="59"/>
  <c r="J574" i="59"/>
  <c r="E587" i="59"/>
  <c r="H587" i="59"/>
  <c r="J587" i="59"/>
  <c r="E377" i="59"/>
  <c r="H377" i="59"/>
  <c r="J377" i="59"/>
  <c r="E457" i="59"/>
  <c r="H457" i="59"/>
  <c r="J457" i="59"/>
  <c r="E499" i="59"/>
  <c r="H499" i="59"/>
  <c r="J499" i="59"/>
  <c r="E521" i="59"/>
  <c r="H521" i="59"/>
  <c r="J521" i="59"/>
  <c r="J492" i="59"/>
  <c r="E492" i="59"/>
  <c r="H492" i="59"/>
  <c r="J539" i="59"/>
  <c r="E539" i="59"/>
  <c r="H539" i="59"/>
  <c r="J548" i="59"/>
  <c r="E548" i="59"/>
  <c r="H548" i="59"/>
  <c r="J647" i="59"/>
  <c r="E647" i="59"/>
  <c r="H647" i="59"/>
  <c r="J705" i="59"/>
  <c r="E705" i="59"/>
  <c r="H705" i="59"/>
  <c r="J791" i="59"/>
  <c r="E791" i="59"/>
  <c r="H711" i="59"/>
  <c r="J711" i="59"/>
  <c r="E711" i="59"/>
  <c r="H717" i="59"/>
  <c r="J717" i="59"/>
  <c r="E717" i="59"/>
  <c r="H728" i="59"/>
  <c r="J728" i="59"/>
  <c r="E728" i="59"/>
  <c r="J781" i="59"/>
  <c r="E781" i="59"/>
  <c r="H794" i="59"/>
  <c r="J794" i="59"/>
  <c r="E794" i="59"/>
  <c r="H847" i="59"/>
  <c r="J847" i="59"/>
  <c r="E847" i="59"/>
  <c r="H635" i="59"/>
  <c r="J635" i="59"/>
  <c r="E635" i="59"/>
  <c r="J675" i="59"/>
  <c r="E675" i="59"/>
  <c r="H751" i="59"/>
  <c r="J751" i="59"/>
  <c r="E751" i="59"/>
  <c r="H831" i="59"/>
  <c r="J831" i="59"/>
  <c r="E831" i="59"/>
  <c r="H735" i="59"/>
  <c r="J735" i="59"/>
  <c r="E735" i="59"/>
  <c r="H802" i="59"/>
  <c r="J802" i="59"/>
  <c r="E802" i="59"/>
  <c r="J854" i="59"/>
  <c r="E854" i="59"/>
  <c r="H854" i="59"/>
  <c r="H610" i="59"/>
  <c r="J610" i="59"/>
  <c r="E610" i="59"/>
  <c r="E696" i="59"/>
  <c r="H696" i="59"/>
  <c r="J696" i="59"/>
  <c r="E730" i="59"/>
  <c r="H730" i="59"/>
  <c r="J730" i="59"/>
  <c r="E782" i="59"/>
  <c r="J782" i="59"/>
  <c r="E858" i="59"/>
  <c r="H858" i="59"/>
  <c r="J858" i="59"/>
  <c r="E731" i="59"/>
  <c r="H731" i="59"/>
  <c r="J731" i="59"/>
  <c r="E809" i="59"/>
  <c r="H809" i="59"/>
  <c r="J809" i="59"/>
  <c r="E652" i="59"/>
  <c r="H652" i="59"/>
  <c r="J652" i="59"/>
  <c r="E709" i="59"/>
  <c r="H709" i="59"/>
  <c r="J709" i="59"/>
  <c r="E714" i="59"/>
  <c r="J714" i="59"/>
  <c r="E779" i="59"/>
  <c r="H779" i="59"/>
  <c r="J779" i="59"/>
  <c r="J678" i="59"/>
  <c r="E678" i="59"/>
  <c r="J732" i="59"/>
  <c r="E732" i="59"/>
  <c r="H732" i="59"/>
  <c r="J754" i="59"/>
  <c r="E754" i="59"/>
  <c r="H754" i="59"/>
  <c r="J829" i="59"/>
  <c r="E829" i="59"/>
  <c r="H829" i="59"/>
  <c r="J840" i="59"/>
  <c r="E840" i="59"/>
  <c r="H840" i="59"/>
  <c r="E866" i="59"/>
  <c r="H866" i="59"/>
  <c r="J866" i="59"/>
  <c r="H890" i="59"/>
  <c r="J890" i="59"/>
  <c r="E890" i="59"/>
  <c r="E872" i="59"/>
  <c r="H872" i="59"/>
  <c r="J872" i="59"/>
  <c r="J953" i="59"/>
  <c r="E953" i="59"/>
  <c r="H963" i="59"/>
  <c r="J963" i="59"/>
  <c r="E963" i="59"/>
  <c r="E885" i="59"/>
  <c r="J885" i="59"/>
  <c r="E922" i="59"/>
  <c r="J922" i="59"/>
  <c r="D906" i="59"/>
  <c r="D791" i="59"/>
  <c r="C675" i="59"/>
  <c r="H660" i="59"/>
  <c r="D610" i="59"/>
  <c r="D587" i="59"/>
  <c r="D548" i="59"/>
  <c r="C502" i="59"/>
  <c r="D368" i="59"/>
  <c r="D107" i="59"/>
  <c r="D46" i="59"/>
  <c r="D99" i="59"/>
  <c r="D899" i="59"/>
  <c r="H781" i="59"/>
  <c r="D678" i="59"/>
  <c r="D589" i="59"/>
  <c r="C493" i="59"/>
  <c r="D331" i="59"/>
  <c r="D203" i="59"/>
  <c r="D878" i="59"/>
  <c r="D823" i="59"/>
  <c r="D773" i="59"/>
  <c r="D701" i="59"/>
  <c r="C636" i="59"/>
  <c r="D591" i="59"/>
  <c r="H574" i="59"/>
  <c r="D317" i="59"/>
  <c r="D183" i="59"/>
  <c r="D162" i="59"/>
  <c r="D78" i="59"/>
  <c r="C52" i="59"/>
  <c r="D238" i="59"/>
  <c r="D879" i="59"/>
  <c r="D815" i="59"/>
  <c r="D718" i="59"/>
  <c r="C703" i="59"/>
  <c r="D632" i="59"/>
  <c r="D580" i="59"/>
  <c r="C557" i="59"/>
  <c r="C457" i="59"/>
  <c r="D384" i="59"/>
  <c r="C250" i="59"/>
  <c r="C234" i="59"/>
  <c r="H199" i="59"/>
  <c r="H341" i="59"/>
  <c r="H210" i="59"/>
  <c r="C971" i="59"/>
  <c r="C922" i="59"/>
  <c r="D816" i="59"/>
  <c r="D779" i="59"/>
  <c r="C757" i="59"/>
  <c r="D745" i="59"/>
  <c r="C616" i="59"/>
  <c r="H577" i="59"/>
  <c r="C542" i="59"/>
  <c r="C486" i="59"/>
  <c r="D450" i="59"/>
  <c r="D399" i="59"/>
  <c r="D251" i="59"/>
  <c r="D134" i="59"/>
  <c r="D60" i="59"/>
  <c r="D983" i="59"/>
  <c r="D963" i="59"/>
  <c r="D888" i="59"/>
  <c r="D844" i="59"/>
  <c r="C794" i="59"/>
  <c r="C755" i="59"/>
  <c r="C659" i="59"/>
  <c r="D588" i="59"/>
  <c r="D558" i="59"/>
  <c r="D423" i="59"/>
  <c r="D396" i="59"/>
  <c r="C383" i="59"/>
  <c r="C308" i="59"/>
  <c r="C285" i="59"/>
  <c r="C255" i="59"/>
  <c r="C211" i="59"/>
  <c r="C112" i="59"/>
  <c r="D63" i="59"/>
  <c r="D406" i="59"/>
  <c r="H340" i="59"/>
  <c r="D278" i="59"/>
  <c r="D253" i="59"/>
  <c r="H193" i="59"/>
  <c r="D323" i="59"/>
  <c r="C116" i="59"/>
  <c r="C889" i="59"/>
  <c r="C875" i="59"/>
  <c r="D835" i="59"/>
  <c r="D774" i="59"/>
  <c r="D696" i="59"/>
  <c r="C624" i="59"/>
  <c r="D590" i="59"/>
  <c r="D559" i="59"/>
  <c r="D455" i="59"/>
  <c r="H922" i="59"/>
  <c r="D886" i="59"/>
  <c r="C854" i="59"/>
  <c r="C775" i="59"/>
  <c r="C627" i="59"/>
  <c r="H582" i="59"/>
  <c r="D529" i="59"/>
  <c r="C509" i="59"/>
  <c r="D463" i="59"/>
  <c r="E151" i="59"/>
  <c r="H151" i="59"/>
  <c r="J151" i="59"/>
  <c r="J55" i="59"/>
  <c r="E55" i="59"/>
  <c r="H55" i="59"/>
  <c r="J121" i="59"/>
  <c r="H121" i="59"/>
  <c r="E121" i="59"/>
  <c r="H136" i="59"/>
  <c r="J136" i="59"/>
  <c r="E136" i="59"/>
  <c r="E106" i="59"/>
  <c r="H106" i="59"/>
  <c r="J106" i="59"/>
  <c r="H148" i="59"/>
  <c r="E148" i="59"/>
  <c r="J148" i="59"/>
  <c r="J217" i="59"/>
  <c r="E217" i="59"/>
  <c r="H217" i="59"/>
  <c r="C32" i="59"/>
  <c r="E32" i="59"/>
  <c r="H32" i="59"/>
  <c r="J32" i="59"/>
  <c r="D32" i="59"/>
  <c r="E74" i="59"/>
  <c r="H74" i="59"/>
  <c r="J74" i="59"/>
  <c r="J59" i="59"/>
  <c r="E59" i="59"/>
  <c r="H59" i="59"/>
  <c r="J145" i="59"/>
  <c r="E145" i="59"/>
  <c r="H145" i="59"/>
  <c r="E205" i="59"/>
  <c r="H205" i="59"/>
  <c r="J205" i="59"/>
  <c r="J352" i="59"/>
  <c r="E352" i="59"/>
  <c r="E85" i="59"/>
  <c r="H85" i="59"/>
  <c r="J85" i="59"/>
  <c r="H108" i="59"/>
  <c r="J108" i="59"/>
  <c r="E108" i="59"/>
  <c r="H247" i="59"/>
  <c r="J247" i="59"/>
  <c r="E247" i="59"/>
  <c r="H338" i="59"/>
  <c r="J338" i="59"/>
  <c r="E338" i="59"/>
  <c r="H370" i="59"/>
  <c r="J370" i="59"/>
  <c r="E370" i="59"/>
  <c r="J216" i="59"/>
  <c r="E216" i="59"/>
  <c r="H216" i="59"/>
  <c r="E218" i="59"/>
  <c r="H218" i="59"/>
  <c r="J218" i="59"/>
  <c r="H231" i="59"/>
  <c r="J231" i="59"/>
  <c r="E231" i="59"/>
  <c r="H334" i="59"/>
  <c r="J334" i="59"/>
  <c r="E334" i="59"/>
  <c r="E270" i="59"/>
  <c r="H270" i="59"/>
  <c r="J270" i="59"/>
  <c r="E200" i="59"/>
  <c r="J200" i="59"/>
  <c r="E149" i="59"/>
  <c r="H149" i="59"/>
  <c r="J149" i="59"/>
  <c r="J289" i="59"/>
  <c r="E289" i="59"/>
  <c r="H289" i="59"/>
  <c r="J318" i="59"/>
  <c r="E318" i="59"/>
  <c r="H318" i="59"/>
  <c r="J464" i="59"/>
  <c r="E464" i="59"/>
  <c r="H464" i="59"/>
  <c r="J532" i="59"/>
  <c r="E532" i="59"/>
  <c r="H532" i="59"/>
  <c r="J398" i="59"/>
  <c r="E398" i="59"/>
  <c r="H525" i="59"/>
  <c r="J525" i="59"/>
  <c r="E525" i="59"/>
  <c r="J568" i="59"/>
  <c r="E568" i="59"/>
  <c r="H600" i="59"/>
  <c r="J600" i="59"/>
  <c r="E600" i="59"/>
  <c r="H511" i="59"/>
  <c r="J511" i="59"/>
  <c r="E511" i="59"/>
  <c r="H550" i="59"/>
  <c r="J550" i="59"/>
  <c r="E550" i="59"/>
  <c r="H453" i="59"/>
  <c r="J453" i="59"/>
  <c r="E453" i="59"/>
  <c r="E462" i="59"/>
  <c r="H462" i="59"/>
  <c r="J462" i="59"/>
  <c r="E392" i="59"/>
  <c r="H392" i="59"/>
  <c r="J392" i="59"/>
  <c r="E452" i="59"/>
  <c r="H452" i="59"/>
  <c r="J452" i="59"/>
  <c r="E562" i="59"/>
  <c r="J562" i="59"/>
  <c r="E523" i="59"/>
  <c r="H523" i="59"/>
  <c r="J523" i="59"/>
  <c r="E547" i="59"/>
  <c r="H547" i="59"/>
  <c r="J547" i="59"/>
  <c r="J484" i="59"/>
  <c r="E484" i="59"/>
  <c r="H484" i="59"/>
  <c r="J541" i="59"/>
  <c r="E541" i="59"/>
  <c r="H541" i="59"/>
  <c r="J603" i="59"/>
  <c r="E603" i="59"/>
  <c r="H603" i="59"/>
  <c r="J710" i="59"/>
  <c r="E710" i="59"/>
  <c r="H710" i="59"/>
  <c r="J800" i="59"/>
  <c r="E800" i="59"/>
  <c r="H800" i="59"/>
  <c r="H697" i="59"/>
  <c r="J697" i="59"/>
  <c r="E697" i="59"/>
  <c r="H738" i="59"/>
  <c r="J738" i="59"/>
  <c r="E738" i="59"/>
  <c r="H772" i="59"/>
  <c r="J772" i="59"/>
  <c r="E772" i="59"/>
  <c r="H645" i="59"/>
  <c r="J645" i="59"/>
  <c r="E645" i="59"/>
  <c r="J665" i="59"/>
  <c r="E665" i="59"/>
  <c r="H820" i="59"/>
  <c r="J820" i="59"/>
  <c r="E820" i="59"/>
  <c r="H841" i="59"/>
  <c r="J841" i="59"/>
  <c r="E841" i="59"/>
  <c r="H707" i="59"/>
  <c r="J707" i="59"/>
  <c r="E707" i="59"/>
  <c r="H712" i="59"/>
  <c r="J712" i="59"/>
  <c r="E712" i="59"/>
  <c r="J746" i="59"/>
  <c r="E746" i="59"/>
  <c r="H776" i="59"/>
  <c r="J776" i="59"/>
  <c r="E776" i="59"/>
  <c r="J860" i="59"/>
  <c r="E860" i="59"/>
  <c r="H860" i="59"/>
  <c r="E702" i="59"/>
  <c r="H702" i="59"/>
  <c r="J702" i="59"/>
  <c r="E739" i="59"/>
  <c r="H739" i="59"/>
  <c r="J739" i="59"/>
  <c r="E795" i="59"/>
  <c r="H795" i="59"/>
  <c r="J795" i="59"/>
  <c r="E744" i="59"/>
  <c r="J744" i="59"/>
  <c r="E695" i="59"/>
  <c r="H695" i="59"/>
  <c r="J695" i="59"/>
  <c r="E771" i="59"/>
  <c r="J771" i="59"/>
  <c r="J664" i="59"/>
  <c r="E664" i="59"/>
  <c r="J741" i="59"/>
  <c r="E741" i="59"/>
  <c r="J808" i="59"/>
  <c r="E808" i="59"/>
  <c r="H808" i="59"/>
  <c r="J819" i="59"/>
  <c r="E819" i="59"/>
  <c r="H819" i="59"/>
  <c r="J869" i="59"/>
  <c r="E869" i="59"/>
  <c r="H869" i="59"/>
  <c r="J877" i="59"/>
  <c r="E877" i="59"/>
  <c r="H877" i="59"/>
  <c r="H902" i="59"/>
  <c r="J902" i="59"/>
  <c r="E902" i="59"/>
  <c r="J974" i="59"/>
  <c r="E974" i="59"/>
  <c r="E865" i="59"/>
  <c r="H865" i="59"/>
  <c r="J865" i="59"/>
  <c r="E881" i="59"/>
  <c r="H881" i="59"/>
  <c r="J881" i="59"/>
  <c r="H852" i="59"/>
  <c r="J852" i="59"/>
  <c r="E852" i="59"/>
  <c r="J874" i="59"/>
  <c r="E874" i="59"/>
  <c r="H874" i="59"/>
  <c r="E900" i="59"/>
  <c r="H900" i="59"/>
  <c r="J900" i="59"/>
  <c r="E965" i="59"/>
  <c r="H965" i="59"/>
  <c r="J965" i="59"/>
  <c r="C865" i="59"/>
  <c r="C791" i="59"/>
  <c r="D742" i="59"/>
  <c r="D714" i="59"/>
  <c r="D652" i="59"/>
  <c r="C610" i="59"/>
  <c r="C574" i="59"/>
  <c r="C548" i="59"/>
  <c r="C541" i="59"/>
  <c r="C456" i="59"/>
  <c r="H398" i="59"/>
  <c r="D264" i="59"/>
  <c r="D182" i="59"/>
  <c r="D145" i="59"/>
  <c r="C46" i="59"/>
  <c r="C99" i="59"/>
  <c r="H972" i="59"/>
  <c r="C899" i="59"/>
  <c r="C809" i="59"/>
  <c r="C778" i="59"/>
  <c r="C697" i="59"/>
  <c r="C678" i="59"/>
  <c r="C589" i="59"/>
  <c r="C550" i="59"/>
  <c r="D385" i="59"/>
  <c r="D282" i="59"/>
  <c r="C239" i="59"/>
  <c r="D951" i="59"/>
  <c r="C773" i="59"/>
  <c r="C701" i="59"/>
  <c r="D631" i="59"/>
  <c r="C591" i="59"/>
  <c r="H571" i="59"/>
  <c r="C526" i="59"/>
  <c r="D449" i="59"/>
  <c r="C410" i="59"/>
  <c r="C317" i="59"/>
  <c r="C270" i="59"/>
  <c r="C205" i="59"/>
  <c r="C174" i="59"/>
  <c r="C162" i="59"/>
  <c r="D139" i="59"/>
  <c r="D52" i="59"/>
  <c r="C238" i="59"/>
  <c r="C879" i="59"/>
  <c r="C842" i="59"/>
  <c r="C815" i="59"/>
  <c r="C580" i="59"/>
  <c r="D489" i="59"/>
  <c r="D505" i="59"/>
  <c r="D419" i="59"/>
  <c r="D397" i="59"/>
  <c r="C351" i="59"/>
  <c r="D336" i="59"/>
  <c r="D70" i="59"/>
  <c r="D55" i="59"/>
  <c r="D962" i="59"/>
  <c r="D851" i="59"/>
  <c r="C816" i="59"/>
  <c r="C779" i="59"/>
  <c r="C745" i="59"/>
  <c r="H677" i="59"/>
  <c r="D568" i="59"/>
  <c r="D540" i="59"/>
  <c r="C418" i="59"/>
  <c r="C399" i="59"/>
  <c r="C352" i="59"/>
  <c r="D338" i="59"/>
  <c r="D295" i="59"/>
  <c r="C251" i="59"/>
  <c r="C134" i="59"/>
  <c r="C60" i="59"/>
  <c r="C983" i="59"/>
  <c r="C963" i="59"/>
  <c r="C888" i="59"/>
  <c r="D874" i="59"/>
  <c r="C844" i="59"/>
  <c r="D766" i="59"/>
  <c r="D754" i="59"/>
  <c r="D721" i="59"/>
  <c r="C646" i="59"/>
  <c r="C621" i="59"/>
  <c r="C588" i="59"/>
  <c r="C523" i="59"/>
  <c r="D497" i="59"/>
  <c r="C462" i="59"/>
  <c r="C423" i="59"/>
  <c r="C396" i="59"/>
  <c r="C252" i="59"/>
  <c r="D199" i="59"/>
  <c r="D144" i="59"/>
  <c r="C85" i="59"/>
  <c r="C63" i="59"/>
  <c r="C406" i="59"/>
  <c r="D327" i="59"/>
  <c r="D292" i="59"/>
  <c r="C217" i="59"/>
  <c r="C114" i="59"/>
  <c r="D427" i="59"/>
  <c r="C323" i="59"/>
  <c r="D857" i="59"/>
  <c r="C835" i="59"/>
  <c r="C774" i="59"/>
  <c r="C738" i="59"/>
  <c r="C696" i="59"/>
  <c r="D660" i="59"/>
  <c r="D622" i="59"/>
  <c r="C590" i="59"/>
  <c r="C559" i="59"/>
  <c r="C498" i="59"/>
  <c r="C455" i="59"/>
  <c r="D919" i="59"/>
  <c r="D854" i="59"/>
  <c r="H774" i="59"/>
  <c r="D711" i="59"/>
  <c r="D604" i="59"/>
  <c r="D573" i="59"/>
  <c r="D481" i="59"/>
  <c r="C463" i="59"/>
  <c r="AU30" i="59"/>
  <c r="E81" i="59"/>
  <c r="H81" i="59"/>
  <c r="J81" i="59"/>
  <c r="E156" i="59"/>
  <c r="H156" i="59"/>
  <c r="J156" i="59"/>
  <c r="AU24" i="59"/>
  <c r="J62" i="59"/>
  <c r="E62" i="59"/>
  <c r="H62" i="59"/>
  <c r="J89" i="59"/>
  <c r="E89" i="59"/>
  <c r="H89" i="59"/>
  <c r="E215" i="59"/>
  <c r="H215" i="59"/>
  <c r="J215" i="59"/>
  <c r="H54" i="59"/>
  <c r="J54" i="59"/>
  <c r="E54" i="59"/>
  <c r="H90" i="59"/>
  <c r="J90" i="59"/>
  <c r="E90" i="59"/>
  <c r="H107" i="59"/>
  <c r="J107" i="59"/>
  <c r="E107" i="59"/>
  <c r="H146" i="59"/>
  <c r="J146" i="59"/>
  <c r="E146" i="59"/>
  <c r="H141" i="59"/>
  <c r="J141" i="59"/>
  <c r="E141" i="59"/>
  <c r="E25" i="59"/>
  <c r="H25" i="59"/>
  <c r="J25" i="59"/>
  <c r="C25" i="59"/>
  <c r="D25" i="59"/>
  <c r="E34" i="59"/>
  <c r="H34" i="59"/>
  <c r="J34" i="59"/>
  <c r="C34" i="59"/>
  <c r="D34" i="59"/>
  <c r="E119" i="59"/>
  <c r="H119" i="59"/>
  <c r="J119" i="59"/>
  <c r="E142" i="59"/>
  <c r="H142" i="59"/>
  <c r="J142" i="59"/>
  <c r="D29" i="59"/>
  <c r="H29" i="59"/>
  <c r="J29" i="59"/>
  <c r="C29" i="59"/>
  <c r="E29" i="59"/>
  <c r="D41" i="59"/>
  <c r="H41" i="59"/>
  <c r="J41" i="59"/>
  <c r="C41" i="59"/>
  <c r="E41" i="59"/>
  <c r="H143" i="59"/>
  <c r="E143" i="59"/>
  <c r="J143" i="59"/>
  <c r="H155" i="59"/>
  <c r="J155" i="59"/>
  <c r="E155" i="59"/>
  <c r="E198" i="59"/>
  <c r="H198" i="59"/>
  <c r="J198" i="59"/>
  <c r="H207" i="59"/>
  <c r="J207" i="59"/>
  <c r="E207" i="59"/>
  <c r="AU32" i="59"/>
  <c r="E57" i="59"/>
  <c r="H57" i="59"/>
  <c r="J57" i="59"/>
  <c r="J161" i="59"/>
  <c r="E161" i="59"/>
  <c r="H161" i="59"/>
  <c r="J341" i="59"/>
  <c r="E341" i="59"/>
  <c r="H304" i="59"/>
  <c r="J304" i="59"/>
  <c r="E304" i="59"/>
  <c r="J214" i="59"/>
  <c r="E214" i="59"/>
  <c r="H214" i="59"/>
  <c r="H219" i="59"/>
  <c r="J219" i="59"/>
  <c r="E219" i="59"/>
  <c r="H291" i="59"/>
  <c r="J291" i="59"/>
  <c r="E291" i="59"/>
  <c r="E374" i="59"/>
  <c r="H374" i="59"/>
  <c r="J374" i="59"/>
  <c r="H223" i="59"/>
  <c r="E223" i="59"/>
  <c r="J223" i="59"/>
  <c r="H290" i="59"/>
  <c r="J290" i="59"/>
  <c r="E290" i="59"/>
  <c r="H232" i="59"/>
  <c r="E232" i="59"/>
  <c r="J232" i="59"/>
  <c r="E278" i="59"/>
  <c r="H278" i="59"/>
  <c r="J278" i="59"/>
  <c r="E226" i="59"/>
  <c r="H226" i="59"/>
  <c r="J226" i="59"/>
  <c r="E344" i="59"/>
  <c r="H344" i="59"/>
  <c r="J344" i="59"/>
  <c r="J262" i="59"/>
  <c r="E262" i="59"/>
  <c r="H262" i="59"/>
  <c r="J275" i="59"/>
  <c r="E275" i="59"/>
  <c r="H275" i="59"/>
  <c r="J328" i="59"/>
  <c r="E328" i="59"/>
  <c r="H328" i="59"/>
  <c r="J376" i="59"/>
  <c r="E376" i="59"/>
  <c r="H376" i="59"/>
  <c r="J530" i="59"/>
  <c r="E530" i="59"/>
  <c r="H530" i="59"/>
  <c r="J534" i="59"/>
  <c r="E534" i="59"/>
  <c r="H534" i="59"/>
  <c r="J536" i="59"/>
  <c r="E536" i="59"/>
  <c r="H536" i="59"/>
  <c r="H450" i="59"/>
  <c r="J450" i="59"/>
  <c r="E450" i="59"/>
  <c r="H527" i="59"/>
  <c r="J527" i="59"/>
  <c r="E527" i="59"/>
  <c r="H375" i="59"/>
  <c r="E375" i="59"/>
  <c r="J375" i="59"/>
  <c r="H389" i="59"/>
  <c r="J389" i="59"/>
  <c r="E389" i="59"/>
  <c r="H480" i="59"/>
  <c r="J480" i="59"/>
  <c r="E480" i="59"/>
  <c r="E378" i="59"/>
  <c r="H378" i="59"/>
  <c r="J378" i="59"/>
  <c r="E529" i="59"/>
  <c r="H529" i="59"/>
  <c r="J529" i="59"/>
  <c r="E551" i="59"/>
  <c r="H551" i="59"/>
  <c r="J551" i="59"/>
  <c r="E383" i="59"/>
  <c r="H383" i="59"/>
  <c r="J383" i="59"/>
  <c r="J387" i="59"/>
  <c r="E387" i="59"/>
  <c r="H387" i="59"/>
  <c r="E599" i="59"/>
  <c r="H599" i="59"/>
  <c r="J599" i="59"/>
  <c r="J508" i="59"/>
  <c r="E508" i="59"/>
  <c r="H508" i="59"/>
  <c r="J543" i="59"/>
  <c r="E543" i="59"/>
  <c r="H543" i="59"/>
  <c r="J616" i="59"/>
  <c r="E616" i="59"/>
  <c r="H616" i="59"/>
  <c r="J812" i="59"/>
  <c r="E812" i="59"/>
  <c r="H812" i="59"/>
  <c r="J843" i="59"/>
  <c r="E843" i="59"/>
  <c r="H843" i="59"/>
  <c r="J683" i="59"/>
  <c r="E683" i="59"/>
  <c r="H750" i="59"/>
  <c r="J750" i="59"/>
  <c r="E750" i="59"/>
  <c r="H653" i="59"/>
  <c r="J653" i="59"/>
  <c r="E653" i="59"/>
  <c r="H811" i="59"/>
  <c r="J811" i="59"/>
  <c r="E811" i="59"/>
  <c r="J681" i="59"/>
  <c r="E681" i="59"/>
  <c r="H692" i="59"/>
  <c r="J692" i="59"/>
  <c r="E692" i="59"/>
  <c r="J767" i="59"/>
  <c r="E767" i="59"/>
  <c r="E719" i="59"/>
  <c r="H719" i="59"/>
  <c r="J719" i="59"/>
  <c r="E810" i="59"/>
  <c r="H810" i="59"/>
  <c r="J810" i="59"/>
  <c r="E637" i="59"/>
  <c r="H637" i="59"/>
  <c r="J637" i="59"/>
  <c r="E788" i="59"/>
  <c r="J788" i="59"/>
  <c r="E799" i="59"/>
  <c r="H799" i="59"/>
  <c r="J799" i="59"/>
  <c r="E682" i="59"/>
  <c r="J682" i="59"/>
  <c r="E846" i="59"/>
  <c r="H846" i="59"/>
  <c r="J846" i="59"/>
  <c r="J632" i="59"/>
  <c r="E632" i="59"/>
  <c r="H632" i="59"/>
  <c r="J886" i="59"/>
  <c r="E886" i="59"/>
  <c r="J925" i="59"/>
  <c r="E925" i="59"/>
  <c r="J863" i="59"/>
  <c r="H863" i="59"/>
  <c r="E863" i="59"/>
  <c r="E892" i="59"/>
  <c r="H892" i="59"/>
  <c r="J892" i="59"/>
  <c r="E917" i="59"/>
  <c r="J917" i="59"/>
  <c r="J882" i="59"/>
  <c r="E882" i="59"/>
  <c r="H882" i="59"/>
  <c r="D828" i="59"/>
  <c r="C742" i="59"/>
  <c r="C714" i="59"/>
  <c r="D676" i="59"/>
  <c r="C652" i="59"/>
  <c r="C611" i="59"/>
  <c r="D574" i="59"/>
  <c r="D539" i="59"/>
  <c r="C482" i="59"/>
  <c r="D456" i="59"/>
  <c r="D393" i="59"/>
  <c r="H353" i="59"/>
  <c r="C264" i="59"/>
  <c r="D224" i="59"/>
  <c r="C182" i="59"/>
  <c r="C130" i="59"/>
  <c r="D94" i="59"/>
  <c r="D77" i="59"/>
  <c r="D897" i="59"/>
  <c r="D840" i="59"/>
  <c r="D809" i="59"/>
  <c r="D681" i="59"/>
  <c r="H664" i="59"/>
  <c r="D577" i="59"/>
  <c r="D551" i="59"/>
  <c r="D522" i="59"/>
  <c r="D409" i="59"/>
  <c r="C385" i="59"/>
  <c r="C282" i="59"/>
  <c r="D239" i="59"/>
  <c r="C951" i="59"/>
  <c r="D869" i="59"/>
  <c r="C812" i="59"/>
  <c r="D689" i="59"/>
  <c r="H665" i="59"/>
  <c r="D578" i="59"/>
  <c r="H562" i="59"/>
  <c r="D526" i="59"/>
  <c r="D494" i="59"/>
  <c r="C449" i="59"/>
  <c r="D410" i="59"/>
  <c r="D244" i="59"/>
  <c r="D205" i="59"/>
  <c r="D174" i="59"/>
  <c r="C139" i="59"/>
  <c r="C279" i="59"/>
  <c r="C119" i="59"/>
  <c r="C62" i="59"/>
  <c r="D871" i="59"/>
  <c r="D842" i="59"/>
  <c r="C750" i="59"/>
  <c r="D692" i="59"/>
  <c r="D626" i="59"/>
  <c r="C505" i="59"/>
  <c r="D351" i="59"/>
  <c r="C336" i="59"/>
  <c r="C226" i="59"/>
  <c r="D151" i="59"/>
  <c r="C70" i="59"/>
  <c r="C55" i="59"/>
  <c r="C328" i="59"/>
  <c r="C962" i="59"/>
  <c r="D917" i="59"/>
  <c r="C851" i="59"/>
  <c r="D808" i="59"/>
  <c r="D771" i="59"/>
  <c r="C753" i="59"/>
  <c r="H747" i="59"/>
  <c r="D704" i="59"/>
  <c r="H678" i="59"/>
  <c r="D640" i="59"/>
  <c r="D600" i="59"/>
  <c r="C568" i="59"/>
  <c r="C540" i="59"/>
  <c r="D418" i="59"/>
  <c r="D391" i="59"/>
  <c r="C338" i="59"/>
  <c r="C295" i="59"/>
  <c r="D214" i="59"/>
  <c r="C198" i="59"/>
  <c r="D141" i="59"/>
  <c r="D974" i="59"/>
  <c r="H951" i="59"/>
  <c r="D866" i="59"/>
  <c r="D831" i="59"/>
  <c r="C766" i="59"/>
  <c r="C754" i="59"/>
  <c r="C721" i="59"/>
  <c r="H679" i="59"/>
  <c r="D621" i="59"/>
  <c r="H578" i="59"/>
  <c r="D521" i="59"/>
  <c r="C497" i="59"/>
  <c r="D460" i="59"/>
  <c r="D417" i="59"/>
  <c r="D379" i="59"/>
  <c r="D353" i="59"/>
  <c r="D300" i="59"/>
  <c r="C275" i="59"/>
  <c r="D252" i="59"/>
  <c r="C215" i="59"/>
  <c r="C199" i="59"/>
  <c r="C144" i="59"/>
  <c r="D105" i="59"/>
  <c r="H399" i="59"/>
  <c r="C327" i="59"/>
  <c r="C218" i="59"/>
  <c r="D152" i="59"/>
  <c r="D114" i="59"/>
  <c r="C86" i="59"/>
  <c r="C427" i="59"/>
  <c r="D304" i="59"/>
  <c r="H921" i="59"/>
  <c r="C885" i="59"/>
  <c r="D767" i="59"/>
  <c r="D724" i="59"/>
  <c r="D687" i="59"/>
  <c r="C622" i="59"/>
  <c r="H580" i="59"/>
  <c r="D555" i="59"/>
  <c r="D498" i="59"/>
  <c r="D451" i="59"/>
  <c r="C870" i="59"/>
  <c r="D796" i="59"/>
  <c r="D728" i="59"/>
  <c r="C711" i="59"/>
  <c r="C668" i="59"/>
  <c r="D625" i="59"/>
  <c r="C604" i="59"/>
  <c r="C573" i="59"/>
  <c r="C481" i="59"/>
  <c r="E137" i="59"/>
  <c r="H137" i="59"/>
  <c r="J137" i="59"/>
  <c r="H58" i="59"/>
  <c r="J58" i="59"/>
  <c r="E58" i="59"/>
  <c r="H67" i="59"/>
  <c r="J67" i="59"/>
  <c r="E67" i="59"/>
  <c r="H165" i="59"/>
  <c r="J165" i="59"/>
  <c r="E165" i="59"/>
  <c r="H185" i="59"/>
  <c r="J185" i="59"/>
  <c r="E185" i="59"/>
  <c r="AU42" i="59"/>
  <c r="AU37" i="59"/>
  <c r="J150" i="59"/>
  <c r="E150" i="59"/>
  <c r="H150" i="59"/>
  <c r="J245" i="59"/>
  <c r="E245" i="59"/>
  <c r="H245" i="59"/>
  <c r="J253" i="59"/>
  <c r="E253" i="59"/>
  <c r="H253" i="59"/>
  <c r="E131" i="59"/>
  <c r="H131" i="59"/>
  <c r="J131" i="59"/>
  <c r="H316" i="59"/>
  <c r="J316" i="59"/>
  <c r="E316" i="59"/>
  <c r="H277" i="59"/>
  <c r="J277" i="59"/>
  <c r="E277" i="59"/>
  <c r="E115" i="59"/>
  <c r="H115" i="59"/>
  <c r="J115" i="59"/>
  <c r="J192" i="59"/>
  <c r="E192" i="59"/>
  <c r="H225" i="59"/>
  <c r="J225" i="59"/>
  <c r="E225" i="59"/>
  <c r="H71" i="59"/>
  <c r="J71" i="59"/>
  <c r="E71" i="59"/>
  <c r="E286" i="59"/>
  <c r="H286" i="59"/>
  <c r="J286" i="59"/>
  <c r="E246" i="59"/>
  <c r="H246" i="59"/>
  <c r="J246" i="59"/>
  <c r="E241" i="59"/>
  <c r="H241" i="59"/>
  <c r="J241" i="59"/>
  <c r="E292" i="59"/>
  <c r="H292" i="59"/>
  <c r="J292" i="59"/>
  <c r="E302" i="59"/>
  <c r="H302" i="59"/>
  <c r="J302" i="59"/>
  <c r="E368" i="59"/>
  <c r="H368" i="59"/>
  <c r="J368" i="59"/>
  <c r="J171" i="59"/>
  <c r="E171" i="59"/>
  <c r="H171" i="59"/>
  <c r="J263" i="59"/>
  <c r="E263" i="59"/>
  <c r="H263" i="59"/>
  <c r="J382" i="59"/>
  <c r="E382" i="59"/>
  <c r="H382" i="59"/>
  <c r="H386" i="59"/>
  <c r="J386" i="59"/>
  <c r="E386" i="59"/>
  <c r="J380" i="59"/>
  <c r="E380" i="59"/>
  <c r="H380" i="59"/>
  <c r="J501" i="59"/>
  <c r="E501" i="59"/>
  <c r="H501" i="59"/>
  <c r="J554" i="59"/>
  <c r="E554" i="59"/>
  <c r="J609" i="59"/>
  <c r="E609" i="59"/>
  <c r="H609" i="59"/>
  <c r="J371" i="59"/>
  <c r="E371" i="59"/>
  <c r="H371" i="59"/>
  <c r="H390" i="59"/>
  <c r="J390" i="59"/>
  <c r="E390" i="59"/>
  <c r="H429" i="59"/>
  <c r="J429" i="59"/>
  <c r="E429" i="59"/>
  <c r="H487" i="59"/>
  <c r="J487" i="59"/>
  <c r="E487" i="59"/>
  <c r="H428" i="59"/>
  <c r="J428" i="59"/>
  <c r="E428" i="59"/>
  <c r="H504" i="59"/>
  <c r="J504" i="59"/>
  <c r="E504" i="59"/>
  <c r="H544" i="59"/>
  <c r="J544" i="59"/>
  <c r="E544" i="59"/>
  <c r="E397" i="59"/>
  <c r="J397" i="59"/>
  <c r="E419" i="59"/>
  <c r="H419" i="59"/>
  <c r="J419" i="59"/>
  <c r="E489" i="59"/>
  <c r="H489" i="59"/>
  <c r="J489" i="59"/>
  <c r="E558" i="59"/>
  <c r="J558" i="59"/>
  <c r="E388" i="59"/>
  <c r="H388" i="59"/>
  <c r="J388" i="59"/>
  <c r="E431" i="59"/>
  <c r="J431" i="59"/>
  <c r="E490" i="59"/>
  <c r="H490" i="59"/>
  <c r="J490" i="59"/>
  <c r="E552" i="59"/>
  <c r="H552" i="59"/>
  <c r="J552" i="59"/>
  <c r="E483" i="59"/>
  <c r="H483" i="59"/>
  <c r="J483" i="59"/>
  <c r="E507" i="59"/>
  <c r="H507" i="59"/>
  <c r="J507" i="59"/>
  <c r="E608" i="59"/>
  <c r="J608" i="59"/>
  <c r="H608" i="59"/>
  <c r="J500" i="59"/>
  <c r="E500" i="59"/>
  <c r="H500" i="59"/>
  <c r="E618" i="59"/>
  <c r="H618" i="59"/>
  <c r="J618" i="59"/>
  <c r="J722" i="59"/>
  <c r="E722" i="59"/>
  <c r="H722" i="59"/>
  <c r="J823" i="59"/>
  <c r="E823" i="59"/>
  <c r="H823" i="59"/>
  <c r="E853" i="59"/>
  <c r="H853" i="59"/>
  <c r="J853" i="59"/>
  <c r="J759" i="59"/>
  <c r="E759" i="59"/>
  <c r="H718" i="59"/>
  <c r="J718" i="59"/>
  <c r="E718" i="59"/>
  <c r="E631" i="59"/>
  <c r="H631" i="59"/>
  <c r="J631" i="59"/>
  <c r="E818" i="59"/>
  <c r="H818" i="59"/>
  <c r="J818" i="59"/>
  <c r="E646" i="59"/>
  <c r="H646" i="59"/>
  <c r="J646" i="59"/>
  <c r="E703" i="59"/>
  <c r="H703" i="59"/>
  <c r="J703" i="59"/>
  <c r="E708" i="59"/>
  <c r="H708" i="59"/>
  <c r="J708" i="59"/>
  <c r="E778" i="59"/>
  <c r="H778" i="59"/>
  <c r="J778" i="59"/>
  <c r="E758" i="59"/>
  <c r="J758" i="59"/>
  <c r="J644" i="59"/>
  <c r="E644" i="59"/>
  <c r="H644" i="59"/>
  <c r="J898" i="59"/>
  <c r="E898" i="59"/>
  <c r="H898" i="59"/>
  <c r="H857" i="59"/>
  <c r="J857" i="59"/>
  <c r="E857" i="59"/>
  <c r="J967" i="59"/>
  <c r="E967" i="59"/>
  <c r="E905" i="59"/>
  <c r="H905" i="59"/>
  <c r="J905" i="59"/>
  <c r="E955" i="59"/>
  <c r="J955" i="59"/>
  <c r="J893" i="59"/>
  <c r="E893" i="59"/>
  <c r="H893" i="59"/>
  <c r="D777" i="59"/>
  <c r="C731" i="59"/>
  <c r="D712" i="59"/>
  <c r="C676" i="59"/>
  <c r="H640" i="59"/>
  <c r="D611" i="59"/>
  <c r="H568" i="59"/>
  <c r="C539" i="59"/>
  <c r="D482" i="59"/>
  <c r="D454" i="59"/>
  <c r="C393" i="59"/>
  <c r="H342" i="59"/>
  <c r="C224" i="59"/>
  <c r="H180" i="59"/>
  <c r="D130" i="59"/>
  <c r="C94" i="59"/>
  <c r="D192" i="59"/>
  <c r="D156" i="59"/>
  <c r="C131" i="59"/>
  <c r="C77" i="59"/>
  <c r="C897" i="59"/>
  <c r="C840" i="59"/>
  <c r="H777" i="59"/>
  <c r="D732" i="59"/>
  <c r="C681" i="59"/>
  <c r="D654" i="59"/>
  <c r="D612" i="59"/>
  <c r="C577" i="59"/>
  <c r="C551" i="59"/>
  <c r="C522" i="59"/>
  <c r="C409" i="59"/>
  <c r="D381" i="59"/>
  <c r="C316" i="59"/>
  <c r="D271" i="59"/>
  <c r="D247" i="59"/>
  <c r="D231" i="59"/>
  <c r="D902" i="59"/>
  <c r="C869" i="59"/>
  <c r="D818" i="59"/>
  <c r="D802" i="59"/>
  <c r="C689" i="59"/>
  <c r="D623" i="59"/>
  <c r="C578" i="59"/>
  <c r="H559" i="59"/>
  <c r="C524" i="59"/>
  <c r="C494" i="59"/>
  <c r="C426" i="59"/>
  <c r="D335" i="59"/>
  <c r="C244" i="59"/>
  <c r="C193" i="59"/>
  <c r="D146" i="59"/>
  <c r="D279" i="59"/>
  <c r="D119" i="59"/>
  <c r="C871" i="59"/>
  <c r="D824" i="59"/>
  <c r="D803" i="59"/>
  <c r="D764" i="59"/>
  <c r="D717" i="59"/>
  <c r="C692" i="59"/>
  <c r="C644" i="59"/>
  <c r="C626" i="59"/>
  <c r="D581" i="59"/>
  <c r="D534" i="59"/>
  <c r="D485" i="59"/>
  <c r="D413" i="59"/>
  <c r="D378" i="59"/>
  <c r="D346" i="59"/>
  <c r="D318" i="59"/>
  <c r="C293" i="59"/>
  <c r="D209" i="59"/>
  <c r="D189" i="59"/>
  <c r="C172" i="59"/>
  <c r="C151" i="59"/>
  <c r="C106" i="59"/>
  <c r="D66" i="59"/>
  <c r="H953" i="59"/>
  <c r="D880" i="59"/>
  <c r="D843" i="59"/>
  <c r="C808" i="59"/>
  <c r="C771" i="59"/>
  <c r="D753" i="59"/>
  <c r="D735" i="59"/>
  <c r="C704" i="59"/>
  <c r="D663" i="59"/>
  <c r="C640" i="59"/>
  <c r="C600" i="59"/>
  <c r="D538" i="59"/>
  <c r="C391" i="59"/>
  <c r="D347" i="59"/>
  <c r="D325" i="59"/>
  <c r="D284" i="59"/>
  <c r="C214" i="59"/>
  <c r="H200" i="59"/>
  <c r="C141" i="59"/>
  <c r="D58" i="59"/>
  <c r="D260" i="59"/>
  <c r="C974" i="59"/>
  <c r="H917" i="59"/>
  <c r="D884" i="59"/>
  <c r="C866" i="59"/>
  <c r="C831" i="59"/>
  <c r="H788" i="59"/>
  <c r="H767" i="59"/>
  <c r="D746" i="59"/>
  <c r="D706" i="59"/>
  <c r="D669" i="59"/>
  <c r="D619" i="59"/>
  <c r="H579" i="59"/>
  <c r="C554" i="59"/>
  <c r="C521" i="59"/>
  <c r="C460" i="59"/>
  <c r="C417" i="59"/>
  <c r="C379" i="59"/>
  <c r="C353" i="59"/>
  <c r="C300" i="59"/>
  <c r="D276" i="59"/>
  <c r="D215" i="59"/>
  <c r="H192" i="59"/>
  <c r="C142" i="59"/>
  <c r="C105" i="59"/>
  <c r="D398" i="59"/>
  <c r="D369" i="59"/>
  <c r="D322" i="59"/>
  <c r="D286" i="59"/>
  <c r="C245" i="59"/>
  <c r="D218" i="59"/>
  <c r="C152" i="59"/>
  <c r="D108" i="59"/>
  <c r="D86" i="59"/>
  <c r="D376" i="59"/>
  <c r="C304" i="59"/>
  <c r="D901" i="59"/>
  <c r="D885" i="59"/>
  <c r="C853" i="59"/>
  <c r="C832" i="59"/>
  <c r="D795" i="59"/>
  <c r="C767" i="59"/>
  <c r="C724" i="59"/>
  <c r="C687" i="59"/>
  <c r="D647" i="59"/>
  <c r="C607" i="59"/>
  <c r="H581" i="59"/>
  <c r="C555" i="59"/>
  <c r="D508" i="59"/>
  <c r="C451" i="59"/>
  <c r="D905" i="59"/>
  <c r="D847" i="59"/>
  <c r="D741" i="59"/>
  <c r="C728" i="59"/>
  <c r="D698" i="59"/>
  <c r="D668" i="59"/>
  <c r="D561" i="59"/>
  <c r="C501" i="59"/>
  <c r="J757" i="59"/>
  <c r="E757" i="59"/>
  <c r="E627" i="59"/>
  <c r="H627" i="59"/>
  <c r="J627" i="59"/>
  <c r="E643" i="59"/>
  <c r="H643" i="59"/>
  <c r="J643" i="59"/>
  <c r="E828" i="59"/>
  <c r="H828" i="59"/>
  <c r="J828" i="59"/>
  <c r="H625" i="59"/>
  <c r="E625" i="59"/>
  <c r="J625" i="59"/>
  <c r="E655" i="59"/>
  <c r="H655" i="59"/>
  <c r="J655" i="59"/>
  <c r="E691" i="59"/>
  <c r="H691" i="59"/>
  <c r="J691" i="59"/>
  <c r="E765" i="59"/>
  <c r="J765" i="59"/>
  <c r="E660" i="59"/>
  <c r="J660" i="59"/>
  <c r="E671" i="59"/>
  <c r="H671" i="59"/>
  <c r="J671" i="59"/>
  <c r="E725" i="59"/>
  <c r="H725" i="59"/>
  <c r="J725" i="59"/>
  <c r="E826" i="59"/>
  <c r="H826" i="59"/>
  <c r="J826" i="59"/>
  <c r="E836" i="59"/>
  <c r="H836" i="59"/>
  <c r="J836" i="59"/>
  <c r="J651" i="59"/>
  <c r="E651" i="59"/>
  <c r="H651" i="59"/>
  <c r="J784" i="59"/>
  <c r="E784" i="59"/>
  <c r="J796" i="59"/>
  <c r="E796" i="59"/>
  <c r="H796" i="59"/>
  <c r="H859" i="59"/>
  <c r="J859" i="59"/>
  <c r="E859" i="59"/>
  <c r="H870" i="59"/>
  <c r="J870" i="59"/>
  <c r="E870" i="59"/>
  <c r="J919" i="59"/>
  <c r="E919" i="59"/>
  <c r="H878" i="59"/>
  <c r="J878" i="59"/>
  <c r="E878" i="59"/>
  <c r="E980" i="59"/>
  <c r="J980" i="59"/>
  <c r="J906" i="59"/>
  <c r="E906" i="59"/>
  <c r="H906" i="59"/>
  <c r="H971" i="59"/>
  <c r="H884" i="59"/>
  <c r="D848" i="59"/>
  <c r="D810" i="59"/>
  <c r="C777" i="59"/>
  <c r="D731" i="59"/>
  <c r="C712" i="59"/>
  <c r="C629" i="59"/>
  <c r="D594" i="59"/>
  <c r="C562" i="59"/>
  <c r="C454" i="59"/>
  <c r="D389" i="59"/>
  <c r="D329" i="59"/>
  <c r="D281" i="59"/>
  <c r="H211" i="59"/>
  <c r="D168" i="59"/>
  <c r="C156" i="59"/>
  <c r="H885" i="59"/>
  <c r="D829" i="59"/>
  <c r="D762" i="59"/>
  <c r="C732" i="59"/>
  <c r="C654" i="59"/>
  <c r="C612" i="59"/>
  <c r="D536" i="59"/>
  <c r="D483" i="59"/>
  <c r="D468" i="59"/>
  <c r="D405" i="59"/>
  <c r="C381" i="59"/>
  <c r="D299" i="59"/>
  <c r="C271" i="59"/>
  <c r="C247" i="59"/>
  <c r="C231" i="59"/>
  <c r="C902" i="59"/>
  <c r="D859" i="59"/>
  <c r="C818" i="59"/>
  <c r="C802" i="59"/>
  <c r="H764" i="59"/>
  <c r="D682" i="59"/>
  <c r="C643" i="59"/>
  <c r="C623" i="59"/>
  <c r="C552" i="59"/>
  <c r="D524" i="59"/>
  <c r="D426" i="59"/>
  <c r="C335" i="59"/>
  <c r="D301" i="59"/>
  <c r="D193" i="59"/>
  <c r="D171" i="59"/>
  <c r="C146" i="59"/>
  <c r="D47" i="59"/>
  <c r="D219" i="59"/>
  <c r="D953" i="59"/>
  <c r="C824" i="59"/>
  <c r="C803" i="59"/>
  <c r="C764" i="59"/>
  <c r="C744" i="59"/>
  <c r="C717" i="59"/>
  <c r="D683" i="59"/>
  <c r="D651" i="59"/>
  <c r="D599" i="59"/>
  <c r="C581" i="59"/>
  <c r="C534" i="59"/>
  <c r="C485" i="59"/>
  <c r="C413" i="59"/>
  <c r="C378" i="59"/>
  <c r="C346" i="59"/>
  <c r="C318" i="59"/>
  <c r="D293" i="59"/>
  <c r="C209" i="59"/>
  <c r="C189" i="59"/>
  <c r="D172" i="59"/>
  <c r="D106" i="59"/>
  <c r="C66" i="59"/>
  <c r="C310" i="59"/>
  <c r="C980" i="59"/>
  <c r="C880" i="59"/>
  <c r="C843" i="59"/>
  <c r="H791" i="59"/>
  <c r="C765" i="59"/>
  <c r="C735" i="59"/>
  <c r="D705" i="59"/>
  <c r="C663" i="59"/>
  <c r="D635" i="59"/>
  <c r="D586" i="59"/>
  <c r="C538" i="59"/>
  <c r="C506" i="59"/>
  <c r="C431" i="59"/>
  <c r="D412" i="59"/>
  <c r="D374" i="59"/>
  <c r="C347" i="59"/>
  <c r="C325" i="59"/>
  <c r="C284" i="59"/>
  <c r="D240" i="59"/>
  <c r="D210" i="59"/>
  <c r="C165" i="59"/>
  <c r="C148" i="59"/>
  <c r="C67" i="59"/>
  <c r="D380" i="59"/>
  <c r="C260" i="59"/>
  <c r="D972" i="59"/>
  <c r="D898" i="59"/>
  <c r="C884" i="59"/>
  <c r="D781" i="59"/>
  <c r="D758" i="59"/>
  <c r="C746" i="59"/>
  <c r="C706" i="59"/>
  <c r="C669" i="59"/>
  <c r="D655" i="59"/>
  <c r="C619" i="59"/>
  <c r="D535" i="59"/>
  <c r="D511" i="59"/>
  <c r="D507" i="59"/>
  <c r="D432" i="59"/>
  <c r="D377" i="59"/>
  <c r="C321" i="59"/>
  <c r="D290" i="59"/>
  <c r="C276" i="59"/>
  <c r="D216" i="59"/>
  <c r="D186" i="59"/>
  <c r="D142" i="59"/>
  <c r="D89" i="59"/>
  <c r="D74" i="59"/>
  <c r="D428" i="59"/>
  <c r="C398" i="59"/>
  <c r="C369" i="59"/>
  <c r="C322" i="59"/>
  <c r="C286" i="59"/>
  <c r="H209" i="59"/>
  <c r="C150" i="59"/>
  <c r="C108" i="59"/>
  <c r="C376" i="59"/>
  <c r="C901" i="59"/>
  <c r="D853" i="59"/>
  <c r="D832" i="59"/>
  <c r="C795" i="59"/>
  <c r="D759" i="59"/>
  <c r="C708" i="59"/>
  <c r="H683" i="59"/>
  <c r="C647" i="59"/>
  <c r="D607" i="59"/>
  <c r="D571" i="59"/>
  <c r="D543" i="59"/>
  <c r="C490" i="59"/>
  <c r="C508" i="59"/>
  <c r="D447" i="59"/>
  <c r="C905" i="59"/>
  <c r="D863" i="59"/>
  <c r="C847" i="59"/>
  <c r="C741" i="59"/>
  <c r="C698" i="59"/>
  <c r="D608" i="59"/>
  <c r="C561" i="59"/>
  <c r="D533" i="59"/>
  <c r="D499" i="59"/>
  <c r="H432" i="59"/>
  <c r="H22" i="59"/>
  <c r="D7" i="59"/>
  <c r="D19" i="59"/>
  <c r="J903" i="59"/>
  <c r="D21" i="59"/>
  <c r="J944" i="59"/>
  <c r="E22" i="59"/>
  <c r="J181" i="59"/>
  <c r="J476" i="59"/>
  <c r="J204" i="59"/>
  <c r="J926" i="59"/>
  <c r="C13" i="59"/>
  <c r="J356" i="59"/>
  <c r="J442" i="59"/>
  <c r="J593" i="59"/>
  <c r="D17" i="59"/>
  <c r="C15" i="59"/>
  <c r="E17" i="59"/>
  <c r="E15" i="59"/>
  <c r="J861" i="59"/>
  <c r="J813" i="59"/>
  <c r="J987" i="59"/>
  <c r="C22" i="59"/>
  <c r="D12" i="59"/>
  <c r="C12" i="59"/>
  <c r="AU6" i="59"/>
  <c r="J992" i="59"/>
  <c r="J337" i="59"/>
  <c r="J18" i="59"/>
  <c r="J806" i="59"/>
  <c r="J927" i="59"/>
  <c r="J976" i="59"/>
  <c r="J469" i="59"/>
  <c r="J768" i="59"/>
  <c r="J64" i="59"/>
  <c r="E21" i="59"/>
  <c r="J213" i="59"/>
  <c r="G17" i="59"/>
  <c r="J979" i="59"/>
  <c r="J661" i="59"/>
  <c r="J984" i="59"/>
  <c r="J868" i="59"/>
  <c r="J633" i="59"/>
  <c r="J76" i="59"/>
  <c r="J726" i="59"/>
  <c r="J173" i="59"/>
  <c r="J930" i="59"/>
  <c r="J583" i="59"/>
  <c r="J101" i="59"/>
  <c r="J973" i="59"/>
  <c r="J474" i="59"/>
  <c r="J817" i="59"/>
  <c r="J838" i="59"/>
  <c r="J736" i="59"/>
  <c r="J686" i="59"/>
  <c r="J563" i="59"/>
  <c r="J876" i="59"/>
  <c r="J395" i="59"/>
  <c r="J790" i="59"/>
  <c r="J964" i="59"/>
  <c r="J945" i="59"/>
  <c r="J98" i="59"/>
  <c r="J394" i="59"/>
  <c r="J125" i="59"/>
  <c r="J642" i="59"/>
  <c r="J220" i="59"/>
  <c r="J439" i="59"/>
  <c r="J970" i="59"/>
  <c r="J345" i="59"/>
  <c r="J743" i="59"/>
  <c r="J354" i="59"/>
  <c r="J615" i="59"/>
  <c r="J222" i="59"/>
  <c r="J187" i="59"/>
  <c r="J693" i="59"/>
  <c r="E16" i="59"/>
  <c r="J789" i="59"/>
  <c r="J126" i="59"/>
  <c r="J825" i="59"/>
  <c r="J158" i="59"/>
  <c r="J954" i="59"/>
  <c r="J935" i="59"/>
  <c r="J952" i="59"/>
  <c r="J985" i="59"/>
  <c r="J948" i="59"/>
  <c r="J280" i="59"/>
  <c r="J565" i="59"/>
  <c r="J169" i="59"/>
  <c r="J830" i="59"/>
  <c r="J787" i="59"/>
  <c r="J628" i="59"/>
  <c r="C8" i="59"/>
  <c r="J45" i="59"/>
  <c r="J87" i="59"/>
  <c r="J938" i="59"/>
  <c r="J805" i="59"/>
  <c r="J666" i="59"/>
  <c r="J797" i="59"/>
  <c r="J924" i="59"/>
  <c r="J613" i="59"/>
  <c r="J998" i="59"/>
  <c r="J297" i="59"/>
  <c r="J236" i="59"/>
  <c r="J433" i="59"/>
  <c r="J895" i="59"/>
  <c r="J444" i="59"/>
  <c r="J939" i="59"/>
  <c r="J438" i="59"/>
  <c r="J350" i="59"/>
  <c r="J894" i="59"/>
  <c r="J358" i="59"/>
  <c r="J80" i="59"/>
  <c r="J932" i="59"/>
  <c r="J584" i="59"/>
  <c r="J470" i="59"/>
  <c r="J856" i="59"/>
  <c r="J44" i="59"/>
  <c r="E8" i="59"/>
  <c r="J441" i="59"/>
  <c r="J928" i="59"/>
  <c r="J519" i="59"/>
  <c r="J307" i="59"/>
  <c r="J862" i="59"/>
  <c r="J940" i="59"/>
  <c r="J118" i="59"/>
  <c r="J845" i="59"/>
  <c r="J36" i="59"/>
  <c r="J177" i="59"/>
  <c r="J283" i="59"/>
  <c r="J311" i="59"/>
  <c r="J855" i="59"/>
  <c r="J196" i="59"/>
  <c r="J190" i="59"/>
  <c r="E20" i="59"/>
  <c r="J792" i="59"/>
  <c r="E12" i="59"/>
  <c r="J12" i="59"/>
  <c r="J946" i="59"/>
  <c r="J763" i="59"/>
  <c r="J128" i="59"/>
  <c r="J760" i="59"/>
  <c r="J473" i="59"/>
  <c r="J212" i="59"/>
  <c r="J960" i="59"/>
  <c r="J834" i="59"/>
  <c r="J324" i="59"/>
  <c r="J931" i="59"/>
  <c r="J748" i="59"/>
  <c r="J197" i="59"/>
  <c r="J969" i="59"/>
  <c r="J606" i="59"/>
  <c r="J343" i="59"/>
  <c r="J443" i="59"/>
  <c r="J221" i="59"/>
  <c r="H16" i="59"/>
  <c r="J16" i="59"/>
  <c r="J518" i="59"/>
  <c r="J605" i="59"/>
  <c r="J968" i="59"/>
  <c r="J366" i="59"/>
  <c r="J911" i="59"/>
  <c r="J477" i="59"/>
  <c r="J564" i="59"/>
  <c r="J956" i="59"/>
  <c r="J434" i="59"/>
  <c r="J923" i="59"/>
  <c r="J339" i="59"/>
  <c r="J727" i="59"/>
  <c r="J440" i="59"/>
  <c r="J950" i="59"/>
  <c r="J804" i="59"/>
  <c r="J553" i="59"/>
  <c r="J5" i="59"/>
  <c r="J920" i="59"/>
  <c r="J716" i="59"/>
  <c r="J437" i="59"/>
  <c r="J166" i="59"/>
  <c r="J957" i="59"/>
  <c r="J821" i="59"/>
  <c r="J572" i="59"/>
  <c r="J9" i="59"/>
  <c r="J435" i="59"/>
  <c r="J195" i="59"/>
  <c r="J6" i="59"/>
  <c r="H6" i="59"/>
  <c r="E6" i="59"/>
  <c r="AU15" i="59"/>
  <c r="D6" i="59"/>
  <c r="J601" i="59"/>
  <c r="J966" i="59"/>
  <c r="J680" i="59"/>
  <c r="J989" i="59"/>
  <c r="J471" i="59"/>
  <c r="J936" i="59"/>
  <c r="J319" i="59"/>
  <c r="J873" i="59"/>
  <c r="J713" i="59"/>
  <c r="J639" i="59"/>
  <c r="J978" i="59"/>
  <c r="J43" i="59"/>
  <c r="J430" i="59"/>
  <c r="J513" i="59"/>
  <c r="J942" i="59"/>
  <c r="J298" i="59"/>
  <c r="J994" i="59"/>
  <c r="J913" i="59"/>
  <c r="J694" i="59"/>
  <c r="J404" i="59"/>
  <c r="J127" i="59"/>
  <c r="J934" i="59"/>
  <c r="J785" i="59"/>
  <c r="J514" i="59"/>
  <c r="J237" i="59"/>
  <c r="J991" i="59"/>
  <c r="J910" i="59"/>
  <c r="J401" i="59"/>
  <c r="J123" i="59"/>
  <c r="J947" i="59"/>
  <c r="J793" i="59"/>
  <c r="J520" i="59"/>
  <c r="J272" i="59"/>
  <c r="J649" i="59"/>
  <c r="J400" i="59"/>
  <c r="J159" i="59"/>
  <c r="AU11" i="59"/>
  <c r="AU21" i="59"/>
  <c r="D16" i="59"/>
  <c r="J673" i="59"/>
  <c r="J988" i="59"/>
  <c r="J740" i="59"/>
  <c r="J546" i="59"/>
  <c r="J949" i="59"/>
  <c r="J259" i="59"/>
  <c r="J914" i="59"/>
  <c r="J916" i="59"/>
  <c r="J35" i="59"/>
  <c r="J700" i="59"/>
  <c r="J996" i="59"/>
  <c r="J517" i="59"/>
  <c r="J883" i="59"/>
  <c r="J959" i="59"/>
  <c r="J258" i="59"/>
  <c r="J986" i="59"/>
  <c r="J896" i="59"/>
  <c r="J667" i="59"/>
  <c r="J365" i="59"/>
  <c r="J103" i="59"/>
  <c r="J937" i="59"/>
  <c r="J756" i="59"/>
  <c r="J472" i="59"/>
  <c r="J208" i="59"/>
  <c r="J982" i="59"/>
  <c r="J891" i="59"/>
  <c r="J658" i="59"/>
  <c r="J361" i="59"/>
  <c r="J95" i="59"/>
  <c r="J933" i="59"/>
  <c r="J770" i="59"/>
  <c r="J478" i="59"/>
  <c r="J229" i="59"/>
  <c r="J614" i="59"/>
  <c r="J362" i="59"/>
  <c r="J124" i="59"/>
  <c r="AU13" i="59"/>
  <c r="J17" i="59"/>
  <c r="H17" i="59"/>
  <c r="H7" i="59"/>
  <c r="E7" i="59"/>
  <c r="J7" i="59"/>
  <c r="J15" i="59"/>
  <c r="H15" i="59"/>
  <c r="AU17" i="59"/>
  <c r="AU7" i="59"/>
  <c r="J723" i="59"/>
  <c r="J961" i="59"/>
  <c r="J333" i="59"/>
  <c r="J23" i="59"/>
  <c r="J993" i="59"/>
  <c r="J912" i="59"/>
  <c r="J403" i="59"/>
  <c r="J958" i="59"/>
  <c r="J575" i="59"/>
  <c r="J314" i="59"/>
  <c r="J10" i="59"/>
  <c r="J918" i="59"/>
  <c r="J715" i="59"/>
  <c r="J436" i="59"/>
  <c r="J556" i="59"/>
  <c r="J330" i="59"/>
  <c r="J69" i="59"/>
  <c r="H11" i="59"/>
  <c r="J11" i="59"/>
  <c r="D11" i="59"/>
  <c r="E11" i="59"/>
  <c r="D20" i="59"/>
  <c r="J20" i="59"/>
  <c r="H20" i="59"/>
  <c r="J849" i="59"/>
  <c r="J598" i="59"/>
  <c r="J363" i="59"/>
  <c r="J908" i="59"/>
  <c r="J110" i="59"/>
  <c r="J749" i="59"/>
  <c r="J634" i="59"/>
  <c r="J977" i="59"/>
  <c r="J154" i="59"/>
  <c r="J783" i="59"/>
  <c r="J129" i="59"/>
  <c r="J560" i="59"/>
  <c r="J287" i="59"/>
  <c r="J364" i="59"/>
  <c r="J102" i="59"/>
  <c r="J545" i="59"/>
  <c r="J273" i="59"/>
  <c r="J990" i="59"/>
  <c r="J909" i="59"/>
  <c r="J684" i="59"/>
  <c r="J122" i="59"/>
  <c r="J516" i="59"/>
  <c r="J288" i="59"/>
  <c r="J28" i="59"/>
  <c r="AU16" i="59"/>
  <c r="J8" i="59"/>
  <c r="H8" i="59"/>
  <c r="J359" i="59"/>
  <c r="J904" i="59"/>
  <c r="J929" i="59"/>
  <c r="J801" i="59"/>
  <c r="J769" i="59"/>
  <c r="J14" i="59"/>
  <c r="J699" i="59"/>
  <c r="J995" i="59"/>
  <c r="J734" i="59"/>
  <c r="J402" i="59"/>
  <c r="J915" i="59"/>
  <c r="J997" i="59"/>
  <c r="J254" i="59"/>
  <c r="J367" i="59"/>
  <c r="J111" i="59"/>
  <c r="J943" i="59"/>
  <c r="J515" i="59"/>
  <c r="J248" i="59"/>
  <c r="J975" i="59"/>
  <c r="J867" i="59"/>
  <c r="J355" i="59"/>
  <c r="J68" i="59"/>
  <c r="J941" i="59"/>
  <c r="J780" i="59"/>
  <c r="J479" i="59"/>
  <c r="J233" i="59"/>
  <c r="J981" i="59"/>
  <c r="J887" i="59"/>
  <c r="J648" i="59"/>
  <c r="J360" i="59"/>
  <c r="J88" i="59"/>
  <c r="J475" i="59"/>
  <c r="J257" i="59"/>
  <c r="E13" i="59"/>
  <c r="H13" i="59"/>
  <c r="J13" i="59"/>
  <c r="AU19" i="59"/>
  <c r="J21" i="59"/>
  <c r="H21" i="59"/>
  <c r="H19" i="59"/>
  <c r="E19" i="59"/>
  <c r="J19" i="59"/>
  <c r="AU22" i="59"/>
  <c r="AU20" i="59"/>
  <c r="J79" i="59"/>
  <c r="AU12" i="59"/>
  <c r="AU8" i="59"/>
  <c r="J672" i="59"/>
  <c r="J22" i="59"/>
  <c r="J357" i="59"/>
  <c r="M118" i="22" l="1"/>
  <c r="M42" i="22"/>
  <c r="A42" i="22" s="1"/>
  <c r="M126" i="26"/>
  <c r="H126" i="26"/>
  <c r="F126" i="26"/>
  <c r="D126" i="26"/>
  <c r="M127" i="26"/>
  <c r="H127" i="26"/>
  <c r="F127" i="26"/>
  <c r="D127" i="26"/>
  <c r="B127" i="26" l="1"/>
  <c r="A127" i="26"/>
  <c r="B126" i="26"/>
  <c r="A126" i="26"/>
  <c r="M35" i="22" l="1"/>
  <c r="A35" i="22" s="1"/>
  <c r="M100" i="22"/>
  <c r="A100" i="22" s="1"/>
  <c r="M154" i="22"/>
  <c r="A154" i="22" s="1"/>
  <c r="M160" i="22"/>
  <c r="A160" i="22" s="1"/>
  <c r="M117" i="22"/>
  <c r="A117" i="22" s="1"/>
  <c r="M72" i="22"/>
  <c r="A72" i="22" s="1"/>
  <c r="M157" i="22"/>
  <c r="A157" i="22" s="1"/>
  <c r="M137" i="22"/>
  <c r="A137" i="22" s="1"/>
  <c r="B260" i="26" l="1"/>
  <c r="D260" i="26"/>
  <c r="F260" i="26"/>
  <c r="H260" i="26"/>
  <c r="M260" i="26"/>
  <c r="B261" i="26"/>
  <c r="D261" i="26"/>
  <c r="F261" i="26"/>
  <c r="H261" i="26"/>
  <c r="M261" i="26"/>
  <c r="B262" i="26"/>
  <c r="D262" i="26"/>
  <c r="F262" i="26"/>
  <c r="H262" i="26"/>
  <c r="M262" i="26"/>
  <c r="M259" i="26"/>
  <c r="M258" i="26"/>
  <c r="D259" i="26"/>
  <c r="D258" i="26"/>
  <c r="H259" i="26"/>
  <c r="H258" i="26"/>
  <c r="F259" i="26"/>
  <c r="F258" i="26"/>
  <c r="B258" i="26"/>
  <c r="B259" i="26"/>
  <c r="B257" i="26"/>
  <c r="D257" i="26"/>
  <c r="F257" i="26"/>
  <c r="H257" i="26"/>
  <c r="M257" i="26"/>
  <c r="B150" i="26"/>
  <c r="D150" i="26"/>
  <c r="F150" i="26"/>
  <c r="H150" i="26"/>
  <c r="M150" i="26"/>
  <c r="B230" i="26"/>
  <c r="D230" i="26"/>
  <c r="F230" i="26"/>
  <c r="H230" i="26"/>
  <c r="M230" i="26"/>
  <c r="B149" i="26"/>
  <c r="D149" i="26"/>
  <c r="F149" i="26"/>
  <c r="H149" i="26"/>
  <c r="M149" i="26"/>
  <c r="B229" i="26"/>
  <c r="D229" i="26"/>
  <c r="F229" i="26"/>
  <c r="H229" i="26"/>
  <c r="M229" i="26"/>
  <c r="B59" i="30"/>
  <c r="F59" i="30"/>
  <c r="K59" i="30"/>
  <c r="M59" i="30"/>
  <c r="P59" i="30"/>
  <c r="Y59" i="30"/>
  <c r="AM59" i="30"/>
  <c r="AN59" i="30"/>
  <c r="AO59" i="30" s="1"/>
  <c r="M148" i="26"/>
  <c r="H148" i="26"/>
  <c r="F148" i="26"/>
  <c r="D148" i="26"/>
  <c r="M228" i="26"/>
  <c r="H228" i="26"/>
  <c r="F228" i="26"/>
  <c r="D228" i="26"/>
  <c r="M93" i="22"/>
  <c r="A93" i="22" s="1"/>
  <c r="M81" i="22"/>
  <c r="A81" i="22" s="1"/>
  <c r="M112" i="22"/>
  <c r="A112" i="22" s="1"/>
  <c r="A262" i="26" l="1"/>
  <c r="A261" i="26"/>
  <c r="A260" i="26"/>
  <c r="A258" i="26"/>
  <c r="A259" i="26"/>
  <c r="A150" i="26"/>
  <c r="A257" i="26"/>
  <c r="A230" i="26"/>
  <c r="A229" i="26"/>
  <c r="A149" i="26"/>
  <c r="B228" i="26"/>
  <c r="B148" i="26"/>
  <c r="A148" i="26"/>
  <c r="A228" i="26"/>
  <c r="M204" i="22"/>
  <c r="A204" i="22" s="1"/>
  <c r="M99" i="22" l="1"/>
  <c r="A99" i="22" s="1"/>
  <c r="M136" i="22"/>
  <c r="A136" i="22" s="1"/>
  <c r="M24" i="22"/>
  <c r="A24" i="22" s="1"/>
  <c r="M65" i="22"/>
  <c r="A65" i="22" s="1"/>
  <c r="M145" i="22"/>
  <c r="A145" i="22" s="1"/>
  <c r="B218" i="26"/>
  <c r="D218" i="26"/>
  <c r="F218" i="26"/>
  <c r="H218" i="26"/>
  <c r="M218" i="26"/>
  <c r="A218" i="26" l="1"/>
  <c r="D107" i="26" l="1"/>
  <c r="F107" i="26"/>
  <c r="H107" i="26"/>
  <c r="M107" i="26"/>
  <c r="D109" i="26"/>
  <c r="F109" i="26"/>
  <c r="H109" i="26"/>
  <c r="M109" i="26"/>
  <c r="D217" i="26"/>
  <c r="F217" i="26"/>
  <c r="H217" i="26"/>
  <c r="M217" i="26"/>
  <c r="B51" i="30"/>
  <c r="F51" i="30"/>
  <c r="K51" i="30"/>
  <c r="M51" i="30"/>
  <c r="P51" i="30"/>
  <c r="Y51" i="30"/>
  <c r="AM51" i="30"/>
  <c r="AN51" i="30"/>
  <c r="AO51" i="30" s="1"/>
  <c r="M188" i="22"/>
  <c r="A188" i="22" s="1"/>
  <c r="A109" i="26" l="1"/>
  <c r="A107" i="26"/>
  <c r="B107" i="26"/>
  <c r="B109" i="26"/>
  <c r="A217" i="26"/>
  <c r="B217" i="26"/>
  <c r="D83" i="26"/>
  <c r="F83" i="26"/>
  <c r="H83" i="26"/>
  <c r="M83" i="26"/>
  <c r="D84" i="26"/>
  <c r="F84" i="26"/>
  <c r="H84" i="26"/>
  <c r="M84" i="26"/>
  <c r="M17" i="22"/>
  <c r="A17" i="22" s="1"/>
  <c r="A84" i="26" l="1"/>
  <c r="A83" i="26"/>
  <c r="B83" i="26"/>
  <c r="B84" i="26"/>
  <c r="M219" i="22"/>
  <c r="A219" i="22" s="1"/>
  <c r="M208" i="22"/>
  <c r="A208" i="22" s="1"/>
  <c r="D247" i="26" l="1"/>
  <c r="F247" i="26"/>
  <c r="H247" i="26"/>
  <c r="M247" i="26"/>
  <c r="M161" i="22"/>
  <c r="A161" i="22" s="1"/>
  <c r="M195" i="22"/>
  <c r="A195" i="22" s="1"/>
  <c r="B247" i="26" l="1"/>
  <c r="A247" i="26"/>
  <c r="M176" i="22"/>
  <c r="A176" i="22" s="1"/>
  <c r="M139" i="22" l="1"/>
  <c r="A139" i="22" s="1"/>
  <c r="D188" i="26"/>
  <c r="F188" i="26"/>
  <c r="H188" i="26"/>
  <c r="M188" i="26"/>
  <c r="B188" i="26" l="1"/>
  <c r="A188" i="26"/>
  <c r="M223" i="22" l="1"/>
  <c r="A223" i="22" s="1"/>
  <c r="M207" i="22"/>
  <c r="A207" i="22" s="1"/>
  <c r="AN52" i="30"/>
  <c r="AO52" i="30" s="1"/>
  <c r="AM52" i="30"/>
  <c r="Y52" i="30"/>
  <c r="P52" i="30"/>
  <c r="M52" i="30"/>
  <c r="K52" i="30"/>
  <c r="F52" i="30"/>
  <c r="B52" i="30"/>
  <c r="M190" i="22"/>
  <c r="A190" i="22" s="1"/>
  <c r="N36" i="30"/>
  <c r="N28" i="30"/>
  <c r="N29" i="30"/>
  <c r="D252" i="26"/>
  <c r="F252" i="26"/>
  <c r="H252" i="26"/>
  <c r="M252" i="26"/>
  <c r="D104" i="26"/>
  <c r="F104" i="26"/>
  <c r="H104" i="26"/>
  <c r="M104" i="26"/>
  <c r="A252" i="26" l="1"/>
  <c r="B252" i="26"/>
  <c r="A104" i="26"/>
  <c r="B104" i="26"/>
  <c r="M190" i="26" l="1"/>
  <c r="H190" i="26"/>
  <c r="F190" i="26"/>
  <c r="D190" i="26"/>
  <c r="B190" i="26"/>
  <c r="C6" i="27"/>
  <c r="C8" i="27"/>
  <c r="D22" i="28"/>
  <c r="A22" i="28" s="1"/>
  <c r="M61" i="27"/>
  <c r="K61" i="27"/>
  <c r="H61" i="27"/>
  <c r="B61" i="27" s="1"/>
  <c r="D61" i="27" l="1"/>
  <c r="A190" i="26"/>
  <c r="C61" i="27"/>
  <c r="I61" i="27"/>
  <c r="A61" i="27"/>
  <c r="J61" i="27" l="1"/>
  <c r="AN14" i="30" l="1"/>
  <c r="AO14" i="30" s="1"/>
  <c r="AM14" i="30"/>
  <c r="Y14" i="30"/>
  <c r="P14" i="30"/>
  <c r="M14" i="30"/>
  <c r="K14" i="30"/>
  <c r="F14" i="30"/>
  <c r="B14" i="30"/>
  <c r="D64" i="28"/>
  <c r="A64" i="28" s="1"/>
  <c r="D65" i="28"/>
  <c r="A65" i="28" s="1"/>
  <c r="H64" i="27"/>
  <c r="I64" i="27" s="1"/>
  <c r="K64" i="27"/>
  <c r="M64" i="27"/>
  <c r="H66" i="27"/>
  <c r="B66" i="27" s="1"/>
  <c r="K66" i="27"/>
  <c r="M66" i="27"/>
  <c r="A55" i="29"/>
  <c r="A56" i="29"/>
  <c r="C55" i="29"/>
  <c r="C56" i="29"/>
  <c r="O36" i="28"/>
  <c r="R36" i="28"/>
  <c r="C32" i="27"/>
  <c r="H32" i="27"/>
  <c r="K32" i="27"/>
  <c r="M32" i="27"/>
  <c r="D131" i="26"/>
  <c r="F131" i="26"/>
  <c r="H131" i="26"/>
  <c r="M131" i="26"/>
  <c r="M46" i="22"/>
  <c r="M7" i="22"/>
  <c r="M31" i="22"/>
  <c r="M12" i="22"/>
  <c r="M6" i="22"/>
  <c r="M39" i="22"/>
  <c r="M30" i="22"/>
  <c r="M57" i="22"/>
  <c r="M58" i="22"/>
  <c r="M77" i="22"/>
  <c r="M84" i="22"/>
  <c r="M83" i="22"/>
  <c r="M88" i="22"/>
  <c r="M103" i="22"/>
  <c r="M132" i="22"/>
  <c r="M87" i="22"/>
  <c r="M148" i="22"/>
  <c r="M5" i="22"/>
  <c r="M10" i="22"/>
  <c r="M16" i="22"/>
  <c r="M15" i="22"/>
  <c r="M14" i="22"/>
  <c r="M18" i="22"/>
  <c r="M23" i="22"/>
  <c r="M22" i="22"/>
  <c r="M21" i="22"/>
  <c r="M20" i="22"/>
  <c r="M25" i="22"/>
  <c r="M11" i="22"/>
  <c r="M29" i="22"/>
  <c r="M45" i="22"/>
  <c r="M76" i="22"/>
  <c r="M36" i="22"/>
  <c r="M44" i="22"/>
  <c r="M61" i="22"/>
  <c r="M105" i="22"/>
  <c r="M60" i="22"/>
  <c r="M106" i="22"/>
  <c r="M56" i="22"/>
  <c r="M38" i="22"/>
  <c r="M75" i="22"/>
  <c r="M82" i="22"/>
  <c r="M55" i="22"/>
  <c r="M86" i="22"/>
  <c r="M147" i="22"/>
  <c r="M164" i="22"/>
  <c r="M166" i="22"/>
  <c r="M168" i="22"/>
  <c r="M170" i="22"/>
  <c r="M173" i="22"/>
  <c r="M172" i="22"/>
  <c r="M177" i="22"/>
  <c r="M175" i="22"/>
  <c r="M179" i="22"/>
  <c r="M182" i="22"/>
  <c r="M181" i="22"/>
  <c r="M184" i="22"/>
  <c r="M186" i="22"/>
  <c r="M193" i="22"/>
  <c r="M192" i="22"/>
  <c r="M196" i="22"/>
  <c r="M198" i="22"/>
  <c r="M64" i="22"/>
  <c r="M63" i="22"/>
  <c r="M66" i="22"/>
  <c r="M70" i="22"/>
  <c r="M69" i="22"/>
  <c r="M68" i="22"/>
  <c r="M71" i="22"/>
  <c r="M91" i="22"/>
  <c r="M90" i="22"/>
  <c r="M92" i="22"/>
  <c r="M98" i="22"/>
  <c r="M97" i="22"/>
  <c r="M96" i="22"/>
  <c r="M95" i="22"/>
  <c r="M101" i="22"/>
  <c r="M110" i="22"/>
  <c r="M109" i="22"/>
  <c r="M108" i="22"/>
  <c r="M113" i="22"/>
  <c r="A113" i="22" s="1"/>
  <c r="M111" i="22"/>
  <c r="A111" i="22" s="1"/>
  <c r="M116" i="22"/>
  <c r="M115" i="22"/>
  <c r="M119" i="22"/>
  <c r="M121" i="22"/>
  <c r="M126" i="22"/>
  <c r="M125" i="22"/>
  <c r="M135" i="22"/>
  <c r="M134" i="22"/>
  <c r="M133" i="22"/>
  <c r="M138" i="22"/>
  <c r="M142" i="22"/>
  <c r="M141" i="22"/>
  <c r="M143" i="22"/>
  <c r="M151" i="22"/>
  <c r="M150" i="22"/>
  <c r="M153" i="22"/>
  <c r="M156" i="22"/>
  <c r="M159" i="22"/>
  <c r="M158" i="22"/>
  <c r="M163" i="22"/>
  <c r="M200" i="22"/>
  <c r="M206" i="22"/>
  <c r="M2" i="22"/>
  <c r="M4" i="22"/>
  <c r="M28" i="22"/>
  <c r="M33" i="22"/>
  <c r="M37" i="22"/>
  <c r="M40" i="22"/>
  <c r="M43" i="22"/>
  <c r="M74" i="22"/>
  <c r="M85" i="22"/>
  <c r="M146" i="22"/>
  <c r="M9" i="22"/>
  <c r="M54" i="22"/>
  <c r="M80" i="22"/>
  <c r="M27" i="22"/>
  <c r="M59" i="22"/>
  <c r="M104" i="22"/>
  <c r="M230" i="22"/>
  <c r="M123" i="22"/>
  <c r="M122" i="22"/>
  <c r="M127" i="22"/>
  <c r="M210" i="22"/>
  <c r="M212" i="22"/>
  <c r="M214" i="22"/>
  <c r="M216" i="22"/>
  <c r="M218" i="22"/>
  <c r="M221" i="22"/>
  <c r="M224" i="22"/>
  <c r="M226" i="22"/>
  <c r="M228" i="22"/>
  <c r="M50" i="22"/>
  <c r="M48" i="22"/>
  <c r="M202" i="22"/>
  <c r="M131" i="22"/>
  <c r="M130" i="22"/>
  <c r="D63" i="28"/>
  <c r="A63" i="28" s="1"/>
  <c r="M43" i="27"/>
  <c r="C43" i="27" s="1"/>
  <c r="K43" i="27"/>
  <c r="H43" i="27"/>
  <c r="I43" i="27" s="1"/>
  <c r="A66" i="27" l="1"/>
  <c r="A64" i="27"/>
  <c r="B64" i="27"/>
  <c r="J64" i="27"/>
  <c r="I66" i="27"/>
  <c r="J66" i="27" s="1"/>
  <c r="D64" i="27"/>
  <c r="C64" i="27"/>
  <c r="D66" i="27"/>
  <c r="C66" i="27"/>
  <c r="A32" i="27"/>
  <c r="M36" i="28"/>
  <c r="I32" i="27"/>
  <c r="D32" i="27"/>
  <c r="B32" i="27"/>
  <c r="A43" i="27"/>
  <c r="A131" i="26"/>
  <c r="B131" i="26"/>
  <c r="B43" i="27"/>
  <c r="D43" i="27"/>
  <c r="J43" i="27"/>
  <c r="M248" i="26"/>
  <c r="H248" i="26"/>
  <c r="F248" i="26"/>
  <c r="D248" i="26"/>
  <c r="M246" i="26"/>
  <c r="H246" i="26"/>
  <c r="F246" i="26"/>
  <c r="D246" i="26"/>
  <c r="D249" i="26"/>
  <c r="D250" i="26"/>
  <c r="F249" i="26"/>
  <c r="F250" i="26"/>
  <c r="H249" i="26"/>
  <c r="H250" i="26"/>
  <c r="M249" i="26"/>
  <c r="M250" i="26"/>
  <c r="A130" i="22"/>
  <c r="A2" i="22"/>
  <c r="A250" i="26" l="1"/>
  <c r="A249" i="26"/>
  <c r="A248" i="26"/>
  <c r="A246" i="26"/>
  <c r="B250" i="26"/>
  <c r="B248" i="26"/>
  <c r="B249" i="26"/>
  <c r="B246" i="26"/>
  <c r="Y56" i="30"/>
  <c r="P56" i="30"/>
  <c r="M56" i="30"/>
  <c r="M251" i="26"/>
  <c r="H251" i="26"/>
  <c r="F251" i="26"/>
  <c r="D251" i="26"/>
  <c r="B245" i="26"/>
  <c r="M245" i="26"/>
  <c r="H245" i="26"/>
  <c r="F245" i="26"/>
  <c r="D245" i="26"/>
  <c r="B244" i="26"/>
  <c r="M244" i="26"/>
  <c r="H244" i="26"/>
  <c r="F244" i="26"/>
  <c r="D244" i="26"/>
  <c r="B243" i="26"/>
  <c r="M243" i="26"/>
  <c r="H243" i="26"/>
  <c r="F243" i="26"/>
  <c r="D243" i="26"/>
  <c r="B242" i="26"/>
  <c r="M242" i="26"/>
  <c r="H242" i="26"/>
  <c r="F242" i="26"/>
  <c r="D242" i="26"/>
  <c r="B241" i="26"/>
  <c r="M241" i="26"/>
  <c r="H241" i="26"/>
  <c r="F241" i="26"/>
  <c r="D241" i="26"/>
  <c r="B240" i="26"/>
  <c r="M240" i="26"/>
  <c r="H240" i="26"/>
  <c r="F240" i="26"/>
  <c r="D240" i="26"/>
  <c r="B251" i="26" l="1"/>
  <c r="A251" i="26"/>
  <c r="A245" i="26"/>
  <c r="A243" i="26"/>
  <c r="A244" i="26"/>
  <c r="A241" i="26"/>
  <c r="A240" i="26"/>
  <c r="A242" i="26"/>
  <c r="A177" i="22" l="1"/>
  <c r="A193" i="22" l="1"/>
  <c r="A182" i="22"/>
  <c r="A173" i="22"/>
  <c r="A131" i="22"/>
  <c r="D87" i="26" l="1"/>
  <c r="F87" i="26"/>
  <c r="H87" i="26"/>
  <c r="M87" i="26"/>
  <c r="D189" i="26"/>
  <c r="F189" i="26"/>
  <c r="H189" i="26"/>
  <c r="M189" i="26"/>
  <c r="F187" i="26"/>
  <c r="A87" i="26" l="1"/>
  <c r="B87" i="26"/>
  <c r="B189" i="26"/>
  <c r="A189" i="26"/>
  <c r="A156" i="22" l="1"/>
  <c r="A123" i="22"/>
  <c r="A37" i="22" l="1"/>
  <c r="A127" i="22" l="1"/>
  <c r="A122" i="22"/>
  <c r="M57" i="30" l="1"/>
  <c r="P57" i="30"/>
  <c r="Y57" i="30"/>
  <c r="A202" i="22"/>
  <c r="D21" i="28" l="1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A62" i="28" s="1"/>
  <c r="M58" i="27"/>
  <c r="K58" i="27"/>
  <c r="H58" i="27"/>
  <c r="I58" i="27" s="1"/>
  <c r="D58" i="27" l="1"/>
  <c r="B58" i="27"/>
  <c r="C58" i="27"/>
  <c r="A58" i="27"/>
  <c r="J58" i="27"/>
  <c r="D29" i="26" l="1"/>
  <c r="B29" i="26" s="1"/>
  <c r="F29" i="26"/>
  <c r="H29" i="26"/>
  <c r="M29" i="26"/>
  <c r="A4" i="22"/>
  <c r="A28" i="22"/>
  <c r="A33" i="22"/>
  <c r="A40" i="22"/>
  <c r="A43" i="22"/>
  <c r="A74" i="22"/>
  <c r="A85" i="22"/>
  <c r="A146" i="22"/>
  <c r="A9" i="22"/>
  <c r="A54" i="22"/>
  <c r="A80" i="22"/>
  <c r="A27" i="22"/>
  <c r="A59" i="22"/>
  <c r="A104" i="22"/>
  <c r="A230" i="22"/>
  <c r="A210" i="22"/>
  <c r="A212" i="22"/>
  <c r="A214" i="22"/>
  <c r="A216" i="22"/>
  <c r="A218" i="22"/>
  <c r="A221" i="22"/>
  <c r="A224" i="22"/>
  <c r="A226" i="22"/>
  <c r="A228" i="22"/>
  <c r="A50" i="22"/>
  <c r="A48" i="22"/>
  <c r="A18" i="22"/>
  <c r="A25" i="22"/>
  <c r="A66" i="22"/>
  <c r="A71" i="22"/>
  <c r="A92" i="22"/>
  <c r="A101" i="22"/>
  <c r="A119" i="22"/>
  <c r="A138" i="22"/>
  <c r="A143" i="22"/>
  <c r="A153" i="22"/>
  <c r="A163" i="22"/>
  <c r="A200" i="22"/>
  <c r="A206" i="22"/>
  <c r="G5" i="59" l="1"/>
  <c r="A29" i="26"/>
  <c r="A86" i="22"/>
  <c r="H5" i="59" l="1"/>
  <c r="E5" i="59"/>
  <c r="C5" i="59"/>
  <c r="D5" i="59"/>
  <c r="AU5" i="59"/>
  <c r="A20" i="22"/>
  <c r="A61" i="28"/>
  <c r="M108" i="27"/>
  <c r="K108" i="27"/>
  <c r="H108" i="27"/>
  <c r="I108" i="27" s="1"/>
  <c r="M239" i="26"/>
  <c r="H239" i="26"/>
  <c r="F239" i="26"/>
  <c r="D239" i="26"/>
  <c r="M238" i="26"/>
  <c r="H238" i="26"/>
  <c r="F238" i="26"/>
  <c r="D238" i="26"/>
  <c r="B238" i="26" s="1"/>
  <c r="M237" i="26"/>
  <c r="H237" i="26"/>
  <c r="F237" i="26"/>
  <c r="D237" i="26"/>
  <c r="M214" i="26"/>
  <c r="M225" i="26"/>
  <c r="M226" i="26"/>
  <c r="H214" i="26"/>
  <c r="H225" i="26"/>
  <c r="H226" i="26"/>
  <c r="F214" i="26"/>
  <c r="B214" i="26" s="1"/>
  <c r="F225" i="26"/>
  <c r="F226" i="26"/>
  <c r="D214" i="26"/>
  <c r="D225" i="26"/>
  <c r="D226" i="26"/>
  <c r="B226" i="26"/>
  <c r="M93" i="26"/>
  <c r="M94" i="26"/>
  <c r="M95" i="26"/>
  <c r="H93" i="26"/>
  <c r="H94" i="26"/>
  <c r="H95" i="26"/>
  <c r="F93" i="26"/>
  <c r="F94" i="26"/>
  <c r="F95" i="26"/>
  <c r="D93" i="26"/>
  <c r="B93" i="26" s="1"/>
  <c r="D94" i="26"/>
  <c r="D95" i="26"/>
  <c r="B95" i="26"/>
  <c r="M235" i="26"/>
  <c r="M236" i="26"/>
  <c r="M253" i="26"/>
  <c r="H235" i="26"/>
  <c r="H236" i="26"/>
  <c r="H253" i="26"/>
  <c r="F235" i="26"/>
  <c r="B235" i="26" s="1"/>
  <c r="F236" i="26"/>
  <c r="F253" i="26"/>
  <c r="D235" i="26"/>
  <c r="D236" i="26"/>
  <c r="D253" i="26"/>
  <c r="B253" i="26"/>
  <c r="M233" i="26"/>
  <c r="H233" i="26"/>
  <c r="F233" i="26"/>
  <c r="D233" i="26"/>
  <c r="B233" i="26" s="1"/>
  <c r="M232" i="26"/>
  <c r="H232" i="26"/>
  <c r="F232" i="26"/>
  <c r="D232" i="26"/>
  <c r="M231" i="26"/>
  <c r="H231" i="26"/>
  <c r="F231" i="26"/>
  <c r="B231" i="26" s="1"/>
  <c r="D231" i="26"/>
  <c r="M222" i="26"/>
  <c r="M224" i="26"/>
  <c r="H222" i="26"/>
  <c r="H224" i="26"/>
  <c r="F222" i="26"/>
  <c r="F224" i="26"/>
  <c r="D222" i="26"/>
  <c r="D224" i="26"/>
  <c r="M221" i="26"/>
  <c r="H221" i="26"/>
  <c r="F221" i="26"/>
  <c r="D221" i="26"/>
  <c r="M220" i="26"/>
  <c r="H220" i="26"/>
  <c r="F220" i="26"/>
  <c r="D220" i="26"/>
  <c r="A166" i="22"/>
  <c r="A192" i="22"/>
  <c r="A198" i="22"/>
  <c r="A168" i="22"/>
  <c r="A172" i="22"/>
  <c r="A181" i="22"/>
  <c r="A184" i="22"/>
  <c r="A186" i="22"/>
  <c r="A179" i="22"/>
  <c r="A164" i="22"/>
  <c r="A175" i="22"/>
  <c r="A196" i="22"/>
  <c r="A170" i="22"/>
  <c r="D108" i="27" l="1"/>
  <c r="B108" i="27"/>
  <c r="B239" i="26"/>
  <c r="A108" i="27"/>
  <c r="J108" i="27"/>
  <c r="C108" i="27"/>
  <c r="A239" i="26"/>
  <c r="A238" i="26"/>
  <c r="B237" i="26"/>
  <c r="A237" i="26"/>
  <c r="A93" i="26"/>
  <c r="A226" i="26"/>
  <c r="A214" i="26"/>
  <c r="A95" i="26"/>
  <c r="A225" i="26"/>
  <c r="B225" i="26"/>
  <c r="A235" i="26"/>
  <c r="A94" i="26"/>
  <c r="B94" i="26"/>
  <c r="A236" i="26"/>
  <c r="A253" i="26"/>
  <c r="B236" i="26"/>
  <c r="A233" i="26"/>
  <c r="B232" i="26"/>
  <c r="A232" i="26"/>
  <c r="A231" i="26"/>
  <c r="B224" i="26"/>
  <c r="B222" i="26"/>
  <c r="A224" i="26"/>
  <c r="A222" i="26"/>
  <c r="B221" i="26"/>
  <c r="A221" i="26"/>
  <c r="B220" i="26"/>
  <c r="A220" i="26"/>
  <c r="M219" i="26" l="1"/>
  <c r="H219" i="26"/>
  <c r="D219" i="26"/>
  <c r="F219" i="26"/>
  <c r="B219" i="26" l="1"/>
  <c r="A219" i="26"/>
  <c r="A159" i="22"/>
  <c r="H4" i="27"/>
  <c r="M4" i="27"/>
  <c r="C4" i="27" s="1"/>
  <c r="A14" i="29"/>
  <c r="C14" i="29"/>
  <c r="O5" i="28"/>
  <c r="R5" i="28"/>
  <c r="A4" i="27" l="1"/>
  <c r="I4" i="27"/>
  <c r="D4" i="27"/>
  <c r="B4" i="27"/>
  <c r="M5" i="28"/>
  <c r="A95" i="22"/>
  <c r="A44" i="22" l="1"/>
  <c r="M196" i="26" l="1"/>
  <c r="H196" i="26"/>
  <c r="F196" i="26"/>
  <c r="D196" i="26"/>
  <c r="B196" i="26"/>
  <c r="M194" i="26"/>
  <c r="H194" i="26"/>
  <c r="F194" i="26"/>
  <c r="D194" i="26"/>
  <c r="B195" i="26"/>
  <c r="D195" i="26"/>
  <c r="F195" i="26"/>
  <c r="H195" i="26"/>
  <c r="M195" i="26"/>
  <c r="A76" i="22"/>
  <c r="A196" i="26" l="1"/>
  <c r="A194" i="26"/>
  <c r="B194" i="26"/>
  <c r="A195" i="26"/>
  <c r="M216" i="26"/>
  <c r="D216" i="26"/>
  <c r="F216" i="26"/>
  <c r="H216" i="26"/>
  <c r="M215" i="26"/>
  <c r="D215" i="26"/>
  <c r="F215" i="26"/>
  <c r="H215" i="26"/>
  <c r="M234" i="26"/>
  <c r="D234" i="26"/>
  <c r="F234" i="26"/>
  <c r="H234" i="26"/>
  <c r="C34" i="27"/>
  <c r="H34" i="27"/>
  <c r="I34" i="27" s="1"/>
  <c r="K34" i="27"/>
  <c r="M34" i="27"/>
  <c r="F130" i="26"/>
  <c r="A216" i="26" l="1"/>
  <c r="B216" i="26"/>
  <c r="A215" i="26"/>
  <c r="B215" i="26"/>
  <c r="D34" i="27"/>
  <c r="A234" i="26"/>
  <c r="B234" i="26"/>
  <c r="A34" i="27"/>
  <c r="B34" i="27"/>
  <c r="B38" i="30" l="1"/>
  <c r="F38" i="30"/>
  <c r="K38" i="30"/>
  <c r="M38" i="30"/>
  <c r="P38" i="30"/>
  <c r="Y38" i="30"/>
  <c r="AM38" i="30"/>
  <c r="A57" i="28" l="1"/>
  <c r="M95" i="27"/>
  <c r="C95" i="27" s="1"/>
  <c r="K95" i="27"/>
  <c r="H95" i="27"/>
  <c r="B95" i="27" s="1"/>
  <c r="M12" i="26"/>
  <c r="H12" i="26"/>
  <c r="F12" i="26"/>
  <c r="D12" i="26"/>
  <c r="M74" i="26"/>
  <c r="H74" i="26"/>
  <c r="F74" i="26"/>
  <c r="D74" i="26"/>
  <c r="M206" i="26"/>
  <c r="H206" i="26"/>
  <c r="F206" i="26"/>
  <c r="D206" i="26"/>
  <c r="A30" i="28"/>
  <c r="A29" i="28"/>
  <c r="A28" i="28"/>
  <c r="M75" i="27"/>
  <c r="C75" i="27" s="1"/>
  <c r="K75" i="27"/>
  <c r="H75" i="27"/>
  <c r="B75" i="27" s="1"/>
  <c r="M74" i="27"/>
  <c r="C74" i="27" s="1"/>
  <c r="K74" i="27"/>
  <c r="H74" i="27"/>
  <c r="M73" i="27"/>
  <c r="K73" i="27"/>
  <c r="H73" i="27"/>
  <c r="I73" i="27" s="1"/>
  <c r="M64" i="26"/>
  <c r="H64" i="26"/>
  <c r="F64" i="26"/>
  <c r="D64" i="26"/>
  <c r="B64" i="26"/>
  <c r="M33" i="26"/>
  <c r="H33" i="26"/>
  <c r="F33" i="26"/>
  <c r="D33" i="26"/>
  <c r="B33" i="26"/>
  <c r="M27" i="26"/>
  <c r="H27" i="26"/>
  <c r="F27" i="26"/>
  <c r="D27" i="26"/>
  <c r="B27" i="26"/>
  <c r="M152" i="26"/>
  <c r="H152" i="26"/>
  <c r="F152" i="26"/>
  <c r="D152" i="26"/>
  <c r="B152" i="26"/>
  <c r="M4" i="26"/>
  <c r="H4" i="26"/>
  <c r="F4" i="26"/>
  <c r="D4" i="26"/>
  <c r="B4" i="26"/>
  <c r="M11" i="26"/>
  <c r="H11" i="26"/>
  <c r="F11" i="26"/>
  <c r="D11" i="26"/>
  <c r="B11" i="26"/>
  <c r="A24" i="29"/>
  <c r="C24" i="29"/>
  <c r="D20" i="26"/>
  <c r="F20" i="26"/>
  <c r="H20" i="26"/>
  <c r="M20" i="26"/>
  <c r="D24" i="26"/>
  <c r="F24" i="26"/>
  <c r="H24" i="26"/>
  <c r="M24" i="26"/>
  <c r="D95" i="27" l="1"/>
  <c r="I95" i="27"/>
  <c r="A95" i="27"/>
  <c r="B12" i="26"/>
  <c r="A12" i="26"/>
  <c r="A74" i="26"/>
  <c r="B74" i="26"/>
  <c r="B73" i="27"/>
  <c r="D73" i="27"/>
  <c r="B206" i="26"/>
  <c r="A206" i="26"/>
  <c r="D74" i="27"/>
  <c r="J73" i="27"/>
  <c r="I74" i="27"/>
  <c r="D75" i="27"/>
  <c r="I75" i="27"/>
  <c r="A74" i="27"/>
  <c r="C73" i="27"/>
  <c r="B74" i="27"/>
  <c r="A73" i="27"/>
  <c r="A75" i="27"/>
  <c r="A64" i="26"/>
  <c r="A33" i="26"/>
  <c r="A27" i="26"/>
  <c r="A152" i="26"/>
  <c r="A4" i="26"/>
  <c r="A11" i="26"/>
  <c r="A20" i="26"/>
  <c r="B20" i="26"/>
  <c r="A24" i="26"/>
  <c r="B24" i="26"/>
  <c r="J95" i="27" l="1"/>
  <c r="J75" i="27"/>
  <c r="J74" i="27"/>
  <c r="A82" i="22"/>
  <c r="A55" i="22"/>
  <c r="A158" i="22"/>
  <c r="D16" i="26"/>
  <c r="F16" i="26"/>
  <c r="H16" i="26"/>
  <c r="M16" i="26"/>
  <c r="A16" i="26" l="1"/>
  <c r="B16" i="26"/>
  <c r="A21" i="22"/>
  <c r="A14" i="22"/>
  <c r="D209" i="26" l="1"/>
  <c r="F209" i="26"/>
  <c r="H209" i="26"/>
  <c r="M209" i="26"/>
  <c r="A125" i="22"/>
  <c r="A68" i="22"/>
  <c r="A209" i="26" l="1"/>
  <c r="B209" i="26"/>
  <c r="D208" i="26" l="1"/>
  <c r="F208" i="26"/>
  <c r="H208" i="26"/>
  <c r="M208" i="26"/>
  <c r="A61" i="22"/>
  <c r="A118" i="22"/>
  <c r="A115" i="22"/>
  <c r="A96" i="22"/>
  <c r="A133" i="22"/>
  <c r="A90" i="22"/>
  <c r="A63" i="22"/>
  <c r="A108" i="22"/>
  <c r="A208" i="26" l="1"/>
  <c r="B208" i="26"/>
  <c r="A148" i="22" l="1"/>
  <c r="A87" i="22"/>
  <c r="A10" i="22"/>
  <c r="D207" i="26" l="1"/>
  <c r="F207" i="26"/>
  <c r="H207" i="26"/>
  <c r="M207" i="26"/>
  <c r="D211" i="26"/>
  <c r="F211" i="26"/>
  <c r="H211" i="26"/>
  <c r="M211" i="26"/>
  <c r="D210" i="26"/>
  <c r="F210" i="26"/>
  <c r="H210" i="26"/>
  <c r="M210" i="26"/>
  <c r="A207" i="26" l="1"/>
  <c r="B207" i="26"/>
  <c r="A211" i="26"/>
  <c r="B211" i="26"/>
  <c r="A210" i="26"/>
  <c r="B210" i="26"/>
  <c r="F191" i="26" l="1"/>
  <c r="M191" i="26"/>
  <c r="H191" i="26"/>
  <c r="D191" i="26"/>
  <c r="B191" i="26"/>
  <c r="D204" i="26"/>
  <c r="D205" i="26"/>
  <c r="D212" i="26"/>
  <c r="D213" i="26"/>
  <c r="A191" i="26" l="1"/>
  <c r="F58" i="58"/>
  <c r="F6" i="58"/>
  <c r="F59" i="58"/>
  <c r="F60" i="58"/>
  <c r="F5" i="58"/>
  <c r="F23" i="58"/>
  <c r="F61" i="58"/>
  <c r="F37" i="58"/>
  <c r="F8" i="58"/>
  <c r="F10" i="58"/>
  <c r="F22" i="58"/>
  <c r="F63" i="58"/>
  <c r="F18" i="58"/>
  <c r="F19" i="58"/>
  <c r="F36" i="58"/>
  <c r="F27" i="58"/>
  <c r="F29" i="58"/>
  <c r="F62" i="58"/>
  <c r="F55" i="58"/>
  <c r="F52" i="58"/>
  <c r="F53" i="58"/>
  <c r="F56" i="58"/>
  <c r="F57" i="58"/>
  <c r="F16" i="58"/>
  <c r="F49" i="58"/>
  <c r="F46" i="58"/>
  <c r="F9" i="58"/>
  <c r="F67" i="58"/>
  <c r="F47" i="58"/>
  <c r="F30" i="58"/>
  <c r="F51" i="58"/>
  <c r="F20" i="58"/>
  <c r="F7" i="58"/>
  <c r="F66" i="58"/>
  <c r="F50" i="58"/>
  <c r="F39" i="58"/>
  <c r="F40" i="58"/>
  <c r="F41" i="58"/>
  <c r="F42" i="58"/>
  <c r="F43" i="58"/>
  <c r="F44" i="58"/>
  <c r="F45" i="58"/>
  <c r="F12" i="58"/>
  <c r="F64" i="58"/>
  <c r="F11" i="58"/>
  <c r="F65" i="58"/>
  <c r="F13" i="58"/>
  <c r="F48" i="58"/>
  <c r="F24" i="58"/>
  <c r="F68" i="58"/>
  <c r="F69" i="58"/>
  <c r="F70" i="58"/>
  <c r="F31" i="58"/>
  <c r="F32" i="58"/>
  <c r="F33" i="58"/>
  <c r="F34" i="58"/>
  <c r="F35" i="58"/>
  <c r="F25" i="58"/>
  <c r="F21" i="58"/>
  <c r="F38" i="58"/>
  <c r="F26" i="58"/>
  <c r="F54" i="58"/>
  <c r="F28" i="58"/>
  <c r="F17" i="58"/>
  <c r="F15" i="58"/>
  <c r="B58" i="58"/>
  <c r="K58" i="58"/>
  <c r="M58" i="58"/>
  <c r="P58" i="58"/>
  <c r="Y58" i="58"/>
  <c r="AM58" i="58"/>
  <c r="AN58" i="58"/>
  <c r="AO58" i="58" s="1"/>
  <c r="AX58" i="58"/>
  <c r="B6" i="58"/>
  <c r="K6" i="58"/>
  <c r="M6" i="58"/>
  <c r="P6" i="58"/>
  <c r="Y6" i="58"/>
  <c r="AM6" i="58"/>
  <c r="AN6" i="58"/>
  <c r="AO6" i="58" s="1"/>
  <c r="AX6" i="58"/>
  <c r="B59" i="58"/>
  <c r="K59" i="58"/>
  <c r="M59" i="58"/>
  <c r="P59" i="58"/>
  <c r="Y59" i="58"/>
  <c r="AM59" i="58"/>
  <c r="AN59" i="58"/>
  <c r="AO59" i="58" s="1"/>
  <c r="AX59" i="58"/>
  <c r="B60" i="58"/>
  <c r="K60" i="58"/>
  <c r="M60" i="58"/>
  <c r="P60" i="58"/>
  <c r="Y60" i="58"/>
  <c r="AM60" i="58"/>
  <c r="AN60" i="58"/>
  <c r="AO60" i="58" s="1"/>
  <c r="AX60" i="58"/>
  <c r="B5" i="58"/>
  <c r="K5" i="58"/>
  <c r="M5" i="58"/>
  <c r="P5" i="58"/>
  <c r="Y5" i="58"/>
  <c r="AM5" i="58"/>
  <c r="AN5" i="58"/>
  <c r="AO5" i="58" s="1"/>
  <c r="AX5" i="58"/>
  <c r="B23" i="58"/>
  <c r="K23" i="58"/>
  <c r="M23" i="58"/>
  <c r="P23" i="58"/>
  <c r="Y23" i="58"/>
  <c r="AM23" i="58"/>
  <c r="AN23" i="58"/>
  <c r="AO23" i="58" s="1"/>
  <c r="AX23" i="58"/>
  <c r="B61" i="58"/>
  <c r="K61" i="58"/>
  <c r="M61" i="58"/>
  <c r="P61" i="58"/>
  <c r="Y61" i="58"/>
  <c r="AM61" i="58"/>
  <c r="AN61" i="58"/>
  <c r="AO61" i="58" s="1"/>
  <c r="AX61" i="58"/>
  <c r="B37" i="58"/>
  <c r="K37" i="58"/>
  <c r="M37" i="58"/>
  <c r="P37" i="58"/>
  <c r="Y37" i="58"/>
  <c r="AM37" i="58"/>
  <c r="AX37" i="58"/>
  <c r="B8" i="58"/>
  <c r="K8" i="58"/>
  <c r="M8" i="58"/>
  <c r="P8" i="58"/>
  <c r="Y8" i="58"/>
  <c r="AM8" i="58"/>
  <c r="AN8" i="58"/>
  <c r="AO8" i="58" s="1"/>
  <c r="AX8" i="58"/>
  <c r="B10" i="58"/>
  <c r="K10" i="58"/>
  <c r="M10" i="58"/>
  <c r="P10" i="58"/>
  <c r="Y10" i="58"/>
  <c r="AM10" i="58"/>
  <c r="AN10" i="58"/>
  <c r="AO10" i="58" s="1"/>
  <c r="AX10" i="58"/>
  <c r="B22" i="58"/>
  <c r="K22" i="58"/>
  <c r="M22" i="58"/>
  <c r="P22" i="58"/>
  <c r="Y22" i="58"/>
  <c r="AM22" i="58"/>
  <c r="AN22" i="58"/>
  <c r="AO22" i="58" s="1"/>
  <c r="AX22" i="58"/>
  <c r="B63" i="58"/>
  <c r="K63" i="58"/>
  <c r="M63" i="58"/>
  <c r="P63" i="58"/>
  <c r="Y63" i="58"/>
  <c r="AM63" i="58"/>
  <c r="AN63" i="58"/>
  <c r="AO63" i="58" s="1"/>
  <c r="AX63" i="58"/>
  <c r="B18" i="58"/>
  <c r="K18" i="58"/>
  <c r="M18" i="58"/>
  <c r="P18" i="58"/>
  <c r="Y18" i="58"/>
  <c r="AM18" i="58"/>
  <c r="AN18" i="58"/>
  <c r="AO18" i="58" s="1"/>
  <c r="AX18" i="58"/>
  <c r="B19" i="58"/>
  <c r="K19" i="58"/>
  <c r="N19" i="58"/>
  <c r="P19" i="58"/>
  <c r="Y19" i="58"/>
  <c r="AM19" i="58"/>
  <c r="AN19" i="58"/>
  <c r="AO19" i="58" s="1"/>
  <c r="AX19" i="58"/>
  <c r="B36" i="58"/>
  <c r="K36" i="58"/>
  <c r="M36" i="58"/>
  <c r="P36" i="58"/>
  <c r="Y36" i="58"/>
  <c r="AM36" i="58"/>
  <c r="AX36" i="58"/>
  <c r="B27" i="58"/>
  <c r="K27" i="58"/>
  <c r="M27" i="58"/>
  <c r="P27" i="58"/>
  <c r="Y27" i="58"/>
  <c r="AM27" i="58"/>
  <c r="AN27" i="58"/>
  <c r="AO27" i="58" s="1"/>
  <c r="AX27" i="58"/>
  <c r="B29" i="58"/>
  <c r="K29" i="58"/>
  <c r="M29" i="58"/>
  <c r="P29" i="58"/>
  <c r="Y29" i="58"/>
  <c r="AM29" i="58"/>
  <c r="AX29" i="58"/>
  <c r="B62" i="58"/>
  <c r="K62" i="58"/>
  <c r="M62" i="58"/>
  <c r="P62" i="58"/>
  <c r="Y62" i="58"/>
  <c r="AM62" i="58"/>
  <c r="AN62" i="58"/>
  <c r="AO62" i="58" s="1"/>
  <c r="AX62" i="58"/>
  <c r="B55" i="58"/>
  <c r="K55" i="58"/>
  <c r="M55" i="58"/>
  <c r="P55" i="58"/>
  <c r="Y55" i="58"/>
  <c r="AM55" i="58"/>
  <c r="AN55" i="58"/>
  <c r="AO55" i="58" s="1"/>
  <c r="AX55" i="58"/>
  <c r="B52" i="58"/>
  <c r="K52" i="58"/>
  <c r="M52" i="58"/>
  <c r="P52" i="58"/>
  <c r="Y52" i="58"/>
  <c r="AM52" i="58"/>
  <c r="AN52" i="58"/>
  <c r="AO52" i="58" s="1"/>
  <c r="AX52" i="58"/>
  <c r="B53" i="58"/>
  <c r="K53" i="58"/>
  <c r="M53" i="58"/>
  <c r="P53" i="58"/>
  <c r="Y53" i="58"/>
  <c r="AM53" i="58"/>
  <c r="AX53" i="58"/>
  <c r="B56" i="58"/>
  <c r="K56" i="58"/>
  <c r="M56" i="58"/>
  <c r="P56" i="58"/>
  <c r="Y56" i="58"/>
  <c r="AM56" i="58"/>
  <c r="AN56" i="58"/>
  <c r="AO56" i="58" s="1"/>
  <c r="AX56" i="58"/>
  <c r="B57" i="58"/>
  <c r="K57" i="58"/>
  <c r="M57" i="58"/>
  <c r="N57" i="58" s="1"/>
  <c r="P57" i="58"/>
  <c r="Y57" i="58"/>
  <c r="AM57" i="58"/>
  <c r="AN57" i="58"/>
  <c r="AO57" i="58" s="1"/>
  <c r="AX57" i="58"/>
  <c r="B16" i="58"/>
  <c r="K16" i="58"/>
  <c r="M16" i="58"/>
  <c r="P16" i="58"/>
  <c r="Y16" i="58"/>
  <c r="AM16" i="58"/>
  <c r="AN16" i="58"/>
  <c r="AO16" i="58" s="1"/>
  <c r="AX16" i="58"/>
  <c r="B49" i="58"/>
  <c r="K49" i="58"/>
  <c r="M49" i="58"/>
  <c r="P49" i="58"/>
  <c r="Y49" i="58"/>
  <c r="AM49" i="58"/>
  <c r="AN49" i="58"/>
  <c r="AO49" i="58" s="1"/>
  <c r="AX49" i="58"/>
  <c r="B46" i="58"/>
  <c r="K46" i="58"/>
  <c r="M46" i="58"/>
  <c r="P46" i="58"/>
  <c r="Y46" i="58"/>
  <c r="AM46" i="58"/>
  <c r="AN46" i="58"/>
  <c r="AO46" i="58" s="1"/>
  <c r="AX46" i="58"/>
  <c r="B9" i="58"/>
  <c r="K9" i="58"/>
  <c r="M9" i="58"/>
  <c r="P9" i="58"/>
  <c r="Y9" i="58"/>
  <c r="AM9" i="58"/>
  <c r="AN9" i="58"/>
  <c r="AO9" i="58" s="1"/>
  <c r="AX9" i="58"/>
  <c r="B67" i="58"/>
  <c r="K67" i="58"/>
  <c r="M67" i="58"/>
  <c r="P67" i="58"/>
  <c r="Y67" i="58"/>
  <c r="AM67" i="58"/>
  <c r="AN67" i="58"/>
  <c r="AO67" i="58" s="1"/>
  <c r="AX67" i="58"/>
  <c r="B47" i="58"/>
  <c r="K47" i="58"/>
  <c r="M47" i="58"/>
  <c r="P47" i="58"/>
  <c r="Y47" i="58"/>
  <c r="AM47" i="58"/>
  <c r="AN47" i="58"/>
  <c r="AO47" i="58" s="1"/>
  <c r="AX47" i="58"/>
  <c r="B30" i="58"/>
  <c r="K30" i="58"/>
  <c r="M30" i="58"/>
  <c r="P30" i="58"/>
  <c r="Y30" i="58"/>
  <c r="AM30" i="58"/>
  <c r="AN30" i="58"/>
  <c r="AO30" i="58" s="1"/>
  <c r="AX30" i="58"/>
  <c r="B51" i="58"/>
  <c r="K51" i="58"/>
  <c r="M51" i="58"/>
  <c r="P51" i="58"/>
  <c r="Y51" i="58"/>
  <c r="AM51" i="58"/>
  <c r="AN51" i="58"/>
  <c r="AO51" i="58" s="1"/>
  <c r="AX51" i="58"/>
  <c r="B20" i="58"/>
  <c r="K20" i="58"/>
  <c r="M20" i="58"/>
  <c r="P20" i="58"/>
  <c r="Y20" i="58"/>
  <c r="AM20" i="58"/>
  <c r="AN20" i="58"/>
  <c r="AO20" i="58" s="1"/>
  <c r="AX20" i="58"/>
  <c r="B7" i="58"/>
  <c r="K7" i="58"/>
  <c r="M7" i="58"/>
  <c r="P7" i="58"/>
  <c r="Y7" i="58"/>
  <c r="AM7" i="58"/>
  <c r="AN7" i="58"/>
  <c r="AO7" i="58" s="1"/>
  <c r="AX7" i="58"/>
  <c r="B66" i="58"/>
  <c r="K66" i="58"/>
  <c r="M66" i="58"/>
  <c r="P66" i="58"/>
  <c r="Y66" i="58"/>
  <c r="AM66" i="58"/>
  <c r="AN66" i="58"/>
  <c r="AO66" i="58" s="1"/>
  <c r="AX66" i="58"/>
  <c r="B50" i="58"/>
  <c r="K50" i="58"/>
  <c r="M50" i="58"/>
  <c r="P50" i="58"/>
  <c r="Y50" i="58"/>
  <c r="AM50" i="58"/>
  <c r="AN50" i="58"/>
  <c r="AO50" i="58" s="1"/>
  <c r="AX50" i="58"/>
  <c r="B39" i="58"/>
  <c r="K39" i="58"/>
  <c r="M39" i="58"/>
  <c r="P39" i="58"/>
  <c r="Y39" i="58"/>
  <c r="AM39" i="58"/>
  <c r="AN39" i="58"/>
  <c r="AO39" i="58" s="1"/>
  <c r="AX39" i="58"/>
  <c r="B40" i="58"/>
  <c r="K40" i="58"/>
  <c r="M40" i="58"/>
  <c r="P40" i="58"/>
  <c r="Y40" i="58"/>
  <c r="AM40" i="58"/>
  <c r="AN40" i="58"/>
  <c r="AO40" i="58" s="1"/>
  <c r="AX40" i="58"/>
  <c r="B41" i="58"/>
  <c r="K41" i="58"/>
  <c r="M41" i="58"/>
  <c r="P41" i="58"/>
  <c r="Y41" i="58"/>
  <c r="AM41" i="58"/>
  <c r="AN41" i="58"/>
  <c r="AO41" i="58" s="1"/>
  <c r="AX41" i="58"/>
  <c r="B42" i="58"/>
  <c r="K42" i="58"/>
  <c r="M42" i="58"/>
  <c r="P42" i="58"/>
  <c r="Y42" i="58"/>
  <c r="AM42" i="58"/>
  <c r="AN42" i="58"/>
  <c r="AO42" i="58" s="1"/>
  <c r="AX42" i="58"/>
  <c r="B43" i="58"/>
  <c r="K43" i="58"/>
  <c r="M43" i="58"/>
  <c r="P43" i="58"/>
  <c r="Y43" i="58"/>
  <c r="AM43" i="58"/>
  <c r="AN43" i="58"/>
  <c r="AO43" i="58" s="1"/>
  <c r="AX43" i="58"/>
  <c r="B44" i="58"/>
  <c r="K44" i="58"/>
  <c r="M44" i="58"/>
  <c r="P44" i="58"/>
  <c r="Y44" i="58"/>
  <c r="AM44" i="58"/>
  <c r="AN44" i="58"/>
  <c r="AO44" i="58" s="1"/>
  <c r="AX44" i="58"/>
  <c r="B45" i="58"/>
  <c r="K45" i="58"/>
  <c r="M45" i="58"/>
  <c r="P45" i="58"/>
  <c r="Y45" i="58"/>
  <c r="AM45" i="58"/>
  <c r="AN45" i="58"/>
  <c r="AO45" i="58" s="1"/>
  <c r="AX45" i="58"/>
  <c r="B12" i="58"/>
  <c r="K12" i="58"/>
  <c r="M12" i="58"/>
  <c r="P12" i="58"/>
  <c r="Y12" i="58"/>
  <c r="AM12" i="58"/>
  <c r="AN12" i="58"/>
  <c r="AO12" i="58" s="1"/>
  <c r="AX12" i="58"/>
  <c r="B64" i="58"/>
  <c r="K64" i="58"/>
  <c r="M64" i="58"/>
  <c r="P64" i="58"/>
  <c r="Y64" i="58"/>
  <c r="AM64" i="58"/>
  <c r="AN64" i="58"/>
  <c r="AO64" i="58" s="1"/>
  <c r="AX64" i="58"/>
  <c r="B11" i="58"/>
  <c r="K11" i="58"/>
  <c r="M11" i="58"/>
  <c r="P11" i="58"/>
  <c r="Y11" i="58"/>
  <c r="AM11" i="58"/>
  <c r="AN11" i="58"/>
  <c r="AO11" i="58" s="1"/>
  <c r="AX11" i="58"/>
  <c r="B65" i="58"/>
  <c r="K65" i="58"/>
  <c r="M65" i="58"/>
  <c r="P65" i="58"/>
  <c r="Y65" i="58"/>
  <c r="AM65" i="58"/>
  <c r="AN65" i="58"/>
  <c r="AO65" i="58" s="1"/>
  <c r="AX65" i="58"/>
  <c r="B13" i="58"/>
  <c r="K13" i="58"/>
  <c r="M13" i="58"/>
  <c r="P13" i="58"/>
  <c r="Y13" i="58"/>
  <c r="AM13" i="58"/>
  <c r="AN13" i="58"/>
  <c r="AO13" i="58" s="1"/>
  <c r="AX13" i="58"/>
  <c r="B48" i="58"/>
  <c r="K48" i="58"/>
  <c r="M48" i="58"/>
  <c r="P48" i="58"/>
  <c r="Y48" i="58"/>
  <c r="AM48" i="58"/>
  <c r="AN48" i="58"/>
  <c r="AO48" i="58" s="1"/>
  <c r="AX48" i="58"/>
  <c r="B24" i="58"/>
  <c r="K24" i="58"/>
  <c r="M24" i="58"/>
  <c r="P24" i="58"/>
  <c r="Y24" i="58"/>
  <c r="AM24" i="58"/>
  <c r="AX24" i="58"/>
  <c r="B68" i="58"/>
  <c r="K68" i="58"/>
  <c r="M68" i="58"/>
  <c r="P68" i="58"/>
  <c r="Y68" i="58"/>
  <c r="AM68" i="58"/>
  <c r="AX68" i="58"/>
  <c r="B69" i="58"/>
  <c r="K69" i="58"/>
  <c r="M69" i="58"/>
  <c r="P69" i="58"/>
  <c r="Y69" i="58"/>
  <c r="AM69" i="58"/>
  <c r="AN69" i="58"/>
  <c r="AO69" i="58" s="1"/>
  <c r="AX69" i="58"/>
  <c r="B70" i="58"/>
  <c r="K70" i="58"/>
  <c r="M70" i="58"/>
  <c r="P70" i="58"/>
  <c r="Y70" i="58"/>
  <c r="AM70" i="58"/>
  <c r="AN70" i="58"/>
  <c r="AO70" i="58" s="1"/>
  <c r="AX70" i="58"/>
  <c r="B31" i="58"/>
  <c r="K31" i="58"/>
  <c r="M31" i="58"/>
  <c r="P31" i="58"/>
  <c r="Y31" i="58"/>
  <c r="AM31" i="58"/>
  <c r="AN31" i="58"/>
  <c r="AO31" i="58" s="1"/>
  <c r="AX31" i="58"/>
  <c r="B32" i="58"/>
  <c r="K32" i="58"/>
  <c r="M32" i="58"/>
  <c r="P32" i="58"/>
  <c r="Y32" i="58"/>
  <c r="AM32" i="58"/>
  <c r="AN32" i="58"/>
  <c r="AO32" i="58" s="1"/>
  <c r="AX32" i="58"/>
  <c r="B33" i="58"/>
  <c r="K33" i="58"/>
  <c r="M33" i="58"/>
  <c r="P33" i="58"/>
  <c r="Y33" i="58"/>
  <c r="AM33" i="58"/>
  <c r="AN33" i="58"/>
  <c r="AO33" i="58" s="1"/>
  <c r="AX33" i="58"/>
  <c r="B34" i="58"/>
  <c r="K34" i="58"/>
  <c r="M34" i="58"/>
  <c r="P34" i="58"/>
  <c r="Y34" i="58"/>
  <c r="AM34" i="58"/>
  <c r="AN34" i="58"/>
  <c r="AO34" i="58" s="1"/>
  <c r="AX34" i="58"/>
  <c r="B35" i="58"/>
  <c r="K35" i="58"/>
  <c r="M35" i="58"/>
  <c r="P35" i="58"/>
  <c r="Y35" i="58"/>
  <c r="AM35" i="58"/>
  <c r="AN35" i="58"/>
  <c r="AO35" i="58" s="1"/>
  <c r="AX35" i="58"/>
  <c r="B25" i="58"/>
  <c r="K25" i="58"/>
  <c r="M25" i="58"/>
  <c r="N25" i="58" s="1"/>
  <c r="P25" i="58"/>
  <c r="Y25" i="58"/>
  <c r="AM25" i="58"/>
  <c r="AX25" i="58"/>
  <c r="B21" i="58"/>
  <c r="K21" i="58"/>
  <c r="M21" i="58"/>
  <c r="P21" i="58"/>
  <c r="Y21" i="58"/>
  <c r="AM21" i="58"/>
  <c r="AN21" i="58"/>
  <c r="AO21" i="58" s="1"/>
  <c r="AX21" i="58"/>
  <c r="B38" i="58"/>
  <c r="K38" i="58"/>
  <c r="M38" i="58"/>
  <c r="P38" i="58"/>
  <c r="Y38" i="58"/>
  <c r="AM38" i="58"/>
  <c r="AX38" i="58"/>
  <c r="B26" i="58"/>
  <c r="K26" i="58"/>
  <c r="M26" i="58"/>
  <c r="N26" i="58" s="1"/>
  <c r="P26" i="58"/>
  <c r="Y26" i="58"/>
  <c r="AM26" i="58"/>
  <c r="AX26" i="58"/>
  <c r="B54" i="58"/>
  <c r="K54" i="58"/>
  <c r="M54" i="58"/>
  <c r="P54" i="58"/>
  <c r="Y54" i="58"/>
  <c r="AM54" i="58"/>
  <c r="AX54" i="58"/>
  <c r="B28" i="58"/>
  <c r="K28" i="58"/>
  <c r="M28" i="58"/>
  <c r="P28" i="58"/>
  <c r="Y28" i="58"/>
  <c r="AM28" i="58"/>
  <c r="AX28" i="58"/>
  <c r="B17" i="58"/>
  <c r="K17" i="58"/>
  <c r="M17" i="58"/>
  <c r="P17" i="58"/>
  <c r="Y17" i="58"/>
  <c r="AM17" i="58"/>
  <c r="AN17" i="58"/>
  <c r="AO17" i="58" s="1"/>
  <c r="AX17" i="58"/>
  <c r="B15" i="58"/>
  <c r="K15" i="58"/>
  <c r="M15" i="58"/>
  <c r="P15" i="58"/>
  <c r="Y15" i="58"/>
  <c r="AM15" i="58"/>
  <c r="AN15" i="58"/>
  <c r="AO15" i="58" s="1"/>
  <c r="AX15" i="58"/>
  <c r="C6" i="56" l="1"/>
  <c r="B6" i="56"/>
  <c r="C5" i="56"/>
  <c r="B5" i="56"/>
  <c r="C3" i="56"/>
  <c r="B3" i="56"/>
  <c r="C1" i="56"/>
  <c r="B1" i="56"/>
  <c r="C1" i="61"/>
  <c r="C3" i="61"/>
  <c r="B5" i="61"/>
  <c r="C5" i="61"/>
  <c r="C6" i="61"/>
  <c r="B7" i="61"/>
  <c r="B20" i="61" l="1"/>
  <c r="B21" i="61"/>
  <c r="F213" i="26" l="1"/>
  <c r="H213" i="26"/>
  <c r="B213" i="26"/>
  <c r="M213" i="26"/>
  <c r="A84" i="22"/>
  <c r="A38" i="22"/>
  <c r="C12" i="27"/>
  <c r="A213" i="26" l="1"/>
  <c r="A56" i="22"/>
  <c r="A106" i="22"/>
  <c r="A60" i="22"/>
  <c r="M212" i="26" l="1"/>
  <c r="H212" i="26"/>
  <c r="F212" i="26"/>
  <c r="B212" i="26"/>
  <c r="A212" i="26" l="1"/>
  <c r="D12" i="28"/>
  <c r="A12" i="28" s="1"/>
  <c r="K53" i="27"/>
  <c r="M53" i="27"/>
  <c r="C53" i="27" s="1"/>
  <c r="H53" i="27"/>
  <c r="B53" i="27" s="1"/>
  <c r="A53" i="27" l="1"/>
  <c r="D53" i="27"/>
  <c r="I53" i="27"/>
  <c r="J53" i="27" l="1"/>
  <c r="G6" i="56" l="1"/>
  <c r="H6" i="56" s="1"/>
  <c r="I6" i="56" s="1"/>
  <c r="J6" i="56" s="1"/>
  <c r="K6" i="56" s="1"/>
  <c r="L6" i="56" s="1"/>
  <c r="M6" i="56" s="1"/>
  <c r="M1" i="56" l="1"/>
  <c r="N6" i="56"/>
  <c r="O6" i="56" s="1"/>
  <c r="P6" i="56" s="1"/>
  <c r="Q6" i="56" s="1"/>
  <c r="R6" i="56" s="1"/>
  <c r="S6" i="56" s="1"/>
  <c r="T6" i="56" s="1"/>
  <c r="F1" i="56"/>
  <c r="T1" i="56" l="1"/>
  <c r="U6" i="56"/>
  <c r="V6" i="56" s="1"/>
  <c r="W6" i="56" s="1"/>
  <c r="X6" i="56" s="1"/>
  <c r="Y6" i="56" s="1"/>
  <c r="Z6" i="56" s="1"/>
  <c r="AA6" i="56" s="1"/>
  <c r="AB6" i="56" l="1"/>
  <c r="AC6" i="56" s="1"/>
  <c r="AD6" i="56" s="1"/>
  <c r="AE6" i="56" s="1"/>
  <c r="AF6" i="56" s="1"/>
  <c r="AG6" i="56" s="1"/>
  <c r="AH6" i="56" s="1"/>
  <c r="AA1" i="56"/>
  <c r="AI6" i="56" l="1"/>
  <c r="AJ6" i="56" s="1"/>
  <c r="AK6" i="56" s="1"/>
  <c r="AL6" i="56" s="1"/>
  <c r="AM6" i="56" s="1"/>
  <c r="AN6" i="56" s="1"/>
  <c r="AO6" i="56" s="1"/>
  <c r="AH1" i="56"/>
  <c r="AP6" i="56" l="1"/>
  <c r="AQ6" i="56" s="1"/>
  <c r="AR6" i="56" s="1"/>
  <c r="AS6" i="56" s="1"/>
  <c r="AT6" i="56" s="1"/>
  <c r="AU6" i="56" s="1"/>
  <c r="AV6" i="56" s="1"/>
  <c r="AO1" i="56"/>
  <c r="AV1" i="56" l="1"/>
  <c r="AW6" i="56"/>
  <c r="AX6" i="56" s="1"/>
  <c r="AY6" i="56" s="1"/>
  <c r="AZ6" i="56" s="1"/>
  <c r="BA6" i="56" s="1"/>
  <c r="BB6" i="56" s="1"/>
  <c r="BC6" i="56" s="1"/>
  <c r="BC1" i="56" l="1"/>
  <c r="BD6" i="56"/>
  <c r="BE6" i="56" s="1"/>
  <c r="BF6" i="56" s="1"/>
  <c r="BG6" i="56" s="1"/>
  <c r="BH6" i="56" s="1"/>
  <c r="BI6" i="56" s="1"/>
  <c r="BJ6" i="56" s="1"/>
  <c r="BK6" i="56" l="1"/>
  <c r="BL6" i="56" s="1"/>
  <c r="BM6" i="56" s="1"/>
  <c r="BN6" i="56" s="1"/>
  <c r="BO6" i="56" s="1"/>
  <c r="BP6" i="56" s="1"/>
  <c r="BQ6" i="56" s="1"/>
  <c r="BJ1" i="56"/>
  <c r="BR6" i="56" l="1"/>
  <c r="BS6" i="56" s="1"/>
  <c r="BT6" i="56" s="1"/>
  <c r="BU6" i="56" s="1"/>
  <c r="BV6" i="56" s="1"/>
  <c r="BW6" i="56" s="1"/>
  <c r="BX6" i="56" s="1"/>
  <c r="BQ1" i="56"/>
  <c r="BX1" i="56" l="1"/>
  <c r="BY6" i="56"/>
  <c r="BZ6" i="56" s="1"/>
  <c r="CA6" i="56" s="1"/>
  <c r="CB6" i="56" s="1"/>
  <c r="CC6" i="56" s="1"/>
  <c r="CD6" i="56" s="1"/>
  <c r="CE6" i="56" s="1"/>
  <c r="CF6" i="56" l="1"/>
  <c r="CG6" i="56" s="1"/>
  <c r="CH6" i="56" s="1"/>
  <c r="CI6" i="56" s="1"/>
  <c r="CJ6" i="56" s="1"/>
  <c r="CK6" i="56" s="1"/>
  <c r="CL6" i="56" s="1"/>
  <c r="CE1" i="56"/>
  <c r="A105" i="22"/>
  <c r="A25" i="54"/>
  <c r="G6" i="54"/>
  <c r="H6" i="54" s="1"/>
  <c r="I6" i="54" s="1"/>
  <c r="J6" i="54" s="1"/>
  <c r="K6" i="54" s="1"/>
  <c r="L6" i="54" s="1"/>
  <c r="M6" i="54" s="1"/>
  <c r="CM6" i="56" l="1"/>
  <c r="CN6" i="56" s="1"/>
  <c r="CO6" i="56" s="1"/>
  <c r="CP6" i="56" s="1"/>
  <c r="CQ6" i="56" s="1"/>
  <c r="CR6" i="56" s="1"/>
  <c r="CS6" i="56" s="1"/>
  <c r="CL1" i="56"/>
  <c r="F1" i="54"/>
  <c r="N6" i="54"/>
  <c r="O6" i="54" s="1"/>
  <c r="P6" i="54" s="1"/>
  <c r="Q6" i="54" s="1"/>
  <c r="R6" i="54" s="1"/>
  <c r="S6" i="54" s="1"/>
  <c r="T6" i="54" s="1"/>
  <c r="M1" i="54"/>
  <c r="CS1" i="56" l="1"/>
  <c r="CT6" i="56"/>
  <c r="CU6" i="56" s="1"/>
  <c r="CV6" i="56" s="1"/>
  <c r="CW6" i="56" s="1"/>
  <c r="CX6" i="56" s="1"/>
  <c r="CY6" i="56" s="1"/>
  <c r="CZ6" i="56" s="1"/>
  <c r="CZ1" i="56" s="1"/>
  <c r="T1" i="54"/>
  <c r="U6" i="54"/>
  <c r="V6" i="54" s="1"/>
  <c r="W6" i="54" s="1"/>
  <c r="X6" i="54" s="1"/>
  <c r="Y6" i="54" s="1"/>
  <c r="Z6" i="54" s="1"/>
  <c r="AA6" i="54" s="1"/>
  <c r="A69" i="22"/>
  <c r="A29" i="22"/>
  <c r="A97" i="22"/>
  <c r="A109" i="22"/>
  <c r="A22" i="22"/>
  <c r="A15" i="22"/>
  <c r="A135" i="22"/>
  <c r="A134" i="22"/>
  <c r="A5" i="22"/>
  <c r="A11" i="22"/>
  <c r="A141" i="22"/>
  <c r="A151" i="22"/>
  <c r="A150" i="22"/>
  <c r="A45" i="22"/>
  <c r="A75" i="22"/>
  <c r="B33" i="30"/>
  <c r="B42" i="30"/>
  <c r="B43" i="30"/>
  <c r="B44" i="30"/>
  <c r="B45" i="30"/>
  <c r="B46" i="30"/>
  <c r="B47" i="30"/>
  <c r="B48" i="30"/>
  <c r="B53" i="30"/>
  <c r="B55" i="30"/>
  <c r="B41" i="30"/>
  <c r="B49" i="30"/>
  <c r="B50" i="30"/>
  <c r="B54" i="30"/>
  <c r="B57" i="30"/>
  <c r="B39" i="30"/>
  <c r="B58" i="30"/>
  <c r="B56" i="30"/>
  <c r="B70" i="30"/>
  <c r="B60" i="30"/>
  <c r="B61" i="30"/>
  <c r="B62" i="30"/>
  <c r="B63" i="30"/>
  <c r="B64" i="30"/>
  <c r="B65" i="30"/>
  <c r="B66" i="30"/>
  <c r="B67" i="30"/>
  <c r="B68" i="30"/>
  <c r="B69" i="30"/>
  <c r="F33" i="30"/>
  <c r="F42" i="30"/>
  <c r="F43" i="30"/>
  <c r="F44" i="30"/>
  <c r="F45" i="30"/>
  <c r="F46" i="30"/>
  <c r="F47" i="30"/>
  <c r="F48" i="30"/>
  <c r="F53" i="30"/>
  <c r="F55" i="30"/>
  <c r="F41" i="30"/>
  <c r="F49" i="30"/>
  <c r="F50" i="30"/>
  <c r="F54" i="30"/>
  <c r="F57" i="30"/>
  <c r="F39" i="30"/>
  <c r="F58" i="30"/>
  <c r="F56" i="30"/>
  <c r="F70" i="30"/>
  <c r="F60" i="30"/>
  <c r="F61" i="30"/>
  <c r="F62" i="30"/>
  <c r="F63" i="30"/>
  <c r="F64" i="30"/>
  <c r="F65" i="30"/>
  <c r="F66" i="30"/>
  <c r="F67" i="30"/>
  <c r="F68" i="30"/>
  <c r="F69" i="30"/>
  <c r="K33" i="30"/>
  <c r="K42" i="30"/>
  <c r="K43" i="30"/>
  <c r="K44" i="30"/>
  <c r="K45" i="30"/>
  <c r="K46" i="30"/>
  <c r="K47" i="30"/>
  <c r="K48" i="30"/>
  <c r="K53" i="30"/>
  <c r="K55" i="30"/>
  <c r="K41" i="30"/>
  <c r="K49" i="30"/>
  <c r="K50" i="30"/>
  <c r="K54" i="30"/>
  <c r="K57" i="30"/>
  <c r="K39" i="30"/>
  <c r="K58" i="30"/>
  <c r="K56" i="30"/>
  <c r="K70" i="30"/>
  <c r="K60" i="30"/>
  <c r="K61" i="30"/>
  <c r="K62" i="30"/>
  <c r="K63" i="30"/>
  <c r="K64" i="30"/>
  <c r="K65" i="30"/>
  <c r="K66" i="30"/>
  <c r="K67" i="30"/>
  <c r="K68" i="30"/>
  <c r="K69" i="30"/>
  <c r="M33" i="30"/>
  <c r="M42" i="30"/>
  <c r="M43" i="30"/>
  <c r="M44" i="30"/>
  <c r="M45" i="30"/>
  <c r="M46" i="30"/>
  <c r="M47" i="30"/>
  <c r="M48" i="30"/>
  <c r="M53" i="30"/>
  <c r="M55" i="30"/>
  <c r="M41" i="30"/>
  <c r="M49" i="30"/>
  <c r="M50" i="30"/>
  <c r="M54" i="30"/>
  <c r="M39" i="30"/>
  <c r="M58" i="30"/>
  <c r="M70" i="30"/>
  <c r="M60" i="30"/>
  <c r="M61" i="30"/>
  <c r="M62" i="30"/>
  <c r="M63" i="30"/>
  <c r="M64" i="30"/>
  <c r="M65" i="30"/>
  <c r="M66" i="30"/>
  <c r="M67" i="30"/>
  <c r="M68" i="30"/>
  <c r="M69" i="30"/>
  <c r="P33" i="30"/>
  <c r="P42" i="30"/>
  <c r="P43" i="30"/>
  <c r="P44" i="30"/>
  <c r="P45" i="30"/>
  <c r="P46" i="30"/>
  <c r="P47" i="30"/>
  <c r="P48" i="30"/>
  <c r="P53" i="30"/>
  <c r="P55" i="30"/>
  <c r="P41" i="30"/>
  <c r="P49" i="30"/>
  <c r="P50" i="30"/>
  <c r="P54" i="30"/>
  <c r="P39" i="30"/>
  <c r="P58" i="30"/>
  <c r="P70" i="30"/>
  <c r="P60" i="30"/>
  <c r="P61" i="30"/>
  <c r="P62" i="30"/>
  <c r="P63" i="30"/>
  <c r="P64" i="30"/>
  <c r="P65" i="30"/>
  <c r="P66" i="30"/>
  <c r="P67" i="30"/>
  <c r="P68" i="30"/>
  <c r="P69" i="30"/>
  <c r="Y33" i="30"/>
  <c r="Y42" i="30"/>
  <c r="Y43" i="30"/>
  <c r="Y44" i="30"/>
  <c r="Y45" i="30"/>
  <c r="Y46" i="30"/>
  <c r="Y47" i="30"/>
  <c r="Y48" i="30"/>
  <c r="Y53" i="30"/>
  <c r="Y55" i="30"/>
  <c r="Y41" i="30"/>
  <c r="Y49" i="30"/>
  <c r="Y50" i="30"/>
  <c r="Y54" i="30"/>
  <c r="Y39" i="30"/>
  <c r="Y58" i="30"/>
  <c r="Y70" i="30"/>
  <c r="Y60" i="30"/>
  <c r="Y61" i="30"/>
  <c r="Y62" i="30"/>
  <c r="Y63" i="30"/>
  <c r="Y64" i="30"/>
  <c r="Y65" i="30"/>
  <c r="Y66" i="30"/>
  <c r="Y67" i="30"/>
  <c r="Y68" i="30"/>
  <c r="Y69" i="30"/>
  <c r="AM33" i="30"/>
  <c r="AM42" i="30"/>
  <c r="AM43" i="30"/>
  <c r="AM44" i="30"/>
  <c r="AM45" i="30"/>
  <c r="AM46" i="30"/>
  <c r="AM47" i="30"/>
  <c r="AM48" i="30"/>
  <c r="AM53" i="30"/>
  <c r="AM55" i="30"/>
  <c r="AM41" i="30"/>
  <c r="AM49" i="30"/>
  <c r="AM50" i="30"/>
  <c r="AM54" i="30"/>
  <c r="AM57" i="30"/>
  <c r="AM39" i="30"/>
  <c r="AM58" i="30"/>
  <c r="AM56" i="30"/>
  <c r="AM70" i="30"/>
  <c r="AM60" i="30"/>
  <c r="AM61" i="30"/>
  <c r="AM62" i="30"/>
  <c r="AM63" i="30"/>
  <c r="AM64" i="30"/>
  <c r="AM65" i="30"/>
  <c r="AM66" i="30"/>
  <c r="AM67" i="30"/>
  <c r="AM68" i="30"/>
  <c r="AM69" i="30"/>
  <c r="AN33" i="30"/>
  <c r="AN42" i="30"/>
  <c r="AN43" i="30"/>
  <c r="AN44" i="30"/>
  <c r="AO44" i="30" s="1"/>
  <c r="AN45" i="30"/>
  <c r="AO45" i="30" s="1"/>
  <c r="AN46" i="30"/>
  <c r="AO46" i="30" s="1"/>
  <c r="AN47" i="30"/>
  <c r="AO47" i="30" s="1"/>
  <c r="AN48" i="30"/>
  <c r="AO48" i="30" s="1"/>
  <c r="AN55" i="30"/>
  <c r="AO55" i="30" s="1"/>
  <c r="AN41" i="30"/>
  <c r="AO41" i="30" s="1"/>
  <c r="AN49" i="30"/>
  <c r="AO49" i="30" s="1"/>
  <c r="AN50" i="30"/>
  <c r="AO50" i="30" s="1"/>
  <c r="AN57" i="30"/>
  <c r="AO57" i="30" s="1"/>
  <c r="AN39" i="30"/>
  <c r="AO39" i="30" s="1"/>
  <c r="AN58" i="30"/>
  <c r="AO58" i="30" s="1"/>
  <c r="AN56" i="30"/>
  <c r="AO56" i="30" s="1"/>
  <c r="AN70" i="30"/>
  <c r="AO70" i="30" s="1"/>
  <c r="AN60" i="30"/>
  <c r="AO60" i="30" s="1"/>
  <c r="AN61" i="30"/>
  <c r="AO61" i="30" s="1"/>
  <c r="AN62" i="30"/>
  <c r="AO62" i="30" s="1"/>
  <c r="AN63" i="30"/>
  <c r="AO63" i="30" s="1"/>
  <c r="AN64" i="30"/>
  <c r="AO64" i="30" s="1"/>
  <c r="AN65" i="30"/>
  <c r="AO65" i="30" s="1"/>
  <c r="AN66" i="30"/>
  <c r="AO66" i="30" s="1"/>
  <c r="AN67" i="30"/>
  <c r="AO67" i="30" s="1"/>
  <c r="AN69" i="30"/>
  <c r="AO69" i="30" s="1"/>
  <c r="M205" i="26"/>
  <c r="H205" i="26"/>
  <c r="F205" i="26"/>
  <c r="B205" i="26"/>
  <c r="M204" i="26"/>
  <c r="H204" i="26"/>
  <c r="F204" i="26"/>
  <c r="B204" i="26"/>
  <c r="M203" i="26"/>
  <c r="H203" i="26"/>
  <c r="F203" i="26"/>
  <c r="D203" i="26"/>
  <c r="B203" i="26"/>
  <c r="AO43" i="30" l="1"/>
  <c r="AO42" i="30"/>
  <c r="AO33" i="30"/>
  <c r="DA6" i="56"/>
  <c r="DB6" i="56" s="1"/>
  <c r="DC6" i="56" s="1"/>
  <c r="DD6" i="56" s="1"/>
  <c r="DE6" i="56" s="1"/>
  <c r="DF6" i="56" s="1"/>
  <c r="DG6" i="56" s="1"/>
  <c r="DG1" i="56" s="1"/>
  <c r="AB6" i="54"/>
  <c r="AC6" i="54" s="1"/>
  <c r="AD6" i="54" s="1"/>
  <c r="AE6" i="54" s="1"/>
  <c r="AF6" i="54" s="1"/>
  <c r="AG6" i="54" s="1"/>
  <c r="AH6" i="54" s="1"/>
  <c r="AA1" i="54"/>
  <c r="A203" i="26"/>
  <c r="A205" i="26"/>
  <c r="A204" i="26"/>
  <c r="DH6" i="56" l="1"/>
  <c r="DI6" i="56" s="1"/>
  <c r="DJ6" i="56" s="1"/>
  <c r="DK6" i="56" s="1"/>
  <c r="DL6" i="56" s="1"/>
  <c r="DM6" i="56" s="1"/>
  <c r="DN6" i="56" s="1"/>
  <c r="DN1" i="56" s="1"/>
  <c r="AI6" i="54"/>
  <c r="AJ6" i="54" s="1"/>
  <c r="AK6" i="54" s="1"/>
  <c r="AL6" i="54" s="1"/>
  <c r="AM6" i="54" s="1"/>
  <c r="AN6" i="54" s="1"/>
  <c r="AO6" i="54" s="1"/>
  <c r="AH1" i="54"/>
  <c r="DO6" i="56" l="1"/>
  <c r="DP6" i="56" s="1"/>
  <c r="DQ6" i="56" s="1"/>
  <c r="DR6" i="56" s="1"/>
  <c r="DS6" i="56" s="1"/>
  <c r="DT6" i="56" s="1"/>
  <c r="DU6" i="56" s="1"/>
  <c r="DU1" i="56" s="1"/>
  <c r="AP6" i="54"/>
  <c r="AQ6" i="54" s="1"/>
  <c r="AR6" i="54" s="1"/>
  <c r="AS6" i="54" s="1"/>
  <c r="AT6" i="54" s="1"/>
  <c r="AU6" i="54" s="1"/>
  <c r="AV6" i="54" s="1"/>
  <c r="AO1" i="54"/>
  <c r="M202" i="26"/>
  <c r="H202" i="26"/>
  <c r="F202" i="26"/>
  <c r="D202" i="26"/>
  <c r="B202" i="26"/>
  <c r="M201" i="26"/>
  <c r="H201" i="26"/>
  <c r="F201" i="26"/>
  <c r="B201" i="26" s="1"/>
  <c r="D201" i="26"/>
  <c r="M200" i="26"/>
  <c r="H200" i="26"/>
  <c r="F200" i="26"/>
  <c r="D200" i="26"/>
  <c r="M199" i="26"/>
  <c r="H199" i="26"/>
  <c r="F199" i="26"/>
  <c r="D199" i="26"/>
  <c r="B199" i="26" s="1"/>
  <c r="M198" i="26"/>
  <c r="H198" i="26"/>
  <c r="F198" i="26"/>
  <c r="D198" i="26"/>
  <c r="B198" i="26" s="1"/>
  <c r="M197" i="26"/>
  <c r="H197" i="26"/>
  <c r="F197" i="26"/>
  <c r="D197" i="26"/>
  <c r="M193" i="26"/>
  <c r="H193" i="26"/>
  <c r="F193" i="26"/>
  <c r="D193" i="26"/>
  <c r="M192" i="26"/>
  <c r="H192" i="26"/>
  <c r="F192" i="26"/>
  <c r="D192" i="26"/>
  <c r="DV6" i="56" l="1"/>
  <c r="DW6" i="56" s="1"/>
  <c r="DX6" i="56" s="1"/>
  <c r="DY6" i="56" s="1"/>
  <c r="DZ6" i="56" s="1"/>
  <c r="EA6" i="56" s="1"/>
  <c r="EB6" i="56" s="1"/>
  <c r="EB1" i="56" s="1"/>
  <c r="AV1" i="54"/>
  <c r="AW6" i="54"/>
  <c r="AX6" i="54" s="1"/>
  <c r="AY6" i="54" s="1"/>
  <c r="AZ6" i="54" s="1"/>
  <c r="BA6" i="54" s="1"/>
  <c r="BB6" i="54" s="1"/>
  <c r="BC6" i="54" s="1"/>
  <c r="A202" i="26"/>
  <c r="A201" i="26"/>
  <c r="A200" i="26"/>
  <c r="B200" i="26"/>
  <c r="A199" i="26"/>
  <c r="A198" i="26"/>
  <c r="B197" i="26"/>
  <c r="A197" i="26"/>
  <c r="B193" i="26"/>
  <c r="A193" i="26"/>
  <c r="B192" i="26"/>
  <c r="A192" i="26"/>
  <c r="EC6" i="56" l="1"/>
  <c r="ED6" i="56" s="1"/>
  <c r="EE6" i="56" s="1"/>
  <c r="EF6" i="56" s="1"/>
  <c r="EG6" i="56" s="1"/>
  <c r="EH6" i="56" s="1"/>
  <c r="EI6" i="56" s="1"/>
  <c r="EI1" i="56" s="1"/>
  <c r="BD6" i="54"/>
  <c r="BE6" i="54" s="1"/>
  <c r="BF6" i="54" s="1"/>
  <c r="BG6" i="54" s="1"/>
  <c r="BH6" i="54" s="1"/>
  <c r="BI6" i="54" s="1"/>
  <c r="BJ6" i="54" s="1"/>
  <c r="BC1" i="54"/>
  <c r="A60" i="28"/>
  <c r="K107" i="27"/>
  <c r="H107" i="27"/>
  <c r="B107" i="27" s="1"/>
  <c r="M107" i="27"/>
  <c r="AN30" i="30"/>
  <c r="AO30" i="30" s="1"/>
  <c r="AM30" i="30"/>
  <c r="Y30" i="30"/>
  <c r="P30" i="30"/>
  <c r="M30" i="30"/>
  <c r="K30" i="30"/>
  <c r="F30" i="30"/>
  <c r="B30" i="30"/>
  <c r="EJ6" i="56" l="1"/>
  <c r="EK6" i="56" s="1"/>
  <c r="EL6" i="56" s="1"/>
  <c r="EM6" i="56" s="1"/>
  <c r="EN6" i="56" s="1"/>
  <c r="EO6" i="56" s="1"/>
  <c r="EP6" i="56" s="1"/>
  <c r="EP1" i="56" s="1"/>
  <c r="BK6" i="54"/>
  <c r="BL6" i="54" s="1"/>
  <c r="BM6" i="54" s="1"/>
  <c r="BN6" i="54" s="1"/>
  <c r="BO6" i="54" s="1"/>
  <c r="BP6" i="54" s="1"/>
  <c r="BQ6" i="54" s="1"/>
  <c r="BJ1" i="54"/>
  <c r="A107" i="27"/>
  <c r="D107" i="27"/>
  <c r="I107" i="27"/>
  <c r="J107" i="27" s="1"/>
  <c r="C107" i="27"/>
  <c r="D187" i="26"/>
  <c r="H187" i="26"/>
  <c r="M187" i="26"/>
  <c r="B187" i="26"/>
  <c r="A57" i="22"/>
  <c r="A147" i="22"/>
  <c r="A58" i="22"/>
  <c r="A64" i="22"/>
  <c r="A70" i="22"/>
  <c r="A77" i="22"/>
  <c r="A83" i="22"/>
  <c r="A88" i="22"/>
  <c r="A91" i="22"/>
  <c r="A98" i="22"/>
  <c r="A103" i="22"/>
  <c r="A110" i="22"/>
  <c r="A116" i="22"/>
  <c r="A121" i="22"/>
  <c r="A126" i="22"/>
  <c r="A132" i="22"/>
  <c r="D186" i="26"/>
  <c r="F186" i="26"/>
  <c r="H186" i="26"/>
  <c r="M186" i="26"/>
  <c r="A30" i="22"/>
  <c r="D185" i="26"/>
  <c r="F185" i="26"/>
  <c r="H185" i="26"/>
  <c r="M185" i="26"/>
  <c r="F137" i="26"/>
  <c r="B186" i="26"/>
  <c r="B185" i="26"/>
  <c r="A39" i="22"/>
  <c r="A142" i="22"/>
  <c r="O50" i="28"/>
  <c r="R50" i="28"/>
  <c r="M17" i="27"/>
  <c r="K17" i="27"/>
  <c r="H17" i="27"/>
  <c r="I17" i="27" s="1"/>
  <c r="C17" i="27"/>
  <c r="B34" i="30"/>
  <c r="F34" i="30"/>
  <c r="K34" i="30"/>
  <c r="M34" i="30"/>
  <c r="P34" i="30"/>
  <c r="Y34" i="30"/>
  <c r="AM34" i="30"/>
  <c r="AN34" i="30"/>
  <c r="D184" i="26"/>
  <c r="F184" i="26"/>
  <c r="H184" i="26"/>
  <c r="M184" i="26"/>
  <c r="B184" i="26"/>
  <c r="B183" i="26"/>
  <c r="M183" i="26"/>
  <c r="H183" i="26"/>
  <c r="F183" i="26"/>
  <c r="D183" i="26"/>
  <c r="B182" i="26"/>
  <c r="M182" i="26"/>
  <c r="H182" i="26"/>
  <c r="F182" i="26"/>
  <c r="D182" i="26"/>
  <c r="A6" i="22"/>
  <c r="M181" i="26"/>
  <c r="H181" i="26"/>
  <c r="F181" i="26"/>
  <c r="D181" i="26"/>
  <c r="C106" i="27"/>
  <c r="H106" i="27"/>
  <c r="B106" i="27" s="1"/>
  <c r="K106" i="27"/>
  <c r="M106" i="27"/>
  <c r="B37" i="53"/>
  <c r="F37" i="53"/>
  <c r="K37" i="53"/>
  <c r="M37" i="53"/>
  <c r="P37" i="53"/>
  <c r="Y37" i="53"/>
  <c r="AL37" i="53"/>
  <c r="AM37" i="53"/>
  <c r="AN37" i="53" s="1"/>
  <c r="B11" i="30"/>
  <c r="F11" i="30"/>
  <c r="K11" i="30"/>
  <c r="M11" i="30"/>
  <c r="P11" i="30"/>
  <c r="Y11" i="30"/>
  <c r="AM11" i="30"/>
  <c r="B13" i="30"/>
  <c r="F13" i="30"/>
  <c r="K13" i="30"/>
  <c r="M13" i="30"/>
  <c r="P13" i="30"/>
  <c r="Y13" i="30"/>
  <c r="AM13" i="30"/>
  <c r="AN13" i="30"/>
  <c r="A25" i="52"/>
  <c r="F6" i="53"/>
  <c r="A53" i="29"/>
  <c r="A54" i="29"/>
  <c r="A39" i="29"/>
  <c r="C52" i="29"/>
  <c r="C53" i="29"/>
  <c r="C54" i="29"/>
  <c r="C39" i="29"/>
  <c r="F5" i="53"/>
  <c r="F7" i="53"/>
  <c r="F8" i="53"/>
  <c r="F9" i="53"/>
  <c r="F10" i="53"/>
  <c r="F11" i="53"/>
  <c r="F12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B12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8" i="53"/>
  <c r="B29" i="53"/>
  <c r="B30" i="53"/>
  <c r="B31" i="53"/>
  <c r="B32" i="53"/>
  <c r="B33" i="53"/>
  <c r="B34" i="53"/>
  <c r="B35" i="53"/>
  <c r="B36" i="53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M12" i="53"/>
  <c r="M13" i="53"/>
  <c r="M14" i="53"/>
  <c r="M15" i="53"/>
  <c r="M16" i="53"/>
  <c r="M17" i="53"/>
  <c r="M18" i="53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32" i="53"/>
  <c r="M33" i="53"/>
  <c r="M34" i="53"/>
  <c r="M35" i="53"/>
  <c r="M36" i="53"/>
  <c r="P12" i="53"/>
  <c r="P13" i="53"/>
  <c r="P14" i="53"/>
  <c r="P15" i="53"/>
  <c r="P16" i="53"/>
  <c r="P17" i="53"/>
  <c r="P18" i="53"/>
  <c r="P19" i="53"/>
  <c r="P20" i="53"/>
  <c r="P21" i="53"/>
  <c r="P22" i="53"/>
  <c r="P23" i="53"/>
  <c r="P24" i="53"/>
  <c r="P25" i="53"/>
  <c r="P26" i="53"/>
  <c r="P27" i="53"/>
  <c r="P28" i="53"/>
  <c r="P29" i="53"/>
  <c r="P30" i="53"/>
  <c r="P31" i="53"/>
  <c r="P32" i="53"/>
  <c r="P33" i="53"/>
  <c r="P34" i="53"/>
  <c r="P35" i="53"/>
  <c r="P36" i="53"/>
  <c r="Y12" i="53"/>
  <c r="Y13" i="53"/>
  <c r="Y14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Y32" i="53"/>
  <c r="Y33" i="53"/>
  <c r="Y34" i="53"/>
  <c r="Y35" i="53"/>
  <c r="Y36" i="53"/>
  <c r="AL12" i="53"/>
  <c r="AL13" i="53"/>
  <c r="AL14" i="53"/>
  <c r="AL15" i="53"/>
  <c r="AL16" i="53"/>
  <c r="AL17" i="53"/>
  <c r="AL18" i="53"/>
  <c r="AL19" i="53"/>
  <c r="AL20" i="53"/>
  <c r="AL21" i="53"/>
  <c r="AL22" i="53"/>
  <c r="AL23" i="53"/>
  <c r="AL24" i="53"/>
  <c r="AL25" i="53"/>
  <c r="AL26" i="53"/>
  <c r="AL27" i="53"/>
  <c r="AL28" i="53"/>
  <c r="AL29" i="53"/>
  <c r="AL30" i="53"/>
  <c r="AL31" i="53"/>
  <c r="AL32" i="53"/>
  <c r="AL33" i="53"/>
  <c r="AL34" i="53"/>
  <c r="AL35" i="53"/>
  <c r="AL36" i="53"/>
  <c r="AM12" i="53"/>
  <c r="AN12" i="53" s="1"/>
  <c r="AM13" i="53"/>
  <c r="AN13" i="53" s="1"/>
  <c r="AM14" i="53"/>
  <c r="AN14" i="53" s="1"/>
  <c r="AM15" i="53"/>
  <c r="AN15" i="53" s="1"/>
  <c r="AM16" i="53"/>
  <c r="AN16" i="53" s="1"/>
  <c r="AM17" i="53"/>
  <c r="AN17" i="53" s="1"/>
  <c r="AM18" i="53"/>
  <c r="AN18" i="53" s="1"/>
  <c r="AM19" i="53"/>
  <c r="AN19" i="53" s="1"/>
  <c r="AM20" i="53"/>
  <c r="AN20" i="53" s="1"/>
  <c r="AM21" i="53"/>
  <c r="AN21" i="53" s="1"/>
  <c r="AM22" i="53"/>
  <c r="AN22" i="53" s="1"/>
  <c r="AM27" i="53"/>
  <c r="AN27" i="53" s="1"/>
  <c r="AM28" i="53"/>
  <c r="AN28" i="53" s="1"/>
  <c r="AM29" i="53"/>
  <c r="AN29" i="53" s="1"/>
  <c r="AM30" i="53"/>
  <c r="AN30" i="53" s="1"/>
  <c r="AM31" i="53"/>
  <c r="AN31" i="53" s="1"/>
  <c r="AM32" i="53"/>
  <c r="AN32" i="53" s="1"/>
  <c r="AM33" i="53"/>
  <c r="AN33" i="53" s="1"/>
  <c r="AM34" i="53"/>
  <c r="AN34" i="53" s="1"/>
  <c r="AM36" i="53"/>
  <c r="AN36" i="53" s="1"/>
  <c r="B5" i="53"/>
  <c r="B6" i="53"/>
  <c r="B7" i="53"/>
  <c r="B8" i="53"/>
  <c r="B9" i="53"/>
  <c r="B10" i="53"/>
  <c r="B11" i="53"/>
  <c r="K5" i="53"/>
  <c r="K6" i="53"/>
  <c r="K7" i="53"/>
  <c r="K8" i="53"/>
  <c r="K9" i="53"/>
  <c r="K10" i="53"/>
  <c r="K11" i="53"/>
  <c r="M5" i="53"/>
  <c r="M6" i="53"/>
  <c r="M7" i="53"/>
  <c r="M8" i="53"/>
  <c r="M9" i="53"/>
  <c r="M10" i="53"/>
  <c r="M11" i="53"/>
  <c r="P5" i="53"/>
  <c r="P6" i="53"/>
  <c r="P7" i="53"/>
  <c r="P8" i="53"/>
  <c r="P9" i="53"/>
  <c r="P10" i="53"/>
  <c r="P11" i="53"/>
  <c r="Y5" i="53"/>
  <c r="Y6" i="53"/>
  <c r="Y7" i="53"/>
  <c r="Y8" i="53"/>
  <c r="Y9" i="53"/>
  <c r="Y10" i="53"/>
  <c r="Y11" i="53"/>
  <c r="AL5" i="53"/>
  <c r="AL6" i="53"/>
  <c r="AL7" i="53"/>
  <c r="AL8" i="53"/>
  <c r="AL9" i="53"/>
  <c r="AL10" i="53"/>
  <c r="AL11" i="53"/>
  <c r="AM8" i="53"/>
  <c r="AN8" i="53" s="1"/>
  <c r="AM9" i="53"/>
  <c r="AN9" i="53" s="1"/>
  <c r="AM10" i="53"/>
  <c r="AN10" i="53" s="1"/>
  <c r="AM11" i="53"/>
  <c r="AN11" i="53" s="1"/>
  <c r="B174" i="26"/>
  <c r="B175" i="26"/>
  <c r="B176" i="26"/>
  <c r="B179" i="26"/>
  <c r="M169" i="26"/>
  <c r="M170" i="26"/>
  <c r="M171" i="26"/>
  <c r="M172" i="26"/>
  <c r="M173" i="26"/>
  <c r="M174" i="26"/>
  <c r="M175" i="26"/>
  <c r="M176" i="26"/>
  <c r="M177" i="26"/>
  <c r="M178" i="26"/>
  <c r="M179" i="26"/>
  <c r="M180" i="26"/>
  <c r="H170" i="26"/>
  <c r="H171" i="26"/>
  <c r="H172" i="26"/>
  <c r="H173" i="26"/>
  <c r="H174" i="26"/>
  <c r="H175" i="26"/>
  <c r="H176" i="26"/>
  <c r="H177" i="26"/>
  <c r="H178" i="26"/>
  <c r="H179" i="26"/>
  <c r="H180" i="26"/>
  <c r="F171" i="26"/>
  <c r="F172" i="26"/>
  <c r="F173" i="26"/>
  <c r="F174" i="26"/>
  <c r="F175" i="26"/>
  <c r="F176" i="26"/>
  <c r="F177" i="26"/>
  <c r="F178" i="26"/>
  <c r="F179" i="26"/>
  <c r="F180" i="26"/>
  <c r="D172" i="26"/>
  <c r="D173" i="26"/>
  <c r="D174" i="26"/>
  <c r="D175" i="26"/>
  <c r="D176" i="26"/>
  <c r="D177" i="26"/>
  <c r="D178" i="26"/>
  <c r="D179" i="26"/>
  <c r="D180" i="26"/>
  <c r="H2" i="26"/>
  <c r="H3" i="26"/>
  <c r="H5" i="26"/>
  <c r="H6" i="26"/>
  <c r="H7" i="26"/>
  <c r="H8" i="26"/>
  <c r="H9" i="26"/>
  <c r="H10" i="26"/>
  <c r="H13" i="26"/>
  <c r="H14" i="26"/>
  <c r="H15" i="26"/>
  <c r="H17" i="26"/>
  <c r="H18" i="26"/>
  <c r="H19" i="26"/>
  <c r="H21" i="26"/>
  <c r="H22" i="26"/>
  <c r="H23" i="26"/>
  <c r="H25" i="26"/>
  <c r="H26" i="26"/>
  <c r="H28" i="26"/>
  <c r="H30" i="26"/>
  <c r="H31" i="26"/>
  <c r="H32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5" i="26"/>
  <c r="H66" i="26"/>
  <c r="H67" i="26"/>
  <c r="H68" i="26"/>
  <c r="H69" i="26"/>
  <c r="H70" i="26"/>
  <c r="H71" i="26"/>
  <c r="H72" i="26"/>
  <c r="H73" i="26"/>
  <c r="H75" i="26"/>
  <c r="H76" i="26"/>
  <c r="H77" i="26"/>
  <c r="H78" i="26"/>
  <c r="H79" i="26"/>
  <c r="H80" i="26"/>
  <c r="H81" i="26"/>
  <c r="H82" i="26"/>
  <c r="H85" i="26"/>
  <c r="H86" i="26"/>
  <c r="H90" i="26"/>
  <c r="H91" i="26"/>
  <c r="H92" i="26"/>
  <c r="H254" i="26"/>
  <c r="H255" i="26"/>
  <c r="H256" i="26"/>
  <c r="H96" i="26"/>
  <c r="H97" i="26"/>
  <c r="H98" i="26"/>
  <c r="H99" i="26"/>
  <c r="H100" i="26"/>
  <c r="H101" i="26"/>
  <c r="H102" i="26"/>
  <c r="H103" i="26"/>
  <c r="H106" i="26"/>
  <c r="H108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8" i="26"/>
  <c r="H129" i="26"/>
  <c r="H130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227" i="26"/>
  <c r="H151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F6" i="49"/>
  <c r="F1" i="49" s="1"/>
  <c r="F6" i="48"/>
  <c r="G6" i="48" s="1"/>
  <c r="H6" i="48" s="1"/>
  <c r="I6" i="48" s="1"/>
  <c r="J6" i="48" s="1"/>
  <c r="K6" i="48" s="1"/>
  <c r="L6" i="48" s="1"/>
  <c r="M6" i="48" s="1"/>
  <c r="N6" i="48" s="1"/>
  <c r="O6" i="48" s="1"/>
  <c r="P6" i="48" s="1"/>
  <c r="Q6" i="48" s="1"/>
  <c r="R6" i="48" s="1"/>
  <c r="S6" i="48" s="1"/>
  <c r="T6" i="48" s="1"/>
  <c r="T1" i="48" s="1"/>
  <c r="F1" i="46"/>
  <c r="A25" i="49"/>
  <c r="A25" i="48"/>
  <c r="B10" i="48"/>
  <c r="B9" i="48"/>
  <c r="A25" i="46"/>
  <c r="B3" i="26"/>
  <c r="B5" i="26"/>
  <c r="B6" i="26"/>
  <c r="B7" i="26"/>
  <c r="B8" i="26"/>
  <c r="B9" i="26"/>
  <c r="B10" i="26"/>
  <c r="B13" i="26"/>
  <c r="B14" i="26"/>
  <c r="B15" i="26"/>
  <c r="B17" i="26"/>
  <c r="B18" i="26"/>
  <c r="B19" i="26"/>
  <c r="B21" i="26"/>
  <c r="B22" i="26"/>
  <c r="B23" i="26"/>
  <c r="B25" i="26"/>
  <c r="B26" i="26"/>
  <c r="B28" i="26"/>
  <c r="B30" i="26"/>
  <c r="B31" i="26"/>
  <c r="B32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5" i="26"/>
  <c r="B66" i="26"/>
  <c r="B67" i="26"/>
  <c r="B68" i="26"/>
  <c r="B69" i="26"/>
  <c r="B70" i="26"/>
  <c r="B71" i="26"/>
  <c r="B72" i="26"/>
  <c r="B73" i="26"/>
  <c r="B75" i="26"/>
  <c r="B76" i="26"/>
  <c r="B77" i="26"/>
  <c r="B78" i="26"/>
  <c r="B79" i="26"/>
  <c r="B80" i="26"/>
  <c r="B81" i="26"/>
  <c r="B82" i="26"/>
  <c r="B85" i="26"/>
  <c r="B86" i="26"/>
  <c r="B140" i="26"/>
  <c r="B147" i="26"/>
  <c r="B227" i="26"/>
  <c r="B151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F7" i="30"/>
  <c r="F8" i="30"/>
  <c r="F5" i="30"/>
  <c r="F9" i="30"/>
  <c r="F31" i="30"/>
  <c r="F22" i="30"/>
  <c r="F25" i="30"/>
  <c r="F12" i="30"/>
  <c r="F10" i="30"/>
  <c r="F36" i="30"/>
  <c r="F37" i="30"/>
  <c r="F19" i="30"/>
  <c r="F21" i="30"/>
  <c r="F15" i="30"/>
  <c r="F35" i="30"/>
  <c r="F20" i="30"/>
  <c r="F24" i="30"/>
  <c r="F40" i="30"/>
  <c r="F16" i="30"/>
  <c r="F32" i="30"/>
  <c r="F23" i="30"/>
  <c r="F18" i="30"/>
  <c r="F28" i="30"/>
  <c r="F29" i="30"/>
  <c r="F17" i="30"/>
  <c r="F26" i="30"/>
  <c r="F27" i="30"/>
  <c r="B7" i="30"/>
  <c r="B8" i="30"/>
  <c r="B5" i="30"/>
  <c r="B9" i="30"/>
  <c r="B31" i="30"/>
  <c r="B22" i="30"/>
  <c r="B25" i="30"/>
  <c r="B12" i="30"/>
  <c r="B10" i="30"/>
  <c r="B36" i="30"/>
  <c r="B37" i="30"/>
  <c r="B19" i="30"/>
  <c r="B21" i="30"/>
  <c r="B15" i="30"/>
  <c r="B35" i="30"/>
  <c r="B20" i="30"/>
  <c r="B24" i="30"/>
  <c r="B40" i="30"/>
  <c r="B16" i="30"/>
  <c r="B32" i="30"/>
  <c r="B23" i="30"/>
  <c r="B18" i="30"/>
  <c r="B28" i="30"/>
  <c r="B29" i="30"/>
  <c r="B17" i="30"/>
  <c r="B26" i="30"/>
  <c r="B27" i="30"/>
  <c r="K6" i="52"/>
  <c r="L6" i="52"/>
  <c r="M6" i="52"/>
  <c r="N6" i="52"/>
  <c r="O6" i="52"/>
  <c r="P6" i="52"/>
  <c r="Q6" i="52"/>
  <c r="J1" i="52"/>
  <c r="A59" i="28"/>
  <c r="H93" i="27"/>
  <c r="I93" i="27" s="1"/>
  <c r="J93" i="27" s="1"/>
  <c r="K93" i="27"/>
  <c r="M93" i="27"/>
  <c r="C93" i="27" s="1"/>
  <c r="K103" i="27"/>
  <c r="A58" i="28"/>
  <c r="A56" i="28"/>
  <c r="H98" i="27"/>
  <c r="I98" i="27" s="1"/>
  <c r="J98" i="27" s="1"/>
  <c r="K98" i="27"/>
  <c r="M98" i="27"/>
  <c r="C98" i="27" s="1"/>
  <c r="H94" i="27"/>
  <c r="I94" i="27" s="1"/>
  <c r="J94" i="27" s="1"/>
  <c r="K94" i="27"/>
  <c r="M94" i="27"/>
  <c r="C94" i="27" s="1"/>
  <c r="Q1" i="52"/>
  <c r="R6" i="52"/>
  <c r="S6" i="52"/>
  <c r="T6" i="52"/>
  <c r="U6" i="52"/>
  <c r="V6" i="52"/>
  <c r="W6" i="52"/>
  <c r="X6" i="52"/>
  <c r="Y6" i="52"/>
  <c r="Z6" i="52"/>
  <c r="AA6" i="52"/>
  <c r="AB6" i="52"/>
  <c r="AC6" i="52"/>
  <c r="AD6" i="52"/>
  <c r="AE6" i="52"/>
  <c r="X1" i="52"/>
  <c r="AE1" i="52"/>
  <c r="AF6" i="52"/>
  <c r="AG6" i="52"/>
  <c r="AH6" i="52"/>
  <c r="AI6" i="52"/>
  <c r="AJ6" i="52"/>
  <c r="AK6" i="52"/>
  <c r="AL6" i="52"/>
  <c r="K26" i="30"/>
  <c r="K27" i="30"/>
  <c r="M26" i="30"/>
  <c r="M27" i="30"/>
  <c r="P26" i="30"/>
  <c r="P27" i="30"/>
  <c r="Y26" i="30"/>
  <c r="Y27" i="30"/>
  <c r="AM26" i="30"/>
  <c r="AM27" i="30"/>
  <c r="AL1" i="52"/>
  <c r="AM6" i="52"/>
  <c r="AN6" i="52"/>
  <c r="AO6" i="52"/>
  <c r="AP6" i="52"/>
  <c r="AQ6" i="52"/>
  <c r="AR6" i="52"/>
  <c r="AS6" i="52"/>
  <c r="AT6" i="52"/>
  <c r="AU6" i="52"/>
  <c r="AV6" i="52"/>
  <c r="AW6" i="52"/>
  <c r="AX6" i="52"/>
  <c r="AY6" i="52"/>
  <c r="AZ6" i="52"/>
  <c r="AS1" i="52"/>
  <c r="BA6" i="52"/>
  <c r="BB6" i="52"/>
  <c r="BC6" i="52"/>
  <c r="BD6" i="52"/>
  <c r="BE6" i="52"/>
  <c r="BF6" i="52"/>
  <c r="BG6" i="52"/>
  <c r="AZ1" i="52"/>
  <c r="BH6" i="52"/>
  <c r="BI6" i="52"/>
  <c r="BJ6" i="52"/>
  <c r="BK6" i="52"/>
  <c r="BL6" i="52"/>
  <c r="BM6" i="52"/>
  <c r="BN6" i="52"/>
  <c r="BG1" i="52"/>
  <c r="BO6" i="52"/>
  <c r="BP6" i="52"/>
  <c r="BQ6" i="52"/>
  <c r="BR6" i="52"/>
  <c r="BS6" i="52"/>
  <c r="BT6" i="52"/>
  <c r="BU6" i="52"/>
  <c r="BN1" i="52"/>
  <c r="BV6" i="52"/>
  <c r="BW6" i="52"/>
  <c r="BX6" i="52"/>
  <c r="BY6" i="52"/>
  <c r="BZ6" i="52"/>
  <c r="CA6" i="52"/>
  <c r="CB6" i="52"/>
  <c r="BU1" i="52"/>
  <c r="CC6" i="52"/>
  <c r="CD6" i="52"/>
  <c r="CE6" i="52"/>
  <c r="CF6" i="52"/>
  <c r="CG6" i="52"/>
  <c r="CH6" i="52"/>
  <c r="CI6" i="52"/>
  <c r="CB1" i="52"/>
  <c r="CJ6" i="52"/>
  <c r="CK6" i="52"/>
  <c r="CL6" i="52"/>
  <c r="CM6" i="52"/>
  <c r="CN6" i="52"/>
  <c r="CO6" i="52"/>
  <c r="CP6" i="52"/>
  <c r="CI1" i="52"/>
  <c r="M101" i="27"/>
  <c r="M102" i="27"/>
  <c r="C102" i="27" s="1"/>
  <c r="K101" i="27"/>
  <c r="K102" i="27"/>
  <c r="M3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3" i="27"/>
  <c r="M35" i="27"/>
  <c r="M36" i="27"/>
  <c r="M37" i="27"/>
  <c r="M38" i="27"/>
  <c r="M39" i="27"/>
  <c r="M40" i="27"/>
  <c r="M41" i="27"/>
  <c r="M42" i="27"/>
  <c r="C42" i="27" s="1"/>
  <c r="M44" i="27"/>
  <c r="C44" i="27" s="1"/>
  <c r="M45" i="27"/>
  <c r="C45" i="27" s="1"/>
  <c r="M46" i="27"/>
  <c r="M47" i="27"/>
  <c r="C47" i="27" s="1"/>
  <c r="M48" i="27"/>
  <c r="C48" i="27" s="1"/>
  <c r="M49" i="27"/>
  <c r="C49" i="27" s="1"/>
  <c r="M50" i="27"/>
  <c r="M51" i="27"/>
  <c r="C51" i="27" s="1"/>
  <c r="M54" i="27"/>
  <c r="C54" i="27" s="1"/>
  <c r="M55" i="27"/>
  <c r="C55" i="27" s="1"/>
  <c r="M56" i="27"/>
  <c r="M57" i="27"/>
  <c r="C57" i="27" s="1"/>
  <c r="M59" i="27"/>
  <c r="C59" i="27" s="1"/>
  <c r="M60" i="27"/>
  <c r="C60" i="27" s="1"/>
  <c r="M62" i="27"/>
  <c r="C62" i="27" s="1"/>
  <c r="M67" i="27"/>
  <c r="C67" i="27" s="1"/>
  <c r="M68" i="27"/>
  <c r="C68" i="27" s="1"/>
  <c r="M69" i="27"/>
  <c r="C69" i="27" s="1"/>
  <c r="M70" i="27"/>
  <c r="C70" i="27" s="1"/>
  <c r="M71" i="27"/>
  <c r="C71" i="27" s="1"/>
  <c r="M72" i="27"/>
  <c r="M76" i="27"/>
  <c r="C76" i="27" s="1"/>
  <c r="M77" i="27"/>
  <c r="M78" i="27"/>
  <c r="C78" i="27" s="1"/>
  <c r="M79" i="27"/>
  <c r="C79" i="27" s="1"/>
  <c r="M80" i="27"/>
  <c r="C80" i="27" s="1"/>
  <c r="M81" i="27"/>
  <c r="C81" i="27" s="1"/>
  <c r="M82" i="27"/>
  <c r="C82" i="27" s="1"/>
  <c r="M83" i="27"/>
  <c r="C83" i="27" s="1"/>
  <c r="M84" i="27"/>
  <c r="C84" i="27" s="1"/>
  <c r="M85" i="27"/>
  <c r="C85" i="27" s="1"/>
  <c r="M86" i="27"/>
  <c r="C86" i="27" s="1"/>
  <c r="M87" i="27"/>
  <c r="C87" i="27" s="1"/>
  <c r="M88" i="27"/>
  <c r="C88" i="27" s="1"/>
  <c r="M89" i="27"/>
  <c r="C89" i="27" s="1"/>
  <c r="M90" i="27"/>
  <c r="C90" i="27" s="1"/>
  <c r="M91" i="27"/>
  <c r="C91" i="27" s="1"/>
  <c r="M92" i="27"/>
  <c r="M103" i="27"/>
  <c r="C103" i="27" s="1"/>
  <c r="M96" i="27"/>
  <c r="C96" i="27" s="1"/>
  <c r="M97" i="27"/>
  <c r="C97" i="27" s="1"/>
  <c r="M104" i="27"/>
  <c r="C104" i="27" s="1"/>
  <c r="M105" i="27"/>
  <c r="C105" i="27" s="1"/>
  <c r="M99" i="27"/>
  <c r="C99" i="27" s="1"/>
  <c r="M100" i="27"/>
  <c r="C100" i="27" s="1"/>
  <c r="K3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3" i="27"/>
  <c r="K35" i="27"/>
  <c r="K36" i="27"/>
  <c r="K37" i="27"/>
  <c r="K38" i="27"/>
  <c r="K39" i="27"/>
  <c r="K40" i="27"/>
  <c r="K41" i="27"/>
  <c r="K42" i="27"/>
  <c r="K44" i="27"/>
  <c r="K45" i="27"/>
  <c r="K46" i="27"/>
  <c r="K47" i="27"/>
  <c r="K48" i="27"/>
  <c r="K49" i="27"/>
  <c r="K50" i="27"/>
  <c r="K51" i="27"/>
  <c r="K54" i="27"/>
  <c r="K55" i="27"/>
  <c r="K56" i="27"/>
  <c r="K57" i="27"/>
  <c r="K59" i="27"/>
  <c r="K60" i="27"/>
  <c r="K62" i="27"/>
  <c r="K67" i="27"/>
  <c r="K68" i="27"/>
  <c r="K69" i="27"/>
  <c r="K70" i="27"/>
  <c r="K71" i="27"/>
  <c r="K72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6" i="27"/>
  <c r="K97" i="27"/>
  <c r="K104" i="27"/>
  <c r="K105" i="27"/>
  <c r="K99" i="27"/>
  <c r="K100" i="27"/>
  <c r="C3" i="29"/>
  <c r="C4" i="29"/>
  <c r="C5" i="29"/>
  <c r="C6" i="29"/>
  <c r="C7" i="29"/>
  <c r="C8" i="29"/>
  <c r="C9" i="29"/>
  <c r="C10" i="29"/>
  <c r="C11" i="29"/>
  <c r="C12" i="29"/>
  <c r="C13" i="29"/>
  <c r="C15" i="29"/>
  <c r="C16" i="29"/>
  <c r="C17" i="29"/>
  <c r="C18" i="29"/>
  <c r="C19" i="29"/>
  <c r="C20" i="29"/>
  <c r="C21" i="29"/>
  <c r="C22" i="29"/>
  <c r="C23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A3" i="29"/>
  <c r="A4" i="29"/>
  <c r="A5" i="29"/>
  <c r="A6" i="29"/>
  <c r="A7" i="29"/>
  <c r="A8" i="29"/>
  <c r="A9" i="29"/>
  <c r="A10" i="29"/>
  <c r="A11" i="29"/>
  <c r="A12" i="29"/>
  <c r="A13" i="29"/>
  <c r="A15" i="29"/>
  <c r="A16" i="29"/>
  <c r="A17" i="29"/>
  <c r="A18" i="29"/>
  <c r="A19" i="29"/>
  <c r="A20" i="29"/>
  <c r="A21" i="29"/>
  <c r="A22" i="29"/>
  <c r="A23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H102" i="27"/>
  <c r="I102" i="27" s="1"/>
  <c r="J102" i="27" s="1"/>
  <c r="A55" i="28"/>
  <c r="C101" i="27"/>
  <c r="CP1" i="52"/>
  <c r="CQ6" i="52"/>
  <c r="CR6" i="52"/>
  <c r="CS6" i="52"/>
  <c r="CT6" i="52"/>
  <c r="CU6" i="52"/>
  <c r="CV6" i="52"/>
  <c r="CW6" i="52"/>
  <c r="CW1" i="52"/>
  <c r="CX6" i="52"/>
  <c r="CY6" i="52"/>
  <c r="CZ6" i="52"/>
  <c r="DA6" i="52"/>
  <c r="DB6" i="52"/>
  <c r="DC6" i="52"/>
  <c r="DD6" i="52"/>
  <c r="D171" i="26"/>
  <c r="D165" i="26"/>
  <c r="D166" i="26"/>
  <c r="D167" i="26"/>
  <c r="D168" i="26"/>
  <c r="D169" i="26"/>
  <c r="D170" i="26"/>
  <c r="F165" i="26"/>
  <c r="F166" i="26"/>
  <c r="F167" i="26"/>
  <c r="F168" i="26"/>
  <c r="F169" i="26"/>
  <c r="F170" i="26"/>
  <c r="M165" i="26"/>
  <c r="M166" i="26"/>
  <c r="M167" i="26"/>
  <c r="M168" i="26"/>
  <c r="D164" i="26"/>
  <c r="F164" i="26"/>
  <c r="M164" i="26"/>
  <c r="D163" i="26"/>
  <c r="F163" i="26"/>
  <c r="M163" i="26"/>
  <c r="D162" i="26"/>
  <c r="F162" i="26"/>
  <c r="M162" i="26"/>
  <c r="D161" i="26"/>
  <c r="F161" i="26"/>
  <c r="M161" i="26"/>
  <c r="D160" i="26"/>
  <c r="F160" i="26"/>
  <c r="M160" i="26"/>
  <c r="DE6" i="52"/>
  <c r="DF6" i="52"/>
  <c r="DG6" i="52"/>
  <c r="DH6" i="52"/>
  <c r="DI6" i="52"/>
  <c r="DJ6" i="52"/>
  <c r="DK6" i="52"/>
  <c r="DD1" i="52"/>
  <c r="D159" i="26"/>
  <c r="F159" i="26"/>
  <c r="M159" i="26"/>
  <c r="D158" i="26"/>
  <c r="F158" i="26"/>
  <c r="M158" i="26"/>
  <c r="DL6" i="52"/>
  <c r="DM6" i="52"/>
  <c r="DN6" i="52"/>
  <c r="DO6" i="52"/>
  <c r="DP6" i="52"/>
  <c r="DQ6" i="52"/>
  <c r="DR6" i="52"/>
  <c r="DK1" i="52"/>
  <c r="DR1" i="52"/>
  <c r="DS6" i="52"/>
  <c r="DT6" i="52"/>
  <c r="DU6" i="52"/>
  <c r="DV6" i="52"/>
  <c r="DW6" i="52"/>
  <c r="DX6" i="52"/>
  <c r="D157" i="26"/>
  <c r="F157" i="26"/>
  <c r="M157" i="26"/>
  <c r="D156" i="26"/>
  <c r="F156" i="26"/>
  <c r="M156" i="26"/>
  <c r="D155" i="26"/>
  <c r="F155" i="26"/>
  <c r="M155" i="26"/>
  <c r="D154" i="26"/>
  <c r="F154" i="26"/>
  <c r="M154" i="26"/>
  <c r="H101" i="27"/>
  <c r="O49" i="28"/>
  <c r="R49" i="28"/>
  <c r="K17" i="30"/>
  <c r="M17" i="30"/>
  <c r="P17" i="30"/>
  <c r="Y17" i="30"/>
  <c r="AM17" i="30"/>
  <c r="AN17" i="30"/>
  <c r="K29" i="30"/>
  <c r="M29" i="30"/>
  <c r="P29" i="30"/>
  <c r="Y29" i="30"/>
  <c r="AM29" i="30"/>
  <c r="K28" i="30"/>
  <c r="M28" i="30"/>
  <c r="P28" i="30"/>
  <c r="Y28" i="30"/>
  <c r="AM28" i="30"/>
  <c r="K18" i="30"/>
  <c r="M18" i="30"/>
  <c r="P18" i="30"/>
  <c r="Y18" i="30"/>
  <c r="AM18" i="30"/>
  <c r="AN18" i="30"/>
  <c r="D153" i="26"/>
  <c r="F153" i="26"/>
  <c r="M153" i="26"/>
  <c r="D151" i="26"/>
  <c r="F151" i="26"/>
  <c r="M151" i="26"/>
  <c r="D227" i="26"/>
  <c r="F227" i="26"/>
  <c r="M227" i="26"/>
  <c r="D147" i="26"/>
  <c r="F147" i="26"/>
  <c r="M147" i="26"/>
  <c r="M44" i="26"/>
  <c r="M45" i="26"/>
  <c r="M46" i="26"/>
  <c r="M47" i="26"/>
  <c r="M48" i="26"/>
  <c r="M49" i="26"/>
  <c r="M50" i="26"/>
  <c r="M51" i="26"/>
  <c r="M52" i="26"/>
  <c r="M53" i="26"/>
  <c r="M54" i="26"/>
  <c r="M55" i="26"/>
  <c r="M56" i="26"/>
  <c r="M57" i="26"/>
  <c r="M58" i="26"/>
  <c r="M59" i="26"/>
  <c r="M60" i="26"/>
  <c r="M61" i="26"/>
  <c r="M62" i="26"/>
  <c r="M63" i="26"/>
  <c r="M65" i="26"/>
  <c r="M66" i="26"/>
  <c r="M67" i="26"/>
  <c r="M68" i="26"/>
  <c r="M69" i="26"/>
  <c r="M70" i="26"/>
  <c r="M71" i="26"/>
  <c r="M72" i="26"/>
  <c r="M73" i="26"/>
  <c r="M75" i="26"/>
  <c r="M76" i="26"/>
  <c r="M77" i="26"/>
  <c r="M78" i="26"/>
  <c r="M79" i="26"/>
  <c r="M80" i="26"/>
  <c r="M81" i="26"/>
  <c r="M82" i="26"/>
  <c r="M85" i="26"/>
  <c r="M86" i="26"/>
  <c r="M89" i="26"/>
  <c r="M90" i="26"/>
  <c r="M91" i="26"/>
  <c r="M92" i="26"/>
  <c r="M254" i="26"/>
  <c r="M255" i="26"/>
  <c r="M256" i="26"/>
  <c r="M96" i="26"/>
  <c r="M97" i="26"/>
  <c r="M98" i="26"/>
  <c r="M99" i="26"/>
  <c r="M100" i="26"/>
  <c r="M101" i="26"/>
  <c r="M102" i="26"/>
  <c r="M103" i="26"/>
  <c r="M106" i="26"/>
  <c r="M108" i="26"/>
  <c r="M110" i="26"/>
  <c r="M111" i="26"/>
  <c r="M112" i="26"/>
  <c r="M113" i="26"/>
  <c r="M114" i="26"/>
  <c r="M115" i="26"/>
  <c r="M116" i="26"/>
  <c r="M117" i="26"/>
  <c r="M118" i="26"/>
  <c r="M119" i="26"/>
  <c r="M120" i="26"/>
  <c r="M121" i="26"/>
  <c r="M122" i="26"/>
  <c r="M123" i="26"/>
  <c r="M124" i="26"/>
  <c r="M125" i="26"/>
  <c r="M128" i="26"/>
  <c r="M129" i="26"/>
  <c r="M130" i="26"/>
  <c r="M132" i="26"/>
  <c r="M133" i="26"/>
  <c r="M134" i="26"/>
  <c r="M135" i="26"/>
  <c r="M136" i="26"/>
  <c r="M137" i="26"/>
  <c r="M138" i="26"/>
  <c r="M139" i="26"/>
  <c r="M140" i="26"/>
  <c r="M141" i="26"/>
  <c r="M142" i="26"/>
  <c r="M143" i="26"/>
  <c r="M144" i="26"/>
  <c r="M145" i="26"/>
  <c r="M146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5" i="26"/>
  <c r="F66" i="26"/>
  <c r="F67" i="26"/>
  <c r="F68" i="26"/>
  <c r="F69" i="26"/>
  <c r="F70" i="26"/>
  <c r="F71" i="26"/>
  <c r="F72" i="26"/>
  <c r="F73" i="26"/>
  <c r="F75" i="26"/>
  <c r="F76" i="26"/>
  <c r="F77" i="26"/>
  <c r="F78" i="26"/>
  <c r="F79" i="26"/>
  <c r="F80" i="26"/>
  <c r="F81" i="26"/>
  <c r="F82" i="26"/>
  <c r="F85" i="26"/>
  <c r="F86" i="26"/>
  <c r="F89" i="26"/>
  <c r="F90" i="26"/>
  <c r="F91" i="26"/>
  <c r="F92" i="26"/>
  <c r="F254" i="26"/>
  <c r="F255" i="26"/>
  <c r="F256" i="26"/>
  <c r="F96" i="26"/>
  <c r="F97" i="26"/>
  <c r="F98" i="26"/>
  <c r="F99" i="26"/>
  <c r="F100" i="26"/>
  <c r="F101" i="26"/>
  <c r="F102" i="26"/>
  <c r="F103" i="26"/>
  <c r="F106" i="26"/>
  <c r="F108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8" i="26"/>
  <c r="F129" i="26"/>
  <c r="F132" i="26"/>
  <c r="F133" i="26"/>
  <c r="F134" i="26"/>
  <c r="F135" i="26"/>
  <c r="F136" i="26"/>
  <c r="F138" i="26"/>
  <c r="F139" i="26"/>
  <c r="F140" i="26"/>
  <c r="F141" i="26"/>
  <c r="F142" i="26"/>
  <c r="F143" i="26"/>
  <c r="F144" i="26"/>
  <c r="F145" i="26"/>
  <c r="F146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5" i="26"/>
  <c r="D66" i="26"/>
  <c r="D67" i="26"/>
  <c r="D68" i="26"/>
  <c r="D69" i="26"/>
  <c r="D70" i="26"/>
  <c r="D71" i="26"/>
  <c r="D72" i="26"/>
  <c r="D73" i="26"/>
  <c r="D75" i="26"/>
  <c r="D76" i="26"/>
  <c r="D77" i="26"/>
  <c r="D78" i="26"/>
  <c r="D79" i="26"/>
  <c r="D80" i="26"/>
  <c r="D81" i="26"/>
  <c r="D82" i="26"/>
  <c r="D85" i="26"/>
  <c r="D86" i="26"/>
  <c r="D89" i="26"/>
  <c r="D90" i="26"/>
  <c r="D91" i="26"/>
  <c r="D92" i="26"/>
  <c r="D254" i="26"/>
  <c r="D255" i="26"/>
  <c r="D256" i="26"/>
  <c r="D96" i="26"/>
  <c r="D97" i="26"/>
  <c r="D98" i="26"/>
  <c r="D99" i="26"/>
  <c r="D100" i="26"/>
  <c r="D101" i="26"/>
  <c r="D102" i="26"/>
  <c r="D103" i="26"/>
  <c r="D106" i="26"/>
  <c r="D108" i="26"/>
  <c r="D110" i="26"/>
  <c r="D111" i="26"/>
  <c r="D112" i="26"/>
  <c r="D113" i="26"/>
  <c r="D114" i="26"/>
  <c r="D115" i="26"/>
  <c r="D116" i="26"/>
  <c r="D117" i="26"/>
  <c r="B117" i="26" s="1"/>
  <c r="D118" i="26"/>
  <c r="D119" i="26"/>
  <c r="D120" i="26"/>
  <c r="D121" i="26"/>
  <c r="D122" i="26"/>
  <c r="D123" i="26"/>
  <c r="D124" i="26"/>
  <c r="D125" i="26"/>
  <c r="D128" i="26"/>
  <c r="D129" i="26"/>
  <c r="D130" i="26"/>
  <c r="D132" i="26"/>
  <c r="D133" i="26"/>
  <c r="D134" i="26"/>
  <c r="D135" i="26"/>
  <c r="D136" i="26"/>
  <c r="D137" i="26"/>
  <c r="D138" i="26"/>
  <c r="D139" i="26"/>
  <c r="D140" i="26"/>
  <c r="D141" i="26"/>
  <c r="D142" i="26"/>
  <c r="D143" i="26"/>
  <c r="D144" i="26"/>
  <c r="D145" i="26"/>
  <c r="D146" i="26"/>
  <c r="C3" i="27"/>
  <c r="C5" i="27"/>
  <c r="C7" i="27"/>
  <c r="C9" i="27"/>
  <c r="C10" i="27"/>
  <c r="C11" i="27"/>
  <c r="C13" i="27"/>
  <c r="C14" i="27"/>
  <c r="C15" i="27"/>
  <c r="C16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3" i="27"/>
  <c r="C35" i="27"/>
  <c r="C36" i="27"/>
  <c r="C37" i="27"/>
  <c r="C38" i="27"/>
  <c r="C39" i="27"/>
  <c r="C40" i="27"/>
  <c r="C41" i="27"/>
  <c r="A54" i="28"/>
  <c r="H100" i="27"/>
  <c r="B100" i="27" s="1"/>
  <c r="F30" i="26"/>
  <c r="F31" i="26"/>
  <c r="F38" i="26"/>
  <c r="F41" i="26"/>
  <c r="F42" i="26"/>
  <c r="F39" i="26"/>
  <c r="F32" i="26"/>
  <c r="F40" i="26"/>
  <c r="F35" i="26"/>
  <c r="F37" i="26"/>
  <c r="F36" i="26"/>
  <c r="F34" i="26"/>
  <c r="F26" i="26"/>
  <c r="F28" i="26"/>
  <c r="F19" i="26"/>
  <c r="F25" i="26"/>
  <c r="F21" i="26"/>
  <c r="F15" i="26"/>
  <c r="F23" i="26"/>
  <c r="F10" i="26"/>
  <c r="F18" i="26"/>
  <c r="F17" i="26"/>
  <c r="F22" i="26"/>
  <c r="F14" i="26"/>
  <c r="F13" i="26"/>
  <c r="F6" i="26"/>
  <c r="F8" i="26"/>
  <c r="F9" i="26"/>
  <c r="F7" i="26"/>
  <c r="F3" i="26"/>
  <c r="F5" i="26"/>
  <c r="D30" i="26"/>
  <c r="M30" i="26"/>
  <c r="D31" i="26"/>
  <c r="M31" i="26"/>
  <c r="M5" i="26"/>
  <c r="M3" i="26"/>
  <c r="M7" i="26"/>
  <c r="M9" i="26"/>
  <c r="M8" i="26"/>
  <c r="M6" i="26"/>
  <c r="M13" i="26"/>
  <c r="M14" i="26"/>
  <c r="M22" i="26"/>
  <c r="M17" i="26"/>
  <c r="M18" i="26"/>
  <c r="M10" i="26"/>
  <c r="M23" i="26"/>
  <c r="M15" i="26"/>
  <c r="M21" i="26"/>
  <c r="M25" i="26"/>
  <c r="M19" i="26"/>
  <c r="M28" i="26"/>
  <c r="M26" i="26"/>
  <c r="M34" i="26"/>
  <c r="M36" i="26"/>
  <c r="M37" i="26"/>
  <c r="M35" i="26"/>
  <c r="M40" i="26"/>
  <c r="M32" i="26"/>
  <c r="M39" i="26"/>
  <c r="M42" i="26"/>
  <c r="M41" i="26"/>
  <c r="M38" i="26"/>
  <c r="M43" i="26"/>
  <c r="D5" i="26"/>
  <c r="D3" i="26"/>
  <c r="D7" i="26"/>
  <c r="D9" i="26"/>
  <c r="D8" i="26"/>
  <c r="D6" i="26"/>
  <c r="D13" i="26"/>
  <c r="D14" i="26"/>
  <c r="D22" i="26"/>
  <c r="D17" i="26"/>
  <c r="D18" i="26"/>
  <c r="D10" i="26"/>
  <c r="D23" i="26"/>
  <c r="D15" i="26"/>
  <c r="D21" i="26"/>
  <c r="D25" i="26"/>
  <c r="D19" i="26"/>
  <c r="D28" i="26"/>
  <c r="D26" i="26"/>
  <c r="D34" i="26"/>
  <c r="D36" i="26"/>
  <c r="D37" i="26"/>
  <c r="D35" i="26"/>
  <c r="D40" i="26"/>
  <c r="D32" i="26"/>
  <c r="D39" i="26"/>
  <c r="D42" i="26"/>
  <c r="D41" i="26"/>
  <c r="D38" i="26"/>
  <c r="D43" i="26"/>
  <c r="A12" i="22"/>
  <c r="A23" i="22"/>
  <c r="A16" i="22"/>
  <c r="A7" i="22"/>
  <c r="A31" i="22"/>
  <c r="A36" i="22"/>
  <c r="A46" i="22"/>
  <c r="G6" i="46"/>
  <c r="H6" i="46" s="1"/>
  <c r="I6" i="46" s="1"/>
  <c r="J6" i="46" s="1"/>
  <c r="K6" i="46" s="1"/>
  <c r="L6" i="46" s="1"/>
  <c r="M6" i="46" s="1"/>
  <c r="O16" i="28"/>
  <c r="R16" i="28"/>
  <c r="AN7" i="30"/>
  <c r="AN8" i="30"/>
  <c r="AN5" i="30"/>
  <c r="AN9" i="30"/>
  <c r="AN31" i="30"/>
  <c r="AN22" i="30"/>
  <c r="AN25" i="30"/>
  <c r="AN12" i="30"/>
  <c r="AN10" i="30"/>
  <c r="AN19" i="30"/>
  <c r="AN21" i="30"/>
  <c r="AN15" i="30"/>
  <c r="AN35" i="30"/>
  <c r="AN20" i="30"/>
  <c r="H42" i="27"/>
  <c r="B42" i="27" s="1"/>
  <c r="H44" i="27"/>
  <c r="B44" i="27" s="1"/>
  <c r="H45" i="27"/>
  <c r="H46" i="27"/>
  <c r="I46" i="27" s="1"/>
  <c r="J46" i="27" s="1"/>
  <c r="H47" i="27"/>
  <c r="B47" i="27" s="1"/>
  <c r="H48" i="27"/>
  <c r="B48" i="27" s="1"/>
  <c r="H49" i="27"/>
  <c r="I49" i="27" s="1"/>
  <c r="J49" i="27" s="1"/>
  <c r="H50" i="27"/>
  <c r="I50" i="27" s="1"/>
  <c r="J50" i="27" s="1"/>
  <c r="H51" i="27"/>
  <c r="B51" i="27" s="1"/>
  <c r="H54" i="27"/>
  <c r="I54" i="27" s="1"/>
  <c r="J54" i="27" s="1"/>
  <c r="H55" i="27"/>
  <c r="I55" i="27" s="1"/>
  <c r="J55" i="27" s="1"/>
  <c r="H56" i="27"/>
  <c r="H15" i="27"/>
  <c r="B15" i="27" s="1"/>
  <c r="H30" i="27"/>
  <c r="B30" i="27" s="1"/>
  <c r="H31" i="27"/>
  <c r="I31" i="27" s="1"/>
  <c r="H33" i="27"/>
  <c r="I33" i="27" s="1"/>
  <c r="H35" i="27"/>
  <c r="B35" i="27" s="1"/>
  <c r="H36" i="27"/>
  <c r="I36" i="27" s="1"/>
  <c r="H37" i="27"/>
  <c r="B37" i="27" s="1"/>
  <c r="H38" i="27"/>
  <c r="B38" i="27" s="1"/>
  <c r="H39" i="27"/>
  <c r="I39" i="27" s="1"/>
  <c r="H40" i="27"/>
  <c r="H41" i="27"/>
  <c r="I41" i="27" s="1"/>
  <c r="H57" i="27"/>
  <c r="B57" i="27" s="1"/>
  <c r="H59" i="27"/>
  <c r="H60" i="27"/>
  <c r="B60" i="27" s="1"/>
  <c r="H62" i="27"/>
  <c r="B62" i="27" s="1"/>
  <c r="H3" i="27"/>
  <c r="I3" i="27" s="1"/>
  <c r="H5" i="27"/>
  <c r="I5" i="27" s="1"/>
  <c r="H6" i="27"/>
  <c r="B6" i="27" s="1"/>
  <c r="H7" i="27"/>
  <c r="B7" i="27" s="1"/>
  <c r="H8" i="27"/>
  <c r="B8" i="27" s="1"/>
  <c r="H9" i="27"/>
  <c r="B9" i="27" s="1"/>
  <c r="H10" i="27"/>
  <c r="B10" i="27" s="1"/>
  <c r="H11" i="27"/>
  <c r="H12" i="27"/>
  <c r="B12" i="27" s="1"/>
  <c r="H13" i="27"/>
  <c r="I13" i="27" s="1"/>
  <c r="H14" i="27"/>
  <c r="B14" i="27" s="1"/>
  <c r="H19" i="27"/>
  <c r="B19" i="27" s="1"/>
  <c r="H20" i="27"/>
  <c r="B20" i="27" s="1"/>
  <c r="H21" i="27"/>
  <c r="B21" i="27" s="1"/>
  <c r="H22" i="27"/>
  <c r="I22" i="27" s="1"/>
  <c r="H23" i="27"/>
  <c r="H24" i="27"/>
  <c r="B24" i="27" s="1"/>
  <c r="H25" i="27"/>
  <c r="I25" i="27" s="1"/>
  <c r="H26" i="27"/>
  <c r="H27" i="27"/>
  <c r="B27" i="27" s="1"/>
  <c r="H67" i="27"/>
  <c r="I67" i="27" s="1"/>
  <c r="J67" i="27" s="1"/>
  <c r="H68" i="27"/>
  <c r="B68" i="27" s="1"/>
  <c r="H69" i="27"/>
  <c r="I69" i="27" s="1"/>
  <c r="J69" i="27" s="1"/>
  <c r="H70" i="27"/>
  <c r="B70" i="27" s="1"/>
  <c r="H71" i="27"/>
  <c r="H72" i="27"/>
  <c r="B72" i="27" s="1"/>
  <c r="H76" i="27"/>
  <c r="B76" i="27" s="1"/>
  <c r="H77" i="27"/>
  <c r="B77" i="27" s="1"/>
  <c r="H78" i="27"/>
  <c r="B78" i="27" s="1"/>
  <c r="H79" i="27"/>
  <c r="I79" i="27" s="1"/>
  <c r="J79" i="27" s="1"/>
  <c r="H80" i="27"/>
  <c r="I80" i="27" s="1"/>
  <c r="J80" i="27" s="1"/>
  <c r="H81" i="27"/>
  <c r="I81" i="27" s="1"/>
  <c r="J81" i="27" s="1"/>
  <c r="H82" i="27"/>
  <c r="H83" i="27"/>
  <c r="B83" i="27" s="1"/>
  <c r="H84" i="27"/>
  <c r="I84" i="27" s="1"/>
  <c r="J84" i="27" s="1"/>
  <c r="H85" i="27"/>
  <c r="B85" i="27" s="1"/>
  <c r="H86" i="27"/>
  <c r="B86" i="27" s="1"/>
  <c r="H87" i="27"/>
  <c r="I87" i="27" s="1"/>
  <c r="J87" i="27" s="1"/>
  <c r="H28" i="27"/>
  <c r="B28" i="27" s="1"/>
  <c r="H29" i="27"/>
  <c r="I29" i="27" s="1"/>
  <c r="H88" i="27"/>
  <c r="H89" i="27"/>
  <c r="I89" i="27" s="1"/>
  <c r="J89" i="27" s="1"/>
  <c r="H90" i="27"/>
  <c r="I90" i="27" s="1"/>
  <c r="J90" i="27" s="1"/>
  <c r="H91" i="27"/>
  <c r="B91" i="27" s="1"/>
  <c r="H92" i="27"/>
  <c r="I92" i="27" s="1"/>
  <c r="J92" i="27" s="1"/>
  <c r="H103" i="27"/>
  <c r="B103" i="27" s="1"/>
  <c r="H96" i="27"/>
  <c r="I96" i="27" s="1"/>
  <c r="J96" i="27" s="1"/>
  <c r="H97" i="27"/>
  <c r="H104" i="27"/>
  <c r="H105" i="27"/>
  <c r="B105" i="27" s="1"/>
  <c r="H99" i="27"/>
  <c r="H16" i="27"/>
  <c r="B16" i="27" s="1"/>
  <c r="H18" i="27"/>
  <c r="AM7" i="30"/>
  <c r="AM8" i="30"/>
  <c r="AM5" i="30"/>
  <c r="AM9" i="30"/>
  <c r="AM31" i="30"/>
  <c r="AM22" i="30"/>
  <c r="AM25" i="30"/>
  <c r="AM12" i="30"/>
  <c r="AM10" i="30"/>
  <c r="AM36" i="30"/>
  <c r="AM37" i="30"/>
  <c r="AM19" i="30"/>
  <c r="AM21" i="30"/>
  <c r="AM15" i="30"/>
  <c r="AM35" i="30"/>
  <c r="AM20" i="30"/>
  <c r="AM24" i="30"/>
  <c r="AM40" i="30"/>
  <c r="AM16" i="30"/>
  <c r="AM32" i="30"/>
  <c r="AM23" i="30"/>
  <c r="O10" i="28"/>
  <c r="O12" i="28"/>
  <c r="O15" i="28"/>
  <c r="O6" i="28"/>
  <c r="O7" i="28"/>
  <c r="O8" i="28"/>
  <c r="O13" i="28"/>
  <c r="O4" i="28"/>
  <c r="O9" i="28"/>
  <c r="O11" i="28"/>
  <c r="O14" i="28"/>
  <c r="O17" i="28"/>
  <c r="O26" i="28"/>
  <c r="O28" i="28"/>
  <c r="O21" i="28"/>
  <c r="O25" i="28"/>
  <c r="O24" i="28"/>
  <c r="O22" i="28"/>
  <c r="O20" i="28"/>
  <c r="O27" i="28"/>
  <c r="O23" i="28"/>
  <c r="O30" i="28"/>
  <c r="O29" i="28"/>
  <c r="O32" i="28"/>
  <c r="O31" i="28"/>
  <c r="O33" i="28"/>
  <c r="O47" i="28"/>
  <c r="O37" i="28"/>
  <c r="O34" i="28"/>
  <c r="O39" i="28"/>
  <c r="O40" i="28"/>
  <c r="O45" i="28"/>
  <c r="O35" i="28"/>
  <c r="O41" i="28"/>
  <c r="O43" i="28"/>
  <c r="O46" i="28"/>
  <c r="O38" i="28"/>
  <c r="O48" i="28"/>
  <c r="O44" i="28"/>
  <c r="O42" i="28"/>
  <c r="O19" i="28"/>
  <c r="O18" i="28"/>
  <c r="J4" i="28"/>
  <c r="G4" i="28" s="1"/>
  <c r="J5" i="28"/>
  <c r="G5" i="28" s="1"/>
  <c r="J6" i="28"/>
  <c r="G6" i="28" s="1"/>
  <c r="J7" i="28"/>
  <c r="G7" i="28" s="1"/>
  <c r="J8" i="28"/>
  <c r="G8" i="28" s="1"/>
  <c r="J9" i="28"/>
  <c r="G9" i="28" s="1"/>
  <c r="J10" i="28"/>
  <c r="G10" i="28" s="1"/>
  <c r="R10" i="28"/>
  <c r="R12" i="28"/>
  <c r="R15" i="28"/>
  <c r="R6" i="28"/>
  <c r="R7" i="28"/>
  <c r="R8" i="28"/>
  <c r="R13" i="28"/>
  <c r="R4" i="28"/>
  <c r="R9" i="28"/>
  <c r="R11" i="28"/>
  <c r="R14" i="28"/>
  <c r="R17" i="28"/>
  <c r="R26" i="28"/>
  <c r="R28" i="28"/>
  <c r="R21" i="28"/>
  <c r="R25" i="28"/>
  <c r="R24" i="28"/>
  <c r="R22" i="28"/>
  <c r="R20" i="28"/>
  <c r="R27" i="28"/>
  <c r="R23" i="28"/>
  <c r="R30" i="28"/>
  <c r="R29" i="28"/>
  <c r="R32" i="28"/>
  <c r="R31" i="28"/>
  <c r="R33" i="28"/>
  <c r="R47" i="28"/>
  <c r="R37" i="28"/>
  <c r="R34" i="28"/>
  <c r="R39" i="28"/>
  <c r="R40" i="28"/>
  <c r="R45" i="28"/>
  <c r="R35" i="28"/>
  <c r="R41" i="28"/>
  <c r="R43" i="28"/>
  <c r="R46" i="28"/>
  <c r="R38" i="28"/>
  <c r="R48" i="28"/>
  <c r="R44" i="28"/>
  <c r="R42" i="28"/>
  <c r="R19" i="28"/>
  <c r="R18" i="28"/>
  <c r="D4" i="28"/>
  <c r="A4" i="28" s="1"/>
  <c r="D5" i="28"/>
  <c r="A5" i="28" s="1"/>
  <c r="D6" i="28"/>
  <c r="A6" i="28" s="1"/>
  <c r="D7" i="28"/>
  <c r="A7" i="28" s="1"/>
  <c r="D8" i="28"/>
  <c r="A8" i="28" s="1"/>
  <c r="D9" i="28"/>
  <c r="A9" i="28" s="1"/>
  <c r="D10" i="28"/>
  <c r="A10" i="28" s="1"/>
  <c r="D11" i="28"/>
  <c r="A11" i="28" s="1"/>
  <c r="D13" i="28"/>
  <c r="A13" i="28" s="1"/>
  <c r="D14" i="28"/>
  <c r="A14" i="28" s="1"/>
  <c r="D15" i="28"/>
  <c r="A15" i="28" s="1"/>
  <c r="D16" i="28"/>
  <c r="A16" i="28" s="1"/>
  <c r="D17" i="28"/>
  <c r="A17" i="28" s="1"/>
  <c r="D18" i="28"/>
  <c r="A18" i="28" s="1"/>
  <c r="D19" i="28"/>
  <c r="A19" i="28" s="1"/>
  <c r="D20" i="28"/>
  <c r="A20" i="28" s="1"/>
  <c r="A21" i="28"/>
  <c r="A23" i="28"/>
  <c r="A24" i="28"/>
  <c r="A25" i="28"/>
  <c r="A26" i="28"/>
  <c r="A27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K7" i="30"/>
  <c r="K8" i="30"/>
  <c r="K5" i="30"/>
  <c r="K9" i="30"/>
  <c r="K31" i="30"/>
  <c r="K22" i="30"/>
  <c r="K25" i="30"/>
  <c r="K12" i="30"/>
  <c r="K10" i="30"/>
  <c r="K36" i="30"/>
  <c r="K37" i="30"/>
  <c r="K19" i="30"/>
  <c r="K21" i="30"/>
  <c r="K15" i="30"/>
  <c r="K35" i="30"/>
  <c r="K20" i="30"/>
  <c r="K24" i="30"/>
  <c r="K40" i="30"/>
  <c r="K16" i="30"/>
  <c r="K32" i="30"/>
  <c r="K23" i="30"/>
  <c r="P7" i="30"/>
  <c r="P8" i="30"/>
  <c r="P5" i="30"/>
  <c r="P9" i="30"/>
  <c r="P31" i="30"/>
  <c r="P22" i="30"/>
  <c r="P25" i="30"/>
  <c r="P12" i="30"/>
  <c r="P10" i="30"/>
  <c r="P36" i="30"/>
  <c r="P37" i="30"/>
  <c r="P19" i="30"/>
  <c r="P21" i="30"/>
  <c r="P15" i="30"/>
  <c r="P35" i="30"/>
  <c r="P20" i="30"/>
  <c r="P24" i="30"/>
  <c r="P40" i="30"/>
  <c r="P16" i="30"/>
  <c r="P32" i="30"/>
  <c r="P23" i="30"/>
  <c r="M7" i="30"/>
  <c r="M8" i="30"/>
  <c r="M5" i="30"/>
  <c r="M9" i="30"/>
  <c r="M31" i="30"/>
  <c r="M22" i="30"/>
  <c r="M25" i="30"/>
  <c r="M12" i="30"/>
  <c r="M10" i="30"/>
  <c r="M36" i="30"/>
  <c r="M37" i="30"/>
  <c r="M19" i="30"/>
  <c r="M21" i="30"/>
  <c r="M15" i="30"/>
  <c r="M35" i="30"/>
  <c r="M20" i="30"/>
  <c r="M24" i="30"/>
  <c r="M40" i="30"/>
  <c r="M16" i="30"/>
  <c r="M32" i="30"/>
  <c r="M23" i="30"/>
  <c r="AM5" i="53"/>
  <c r="AN5" i="53" s="1"/>
  <c r="Y23" i="30"/>
  <c r="Y32" i="30"/>
  <c r="Y16" i="30"/>
  <c r="Y40" i="30"/>
  <c r="Y24" i="30"/>
  <c r="Y7" i="30"/>
  <c r="Y8" i="30"/>
  <c r="Y5" i="30"/>
  <c r="Y9" i="30"/>
  <c r="Y31" i="30"/>
  <c r="Y22" i="30"/>
  <c r="Y25" i="30"/>
  <c r="Y12" i="30"/>
  <c r="Y10" i="30"/>
  <c r="Y36" i="30"/>
  <c r="Y37" i="30"/>
  <c r="Y19" i="30"/>
  <c r="Y21" i="30"/>
  <c r="Y15" i="30"/>
  <c r="Y35" i="30"/>
  <c r="Y20" i="30"/>
  <c r="B9" i="46"/>
  <c r="B10" i="46"/>
  <c r="AN23" i="30"/>
  <c r="AN40" i="30"/>
  <c r="AN16" i="30"/>
  <c r="AN32" i="30"/>
  <c r="CY8" i="52"/>
  <c r="DT8" i="52"/>
  <c r="DA8" i="52"/>
  <c r="CP8" i="52"/>
  <c r="BL8" i="52"/>
  <c r="W8" i="52"/>
  <c r="AB8" i="52"/>
  <c r="DF8" i="52"/>
  <c r="CL8" i="52"/>
  <c r="BK8" i="52"/>
  <c r="DI8" i="52"/>
  <c r="BW9" i="52"/>
  <c r="K8" i="52"/>
  <c r="BN8" i="52"/>
  <c r="AJ8" i="52"/>
  <c r="DL8" i="52"/>
  <c r="AO8" i="52"/>
  <c r="U8" i="52"/>
  <c r="BJ8" i="52"/>
  <c r="AH8" i="52"/>
  <c r="AW8" i="52"/>
  <c r="CE8" i="52"/>
  <c r="BV8" i="52"/>
  <c r="CJ8" i="52"/>
  <c r="BF8" i="52"/>
  <c r="AQ8" i="52"/>
  <c r="CF8" i="52"/>
  <c r="CK8" i="52"/>
  <c r="AK8" i="52"/>
  <c r="CZ8" i="52"/>
  <c r="BO8" i="52"/>
  <c r="DV8" i="52"/>
  <c r="BH8" i="52"/>
  <c r="DX8" i="52"/>
  <c r="CA8" i="52"/>
  <c r="DK8" i="52"/>
  <c r="DS8" i="52"/>
  <c r="L8" i="52"/>
  <c r="CU8" i="52"/>
  <c r="AL8" i="52"/>
  <c r="M8" i="52"/>
  <c r="CN8" i="52"/>
  <c r="AI8" i="52"/>
  <c r="BT8" i="52"/>
  <c r="BB8" i="52"/>
  <c r="AM8" i="52"/>
  <c r="DW10" i="52"/>
  <c r="BN10" i="52"/>
  <c r="CI10" i="52"/>
  <c r="DF10" i="52"/>
  <c r="CU10" i="52"/>
  <c r="CS10" i="52"/>
  <c r="CW10" i="52"/>
  <c r="X10" i="52"/>
  <c r="W10" i="52"/>
  <c r="BE10" i="52"/>
  <c r="CJ10" i="52"/>
  <c r="DQ10" i="52"/>
  <c r="CZ10" i="52"/>
  <c r="DE10" i="52"/>
  <c r="CK10" i="52"/>
  <c r="CM10" i="52"/>
  <c r="Q10" i="52"/>
  <c r="DR10" i="52"/>
  <c r="AX10" i="52"/>
  <c r="Y10" i="52"/>
  <c r="AB10" i="52"/>
  <c r="DA10" i="52"/>
  <c r="BK10" i="52"/>
  <c r="DN10" i="52"/>
  <c r="CB10" i="52"/>
  <c r="CL10" i="52"/>
  <c r="K10" i="52"/>
  <c r="BT10" i="52"/>
  <c r="BV10" i="52"/>
  <c r="BZ10" i="52"/>
  <c r="CG10" i="52"/>
  <c r="BW10" i="52"/>
  <c r="BS10" i="52"/>
  <c r="M10" i="52"/>
  <c r="BA10" i="52"/>
  <c r="J10" i="52"/>
  <c r="AY10" i="52"/>
  <c r="DL10" i="52"/>
  <c r="BM10" i="52"/>
  <c r="S10" i="52"/>
  <c r="CE10" i="52"/>
  <c r="AE10" i="52"/>
  <c r="BG10" i="52"/>
  <c r="R10" i="52"/>
  <c r="AG10" i="52"/>
  <c r="BU10" i="52"/>
  <c r="DG10" i="52"/>
  <c r="BX10" i="52"/>
  <c r="AO10" i="52"/>
  <c r="L10" i="52"/>
  <c r="BL10" i="52"/>
  <c r="CV10" i="52"/>
  <c r="T10" i="52"/>
  <c r="AT10" i="52"/>
  <c r="BJ10" i="52"/>
  <c r="AR10" i="52"/>
  <c r="DT10" i="52"/>
  <c r="AL10" i="52"/>
  <c r="N10" i="52"/>
  <c r="DI10" i="52"/>
  <c r="DV10" i="52"/>
  <c r="CH10" i="52"/>
  <c r="AW10" i="52"/>
  <c r="BO10" i="52"/>
  <c r="V10" i="52"/>
  <c r="CD10" i="52"/>
  <c r="AU10" i="52"/>
  <c r="AS10" i="52"/>
  <c r="DP10" i="52"/>
  <c r="AN10" i="52"/>
  <c r="DJ10" i="52"/>
  <c r="DK10" i="52"/>
  <c r="BD10" i="52"/>
  <c r="CX10" i="52"/>
  <c r="DD10" i="52"/>
  <c r="AH10" i="52"/>
  <c r="CA10" i="52"/>
  <c r="BY10" i="52"/>
  <c r="AM10" i="52"/>
  <c r="BH10" i="52"/>
  <c r="CP10" i="52"/>
  <c r="BB10" i="52"/>
  <c r="BP10" i="52"/>
  <c r="BF10" i="52"/>
  <c r="AF10" i="52"/>
  <c r="O10" i="52"/>
  <c r="CQ10" i="52"/>
  <c r="AK10" i="52"/>
  <c r="DS10" i="52"/>
  <c r="BC10" i="52"/>
  <c r="AA10" i="52"/>
  <c r="CY10" i="52"/>
  <c r="BR10" i="52"/>
  <c r="Z10" i="52"/>
  <c r="AC10" i="52"/>
  <c r="DC10" i="52"/>
  <c r="CR10" i="52"/>
  <c r="AP10" i="52"/>
  <c r="U10" i="52"/>
  <c r="DH10" i="52"/>
  <c r="DU10" i="52"/>
  <c r="DX10" i="52"/>
  <c r="AZ10" i="52"/>
  <c r="DB10" i="52"/>
  <c r="AI10" i="52"/>
  <c r="AJ10" i="52"/>
  <c r="DO10" i="52"/>
  <c r="CN10" i="52"/>
  <c r="AD10" i="52"/>
  <c r="P10" i="52"/>
  <c r="AV10" i="52"/>
  <c r="DM10" i="52"/>
  <c r="CT10" i="52"/>
  <c r="CC10" i="52"/>
  <c r="BQ10" i="52"/>
  <c r="BI10" i="52"/>
  <c r="AQ10" i="52"/>
  <c r="CO10" i="52"/>
  <c r="CF10" i="52"/>
  <c r="BS8" i="52"/>
  <c r="AT8" i="52"/>
  <c r="DU8" i="52"/>
  <c r="AV8" i="52"/>
  <c r="DH8" i="52"/>
  <c r="CX8" i="52"/>
  <c r="BD8" i="52"/>
  <c r="AN8" i="52"/>
  <c r="DR8" i="52"/>
  <c r="BP8" i="52"/>
  <c r="AD8" i="52"/>
  <c r="DJ8" i="52"/>
  <c r="AZ8" i="52"/>
  <c r="AX8" i="52"/>
  <c r="DO8" i="52"/>
  <c r="AP8" i="52"/>
  <c r="AC8" i="52"/>
  <c r="AU8" i="52"/>
  <c r="Q8" i="52"/>
  <c r="AY8" i="52"/>
  <c r="DE8" i="52"/>
  <c r="BX8" i="52"/>
  <c r="CM8" i="52"/>
  <c r="CD8" i="52"/>
  <c r="DP8" i="52"/>
  <c r="DC8" i="52"/>
  <c r="AF8" i="52"/>
  <c r="O8" i="52"/>
  <c r="CI8" i="52"/>
  <c r="BA8" i="52"/>
  <c r="CS8" i="52"/>
  <c r="CT8" i="52"/>
  <c r="N8" i="52"/>
  <c r="S8" i="52"/>
  <c r="CR8" i="52"/>
  <c r="J8" i="52"/>
  <c r="BY8" i="52"/>
  <c r="BQ8" i="52"/>
  <c r="CC8" i="52"/>
  <c r="CW8" i="52"/>
  <c r="BM8" i="52"/>
  <c r="V8" i="52"/>
  <c r="BI8" i="52"/>
  <c r="Z8" i="52"/>
  <c r="T8" i="52"/>
  <c r="DN8" i="52"/>
  <c r="BC8" i="52"/>
  <c r="AG8" i="52"/>
  <c r="BG8" i="52"/>
  <c r="BE8" i="52"/>
  <c r="DB8" i="52"/>
  <c r="DM8" i="52"/>
  <c r="R8" i="52"/>
  <c r="DG8" i="52"/>
  <c r="BR8" i="52"/>
  <c r="CH8" i="52"/>
  <c r="CB8" i="52"/>
  <c r="X8" i="52"/>
  <c r="AA8" i="52"/>
  <c r="AR8" i="52"/>
  <c r="AE8" i="52"/>
  <c r="DW8" i="52"/>
  <c r="CG8" i="52"/>
  <c r="Y8" i="52"/>
  <c r="AS8" i="52"/>
  <c r="DD8" i="52"/>
  <c r="BW8" i="52"/>
  <c r="DQ8" i="52"/>
  <c r="BZ8" i="52"/>
  <c r="BU8" i="52"/>
  <c r="P8" i="52"/>
  <c r="CO8" i="52"/>
  <c r="CQ8" i="52"/>
  <c r="CV8" i="52"/>
  <c r="Q11" i="52"/>
  <c r="CC11" i="52"/>
  <c r="DK11" i="52"/>
  <c r="BN11" i="52"/>
  <c r="DM11" i="52"/>
  <c r="L11" i="52"/>
  <c r="DT11" i="52"/>
  <c r="CP11" i="52"/>
  <c r="BU11" i="52"/>
  <c r="AS11" i="52"/>
  <c r="CQ11" i="52"/>
  <c r="CN11" i="52"/>
  <c r="CT11" i="52"/>
  <c r="CS11" i="52"/>
  <c r="BZ11" i="52"/>
  <c r="BW11" i="52"/>
  <c r="BD11" i="52"/>
  <c r="DV11" i="52"/>
  <c r="BE11" i="52"/>
  <c r="J11" i="52"/>
  <c r="O11" i="52"/>
  <c r="AV11" i="52"/>
  <c r="DR11" i="52"/>
  <c r="AR11" i="52"/>
  <c r="S11" i="52"/>
  <c r="N11" i="52"/>
  <c r="AQ11" i="52"/>
  <c r="BC11" i="52"/>
  <c r="AH11" i="52"/>
  <c r="AC11" i="52"/>
  <c r="Y9" i="52"/>
  <c r="BL9" i="52"/>
  <c r="CH9" i="52"/>
  <c r="O9" i="52"/>
  <c r="BQ9" i="52"/>
  <c r="AA9" i="52"/>
  <c r="DS9" i="52"/>
  <c r="DD9" i="52"/>
  <c r="AB9" i="52"/>
  <c r="DF9" i="52"/>
  <c r="BT9" i="52"/>
  <c r="BI9" i="52"/>
  <c r="CB9" i="52"/>
  <c r="AF9" i="52"/>
  <c r="AM9" i="52"/>
  <c r="AE9" i="52"/>
  <c r="BA9" i="52"/>
  <c r="BC9" i="52"/>
  <c r="CF9" i="52"/>
  <c r="CI9" i="52"/>
  <c r="DH9" i="52"/>
  <c r="P9" i="52"/>
  <c r="DJ9" i="52"/>
  <c r="DB9" i="52"/>
  <c r="CJ9" i="52"/>
  <c r="AL9" i="52"/>
  <c r="AN9" i="52"/>
  <c r="BV9" i="52"/>
  <c r="CV9" i="52"/>
  <c r="CR9" i="52"/>
  <c r="DI9" i="52"/>
  <c r="BO9" i="52"/>
  <c r="T9" i="52"/>
  <c r="W9" i="52"/>
  <c r="AJ9" i="52"/>
  <c r="X9" i="52"/>
  <c r="AV9" i="52"/>
  <c r="BH9" i="52"/>
  <c r="CP9" i="52"/>
  <c r="AQ9" i="52"/>
  <c r="AH9" i="52"/>
  <c r="DN9" i="52"/>
  <c r="V9" i="52"/>
  <c r="DO9" i="52"/>
  <c r="DU9" i="52"/>
  <c r="CE9" i="52"/>
  <c r="DV9" i="52"/>
  <c r="AT9" i="52"/>
  <c r="M9" i="52"/>
  <c r="AZ9" i="52"/>
  <c r="BD9" i="52"/>
  <c r="BU9" i="52"/>
  <c r="CQ9" i="52"/>
  <c r="AD9" i="52"/>
  <c r="R9" i="52"/>
  <c r="DA9" i="52"/>
  <c r="K9" i="52"/>
  <c r="AP9" i="52"/>
  <c r="DR9" i="52"/>
  <c r="CA9" i="52"/>
  <c r="DE9" i="52"/>
  <c r="CZ9" i="52"/>
  <c r="Q9" i="52"/>
  <c r="CD9" i="52"/>
  <c r="DK9" i="52"/>
  <c r="L9" i="52"/>
  <c r="BP9" i="52"/>
  <c r="BY9" i="52"/>
  <c r="DM9" i="52"/>
  <c r="DQ9" i="52"/>
  <c r="CX9" i="52"/>
  <c r="BX9" i="52"/>
  <c r="BZ9" i="52"/>
  <c r="DC9" i="52"/>
  <c r="BE9" i="52"/>
  <c r="CO9" i="52"/>
  <c r="BG9" i="52"/>
  <c r="BR9" i="52"/>
  <c r="CT9" i="52"/>
  <c r="S9" i="52"/>
  <c r="U9" i="52"/>
  <c r="AC9" i="52"/>
  <c r="CC9" i="52"/>
  <c r="BS9" i="52"/>
  <c r="AW9" i="52"/>
  <c r="CK9" i="52"/>
  <c r="AS9" i="52"/>
  <c r="DX9" i="52"/>
  <c r="CS9" i="52"/>
  <c r="CW9" i="52"/>
  <c r="DW9" i="52"/>
  <c r="AY9" i="52"/>
  <c r="AO9" i="52"/>
  <c r="CU9" i="52"/>
  <c r="CY9" i="52"/>
  <c r="BM9" i="52"/>
  <c r="AR9" i="52"/>
  <c r="CG9" i="52"/>
  <c r="CN9" i="52"/>
  <c r="CM9" i="52"/>
  <c r="N9" i="52"/>
  <c r="Z9" i="52"/>
  <c r="AU9" i="52"/>
  <c r="AK9" i="52"/>
  <c r="BB9" i="52"/>
  <c r="AG9" i="52"/>
  <c r="BF9" i="52"/>
  <c r="BK9" i="52"/>
  <c r="J9" i="52"/>
  <c r="CL9" i="52"/>
  <c r="BN9" i="52"/>
  <c r="DL9" i="52"/>
  <c r="DT9" i="52"/>
  <c r="BJ9" i="52"/>
  <c r="AX9" i="52"/>
  <c r="DP9" i="52"/>
  <c r="AI9" i="52"/>
  <c r="DG9" i="52"/>
  <c r="K11" i="52"/>
  <c r="BS11" i="52"/>
  <c r="AX11" i="52"/>
  <c r="CO11" i="52"/>
  <c r="DE11" i="52"/>
  <c r="CZ11" i="52"/>
  <c r="Z11" i="52"/>
  <c r="AM11" i="52"/>
  <c r="R11" i="52"/>
  <c r="P11" i="52"/>
  <c r="CK11" i="52"/>
  <c r="BQ11" i="52"/>
  <c r="M11" i="52"/>
  <c r="DC11" i="52"/>
  <c r="CG11" i="52"/>
  <c r="DL11" i="52"/>
  <c r="CD11" i="52"/>
  <c r="BF11" i="52"/>
  <c r="CV11" i="52"/>
  <c r="BI11" i="52"/>
  <c r="BP11" i="52"/>
  <c r="U11" i="52"/>
  <c r="BX11" i="52"/>
  <c r="V11" i="52"/>
  <c r="DS11" i="52"/>
  <c r="CX11" i="52"/>
  <c r="Y11" i="52"/>
  <c r="CF11" i="52"/>
  <c r="DN11" i="52"/>
  <c r="AU11" i="52"/>
  <c r="AA11" i="52"/>
  <c r="DG11" i="52"/>
  <c r="BL11" i="52"/>
  <c r="DI11" i="52"/>
  <c r="T11" i="52"/>
  <c r="BH11" i="52"/>
  <c r="BM11" i="52"/>
  <c r="AW11" i="52"/>
  <c r="BJ11" i="52"/>
  <c r="W11" i="52"/>
  <c r="CI11" i="52"/>
  <c r="X11" i="52"/>
  <c r="DF11" i="52"/>
  <c r="BT11" i="52"/>
  <c r="DA11" i="52"/>
  <c r="BO11" i="52"/>
  <c r="AY11" i="52"/>
  <c r="AI11" i="52"/>
  <c r="AB11" i="52"/>
  <c r="CY11" i="52"/>
  <c r="CW11" i="52"/>
  <c r="DU11" i="52"/>
  <c r="DB11" i="52"/>
  <c r="DX11" i="52"/>
  <c r="BY11" i="52"/>
  <c r="DW11" i="52"/>
  <c r="CM11" i="52"/>
  <c r="BK11" i="52"/>
  <c r="CH11" i="52"/>
  <c r="CB11" i="52"/>
  <c r="AL11" i="52"/>
  <c r="AN11" i="52"/>
  <c r="CE11" i="52"/>
  <c r="AT11" i="52"/>
  <c r="BR11" i="52"/>
  <c r="DH11" i="52"/>
  <c r="CJ11" i="52"/>
  <c r="AF11" i="52"/>
  <c r="AZ11" i="52"/>
  <c r="BA11" i="52"/>
  <c r="AP11" i="52"/>
  <c r="BB11" i="52"/>
  <c r="DO11" i="52"/>
  <c r="AD11" i="52"/>
  <c r="AK11" i="52"/>
  <c r="CU11" i="52"/>
  <c r="AO11" i="52"/>
  <c r="AG11" i="52"/>
  <c r="BV11" i="52"/>
  <c r="DJ11" i="52"/>
  <c r="DP11" i="52"/>
  <c r="CL11" i="52"/>
  <c r="CR11" i="52"/>
  <c r="AJ11" i="52"/>
  <c r="DQ11" i="52"/>
  <c r="BG11" i="52"/>
  <c r="DD11" i="52"/>
  <c r="CA11" i="52"/>
  <c r="AE11" i="52"/>
  <c r="T12" i="52"/>
  <c r="BO12" i="52"/>
  <c r="BN12" i="52"/>
  <c r="BV12" i="52"/>
  <c r="BL12" i="52"/>
  <c r="AS12" i="52"/>
  <c r="CS12" i="52"/>
  <c r="Z12" i="52"/>
  <c r="Q12" i="52"/>
  <c r="AK12" i="52"/>
  <c r="CH12" i="52"/>
  <c r="R12" i="52"/>
  <c r="BX12" i="52"/>
  <c r="DF12" i="52"/>
  <c r="BP12" i="52"/>
  <c r="AX12" i="52"/>
  <c r="BC12" i="52"/>
  <c r="AV12" i="52"/>
  <c r="AO12" i="52"/>
  <c r="AA12" i="52"/>
  <c r="DS12" i="52"/>
  <c r="M12" i="52"/>
  <c r="DR12" i="52"/>
  <c r="CL12" i="52"/>
  <c r="DQ12" i="52"/>
  <c r="BT12" i="52"/>
  <c r="AW12" i="52"/>
  <c r="BM12" i="52"/>
  <c r="CZ12" i="52"/>
  <c r="Y12" i="52"/>
  <c r="DT12" i="52"/>
  <c r="DI12" i="52"/>
  <c r="DE12" i="52"/>
  <c r="AR12" i="52"/>
  <c r="DG12" i="52"/>
  <c r="CW12" i="52"/>
  <c r="CN12" i="52"/>
  <c r="DA12" i="52"/>
  <c r="DX12" i="52"/>
  <c r="BE12" i="52"/>
  <c r="AE12" i="52"/>
  <c r="CJ12" i="52"/>
  <c r="BZ12" i="52"/>
  <c r="DM12" i="52"/>
  <c r="CD12" i="52"/>
  <c r="BB12" i="52"/>
  <c r="J12" i="52"/>
  <c r="AL12" i="52"/>
  <c r="DO12" i="52"/>
  <c r="CK12" i="52"/>
  <c r="AJ12" i="52"/>
  <c r="AI12" i="52"/>
  <c r="BW12" i="52"/>
  <c r="BI12" i="52"/>
  <c r="CF12" i="52"/>
  <c r="BH12" i="52"/>
  <c r="DL12" i="52"/>
  <c r="BS12" i="52"/>
  <c r="P12" i="52"/>
  <c r="AG12" i="52"/>
  <c r="AP12" i="52"/>
  <c r="X12" i="52"/>
  <c r="DP12" i="52"/>
  <c r="BQ12" i="52"/>
  <c r="CX12" i="52"/>
  <c r="AM12" i="52"/>
  <c r="AZ12" i="52"/>
  <c r="BK12" i="52"/>
  <c r="AY12" i="52"/>
  <c r="CG12" i="52"/>
  <c r="CY12" i="52"/>
  <c r="BF12" i="52"/>
  <c r="DD12" i="52"/>
  <c r="AB12" i="52"/>
  <c r="U12" i="52"/>
  <c r="AH12" i="52"/>
  <c r="DH12" i="52"/>
  <c r="DC12" i="52"/>
  <c r="BG12" i="52"/>
  <c r="V12" i="52"/>
  <c r="BU12" i="52"/>
  <c r="AC12" i="52"/>
  <c r="CA12" i="52"/>
  <c r="CQ12" i="52"/>
  <c r="CV12" i="52"/>
  <c r="BD12" i="52"/>
  <c r="N12" i="52"/>
  <c r="O12" i="52"/>
  <c r="AQ12" i="52"/>
  <c r="CU12" i="52"/>
  <c r="DN12" i="52"/>
  <c r="AF12" i="52"/>
  <c r="DK12" i="52"/>
  <c r="BA12" i="52"/>
  <c r="CO12" i="52"/>
  <c r="AT12" i="52"/>
  <c r="BR12" i="52"/>
  <c r="CM12" i="52"/>
  <c r="K12" i="52"/>
  <c r="DJ12" i="52"/>
  <c r="CR12" i="52"/>
  <c r="DV12" i="52"/>
  <c r="DU12" i="52"/>
  <c r="CC12" i="52"/>
  <c r="AU12" i="52"/>
  <c r="W12" i="52"/>
  <c r="CB12" i="52"/>
  <c r="L12" i="52"/>
  <c r="DB12" i="52"/>
  <c r="CP12" i="52"/>
  <c r="CE12" i="52"/>
  <c r="AN12" i="52"/>
  <c r="CI12" i="52"/>
  <c r="CT12" i="52"/>
  <c r="S12" i="52"/>
  <c r="BJ12" i="52"/>
  <c r="DW12" i="52"/>
  <c r="BY12" i="52"/>
  <c r="AD12" i="52"/>
  <c r="BP13" i="52"/>
  <c r="DL13" i="52"/>
  <c r="DJ13" i="52"/>
  <c r="AG13" i="52"/>
  <c r="CG13" i="52"/>
  <c r="BD13" i="52"/>
  <c r="AS13" i="52"/>
  <c r="AQ13" i="52"/>
  <c r="AT13" i="52"/>
  <c r="DM13" i="52"/>
  <c r="CL13" i="52"/>
  <c r="W13" i="52"/>
  <c r="BV13" i="52"/>
  <c r="AH13" i="52"/>
  <c r="K13" i="52"/>
  <c r="BO13" i="52"/>
  <c r="AW13" i="52"/>
  <c r="DC13" i="52"/>
  <c r="CW13" i="52"/>
  <c r="BQ13" i="52"/>
  <c r="AZ13" i="52"/>
  <c r="BN13" i="52"/>
  <c r="Y13" i="52"/>
  <c r="AO13" i="52"/>
  <c r="DH13" i="52"/>
  <c r="DT13" i="52"/>
  <c r="CH13" i="52"/>
  <c r="AA13" i="52"/>
  <c r="AX13" i="52"/>
  <c r="AV13" i="52"/>
  <c r="BH13" i="52"/>
  <c r="BZ13" i="52"/>
  <c r="L13" i="52"/>
  <c r="AI13" i="52"/>
  <c r="AC13" i="52"/>
  <c r="BM13" i="52"/>
  <c r="AL13" i="52"/>
  <c r="X13" i="52"/>
  <c r="DS13" i="52"/>
  <c r="V13" i="52"/>
  <c r="J13" i="52"/>
  <c r="BY13" i="52"/>
  <c r="N13" i="52"/>
  <c r="BT13" i="52"/>
  <c r="CR13" i="52"/>
  <c r="CJ13" i="52"/>
  <c r="DX13" i="52"/>
  <c r="DU13" i="52"/>
  <c r="Z13" i="52"/>
  <c r="O13" i="52"/>
  <c r="CB13" i="52"/>
  <c r="S13" i="52"/>
  <c r="BF13" i="52"/>
  <c r="CK13" i="52"/>
  <c r="DG13" i="52"/>
  <c r="AY13" i="52"/>
  <c r="BJ13" i="52"/>
  <c r="BL13" i="52"/>
  <c r="CE13" i="52"/>
  <c r="CV13" i="52"/>
  <c r="BX13" i="52"/>
  <c r="R13" i="52"/>
  <c r="AP13" i="52"/>
  <c r="AM13" i="52"/>
  <c r="DA13" i="52"/>
  <c r="T13" i="52"/>
  <c r="DW13" i="52"/>
  <c r="BA13" i="52"/>
  <c r="CY13" i="52"/>
  <c r="AU13" i="52"/>
  <c r="AJ13" i="52"/>
  <c r="CS13" i="52"/>
  <c r="DE13" i="52"/>
  <c r="BG13" i="52"/>
  <c r="AE13" i="52"/>
  <c r="CA13" i="52"/>
  <c r="DQ13" i="52"/>
  <c r="AF13" i="52"/>
  <c r="M13" i="52"/>
  <c r="AR13" i="52"/>
  <c r="BC13" i="52"/>
  <c r="U13" i="52"/>
  <c r="DN13" i="52"/>
  <c r="DF13" i="52"/>
  <c r="CU13" i="52"/>
  <c r="BR13" i="52"/>
  <c r="CD13" i="52"/>
  <c r="DK13" i="52"/>
  <c r="BU13" i="52"/>
  <c r="AB13" i="52"/>
  <c r="DV13" i="52"/>
  <c r="CC13" i="52"/>
  <c r="CP13" i="52"/>
  <c r="DO13" i="52"/>
  <c r="Q13" i="52"/>
  <c r="BE13" i="52"/>
  <c r="CT13" i="52"/>
  <c r="AN13" i="52"/>
  <c r="BI13" i="52"/>
  <c r="DI13" i="52"/>
  <c r="CX13" i="52"/>
  <c r="BS13" i="52"/>
  <c r="AD13" i="52"/>
  <c r="CQ13" i="52"/>
  <c r="DP13" i="52"/>
  <c r="CM13" i="52"/>
  <c r="AK13" i="52"/>
  <c r="CO13" i="52"/>
  <c r="CI13" i="52"/>
  <c r="CF13" i="52"/>
  <c r="DD13" i="52"/>
  <c r="BW13" i="52"/>
  <c r="CN13" i="52"/>
  <c r="CZ13" i="52"/>
  <c r="BK13" i="52"/>
  <c r="DR13" i="52"/>
  <c r="P13" i="52"/>
  <c r="DB13" i="52"/>
  <c r="BB13" i="52"/>
  <c r="BJ14" i="52"/>
  <c r="CU14" i="52"/>
  <c r="CN14" i="52"/>
  <c r="BN14" i="52"/>
  <c r="DG14" i="52"/>
  <c r="AM14" i="52"/>
  <c r="BR14" i="52"/>
  <c r="AO14" i="52"/>
  <c r="CF14" i="52"/>
  <c r="CX14" i="52"/>
  <c r="BF14" i="52"/>
  <c r="DF14" i="52"/>
  <c r="DA14" i="52"/>
  <c r="CE14" i="52"/>
  <c r="BD14" i="52"/>
  <c r="BC14" i="52"/>
  <c r="O14" i="52"/>
  <c r="AN14" i="52"/>
  <c r="T14" i="52"/>
  <c r="AL14" i="52"/>
  <c r="BQ14" i="52"/>
  <c r="AF14" i="52"/>
  <c r="AJ14" i="52"/>
  <c r="J14" i="52"/>
  <c r="BS14" i="52"/>
  <c r="CC14" i="52"/>
  <c r="AC14" i="52"/>
  <c r="DT14" i="52"/>
  <c r="P14" i="52"/>
  <c r="DC14" i="52"/>
  <c r="N14" i="52"/>
  <c r="AQ14" i="52"/>
  <c r="BE14" i="52"/>
  <c r="CH14" i="52"/>
  <c r="CT14" i="52"/>
  <c r="BL14" i="52"/>
  <c r="BA14" i="52"/>
  <c r="AT14" i="52"/>
  <c r="DX14" i="52"/>
  <c r="DS14" i="52"/>
  <c r="Y14" i="52"/>
  <c r="CR14" i="52"/>
  <c r="Q14" i="52"/>
  <c r="BX14" i="52"/>
  <c r="BT14" i="52"/>
  <c r="DL14" i="52"/>
  <c r="DW14" i="52"/>
  <c r="CG14" i="52"/>
  <c r="CY14" i="52"/>
  <c r="BH14" i="52"/>
  <c r="BI14" i="52"/>
  <c r="DM14" i="52"/>
  <c r="CS14" i="52"/>
  <c r="CK14" i="52"/>
  <c r="BW14" i="52"/>
  <c r="DR14" i="52"/>
  <c r="BM14" i="52"/>
  <c r="DB14" i="52"/>
  <c r="DI14" i="52"/>
  <c r="CV14" i="52"/>
  <c r="CO14" i="52"/>
  <c r="DD14" i="52"/>
  <c r="R14" i="52"/>
  <c r="AE14" i="52"/>
  <c r="U14" i="52"/>
  <c r="CP14" i="52"/>
  <c r="BK14" i="52"/>
  <c r="AD14" i="52"/>
  <c r="CA14" i="52"/>
  <c r="BB14" i="52"/>
  <c r="AV14" i="52"/>
  <c r="DV14" i="52"/>
  <c r="DO14" i="52"/>
  <c r="CJ14" i="52"/>
  <c r="AK14" i="52"/>
  <c r="X14" i="52"/>
  <c r="AR14" i="52"/>
  <c r="AW14" i="52"/>
  <c r="DU14" i="52"/>
  <c r="DQ14" i="52"/>
  <c r="CM14" i="52"/>
  <c r="AG14" i="52"/>
  <c r="BZ14" i="52"/>
  <c r="AZ14" i="52"/>
  <c r="S14" i="52"/>
  <c r="BY14" i="52"/>
  <c r="DK14" i="52"/>
  <c r="CI14" i="52"/>
  <c r="M14" i="52"/>
  <c r="L14" i="52"/>
  <c r="DE14" i="52"/>
  <c r="DN14" i="52"/>
  <c r="CW14" i="52"/>
  <c r="CD14" i="52"/>
  <c r="BU14" i="52"/>
  <c r="DH14" i="52"/>
  <c r="BO14" i="52"/>
  <c r="K14" i="52"/>
  <c r="DJ14" i="52"/>
  <c r="AU14" i="52"/>
  <c r="AA14" i="52"/>
  <c r="AI14" i="52"/>
  <c r="BG14" i="52"/>
  <c r="Z14" i="52"/>
  <c r="CZ14" i="52"/>
  <c r="CQ14" i="52"/>
  <c r="AB14" i="52"/>
  <c r="CB14" i="52"/>
  <c r="AP14" i="52"/>
  <c r="AS14" i="52"/>
  <c r="AH14" i="52"/>
  <c r="BP14" i="52"/>
  <c r="AX14" i="52"/>
  <c r="CL14" i="52"/>
  <c r="AY14" i="52"/>
  <c r="BV14" i="52"/>
  <c r="V14" i="52"/>
  <c r="DP14" i="52"/>
  <c r="W14" i="52"/>
  <c r="CQ15" i="52"/>
  <c r="C29" i="52"/>
  <c r="C27" i="52"/>
  <c r="CU15" i="52"/>
  <c r="O15" i="52"/>
  <c r="BY15" i="52"/>
  <c r="AZ15" i="52"/>
  <c r="AY15" i="52"/>
  <c r="CT15" i="52"/>
  <c r="V15" i="52"/>
  <c r="DR15" i="52"/>
  <c r="AB15" i="52"/>
  <c r="AU15" i="52"/>
  <c r="CK15" i="52"/>
  <c r="AJ15" i="52"/>
  <c r="BR15" i="52"/>
  <c r="BV15" i="52"/>
  <c r="DH15" i="52"/>
  <c r="DJ15" i="52"/>
  <c r="DN15" i="52"/>
  <c r="CZ15" i="52"/>
  <c r="CP15" i="52"/>
  <c r="BO15" i="52"/>
  <c r="BB15" i="52"/>
  <c r="CR15" i="52"/>
  <c r="DO15" i="52"/>
  <c r="BS15" i="52"/>
  <c r="CF15" i="52"/>
  <c r="DB15" i="52"/>
  <c r="AA15" i="52"/>
  <c r="DE15" i="52"/>
  <c r="BA15" i="52"/>
  <c r="CE15" i="52"/>
  <c r="AH15" i="52"/>
  <c r="BD15" i="52"/>
  <c r="BL27" i="52"/>
  <c r="DL27" i="52"/>
  <c r="AA27" i="52"/>
  <c r="DC27" i="52"/>
  <c r="DK27" i="52"/>
  <c r="DB27" i="52"/>
  <c r="CS27" i="52"/>
  <c r="AH27" i="52"/>
  <c r="BK27" i="52"/>
  <c r="CK27" i="52"/>
  <c r="BJ27" i="52"/>
  <c r="DO27" i="52"/>
  <c r="T27" i="52"/>
  <c r="BY27" i="52"/>
  <c r="Y27" i="52"/>
  <c r="CU29" i="52"/>
  <c r="CY29" i="52"/>
  <c r="CL29" i="52"/>
  <c r="CJ29" i="52"/>
  <c r="DH29" i="52"/>
  <c r="BC29" i="52"/>
  <c r="O29" i="52"/>
  <c r="CS29" i="52"/>
  <c r="DJ29" i="52"/>
  <c r="CH29" i="52"/>
  <c r="CA29" i="52"/>
  <c r="CD29" i="52"/>
  <c r="CT29" i="52"/>
  <c r="BG29" i="52"/>
  <c r="BS29" i="52"/>
  <c r="Q15" i="52"/>
  <c r="DJ27" i="52"/>
  <c r="AZ27" i="52"/>
  <c r="DS27" i="52"/>
  <c r="DT27" i="52"/>
  <c r="CE29" i="52"/>
  <c r="AE29" i="52"/>
  <c r="DK29" i="52"/>
  <c r="BA29" i="52"/>
  <c r="CG15" i="52"/>
  <c r="BK15" i="52"/>
  <c r="AT15" i="52"/>
  <c r="BQ15" i="52"/>
  <c r="BH15" i="52"/>
  <c r="AQ15" i="52"/>
  <c r="J15" i="52"/>
  <c r="DU15" i="52"/>
  <c r="BU15" i="52"/>
  <c r="BP15" i="52"/>
  <c r="AP15" i="52"/>
  <c r="CA15" i="52"/>
  <c r="CY15" i="52"/>
  <c r="Q27" i="52"/>
  <c r="BU27" i="52"/>
  <c r="BX27" i="52"/>
  <c r="AA29" i="52"/>
  <c r="T29" i="52"/>
  <c r="DD29" i="52"/>
  <c r="BM15" i="52"/>
  <c r="CH27" i="52"/>
  <c r="CD27" i="52"/>
  <c r="DQ27" i="52"/>
  <c r="AP27" i="52"/>
  <c r="DI27" i="52"/>
  <c r="CT27" i="52"/>
  <c r="AS27" i="52"/>
  <c r="Z27" i="52"/>
  <c r="BZ27" i="52"/>
  <c r="CE27" i="52"/>
  <c r="DD27" i="52"/>
  <c r="CL27" i="52"/>
  <c r="DA27" i="52"/>
  <c r="CR27" i="52"/>
  <c r="AV27" i="52"/>
  <c r="DE29" i="52"/>
  <c r="DA29" i="52"/>
  <c r="BD29" i="52"/>
  <c r="DC29" i="52"/>
  <c r="AU29" i="52"/>
  <c r="CW29" i="52"/>
  <c r="Q29" i="52"/>
  <c r="Z29" i="52"/>
  <c r="AI29" i="52"/>
  <c r="AY29" i="52"/>
  <c r="DX29" i="52"/>
  <c r="CN29" i="52"/>
  <c r="AM29" i="52"/>
  <c r="AW29" i="52"/>
  <c r="DV27" i="52"/>
  <c r="DU27" i="52"/>
  <c r="CF27" i="52"/>
  <c r="AQ27" i="52"/>
  <c r="BE27" i="52"/>
  <c r="M27" i="52"/>
  <c r="AJ27" i="52"/>
  <c r="AU27" i="52"/>
  <c r="CW27" i="52"/>
  <c r="U27" i="52"/>
  <c r="DM27" i="52"/>
  <c r="X27" i="52"/>
  <c r="BR27" i="52"/>
  <c r="AI27" i="52"/>
  <c r="AV29" i="52"/>
  <c r="AH29" i="52"/>
  <c r="DV29" i="52"/>
  <c r="AG29" i="52"/>
  <c r="BF29" i="52"/>
  <c r="L29" i="52"/>
  <c r="K29" i="52"/>
  <c r="BQ29" i="52"/>
  <c r="BK29" i="52"/>
  <c r="BO29" i="52"/>
  <c r="CC29" i="52"/>
  <c r="BB29" i="52"/>
  <c r="BW29" i="52"/>
  <c r="DF29" i="52"/>
  <c r="U29" i="52"/>
  <c r="CB27" i="52"/>
  <c r="CG27" i="52"/>
  <c r="CY27" i="52"/>
  <c r="AK27" i="52"/>
  <c r="AN27" i="52"/>
  <c r="DX27" i="52"/>
  <c r="CP27" i="52"/>
  <c r="AW27" i="52"/>
  <c r="BH27" i="52"/>
  <c r="DF27" i="52"/>
  <c r="L27" i="52"/>
  <c r="BW27" i="52"/>
  <c r="BP27" i="52"/>
  <c r="CQ27" i="52"/>
  <c r="BN27" i="52"/>
  <c r="BE29" i="52"/>
  <c r="BT29" i="52"/>
  <c r="AL29" i="52"/>
  <c r="AS29" i="52"/>
  <c r="S29" i="52"/>
  <c r="CR29" i="52"/>
  <c r="AF29" i="52"/>
  <c r="X29" i="52"/>
  <c r="AN29" i="52"/>
  <c r="DQ29" i="52"/>
  <c r="AT29" i="52"/>
  <c r="CV29" i="52"/>
  <c r="J29" i="52"/>
  <c r="CG29" i="52"/>
  <c r="W29" i="52"/>
  <c r="BC15" i="52"/>
  <c r="AX15" i="52"/>
  <c r="BQ27" i="52"/>
  <c r="DH27" i="52"/>
  <c r="DE27" i="52"/>
  <c r="AO27" i="52"/>
  <c r="CA27" i="52"/>
  <c r="DN27" i="52"/>
  <c r="BF27" i="52"/>
  <c r="CO27" i="52"/>
  <c r="DO29" i="52"/>
  <c r="BL29" i="52"/>
  <c r="CK29" i="52"/>
  <c r="BH29" i="52"/>
  <c r="BY29" i="52"/>
  <c r="CF29" i="52"/>
  <c r="AJ29" i="52"/>
  <c r="M15" i="52"/>
  <c r="CB15" i="52"/>
  <c r="DQ15" i="52"/>
  <c r="S27" i="52"/>
  <c r="DP27" i="52"/>
  <c r="BT27" i="52"/>
  <c r="AM27" i="52"/>
  <c r="AD27" i="52"/>
  <c r="P27" i="52"/>
  <c r="AY27" i="52"/>
  <c r="DL29" i="52"/>
  <c r="BR29" i="52"/>
  <c r="AC29" i="52"/>
  <c r="AQ29" i="52"/>
  <c r="CB29" i="52"/>
  <c r="DW29" i="52"/>
  <c r="V29" i="52"/>
  <c r="BU29" i="52"/>
  <c r="AG15" i="52"/>
  <c r="AR15" i="52"/>
  <c r="K27" i="52"/>
  <c r="BV27" i="52"/>
  <c r="CU27" i="52"/>
  <c r="CI27" i="52"/>
  <c r="BC27" i="52"/>
  <c r="AB27" i="52"/>
  <c r="AG27" i="52"/>
  <c r="BI27" i="52"/>
  <c r="BA27" i="52"/>
  <c r="BB27" i="52"/>
  <c r="BG27" i="52"/>
  <c r="CM27" i="52"/>
  <c r="AE27" i="52"/>
  <c r="CN27" i="52"/>
  <c r="DW27" i="52"/>
  <c r="N29" i="52"/>
  <c r="BM29" i="52"/>
  <c r="CO29" i="52"/>
  <c r="BJ29" i="52"/>
  <c r="BN29" i="52"/>
  <c r="AB29" i="52"/>
  <c r="BP29" i="52"/>
  <c r="Y29" i="52"/>
  <c r="AR29" i="52"/>
  <c r="CX29" i="52"/>
  <c r="DT29" i="52"/>
  <c r="AK29" i="52"/>
  <c r="DS29" i="52"/>
  <c r="AX29" i="52"/>
  <c r="DR29" i="52"/>
  <c r="BN15" i="52"/>
  <c r="CD15" i="52"/>
  <c r="CC27" i="52"/>
  <c r="AT27" i="52"/>
  <c r="DG27" i="52"/>
  <c r="CJ27" i="52"/>
  <c r="AC27" i="52"/>
  <c r="CI29" i="52"/>
  <c r="R29" i="52"/>
  <c r="DM29" i="52"/>
  <c r="DG29" i="52"/>
  <c r="DT15" i="52"/>
  <c r="BS27" i="52"/>
  <c r="W27" i="52"/>
  <c r="AL27" i="52"/>
  <c r="O27" i="52"/>
  <c r="V27" i="52"/>
  <c r="CZ27" i="52"/>
  <c r="N27" i="52"/>
  <c r="BM27" i="52"/>
  <c r="R27" i="52"/>
  <c r="DR27" i="52"/>
  <c r="CX27" i="52"/>
  <c r="AF27" i="52"/>
  <c r="J27" i="52"/>
  <c r="BD27" i="52"/>
  <c r="CV27" i="52"/>
  <c r="AZ29" i="52"/>
  <c r="CM29" i="52"/>
  <c r="AD29" i="52"/>
  <c r="P29" i="52"/>
  <c r="BZ29" i="52"/>
  <c r="AP29" i="52"/>
  <c r="BV29" i="52"/>
  <c r="DU29" i="52"/>
  <c r="M29" i="52"/>
  <c r="CP29" i="52"/>
  <c r="DI29" i="52"/>
  <c r="DB29" i="52"/>
  <c r="AO29" i="52"/>
  <c r="BI29" i="52"/>
  <c r="CZ29" i="52"/>
  <c r="CO15" i="52"/>
  <c r="AI15" i="52"/>
  <c r="BO27" i="52"/>
  <c r="AX27" i="52"/>
  <c r="AR27" i="52"/>
  <c r="DP29" i="52"/>
  <c r="CQ29" i="52"/>
  <c r="BX29" i="52"/>
  <c r="DN29" i="52"/>
  <c r="Z15" i="52"/>
  <c r="DG15" i="52"/>
  <c r="P15" i="52"/>
  <c r="DD15" i="52"/>
  <c r="DS15" i="52"/>
  <c r="CN15" i="52"/>
  <c r="CM15" i="52"/>
  <c r="BG15" i="52"/>
  <c r="S15" i="52"/>
  <c r="BL15" i="52"/>
  <c r="AM15" i="52"/>
  <c r="R15" i="52"/>
  <c r="W15" i="52"/>
  <c r="AK15" i="52"/>
  <c r="Y15" i="52"/>
  <c r="DI15" i="52"/>
  <c r="AL15" i="52"/>
  <c r="T15" i="52"/>
  <c r="CS15" i="52"/>
  <c r="L15" i="52"/>
  <c r="K15" i="52"/>
  <c r="CC15" i="52"/>
  <c r="DV15" i="52"/>
  <c r="AD15" i="52"/>
  <c r="BZ15" i="52"/>
  <c r="CV15" i="52"/>
  <c r="CL15" i="52"/>
  <c r="AS15" i="52"/>
  <c r="N15" i="52"/>
  <c r="DM15" i="52"/>
  <c r="DW15" i="52"/>
  <c r="CJ15" i="52"/>
  <c r="BT15" i="52"/>
  <c r="AF15" i="52"/>
  <c r="DF15" i="52"/>
  <c r="CW15" i="52"/>
  <c r="DA15" i="52"/>
  <c r="BX15" i="52"/>
  <c r="AV15" i="52"/>
  <c r="X15" i="52"/>
  <c r="AC15" i="52"/>
  <c r="DK15" i="52"/>
  <c r="CH15" i="52"/>
  <c r="CX15" i="52"/>
  <c r="BW15" i="52"/>
  <c r="AE15" i="52"/>
  <c r="DP15" i="52"/>
  <c r="BJ15" i="52"/>
  <c r="AW15" i="52"/>
  <c r="AN15" i="52"/>
  <c r="BF15" i="52"/>
  <c r="DC15" i="52"/>
  <c r="BE15" i="52"/>
  <c r="DL15" i="52"/>
  <c r="DX15" i="52"/>
  <c r="CI15" i="52"/>
  <c r="AO15" i="52"/>
  <c r="U15" i="52"/>
  <c r="BI15" i="52"/>
  <c r="CR16" i="52"/>
  <c r="CY16" i="52"/>
  <c r="L16" i="52"/>
  <c r="BT16" i="52"/>
  <c r="AF16" i="52"/>
  <c r="AG16" i="52"/>
  <c r="BX16" i="52"/>
  <c r="AE16" i="52"/>
  <c r="W16" i="52"/>
  <c r="DX16" i="52"/>
  <c r="P16" i="52"/>
  <c r="CS16" i="52"/>
  <c r="AB16" i="52"/>
  <c r="AU16" i="52"/>
  <c r="Z16" i="52"/>
  <c r="AX16" i="52"/>
  <c r="BJ16" i="52"/>
  <c r="CB16" i="52"/>
  <c r="BG16" i="52"/>
  <c r="CC16" i="52"/>
  <c r="CU16" i="52"/>
  <c r="DD16" i="52"/>
  <c r="S16" i="52"/>
  <c r="BD16" i="52"/>
  <c r="BW16" i="52"/>
  <c r="AP16" i="52"/>
  <c r="AW16" i="52"/>
  <c r="CA16" i="52"/>
  <c r="BF16" i="52"/>
  <c r="CM16" i="52"/>
  <c r="CK16" i="52"/>
  <c r="DE16" i="52"/>
  <c r="CG16" i="52"/>
  <c r="BO16" i="52"/>
  <c r="BY16" i="52"/>
  <c r="DB16" i="52"/>
  <c r="DV16" i="52"/>
  <c r="CE16" i="52"/>
  <c r="DO16" i="52"/>
  <c r="AO16" i="52"/>
  <c r="DL16" i="52"/>
  <c r="CQ16" i="52"/>
  <c r="BP16" i="52"/>
  <c r="AD16" i="52"/>
  <c r="CP16" i="52"/>
  <c r="CO16" i="52"/>
  <c r="BH16" i="52"/>
  <c r="K16" i="52"/>
  <c r="BV16" i="52"/>
  <c r="Y16" i="52"/>
  <c r="O16" i="52"/>
  <c r="AV16" i="52"/>
  <c r="BM16" i="52"/>
  <c r="CT16" i="52"/>
  <c r="AI16" i="52"/>
  <c r="AM16" i="52"/>
  <c r="M16" i="52"/>
  <c r="CZ16" i="52"/>
  <c r="CW16" i="52"/>
  <c r="CV16" i="52"/>
  <c r="BN16" i="52"/>
  <c r="DT16" i="52"/>
  <c r="DR16" i="52"/>
  <c r="CF16" i="52"/>
  <c r="DF16" i="52"/>
  <c r="DN16" i="52"/>
  <c r="DK16" i="52"/>
  <c r="AC16" i="52"/>
  <c r="BS16" i="52"/>
  <c r="AJ16" i="52"/>
  <c r="BU16" i="52"/>
  <c r="Q16" i="52"/>
  <c r="AY16" i="52"/>
  <c r="AN16" i="52"/>
  <c r="AH16" i="52"/>
  <c r="CN16" i="52"/>
  <c r="BR16" i="52"/>
  <c r="AL16" i="52"/>
  <c r="DS16" i="52"/>
  <c r="DC16" i="52"/>
  <c r="V16" i="52"/>
  <c r="CH16" i="52"/>
  <c r="CL16" i="52"/>
  <c r="X16" i="52"/>
  <c r="BI16" i="52"/>
  <c r="T16" i="52"/>
  <c r="BB16" i="52"/>
  <c r="BQ16" i="52"/>
  <c r="BZ16" i="52"/>
  <c r="BE16" i="52"/>
  <c r="CD16" i="52"/>
  <c r="AA16" i="52"/>
  <c r="CX16" i="52"/>
  <c r="J16" i="52"/>
  <c r="R16" i="52"/>
  <c r="BK16" i="52"/>
  <c r="DP16" i="52"/>
  <c r="BL16" i="52"/>
  <c r="DU16" i="52"/>
  <c r="AR16" i="52"/>
  <c r="AK16" i="52"/>
  <c r="DG16" i="52"/>
  <c r="DQ16" i="52"/>
  <c r="DW16" i="52"/>
  <c r="AZ16" i="52"/>
  <c r="BA16" i="52"/>
  <c r="DA16" i="52"/>
  <c r="AS16" i="52"/>
  <c r="CJ16" i="52"/>
  <c r="DI16" i="52"/>
  <c r="BC16" i="52"/>
  <c r="DJ16" i="52"/>
  <c r="U16" i="52"/>
  <c r="DH16" i="52"/>
  <c r="AT16" i="52"/>
  <c r="AQ16" i="52"/>
  <c r="N16" i="52"/>
  <c r="CI16" i="52"/>
  <c r="DM16" i="52"/>
  <c r="BF17" i="52"/>
  <c r="CK17" i="52"/>
  <c r="K17" i="52"/>
  <c r="AD17" i="52"/>
  <c r="BE17" i="52"/>
  <c r="DB17" i="52"/>
  <c r="CT17" i="52"/>
  <c r="BS17" i="52"/>
  <c r="AI17" i="52"/>
  <c r="DS17" i="52"/>
  <c r="S17" i="52"/>
  <c r="BH17" i="52"/>
  <c r="DJ17" i="52"/>
  <c r="BM17" i="52"/>
  <c r="DK17" i="52"/>
  <c r="U17" i="52"/>
  <c r="DC17" i="52"/>
  <c r="BR17" i="52"/>
  <c r="AE17" i="52"/>
  <c r="X17" i="52"/>
  <c r="DH17" i="52"/>
  <c r="BX17" i="52"/>
  <c r="T17" i="52"/>
  <c r="AG17" i="52"/>
  <c r="CS17" i="52"/>
  <c r="CL17" i="52"/>
  <c r="CA17" i="52"/>
  <c r="DE17" i="52"/>
  <c r="AJ17" i="52"/>
  <c r="BP17" i="52"/>
  <c r="W17" i="52"/>
  <c r="CJ17" i="52"/>
  <c r="DD17" i="52"/>
  <c r="AV17" i="52"/>
  <c r="BA17" i="52"/>
  <c r="AK17" i="52"/>
  <c r="BT17" i="52"/>
  <c r="CI17" i="52"/>
  <c r="AR17" i="52"/>
  <c r="DA17" i="52"/>
  <c r="DV17" i="52"/>
  <c r="BB17" i="52"/>
  <c r="DM17" i="52"/>
  <c r="CZ17" i="52"/>
  <c r="V17" i="52"/>
  <c r="BC17" i="52"/>
  <c r="CO17" i="52"/>
  <c r="CB17" i="52"/>
  <c r="BJ17" i="52"/>
  <c r="Y17" i="52"/>
  <c r="AA17" i="52"/>
  <c r="AL17" i="52"/>
  <c r="BZ17" i="52"/>
  <c r="BQ17" i="52"/>
  <c r="BU17" i="52"/>
  <c r="CV17" i="52"/>
  <c r="AN17" i="52"/>
  <c r="DP17" i="52"/>
  <c r="CX17" i="52"/>
  <c r="BN17" i="52"/>
  <c r="DL17" i="52"/>
  <c r="CY17" i="52"/>
  <c r="BY17" i="52"/>
  <c r="AU17" i="52"/>
  <c r="M17" i="52"/>
  <c r="N17" i="52"/>
  <c r="DU17" i="52"/>
  <c r="DR17" i="52"/>
  <c r="AZ17" i="52"/>
  <c r="J17" i="52"/>
  <c r="CQ17" i="52"/>
  <c r="CW17" i="52"/>
  <c r="DN17" i="52"/>
  <c r="CU17" i="52"/>
  <c r="Z17" i="52"/>
  <c r="CP17" i="52"/>
  <c r="AT17" i="52"/>
  <c r="DI17" i="52"/>
  <c r="AM17" i="52"/>
  <c r="CD17" i="52"/>
  <c r="DQ17" i="52"/>
  <c r="DF17" i="52"/>
  <c r="AP17" i="52"/>
  <c r="BW17" i="52"/>
  <c r="CM17" i="52"/>
  <c r="CN17" i="52"/>
  <c r="DO17" i="52"/>
  <c r="BD17" i="52"/>
  <c r="BL17" i="52"/>
  <c r="AX17" i="52"/>
  <c r="Q17" i="52"/>
  <c r="AH17" i="52"/>
  <c r="DT17" i="52"/>
  <c r="AS17" i="52"/>
  <c r="L17" i="52"/>
  <c r="AQ17" i="52"/>
  <c r="AF17" i="52"/>
  <c r="AO17" i="52"/>
  <c r="CR17" i="52"/>
  <c r="P17" i="52"/>
  <c r="R17" i="52"/>
  <c r="BO17" i="52"/>
  <c r="AB17" i="52"/>
  <c r="DG17" i="52"/>
  <c r="BG17" i="52"/>
  <c r="CH17" i="52"/>
  <c r="AC17" i="52"/>
  <c r="CE17" i="52"/>
  <c r="AW17" i="52"/>
  <c r="AY17" i="52"/>
  <c r="CF17" i="52"/>
  <c r="O17" i="52"/>
  <c r="BI17" i="52"/>
  <c r="BK17" i="52"/>
  <c r="CC17" i="52"/>
  <c r="BV17" i="52"/>
  <c r="CG17" i="52"/>
  <c r="CF31" i="52"/>
  <c r="BA31" i="52"/>
  <c r="AP31" i="52"/>
  <c r="CS31" i="52"/>
  <c r="DN31" i="52"/>
  <c r="BU31" i="52"/>
  <c r="S31" i="52"/>
  <c r="CR31" i="52"/>
  <c r="DU31" i="52"/>
  <c r="DO31" i="52"/>
  <c r="DP31" i="52"/>
  <c r="DE31" i="52"/>
  <c r="Z31" i="52"/>
  <c r="CU31" i="52"/>
  <c r="BX31" i="52"/>
  <c r="CO31" i="52"/>
  <c r="BR31" i="52"/>
  <c r="CH31" i="52"/>
  <c r="DF31" i="52"/>
  <c r="CK31" i="52"/>
  <c r="CQ31" i="52"/>
  <c r="BG31" i="52"/>
  <c r="AX31" i="52"/>
  <c r="CA31" i="52"/>
  <c r="AZ31" i="52"/>
  <c r="AN31" i="52"/>
  <c r="DV31" i="52"/>
  <c r="AW31" i="52"/>
  <c r="AT31" i="52"/>
  <c r="AE31" i="52"/>
  <c r="Y31" i="52"/>
  <c r="CN31" i="52"/>
  <c r="BS31" i="52"/>
  <c r="BW31" i="52"/>
  <c r="DC31" i="52"/>
  <c r="DT31" i="52"/>
  <c r="DR31" i="52"/>
  <c r="BJ31" i="52"/>
  <c r="L31" i="52"/>
  <c r="CX31" i="52"/>
  <c r="CJ31" i="52"/>
  <c r="BC31" i="52"/>
  <c r="BY31" i="52"/>
  <c r="DG31" i="52"/>
  <c r="BD31" i="52"/>
  <c r="DI31" i="52"/>
  <c r="J31" i="52"/>
  <c r="CB31" i="52"/>
  <c r="CV31" i="52"/>
  <c r="DD31" i="52"/>
  <c r="DM31" i="52"/>
  <c r="AA31" i="52"/>
  <c r="M31" i="52"/>
  <c r="DQ31" i="52"/>
  <c r="AG31" i="52"/>
  <c r="U31" i="52"/>
  <c r="BQ31" i="52"/>
  <c r="DW31" i="52"/>
  <c r="CT31" i="52"/>
  <c r="CC31" i="52"/>
  <c r="CG31" i="52"/>
  <c r="AO31" i="52"/>
  <c r="CP31" i="52"/>
  <c r="BF31" i="52"/>
  <c r="BN31" i="52"/>
  <c r="DJ31" i="52"/>
  <c r="N31" i="52"/>
  <c r="AI31" i="52"/>
  <c r="P31" i="52"/>
  <c r="DK31" i="52"/>
  <c r="BI31" i="52"/>
  <c r="BL31" i="52"/>
  <c r="AY31" i="52"/>
  <c r="AU31" i="52"/>
  <c r="AK31" i="52"/>
  <c r="X31" i="52"/>
  <c r="AV31" i="52"/>
  <c r="BO31" i="52"/>
  <c r="DL31" i="52"/>
  <c r="AL31" i="52"/>
  <c r="Q31" i="52"/>
  <c r="DA31" i="52"/>
  <c r="AS31" i="52"/>
  <c r="AJ31" i="52"/>
  <c r="DH31" i="52"/>
  <c r="DX31" i="52"/>
  <c r="AB31" i="52"/>
  <c r="AM31" i="52"/>
  <c r="BE31" i="52"/>
  <c r="CY31" i="52"/>
  <c r="C31" i="52"/>
  <c r="CE31" i="52"/>
  <c r="CZ31" i="52"/>
  <c r="R31" i="52"/>
  <c r="BB31" i="52"/>
  <c r="CL31" i="52"/>
  <c r="AD31" i="52"/>
  <c r="BZ31" i="52"/>
  <c r="BP31" i="52"/>
  <c r="AF31" i="52"/>
  <c r="K31" i="52"/>
  <c r="V31" i="52"/>
  <c r="BK31" i="52"/>
  <c r="O31" i="52"/>
  <c r="W31" i="52"/>
  <c r="AH31" i="52"/>
  <c r="BH31" i="52"/>
  <c r="DS31" i="52"/>
  <c r="CW31" i="52"/>
  <c r="BM31" i="52"/>
  <c r="AR31" i="52"/>
  <c r="AQ31" i="52"/>
  <c r="BV31" i="52"/>
  <c r="AC31" i="52"/>
  <c r="T31" i="52"/>
  <c r="CD31" i="52"/>
  <c r="CM31" i="52"/>
  <c r="BT31" i="52"/>
  <c r="CI31" i="52"/>
  <c r="DB31" i="52"/>
  <c r="AH18" i="52"/>
  <c r="AG18" i="52"/>
  <c r="T18" i="52"/>
  <c r="DQ18" i="52"/>
  <c r="BY18" i="52"/>
  <c r="X18" i="52"/>
  <c r="BR18" i="52"/>
  <c r="CT18" i="52"/>
  <c r="AR18" i="52"/>
  <c r="CV18" i="52"/>
  <c r="CY18" i="52"/>
  <c r="DG18" i="52"/>
  <c r="CW18" i="52"/>
  <c r="BN18" i="52"/>
  <c r="CJ18" i="52"/>
  <c r="DR18" i="52"/>
  <c r="AI18" i="52"/>
  <c r="M18" i="52"/>
  <c r="BG18" i="52"/>
  <c r="CL18" i="52"/>
  <c r="V18" i="52"/>
  <c r="W18" i="52"/>
  <c r="N18" i="52"/>
  <c r="DO18" i="52"/>
  <c r="BF18" i="52"/>
  <c r="DJ18" i="52"/>
  <c r="AX18" i="52"/>
  <c r="BA18" i="52"/>
  <c r="CS18" i="52"/>
  <c r="BC18" i="52"/>
  <c r="AL18" i="52"/>
  <c r="BB18" i="52"/>
  <c r="CN18" i="52"/>
  <c r="AK18" i="52"/>
  <c r="AW18" i="52"/>
  <c r="BJ18" i="52"/>
  <c r="CQ18" i="52"/>
  <c r="AD18" i="52"/>
  <c r="CB18" i="52"/>
  <c r="CX18" i="52"/>
  <c r="CO18" i="52"/>
  <c r="CZ18" i="52"/>
  <c r="AU18" i="52"/>
  <c r="O18" i="52"/>
  <c r="DC18" i="52"/>
  <c r="BI18" i="52"/>
  <c r="DE18" i="52"/>
  <c r="DS18" i="52"/>
  <c r="AT18" i="52"/>
  <c r="AO18" i="52"/>
  <c r="CF18" i="52"/>
  <c r="DB18" i="52"/>
  <c r="CU18" i="52"/>
  <c r="CR18" i="52"/>
  <c r="CG18" i="52"/>
  <c r="AM18" i="52"/>
  <c r="BS18" i="52"/>
  <c r="BT18" i="52"/>
  <c r="DH18" i="52"/>
  <c r="BL18" i="52"/>
  <c r="DN18" i="52"/>
  <c r="BZ18" i="52"/>
  <c r="CD18" i="52"/>
  <c r="Z18" i="52"/>
  <c r="DD18" i="52"/>
  <c r="AN18" i="52"/>
  <c r="BV18" i="52"/>
  <c r="DF18" i="52"/>
  <c r="BQ18" i="52"/>
  <c r="DW18" i="52"/>
  <c r="BK18" i="52"/>
  <c r="BX18" i="52"/>
  <c r="DM18" i="52"/>
  <c r="DA18" i="52"/>
  <c r="CK18" i="52"/>
  <c r="AE18" i="52"/>
  <c r="P18" i="52"/>
  <c r="BU18" i="52"/>
  <c r="BE18" i="52"/>
  <c r="AQ18" i="52"/>
  <c r="AJ18" i="52"/>
  <c r="AF18" i="52"/>
  <c r="U18" i="52"/>
  <c r="AP18" i="52"/>
  <c r="DK18" i="52"/>
  <c r="AS18" i="52"/>
  <c r="CI18" i="52"/>
  <c r="CP18" i="52"/>
  <c r="CE18" i="52"/>
  <c r="DU18" i="52"/>
  <c r="DT18" i="52"/>
  <c r="L18" i="52"/>
  <c r="DL18" i="52"/>
  <c r="BP18" i="52"/>
  <c r="BO18" i="52"/>
  <c r="J18" i="52"/>
  <c r="K18" i="52"/>
  <c r="DI18" i="52"/>
  <c r="BH18" i="52"/>
  <c r="CC18" i="52"/>
  <c r="AC18" i="52"/>
  <c r="CA18" i="52"/>
  <c r="CH18" i="52"/>
  <c r="S18" i="52"/>
  <c r="AA18" i="52"/>
  <c r="DV18" i="52"/>
  <c r="BW18" i="52"/>
  <c r="BM18" i="52"/>
  <c r="Q18" i="52"/>
  <c r="DX18" i="52"/>
  <c r="AV18" i="52"/>
  <c r="R18" i="52"/>
  <c r="DP18" i="52"/>
  <c r="AB18" i="52"/>
  <c r="AZ18" i="52"/>
  <c r="BD18" i="52"/>
  <c r="Y18" i="52"/>
  <c r="CM18" i="52"/>
  <c r="AY18" i="52"/>
  <c r="AI19" i="52"/>
  <c r="L19" i="52"/>
  <c r="N19" i="52"/>
  <c r="CS19" i="52"/>
  <c r="CI19" i="52"/>
  <c r="BW19" i="52"/>
  <c r="CU19" i="52"/>
  <c r="AB19" i="52"/>
  <c r="AF19" i="52"/>
  <c r="CD19" i="52"/>
  <c r="DR19" i="52"/>
  <c r="Q19" i="52"/>
  <c r="AH19" i="52"/>
  <c r="P19" i="52"/>
  <c r="Y19" i="52"/>
  <c r="BP19" i="52"/>
  <c r="DK19" i="52"/>
  <c r="DN19" i="52"/>
  <c r="BJ19" i="52"/>
  <c r="CK19" i="52"/>
  <c r="X19" i="52"/>
  <c r="S19" i="52"/>
  <c r="AG19" i="52"/>
  <c r="CY19" i="52"/>
  <c r="BI19" i="52"/>
  <c r="DX19" i="52"/>
  <c r="BB19" i="52"/>
  <c r="AL19" i="52"/>
  <c r="AT19" i="52"/>
  <c r="AE19" i="52"/>
  <c r="BQ19" i="52"/>
  <c r="CQ19" i="52"/>
  <c r="DI19" i="52"/>
  <c r="BH19" i="52"/>
  <c r="DU19" i="52"/>
  <c r="DS19" i="52"/>
  <c r="AA19" i="52"/>
  <c r="J19" i="52"/>
  <c r="M19" i="52"/>
  <c r="DF19" i="52"/>
  <c r="DA19" i="52"/>
  <c r="BN19" i="52"/>
  <c r="DM19" i="52"/>
  <c r="CW19" i="52"/>
  <c r="BM19" i="52"/>
  <c r="AY19" i="52"/>
  <c r="CA19" i="52"/>
  <c r="BX19" i="52"/>
  <c r="DB19" i="52"/>
  <c r="CB19" i="52"/>
  <c r="CJ19" i="52"/>
  <c r="BC19" i="52"/>
  <c r="BR19" i="52"/>
  <c r="Z19" i="52"/>
  <c r="BF19" i="52"/>
  <c r="AW19" i="52"/>
  <c r="DO19" i="52"/>
  <c r="AU19" i="52"/>
  <c r="CF19" i="52"/>
  <c r="U19" i="52"/>
  <c r="K19" i="52"/>
  <c r="AM19" i="52"/>
  <c r="CH19" i="52"/>
  <c r="BS19" i="52"/>
  <c r="DT19" i="52"/>
  <c r="AR19" i="52"/>
  <c r="BZ19" i="52"/>
  <c r="AZ19" i="52"/>
  <c r="BY19" i="52"/>
  <c r="R19" i="52"/>
  <c r="DE19" i="52"/>
  <c r="DC19" i="52"/>
  <c r="AO19" i="52"/>
  <c r="CM19" i="52"/>
  <c r="AX19" i="52"/>
  <c r="CR19" i="52"/>
  <c r="AQ19" i="52"/>
  <c r="DG19" i="52"/>
  <c r="AJ19" i="52"/>
  <c r="BE19" i="52"/>
  <c r="AV19" i="52"/>
  <c r="CT19" i="52"/>
  <c r="AN19" i="52"/>
  <c r="CV19" i="52"/>
  <c r="AD19" i="52"/>
  <c r="AC19" i="52"/>
  <c r="BK19" i="52"/>
  <c r="DQ19" i="52"/>
  <c r="DH19" i="52"/>
  <c r="T19" i="52"/>
  <c r="DL19" i="52"/>
  <c r="CO19" i="52"/>
  <c r="BV19" i="52"/>
  <c r="DV19" i="52"/>
  <c r="DW19" i="52"/>
  <c r="CL19" i="52"/>
  <c r="DD19" i="52"/>
  <c r="CE19" i="52"/>
  <c r="DP19" i="52"/>
  <c r="BU19" i="52"/>
  <c r="CZ19" i="52"/>
  <c r="AP19" i="52"/>
  <c r="DJ19" i="52"/>
  <c r="BL19" i="52"/>
  <c r="CX19" i="52"/>
  <c r="CC19" i="52"/>
  <c r="W19" i="52"/>
  <c r="CG19" i="52"/>
  <c r="CP19" i="52"/>
  <c r="BA19" i="52"/>
  <c r="O19" i="52"/>
  <c r="BO19" i="52"/>
  <c r="AK19" i="52"/>
  <c r="BD19" i="52"/>
  <c r="BT19" i="52"/>
  <c r="AS19" i="52"/>
  <c r="V19" i="52"/>
  <c r="CN19" i="52"/>
  <c r="BG19" i="52"/>
  <c r="BS20" i="52"/>
  <c r="CK20" i="52"/>
  <c r="DR20" i="52"/>
  <c r="BY20" i="52"/>
  <c r="BP20" i="52"/>
  <c r="AA20" i="52"/>
  <c r="BT20" i="52"/>
  <c r="BC20" i="52"/>
  <c r="AK20" i="52"/>
  <c r="BF20" i="52"/>
  <c r="BQ20" i="52"/>
  <c r="BH20" i="52"/>
  <c r="J20" i="52"/>
  <c r="O20" i="52"/>
  <c r="AJ20" i="52"/>
  <c r="BD20" i="52"/>
  <c r="DL20" i="52"/>
  <c r="DS20" i="52"/>
  <c r="AZ20" i="52"/>
  <c r="BE20" i="52"/>
  <c r="AY20" i="52"/>
  <c r="AR20" i="52"/>
  <c r="DV20" i="52"/>
  <c r="CG20" i="52"/>
  <c r="CX20" i="52"/>
  <c r="BW20" i="52"/>
  <c r="BR20" i="52"/>
  <c r="BN20" i="52"/>
  <c r="BU20" i="52"/>
  <c r="DC20" i="52"/>
  <c r="CN20" i="52"/>
  <c r="CV20" i="52"/>
  <c r="DU20" i="52"/>
  <c r="DW20" i="52"/>
  <c r="N20" i="52"/>
  <c r="AF20" i="52"/>
  <c r="P20" i="52"/>
  <c r="DP20" i="52"/>
  <c r="CW20" i="52"/>
  <c r="AV20" i="52"/>
  <c r="CT20" i="52"/>
  <c r="CC20" i="52"/>
  <c r="V20" i="52"/>
  <c r="CI20" i="52"/>
  <c r="AI20" i="52"/>
  <c r="AE20" i="52"/>
  <c r="AG20" i="52"/>
  <c r="CF20" i="52"/>
  <c r="CQ20" i="52"/>
  <c r="AS20" i="52"/>
  <c r="CA20" i="52"/>
  <c r="CO20" i="52"/>
  <c r="DE20" i="52"/>
  <c r="L20" i="52"/>
  <c r="BX20" i="52"/>
  <c r="DI20" i="52"/>
  <c r="DX20" i="52"/>
  <c r="AN20" i="52"/>
  <c r="AD20" i="52"/>
  <c r="DD20" i="52"/>
  <c r="AM20" i="52"/>
  <c r="R20" i="52"/>
  <c r="X20" i="52"/>
  <c r="CD20" i="52"/>
  <c r="AC20" i="52"/>
  <c r="DA20" i="52"/>
  <c r="K20" i="52"/>
  <c r="BG20" i="52"/>
  <c r="BA20" i="52"/>
  <c r="Z20" i="52"/>
  <c r="AT20" i="52"/>
  <c r="CB20" i="52"/>
  <c r="AU20" i="52"/>
  <c r="DF20" i="52"/>
  <c r="U20" i="52"/>
  <c r="BI20" i="52"/>
  <c r="AQ20" i="52"/>
  <c r="DK20" i="52"/>
  <c r="DH20" i="52"/>
  <c r="CP20" i="52"/>
  <c r="CL20" i="52"/>
  <c r="DN20" i="52"/>
  <c r="AX20" i="52"/>
  <c r="DJ20" i="52"/>
  <c r="Q20" i="52"/>
  <c r="Y20" i="52"/>
  <c r="CH20" i="52"/>
  <c r="AW20" i="52"/>
  <c r="M20" i="52"/>
  <c r="CY20" i="52"/>
  <c r="BZ20" i="52"/>
  <c r="BJ20" i="52"/>
  <c r="BL20" i="52"/>
  <c r="CR20" i="52"/>
  <c r="AH20" i="52"/>
  <c r="DT20" i="52"/>
  <c r="DB20" i="52"/>
  <c r="AL20" i="52"/>
  <c r="DM20" i="52"/>
  <c r="W20" i="52"/>
  <c r="AO20" i="52"/>
  <c r="CS20" i="52"/>
  <c r="CU20" i="52"/>
  <c r="BO20" i="52"/>
  <c r="BB20" i="52"/>
  <c r="CE20" i="52"/>
  <c r="AB20" i="52"/>
  <c r="DG20" i="52"/>
  <c r="AP20" i="52"/>
  <c r="BK20" i="52"/>
  <c r="CZ20" i="52"/>
  <c r="T20" i="52"/>
  <c r="DO20" i="52"/>
  <c r="CJ20" i="52"/>
  <c r="DQ20" i="52"/>
  <c r="S20" i="52"/>
  <c r="BM20" i="52"/>
  <c r="CM20" i="52"/>
  <c r="BV20" i="52"/>
  <c r="BJ21" i="52"/>
  <c r="AN21" i="52"/>
  <c r="CM21" i="52"/>
  <c r="BE21" i="52"/>
  <c r="CA21" i="52"/>
  <c r="DV21" i="52"/>
  <c r="BN21" i="52"/>
  <c r="AP21" i="52"/>
  <c r="DX21" i="52"/>
  <c r="AC21" i="52"/>
  <c r="AT21" i="52"/>
  <c r="CZ21" i="52"/>
  <c r="BW21" i="52"/>
  <c r="CF21" i="52"/>
  <c r="AF21" i="52"/>
  <c r="AM21" i="52"/>
  <c r="AS21" i="52"/>
  <c r="BC21" i="52"/>
  <c r="DP21" i="52"/>
  <c r="R21" i="52"/>
  <c r="CN21" i="52"/>
  <c r="AZ21" i="52"/>
  <c r="BV21" i="52"/>
  <c r="CJ21" i="52"/>
  <c r="DB21" i="52"/>
  <c r="AR21" i="52"/>
  <c r="DH21" i="52"/>
  <c r="AJ21" i="52"/>
  <c r="DI21" i="52"/>
  <c r="P21" i="52"/>
  <c r="DG21" i="52"/>
  <c r="DE21" i="52"/>
  <c r="CV21" i="52"/>
  <c r="W21" i="52"/>
  <c r="AU21" i="52"/>
  <c r="AB21" i="52"/>
  <c r="Q21" i="52"/>
  <c r="AY21" i="52"/>
  <c r="CH21" i="52"/>
  <c r="J21" i="52"/>
  <c r="K21" i="52"/>
  <c r="BD21" i="52"/>
  <c r="BU21" i="52"/>
  <c r="CI21" i="52"/>
  <c r="X21" i="52"/>
  <c r="AW21" i="52"/>
  <c r="U21" i="52"/>
  <c r="BG21" i="52"/>
  <c r="BH21" i="52"/>
  <c r="AG21" i="52"/>
  <c r="CO21" i="52"/>
  <c r="CK21" i="52"/>
  <c r="V21" i="52"/>
  <c r="AH21" i="52"/>
  <c r="DT21" i="52"/>
  <c r="AK21" i="52"/>
  <c r="DK21" i="52"/>
  <c r="BB21" i="52"/>
  <c r="DJ21" i="52"/>
  <c r="CG21" i="52"/>
  <c r="AD21" i="52"/>
  <c r="DM21" i="52"/>
  <c r="CL21" i="52"/>
  <c r="AV21" i="52"/>
  <c r="BO21" i="52"/>
  <c r="BA21" i="52"/>
  <c r="CQ21" i="52"/>
  <c r="BK21" i="52"/>
  <c r="CS21" i="52"/>
  <c r="DS21" i="52"/>
  <c r="DL21" i="52"/>
  <c r="Y21" i="52"/>
  <c r="AX21" i="52"/>
  <c r="DN21" i="52"/>
  <c r="CC21" i="52"/>
  <c r="DU21" i="52"/>
  <c r="L21" i="52"/>
  <c r="S21" i="52"/>
  <c r="DC21" i="52"/>
  <c r="CR21" i="52"/>
  <c r="CD21" i="52"/>
  <c r="CX21" i="52"/>
  <c r="O21" i="52"/>
  <c r="BI21" i="52"/>
  <c r="BM21" i="52"/>
  <c r="DF21" i="52"/>
  <c r="T21" i="52"/>
  <c r="BS21" i="52"/>
  <c r="DR21" i="52"/>
  <c r="M21" i="52"/>
  <c r="BR21" i="52"/>
  <c r="AQ21" i="52"/>
  <c r="AE21" i="52"/>
  <c r="DA21" i="52"/>
  <c r="BZ21" i="52"/>
  <c r="DQ21" i="52"/>
  <c r="CE21" i="52"/>
  <c r="CT21" i="52"/>
  <c r="Z21" i="52"/>
  <c r="CY21" i="52"/>
  <c r="AO21" i="52"/>
  <c r="AL21" i="52"/>
  <c r="CB21" i="52"/>
  <c r="BF21" i="52"/>
  <c r="AA21" i="52"/>
  <c r="BX21" i="52"/>
  <c r="BT21" i="52"/>
  <c r="BP21" i="52"/>
  <c r="AI21" i="52"/>
  <c r="DD21" i="52"/>
  <c r="CP21" i="52"/>
  <c r="BL21" i="52"/>
  <c r="DW21" i="52"/>
  <c r="DO21" i="52"/>
  <c r="N21" i="52"/>
  <c r="CW21" i="52"/>
  <c r="BY21" i="52"/>
  <c r="CU21" i="52"/>
  <c r="BQ21" i="52"/>
  <c r="U22" i="52"/>
  <c r="AW22" i="52"/>
  <c r="BR22" i="52"/>
  <c r="BA22" i="52"/>
  <c r="BM22" i="52"/>
  <c r="AO22" i="52"/>
  <c r="CU22" i="52"/>
  <c r="AX22" i="52"/>
  <c r="DQ22" i="52"/>
  <c r="DX22" i="52"/>
  <c r="CI22" i="52"/>
  <c r="CY22" i="52"/>
  <c r="DK22" i="52"/>
  <c r="BB22" i="52"/>
  <c r="AP22" i="52"/>
  <c r="DR22" i="52"/>
  <c r="BC22" i="52"/>
  <c r="DJ22" i="52"/>
  <c r="CK22" i="52"/>
  <c r="AJ22" i="52"/>
  <c r="BO22" i="52"/>
  <c r="BX22" i="52"/>
  <c r="AG22" i="52"/>
  <c r="M22" i="52"/>
  <c r="CZ22" i="52"/>
  <c r="CP22" i="52"/>
  <c r="AV22" i="52"/>
  <c r="AA22" i="52"/>
  <c r="DV22" i="52"/>
  <c r="BE22" i="52"/>
  <c r="Q22" i="52"/>
  <c r="CL22" i="52"/>
  <c r="CR22" i="52"/>
  <c r="AC22" i="52"/>
  <c r="BZ22" i="52"/>
  <c r="CV22" i="52"/>
  <c r="AS22" i="52"/>
  <c r="DU22" i="52"/>
  <c r="DO22" i="52"/>
  <c r="CJ22" i="52"/>
  <c r="BI22" i="52"/>
  <c r="DS22" i="52"/>
  <c r="CO22" i="52"/>
  <c r="X22" i="52"/>
  <c r="AB22" i="52"/>
  <c r="DG22" i="52"/>
  <c r="BL22" i="52"/>
  <c r="AN22" i="52"/>
  <c r="DM22" i="52"/>
  <c r="BK22" i="52"/>
  <c r="BU22" i="52"/>
  <c r="AM22" i="52"/>
  <c r="O22" i="52"/>
  <c r="AK22" i="52"/>
  <c r="V22" i="52"/>
  <c r="BF22" i="52"/>
  <c r="CS22" i="52"/>
  <c r="DC22" i="52"/>
  <c r="BS22" i="52"/>
  <c r="AE22" i="52"/>
  <c r="DE22" i="52"/>
  <c r="CT22" i="52"/>
  <c r="CF22" i="52"/>
  <c r="DW22" i="52"/>
  <c r="BQ22" i="52"/>
  <c r="DP22" i="52"/>
  <c r="BP22" i="52"/>
  <c r="K22" i="52"/>
  <c r="CW22" i="52"/>
  <c r="BV22" i="52"/>
  <c r="CE22" i="52"/>
  <c r="AD22" i="52"/>
  <c r="T22" i="52"/>
  <c r="AI22" i="52"/>
  <c r="CQ22" i="52"/>
  <c r="DL22" i="52"/>
  <c r="BN22" i="52"/>
  <c r="AR22" i="52"/>
  <c r="CC22" i="52"/>
  <c r="R22" i="52"/>
  <c r="CA22" i="52"/>
  <c r="AH22" i="52"/>
  <c r="CD22" i="52"/>
  <c r="AF22" i="52"/>
  <c r="BT22" i="52"/>
  <c r="Z22" i="52"/>
  <c r="DT22" i="52"/>
  <c r="BJ22" i="52"/>
  <c r="AY22" i="52"/>
  <c r="L22" i="52"/>
  <c r="DB22" i="52"/>
  <c r="CN22" i="52"/>
  <c r="CB22" i="52"/>
  <c r="DD22" i="52"/>
  <c r="AT22" i="52"/>
  <c r="CX22" i="52"/>
  <c r="DA22" i="52"/>
  <c r="S22" i="52"/>
  <c r="BH22" i="52"/>
  <c r="N22" i="52"/>
  <c r="BG22" i="52"/>
  <c r="AL22" i="52"/>
  <c r="BD22" i="52"/>
  <c r="CH22" i="52"/>
  <c r="DF22" i="52"/>
  <c r="P22" i="52"/>
  <c r="AQ22" i="52"/>
  <c r="CG22" i="52"/>
  <c r="BY22" i="52"/>
  <c r="DI22" i="52"/>
  <c r="BW22" i="52"/>
  <c r="AU22" i="52"/>
  <c r="CM22" i="52"/>
  <c r="Y22" i="52"/>
  <c r="W22" i="52"/>
  <c r="DH22" i="52"/>
  <c r="DN22" i="52"/>
  <c r="J22" i="52"/>
  <c r="AZ22" i="52"/>
  <c r="BJ23" i="52"/>
  <c r="CT23" i="52"/>
  <c r="CB23" i="52"/>
  <c r="DE23" i="52"/>
  <c r="DP23" i="52"/>
  <c r="AX23" i="52"/>
  <c r="W23" i="52"/>
  <c r="Y23" i="52"/>
  <c r="DV23" i="52"/>
  <c r="CI23" i="52"/>
  <c r="V23" i="52"/>
  <c r="CR23" i="52"/>
  <c r="BM23" i="52"/>
  <c r="CN23" i="52"/>
  <c r="DD23" i="52"/>
  <c r="CG23" i="52"/>
  <c r="N23" i="52"/>
  <c r="DJ23" i="52"/>
  <c r="BI23" i="52"/>
  <c r="BA23" i="52"/>
  <c r="BK23" i="52"/>
  <c r="AM23" i="52"/>
  <c r="CC23" i="52"/>
  <c r="DT23" i="52"/>
  <c r="DQ23" i="52"/>
  <c r="DK23" i="52"/>
  <c r="S23" i="52"/>
  <c r="CD23" i="52"/>
  <c r="BR23" i="52"/>
  <c r="CS23" i="52"/>
  <c r="AR23" i="52"/>
  <c r="AS23" i="52"/>
  <c r="AO23" i="52"/>
  <c r="DG23" i="52"/>
  <c r="DN23" i="52"/>
  <c r="DM23" i="52"/>
  <c r="M23" i="52"/>
  <c r="DF23" i="52"/>
  <c r="BH23" i="52"/>
  <c r="X23" i="52"/>
  <c r="BT23" i="52"/>
  <c r="AY23" i="52"/>
  <c r="Q23" i="52"/>
  <c r="CP23" i="52"/>
  <c r="DL23" i="52"/>
  <c r="AJ23" i="52"/>
  <c r="DI23" i="52"/>
  <c r="AP23" i="52"/>
  <c r="BB23" i="52"/>
  <c r="BN23" i="52"/>
  <c r="DW23" i="52"/>
  <c r="AC23" i="52"/>
  <c r="DA23" i="52"/>
  <c r="BO23" i="52"/>
  <c r="CF23" i="52"/>
  <c r="CO23" i="52"/>
  <c r="BL23" i="52"/>
  <c r="CX23" i="52"/>
  <c r="CZ23" i="52"/>
  <c r="L23" i="52"/>
  <c r="R23" i="52"/>
  <c r="BZ23" i="52"/>
  <c r="DB23" i="52"/>
  <c r="J23" i="52"/>
  <c r="AG23" i="52"/>
  <c r="AZ23" i="52"/>
  <c r="BU23" i="52"/>
  <c r="AU23" i="52"/>
  <c r="CW23" i="52"/>
  <c r="CH23" i="52"/>
  <c r="DS23" i="52"/>
  <c r="U23" i="52"/>
  <c r="AE23" i="52"/>
  <c r="BG23" i="52"/>
  <c r="BQ23" i="52"/>
  <c r="CJ23" i="52"/>
  <c r="AL23" i="52"/>
  <c r="BC23" i="52"/>
  <c r="BF23" i="52"/>
  <c r="AH23" i="52"/>
  <c r="BX23" i="52"/>
  <c r="DC23" i="52"/>
  <c r="CM23" i="52"/>
  <c r="AT23" i="52"/>
  <c r="AD23" i="52"/>
  <c r="AQ23" i="52"/>
  <c r="BW23" i="52"/>
  <c r="BD23" i="52"/>
  <c r="AB23" i="52"/>
  <c r="O23" i="52"/>
  <c r="T23" i="52"/>
  <c r="CY23" i="52"/>
  <c r="P23" i="52"/>
  <c r="AA23" i="52"/>
  <c r="CE23" i="52"/>
  <c r="BY23" i="52"/>
  <c r="DO23" i="52"/>
  <c r="CA23" i="52"/>
  <c r="DU23" i="52"/>
  <c r="CK23" i="52"/>
  <c r="K23" i="52"/>
  <c r="AW23" i="52"/>
  <c r="DR23" i="52"/>
  <c r="CL23" i="52"/>
  <c r="AK23" i="52"/>
  <c r="AF23" i="52"/>
  <c r="AV23" i="52"/>
  <c r="AI23" i="52"/>
  <c r="BP23" i="52"/>
  <c r="CU23" i="52"/>
  <c r="CQ23" i="52"/>
  <c r="BE23" i="52"/>
  <c r="DH23" i="52"/>
  <c r="CV23" i="52"/>
  <c r="Z23" i="52"/>
  <c r="DX23" i="52"/>
  <c r="BV23" i="52"/>
  <c r="AN23" i="52"/>
  <c r="BS23" i="52"/>
  <c r="CY35" i="52"/>
  <c r="W33" i="52"/>
  <c r="AP33" i="52"/>
  <c r="BC35" i="52"/>
  <c r="CJ35" i="52"/>
  <c r="CX33" i="52"/>
  <c r="BY35" i="52"/>
  <c r="AH33" i="52"/>
  <c r="DB35" i="52"/>
  <c r="BI35" i="52"/>
  <c r="P33" i="52"/>
  <c r="BG33" i="52"/>
  <c r="CO35" i="52"/>
  <c r="BO35" i="52"/>
  <c r="AF33" i="52"/>
  <c r="S33" i="52"/>
  <c r="CY33" i="52"/>
  <c r="Y35" i="52"/>
  <c r="N35" i="52"/>
  <c r="BH33" i="52"/>
  <c r="CD33" i="52"/>
  <c r="BA33" i="52"/>
  <c r="DI35" i="52"/>
  <c r="BP33" i="52"/>
  <c r="BR33" i="52"/>
  <c r="DG35" i="52"/>
  <c r="DT35" i="52"/>
  <c r="BQ33" i="52"/>
  <c r="DR33" i="52"/>
  <c r="C35" i="52"/>
  <c r="P35" i="52"/>
  <c r="AK33" i="52"/>
  <c r="S35" i="52"/>
  <c r="AF35" i="52"/>
  <c r="CE35" i="52"/>
  <c r="R33" i="52"/>
  <c r="CB35" i="52"/>
  <c r="DV35" i="52"/>
  <c r="R35" i="52"/>
  <c r="DF33" i="52"/>
  <c r="CE33" i="52"/>
  <c r="DN33" i="52"/>
  <c r="BG35" i="52"/>
  <c r="O35" i="52"/>
  <c r="AB33" i="52"/>
  <c r="AQ33" i="52"/>
  <c r="CM33" i="52"/>
  <c r="L35" i="52"/>
  <c r="AM35" i="52"/>
  <c r="BI33" i="52"/>
  <c r="CA33" i="52"/>
  <c r="AS33" i="52"/>
  <c r="AW35" i="52"/>
  <c r="AN33" i="52"/>
  <c r="BV33" i="52"/>
  <c r="DR35" i="52"/>
  <c r="CG35" i="52"/>
  <c r="BC33" i="52"/>
  <c r="AW33" i="52"/>
  <c r="DD35" i="52"/>
  <c r="BZ35" i="52"/>
  <c r="AC33" i="52"/>
  <c r="CN35" i="52"/>
  <c r="BT35" i="52"/>
  <c r="CT35" i="52"/>
  <c r="DS33" i="52"/>
  <c r="BL35" i="52"/>
  <c r="BE35" i="52"/>
  <c r="CK35" i="52"/>
  <c r="DE33" i="52"/>
  <c r="CU33" i="52"/>
  <c r="DU33" i="52"/>
  <c r="CR35" i="52"/>
  <c r="Q35" i="52"/>
  <c r="DK33" i="52"/>
  <c r="AQ35" i="52"/>
  <c r="DX33" i="52"/>
  <c r="AR35" i="52"/>
  <c r="K35" i="52"/>
  <c r="CI33" i="52"/>
  <c r="AY33" i="52"/>
  <c r="CZ33" i="52"/>
  <c r="CH35" i="52"/>
  <c r="X33" i="52"/>
  <c r="BS33" i="52"/>
  <c r="AH35" i="52"/>
  <c r="BF35" i="52"/>
  <c r="N33" i="52"/>
  <c r="DW33" i="52"/>
  <c r="BW35" i="52"/>
  <c r="AY35" i="52"/>
  <c r="CQ33" i="52"/>
  <c r="DF35" i="52"/>
  <c r="AO35" i="52"/>
  <c r="BE33" i="52"/>
  <c r="DV33" i="52"/>
  <c r="BK35" i="52"/>
  <c r="BN35" i="52"/>
  <c r="DS35" i="52"/>
  <c r="AR33" i="52"/>
  <c r="DD33" i="52"/>
  <c r="BN33" i="52"/>
  <c r="BR35" i="52"/>
  <c r="DW35" i="52"/>
  <c r="BT33" i="52"/>
  <c r="AN35" i="52"/>
  <c r="CF33" i="52"/>
  <c r="CC35" i="52"/>
  <c r="DE35" i="52"/>
  <c r="CL33" i="52"/>
  <c r="AI33" i="52"/>
  <c r="AG33" i="52"/>
  <c r="DL35" i="52"/>
  <c r="O33" i="52"/>
  <c r="BF33" i="52"/>
  <c r="AK35" i="52"/>
  <c r="BJ35" i="52"/>
  <c r="CS33" i="52"/>
  <c r="DT33" i="52"/>
  <c r="AC35" i="52"/>
  <c r="X35" i="52"/>
  <c r="AD33" i="52"/>
  <c r="CH33" i="52"/>
  <c r="AU35" i="52"/>
  <c r="DH33" i="52"/>
  <c r="BY33" i="52"/>
  <c r="AV33" i="52"/>
  <c r="W35" i="52"/>
  <c r="DO35" i="52"/>
  <c r="K33" i="52"/>
  <c r="DL33" i="52"/>
  <c r="CA35" i="52"/>
  <c r="CU35" i="52"/>
  <c r="CB33" i="52"/>
  <c r="CC33" i="52"/>
  <c r="DM35" i="52"/>
  <c r="BD33" i="52"/>
  <c r="BD35" i="52"/>
  <c r="AA35" i="52"/>
  <c r="DO33" i="52"/>
  <c r="V35" i="52"/>
  <c r="BV35" i="52"/>
  <c r="DQ35" i="52"/>
  <c r="T33" i="52"/>
  <c r="BO33" i="52"/>
  <c r="Z35" i="52"/>
  <c r="BB35" i="52"/>
  <c r="DQ33" i="52"/>
  <c r="DA33" i="52"/>
  <c r="CS35" i="52"/>
  <c r="DN35" i="52"/>
  <c r="Z33" i="52"/>
  <c r="AZ35" i="52"/>
  <c r="DX35" i="52"/>
  <c r="L33" i="52"/>
  <c r="CV33" i="52"/>
  <c r="M33" i="52"/>
  <c r="CP35" i="52"/>
  <c r="J35" i="52"/>
  <c r="DB33" i="52"/>
  <c r="BB33" i="52"/>
  <c r="CX35" i="52"/>
  <c r="CZ35" i="52"/>
  <c r="AX33" i="52"/>
  <c r="BJ33" i="52"/>
  <c r="CW35" i="52"/>
  <c r="M35" i="52"/>
  <c r="BX35" i="52"/>
  <c r="BP35" i="52"/>
  <c r="CJ33" i="52"/>
  <c r="BH35" i="52"/>
  <c r="CQ35" i="52"/>
  <c r="BS35" i="52"/>
  <c r="AE33" i="52"/>
  <c r="U33" i="52"/>
  <c r="AV35" i="52"/>
  <c r="CD35" i="52"/>
  <c r="BU33" i="52"/>
  <c r="BZ33" i="52"/>
  <c r="DH35" i="52"/>
  <c r="BM35" i="52"/>
  <c r="DP33" i="52"/>
  <c r="AB35" i="52"/>
  <c r="AP35" i="52"/>
  <c r="CT33" i="52"/>
  <c r="AA33" i="52"/>
  <c r="CG33" i="52"/>
  <c r="DJ35" i="52"/>
  <c r="AG35" i="52"/>
  <c r="DI33" i="52"/>
  <c r="AM33" i="52"/>
  <c r="CF35" i="52"/>
  <c r="CV35" i="52"/>
  <c r="AZ33" i="52"/>
  <c r="AO33" i="52"/>
  <c r="BU35" i="52"/>
  <c r="BA35" i="52"/>
  <c r="AL35" i="52"/>
  <c r="AS35" i="52"/>
  <c r="BM33" i="52"/>
  <c r="DC33" i="52"/>
  <c r="DU35" i="52"/>
  <c r="DA35" i="52"/>
  <c r="Y33" i="52"/>
  <c r="CN33" i="52"/>
  <c r="AD35" i="52"/>
  <c r="CR33" i="52"/>
  <c r="CK33" i="52"/>
  <c r="AU33" i="52"/>
  <c r="C33" i="52"/>
  <c r="DK35" i="52"/>
  <c r="BK33" i="52"/>
  <c r="CP33" i="52"/>
  <c r="DP35" i="52"/>
  <c r="CI35" i="52"/>
  <c r="BX33" i="52"/>
  <c r="U35" i="52"/>
  <c r="DM33" i="52"/>
  <c r="AJ35" i="52"/>
  <c r="AT35" i="52"/>
  <c r="DG33" i="52"/>
  <c r="BL33" i="52"/>
  <c r="AI35" i="52"/>
  <c r="DC35" i="52"/>
  <c r="BW33" i="52"/>
  <c r="AL33" i="52"/>
  <c r="CW33" i="52"/>
  <c r="T35" i="52"/>
  <c r="CM35" i="52"/>
  <c r="AE35" i="52"/>
  <c r="Q33" i="52"/>
  <c r="V33" i="52"/>
  <c r="BQ35" i="52"/>
  <c r="CL35" i="52"/>
  <c r="J33" i="52"/>
  <c r="DJ33" i="52"/>
  <c r="AX35" i="52"/>
  <c r="AJ33" i="52"/>
  <c r="AT33" i="52"/>
  <c r="CO33" i="52"/>
  <c r="BH24" i="52"/>
  <c r="AG24" i="52"/>
  <c r="BK24" i="52"/>
  <c r="CU24" i="52"/>
  <c r="AF24" i="52"/>
  <c r="BI24" i="52"/>
  <c r="BW24" i="52"/>
  <c r="V24" i="52"/>
  <c r="AY24" i="52"/>
  <c r="BF24" i="52"/>
  <c r="BB24" i="52"/>
  <c r="BL24" i="52"/>
  <c r="CC24" i="52"/>
  <c r="BM24" i="52"/>
  <c r="DG24" i="52"/>
  <c r="AS24" i="52"/>
  <c r="CO24" i="52"/>
  <c r="BD24" i="52"/>
  <c r="DP24" i="52"/>
  <c r="AJ24" i="52"/>
  <c r="BG24" i="52"/>
  <c r="CK24" i="52"/>
  <c r="AW24" i="52"/>
  <c r="CW24" i="52"/>
  <c r="DD24" i="52"/>
  <c r="BO24" i="52"/>
  <c r="DU24" i="52"/>
  <c r="S24" i="52"/>
  <c r="CN24" i="52"/>
  <c r="CM24" i="52"/>
  <c r="AO24" i="52"/>
  <c r="CE24" i="52"/>
  <c r="DF24" i="52"/>
  <c r="DK24" i="52"/>
  <c r="CT24" i="52"/>
  <c r="R24" i="52"/>
  <c r="N24" i="52"/>
  <c r="DT24" i="52"/>
  <c r="BP24" i="52"/>
  <c r="DE24" i="52"/>
  <c r="O24" i="52"/>
  <c r="CB24" i="52"/>
  <c r="AR24" i="52"/>
  <c r="CH24" i="52"/>
  <c r="CP24" i="52"/>
  <c r="CD24" i="52"/>
  <c r="CV24" i="52"/>
  <c r="BS24" i="52"/>
  <c r="W24" i="52"/>
  <c r="BY24" i="52"/>
  <c r="CJ24" i="52"/>
  <c r="CI24" i="52"/>
  <c r="DI24" i="52"/>
  <c r="AD24" i="52"/>
  <c r="X24" i="52"/>
  <c r="CZ24" i="52"/>
  <c r="BN24" i="52"/>
  <c r="DO24" i="52"/>
  <c r="L24" i="52"/>
  <c r="AQ24" i="52"/>
  <c r="AK24" i="52"/>
  <c r="CY24" i="52"/>
  <c r="BQ24" i="52"/>
  <c r="P24" i="52"/>
  <c r="CQ24" i="52"/>
  <c r="CR24" i="52"/>
  <c r="DA24" i="52"/>
  <c r="DC24" i="52"/>
  <c r="DW24" i="52"/>
  <c r="K24" i="52"/>
  <c r="AB24" i="52"/>
  <c r="T24" i="52"/>
  <c r="CL24" i="52"/>
  <c r="AT24" i="52"/>
  <c r="AI24" i="52"/>
  <c r="DX24" i="52"/>
  <c r="BC24" i="52"/>
  <c r="AM24" i="52"/>
  <c r="Z24" i="52"/>
  <c r="Q24" i="52"/>
  <c r="BV24" i="52"/>
  <c r="AU24" i="52"/>
  <c r="AX24" i="52"/>
  <c r="BZ24" i="52"/>
  <c r="DS24" i="52"/>
  <c r="AH24" i="52"/>
  <c r="BA24" i="52"/>
  <c r="DM24" i="52"/>
  <c r="BJ24" i="52"/>
  <c r="DL24" i="52"/>
  <c r="U24" i="52"/>
  <c r="DR24" i="52"/>
  <c r="J24" i="52"/>
  <c r="DJ24" i="52"/>
  <c r="AE24" i="52"/>
  <c r="CG24" i="52"/>
  <c r="BE24" i="52"/>
  <c r="DH24" i="52"/>
  <c r="AA24" i="52"/>
  <c r="AC24" i="52"/>
  <c r="AV24" i="52"/>
  <c r="DQ24" i="52"/>
  <c r="CF24" i="52"/>
  <c r="AP24" i="52"/>
  <c r="BT24" i="52"/>
  <c r="DB24" i="52"/>
  <c r="CA24" i="52"/>
  <c r="AZ24" i="52"/>
  <c r="BR24" i="52"/>
  <c r="BX24" i="52"/>
  <c r="DN24" i="52"/>
  <c r="AL24" i="52"/>
  <c r="M24" i="52"/>
  <c r="AN24" i="52"/>
  <c r="CS24" i="52"/>
  <c r="BU24" i="52"/>
  <c r="DV24" i="52"/>
  <c r="CX24" i="52"/>
  <c r="Y24" i="52"/>
  <c r="DS25" i="52"/>
  <c r="Z25" i="52"/>
  <c r="BN25" i="52"/>
  <c r="BR25" i="52"/>
  <c r="AQ25" i="52"/>
  <c r="O25" i="52"/>
  <c r="BC25" i="52"/>
  <c r="CK25" i="52"/>
  <c r="CS25" i="52"/>
  <c r="CY25" i="52"/>
  <c r="J25" i="52"/>
  <c r="AY25" i="52"/>
  <c r="CJ25" i="52"/>
  <c r="DP25" i="52"/>
  <c r="AW25" i="52"/>
  <c r="DW25" i="52"/>
  <c r="BO25" i="52"/>
  <c r="CF25" i="52"/>
  <c r="CV25" i="52"/>
  <c r="AI25" i="52"/>
  <c r="DC25" i="52"/>
  <c r="BI25" i="52"/>
  <c r="BX25" i="52"/>
  <c r="Y25" i="52"/>
  <c r="CL25" i="52"/>
  <c r="BQ25" i="52"/>
  <c r="AN25" i="52"/>
  <c r="DI25" i="52"/>
  <c r="BB25" i="52"/>
  <c r="BM25" i="52"/>
  <c r="DF25" i="52"/>
  <c r="AR25" i="52"/>
  <c r="CU25" i="52"/>
  <c r="DM25" i="52"/>
  <c r="CN25" i="52"/>
  <c r="P25" i="52"/>
  <c r="AS25" i="52"/>
  <c r="DU25" i="52"/>
  <c r="DN25" i="52"/>
  <c r="AF25" i="52"/>
  <c r="BS25" i="52"/>
  <c r="DX25" i="52"/>
  <c r="L25" i="52"/>
  <c r="CE25" i="52"/>
  <c r="CC25" i="52"/>
  <c r="AD25" i="52"/>
  <c r="BG25" i="52"/>
  <c r="BA25" i="52"/>
  <c r="CT25" i="52"/>
  <c r="BT25" i="52"/>
  <c r="CP25" i="52"/>
  <c r="CH25" i="52"/>
  <c r="DG25" i="52"/>
  <c r="W25" i="52"/>
  <c r="BL25" i="52"/>
  <c r="AM25" i="52"/>
  <c r="K25" i="52"/>
  <c r="V25" i="52"/>
  <c r="DA25" i="52"/>
  <c r="BJ25" i="52"/>
  <c r="AP25" i="52"/>
  <c r="BY25" i="52"/>
  <c r="DO25" i="52"/>
  <c r="CI25" i="52"/>
  <c r="BP25" i="52"/>
  <c r="DL25" i="52"/>
  <c r="Q25" i="52"/>
  <c r="AU25" i="52"/>
  <c r="CO25" i="52"/>
  <c r="AZ25" i="52"/>
  <c r="AK25" i="52"/>
  <c r="CG25" i="52"/>
  <c r="S25" i="52"/>
  <c r="DR25" i="52"/>
  <c r="AV25" i="52"/>
  <c r="CD25" i="52"/>
  <c r="AX25" i="52"/>
  <c r="CX25" i="52"/>
  <c r="X25" i="52"/>
  <c r="BU25" i="52"/>
  <c r="CZ25" i="52"/>
  <c r="CA25" i="52"/>
  <c r="AT25" i="52"/>
  <c r="DK25" i="52"/>
  <c r="R25" i="52"/>
  <c r="DJ25" i="52"/>
  <c r="AC25" i="52"/>
  <c r="AL25" i="52"/>
  <c r="AH25" i="52"/>
  <c r="M25" i="52"/>
  <c r="BK25" i="52"/>
  <c r="CM25" i="52"/>
  <c r="BE25" i="52"/>
  <c r="N25" i="52"/>
  <c r="CB25" i="52"/>
  <c r="U25" i="52"/>
  <c r="CR25" i="52"/>
  <c r="BV25" i="52"/>
  <c r="AO25" i="52"/>
  <c r="BF25" i="52"/>
  <c r="AJ25" i="52"/>
  <c r="CQ25" i="52"/>
  <c r="AE25" i="52"/>
  <c r="AG25" i="52"/>
  <c r="DQ25" i="52"/>
  <c r="BH25" i="52"/>
  <c r="BZ25" i="52"/>
  <c r="DT25" i="52"/>
  <c r="DH25" i="52"/>
  <c r="T25" i="52"/>
  <c r="BD25" i="52"/>
  <c r="DB25" i="52"/>
  <c r="BW25" i="52"/>
  <c r="CW25" i="52"/>
  <c r="DV25" i="52"/>
  <c r="DD25" i="52"/>
  <c r="AA25" i="52"/>
  <c r="AB25" i="52"/>
  <c r="DE25" i="52"/>
  <c r="N14" i="58" l="1"/>
  <c r="AZ14" i="58" s="1"/>
  <c r="N26" i="30"/>
  <c r="AZ26" i="30" s="1"/>
  <c r="Q14" i="58"/>
  <c r="AD14" i="58"/>
  <c r="AH14" i="58"/>
  <c r="AB14" i="58"/>
  <c r="AJ14" i="58"/>
  <c r="AA14" i="58"/>
  <c r="AI14" i="58"/>
  <c r="AY14" i="58"/>
  <c r="AC14" i="58"/>
  <c r="AG14" i="58"/>
  <c r="G14" i="58" s="1"/>
  <c r="AF14" i="58"/>
  <c r="B5" i="54"/>
  <c r="B20" i="54" s="1"/>
  <c r="B6" i="54"/>
  <c r="N6" i="30"/>
  <c r="AZ6" i="30" s="1"/>
  <c r="N66" i="58"/>
  <c r="AZ66" i="58" s="1"/>
  <c r="N49" i="58"/>
  <c r="AZ49" i="58" s="1"/>
  <c r="N10" i="58"/>
  <c r="AZ10" i="58" s="1"/>
  <c r="N15" i="58"/>
  <c r="AZ15" i="58" s="1"/>
  <c r="N62" i="58"/>
  <c r="AZ62" i="58" s="1"/>
  <c r="N30" i="58"/>
  <c r="AZ30" i="58" s="1"/>
  <c r="N55" i="58"/>
  <c r="AZ55" i="58" s="1"/>
  <c r="N65" i="58"/>
  <c r="AZ65" i="58" s="1"/>
  <c r="N68" i="58"/>
  <c r="AZ68" i="58" s="1"/>
  <c r="N63" i="58"/>
  <c r="AZ63" i="58" s="1"/>
  <c r="N17" i="58"/>
  <c r="AZ17" i="58" s="1"/>
  <c r="N47" i="58"/>
  <c r="AZ47" i="58" s="1"/>
  <c r="N53" i="58"/>
  <c r="AZ53" i="58" s="1"/>
  <c r="N21" i="58"/>
  <c r="AZ21" i="58" s="1"/>
  <c r="N45" i="58"/>
  <c r="AZ45" i="58" s="1"/>
  <c r="N67" i="58"/>
  <c r="AZ67" i="58" s="1"/>
  <c r="N36" i="58"/>
  <c r="AZ36" i="58" s="1"/>
  <c r="N11" i="58"/>
  <c r="AZ11" i="58" s="1"/>
  <c r="N31" i="58"/>
  <c r="AZ31" i="58" s="1"/>
  <c r="N51" i="58"/>
  <c r="AZ51" i="58" s="1"/>
  <c r="N23" i="58"/>
  <c r="AZ23" i="58" s="1"/>
  <c r="N24" i="58"/>
  <c r="AZ24" i="58" s="1"/>
  <c r="N43" i="58"/>
  <c r="AZ43" i="58" s="1"/>
  <c r="N9" i="58"/>
  <c r="AZ9" i="58" s="1"/>
  <c r="N12" i="58"/>
  <c r="AZ12" i="58" s="1"/>
  <c r="N27" i="58"/>
  <c r="AZ27" i="58" s="1"/>
  <c r="N46" i="58"/>
  <c r="AZ46" i="58" s="1"/>
  <c r="N13" i="58"/>
  <c r="AZ13" i="58" s="1"/>
  <c r="N40" i="58"/>
  <c r="AZ40" i="58" s="1"/>
  <c r="N22" i="58"/>
  <c r="AZ22" i="58" s="1"/>
  <c r="N44" i="58"/>
  <c r="AZ44" i="58" s="1"/>
  <c r="N18" i="58"/>
  <c r="AZ18" i="58" s="1"/>
  <c r="N52" i="58"/>
  <c r="AZ52" i="58" s="1"/>
  <c r="N37" i="58"/>
  <c r="AZ37" i="58" s="1"/>
  <c r="N41" i="58"/>
  <c r="AZ41" i="58" s="1"/>
  <c r="N64" i="58"/>
  <c r="AZ64" i="58" s="1"/>
  <c r="N56" i="58"/>
  <c r="AZ56" i="58" s="1"/>
  <c r="N58" i="58"/>
  <c r="AZ58" i="58" s="1"/>
  <c r="N34" i="58"/>
  <c r="AZ34" i="58" s="1"/>
  <c r="N20" i="58"/>
  <c r="AZ20" i="58" s="1"/>
  <c r="N7" i="58"/>
  <c r="AZ7" i="58" s="1"/>
  <c r="N8" i="58"/>
  <c r="AZ8" i="58" s="1"/>
  <c r="N38" i="58"/>
  <c r="AZ38" i="58" s="1"/>
  <c r="N48" i="58"/>
  <c r="AZ48" i="58" s="1"/>
  <c r="N32" i="58"/>
  <c r="AZ32" i="58" s="1"/>
  <c r="N35" i="58"/>
  <c r="AZ35" i="58" s="1"/>
  <c r="N61" i="58"/>
  <c r="AZ61" i="58" s="1"/>
  <c r="N42" i="58"/>
  <c r="AZ42" i="58" s="1"/>
  <c r="N54" i="58"/>
  <c r="AZ54" i="58" s="1"/>
  <c r="N69" i="58"/>
  <c r="AZ69" i="58" s="1"/>
  <c r="N5" i="58"/>
  <c r="AZ5" i="58" s="1"/>
  <c r="N16" i="58"/>
  <c r="AZ16" i="58" s="1"/>
  <c r="N60" i="58"/>
  <c r="AZ60" i="58" s="1"/>
  <c r="N39" i="58"/>
  <c r="AZ39" i="58" s="1"/>
  <c r="N50" i="58"/>
  <c r="AZ50" i="58" s="1"/>
  <c r="N59" i="58"/>
  <c r="AZ59" i="58" s="1"/>
  <c r="N70" i="58"/>
  <c r="AZ70" i="58" s="1"/>
  <c r="N6" i="58"/>
  <c r="AZ6" i="58" s="1"/>
  <c r="N28" i="58"/>
  <c r="AZ28" i="58" s="1"/>
  <c r="N29" i="58"/>
  <c r="AZ29" i="58" s="1"/>
  <c r="N33" i="58"/>
  <c r="AZ33" i="58" s="1"/>
  <c r="Q6" i="30"/>
  <c r="AB6" i="30"/>
  <c r="AC6" i="30"/>
  <c r="AG6" i="30"/>
  <c r="G6" i="30" s="1"/>
  <c r="AD6" i="30"/>
  <c r="AF6" i="30"/>
  <c r="AH6" i="30"/>
  <c r="AY6" i="30"/>
  <c r="AI6" i="30"/>
  <c r="AA6" i="30"/>
  <c r="AJ6" i="30"/>
  <c r="A23" i="61"/>
  <c r="A24" i="61"/>
  <c r="J63" i="27"/>
  <c r="J65" i="27"/>
  <c r="O999" i="59"/>
  <c r="R999" i="59"/>
  <c r="I999" i="59"/>
  <c r="AG999" i="59" s="1"/>
  <c r="AD999" i="59"/>
  <c r="AE999" i="59"/>
  <c r="AB999" i="59"/>
  <c r="AI999" i="59"/>
  <c r="AJ999" i="59"/>
  <c r="AC999" i="59"/>
  <c r="AH999" i="59"/>
  <c r="G999" i="59" s="1"/>
  <c r="AK999" i="59"/>
  <c r="R254" i="59"/>
  <c r="R311" i="59"/>
  <c r="R12" i="59"/>
  <c r="R64" i="59"/>
  <c r="R350" i="59"/>
  <c r="R17" i="59"/>
  <c r="R248" i="59"/>
  <c r="R400" i="59"/>
  <c r="R994" i="59"/>
  <c r="R283" i="59"/>
  <c r="R330" i="59"/>
  <c r="R102" i="59"/>
  <c r="R22" i="59"/>
  <c r="R404" i="59"/>
  <c r="R68" i="59"/>
  <c r="R363" i="59"/>
  <c r="R272" i="59"/>
  <c r="R867" i="59"/>
  <c r="R995" i="59"/>
  <c r="R122" i="59"/>
  <c r="R314" i="59"/>
  <c r="R816" i="59"/>
  <c r="R915" i="59"/>
  <c r="R928" i="59"/>
  <c r="R910" i="59"/>
  <c r="R19" i="59"/>
  <c r="R958" i="59"/>
  <c r="R976" i="59"/>
  <c r="R324" i="59"/>
  <c r="R127" i="59"/>
  <c r="R339" i="59"/>
  <c r="R932" i="59"/>
  <c r="R14" i="59"/>
  <c r="R76" i="59"/>
  <c r="R110" i="59"/>
  <c r="R287" i="59"/>
  <c r="R6" i="59"/>
  <c r="R873" i="59"/>
  <c r="R998" i="59"/>
  <c r="R126" i="59"/>
  <c r="R333" i="59"/>
  <c r="R720" i="59"/>
  <c r="R844" i="59"/>
  <c r="R916" i="59"/>
  <c r="R929" i="59"/>
  <c r="R911" i="59"/>
  <c r="R7" i="59"/>
  <c r="R849" i="59"/>
  <c r="R960" i="59"/>
  <c r="R977" i="59"/>
  <c r="R118" i="59"/>
  <c r="R343" i="59"/>
  <c r="R195" i="59"/>
  <c r="R940" i="59"/>
  <c r="R23" i="59"/>
  <c r="R79" i="59"/>
  <c r="R123" i="59"/>
  <c r="R307" i="59"/>
  <c r="R590" i="59"/>
  <c r="R876" i="59"/>
  <c r="R986" i="59"/>
  <c r="R154" i="59"/>
  <c r="R354" i="59"/>
  <c r="R732" i="59"/>
  <c r="R918" i="59"/>
  <c r="R930" i="59"/>
  <c r="R936" i="59"/>
  <c r="R159" i="59"/>
  <c r="R357" i="59"/>
  <c r="R221" i="59"/>
  <c r="R36" i="59"/>
  <c r="R88" i="59"/>
  <c r="R401" i="59"/>
  <c r="R187" i="59"/>
  <c r="R337" i="59"/>
  <c r="R891" i="59"/>
  <c r="R989" i="59"/>
  <c r="R190" i="59"/>
  <c r="R746" i="59"/>
  <c r="R923" i="59"/>
  <c r="R938" i="59"/>
  <c r="R177" i="59"/>
  <c r="R358" i="59"/>
  <c r="R236" i="59"/>
  <c r="R208" i="59"/>
  <c r="R45" i="59"/>
  <c r="R724" i="59"/>
  <c r="R988" i="59"/>
  <c r="R596" i="59"/>
  <c r="R912" i="59"/>
  <c r="R939" i="59"/>
  <c r="R894" i="59"/>
  <c r="R973" i="59"/>
  <c r="R790" i="59"/>
  <c r="R855" i="59"/>
  <c r="R954" i="59"/>
  <c r="R441" i="59"/>
  <c r="R477" i="59"/>
  <c r="R560" i="59"/>
  <c r="R605" i="59"/>
  <c r="R658" i="59"/>
  <c r="R699" i="59"/>
  <c r="R748" i="59"/>
  <c r="R902" i="59"/>
  <c r="R897" i="59"/>
  <c r="R25" i="59"/>
  <c r="R288" i="59"/>
  <c r="R80" i="59"/>
  <c r="R990" i="59"/>
  <c r="R913" i="59"/>
  <c r="R21" i="59"/>
  <c r="R975" i="59"/>
  <c r="R763" i="59"/>
  <c r="R792" i="59"/>
  <c r="R430" i="59"/>
  <c r="R442" i="59"/>
  <c r="R478" i="59"/>
  <c r="R564" i="59"/>
  <c r="R613" i="59"/>
  <c r="R666" i="59"/>
  <c r="R713" i="59"/>
  <c r="R749" i="59"/>
  <c r="R934" i="59"/>
  <c r="R13" i="59"/>
  <c r="R898" i="59"/>
  <c r="R594" i="59"/>
  <c r="R744" i="59"/>
  <c r="R802" i="59"/>
  <c r="R858" i="59"/>
  <c r="R125" i="59"/>
  <c r="R942" i="59"/>
  <c r="R95" i="59"/>
  <c r="R778" i="59"/>
  <c r="R129" i="59"/>
  <c r="R992" i="59"/>
  <c r="R914" i="59"/>
  <c r="R11" i="59"/>
  <c r="R956" i="59"/>
  <c r="R978" i="59"/>
  <c r="R768" i="59"/>
  <c r="R797" i="59"/>
  <c r="R433" i="59"/>
  <c r="R444" i="59"/>
  <c r="R513" i="59"/>
  <c r="R572" i="59"/>
  <c r="R614" i="59"/>
  <c r="R672" i="59"/>
  <c r="R715" i="59"/>
  <c r="R804" i="59"/>
  <c r="R946" i="59"/>
  <c r="R859" i="59"/>
  <c r="R808" i="59"/>
  <c r="R925" i="59"/>
  <c r="R766" i="59"/>
  <c r="R233" i="59"/>
  <c r="R98" i="59"/>
  <c r="R204" i="59"/>
  <c r="R169" i="59"/>
  <c r="R920" i="59"/>
  <c r="R904" i="59"/>
  <c r="R935" i="59"/>
  <c r="R979" i="59"/>
  <c r="R769" i="59"/>
  <c r="R801" i="59"/>
  <c r="R15" i="59"/>
  <c r="R435" i="59"/>
  <c r="R469" i="59"/>
  <c r="R515" i="59"/>
  <c r="R576" i="59"/>
  <c r="R615" i="59"/>
  <c r="R680" i="59"/>
  <c r="R723" i="59"/>
  <c r="R805" i="59"/>
  <c r="R947" i="59"/>
  <c r="R786" i="59"/>
  <c r="R366" i="59"/>
  <c r="R103" i="59"/>
  <c r="R220" i="59"/>
  <c r="R258" i="59"/>
  <c r="R924" i="59"/>
  <c r="R909" i="59"/>
  <c r="R852" i="59"/>
  <c r="R961" i="59"/>
  <c r="R981" i="59"/>
  <c r="R780" i="59"/>
  <c r="R817" i="59"/>
  <c r="R436" i="59"/>
  <c r="R472" i="59"/>
  <c r="R517" i="59"/>
  <c r="R583" i="59"/>
  <c r="R633" i="59"/>
  <c r="R684" i="59"/>
  <c r="R726" i="59"/>
  <c r="R806" i="59"/>
  <c r="R948" i="59"/>
  <c r="R595" i="59"/>
  <c r="R707" i="59"/>
  <c r="R762" i="59"/>
  <c r="R592" i="59"/>
  <c r="R791" i="59"/>
  <c r="R402" i="59"/>
  <c r="R319" i="59"/>
  <c r="R367" i="59"/>
  <c r="R280" i="59"/>
  <c r="R872" i="59"/>
  <c r="R926" i="59"/>
  <c r="R896" i="59"/>
  <c r="R964" i="59"/>
  <c r="R982" i="59"/>
  <c r="R783" i="59"/>
  <c r="R825" i="59"/>
  <c r="R438" i="59"/>
  <c r="R473" i="59"/>
  <c r="R519" i="59"/>
  <c r="R584" i="59"/>
  <c r="R634" i="59"/>
  <c r="R685" i="59"/>
  <c r="R734" i="59"/>
  <c r="R949" i="59"/>
  <c r="R893" i="59"/>
  <c r="R842" i="59"/>
  <c r="R966" i="59"/>
  <c r="R439" i="59"/>
  <c r="R639" i="59"/>
  <c r="R950" i="59"/>
  <c r="R37" i="59"/>
  <c r="R588" i="59"/>
  <c r="R40" i="59"/>
  <c r="R728" i="59"/>
  <c r="R480" i="59"/>
  <c r="R885" i="59"/>
  <c r="R216" i="59"/>
  <c r="R497" i="59"/>
  <c r="R71" i="59"/>
  <c r="R486" i="59"/>
  <c r="R980" i="59"/>
  <c r="R485" i="59"/>
  <c r="R815" i="59"/>
  <c r="R65" i="59"/>
  <c r="R579" i="59"/>
  <c r="R299" i="59"/>
  <c r="R681" i="59"/>
  <c r="R153" i="59"/>
  <c r="R548" i="59"/>
  <c r="R906" i="59"/>
  <c r="R887" i="59"/>
  <c r="R970" i="59"/>
  <c r="R440" i="59"/>
  <c r="R648" i="59"/>
  <c r="R26" i="59"/>
  <c r="R34" i="59"/>
  <c r="R879" i="59"/>
  <c r="R42" i="59"/>
  <c r="R782" i="59"/>
  <c r="R31" i="59"/>
  <c r="R781" i="59"/>
  <c r="R38" i="59"/>
  <c r="R729" i="59"/>
  <c r="R488" i="59"/>
  <c r="R889" i="59"/>
  <c r="R252" i="59"/>
  <c r="R487" i="59"/>
  <c r="R82" i="59"/>
  <c r="R653" i="59"/>
  <c r="R328" i="59"/>
  <c r="R580" i="59"/>
  <c r="R819" i="59"/>
  <c r="R162" i="59"/>
  <c r="R578" i="59"/>
  <c r="R331" i="59"/>
  <c r="R711" i="59"/>
  <c r="R170" i="59"/>
  <c r="R676" i="59"/>
  <c r="R35" i="59"/>
  <c r="R297" i="59"/>
  <c r="R20" i="59"/>
  <c r="R984" i="59"/>
  <c r="R474" i="59"/>
  <c r="R693" i="59"/>
  <c r="R900" i="59"/>
  <c r="R32" i="59"/>
  <c r="R30" i="59"/>
  <c r="R796" i="59"/>
  <c r="R607" i="59"/>
  <c r="R75" i="59"/>
  <c r="R290" i="59"/>
  <c r="R602" i="59"/>
  <c r="R179" i="59"/>
  <c r="R719" i="59"/>
  <c r="R147" i="59"/>
  <c r="R717" i="59"/>
  <c r="R853" i="59"/>
  <c r="R174" i="59"/>
  <c r="R679" i="59"/>
  <c r="R376" i="59"/>
  <c r="R708" i="59"/>
  <c r="R48" i="59"/>
  <c r="R675" i="59"/>
  <c r="R43" i="59"/>
  <c r="R8" i="59"/>
  <c r="R16" i="59"/>
  <c r="R476" i="59"/>
  <c r="R694" i="59"/>
  <c r="R901" i="59"/>
  <c r="R824" i="59"/>
  <c r="R39" i="59"/>
  <c r="R481" i="59"/>
  <c r="R799" i="59"/>
  <c r="R795" i="59"/>
  <c r="R91" i="59"/>
  <c r="R308" i="59"/>
  <c r="R758" i="59"/>
  <c r="R207" i="59"/>
  <c r="R752" i="59"/>
  <c r="R172" i="59"/>
  <c r="R718" i="59"/>
  <c r="R62" i="59"/>
  <c r="R244" i="59"/>
  <c r="R771" i="59"/>
  <c r="R493" i="59"/>
  <c r="R725" i="59"/>
  <c r="R94" i="59"/>
  <c r="R730" i="59"/>
  <c r="R362" i="59"/>
  <c r="R927" i="59"/>
  <c r="R865" i="59"/>
  <c r="R785" i="59"/>
  <c r="R545" i="59"/>
  <c r="R736" i="59"/>
  <c r="R841" i="59"/>
  <c r="R33" i="59"/>
  <c r="R972" i="59"/>
  <c r="R755" i="59"/>
  <c r="R27" i="59"/>
  <c r="R499" i="59"/>
  <c r="R836" i="59"/>
  <c r="R798" i="59"/>
  <c r="R150" i="59"/>
  <c r="R321" i="59"/>
  <c r="R794" i="59"/>
  <c r="R274" i="59"/>
  <c r="R753" i="59"/>
  <c r="R209" i="59"/>
  <c r="R750" i="59"/>
  <c r="R119" i="59"/>
  <c r="R335" i="59"/>
  <c r="R773" i="59"/>
  <c r="R483" i="59"/>
  <c r="R741" i="59"/>
  <c r="R230" i="59"/>
  <c r="R731" i="59"/>
  <c r="R862" i="59"/>
  <c r="R845" i="59"/>
  <c r="R601" i="59"/>
  <c r="R892" i="59"/>
  <c r="R812" i="59"/>
  <c r="R857" i="59"/>
  <c r="R922" i="59"/>
  <c r="R850" i="59"/>
  <c r="R29" i="59"/>
  <c r="R674" i="59"/>
  <c r="R905" i="59"/>
  <c r="R846" i="59"/>
  <c r="R180" i="59"/>
  <c r="R417" i="59"/>
  <c r="R888" i="59"/>
  <c r="R424" i="59"/>
  <c r="R820" i="59"/>
  <c r="R495" i="59"/>
  <c r="R776" i="59"/>
  <c r="R279" i="59"/>
  <c r="R544" i="59"/>
  <c r="R823" i="59"/>
  <c r="R677" i="59"/>
  <c r="R851" i="59"/>
  <c r="R549" i="59"/>
  <c r="R890" i="59"/>
  <c r="R861" i="59"/>
  <c r="R714" i="59"/>
  <c r="R835" i="59"/>
  <c r="R418" i="59"/>
  <c r="R219" i="59"/>
  <c r="R822" i="59"/>
  <c r="R963" i="59"/>
  <c r="R907" i="59"/>
  <c r="R931" i="59"/>
  <c r="R553" i="59"/>
  <c r="R286" i="59"/>
  <c r="R757" i="59"/>
  <c r="R494" i="59"/>
  <c r="R268" i="59"/>
  <c r="R598" i="59"/>
  <c r="R764" i="59"/>
  <c r="R41" i="59"/>
  <c r="R112" i="59"/>
  <c r="R788" i="59"/>
  <c r="R484" i="59"/>
  <c r="R482" i="59"/>
  <c r="R955" i="59"/>
  <c r="R886" i="59"/>
  <c r="R871" i="59"/>
  <c r="R843" i="59"/>
  <c r="R811" i="59"/>
  <c r="R740" i="59"/>
  <c r="R527" i="59"/>
  <c r="R547" i="59"/>
  <c r="R326" i="59"/>
  <c r="R303" i="59"/>
  <c r="R814" i="59"/>
  <c r="R765" i="59"/>
  <c r="R608" i="59"/>
  <c r="R342" i="59"/>
  <c r="R313" i="59"/>
  <c r="R818" i="59"/>
  <c r="R880" i="59"/>
  <c r="R983" i="59"/>
  <c r="R951" i="59"/>
  <c r="R877" i="59"/>
  <c r="R864" i="59"/>
  <c r="R833" i="59"/>
  <c r="R789" i="59"/>
  <c r="R586" i="59"/>
  <c r="R847" i="59"/>
  <c r="R831" i="59"/>
  <c r="R751" i="59"/>
  <c r="R577" i="59"/>
  <c r="R866" i="59"/>
  <c r="R24" i="59"/>
  <c r="R832" i="59"/>
  <c r="R352" i="59"/>
  <c r="R167" i="59"/>
  <c r="R807" i="59"/>
  <c r="R965" i="59"/>
  <c r="R917" i="59"/>
  <c r="R875" i="59"/>
  <c r="R921" i="59"/>
  <c r="R869" i="59"/>
  <c r="R828" i="59"/>
  <c r="R779" i="59"/>
  <c r="R747" i="59"/>
  <c r="R722" i="59"/>
  <c r="R698" i="59"/>
  <c r="R692" i="59"/>
  <c r="R683" i="59"/>
  <c r="R55" i="59"/>
  <c r="R264" i="59"/>
  <c r="R647" i="59"/>
  <c r="R506" i="59"/>
  <c r="R245" i="59"/>
  <c r="R249" i="59"/>
  <c r="R322" i="59"/>
  <c r="R226" i="59"/>
  <c r="R662" i="59"/>
  <c r="R609" i="59"/>
  <c r="R301" i="59"/>
  <c r="R304" i="59"/>
  <c r="R136" i="59"/>
  <c r="R224" i="59"/>
  <c r="R498" i="59"/>
  <c r="R378" i="59"/>
  <c r="R574" i="59"/>
  <c r="R665" i="59"/>
  <c r="R369" i="59"/>
  <c r="R368" i="59"/>
  <c r="R281" i="59"/>
  <c r="R267" i="59"/>
  <c r="R309" i="59"/>
  <c r="R276" i="59"/>
  <c r="R113" i="59"/>
  <c r="R431" i="59"/>
  <c r="R585" i="59"/>
  <c r="R619" i="59"/>
  <c r="R552" i="59"/>
  <c r="R631" i="59"/>
  <c r="R600" i="59"/>
  <c r="R558" i="59"/>
  <c r="R533" i="59"/>
  <c r="R510" i="59"/>
  <c r="R468" i="59"/>
  <c r="R462" i="59"/>
  <c r="R409" i="59"/>
  <c r="R406" i="59"/>
  <c r="R81" i="59"/>
  <c r="R77" i="59"/>
  <c r="R133" i="59"/>
  <c r="R178" i="59"/>
  <c r="R191" i="59"/>
  <c r="R211" i="59"/>
  <c r="R192" i="59"/>
  <c r="R242" i="59"/>
  <c r="R63" i="59"/>
  <c r="R46" i="59"/>
  <c r="R971" i="59"/>
  <c r="R854" i="59"/>
  <c r="R919" i="59"/>
  <c r="R863" i="59"/>
  <c r="R827" i="59"/>
  <c r="R777" i="59"/>
  <c r="R745" i="59"/>
  <c r="R721" i="59"/>
  <c r="R705" i="59"/>
  <c r="R689" i="59"/>
  <c r="R338" i="59"/>
  <c r="R107" i="59"/>
  <c r="R310" i="59"/>
  <c r="R664" i="59"/>
  <c r="R657" i="59"/>
  <c r="R285" i="59"/>
  <c r="R262" i="59"/>
  <c r="R348" i="59"/>
  <c r="R247" i="59"/>
  <c r="R670" i="59"/>
  <c r="R659" i="59"/>
  <c r="R47" i="59"/>
  <c r="R164" i="59"/>
  <c r="R239" i="59"/>
  <c r="R261" i="59"/>
  <c r="R54" i="59"/>
  <c r="R446" i="59"/>
  <c r="R636" i="59"/>
  <c r="R589" i="59"/>
  <c r="R120" i="59"/>
  <c r="R387" i="59"/>
  <c r="R323" i="59"/>
  <c r="R295" i="59"/>
  <c r="R456" i="59"/>
  <c r="R393" i="59"/>
  <c r="R182" i="59"/>
  <c r="R460" i="59"/>
  <c r="R620" i="59"/>
  <c r="R650" i="59"/>
  <c r="R561" i="59"/>
  <c r="R627" i="59"/>
  <c r="R597" i="59"/>
  <c r="R557" i="59"/>
  <c r="R525" i="59"/>
  <c r="R509" i="59"/>
  <c r="R455" i="59"/>
  <c r="R450" i="59"/>
  <c r="R428" i="59"/>
  <c r="R398" i="59"/>
  <c r="R73" i="59"/>
  <c r="R108" i="59"/>
  <c r="R100" i="59"/>
  <c r="R105" i="59"/>
  <c r="R132" i="59"/>
  <c r="R210" i="59"/>
  <c r="R206" i="59"/>
  <c r="R240" i="59"/>
  <c r="R56" i="59"/>
  <c r="R58" i="59"/>
  <c r="R834" i="59"/>
  <c r="R884" i="59"/>
  <c r="R899" i="59"/>
  <c r="R860" i="59"/>
  <c r="R826" i="59"/>
  <c r="R774" i="59"/>
  <c r="R742" i="59"/>
  <c r="R710" i="59"/>
  <c r="R703" i="59"/>
  <c r="R691" i="59"/>
  <c r="R422" i="59"/>
  <c r="R266" i="59"/>
  <c r="R346" i="59"/>
  <c r="R99" i="59"/>
  <c r="R671" i="59"/>
  <c r="R554" i="59"/>
  <c r="R151" i="59"/>
  <c r="R385" i="59"/>
  <c r="R332" i="59"/>
  <c r="R573" i="59"/>
  <c r="R532" i="59"/>
  <c r="R138" i="59"/>
  <c r="R291" i="59"/>
  <c r="R302" i="59"/>
  <c r="R306" i="59"/>
  <c r="R386" i="59"/>
  <c r="R492" i="59"/>
  <c r="R646" i="59"/>
  <c r="R305" i="59"/>
  <c r="R193" i="59"/>
  <c r="R375" i="59"/>
  <c r="R384" i="59"/>
  <c r="R292" i="59"/>
  <c r="R92" i="59"/>
  <c r="R399" i="59"/>
  <c r="R341" i="59"/>
  <c r="R491" i="59"/>
  <c r="R660" i="59"/>
  <c r="R536" i="59"/>
  <c r="R656" i="59"/>
  <c r="R626" i="59"/>
  <c r="R591" i="59"/>
  <c r="R551" i="59"/>
  <c r="R540" i="59"/>
  <c r="R508" i="59"/>
  <c r="R466" i="59"/>
  <c r="R461" i="59"/>
  <c r="R427" i="59"/>
  <c r="R396" i="59"/>
  <c r="R70" i="59"/>
  <c r="R66" i="59"/>
  <c r="R148" i="59"/>
  <c r="R134" i="59"/>
  <c r="R149" i="59"/>
  <c r="R145" i="59"/>
  <c r="R199" i="59"/>
  <c r="R202" i="59"/>
  <c r="R60" i="59"/>
  <c r="R775" i="59"/>
  <c r="R878" i="59"/>
  <c r="R848" i="59"/>
  <c r="R809" i="59"/>
  <c r="R772" i="59"/>
  <c r="R739" i="59"/>
  <c r="R709" i="59"/>
  <c r="R701" i="59"/>
  <c r="R688" i="59"/>
  <c r="R640" i="59"/>
  <c r="R296" i="59"/>
  <c r="R451" i="59"/>
  <c r="R106" i="59"/>
  <c r="R663" i="59"/>
  <c r="R114" i="59"/>
  <c r="R284" i="59"/>
  <c r="R377" i="59"/>
  <c r="R347" i="59"/>
  <c r="R638" i="59"/>
  <c r="R238" i="59"/>
  <c r="R654" i="59"/>
  <c r="R974" i="59"/>
  <c r="R882" i="59"/>
  <c r="R840" i="59"/>
  <c r="R810" i="59"/>
  <c r="R767" i="59"/>
  <c r="R738" i="59"/>
  <c r="R706" i="59"/>
  <c r="R241" i="59"/>
  <c r="R682" i="59"/>
  <c r="R246" i="59"/>
  <c r="R325" i="59"/>
  <c r="R669" i="59"/>
  <c r="R121" i="59"/>
  <c r="R420" i="59"/>
  <c r="R251" i="59"/>
  <c r="R294" i="59"/>
  <c r="R78" i="59"/>
  <c r="R372" i="59"/>
  <c r="R618" i="59"/>
  <c r="R277" i="59"/>
  <c r="R243" i="59"/>
  <c r="R334" i="59"/>
  <c r="R528" i="59"/>
  <c r="R388" i="59"/>
  <c r="R142" i="59"/>
  <c r="R550" i="59"/>
  <c r="R624" i="59"/>
  <c r="R269" i="59"/>
  <c r="R217" i="59"/>
  <c r="R227" i="59"/>
  <c r="R447" i="59"/>
  <c r="R425" i="59"/>
  <c r="R152" i="59"/>
  <c r="R458" i="59"/>
  <c r="R382" i="59"/>
  <c r="R587" i="59"/>
  <c r="R622" i="59"/>
  <c r="R616" i="59"/>
  <c r="R652" i="59"/>
  <c r="R625" i="59"/>
  <c r="R535" i="59"/>
  <c r="R501" i="59"/>
  <c r="R538" i="59"/>
  <c r="R505" i="59"/>
  <c r="R465" i="59"/>
  <c r="R448" i="59"/>
  <c r="R421" i="59"/>
  <c r="R379" i="59"/>
  <c r="R104" i="59"/>
  <c r="R85" i="59"/>
  <c r="R137" i="59"/>
  <c r="R130" i="59"/>
  <c r="R184" i="59"/>
  <c r="R183" i="59"/>
  <c r="R218" i="59"/>
  <c r="R231" i="59"/>
  <c r="R57" i="59"/>
  <c r="R967" i="59"/>
  <c r="R881" i="59"/>
  <c r="R839" i="59"/>
  <c r="R803" i="59"/>
  <c r="R761" i="59"/>
  <c r="R737" i="59"/>
  <c r="R704" i="59"/>
  <c r="R696" i="59"/>
  <c r="R690" i="59"/>
  <c r="R459" i="59"/>
  <c r="R463" i="59"/>
  <c r="R381" i="59"/>
  <c r="R144" i="59"/>
  <c r="R214" i="59"/>
  <c r="R312" i="59"/>
  <c r="R83" i="59"/>
  <c r="R97" i="59"/>
  <c r="R569" i="59"/>
  <c r="R530" i="59"/>
  <c r="R327" i="59"/>
  <c r="R275" i="59"/>
  <c r="R408" i="59"/>
  <c r="R61" i="59"/>
  <c r="R414" i="59"/>
  <c r="R189" i="59"/>
  <c r="R511" i="59"/>
  <c r="R635" i="59"/>
  <c r="R300" i="59"/>
  <c r="R225" i="59"/>
  <c r="R263" i="59"/>
  <c r="R467" i="59"/>
  <c r="R413" i="59"/>
  <c r="R155" i="59"/>
  <c r="R496" i="59"/>
  <c r="R380" i="59"/>
  <c r="R599" i="59"/>
  <c r="R617" i="59"/>
  <c r="R630" i="59"/>
  <c r="R641" i="59"/>
  <c r="R612" i="59"/>
  <c r="R571" i="59"/>
  <c r="R534" i="59"/>
  <c r="R537" i="59"/>
  <c r="R504" i="59"/>
  <c r="R453" i="59"/>
  <c r="R429" i="59"/>
  <c r="R405" i="59"/>
  <c r="R391" i="59"/>
  <c r="R139" i="59"/>
  <c r="R141" i="59"/>
  <c r="R156" i="59"/>
  <c r="R131" i="59"/>
  <c r="R135" i="59"/>
  <c r="R161" i="59"/>
  <c r="R235" i="59"/>
  <c r="R282" i="59"/>
  <c r="R50" i="59"/>
  <c r="R870" i="59"/>
  <c r="R733" i="59"/>
  <c r="R51" i="59"/>
  <c r="R374" i="59"/>
  <c r="R629" i="59"/>
  <c r="R316" i="59"/>
  <c r="R423" i="59"/>
  <c r="R644" i="59"/>
  <c r="R215" i="59"/>
  <c r="R186" i="59"/>
  <c r="R397" i="59"/>
  <c r="R610" i="59"/>
  <c r="R604" i="59"/>
  <c r="R500" i="59"/>
  <c r="R449" i="59"/>
  <c r="R370" i="59"/>
  <c r="R93" i="59"/>
  <c r="R160" i="59"/>
  <c r="R59" i="59"/>
  <c r="R87" i="59"/>
  <c r="R181" i="59"/>
  <c r="R298" i="59"/>
  <c r="R394" i="59"/>
  <c r="R516" i="59"/>
  <c r="R518" i="59"/>
  <c r="R520" i="59"/>
  <c r="R727" i="59"/>
  <c r="R821" i="59"/>
  <c r="R856" i="59"/>
  <c r="R945" i="59"/>
  <c r="R993" i="59"/>
  <c r="R687" i="59"/>
  <c r="R203" i="59"/>
  <c r="R454" i="59"/>
  <c r="R223" i="59"/>
  <c r="R356" i="59"/>
  <c r="R743" i="59"/>
  <c r="R567" i="59"/>
  <c r="R464" i="59"/>
  <c r="R232" i="59"/>
  <c r="R166" i="59"/>
  <c r="R908" i="59"/>
  <c r="R991" i="59"/>
  <c r="R837" i="59"/>
  <c r="R702" i="59"/>
  <c r="R678" i="59"/>
  <c r="R668" i="59"/>
  <c r="R543" i="59"/>
  <c r="R188" i="59"/>
  <c r="R72" i="59"/>
  <c r="R621" i="59"/>
  <c r="R270" i="59"/>
  <c r="R115" i="59"/>
  <c r="R410" i="59"/>
  <c r="R523" i="59"/>
  <c r="R581" i="59"/>
  <c r="R489" i="59"/>
  <c r="R457" i="59"/>
  <c r="R84" i="59"/>
  <c r="R116" i="59"/>
  <c r="R168" i="59"/>
  <c r="R53" i="59"/>
  <c r="R10" i="59"/>
  <c r="R101" i="59"/>
  <c r="R173" i="59"/>
  <c r="R213" i="59"/>
  <c r="R395" i="59"/>
  <c r="R471" i="59"/>
  <c r="R575" i="59"/>
  <c r="R606" i="59"/>
  <c r="R673" i="59"/>
  <c r="R787" i="59"/>
  <c r="R868" i="59"/>
  <c r="R952" i="59"/>
  <c r="R996" i="59"/>
  <c r="R962" i="59"/>
  <c r="R340" i="59"/>
  <c r="R194" i="59"/>
  <c r="R200" i="59"/>
  <c r="R632" i="59"/>
  <c r="R411" i="59"/>
  <c r="R197" i="59"/>
  <c r="R593" i="59"/>
  <c r="R661" i="59"/>
  <c r="R968" i="59"/>
  <c r="R953" i="59"/>
  <c r="R432" i="59"/>
  <c r="R373" i="59"/>
  <c r="R89" i="59"/>
  <c r="R541" i="59"/>
  <c r="R392" i="59"/>
  <c r="R360" i="59"/>
  <c r="R475" i="59"/>
  <c r="R756" i="59"/>
  <c r="R985" i="59"/>
  <c r="R345" i="59"/>
  <c r="R829" i="59"/>
  <c r="R712" i="59"/>
  <c r="R228" i="59"/>
  <c r="R250" i="59"/>
  <c r="R568" i="59"/>
  <c r="R278" i="59"/>
  <c r="R256" i="59"/>
  <c r="R255" i="59"/>
  <c r="R265" i="59"/>
  <c r="R185" i="59"/>
  <c r="R529" i="59"/>
  <c r="R524" i="59"/>
  <c r="R562" i="59"/>
  <c r="R507" i="59"/>
  <c r="R445" i="59"/>
  <c r="R165" i="59"/>
  <c r="R176" i="59"/>
  <c r="R171" i="59"/>
  <c r="R52" i="59"/>
  <c r="R9" i="59"/>
  <c r="R111" i="59"/>
  <c r="R196" i="59"/>
  <c r="R229" i="59"/>
  <c r="R403" i="59"/>
  <c r="R470" i="59"/>
  <c r="R556" i="59"/>
  <c r="R642" i="59"/>
  <c r="R686" i="59"/>
  <c r="R793" i="59"/>
  <c r="R903" i="59"/>
  <c r="R957" i="59"/>
  <c r="R987" i="59"/>
  <c r="R490" i="59"/>
  <c r="R359" i="59"/>
  <c r="R271" i="59"/>
  <c r="R18" i="59"/>
  <c r="R364" i="59"/>
  <c r="R716" i="59"/>
  <c r="R944" i="59"/>
  <c r="R800" i="59"/>
  <c r="R697" i="59"/>
  <c r="R582" i="59"/>
  <c r="R289" i="59"/>
  <c r="R566" i="59"/>
  <c r="R390" i="59"/>
  <c r="R318" i="59"/>
  <c r="R320" i="59"/>
  <c r="R419" i="59"/>
  <c r="R253" i="59"/>
  <c r="R603" i="59"/>
  <c r="R643" i="59"/>
  <c r="R559" i="59"/>
  <c r="R503" i="59"/>
  <c r="R426" i="59"/>
  <c r="R67" i="59"/>
  <c r="R140" i="59"/>
  <c r="R205" i="59"/>
  <c r="R49" i="59"/>
  <c r="R5" i="59"/>
  <c r="R124" i="59"/>
  <c r="R212" i="59"/>
  <c r="R259" i="59"/>
  <c r="R365" i="59"/>
  <c r="R437" i="59"/>
  <c r="R563" i="59"/>
  <c r="R649" i="59"/>
  <c r="R700" i="59"/>
  <c r="R813" i="59"/>
  <c r="R937" i="59"/>
  <c r="R959" i="59"/>
  <c r="R997" i="59"/>
  <c r="R555" i="59"/>
  <c r="R157" i="59"/>
  <c r="R44" i="59"/>
  <c r="R933" i="59"/>
  <c r="R383" i="59"/>
  <c r="R651" i="59"/>
  <c r="R163" i="59"/>
  <c r="R760" i="59"/>
  <c r="R830" i="59"/>
  <c r="R784" i="59"/>
  <c r="R695" i="59"/>
  <c r="R570" i="59"/>
  <c r="R315" i="59"/>
  <c r="R260" i="59"/>
  <c r="R86" i="59"/>
  <c r="R512" i="59"/>
  <c r="R344" i="59"/>
  <c r="R329" i="59"/>
  <c r="R412" i="59"/>
  <c r="R655" i="59"/>
  <c r="R637" i="59"/>
  <c r="R542" i="59"/>
  <c r="R502" i="59"/>
  <c r="R416" i="59"/>
  <c r="R74" i="59"/>
  <c r="R143" i="59"/>
  <c r="R234" i="59"/>
  <c r="R28" i="59"/>
  <c r="R128" i="59"/>
  <c r="R222" i="59"/>
  <c r="R361" i="59"/>
  <c r="R355" i="59"/>
  <c r="R443" i="59"/>
  <c r="R565" i="59"/>
  <c r="R667" i="59"/>
  <c r="R770" i="59"/>
  <c r="R895" i="59"/>
  <c r="R943" i="59"/>
  <c r="R969" i="59"/>
  <c r="R759" i="59"/>
  <c r="R146" i="59"/>
  <c r="R175" i="59"/>
  <c r="R521" i="59"/>
  <c r="R526" i="59"/>
  <c r="R90" i="59"/>
  <c r="R237" i="59"/>
  <c r="R479" i="59"/>
  <c r="R883" i="59"/>
  <c r="R754" i="59"/>
  <c r="R201" i="59"/>
  <c r="R293" i="59"/>
  <c r="R349" i="59"/>
  <c r="R623" i="59"/>
  <c r="R109" i="59"/>
  <c r="R69" i="59"/>
  <c r="R257" i="59"/>
  <c r="R434" i="59"/>
  <c r="R628" i="59"/>
  <c r="R941" i="59"/>
  <c r="R546" i="59"/>
  <c r="R874" i="59"/>
  <c r="R735" i="59"/>
  <c r="R415" i="59"/>
  <c r="R371" i="59"/>
  <c r="R531" i="59"/>
  <c r="R317" i="59"/>
  <c r="R407" i="59"/>
  <c r="R645" i="59"/>
  <c r="R336" i="59"/>
  <c r="R117" i="59"/>
  <c r="R353" i="59"/>
  <c r="R522" i="59"/>
  <c r="R611" i="59"/>
  <c r="R539" i="59"/>
  <c r="R452" i="59"/>
  <c r="R389" i="59"/>
  <c r="R96" i="59"/>
  <c r="R198" i="59"/>
  <c r="R351" i="59"/>
  <c r="R158" i="59"/>
  <c r="R273" i="59"/>
  <c r="R514" i="59"/>
  <c r="R838" i="59"/>
  <c r="O110" i="59"/>
  <c r="O220" i="59"/>
  <c r="O471" i="59"/>
  <c r="O606" i="59"/>
  <c r="O200" i="59"/>
  <c r="O445" i="59"/>
  <c r="O123" i="59"/>
  <c r="O258" i="59"/>
  <c r="O477" i="59"/>
  <c r="O23" i="59"/>
  <c r="O101" i="59"/>
  <c r="O920" i="59"/>
  <c r="O931" i="59"/>
  <c r="O516" i="59"/>
  <c r="O613" i="59"/>
  <c r="O36" i="59"/>
  <c r="O403" i="59"/>
  <c r="O191" i="59"/>
  <c r="O340" i="59"/>
  <c r="O380" i="59"/>
  <c r="O573" i="59"/>
  <c r="O676" i="59"/>
  <c r="O730" i="59"/>
  <c r="O779" i="59"/>
  <c r="O124" i="59"/>
  <c r="O248" i="59"/>
  <c r="O148" i="59"/>
  <c r="O268" i="59"/>
  <c r="O373" i="59"/>
  <c r="O509" i="59"/>
  <c r="O856" i="59"/>
  <c r="O957" i="59"/>
  <c r="O969" i="59"/>
  <c r="O981" i="59"/>
  <c r="O122" i="59"/>
  <c r="O233" i="59"/>
  <c r="O475" i="59"/>
  <c r="O16" i="59"/>
  <c r="O223" i="59"/>
  <c r="O450" i="59"/>
  <c r="O127" i="59"/>
  <c r="O103" i="59"/>
  <c r="O514" i="59"/>
  <c r="O90" i="59"/>
  <c r="O35" i="59"/>
  <c r="O923" i="59"/>
  <c r="O937" i="59"/>
  <c r="O518" i="59"/>
  <c r="O44" i="59"/>
  <c r="O57" i="59"/>
  <c r="O219" i="59"/>
  <c r="O351" i="59"/>
  <c r="O407" i="59"/>
  <c r="O590" i="59"/>
  <c r="O675" i="59"/>
  <c r="O729" i="59"/>
  <c r="O791" i="59"/>
  <c r="O126" i="59"/>
  <c r="O272" i="59"/>
  <c r="O11" i="59"/>
  <c r="O165" i="59"/>
  <c r="O285" i="59"/>
  <c r="O374" i="59"/>
  <c r="O534" i="59"/>
  <c r="O958" i="59"/>
  <c r="O970" i="59"/>
  <c r="O982" i="59"/>
  <c r="O307" i="59"/>
  <c r="O339" i="59"/>
  <c r="O768" i="59"/>
  <c r="O790" i="59"/>
  <c r="O129" i="59"/>
  <c r="O478" i="59"/>
  <c r="O206" i="59"/>
  <c r="O505" i="59"/>
  <c r="O551" i="59"/>
  <c r="O619" i="59"/>
  <c r="O704" i="59"/>
  <c r="O904" i="59"/>
  <c r="O46" i="59"/>
  <c r="O116" i="59"/>
  <c r="O227" i="59"/>
  <c r="O344" i="59"/>
  <c r="O67" i="59"/>
  <c r="O150" i="59"/>
  <c r="O255" i="59"/>
  <c r="O349" i="59"/>
  <c r="O868" i="59"/>
  <c r="O985" i="59"/>
  <c r="O993" i="59"/>
  <c r="O100" i="59"/>
  <c r="O185" i="59"/>
  <c r="O278" i="59"/>
  <c r="O341" i="59"/>
  <c r="O875" i="59"/>
  <c r="O845" i="59"/>
  <c r="O58" i="59"/>
  <c r="O163" i="59"/>
  <c r="O230" i="59"/>
  <c r="O284" i="59"/>
  <c r="O128" i="59"/>
  <c r="O257" i="59"/>
  <c r="O476" i="59"/>
  <c r="O49" i="59"/>
  <c r="O267" i="59"/>
  <c r="O453" i="59"/>
  <c r="O169" i="59"/>
  <c r="O520" i="59"/>
  <c r="O120" i="59"/>
  <c r="O43" i="59"/>
  <c r="O912" i="59"/>
  <c r="O924" i="59"/>
  <c r="O545" i="59"/>
  <c r="O130" i="59"/>
  <c r="O64" i="59"/>
  <c r="O435" i="59"/>
  <c r="O77" i="59"/>
  <c r="O231" i="59"/>
  <c r="O370" i="59"/>
  <c r="O409" i="59"/>
  <c r="O611" i="59"/>
  <c r="O690" i="59"/>
  <c r="O746" i="59"/>
  <c r="O802" i="59"/>
  <c r="O166" i="59"/>
  <c r="O176" i="59"/>
  <c r="O302" i="59"/>
  <c r="O376" i="59"/>
  <c r="O589" i="59"/>
  <c r="O959" i="59"/>
  <c r="O973" i="59"/>
  <c r="O984" i="59"/>
  <c r="O311" i="59"/>
  <c r="O343" i="59"/>
  <c r="O769" i="59"/>
  <c r="O792" i="59"/>
  <c r="O158" i="59"/>
  <c r="O513" i="59"/>
  <c r="O249" i="59"/>
  <c r="O495" i="59"/>
  <c r="O550" i="59"/>
  <c r="O621" i="59"/>
  <c r="O908" i="59"/>
  <c r="O59" i="59"/>
  <c r="O115" i="59"/>
  <c r="O235" i="59"/>
  <c r="O392" i="59"/>
  <c r="O72" i="59"/>
  <c r="O135" i="59"/>
  <c r="O261" i="59"/>
  <c r="O353" i="59"/>
  <c r="O873" i="59"/>
  <c r="O986" i="59"/>
  <c r="O994" i="59"/>
  <c r="O107" i="59"/>
  <c r="O192" i="59"/>
  <c r="O281" i="59"/>
  <c r="O829" i="59"/>
  <c r="O919" i="59"/>
  <c r="O54" i="59"/>
  <c r="O172" i="59"/>
  <c r="O240" i="59"/>
  <c r="O290" i="59"/>
  <c r="O420" i="59"/>
  <c r="O154" i="59"/>
  <c r="O515" i="59"/>
  <c r="O62" i="59"/>
  <c r="O301" i="59"/>
  <c r="O102" i="59"/>
  <c r="O187" i="59"/>
  <c r="O430" i="59"/>
  <c r="O546" i="59"/>
  <c r="O167" i="59"/>
  <c r="O45" i="59"/>
  <c r="O913" i="59"/>
  <c r="O926" i="59"/>
  <c r="O560" i="59"/>
  <c r="O145" i="59"/>
  <c r="O68" i="59"/>
  <c r="O440" i="59"/>
  <c r="O104" i="59"/>
  <c r="O253" i="59"/>
  <c r="O371" i="59"/>
  <c r="O456" i="59"/>
  <c r="O610" i="59"/>
  <c r="O698" i="59"/>
  <c r="O752" i="59"/>
  <c r="O807" i="59"/>
  <c r="O181" i="59"/>
  <c r="O61" i="59"/>
  <c r="O184" i="59"/>
  <c r="O322" i="59"/>
  <c r="O425" i="59"/>
  <c r="O960" i="59"/>
  <c r="O975" i="59"/>
  <c r="O280" i="59"/>
  <c r="O314" i="59"/>
  <c r="O345" i="59"/>
  <c r="O770" i="59"/>
  <c r="O793" i="59"/>
  <c r="O173" i="59"/>
  <c r="O519" i="59"/>
  <c r="O291" i="59"/>
  <c r="O485" i="59"/>
  <c r="O559" i="59"/>
  <c r="O641" i="59"/>
  <c r="O842" i="59"/>
  <c r="O909" i="59"/>
  <c r="O74" i="59"/>
  <c r="O119" i="59"/>
  <c r="O256" i="59"/>
  <c r="O416" i="59"/>
  <c r="O71" i="59"/>
  <c r="O186" i="59"/>
  <c r="O177" i="59"/>
  <c r="O434" i="59"/>
  <c r="O553" i="59"/>
  <c r="O86" i="59"/>
  <c r="O421" i="59"/>
  <c r="O212" i="59"/>
  <c r="O441" i="59"/>
  <c r="O575" i="59"/>
  <c r="O209" i="59"/>
  <c r="O80" i="59"/>
  <c r="O915" i="59"/>
  <c r="O928" i="59"/>
  <c r="O444" i="59"/>
  <c r="O583" i="59"/>
  <c r="O9" i="59"/>
  <c r="O79" i="59"/>
  <c r="O141" i="59"/>
  <c r="O279" i="59"/>
  <c r="O375" i="59"/>
  <c r="O499" i="59"/>
  <c r="O656" i="59"/>
  <c r="O719" i="59"/>
  <c r="O762" i="59"/>
  <c r="O815" i="59"/>
  <c r="O213" i="59"/>
  <c r="O65" i="59"/>
  <c r="O242" i="59"/>
  <c r="O347" i="59"/>
  <c r="O447" i="59"/>
  <c r="O273" i="59"/>
  <c r="O964" i="59"/>
  <c r="O977" i="59"/>
  <c r="O287" i="59"/>
  <c r="O324" i="59"/>
  <c r="O354" i="59"/>
  <c r="O783" i="59"/>
  <c r="O801" i="59"/>
  <c r="O204" i="59"/>
  <c r="O436" i="59"/>
  <c r="O572" i="59"/>
  <c r="O326" i="59"/>
  <c r="O537" i="59"/>
  <c r="O582" i="59"/>
  <c r="O647" i="59"/>
  <c r="O853" i="59"/>
  <c r="O911" i="59"/>
  <c r="O85" i="59"/>
  <c r="O137" i="59"/>
  <c r="O190" i="59"/>
  <c r="O437" i="59"/>
  <c r="O564" i="59"/>
  <c r="O117" i="59"/>
  <c r="O427" i="59"/>
  <c r="O222" i="59"/>
  <c r="O470" i="59"/>
  <c r="O584" i="59"/>
  <c r="O159" i="59"/>
  <c r="O75" i="59"/>
  <c r="O18" i="59"/>
  <c r="O929" i="59"/>
  <c r="O5" i="59"/>
  <c r="O134" i="59"/>
  <c r="O481" i="59"/>
  <c r="O221" i="59"/>
  <c r="O50" i="59"/>
  <c r="O369" i="59"/>
  <c r="O956" i="59"/>
  <c r="O330" i="59"/>
  <c r="O785" i="59"/>
  <c r="O229" i="59"/>
  <c r="O443" i="59"/>
  <c r="O397" i="59"/>
  <c r="O765" i="59"/>
  <c r="O194" i="59"/>
  <c r="O422" i="59"/>
  <c r="O63" i="59"/>
  <c r="O198" i="59"/>
  <c r="O315" i="59"/>
  <c r="O876" i="59"/>
  <c r="O989" i="59"/>
  <c r="O22" i="59"/>
  <c r="O108" i="59"/>
  <c r="O244" i="59"/>
  <c r="O323" i="59"/>
  <c r="O962" i="59"/>
  <c r="O47" i="59"/>
  <c r="O183" i="59"/>
  <c r="O274" i="59"/>
  <c r="O398" i="59"/>
  <c r="O634" i="59"/>
  <c r="O667" i="59"/>
  <c r="O694" i="59"/>
  <c r="O727" i="59"/>
  <c r="O760" i="59"/>
  <c r="O139" i="59"/>
  <c r="O182" i="59"/>
  <c r="O404" i="59"/>
  <c r="O942" i="59"/>
  <c r="O6" i="59"/>
  <c r="O494" i="59"/>
  <c r="O558" i="59"/>
  <c r="O640" i="59"/>
  <c r="O742" i="59"/>
  <c r="O847" i="59"/>
  <c r="O500" i="59"/>
  <c r="O578" i="59"/>
  <c r="O662" i="59"/>
  <c r="O741" i="59"/>
  <c r="O798" i="59"/>
  <c r="O851" i="59"/>
  <c r="O902" i="59"/>
  <c r="O383" i="59"/>
  <c r="O391" i="59"/>
  <c r="O502" i="59"/>
  <c r="O562" i="59"/>
  <c r="O631" i="59"/>
  <c r="O695" i="59"/>
  <c r="O753" i="59"/>
  <c r="O208" i="59"/>
  <c r="O155" i="59"/>
  <c r="O76" i="59"/>
  <c r="O930" i="59"/>
  <c r="O14" i="59"/>
  <c r="O179" i="59"/>
  <c r="O541" i="59"/>
  <c r="O751" i="59"/>
  <c r="O236" i="59"/>
  <c r="O99" i="59"/>
  <c r="O428" i="59"/>
  <c r="O935" i="59"/>
  <c r="O333" i="59"/>
  <c r="O787" i="59"/>
  <c r="O254" i="59"/>
  <c r="O469" i="59"/>
  <c r="O405" i="59"/>
  <c r="O596" i="59"/>
  <c r="O781" i="59"/>
  <c r="O199" i="59"/>
  <c r="O424" i="59"/>
  <c r="O56" i="59"/>
  <c r="O224" i="59"/>
  <c r="O342" i="59"/>
  <c r="O883" i="59"/>
  <c r="O990" i="59"/>
  <c r="O12" i="59"/>
  <c r="O109" i="59"/>
  <c r="O247" i="59"/>
  <c r="O332" i="59"/>
  <c r="O821" i="59"/>
  <c r="O954" i="59"/>
  <c r="O147" i="59"/>
  <c r="O203" i="59"/>
  <c r="O277" i="59"/>
  <c r="O423" i="59"/>
  <c r="O639" i="59"/>
  <c r="O672" i="59"/>
  <c r="O699" i="59"/>
  <c r="O734" i="59"/>
  <c r="O934" i="59"/>
  <c r="O19" i="59"/>
  <c r="O132" i="59"/>
  <c r="O202" i="59"/>
  <c r="O907" i="59"/>
  <c r="O484" i="59"/>
  <c r="O568" i="59"/>
  <c r="O655" i="59"/>
  <c r="O759" i="59"/>
  <c r="O852" i="59"/>
  <c r="O521" i="59"/>
  <c r="O679" i="59"/>
  <c r="O905" i="59"/>
  <c r="O384" i="59"/>
  <c r="O393" i="59"/>
  <c r="O492" i="59"/>
  <c r="O574" i="59"/>
  <c r="O334" i="59"/>
  <c r="O438" i="59"/>
  <c r="O88" i="59"/>
  <c r="O28" i="59"/>
  <c r="O276" i="59"/>
  <c r="O561" i="59"/>
  <c r="O105" i="59"/>
  <c r="O451" i="59"/>
  <c r="O961" i="59"/>
  <c r="O337" i="59"/>
  <c r="O789" i="59"/>
  <c r="O259" i="59"/>
  <c r="O473" i="59"/>
  <c r="O408" i="59"/>
  <c r="O599" i="59"/>
  <c r="O800" i="59"/>
  <c r="O205" i="59"/>
  <c r="O896" i="59"/>
  <c r="O83" i="59"/>
  <c r="O234" i="59"/>
  <c r="O379" i="59"/>
  <c r="O887" i="59"/>
  <c r="O991" i="59"/>
  <c r="O60" i="59"/>
  <c r="O112" i="59"/>
  <c r="O269" i="59"/>
  <c r="O833" i="59"/>
  <c r="O825" i="59"/>
  <c r="O140" i="59"/>
  <c r="O218" i="59"/>
  <c r="O300" i="59"/>
  <c r="O432" i="59"/>
  <c r="O642" i="59"/>
  <c r="O673" i="59"/>
  <c r="O700" i="59"/>
  <c r="O736" i="59"/>
  <c r="O946" i="59"/>
  <c r="O7" i="59"/>
  <c r="O144" i="59"/>
  <c r="O211" i="59"/>
  <c r="O880" i="59"/>
  <c r="O951" i="59"/>
  <c r="O511" i="59"/>
  <c r="O581" i="59"/>
  <c r="O646" i="59"/>
  <c r="O764" i="59"/>
  <c r="O906" i="59"/>
  <c r="O446" i="59"/>
  <c r="O535" i="59"/>
  <c r="O594" i="59"/>
  <c r="O682" i="59"/>
  <c r="O755" i="59"/>
  <c r="O872" i="59"/>
  <c r="O385" i="59"/>
  <c r="O406" i="59"/>
  <c r="O482" i="59"/>
  <c r="O577" i="59"/>
  <c r="O651" i="59"/>
  <c r="O721" i="59"/>
  <c r="O429" i="59"/>
  <c r="O474" i="59"/>
  <c r="O95" i="59"/>
  <c r="O472" i="59"/>
  <c r="O69" i="59"/>
  <c r="O292" i="59"/>
  <c r="O620" i="59"/>
  <c r="O775" i="59"/>
  <c r="O225" i="59"/>
  <c r="O491" i="59"/>
  <c r="O966" i="59"/>
  <c r="O283" i="59"/>
  <c r="O350" i="59"/>
  <c r="O797" i="59"/>
  <c r="O556" i="59"/>
  <c r="O490" i="59"/>
  <c r="O657" i="59"/>
  <c r="O848" i="59"/>
  <c r="O73" i="59"/>
  <c r="O264" i="59"/>
  <c r="O82" i="59"/>
  <c r="O246" i="59"/>
  <c r="O411" i="59"/>
  <c r="O891" i="59"/>
  <c r="O992" i="59"/>
  <c r="O53" i="59"/>
  <c r="O149" i="59"/>
  <c r="O271" i="59"/>
  <c r="O836" i="59"/>
  <c r="O830" i="59"/>
  <c r="O133" i="59"/>
  <c r="O217" i="59"/>
  <c r="O313" i="59"/>
  <c r="O460" i="59"/>
  <c r="O648" i="59"/>
  <c r="O680" i="59"/>
  <c r="O713" i="59"/>
  <c r="O740" i="59"/>
  <c r="O947" i="59"/>
  <c r="O157" i="59"/>
  <c r="O216" i="59"/>
  <c r="O886" i="59"/>
  <c r="O971" i="59"/>
  <c r="O529" i="59"/>
  <c r="O580" i="59"/>
  <c r="O663" i="59"/>
  <c r="O869" i="59"/>
  <c r="O965" i="59"/>
  <c r="O449" i="59"/>
  <c r="O547" i="59"/>
  <c r="O626" i="59"/>
  <c r="O697" i="59"/>
  <c r="O758" i="59"/>
  <c r="O820" i="59"/>
  <c r="O878" i="59"/>
  <c r="O955" i="59"/>
  <c r="O386" i="59"/>
  <c r="O412" i="59"/>
  <c r="O510" i="59"/>
  <c r="O591" i="59"/>
  <c r="O644" i="59"/>
  <c r="O720" i="59"/>
  <c r="O563" i="59"/>
  <c r="O914" i="59"/>
  <c r="O479" i="59"/>
  <c r="O87" i="59"/>
  <c r="O395" i="59"/>
  <c r="O308" i="59"/>
  <c r="O643" i="59"/>
  <c r="O808" i="59"/>
  <c r="O245" i="59"/>
  <c r="O630" i="59"/>
  <c r="O968" i="59"/>
  <c r="O288" i="59"/>
  <c r="O362" i="59"/>
  <c r="O813" i="59"/>
  <c r="O601" i="59"/>
  <c r="O530" i="59"/>
  <c r="O664" i="59"/>
  <c r="O871" i="59"/>
  <c r="O84" i="59"/>
  <c r="O289" i="59"/>
  <c r="O96" i="59"/>
  <c r="O282" i="59"/>
  <c r="O417" i="59"/>
  <c r="O895" i="59"/>
  <c r="O995" i="59"/>
  <c r="O66" i="59"/>
  <c r="O142" i="59"/>
  <c r="O286" i="59"/>
  <c r="O834" i="59"/>
  <c r="O152" i="59"/>
  <c r="O243" i="59"/>
  <c r="O321" i="59"/>
  <c r="O614" i="59"/>
  <c r="O649" i="59"/>
  <c r="O684" i="59"/>
  <c r="O715" i="59"/>
  <c r="O743" i="59"/>
  <c r="O948" i="59"/>
  <c r="O55" i="59"/>
  <c r="O162" i="59"/>
  <c r="O215" i="59"/>
  <c r="O889" i="59"/>
  <c r="O458" i="59"/>
  <c r="O522" i="59"/>
  <c r="O683" i="59"/>
  <c r="O796" i="59"/>
  <c r="O879" i="59"/>
  <c r="O37" i="59"/>
  <c r="O454" i="59"/>
  <c r="O555" i="59"/>
  <c r="O632" i="59"/>
  <c r="O823" i="59"/>
  <c r="O884" i="59"/>
  <c r="O980" i="59"/>
  <c r="O348" i="59"/>
  <c r="O387" i="59"/>
  <c r="O414" i="59"/>
  <c r="O489" i="59"/>
  <c r="O670" i="59"/>
  <c r="O732" i="59"/>
  <c r="O442" i="59"/>
  <c r="O118" i="59"/>
  <c r="O605" i="59"/>
  <c r="O916" i="59"/>
  <c r="O565" i="59"/>
  <c r="O98" i="59"/>
  <c r="O372" i="59"/>
  <c r="O668" i="59"/>
  <c r="O818" i="59"/>
  <c r="O266" i="59"/>
  <c r="O367" i="59"/>
  <c r="O976" i="59"/>
  <c r="O297" i="59"/>
  <c r="O817" i="59"/>
  <c r="O91" i="59"/>
  <c r="O523" i="59"/>
  <c r="O692" i="59"/>
  <c r="O89" i="59"/>
  <c r="O299" i="59"/>
  <c r="O13" i="59"/>
  <c r="O114" i="59"/>
  <c r="O296" i="59"/>
  <c r="O419" i="59"/>
  <c r="O996" i="59"/>
  <c r="O70" i="59"/>
  <c r="O180" i="59"/>
  <c r="O294" i="59"/>
  <c r="O860" i="59"/>
  <c r="O838" i="59"/>
  <c r="O164" i="59"/>
  <c r="O252" i="59"/>
  <c r="O329" i="59"/>
  <c r="O615" i="59"/>
  <c r="O658" i="59"/>
  <c r="O685" i="59"/>
  <c r="O716" i="59"/>
  <c r="O748" i="59"/>
  <c r="O949" i="59"/>
  <c r="O51" i="59"/>
  <c r="O161" i="59"/>
  <c r="O238" i="59"/>
  <c r="O932" i="59"/>
  <c r="O461" i="59"/>
  <c r="O543" i="59"/>
  <c r="O595" i="59"/>
  <c r="O689" i="59"/>
  <c r="O799" i="59"/>
  <c r="O885" i="59"/>
  <c r="O26" i="59"/>
  <c r="O503" i="59"/>
  <c r="O557" i="59"/>
  <c r="O638" i="59"/>
  <c r="O703" i="59"/>
  <c r="O778" i="59"/>
  <c r="O893" i="59"/>
  <c r="O34" i="59"/>
  <c r="O352" i="59"/>
  <c r="O388" i="59"/>
  <c r="O459" i="59"/>
  <c r="O542" i="59"/>
  <c r="O592" i="59"/>
  <c r="O678" i="59"/>
  <c r="O731" i="59"/>
  <c r="O794" i="59"/>
  <c r="O517" i="59"/>
  <c r="O593" i="59"/>
  <c r="O712" i="59"/>
  <c r="O849" i="59"/>
  <c r="O125" i="59"/>
  <c r="O707" i="59"/>
  <c r="O316" i="59"/>
  <c r="O394" i="59"/>
  <c r="O228" i="59"/>
  <c r="O338" i="59"/>
  <c r="O723" i="59"/>
  <c r="O950" i="59"/>
  <c r="O616" i="59"/>
  <c r="O722" i="59"/>
  <c r="O25" i="59"/>
  <c r="O527" i="59"/>
  <c r="O747" i="59"/>
  <c r="O816" i="59"/>
  <c r="O870" i="59"/>
  <c r="O925" i="59"/>
  <c r="O32" i="59"/>
  <c r="O498" i="59"/>
  <c r="O660" i="59"/>
  <c r="O725" i="59"/>
  <c r="O776" i="59"/>
  <c r="O859" i="59"/>
  <c r="O312" i="59"/>
  <c r="O448" i="59"/>
  <c r="O532" i="59"/>
  <c r="O607" i="59"/>
  <c r="O711" i="59"/>
  <c r="O773" i="59"/>
  <c r="O858" i="59"/>
  <c r="O30" i="59"/>
  <c r="O121" i="59"/>
  <c r="O170" i="59"/>
  <c r="O250" i="59"/>
  <c r="O426" i="59"/>
  <c r="O486" i="59"/>
  <c r="O597" i="59"/>
  <c r="O688" i="59"/>
  <c r="O788" i="59"/>
  <c r="O890" i="59"/>
  <c r="O576" i="59"/>
  <c r="O598" i="59"/>
  <c r="O718" i="59"/>
  <c r="O195" i="59"/>
  <c r="O735" i="59"/>
  <c r="O325" i="59"/>
  <c r="O867" i="59"/>
  <c r="O232" i="59"/>
  <c r="O346" i="59"/>
  <c r="O726" i="59"/>
  <c r="O952" i="59"/>
  <c r="O17" i="59"/>
  <c r="O618" i="59"/>
  <c r="O733" i="59"/>
  <c r="O554" i="59"/>
  <c r="O754" i="59"/>
  <c r="O819" i="59"/>
  <c r="O963" i="59"/>
  <c r="O488" i="59"/>
  <c r="O588" i="59"/>
  <c r="O671" i="59"/>
  <c r="O728" i="59"/>
  <c r="O874" i="59"/>
  <c r="O320" i="59"/>
  <c r="O452" i="59"/>
  <c r="O525" i="59"/>
  <c r="O625" i="59"/>
  <c r="O708" i="59"/>
  <c r="O865" i="59"/>
  <c r="O138" i="59"/>
  <c r="O189" i="59"/>
  <c r="O270" i="59"/>
  <c r="O410" i="59"/>
  <c r="O501" i="59"/>
  <c r="O600" i="59"/>
  <c r="O709" i="59"/>
  <c r="O826" i="59"/>
  <c r="O917" i="59"/>
  <c r="O39" i="59"/>
  <c r="O197" i="59"/>
  <c r="O111" i="59"/>
  <c r="O978" i="59"/>
  <c r="O903" i="59"/>
  <c r="O987" i="59"/>
  <c r="O304" i="59"/>
  <c r="O628" i="59"/>
  <c r="O749" i="59"/>
  <c r="O94" i="59"/>
  <c r="O705" i="59"/>
  <c r="O493" i="59"/>
  <c r="O786" i="59"/>
  <c r="O381" i="59"/>
  <c r="O612" i="59"/>
  <c r="O757" i="59"/>
  <c r="O822" i="59"/>
  <c r="O877" i="59"/>
  <c r="O33" i="59"/>
  <c r="O540" i="59"/>
  <c r="O604" i="59"/>
  <c r="O674" i="59"/>
  <c r="O739" i="59"/>
  <c r="O784" i="59"/>
  <c r="O922" i="59"/>
  <c r="O328" i="59"/>
  <c r="O455" i="59"/>
  <c r="O544" i="59"/>
  <c r="O627" i="59"/>
  <c r="O714" i="59"/>
  <c r="O809" i="59"/>
  <c r="O866" i="59"/>
  <c r="O131" i="59"/>
  <c r="O201" i="59"/>
  <c r="O293" i="59"/>
  <c r="O413" i="59"/>
  <c r="O538" i="59"/>
  <c r="O602" i="59"/>
  <c r="O706" i="59"/>
  <c r="O843" i="59"/>
  <c r="O972" i="59"/>
  <c r="O27" i="59"/>
  <c r="O237" i="59"/>
  <c r="O196" i="59"/>
  <c r="O979" i="59"/>
  <c r="O433" i="59"/>
  <c r="O910" i="59"/>
  <c r="O988" i="59"/>
  <c r="O309" i="59"/>
  <c r="O633" i="59"/>
  <c r="O756" i="59"/>
  <c r="O146" i="59"/>
  <c r="O702" i="59"/>
  <c r="O483" i="59"/>
  <c r="O795" i="59"/>
  <c r="O382" i="59"/>
  <c r="O623" i="59"/>
  <c r="O777" i="59"/>
  <c r="O837" i="59"/>
  <c r="O892" i="59"/>
  <c r="O24" i="59"/>
  <c r="O533" i="59"/>
  <c r="O609" i="59"/>
  <c r="O687" i="59"/>
  <c r="O745" i="59"/>
  <c r="O812" i="59"/>
  <c r="O953" i="59"/>
  <c r="O260" i="59"/>
  <c r="O336" i="59"/>
  <c r="O507" i="59"/>
  <c r="O566" i="59"/>
  <c r="O637" i="59"/>
  <c r="O724" i="59"/>
  <c r="O882" i="59"/>
  <c r="O136" i="59"/>
  <c r="O207" i="59"/>
  <c r="O303" i="59"/>
  <c r="O457" i="59"/>
  <c r="O531" i="59"/>
  <c r="O622" i="59"/>
  <c r="O737" i="59"/>
  <c r="O854" i="59"/>
  <c r="O983" i="59"/>
  <c r="O188" i="59"/>
  <c r="O21" i="59"/>
  <c r="O298" i="59"/>
  <c r="O151" i="59"/>
  <c r="O113" i="59"/>
  <c r="O997" i="59"/>
  <c r="O175" i="59"/>
  <c r="O661" i="59"/>
  <c r="O171" i="59"/>
  <c r="O466" i="59"/>
  <c r="O824" i="59"/>
  <c r="O567" i="59"/>
  <c r="O840" i="59"/>
  <c r="O389" i="59"/>
  <c r="O636" i="59"/>
  <c r="O803" i="59"/>
  <c r="O897" i="59"/>
  <c r="O464" i="59"/>
  <c r="O526" i="59"/>
  <c r="O608" i="59"/>
  <c r="O696" i="59"/>
  <c r="O750" i="59"/>
  <c r="O814" i="59"/>
  <c r="O262" i="59"/>
  <c r="O396" i="59"/>
  <c r="O497" i="59"/>
  <c r="O585" i="59"/>
  <c r="O652" i="59"/>
  <c r="O738" i="59"/>
  <c r="O827" i="59"/>
  <c r="O921" i="59"/>
  <c r="O52" i="59"/>
  <c r="O153" i="59"/>
  <c r="O210" i="59"/>
  <c r="O318" i="59"/>
  <c r="O462" i="59"/>
  <c r="O524" i="59"/>
  <c r="O624" i="59"/>
  <c r="O857" i="59"/>
  <c r="O41" i="59"/>
  <c r="O10" i="59"/>
  <c r="O927" i="59"/>
  <c r="O378" i="59"/>
  <c r="O368" i="59"/>
  <c r="O780" i="59"/>
  <c r="O570" i="59"/>
  <c r="O143" i="59"/>
  <c r="O310" i="59"/>
  <c r="O81" i="59"/>
  <c r="O265" i="59"/>
  <c r="O693" i="59"/>
  <c r="O251" i="59"/>
  <c r="O933" i="59"/>
  <c r="O548" i="59"/>
  <c r="O645" i="59"/>
  <c r="O901" i="59"/>
  <c r="O468" i="59"/>
  <c r="O701" i="59"/>
  <c r="O42" i="59"/>
  <c r="O508" i="59"/>
  <c r="O587" i="59"/>
  <c r="O654" i="59"/>
  <c r="O717" i="59"/>
  <c r="O774" i="59"/>
  <c r="O835" i="59"/>
  <c r="O31" i="59"/>
  <c r="O305" i="59"/>
  <c r="O431" i="59"/>
  <c r="O539" i="59"/>
  <c r="O603" i="59"/>
  <c r="O691" i="59"/>
  <c r="O772" i="59"/>
  <c r="O38" i="59"/>
  <c r="O92" i="59"/>
  <c r="O168" i="59"/>
  <c r="O239" i="59"/>
  <c r="O399" i="59"/>
  <c r="O496" i="59"/>
  <c r="O571" i="59"/>
  <c r="O665" i="59"/>
  <c r="O782" i="59"/>
  <c r="O881" i="59"/>
  <c r="O918" i="59"/>
  <c r="O528" i="59"/>
  <c r="O241" i="59"/>
  <c r="O888" i="59"/>
  <c r="O681" i="59"/>
  <c r="O295" i="59"/>
  <c r="O669" i="59"/>
  <c r="O93" i="59"/>
  <c r="O506" i="59"/>
  <c r="O864" i="59"/>
  <c r="O106" i="59"/>
  <c r="O178" i="59"/>
  <c r="O579" i="59"/>
  <c r="O810" i="59"/>
  <c r="O467" i="59"/>
  <c r="O761" i="59"/>
  <c r="O415" i="59"/>
  <c r="O744" i="59"/>
  <c r="O156" i="59"/>
  <c r="O536" i="59"/>
  <c r="O29" i="59"/>
  <c r="O377" i="59"/>
  <c r="O97" i="59"/>
  <c r="O263" i="59"/>
  <c r="O653" i="59"/>
  <c r="O811" i="59"/>
  <c r="O480" i="59"/>
  <c r="O418" i="59"/>
  <c r="O767" i="59"/>
  <c r="O160" i="59"/>
  <c r="O552" i="59"/>
  <c r="O439" i="59"/>
  <c r="O193" i="59"/>
  <c r="O666" i="59"/>
  <c r="O846" i="59"/>
  <c r="O839" i="59"/>
  <c r="O828" i="59"/>
  <c r="O487" i="59"/>
  <c r="O831" i="59"/>
  <c r="O214" i="59"/>
  <c r="O635" i="59"/>
  <c r="O331" i="59"/>
  <c r="O306" i="59"/>
  <c r="O686" i="59"/>
  <c r="O940" i="59"/>
  <c r="O900" i="59"/>
  <c r="O850" i="59"/>
  <c r="O569" i="59"/>
  <c r="O832" i="59"/>
  <c r="O512" i="59"/>
  <c r="O844" i="59"/>
  <c r="O226" i="59"/>
  <c r="O650" i="59"/>
  <c r="O319" i="59"/>
  <c r="O998" i="59"/>
  <c r="O504" i="59"/>
  <c r="O390" i="59"/>
  <c r="O898" i="59"/>
  <c r="O617" i="59"/>
  <c r="O974" i="59"/>
  <c r="O967" i="59"/>
  <c r="O327" i="59"/>
  <c r="O766" i="59"/>
  <c r="O317" i="59"/>
  <c r="O174" i="59"/>
  <c r="O841" i="59"/>
  <c r="O677" i="59"/>
  <c r="O710" i="59"/>
  <c r="O275" i="59"/>
  <c r="O659" i="59"/>
  <c r="O48" i="59"/>
  <c r="O465" i="59"/>
  <c r="O863" i="59"/>
  <c r="O763" i="59"/>
  <c r="O586" i="59"/>
  <c r="O78" i="59"/>
  <c r="O335" i="59"/>
  <c r="O549" i="59"/>
  <c r="O771" i="59"/>
  <c r="O463" i="59"/>
  <c r="O899" i="59"/>
  <c r="O629" i="59"/>
  <c r="O20" i="59"/>
  <c r="O40" i="59"/>
  <c r="O15" i="59"/>
  <c r="O8" i="59"/>
  <c r="N59" i="30"/>
  <c r="AZ59" i="30" s="1"/>
  <c r="N52" i="27"/>
  <c r="G934" i="59"/>
  <c r="G911" i="59"/>
  <c r="G855" i="59"/>
  <c r="G894" i="59"/>
  <c r="G825" i="59"/>
  <c r="G804" i="59"/>
  <c r="G838" i="59"/>
  <c r="G768" i="59"/>
  <c r="G700" i="59"/>
  <c r="G684" i="59"/>
  <c r="G339" i="59"/>
  <c r="G272" i="59"/>
  <c r="G222" i="59"/>
  <c r="G196" i="59"/>
  <c r="G45" i="59"/>
  <c r="G258" i="59"/>
  <c r="G394" i="59"/>
  <c r="G479" i="59"/>
  <c r="G918" i="59"/>
  <c r="G76" i="59"/>
  <c r="G593" i="59"/>
  <c r="G576" i="59"/>
  <c r="G769" i="59"/>
  <c r="G101" i="59"/>
  <c r="G513" i="59"/>
  <c r="G565" i="59"/>
  <c r="G924" i="59"/>
  <c r="G35" i="59"/>
  <c r="G257" i="59"/>
  <c r="G519" i="59"/>
  <c r="G583" i="59"/>
  <c r="G18" i="59"/>
  <c r="G699" i="59"/>
  <c r="G914" i="59"/>
  <c r="G806" i="59"/>
  <c r="G817" i="59"/>
  <c r="G821" i="59"/>
  <c r="G734" i="59"/>
  <c r="G686" i="59"/>
  <c r="G634" i="59"/>
  <c r="G438" i="59"/>
  <c r="G400" i="59"/>
  <c r="G204" i="59"/>
  <c r="G297" i="59"/>
  <c r="G366" i="59"/>
  <c r="G560" i="59"/>
  <c r="G942" i="59"/>
  <c r="G208" i="59"/>
  <c r="G359" i="59"/>
  <c r="G470" i="59"/>
  <c r="G248" i="59"/>
  <c r="G939" i="59"/>
  <c r="G989" i="59"/>
  <c r="G658" i="59"/>
  <c r="G912" i="59"/>
  <c r="G69" i="59"/>
  <c r="G197" i="59"/>
  <c r="G283" i="59"/>
  <c r="G986" i="59"/>
  <c r="G994" i="59"/>
  <c r="G958" i="59"/>
  <c r="G935" i="59"/>
  <c r="G948" i="59"/>
  <c r="G940" i="59"/>
  <c r="G834" i="59"/>
  <c r="G876" i="59"/>
  <c r="G790" i="59"/>
  <c r="G787" i="59"/>
  <c r="G667" i="59"/>
  <c r="G476" i="59"/>
  <c r="G430" i="59"/>
  <c r="G324" i="59"/>
  <c r="G330" i="59"/>
  <c r="G212" i="59"/>
  <c r="G273" i="59"/>
  <c r="G433" i="59"/>
  <c r="G943" i="59"/>
  <c r="G88" i="59"/>
  <c r="G236" i="59"/>
  <c r="G572" i="59"/>
  <c r="G517" i="59"/>
  <c r="G442" i="59"/>
  <c r="G364" i="59"/>
  <c r="G862" i="59"/>
  <c r="G933" i="59"/>
  <c r="G960" i="59"/>
  <c r="G993" i="59"/>
  <c r="G633" i="59"/>
  <c r="G896" i="59"/>
  <c r="G883" i="59"/>
  <c r="G221" i="59"/>
  <c r="G280" i="59"/>
  <c r="G471" i="59"/>
  <c r="G932" i="59"/>
  <c r="G987" i="59"/>
  <c r="G598" i="59"/>
  <c r="G990" i="59"/>
  <c r="G968" i="59"/>
  <c r="G950" i="59"/>
  <c r="G946" i="59"/>
  <c r="G868" i="59"/>
  <c r="G726" i="59"/>
  <c r="G673" i="59"/>
  <c r="G401" i="59"/>
  <c r="G356" i="59"/>
  <c r="G469" i="59"/>
  <c r="G237" i="59"/>
  <c r="G190" i="59"/>
  <c r="G365" i="59"/>
  <c r="G404" i="59"/>
  <c r="G556" i="59"/>
  <c r="G713" i="59"/>
  <c r="G125" i="59"/>
  <c r="G314" i="59"/>
  <c r="G441" i="59"/>
  <c r="G520" i="59"/>
  <c r="G694" i="59"/>
  <c r="G169" i="59"/>
  <c r="G345" i="59"/>
  <c r="G354" i="59"/>
  <c r="G363" i="59"/>
  <c r="G118" i="59"/>
  <c r="G605" i="59"/>
  <c r="G908" i="59"/>
  <c r="G903" i="59"/>
  <c r="G984" i="59"/>
  <c r="G975" i="59"/>
  <c r="G964" i="59"/>
  <c r="G930" i="59"/>
  <c r="G904" i="59"/>
  <c r="G910" i="59"/>
  <c r="G723" i="59"/>
  <c r="G736" i="59"/>
  <c r="G661" i="59"/>
  <c r="G472" i="59"/>
  <c r="G434" i="59"/>
  <c r="G307" i="59"/>
  <c r="G288" i="59"/>
  <c r="G254" i="59"/>
  <c r="G229" i="59"/>
  <c r="G298" i="59"/>
  <c r="G437" i="59"/>
  <c r="G440" i="59"/>
  <c r="G927" i="59"/>
  <c r="G187" i="59"/>
  <c r="G439" i="59"/>
  <c r="G9" i="59"/>
  <c r="G79" i="59"/>
  <c r="G111" i="59"/>
  <c r="G358" i="59"/>
  <c r="G68" i="59"/>
  <c r="G360" i="59"/>
  <c r="G367" i="59"/>
  <c r="G516" i="59"/>
  <c r="G998" i="59"/>
  <c r="G995" i="59"/>
  <c r="G973" i="59"/>
  <c r="G976" i="59"/>
  <c r="G936" i="59"/>
  <c r="G929" i="59"/>
  <c r="G923" i="59"/>
  <c r="G749" i="59"/>
  <c r="G716" i="59"/>
  <c r="G474" i="59"/>
  <c r="G402" i="59"/>
  <c r="G311" i="59"/>
  <c r="G233" i="59"/>
  <c r="G158" i="59"/>
  <c r="G642" i="59"/>
  <c r="G873" i="59"/>
  <c r="G895" i="59"/>
  <c r="G44" i="59"/>
  <c r="G129" i="59"/>
  <c r="G80" i="59"/>
  <c r="G443" i="59"/>
  <c r="G14" i="59"/>
  <c r="G477" i="59"/>
  <c r="G103" i="59"/>
  <c r="G43" i="59"/>
  <c r="G789" i="59"/>
  <c r="G64" i="59"/>
  <c r="G195" i="59"/>
  <c r="G361" i="59"/>
  <c r="G606" i="59"/>
  <c r="G693" i="59"/>
  <c r="G926" i="59"/>
  <c r="G979" i="59"/>
  <c r="G23" i="59"/>
  <c r="G181" i="59"/>
  <c r="G98" i="59"/>
  <c r="G124" i="59"/>
  <c r="G362" i="59"/>
  <c r="G981" i="59"/>
  <c r="G947" i="59"/>
  <c r="G944" i="59"/>
  <c r="G920" i="59"/>
  <c r="G867" i="59"/>
  <c r="G856" i="59"/>
  <c r="G830" i="59"/>
  <c r="G801" i="59"/>
  <c r="G793" i="59"/>
  <c r="G783" i="59"/>
  <c r="G760" i="59"/>
  <c r="G649" i="59"/>
  <c r="G350" i="59"/>
  <c r="G10" i="59"/>
  <c r="G123" i="59"/>
  <c r="G518" i="59"/>
  <c r="G785" i="59"/>
  <c r="G985" i="59"/>
  <c r="G213" i="59"/>
  <c r="G395" i="59"/>
  <c r="G792" i="59"/>
  <c r="G849" i="59"/>
  <c r="G126" i="59"/>
  <c r="G514" i="59"/>
  <c r="G945" i="59"/>
  <c r="G584" i="59"/>
  <c r="G435" i="59"/>
  <c r="G813" i="59"/>
  <c r="G978" i="59"/>
  <c r="G563" i="59"/>
  <c r="G977" i="59"/>
  <c r="G970" i="59"/>
  <c r="G954" i="59"/>
  <c r="G941" i="59"/>
  <c r="G915" i="59"/>
  <c r="G928" i="59"/>
  <c r="G845" i="59"/>
  <c r="G805" i="59"/>
  <c r="G473" i="59"/>
  <c r="G287" i="59"/>
  <c r="G220" i="59"/>
  <c r="G173" i="59"/>
  <c r="G756" i="59"/>
  <c r="G996" i="59"/>
  <c r="G337" i="59"/>
  <c r="G36" i="59"/>
  <c r="G909" i="59"/>
  <c r="G110" i="59"/>
  <c r="G87" i="59"/>
  <c r="G444" i="59"/>
  <c r="G715" i="59"/>
  <c r="G127" i="59"/>
  <c r="G743" i="59"/>
  <c r="G628" i="59"/>
  <c r="G956" i="59"/>
  <c r="G154" i="59"/>
  <c r="G128" i="59"/>
  <c r="G937" i="59"/>
  <c r="G122" i="59"/>
  <c r="G343" i="59"/>
  <c r="G403" i="59"/>
  <c r="G982" i="59"/>
  <c r="G740" i="59"/>
  <c r="G436" i="59"/>
  <c r="G613" i="59"/>
  <c r="G166" i="59"/>
  <c r="G177" i="59"/>
  <c r="G475" i="59"/>
  <c r="G887" i="59"/>
  <c r="G916" i="59"/>
  <c r="G666" i="59"/>
  <c r="G639" i="59"/>
  <c r="G355" i="59"/>
  <c r="G545" i="59"/>
  <c r="G614" i="59"/>
  <c r="G959" i="59"/>
  <c r="G564" i="59"/>
  <c r="G988" i="59"/>
  <c r="G615" i="59"/>
  <c r="G515" i="59"/>
  <c r="G763" i="59"/>
  <c r="G931" i="59"/>
  <c r="G952" i="59"/>
  <c r="G333" i="59"/>
  <c r="G648" i="59"/>
  <c r="G949" i="59"/>
  <c r="G575" i="59"/>
  <c r="G546" i="59"/>
  <c r="G780" i="59"/>
  <c r="G966" i="59"/>
  <c r="G797" i="59"/>
  <c r="G969" i="59"/>
  <c r="G961" i="59"/>
  <c r="G727" i="59"/>
  <c r="G891" i="59"/>
  <c r="G357" i="59"/>
  <c r="G319" i="59"/>
  <c r="G861" i="59"/>
  <c r="G672" i="59"/>
  <c r="G770" i="59"/>
  <c r="G957" i="59"/>
  <c r="G748" i="59"/>
  <c r="G913" i="59"/>
  <c r="G28" i="59"/>
  <c r="G102" i="59"/>
  <c r="G159" i="59"/>
  <c r="G553" i="59"/>
  <c r="G478" i="59"/>
  <c r="G601" i="59"/>
  <c r="G680" i="59"/>
  <c r="G938" i="59"/>
  <c r="G95" i="59"/>
  <c r="G259" i="59"/>
  <c r="G685" i="59"/>
  <c r="G991" i="59"/>
  <c r="G992" i="59"/>
  <c r="G997" i="59"/>
  <c r="Q59" i="30"/>
  <c r="AD59" i="30"/>
  <c r="AJ59" i="30"/>
  <c r="AC59" i="30"/>
  <c r="AF59" i="30"/>
  <c r="AY59" i="30"/>
  <c r="AH59" i="30"/>
  <c r="AA59" i="30"/>
  <c r="AB59" i="30"/>
  <c r="AI59" i="30"/>
  <c r="AG59" i="30"/>
  <c r="G59" i="30" s="1"/>
  <c r="Q51" i="30"/>
  <c r="N51" i="30"/>
  <c r="AZ51" i="30" s="1"/>
  <c r="N10" i="30"/>
  <c r="AZ10" i="30" s="1"/>
  <c r="N21" i="30"/>
  <c r="AZ21" i="30" s="1"/>
  <c r="N22" i="30"/>
  <c r="AZ22" i="30" s="1"/>
  <c r="N32" i="30"/>
  <c r="AZ32" i="30" s="1"/>
  <c r="N8" i="30"/>
  <c r="AZ8" i="30" s="1"/>
  <c r="AD51" i="30"/>
  <c r="AI51" i="30"/>
  <c r="AH51" i="30"/>
  <c r="AY51" i="30"/>
  <c r="AF51" i="30"/>
  <c r="AA51" i="30"/>
  <c r="AB51" i="30"/>
  <c r="AG51" i="30"/>
  <c r="G51" i="30" s="1"/>
  <c r="AJ51" i="30"/>
  <c r="AC51" i="30"/>
  <c r="N40" i="30"/>
  <c r="AZ40" i="30" s="1"/>
  <c r="N20" i="30"/>
  <c r="AZ20" i="30" s="1"/>
  <c r="N18" i="30"/>
  <c r="AZ18" i="30" s="1"/>
  <c r="N52" i="30"/>
  <c r="AZ52" i="30" s="1"/>
  <c r="N14" i="30"/>
  <c r="AZ14" i="30" s="1"/>
  <c r="N56" i="30"/>
  <c r="AZ56" i="30" s="1"/>
  <c r="N57" i="30"/>
  <c r="AZ57" i="30" s="1"/>
  <c r="N38" i="30"/>
  <c r="AZ38" i="30" s="1"/>
  <c r="N54" i="30"/>
  <c r="AZ54" i="30" s="1"/>
  <c r="N50" i="30"/>
  <c r="AZ50" i="30" s="1"/>
  <c r="N61" i="30"/>
  <c r="AZ61" i="30" s="1"/>
  <c r="N47" i="30"/>
  <c r="AZ47" i="30" s="1"/>
  <c r="N70" i="30"/>
  <c r="AZ70" i="30" s="1"/>
  <c r="N63" i="30"/>
  <c r="AZ63" i="30" s="1"/>
  <c r="N55" i="30"/>
  <c r="AZ55" i="30" s="1"/>
  <c r="N64" i="30"/>
  <c r="AZ64" i="30" s="1"/>
  <c r="N42" i="30"/>
  <c r="AZ42" i="30" s="1"/>
  <c r="N66" i="30"/>
  <c r="N46" i="30"/>
  <c r="AZ46" i="30" s="1"/>
  <c r="N45" i="30"/>
  <c r="AZ45" i="30" s="1"/>
  <c r="N58" i="30"/>
  <c r="AZ58" i="30" s="1"/>
  <c r="N68" i="30"/>
  <c r="AZ68" i="30" s="1"/>
  <c r="N67" i="30"/>
  <c r="AZ67" i="30" s="1"/>
  <c r="N62" i="30"/>
  <c r="AZ62" i="30" s="1"/>
  <c r="N33" i="30"/>
  <c r="AZ33" i="30" s="1"/>
  <c r="N65" i="30"/>
  <c r="AZ65" i="30" s="1"/>
  <c r="N53" i="30"/>
  <c r="AZ53" i="30" s="1"/>
  <c r="N39" i="30"/>
  <c r="AZ39" i="30" s="1"/>
  <c r="N60" i="30"/>
  <c r="AZ60" i="30" s="1"/>
  <c r="N41" i="30"/>
  <c r="AZ41" i="30" s="1"/>
  <c r="N49" i="30"/>
  <c r="AZ49" i="30" s="1"/>
  <c r="N48" i="30"/>
  <c r="AZ48" i="30" s="1"/>
  <c r="N44" i="30"/>
  <c r="AZ44" i="30" s="1"/>
  <c r="N43" i="30"/>
  <c r="AZ43" i="30" s="1"/>
  <c r="N69" i="30"/>
  <c r="AZ69" i="30" s="1"/>
  <c r="N24" i="30"/>
  <c r="AZ24" i="30" s="1"/>
  <c r="N35" i="30"/>
  <c r="AZ35" i="30" s="1"/>
  <c r="N37" i="30"/>
  <c r="AZ37" i="30" s="1"/>
  <c r="N9" i="30"/>
  <c r="AZ9" i="30" s="1"/>
  <c r="N17" i="30"/>
  <c r="AZ17" i="30" s="1"/>
  <c r="N27" i="30"/>
  <c r="AZ27" i="30" s="1"/>
  <c r="N11" i="30"/>
  <c r="AZ11" i="30" s="1"/>
  <c r="N25" i="30"/>
  <c r="AZ25" i="30" s="1"/>
  <c r="N23" i="30"/>
  <c r="AZ23" i="30" s="1"/>
  <c r="N15" i="30"/>
  <c r="AZ15" i="30" s="1"/>
  <c r="N31" i="30"/>
  <c r="AZ31" i="30" s="1"/>
  <c r="N13" i="30"/>
  <c r="AZ13" i="30" s="1"/>
  <c r="N34" i="30"/>
  <c r="AZ34" i="30" s="1"/>
  <c r="N16" i="30"/>
  <c r="AZ16" i="30" s="1"/>
  <c r="N7" i="30"/>
  <c r="AZ7" i="30" s="1"/>
  <c r="N19" i="30"/>
  <c r="AZ19" i="30" s="1"/>
  <c r="N5" i="30"/>
  <c r="AZ5" i="30" s="1"/>
  <c r="N12" i="30"/>
  <c r="AZ12" i="30" s="1"/>
  <c r="N30" i="30"/>
  <c r="AZ30" i="30" s="1"/>
  <c r="Q20" i="30"/>
  <c r="Q9" i="30"/>
  <c r="Q24" i="30"/>
  <c r="Q35" i="30"/>
  <c r="Q37" i="30"/>
  <c r="Q31" i="30"/>
  <c r="Q18" i="30"/>
  <c r="Q23" i="30"/>
  <c r="Q15" i="30"/>
  <c r="Q36" i="30"/>
  <c r="Q8" i="30"/>
  <c r="Q52" i="30"/>
  <c r="Q14" i="30"/>
  <c r="Q56" i="30"/>
  <c r="Q57" i="30"/>
  <c r="Q38" i="30"/>
  <c r="Q68" i="30"/>
  <c r="Q41" i="30"/>
  <c r="Q53" i="30"/>
  <c r="Q48" i="30"/>
  <c r="Q54" i="30"/>
  <c r="Q60" i="30"/>
  <c r="Q42" i="30"/>
  <c r="Q46" i="30"/>
  <c r="Q50" i="30"/>
  <c r="Q66" i="30"/>
  <c r="Q33" i="30"/>
  <c r="Q45" i="30"/>
  <c r="Q55" i="30"/>
  <c r="Q39" i="30"/>
  <c r="Q63" i="30"/>
  <c r="Q44" i="30"/>
  <c r="Q49" i="30"/>
  <c r="Q65" i="30"/>
  <c r="Q64" i="30"/>
  <c r="Q70" i="30"/>
  <c r="Q61" i="30"/>
  <c r="Q62" i="30"/>
  <c r="Q69" i="30"/>
  <c r="Q67" i="30"/>
  <c r="Q43" i="30"/>
  <c r="Q47" i="30"/>
  <c r="Q58" i="30"/>
  <c r="Q28" i="30"/>
  <c r="Q17" i="30"/>
  <c r="Q11" i="30"/>
  <c r="Q32" i="30"/>
  <c r="Q10" i="30"/>
  <c r="Q22" i="30"/>
  <c r="Q7" i="30"/>
  <c r="Q13" i="30"/>
  <c r="Q27" i="30"/>
  <c r="Q19" i="30"/>
  <c r="Q12" i="30"/>
  <c r="Q26" i="30"/>
  <c r="Q34" i="30"/>
  <c r="Q16" i="30"/>
  <c r="Q21" i="30"/>
  <c r="Q5" i="30"/>
  <c r="Q25" i="30"/>
  <c r="Q40" i="30"/>
  <c r="Q29" i="30"/>
  <c r="Q30" i="30"/>
  <c r="AG52" i="30"/>
  <c r="G52" i="30" s="1"/>
  <c r="AC52" i="30"/>
  <c r="AF52" i="30"/>
  <c r="AY52" i="30"/>
  <c r="AA52" i="30"/>
  <c r="AB52" i="30"/>
  <c r="AJ52" i="30"/>
  <c r="AH52" i="30"/>
  <c r="AI52" i="30"/>
  <c r="AD52" i="30"/>
  <c r="N61" i="27"/>
  <c r="AG14" i="30"/>
  <c r="G14" i="30" s="1"/>
  <c r="AF14" i="30"/>
  <c r="AD14" i="30"/>
  <c r="AC14" i="30"/>
  <c r="AH14" i="30"/>
  <c r="AB14" i="30"/>
  <c r="AI14" i="30"/>
  <c r="AA14" i="30"/>
  <c r="AJ14" i="30"/>
  <c r="AY14" i="30"/>
  <c r="N66" i="27"/>
  <c r="N64" i="27"/>
  <c r="J4" i="27"/>
  <c r="J32" i="27"/>
  <c r="N43" i="27"/>
  <c r="N58" i="27"/>
  <c r="N108" i="27"/>
  <c r="J34" i="27"/>
  <c r="AD38" i="30"/>
  <c r="AF38" i="30"/>
  <c r="AG38" i="30"/>
  <c r="G38" i="30" s="1"/>
  <c r="AH38" i="30"/>
  <c r="AY38" i="30"/>
  <c r="AB38" i="30"/>
  <c r="AJ38" i="30"/>
  <c r="AC38" i="30"/>
  <c r="AA38" i="30"/>
  <c r="AI38" i="30"/>
  <c r="N95" i="27"/>
  <c r="N75" i="27"/>
  <c r="N74" i="27"/>
  <c r="N73" i="27"/>
  <c r="C40" i="54"/>
  <c r="D23" i="27"/>
  <c r="N37" i="53"/>
  <c r="AY37" i="53" s="1"/>
  <c r="C6" i="49"/>
  <c r="N31" i="53"/>
  <c r="AY31" i="53" s="1"/>
  <c r="AZ57" i="58"/>
  <c r="AZ25" i="58"/>
  <c r="AZ26" i="58"/>
  <c r="AZ19" i="58"/>
  <c r="Q66" i="58"/>
  <c r="Q21" i="58"/>
  <c r="Q28" i="58"/>
  <c r="Q39" i="58"/>
  <c r="Q64" i="58"/>
  <c r="Q13" i="58"/>
  <c r="Q35" i="58"/>
  <c r="Q22" i="58"/>
  <c r="Q19" i="58"/>
  <c r="Q56" i="58"/>
  <c r="Q29" i="58"/>
  <c r="Q43" i="58"/>
  <c r="Q33" i="58"/>
  <c r="Q16" i="58"/>
  <c r="Q20" i="58"/>
  <c r="Q45" i="58"/>
  <c r="Q48" i="58"/>
  <c r="Q49" i="58"/>
  <c r="Q25" i="58"/>
  <c r="Q17" i="58"/>
  <c r="Q7" i="58"/>
  <c r="Q69" i="58"/>
  <c r="Q38" i="58"/>
  <c r="Q61" i="58"/>
  <c r="Q18" i="58"/>
  <c r="Q27" i="58"/>
  <c r="Q41" i="58"/>
  <c r="Q24" i="58"/>
  <c r="Q53" i="58"/>
  <c r="Q23" i="58"/>
  <c r="Q65" i="58"/>
  <c r="Q42" i="58"/>
  <c r="Q57" i="58"/>
  <c r="Q58" i="58"/>
  <c r="Q15" i="58"/>
  <c r="Q50" i="58"/>
  <c r="Q63" i="58"/>
  <c r="Q46" i="58"/>
  <c r="Q37" i="58"/>
  <c r="Q9" i="58"/>
  <c r="Q6" i="58"/>
  <c r="Q36" i="58"/>
  <c r="Q68" i="58"/>
  <c r="Q34" i="58"/>
  <c r="Q40" i="58"/>
  <c r="Q47" i="58"/>
  <c r="Q55" i="58"/>
  <c r="Q32" i="58"/>
  <c r="Q5" i="58"/>
  <c r="Q51" i="58"/>
  <c r="Q10" i="58"/>
  <c r="Q54" i="58"/>
  <c r="Q26" i="58"/>
  <c r="Q62" i="58"/>
  <c r="Q12" i="58"/>
  <c r="Q31" i="58"/>
  <c r="Q30" i="58"/>
  <c r="Q52" i="58"/>
  <c r="Q44" i="58"/>
  <c r="Q11" i="58"/>
  <c r="Q60" i="58"/>
  <c r="Q67" i="58"/>
  <c r="Q70" i="58"/>
  <c r="Q59" i="58"/>
  <c r="Q8" i="58"/>
  <c r="AD6" i="58"/>
  <c r="AY6" i="58"/>
  <c r="AD59" i="58"/>
  <c r="AY59" i="58"/>
  <c r="AF60" i="58"/>
  <c r="AJ5" i="58"/>
  <c r="AA5" i="58"/>
  <c r="AB23" i="58"/>
  <c r="AB5" i="58"/>
  <c r="AD23" i="58"/>
  <c r="AY23" i="58"/>
  <c r="AG22" i="58"/>
  <c r="AC5" i="58"/>
  <c r="AH22" i="58"/>
  <c r="AY22" i="58"/>
  <c r="AD5" i="58"/>
  <c r="AY5" i="58"/>
  <c r="AF23" i="58"/>
  <c r="AF5" i="58"/>
  <c r="AG23" i="58"/>
  <c r="AH5" i="58"/>
  <c r="AH23" i="58"/>
  <c r="AD10" i="58"/>
  <c r="AY10" i="58"/>
  <c r="AC22" i="58"/>
  <c r="AA37" i="58"/>
  <c r="AY37" i="58"/>
  <c r="AI8" i="58"/>
  <c r="AD22" i="58"/>
  <c r="AH18" i="58"/>
  <c r="AY18" i="58"/>
  <c r="AF19" i="58"/>
  <c r="AB27" i="58"/>
  <c r="AJ27" i="58"/>
  <c r="AH29" i="58"/>
  <c r="AY29" i="58"/>
  <c r="AB37" i="58"/>
  <c r="AF10" i="58"/>
  <c r="AF63" i="58"/>
  <c r="AA18" i="58"/>
  <c r="AI18" i="58"/>
  <c r="AG19" i="58"/>
  <c r="G19" i="58" s="1"/>
  <c r="AC27" i="58"/>
  <c r="AA29" i="58"/>
  <c r="AI29" i="58"/>
  <c r="AC37" i="58"/>
  <c r="AG10" i="58"/>
  <c r="AF22" i="58"/>
  <c r="AH19" i="58"/>
  <c r="AY19" i="58"/>
  <c r="AB59" i="58"/>
  <c r="AG37" i="58"/>
  <c r="AH10" i="58"/>
  <c r="AI5" i="58"/>
  <c r="AA61" i="58"/>
  <c r="AJ37" i="58"/>
  <c r="AG8" i="58"/>
  <c r="AC10" i="58"/>
  <c r="AB22" i="58"/>
  <c r="AB63" i="58"/>
  <c r="AF18" i="58"/>
  <c r="AD19" i="58"/>
  <c r="AH27" i="58"/>
  <c r="AY27" i="58"/>
  <c r="AF29" i="58"/>
  <c r="AI63" i="58"/>
  <c r="AD18" i="58"/>
  <c r="AH53" i="58"/>
  <c r="AY53" i="58"/>
  <c r="AA22" i="58"/>
  <c r="AJ63" i="58"/>
  <c r="AI19" i="58"/>
  <c r="AY36" i="58"/>
  <c r="AA53" i="58"/>
  <c r="AI53" i="58"/>
  <c r="AH37" i="58"/>
  <c r="AI22" i="58"/>
  <c r="AG18" i="58"/>
  <c r="AJ19" i="58"/>
  <c r="AC29" i="58"/>
  <c r="AH62" i="58"/>
  <c r="AY62" i="58"/>
  <c r="AH55" i="58"/>
  <c r="AY55" i="58"/>
  <c r="AB53" i="58"/>
  <c r="AJ53" i="58"/>
  <c r="AH56" i="58"/>
  <c r="AY56" i="58"/>
  <c r="AI37" i="58"/>
  <c r="AF8" i="58"/>
  <c r="AJ22" i="58"/>
  <c r="AA27" i="58"/>
  <c r="AD29" i="58"/>
  <c r="AA36" i="58"/>
  <c r="AD53" i="58"/>
  <c r="AG27" i="58"/>
  <c r="AC18" i="58"/>
  <c r="AA19" i="58"/>
  <c r="AI27" i="58"/>
  <c r="AD55" i="58"/>
  <c r="AF53" i="58"/>
  <c r="AJ23" i="58"/>
  <c r="AB19" i="58"/>
  <c r="AG53" i="58"/>
  <c r="AC19" i="58"/>
  <c r="AC36" i="58"/>
  <c r="AC6" i="58"/>
  <c r="AA63" i="58"/>
  <c r="AH36" i="58"/>
  <c r="AG29" i="58"/>
  <c r="AD62" i="58"/>
  <c r="AG52" i="58"/>
  <c r="AC56" i="58"/>
  <c r="AH52" i="58"/>
  <c r="AF57" i="58"/>
  <c r="AF49" i="58"/>
  <c r="AH46" i="58"/>
  <c r="AY46" i="58"/>
  <c r="AH67" i="58"/>
  <c r="AY67" i="58"/>
  <c r="AC62" i="58"/>
  <c r="AI52" i="58"/>
  <c r="AG57" i="58"/>
  <c r="AG49" i="58"/>
  <c r="AA46" i="58"/>
  <c r="AI46" i="58"/>
  <c r="AA67" i="58"/>
  <c r="AI67" i="58"/>
  <c r="AC63" i="58"/>
  <c r="AG36" i="58"/>
  <c r="AC55" i="58"/>
  <c r="AC53" i="58"/>
  <c r="AH57" i="58"/>
  <c r="AH49" i="58"/>
  <c r="AY49" i="58"/>
  <c r="AB46" i="58"/>
  <c r="AJ46" i="58"/>
  <c r="AH9" i="58"/>
  <c r="AY9" i="58"/>
  <c r="AB67" i="58"/>
  <c r="AJ67" i="58"/>
  <c r="AH63" i="58"/>
  <c r="AA49" i="58"/>
  <c r="AI49" i="58"/>
  <c r="AC46" i="58"/>
  <c r="AA9" i="58"/>
  <c r="AI9" i="58"/>
  <c r="AC67" i="58"/>
  <c r="AF27" i="58"/>
  <c r="AA52" i="58"/>
  <c r="AD57" i="58"/>
  <c r="AG46" i="58"/>
  <c r="AH47" i="58"/>
  <c r="AB9" i="58"/>
  <c r="AI47" i="58"/>
  <c r="AB49" i="58"/>
  <c r="AC9" i="58"/>
  <c r="AY47" i="58"/>
  <c r="AA56" i="58"/>
  <c r="AC49" i="58"/>
  <c r="AD9" i="58"/>
  <c r="AD56" i="58"/>
  <c r="AI16" i="58"/>
  <c r="AD49" i="58"/>
  <c r="AD67" i="58"/>
  <c r="AJ16" i="58"/>
  <c r="AG47" i="58"/>
  <c r="AA30" i="58"/>
  <c r="AI30" i="58"/>
  <c r="AY52" i="58"/>
  <c r="AB30" i="58"/>
  <c r="AJ30" i="58"/>
  <c r="AC30" i="58"/>
  <c r="AI56" i="58"/>
  <c r="AY57" i="58"/>
  <c r="AD46" i="58"/>
  <c r="AF67" i="58"/>
  <c r="AD30" i="58"/>
  <c r="AJ49" i="58"/>
  <c r="AF46" i="58"/>
  <c r="AF30" i="58"/>
  <c r="AC57" i="58"/>
  <c r="AY16" i="58"/>
  <c r="AA47" i="58"/>
  <c r="AG30" i="58"/>
  <c r="AG67" i="58"/>
  <c r="AY30" i="58"/>
  <c r="AG20" i="58"/>
  <c r="AG7" i="58"/>
  <c r="AG66" i="58"/>
  <c r="AH20" i="58"/>
  <c r="AY20" i="58"/>
  <c r="AH7" i="58"/>
  <c r="AY7" i="58"/>
  <c r="AH66" i="58"/>
  <c r="AY66" i="58"/>
  <c r="AH30" i="58"/>
  <c r="AJ9" i="58"/>
  <c r="AB20" i="58"/>
  <c r="AJ20" i="58"/>
  <c r="AB7" i="58"/>
  <c r="AJ7" i="58"/>
  <c r="AB66" i="58"/>
  <c r="AJ66" i="58"/>
  <c r="AH50" i="58"/>
  <c r="AY50" i="58"/>
  <c r="AF47" i="58"/>
  <c r="AC20" i="58"/>
  <c r="AC7" i="58"/>
  <c r="AC66" i="58"/>
  <c r="AD20" i="58"/>
  <c r="AD7" i="58"/>
  <c r="AD66" i="58"/>
  <c r="AB50" i="58"/>
  <c r="AJ50" i="58"/>
  <c r="AH51" i="58"/>
  <c r="AY51" i="58"/>
  <c r="AF20" i="58"/>
  <c r="AF7" i="58"/>
  <c r="AG50" i="58"/>
  <c r="G50" i="58" s="1"/>
  <c r="AA7" i="58"/>
  <c r="AI7" i="58"/>
  <c r="AA20" i="58"/>
  <c r="AA66" i="58"/>
  <c r="AC51" i="58"/>
  <c r="AI20" i="58"/>
  <c r="AF66" i="58"/>
  <c r="AI66" i="58"/>
  <c r="AD50" i="58"/>
  <c r="AC41" i="58"/>
  <c r="AH39" i="58"/>
  <c r="AY39" i="58"/>
  <c r="AC39" i="58"/>
  <c r="AH41" i="58"/>
  <c r="AY41" i="58"/>
  <c r="AG40" i="58"/>
  <c r="G40" i="58" s="1"/>
  <c r="AH64" i="58"/>
  <c r="AY64" i="58"/>
  <c r="AH40" i="58"/>
  <c r="AF41" i="58"/>
  <c r="AC12" i="58"/>
  <c r="AA64" i="58"/>
  <c r="AI64" i="58"/>
  <c r="AA39" i="58"/>
  <c r="AI40" i="58"/>
  <c r="AG41" i="58"/>
  <c r="G41" i="58" s="1"/>
  <c r="AH42" i="58"/>
  <c r="AB43" i="58"/>
  <c r="AF44" i="58"/>
  <c r="AY44" i="58"/>
  <c r="AF45" i="58"/>
  <c r="AD12" i="58"/>
  <c r="AB64" i="58"/>
  <c r="AJ64" i="58"/>
  <c r="AB39" i="58"/>
  <c r="AI41" i="58"/>
  <c r="AI42" i="58"/>
  <c r="AG44" i="58"/>
  <c r="G44" i="58" s="1"/>
  <c r="AC64" i="58"/>
  <c r="AJ41" i="58"/>
  <c r="AA42" i="58"/>
  <c r="AJ42" i="58"/>
  <c r="AH44" i="58"/>
  <c r="AH45" i="58"/>
  <c r="AY45" i="58"/>
  <c r="AF12" i="58"/>
  <c r="AD64" i="58"/>
  <c r="AF39" i="58"/>
  <c r="AA40" i="58"/>
  <c r="AA41" i="58"/>
  <c r="AB42" i="58"/>
  <c r="AI44" i="58"/>
  <c r="AA45" i="58"/>
  <c r="AI45" i="58"/>
  <c r="AG12" i="58"/>
  <c r="G12" i="58" s="1"/>
  <c r="AI39" i="58"/>
  <c r="AC40" i="58"/>
  <c r="AY40" i="58"/>
  <c r="AB41" i="58"/>
  <c r="AC42" i="58"/>
  <c r="AA44" i="58"/>
  <c r="AH12" i="58"/>
  <c r="AY12" i="58"/>
  <c r="AF64" i="58"/>
  <c r="AH11" i="58"/>
  <c r="AY11" i="58"/>
  <c r="AJ39" i="58"/>
  <c r="AD40" i="58"/>
  <c r="AD41" i="58"/>
  <c r="AC44" i="58"/>
  <c r="AG64" i="58"/>
  <c r="G64" i="58" s="1"/>
  <c r="AF11" i="58"/>
  <c r="AF65" i="58"/>
  <c r="AG13" i="58"/>
  <c r="G13" i="58" s="1"/>
  <c r="AG11" i="58"/>
  <c r="G11" i="58" s="1"/>
  <c r="AH13" i="58"/>
  <c r="AY13" i="58"/>
  <c r="AH65" i="58"/>
  <c r="AA13" i="58"/>
  <c r="AI13" i="58"/>
  <c r="AG48" i="58"/>
  <c r="G48" i="58" s="1"/>
  <c r="AG24" i="58"/>
  <c r="G24" i="58" s="1"/>
  <c r="AB13" i="58"/>
  <c r="AJ13" i="58"/>
  <c r="AH48" i="58"/>
  <c r="AY48" i="58"/>
  <c r="AH24" i="58"/>
  <c r="AY24" i="58"/>
  <c r="AC13" i="58"/>
  <c r="AA48" i="58"/>
  <c r="AI48" i="58"/>
  <c r="AC11" i="58"/>
  <c r="AC65" i="58"/>
  <c r="AD13" i="58"/>
  <c r="AB48" i="58"/>
  <c r="AJ48" i="58"/>
  <c r="AB24" i="58"/>
  <c r="AJ24" i="58"/>
  <c r="AD11" i="58"/>
  <c r="AF13" i="58"/>
  <c r="AD68" i="58"/>
  <c r="AC70" i="58"/>
  <c r="AH31" i="58"/>
  <c r="AG32" i="58"/>
  <c r="G32" i="58" s="1"/>
  <c r="AC33" i="58"/>
  <c r="AG35" i="58"/>
  <c r="G35" i="58" s="1"/>
  <c r="AC25" i="58"/>
  <c r="AG21" i="58"/>
  <c r="G21" i="58" s="1"/>
  <c r="AI31" i="58"/>
  <c r="AH32" i="58"/>
  <c r="AY32" i="58"/>
  <c r="AH35" i="58"/>
  <c r="AY35" i="58"/>
  <c r="AH21" i="58"/>
  <c r="AY21" i="58"/>
  <c r="AA24" i="58"/>
  <c r="AA31" i="58"/>
  <c r="AJ31" i="58"/>
  <c r="AI32" i="58"/>
  <c r="AA35" i="58"/>
  <c r="AI35" i="58"/>
  <c r="AA21" i="58"/>
  <c r="AI21" i="58"/>
  <c r="AI24" i="58"/>
  <c r="AB31" i="58"/>
  <c r="AH28" i="58"/>
  <c r="AY28" i="58"/>
  <c r="AC31" i="58"/>
  <c r="AD31" i="58"/>
  <c r="AD32" i="58"/>
  <c r="AH33" i="58"/>
  <c r="AY33" i="58"/>
  <c r="AD35" i="58"/>
  <c r="AH25" i="58"/>
  <c r="AY25" i="58"/>
  <c r="AD21" i="58"/>
  <c r="AH38" i="58"/>
  <c r="AY38" i="58"/>
  <c r="AC68" i="58"/>
  <c r="AB70" i="58"/>
  <c r="AF31" i="58"/>
  <c r="AY31" i="58"/>
  <c r="AF32" i="58"/>
  <c r="AB33" i="58"/>
  <c r="AJ33" i="58"/>
  <c r="AH34" i="58"/>
  <c r="AY34" i="58"/>
  <c r="AF35" i="58"/>
  <c r="AB25" i="58"/>
  <c r="AJ25" i="58"/>
  <c r="AF21" i="58"/>
  <c r="AB38" i="58"/>
  <c r="AJ38" i="58"/>
  <c r="AC54" i="58"/>
  <c r="AI28" i="58"/>
  <c r="AD17" i="58"/>
  <c r="AJ70" i="58"/>
  <c r="AA28" i="58"/>
  <c r="AJ28" i="58"/>
  <c r="AA25" i="58"/>
  <c r="AF54" i="58"/>
  <c r="AB28" i="58"/>
  <c r="AF17" i="58"/>
  <c r="AY68" i="58"/>
  <c r="AI25" i="58"/>
  <c r="AG54" i="58"/>
  <c r="G54" i="58" s="1"/>
  <c r="AY54" i="58"/>
  <c r="AC28" i="58"/>
  <c r="AG17" i="58"/>
  <c r="G17" i="58" s="1"/>
  <c r="AY26" i="58"/>
  <c r="AH54" i="58"/>
  <c r="AD28" i="58"/>
  <c r="AH17" i="58"/>
  <c r="AY17" i="58"/>
  <c r="AA33" i="58"/>
  <c r="AG34" i="58"/>
  <c r="G34" i="58" s="1"/>
  <c r="AI54" i="58"/>
  <c r="AA17" i="58"/>
  <c r="AI17" i="58"/>
  <c r="AB68" i="58"/>
  <c r="AI33" i="58"/>
  <c r="AA38" i="58"/>
  <c r="AG26" i="58"/>
  <c r="G26" i="58" s="1"/>
  <c r="AA54" i="58"/>
  <c r="AJ54" i="58"/>
  <c r="AF28" i="58"/>
  <c r="AB17" i="58"/>
  <c r="AJ17" i="58"/>
  <c r="AH15" i="58"/>
  <c r="AY15" i="58"/>
  <c r="AI38" i="58"/>
  <c r="AH26" i="58"/>
  <c r="AB54" i="58"/>
  <c r="AG28" i="58"/>
  <c r="G28" i="58" s="1"/>
  <c r="AI15" i="58"/>
  <c r="AD54" i="58"/>
  <c r="AF26" i="58"/>
  <c r="AD33" i="58"/>
  <c r="AB69" i="58"/>
  <c r="AH68" i="58"/>
  <c r="AG33" i="58"/>
  <c r="G33" i="58" s="1"/>
  <c r="AG31" i="58"/>
  <c r="G31" i="58" s="1"/>
  <c r="AF68" i="58"/>
  <c r="AD42" i="58"/>
  <c r="AJ44" i="58"/>
  <c r="AG43" i="58"/>
  <c r="G43" i="58" s="1"/>
  <c r="AJ12" i="58"/>
  <c r="AF50" i="58"/>
  <c r="AG16" i="58"/>
  <c r="AB47" i="58"/>
  <c r="AG9" i="58"/>
  <c r="AJ52" i="58"/>
  <c r="AI62" i="58"/>
  <c r="AB36" i="58"/>
  <c r="AI61" i="58"/>
  <c r="AA8" i="58"/>
  <c r="AJ18" i="58"/>
  <c r="AD61" i="58"/>
  <c r="AF6" i="58"/>
  <c r="AB60" i="58"/>
  <c r="AA23" i="58"/>
  <c r="AJ6" i="58"/>
  <c r="AG5" i="58"/>
  <c r="AY58" i="58"/>
  <c r="AH58" i="58"/>
  <c r="AI6" i="58"/>
  <c r="AF58" i="58"/>
  <c r="AA15" i="58"/>
  <c r="AD69" i="58"/>
  <c r="AF15" i="58"/>
  <c r="AD70" i="58"/>
  <c r="AC32" i="58"/>
  <c r="AJ35" i="58"/>
  <c r="AY70" i="58"/>
  <c r="AC34" i="58"/>
  <c r="AD38" i="58"/>
  <c r="AH43" i="58"/>
  <c r="AF42" i="58"/>
  <c r="AJ43" i="58"/>
  <c r="AD44" i="58"/>
  <c r="AA51" i="58"/>
  <c r="AF51" i="58"/>
  <c r="AF56" i="58"/>
  <c r="AJ47" i="58"/>
  <c r="AC16" i="58"/>
  <c r="AC52" i="58"/>
  <c r="AB29" i="58"/>
  <c r="AA62" i="58"/>
  <c r="AJ36" i="58"/>
  <c r="AJ61" i="58"/>
  <c r="AD37" i="58"/>
  <c r="AY63" i="58"/>
  <c r="AA10" i="58"/>
  <c r="AA59" i="58"/>
  <c r="AJ59" i="58"/>
  <c r="AI23" i="58"/>
  <c r="AI10" i="58"/>
  <c r="AG58" i="58"/>
  <c r="AA26" i="58"/>
  <c r="AG15" i="58"/>
  <c r="G15" i="58" s="1"/>
  <c r="AC69" i="58"/>
  <c r="AF69" i="58"/>
  <c r="AD15" i="58"/>
  <c r="AA32" i="58"/>
  <c r="AG38" i="58"/>
  <c r="G38" i="58" s="1"/>
  <c r="AD34" i="58"/>
  <c r="AF70" i="58"/>
  <c r="AD24" i="58"/>
  <c r="AY65" i="58"/>
  <c r="AB65" i="58"/>
  <c r="AD45" i="58"/>
  <c r="AA43" i="58"/>
  <c r="AI43" i="58"/>
  <c r="AI50" i="58"/>
  <c r="AF9" i="58"/>
  <c r="AC47" i="58"/>
  <c r="AA57" i="58"/>
  <c r="AD52" i="58"/>
  <c r="AJ56" i="58"/>
  <c r="AG56" i="58"/>
  <c r="AB61" i="58"/>
  <c r="AF37" i="58"/>
  <c r="AG63" i="58"/>
  <c r="AB58" i="58"/>
  <c r="AC23" i="58"/>
  <c r="AJ10" i="58"/>
  <c r="AI26" i="58"/>
  <c r="AB21" i="58"/>
  <c r="AC38" i="58"/>
  <c r="AG69" i="58"/>
  <c r="G69" i="58" s="1"/>
  <c r="AY69" i="58"/>
  <c r="AF34" i="58"/>
  <c r="AC21" i="58"/>
  <c r="AG70" i="58"/>
  <c r="G70" i="58" s="1"/>
  <c r="AF38" i="58"/>
  <c r="AF33" i="58"/>
  <c r="AJ68" i="58"/>
  <c r="AI68" i="58"/>
  <c r="AI34" i="58"/>
  <c r="AD65" i="58"/>
  <c r="AJ65" i="58"/>
  <c r="AI11" i="58"/>
  <c r="AG45" i="58"/>
  <c r="G45" i="58" s="1"/>
  <c r="AG42" i="58"/>
  <c r="G42" i="58" s="1"/>
  <c r="AY42" i="58"/>
  <c r="AA50" i="58"/>
  <c r="AI51" i="58"/>
  <c r="AD47" i="58"/>
  <c r="AB16" i="58"/>
  <c r="AI57" i="58"/>
  <c r="AF52" i="58"/>
  <c r="AB56" i="58"/>
  <c r="AG55" i="58"/>
  <c r="AB8" i="58"/>
  <c r="AJ58" i="58"/>
  <c r="AB10" i="58"/>
  <c r="AJ60" i="58"/>
  <c r="AA60" i="58"/>
  <c r="AC17" i="58"/>
  <c r="AB26" i="58"/>
  <c r="AH69" i="58"/>
  <c r="AF48" i="58"/>
  <c r="AJ34" i="58"/>
  <c r="AA70" i="58"/>
  <c r="AC48" i="58"/>
  <c r="AB12" i="58"/>
  <c r="AA65" i="58"/>
  <c r="AA11" i="58"/>
  <c r="AI12" i="58"/>
  <c r="AH16" i="58"/>
  <c r="AB57" i="58"/>
  <c r="AJ55" i="58"/>
  <c r="AY8" i="58"/>
  <c r="AG62" i="58"/>
  <c r="AD63" i="58"/>
  <c r="AG60" i="58"/>
  <c r="AJ8" i="58"/>
  <c r="AH8" i="58"/>
  <c r="AB6" i="58"/>
  <c r="AC58" i="58"/>
  <c r="AH59" i="58"/>
  <c r="AI60" i="58"/>
  <c r="AJ26" i="58"/>
  <c r="AI69" i="58"/>
  <c r="AD25" i="58"/>
  <c r="AH70" i="58"/>
  <c r="AG65" i="58"/>
  <c r="G65" i="58" s="1"/>
  <c r="AG25" i="58"/>
  <c r="G25" i="58" s="1"/>
  <c r="AJ21" i="58"/>
  <c r="AJ32" i="58"/>
  <c r="AB34" i="58"/>
  <c r="AI70" i="58"/>
  <c r="AC24" i="58"/>
  <c r="AI65" i="58"/>
  <c r="AA12" i="58"/>
  <c r="AJ45" i="58"/>
  <c r="AF43" i="58"/>
  <c r="AD43" i="58"/>
  <c r="AJ11" i="58"/>
  <c r="AF40" i="58"/>
  <c r="AC50" i="58"/>
  <c r="AJ51" i="58"/>
  <c r="AJ57" i="58"/>
  <c r="AF62" i="58"/>
  <c r="AB55" i="58"/>
  <c r="AI55" i="58"/>
  <c r="AB18" i="58"/>
  <c r="AG61" i="58"/>
  <c r="AC8" i="58"/>
  <c r="AY61" i="58"/>
  <c r="AA58" i="58"/>
  <c r="AH6" i="58"/>
  <c r="AC60" i="58"/>
  <c r="AC26" i="58"/>
  <c r="AA34" i="58"/>
  <c r="AA69" i="58"/>
  <c r="AC35" i="58"/>
  <c r="AB32" i="58"/>
  <c r="AC45" i="58"/>
  <c r="AG39" i="58"/>
  <c r="G39" i="58" s="1"/>
  <c r="AB45" i="58"/>
  <c r="AB40" i="58"/>
  <c r="AB51" i="58"/>
  <c r="AD16" i="58"/>
  <c r="AA16" i="58"/>
  <c r="AF55" i="58"/>
  <c r="AJ62" i="58"/>
  <c r="AA55" i="58"/>
  <c r="AD36" i="58"/>
  <c r="AD27" i="58"/>
  <c r="AF61" i="58"/>
  <c r="AD58" i="58"/>
  <c r="AD8" i="58"/>
  <c r="AC61" i="58"/>
  <c r="AY60" i="58"/>
  <c r="AI58" i="58"/>
  <c r="AH60" i="58"/>
  <c r="AG6" i="58"/>
  <c r="AC59" i="58"/>
  <c r="AB15" i="58"/>
  <c r="AD26" i="58"/>
  <c r="AB35" i="58"/>
  <c r="AJ69" i="58"/>
  <c r="AC15" i="58"/>
  <c r="AJ15" i="58"/>
  <c r="AA68" i="58"/>
  <c r="AF25" i="58"/>
  <c r="AF24" i="58"/>
  <c r="AG68" i="58"/>
  <c r="G68" i="58" s="1"/>
  <c r="AD48" i="58"/>
  <c r="AC43" i="58"/>
  <c r="AB11" i="58"/>
  <c r="AB44" i="58"/>
  <c r="AY43" i="58"/>
  <c r="AJ40" i="58"/>
  <c r="AD39" i="58"/>
  <c r="AG51" i="58"/>
  <c r="AD51" i="58"/>
  <c r="AF16" i="58"/>
  <c r="AB52" i="58"/>
  <c r="AB62" i="58"/>
  <c r="AF36" i="58"/>
  <c r="AI36" i="58"/>
  <c r="AH61" i="58"/>
  <c r="AF59" i="58"/>
  <c r="AJ29" i="58"/>
  <c r="AD60" i="58"/>
  <c r="AI59" i="58"/>
  <c r="AG59" i="58"/>
  <c r="AA6" i="58"/>
  <c r="N10" i="53"/>
  <c r="AY10" i="53" s="1"/>
  <c r="N7" i="53"/>
  <c r="AY7" i="53" s="1"/>
  <c r="N36" i="53"/>
  <c r="AY36" i="53" s="1"/>
  <c r="N6" i="53"/>
  <c r="AY6" i="53" s="1"/>
  <c r="N35" i="53"/>
  <c r="AY35" i="53" s="1"/>
  <c r="N23" i="53"/>
  <c r="AY23" i="53" s="1"/>
  <c r="N24" i="53"/>
  <c r="AY24" i="53" s="1"/>
  <c r="N29" i="53"/>
  <c r="AY29" i="53" s="1"/>
  <c r="N28" i="53"/>
  <c r="AY28" i="53" s="1"/>
  <c r="N12" i="53"/>
  <c r="AY12" i="53" s="1"/>
  <c r="N19" i="53"/>
  <c r="AY19" i="53" s="1"/>
  <c r="N13" i="53"/>
  <c r="AY13" i="53" s="1"/>
  <c r="N20" i="53"/>
  <c r="AY20" i="53" s="1"/>
  <c r="N18" i="53"/>
  <c r="AY18" i="53" s="1"/>
  <c r="N32" i="53"/>
  <c r="AY32" i="53" s="1"/>
  <c r="N5" i="53"/>
  <c r="AY5" i="53" s="1"/>
  <c r="N34" i="53"/>
  <c r="AY34" i="53" s="1"/>
  <c r="N27" i="53"/>
  <c r="AY27" i="53" s="1"/>
  <c r="N33" i="53"/>
  <c r="AY33" i="53" s="1"/>
  <c r="N25" i="53"/>
  <c r="AY25" i="53" s="1"/>
  <c r="N17" i="53"/>
  <c r="AY17" i="53" s="1"/>
  <c r="N16" i="53"/>
  <c r="AY16" i="53" s="1"/>
  <c r="N11" i="53"/>
  <c r="AY11" i="53" s="1"/>
  <c r="N15" i="53"/>
  <c r="AY15" i="53" s="1"/>
  <c r="N26" i="53"/>
  <c r="AY26" i="53" s="1"/>
  <c r="N9" i="53"/>
  <c r="AY9" i="53" s="1"/>
  <c r="N30" i="53"/>
  <c r="AY30" i="53" s="1"/>
  <c r="N22" i="53"/>
  <c r="AY22" i="53" s="1"/>
  <c r="N14" i="53"/>
  <c r="AY14" i="53" s="1"/>
  <c r="N8" i="53"/>
  <c r="AY8" i="53" s="1"/>
  <c r="N21" i="53"/>
  <c r="AY21" i="53" s="1"/>
  <c r="D78" i="27"/>
  <c r="I20" i="27"/>
  <c r="J20" i="27" s="1"/>
  <c r="A11" i="27"/>
  <c r="D20" i="27"/>
  <c r="A99" i="27"/>
  <c r="D50" i="27"/>
  <c r="D82" i="27"/>
  <c r="D71" i="27"/>
  <c r="N53" i="27"/>
  <c r="M43" i="28"/>
  <c r="M47" i="28"/>
  <c r="M20" i="28"/>
  <c r="M14" i="28"/>
  <c r="M15" i="28"/>
  <c r="J2" i="27"/>
  <c r="M48" i="28"/>
  <c r="B54" i="27"/>
  <c r="A21" i="56"/>
  <c r="EQ6" i="56"/>
  <c r="ER6" i="56" s="1"/>
  <c r="ES6" i="56" s="1"/>
  <c r="ET6" i="56" s="1"/>
  <c r="EU6" i="56" s="1"/>
  <c r="EV6" i="56" s="1"/>
  <c r="EW6" i="56" s="1"/>
  <c r="EW1" i="56" s="1"/>
  <c r="C40" i="56"/>
  <c r="D17" i="56"/>
  <c r="D18" i="56"/>
  <c r="A19" i="56"/>
  <c r="A8" i="56"/>
  <c r="A24" i="56"/>
  <c r="A23" i="56"/>
  <c r="D16" i="56"/>
  <c r="B3" i="54"/>
  <c r="A21" i="54" s="1"/>
  <c r="C3" i="54"/>
  <c r="C5" i="54"/>
  <c r="B1" i="54"/>
  <c r="C1" i="54"/>
  <c r="D11" i="49"/>
  <c r="A23" i="54"/>
  <c r="A24" i="54"/>
  <c r="BR6" i="54"/>
  <c r="BS6" i="54" s="1"/>
  <c r="BT6" i="54" s="1"/>
  <c r="BU6" i="54" s="1"/>
  <c r="BV6" i="54" s="1"/>
  <c r="BW6" i="54" s="1"/>
  <c r="BX6" i="54" s="1"/>
  <c r="BQ1" i="54"/>
  <c r="D23" i="49"/>
  <c r="D20" i="49"/>
  <c r="A8" i="49"/>
  <c r="C5" i="49"/>
  <c r="D22" i="49"/>
  <c r="D18" i="49"/>
  <c r="B3" i="49"/>
  <c r="A21" i="49" s="1"/>
  <c r="D21" i="49"/>
  <c r="D19" i="49"/>
  <c r="D17" i="49"/>
  <c r="B6" i="49"/>
  <c r="C8" i="49"/>
  <c r="E8" i="49" s="1"/>
  <c r="BN8" i="49" s="1"/>
  <c r="B5" i="49"/>
  <c r="B21" i="49" s="1"/>
  <c r="C11" i="49"/>
  <c r="D16" i="49"/>
  <c r="D12" i="49"/>
  <c r="A19" i="49"/>
  <c r="B7" i="48"/>
  <c r="A24" i="48" s="1"/>
  <c r="C1" i="49"/>
  <c r="D59" i="27"/>
  <c r="AO32" i="30"/>
  <c r="AO19" i="30"/>
  <c r="AO10" i="30"/>
  <c r="AZ28" i="30"/>
  <c r="AO17" i="30"/>
  <c r="AO15" i="30"/>
  <c r="AZ29" i="30"/>
  <c r="AO13" i="30"/>
  <c r="AO25" i="30"/>
  <c r="AO7" i="30"/>
  <c r="AO16" i="30"/>
  <c r="AO20" i="30"/>
  <c r="AO5" i="30"/>
  <c r="AO18" i="30"/>
  <c r="AO23" i="30"/>
  <c r="AO40" i="30"/>
  <c r="AO35" i="30"/>
  <c r="AO12" i="30"/>
  <c r="AO8" i="30"/>
  <c r="AO34" i="30"/>
  <c r="AZ36" i="30"/>
  <c r="AO31" i="30"/>
  <c r="AO9" i="30"/>
  <c r="AO21" i="30"/>
  <c r="AO22" i="30"/>
  <c r="B1" i="49"/>
  <c r="C3" i="49"/>
  <c r="C5" i="48"/>
  <c r="D67" i="27"/>
  <c r="A124" i="26"/>
  <c r="B106" i="26"/>
  <c r="B96" i="26"/>
  <c r="A86" i="26"/>
  <c r="A76" i="26"/>
  <c r="A67" i="26"/>
  <c r="A58" i="26"/>
  <c r="A50" i="26"/>
  <c r="D54" i="27"/>
  <c r="D33" i="27"/>
  <c r="B50" i="27"/>
  <c r="A67" i="27"/>
  <c r="A54" i="27"/>
  <c r="D56" i="27"/>
  <c r="B256" i="26"/>
  <c r="A137" i="26"/>
  <c r="A49" i="26"/>
  <c r="A56" i="26"/>
  <c r="B118" i="26"/>
  <c r="B67" i="27"/>
  <c r="A78" i="27"/>
  <c r="I86" i="27"/>
  <c r="J86" i="27" s="1"/>
  <c r="B98" i="27"/>
  <c r="A8" i="27"/>
  <c r="A46" i="27"/>
  <c r="A33" i="27"/>
  <c r="B33" i="27"/>
  <c r="J33" i="27" s="1"/>
  <c r="I71" i="27"/>
  <c r="J71" i="27" s="1"/>
  <c r="A9" i="27"/>
  <c r="A71" i="27"/>
  <c r="D97" i="27"/>
  <c r="D101" i="27"/>
  <c r="D87" i="27"/>
  <c r="B39" i="27"/>
  <c r="J39" i="27" s="1"/>
  <c r="A104" i="27"/>
  <c r="A45" i="27"/>
  <c r="B93" i="27"/>
  <c r="I72" i="27"/>
  <c r="J72" i="27" s="1"/>
  <c r="B89" i="27"/>
  <c r="D24" i="27"/>
  <c r="I83" i="27"/>
  <c r="J83" i="27" s="1"/>
  <c r="A86" i="27"/>
  <c r="I8" i="27"/>
  <c r="J8" i="27" s="1"/>
  <c r="D25" i="27"/>
  <c r="A26" i="27"/>
  <c r="D18" i="27"/>
  <c r="I28" i="27"/>
  <c r="J28" i="27" s="1"/>
  <c r="A88" i="27"/>
  <c r="D92" i="27"/>
  <c r="A5" i="27"/>
  <c r="AA46" i="30"/>
  <c r="AA54" i="30"/>
  <c r="AA39" i="30"/>
  <c r="AA70" i="30"/>
  <c r="AA67" i="30"/>
  <c r="AA33" i="30"/>
  <c r="AA43" i="30"/>
  <c r="AA41" i="30"/>
  <c r="AA60" i="30"/>
  <c r="AA69" i="30"/>
  <c r="AB43" i="30"/>
  <c r="AB55" i="30"/>
  <c r="AB63" i="30"/>
  <c r="AA44" i="30"/>
  <c r="AA49" i="30"/>
  <c r="AA58" i="30"/>
  <c r="AA61" i="30"/>
  <c r="AB44" i="30"/>
  <c r="AB41" i="30"/>
  <c r="AB64" i="30"/>
  <c r="AC44" i="30"/>
  <c r="AC41" i="30"/>
  <c r="AC64" i="30"/>
  <c r="AD44" i="30"/>
  <c r="AD41" i="30"/>
  <c r="AA50" i="30"/>
  <c r="AA62" i="30"/>
  <c r="AB49" i="30"/>
  <c r="AB65" i="30"/>
  <c r="AC49" i="30"/>
  <c r="AC65" i="30"/>
  <c r="AD49" i="30"/>
  <c r="AD65" i="30"/>
  <c r="AA45" i="30"/>
  <c r="AA48" i="30"/>
  <c r="AB33" i="30"/>
  <c r="AB46" i="30"/>
  <c r="AB57" i="30"/>
  <c r="AB58" i="30"/>
  <c r="AB66" i="30"/>
  <c r="AC42" i="30"/>
  <c r="AC50" i="30"/>
  <c r="AC56" i="30"/>
  <c r="AC66" i="30"/>
  <c r="AD47" i="30"/>
  <c r="AA55" i="30"/>
  <c r="AA63" i="30"/>
  <c r="AB48" i="30"/>
  <c r="AB39" i="30"/>
  <c r="AB56" i="30"/>
  <c r="AB68" i="30"/>
  <c r="AC45" i="30"/>
  <c r="AC68" i="30"/>
  <c r="AD53" i="30"/>
  <c r="AD58" i="30"/>
  <c r="AD62" i="30"/>
  <c r="AF53" i="30"/>
  <c r="AF57" i="30"/>
  <c r="AF56" i="30"/>
  <c r="AF62" i="30"/>
  <c r="AG42" i="30"/>
  <c r="AG53" i="30"/>
  <c r="G53" i="30" s="1"/>
  <c r="AG57" i="30"/>
  <c r="G57" i="30" s="1"/>
  <c r="AG56" i="30"/>
  <c r="G56" i="30" s="1"/>
  <c r="AG62" i="30"/>
  <c r="G62" i="30" s="1"/>
  <c r="AA64" i="30"/>
  <c r="AB53" i="30"/>
  <c r="AB69" i="30"/>
  <c r="AC46" i="30"/>
  <c r="AC70" i="30"/>
  <c r="AC69" i="30"/>
  <c r="AD55" i="30"/>
  <c r="AD39" i="30"/>
  <c r="AD63" i="30"/>
  <c r="AF33" i="30"/>
  <c r="AF42" i="30"/>
  <c r="AF55" i="30"/>
  <c r="AA65" i="30"/>
  <c r="AB50" i="30"/>
  <c r="AB70" i="30"/>
  <c r="AA42" i="30"/>
  <c r="AA68" i="30"/>
  <c r="AB42" i="30"/>
  <c r="AB61" i="30"/>
  <c r="AC53" i="30"/>
  <c r="AC58" i="30"/>
  <c r="AC62" i="30"/>
  <c r="AD45" i="30"/>
  <c r="AD67" i="30"/>
  <c r="AF45" i="30"/>
  <c r="AF50" i="30"/>
  <c r="AF66" i="30"/>
  <c r="AG45" i="30"/>
  <c r="G45" i="30" s="1"/>
  <c r="AG50" i="30"/>
  <c r="G50" i="30" s="1"/>
  <c r="AG66" i="30"/>
  <c r="G66" i="30" s="1"/>
  <c r="AC61" i="30"/>
  <c r="AD33" i="30"/>
  <c r="AD54" i="30"/>
  <c r="AD68" i="30"/>
  <c r="AF49" i="30"/>
  <c r="AF67" i="30"/>
  <c r="AG48" i="30"/>
  <c r="G48" i="30" s="1"/>
  <c r="AG61" i="30"/>
  <c r="G61" i="30" s="1"/>
  <c r="AH46" i="30"/>
  <c r="AH54" i="30"/>
  <c r="AH39" i="30"/>
  <c r="AH70" i="30"/>
  <c r="AH67" i="30"/>
  <c r="AI46" i="30"/>
  <c r="AI54" i="30"/>
  <c r="AI39" i="30"/>
  <c r="AI70" i="30"/>
  <c r="AI67" i="30"/>
  <c r="AJ46" i="30"/>
  <c r="AJ54" i="30"/>
  <c r="AJ39" i="30"/>
  <c r="AJ70" i="30"/>
  <c r="AJ67" i="30"/>
  <c r="AC39" i="30"/>
  <c r="AC63" i="30"/>
  <c r="AD56" i="30"/>
  <c r="AD69" i="30"/>
  <c r="AF54" i="30"/>
  <c r="AF68" i="30"/>
  <c r="AG55" i="30"/>
  <c r="G55" i="30" s="1"/>
  <c r="AG58" i="30"/>
  <c r="G58" i="30" s="1"/>
  <c r="AG63" i="30"/>
  <c r="G63" i="30" s="1"/>
  <c r="AH47" i="30"/>
  <c r="AH58" i="30"/>
  <c r="AH60" i="30"/>
  <c r="AH68" i="30"/>
  <c r="AI47" i="30"/>
  <c r="AI58" i="30"/>
  <c r="AI60" i="30"/>
  <c r="AI68" i="30"/>
  <c r="AJ47" i="30"/>
  <c r="AJ58" i="30"/>
  <c r="AJ60" i="30"/>
  <c r="AJ68" i="30"/>
  <c r="AA47" i="30"/>
  <c r="AA66" i="30"/>
  <c r="AB45" i="30"/>
  <c r="AB60" i="30"/>
  <c r="AC43" i="30"/>
  <c r="AC67" i="30"/>
  <c r="AD57" i="30"/>
  <c r="AF43" i="30"/>
  <c r="AF70" i="30"/>
  <c r="AF69" i="30"/>
  <c r="AG41" i="30"/>
  <c r="G41" i="30" s="1"/>
  <c r="AG39" i="30"/>
  <c r="G39" i="30" s="1"/>
  <c r="AG64" i="30"/>
  <c r="G64" i="30" s="1"/>
  <c r="AH33" i="30"/>
  <c r="AH48" i="30"/>
  <c r="AH61" i="30"/>
  <c r="AH69" i="30"/>
  <c r="AI33" i="30"/>
  <c r="AI48" i="30"/>
  <c r="AI61" i="30"/>
  <c r="AI69" i="30"/>
  <c r="AJ33" i="30"/>
  <c r="AJ48" i="30"/>
  <c r="AJ61" i="30"/>
  <c r="AJ69" i="30"/>
  <c r="AA53" i="30"/>
  <c r="AB47" i="30"/>
  <c r="AB62" i="30"/>
  <c r="AC47" i="30"/>
  <c r="AD42" i="30"/>
  <c r="AD70" i="30"/>
  <c r="AF44" i="30"/>
  <c r="AF60" i="30"/>
  <c r="AG43" i="30"/>
  <c r="AG49" i="30"/>
  <c r="G49" i="30" s="1"/>
  <c r="AG65" i="30"/>
  <c r="G65" i="30" s="1"/>
  <c r="AH42" i="30"/>
  <c r="AH53" i="30"/>
  <c r="AH57" i="30"/>
  <c r="AH56" i="30"/>
  <c r="AH62" i="30"/>
  <c r="AI42" i="30"/>
  <c r="AI53" i="30"/>
  <c r="AI57" i="30"/>
  <c r="AI56" i="30"/>
  <c r="AI62" i="30"/>
  <c r="AJ42" i="30"/>
  <c r="AJ53" i="30"/>
  <c r="AJ57" i="30"/>
  <c r="AJ56" i="30"/>
  <c r="AJ62" i="30"/>
  <c r="AA57" i="30"/>
  <c r="AB54" i="30"/>
  <c r="AB67" i="30"/>
  <c r="AC48" i="30"/>
  <c r="AD43" i="30"/>
  <c r="AD60" i="30"/>
  <c r="AF46" i="30"/>
  <c r="AF61" i="30"/>
  <c r="AG33" i="30"/>
  <c r="AG44" i="30"/>
  <c r="AG54" i="30"/>
  <c r="G54" i="30" s="1"/>
  <c r="AG67" i="30"/>
  <c r="G67" i="30" s="1"/>
  <c r="AH43" i="30"/>
  <c r="AH55" i="30"/>
  <c r="AH63" i="30"/>
  <c r="AI43" i="30"/>
  <c r="AI55" i="30"/>
  <c r="AI63" i="30"/>
  <c r="AJ43" i="30"/>
  <c r="AJ55" i="30"/>
  <c r="AJ63" i="30"/>
  <c r="AC55" i="30"/>
  <c r="AD46" i="30"/>
  <c r="AD61" i="30"/>
  <c r="AF47" i="30"/>
  <c r="AF58" i="30"/>
  <c r="AF63" i="30"/>
  <c r="AG68" i="30"/>
  <c r="G68" i="30" s="1"/>
  <c r="AH44" i="30"/>
  <c r="AH41" i="30"/>
  <c r="AH64" i="30"/>
  <c r="AI44" i="30"/>
  <c r="AI41" i="30"/>
  <c r="AI64" i="30"/>
  <c r="AJ44" i="30"/>
  <c r="AJ41" i="30"/>
  <c r="AC33" i="30"/>
  <c r="AC54" i="30"/>
  <c r="AD48" i="30"/>
  <c r="AD64" i="30"/>
  <c r="AF48" i="30"/>
  <c r="AF39" i="30"/>
  <c r="AF64" i="30"/>
  <c r="AG46" i="30"/>
  <c r="G46" i="30" s="1"/>
  <c r="AG70" i="30"/>
  <c r="G70" i="30" s="1"/>
  <c r="AG69" i="30"/>
  <c r="G69" i="30" s="1"/>
  <c r="AH49" i="30"/>
  <c r="AH65" i="30"/>
  <c r="AI49" i="30"/>
  <c r="AI65" i="30"/>
  <c r="AJ49" i="30"/>
  <c r="AJ65" i="30"/>
  <c r="AA56" i="30"/>
  <c r="AC57" i="30"/>
  <c r="AC60" i="30"/>
  <c r="AD50" i="30"/>
  <c r="AD66" i="30"/>
  <c r="AF41" i="30"/>
  <c r="AF65" i="30"/>
  <c r="AG47" i="30"/>
  <c r="G47" i="30" s="1"/>
  <c r="AG60" i="30"/>
  <c r="G60" i="30" s="1"/>
  <c r="AH45" i="30"/>
  <c r="AH50" i="30"/>
  <c r="AH66" i="30"/>
  <c r="AI45" i="30"/>
  <c r="AI50" i="30"/>
  <c r="AI66" i="30"/>
  <c r="AJ45" i="30"/>
  <c r="AJ50" i="30"/>
  <c r="AJ64" i="30"/>
  <c r="AJ66" i="30"/>
  <c r="AY49" i="30"/>
  <c r="AY65" i="30"/>
  <c r="AY45" i="30"/>
  <c r="AY50" i="30"/>
  <c r="AY66" i="30"/>
  <c r="AY46" i="30"/>
  <c r="AY54" i="30"/>
  <c r="AY39" i="30"/>
  <c r="AY70" i="30"/>
  <c r="AY67" i="30"/>
  <c r="AY47" i="30"/>
  <c r="AY58" i="30"/>
  <c r="AY60" i="30"/>
  <c r="AY68" i="30"/>
  <c r="AY33" i="30"/>
  <c r="AY48" i="30"/>
  <c r="AY61" i="30"/>
  <c r="AY69" i="30"/>
  <c r="AY42" i="30"/>
  <c r="AY53" i="30"/>
  <c r="AY57" i="30"/>
  <c r="AY56" i="30"/>
  <c r="AY62" i="30"/>
  <c r="AY43" i="30"/>
  <c r="AY55" i="30"/>
  <c r="AY63" i="30"/>
  <c r="AY44" i="30"/>
  <c r="AY41" i="30"/>
  <c r="AY64" i="30"/>
  <c r="A49" i="27"/>
  <c r="I27" i="27"/>
  <c r="J27" i="27" s="1"/>
  <c r="D16" i="27"/>
  <c r="D40" i="27"/>
  <c r="D19" i="27"/>
  <c r="D7" i="27"/>
  <c r="A89" i="26"/>
  <c r="A77" i="26"/>
  <c r="A68" i="26"/>
  <c r="A59" i="26"/>
  <c r="A51" i="26"/>
  <c r="B98" i="26"/>
  <c r="B1" i="52"/>
  <c r="B9" i="52" s="1"/>
  <c r="B6" i="52"/>
  <c r="B5" i="52"/>
  <c r="B21" i="52" s="1"/>
  <c r="B3" i="52"/>
  <c r="A21" i="52" s="1"/>
  <c r="M1" i="46"/>
  <c r="N6" i="46"/>
  <c r="O6" i="46" s="1"/>
  <c r="P6" i="46" s="1"/>
  <c r="Q6" i="46" s="1"/>
  <c r="R6" i="46" s="1"/>
  <c r="S6" i="46" s="1"/>
  <c r="T6" i="46" s="1"/>
  <c r="C6" i="48"/>
  <c r="D20" i="48"/>
  <c r="B5" i="48"/>
  <c r="C3" i="48"/>
  <c r="C1" i="48"/>
  <c r="I82" i="27"/>
  <c r="J82" i="27" s="1"/>
  <c r="B46" i="27"/>
  <c r="B71" i="27"/>
  <c r="I88" i="27"/>
  <c r="J88" i="27" s="1"/>
  <c r="B56" i="27"/>
  <c r="B82" i="27"/>
  <c r="D80" i="27"/>
  <c r="D104" i="27"/>
  <c r="D88" i="27"/>
  <c r="I38" i="27"/>
  <c r="J38" i="27" s="1"/>
  <c r="B22" i="27"/>
  <c r="J22" i="27" s="1"/>
  <c r="B3" i="27"/>
  <c r="J3" i="27" s="1"/>
  <c r="B88" i="27"/>
  <c r="D86" i="27"/>
  <c r="D57" i="27"/>
  <c r="I12" i="27"/>
  <c r="J12" i="27" s="1"/>
  <c r="A20" i="27"/>
  <c r="B92" i="27"/>
  <c r="B96" i="27"/>
  <c r="A24" i="27"/>
  <c r="I104" i="27"/>
  <c r="J104" i="27" s="1"/>
  <c r="I100" i="27"/>
  <c r="J100" i="27" s="1"/>
  <c r="D11" i="27"/>
  <c r="D36" i="27"/>
  <c r="I57" i="27"/>
  <c r="J57" i="27" s="1"/>
  <c r="I60" i="27"/>
  <c r="J60" i="27" s="1"/>
  <c r="I24" i="27"/>
  <c r="J24" i="27" s="1"/>
  <c r="A27" i="27"/>
  <c r="A42" i="27"/>
  <c r="A62" i="27"/>
  <c r="M39" i="28"/>
  <c r="M30" i="28"/>
  <c r="M28" i="28"/>
  <c r="M8" i="28"/>
  <c r="B120" i="26"/>
  <c r="A82" i="27"/>
  <c r="A57" i="27"/>
  <c r="A38" i="27"/>
  <c r="D38" i="27"/>
  <c r="D62" i="27"/>
  <c r="D3" i="27"/>
  <c r="I16" i="27"/>
  <c r="J16" i="27" s="1"/>
  <c r="I78" i="27"/>
  <c r="J78" i="27" s="1"/>
  <c r="I56" i="27"/>
  <c r="J56" i="27" s="1"/>
  <c r="A22" i="27"/>
  <c r="A75" i="26"/>
  <c r="A66" i="26"/>
  <c r="D8" i="27"/>
  <c r="B104" i="27"/>
  <c r="A96" i="27"/>
  <c r="B101" i="27"/>
  <c r="I47" i="27"/>
  <c r="J47" i="27" s="1"/>
  <c r="B5" i="27"/>
  <c r="J5" i="27" s="1"/>
  <c r="B26" i="27"/>
  <c r="A40" i="27"/>
  <c r="D47" i="27"/>
  <c r="D13" i="27"/>
  <c r="I15" i="27"/>
  <c r="J15" i="27" s="1"/>
  <c r="I105" i="27"/>
  <c r="J105" i="27" s="1"/>
  <c r="B13" i="27"/>
  <c r="J13" i="27" s="1"/>
  <c r="B84" i="27"/>
  <c r="D5" i="27"/>
  <c r="D15" i="27"/>
  <c r="I40" i="27"/>
  <c r="A47" i="27"/>
  <c r="A25" i="27"/>
  <c r="A105" i="27"/>
  <c r="A81" i="27"/>
  <c r="A56" i="27"/>
  <c r="D46" i="27"/>
  <c r="D84" i="27"/>
  <c r="B25" i="27"/>
  <c r="J25" i="27" s="1"/>
  <c r="M46" i="28"/>
  <c r="M37" i="28"/>
  <c r="M27" i="28"/>
  <c r="M17" i="28"/>
  <c r="M6" i="28"/>
  <c r="A15" i="27"/>
  <c r="A93" i="27"/>
  <c r="A254" i="26"/>
  <c r="A110" i="26"/>
  <c r="A157" i="26"/>
  <c r="B108" i="26"/>
  <c r="A97" i="26"/>
  <c r="M38" i="28"/>
  <c r="M34" i="28"/>
  <c r="M23" i="28"/>
  <c r="M26" i="28"/>
  <c r="M7" i="28"/>
  <c r="M42" i="28"/>
  <c r="M45" i="28"/>
  <c r="M32" i="28"/>
  <c r="M25" i="28"/>
  <c r="M4" i="28"/>
  <c r="M13" i="28"/>
  <c r="B121" i="26"/>
  <c r="B113" i="26"/>
  <c r="A101" i="26"/>
  <c r="B254" i="26"/>
  <c r="A81" i="26"/>
  <c r="A72" i="26"/>
  <c r="A63" i="26"/>
  <c r="A55" i="26"/>
  <c r="A47" i="26"/>
  <c r="A100" i="26"/>
  <c r="B130" i="26"/>
  <c r="A111" i="26"/>
  <c r="A115" i="26"/>
  <c r="A147" i="26"/>
  <c r="A26" i="26"/>
  <c r="A136" i="26"/>
  <c r="A184" i="26"/>
  <c r="A186" i="26"/>
  <c r="A175" i="26"/>
  <c r="A145" i="26"/>
  <c r="A43" i="26"/>
  <c r="B146" i="26"/>
  <c r="A36" i="26"/>
  <c r="A23" i="26"/>
  <c r="A8" i="26"/>
  <c r="A61" i="26"/>
  <c r="A62" i="26"/>
  <c r="A54" i="26"/>
  <c r="A171" i="26"/>
  <c r="A173" i="26"/>
  <c r="A17" i="26"/>
  <c r="B177" i="26"/>
  <c r="A30" i="26"/>
  <c r="A96" i="26"/>
  <c r="A133" i="26"/>
  <c r="A114" i="26"/>
  <c r="A102" i="26"/>
  <c r="A255" i="26"/>
  <c r="A82" i="26"/>
  <c r="A48" i="26"/>
  <c r="A140" i="26"/>
  <c r="B145" i="26"/>
  <c r="B89" i="26"/>
  <c r="A130" i="26"/>
  <c r="B112" i="26"/>
  <c r="B100" i="26"/>
  <c r="A92" i="26"/>
  <c r="A80" i="26"/>
  <c r="A172" i="26"/>
  <c r="M19" i="28"/>
  <c r="M18" i="28"/>
  <c r="M41" i="28"/>
  <c r="M33" i="28"/>
  <c r="M22" i="28"/>
  <c r="M11" i="28"/>
  <c r="M12" i="28"/>
  <c r="M35" i="28"/>
  <c r="M31" i="28"/>
  <c r="M24" i="28"/>
  <c r="M9" i="28"/>
  <c r="M49" i="28"/>
  <c r="M50" i="28"/>
  <c r="M44" i="28"/>
  <c r="M40" i="28"/>
  <c r="M29" i="28"/>
  <c r="M21" i="28"/>
  <c r="M16" i="28"/>
  <c r="M10" i="28"/>
  <c r="N67" i="27"/>
  <c r="N89" i="27"/>
  <c r="A72" i="27"/>
  <c r="A39" i="27"/>
  <c r="A12" i="27"/>
  <c r="A3" i="27"/>
  <c r="D98" i="27"/>
  <c r="I7" i="27"/>
  <c r="J7" i="27" s="1"/>
  <c r="A19" i="27"/>
  <c r="D27" i="27"/>
  <c r="D105" i="27"/>
  <c r="C46" i="27"/>
  <c r="N46" i="27" s="1"/>
  <c r="I19" i="27"/>
  <c r="J19" i="27" s="1"/>
  <c r="B99" i="27"/>
  <c r="A89" i="27"/>
  <c r="I101" i="27"/>
  <c r="A101" i="27"/>
  <c r="B94" i="27"/>
  <c r="D89" i="27"/>
  <c r="B49" i="27"/>
  <c r="N98" i="27"/>
  <c r="D99" i="27"/>
  <c r="D31" i="27"/>
  <c r="C56" i="27"/>
  <c r="I77" i="27"/>
  <c r="J77" i="27" s="1"/>
  <c r="B31" i="27"/>
  <c r="J31" i="27" s="1"/>
  <c r="D49" i="27"/>
  <c r="D41" i="27"/>
  <c r="I85" i="27"/>
  <c r="J85" i="27" s="1"/>
  <c r="B41" i="27"/>
  <c r="J41" i="27" s="1"/>
  <c r="A85" i="27"/>
  <c r="N93" i="27"/>
  <c r="I91" i="27"/>
  <c r="J91" i="27" s="1"/>
  <c r="I99" i="27"/>
  <c r="J99" i="27" s="1"/>
  <c r="A7" i="27"/>
  <c r="D93" i="27"/>
  <c r="N107" i="27"/>
  <c r="D102" i="27"/>
  <c r="A102" i="27"/>
  <c r="N90" i="27"/>
  <c r="N84" i="27"/>
  <c r="I18" i="27"/>
  <c r="I6" i="27"/>
  <c r="J6" i="27" s="1"/>
  <c r="A91" i="27"/>
  <c r="A79" i="27"/>
  <c r="B40" i="27"/>
  <c r="A90" i="27"/>
  <c r="A100" i="27"/>
  <c r="B102" i="27"/>
  <c r="I59" i="27"/>
  <c r="J59" i="27" s="1"/>
  <c r="I14" i="27"/>
  <c r="J14" i="27" s="1"/>
  <c r="B79" i="27"/>
  <c r="A83" i="27"/>
  <c r="B90" i="27"/>
  <c r="D100" i="27"/>
  <c r="D26" i="27"/>
  <c r="I9" i="27"/>
  <c r="J9" i="27" s="1"/>
  <c r="I26" i="27"/>
  <c r="A18" i="27"/>
  <c r="A87" i="27"/>
  <c r="A29" i="27"/>
  <c r="D9" i="27"/>
  <c r="D76" i="27"/>
  <c r="D90" i="27"/>
  <c r="I21" i="27"/>
  <c r="J21" i="27" s="1"/>
  <c r="I76" i="27"/>
  <c r="J76" i="27" s="1"/>
  <c r="B18" i="27"/>
  <c r="D30" i="27"/>
  <c r="I48" i="27"/>
  <c r="J48" i="27" s="1"/>
  <c r="A59" i="27"/>
  <c r="A76" i="27"/>
  <c r="A77" i="27"/>
  <c r="A50" i="27"/>
  <c r="A41" i="27"/>
  <c r="A31" i="27"/>
  <c r="A14" i="27"/>
  <c r="D6" i="27"/>
  <c r="A106" i="27"/>
  <c r="I103" i="27"/>
  <c r="J103" i="27" s="1"/>
  <c r="I30" i="27"/>
  <c r="J30" i="27" s="1"/>
  <c r="B59" i="27"/>
  <c r="A92" i="27"/>
  <c r="N49" i="27"/>
  <c r="A30" i="27"/>
  <c r="A13" i="27"/>
  <c r="A98" i="27"/>
  <c r="N102" i="27"/>
  <c r="N81" i="27"/>
  <c r="N55" i="27"/>
  <c r="N94" i="27"/>
  <c r="N96" i="27"/>
  <c r="N80" i="27"/>
  <c r="N69" i="27"/>
  <c r="N54" i="27"/>
  <c r="N79" i="27"/>
  <c r="I62" i="27"/>
  <c r="J62" i="27" s="1"/>
  <c r="D77" i="27"/>
  <c r="D10" i="27"/>
  <c r="D22" i="27"/>
  <c r="D85" i="27"/>
  <c r="A69" i="27"/>
  <c r="D94" i="27"/>
  <c r="D17" i="27"/>
  <c r="D42" i="27"/>
  <c r="D55" i="27"/>
  <c r="D69" i="27"/>
  <c r="D96" i="27"/>
  <c r="N87" i="27"/>
  <c r="I42" i="27"/>
  <c r="J42" i="27" s="1"/>
  <c r="I23" i="27"/>
  <c r="B87" i="27"/>
  <c r="B36" i="27"/>
  <c r="J36" i="27" s="1"/>
  <c r="B69" i="27"/>
  <c r="B45" i="27"/>
  <c r="B11" i="27"/>
  <c r="B29" i="27"/>
  <c r="J29" i="27" s="1"/>
  <c r="A6" i="27"/>
  <c r="A84" i="27"/>
  <c r="A94" i="27"/>
  <c r="D91" i="27"/>
  <c r="D51" i="27"/>
  <c r="D21" i="27"/>
  <c r="D103" i="27"/>
  <c r="D83" i="27"/>
  <c r="I68" i="27"/>
  <c r="J68" i="27" s="1"/>
  <c r="I44" i="27"/>
  <c r="J44" i="27" s="1"/>
  <c r="I45" i="27"/>
  <c r="J45" i="27" s="1"/>
  <c r="A16" i="27"/>
  <c r="A51" i="27"/>
  <c r="A21" i="27"/>
  <c r="A103" i="27"/>
  <c r="A60" i="27"/>
  <c r="A80" i="27"/>
  <c r="A55" i="27"/>
  <c r="A23" i="27"/>
  <c r="A97" i="27"/>
  <c r="D106" i="27"/>
  <c r="D45" i="27"/>
  <c r="D60" i="27"/>
  <c r="D79" i="27"/>
  <c r="D29" i="27"/>
  <c r="D14" i="27"/>
  <c r="C92" i="27"/>
  <c r="N92" i="27" s="1"/>
  <c r="C77" i="27"/>
  <c r="C50" i="27"/>
  <c r="N50" i="27" s="1"/>
  <c r="I51" i="27"/>
  <c r="J51" i="27" s="1"/>
  <c r="I70" i="27"/>
  <c r="J70" i="27" s="1"/>
  <c r="B80" i="27"/>
  <c r="B55" i="27"/>
  <c r="B23" i="27"/>
  <c r="B97" i="27"/>
  <c r="A48" i="27"/>
  <c r="I106" i="27"/>
  <c r="J106" i="27" s="1"/>
  <c r="B17" i="27"/>
  <c r="J17" i="27" s="1"/>
  <c r="B81" i="27"/>
  <c r="D28" i="27"/>
  <c r="I11" i="27"/>
  <c r="I97" i="27"/>
  <c r="J97" i="27" s="1"/>
  <c r="D48" i="27"/>
  <c r="D39" i="27"/>
  <c r="D72" i="27"/>
  <c r="D68" i="27"/>
  <c r="D12" i="27"/>
  <c r="I35" i="27"/>
  <c r="J35" i="27" s="1"/>
  <c r="A35" i="27"/>
  <c r="A68" i="27"/>
  <c r="A44" i="27"/>
  <c r="A10" i="27"/>
  <c r="A28" i="27"/>
  <c r="A37" i="27"/>
  <c r="A70" i="27"/>
  <c r="I10" i="27"/>
  <c r="J10" i="27" s="1"/>
  <c r="A36" i="27"/>
  <c r="A17" i="27"/>
  <c r="D37" i="27"/>
  <c r="D81" i="27"/>
  <c r="D44" i="27"/>
  <c r="D70" i="27"/>
  <c r="D35" i="27"/>
  <c r="C72" i="27"/>
  <c r="I37" i="27"/>
  <c r="J37" i="27" s="1"/>
  <c r="A106" i="26"/>
  <c r="A41" i="26"/>
  <c r="A9" i="26"/>
  <c r="A182" i="26"/>
  <c r="A144" i="26"/>
  <c r="A118" i="26"/>
  <c r="A151" i="26"/>
  <c r="A142" i="26"/>
  <c r="A163" i="26"/>
  <c r="A35" i="26"/>
  <c r="A71" i="26"/>
  <c r="Q16" i="53"/>
  <c r="B139" i="26"/>
  <c r="A37" i="26"/>
  <c r="B119" i="26"/>
  <c r="B111" i="26"/>
  <c r="A99" i="26"/>
  <c r="B91" i="26"/>
  <c r="A38" i="26"/>
  <c r="A6" i="26"/>
  <c r="A3" i="26"/>
  <c r="A19" i="26"/>
  <c r="A32" i="26"/>
  <c r="A154" i="26"/>
  <c r="A169" i="26"/>
  <c r="A123" i="26"/>
  <c r="A256" i="26"/>
  <c r="A85" i="26"/>
  <c r="A44" i="26"/>
  <c r="Q27" i="53"/>
  <c r="Q12" i="53"/>
  <c r="Q28" i="53"/>
  <c r="A13" i="26"/>
  <c r="B92" i="26"/>
  <c r="B99" i="26"/>
  <c r="Q17" i="53"/>
  <c r="B110" i="26"/>
  <c r="A25" i="26"/>
  <c r="A170" i="26"/>
  <c r="A168" i="26"/>
  <c r="A187" i="26"/>
  <c r="A146" i="26"/>
  <c r="B144" i="26"/>
  <c r="B124" i="26"/>
  <c r="A167" i="26"/>
  <c r="A174" i="26"/>
  <c r="A183" i="26"/>
  <c r="A159" i="26"/>
  <c r="A180" i="26"/>
  <c r="B143" i="26"/>
  <c r="A79" i="26"/>
  <c r="A18" i="26"/>
  <c r="A7" i="26"/>
  <c r="A91" i="26"/>
  <c r="B136" i="26"/>
  <c r="B123" i="26"/>
  <c r="B142" i="26"/>
  <c r="A78" i="26"/>
  <c r="A70" i="26"/>
  <c r="A53" i="26"/>
  <c r="A45" i="26"/>
  <c r="B133" i="26"/>
  <c r="A60" i="26"/>
  <c r="A52" i="26"/>
  <c r="A181" i="26"/>
  <c r="A185" i="26"/>
  <c r="A128" i="26"/>
  <c r="B128" i="26"/>
  <c r="B135" i="26"/>
  <c r="A135" i="26"/>
  <c r="A143" i="26"/>
  <c r="A14" i="26"/>
  <c r="A21" i="26"/>
  <c r="Q14" i="53"/>
  <c r="Q26" i="53"/>
  <c r="Q8" i="53"/>
  <c r="A121" i="26"/>
  <c r="B114" i="26"/>
  <c r="A103" i="26"/>
  <c r="B103" i="26"/>
  <c r="Q7" i="53"/>
  <c r="Q24" i="53"/>
  <c r="A129" i="26"/>
  <c r="B129" i="26"/>
  <c r="A119" i="26"/>
  <c r="B255" i="26"/>
  <c r="Q19" i="53"/>
  <c r="Q11" i="53"/>
  <c r="Q21" i="53"/>
  <c r="A22" i="26"/>
  <c r="A5" i="26"/>
  <c r="A117" i="26"/>
  <c r="A122" i="26"/>
  <c r="B115" i="26"/>
  <c r="A165" i="26"/>
  <c r="A153" i="26"/>
  <c r="A166" i="26"/>
  <c r="A162" i="26"/>
  <c r="B178" i="26"/>
  <c r="B97" i="26"/>
  <c r="B141" i="26"/>
  <c r="A120" i="26"/>
  <c r="A113" i="26"/>
  <c r="B101" i="26"/>
  <c r="A69" i="26"/>
  <c r="A46" i="26"/>
  <c r="A227" i="26"/>
  <c r="A155" i="26"/>
  <c r="A158" i="26"/>
  <c r="A160" i="26"/>
  <c r="A176" i="26"/>
  <c r="B181" i="26"/>
  <c r="Q20" i="53"/>
  <c r="A34" i="26"/>
  <c r="A10" i="26"/>
  <c r="A42" i="26"/>
  <c r="A156" i="26"/>
  <c r="Q18" i="53"/>
  <c r="Q13" i="53"/>
  <c r="A39" i="26"/>
  <c r="A112" i="26"/>
  <c r="Q15" i="53"/>
  <c r="C9" i="48" s="1"/>
  <c r="E9" i="48" s="1"/>
  <c r="AM9" i="48" s="1"/>
  <c r="Q22" i="53"/>
  <c r="A28" i="26"/>
  <c r="A31" i="26"/>
  <c r="B137" i="26"/>
  <c r="B122" i="26"/>
  <c r="A98" i="26"/>
  <c r="A73" i="26"/>
  <c r="A65" i="26"/>
  <c r="A57" i="26"/>
  <c r="A139" i="26"/>
  <c r="A161" i="26"/>
  <c r="A164" i="26"/>
  <c r="Q5" i="53"/>
  <c r="Q30" i="53"/>
  <c r="Q23" i="53"/>
  <c r="Q9" i="53"/>
  <c r="Q37" i="53"/>
  <c r="Q6" i="53"/>
  <c r="Q32" i="53"/>
  <c r="Q35" i="53"/>
  <c r="Q29" i="53"/>
  <c r="Q33" i="53"/>
  <c r="Q10" i="53"/>
  <c r="B138" i="26"/>
  <c r="A138" i="26"/>
  <c r="B132" i="26"/>
  <c r="A132" i="26"/>
  <c r="Q34" i="53"/>
  <c r="Q36" i="53"/>
  <c r="B116" i="26"/>
  <c r="A116" i="26"/>
  <c r="A15" i="26"/>
  <c r="A40" i="26"/>
  <c r="Q31" i="53"/>
  <c r="Q25" i="53"/>
  <c r="B90" i="26"/>
  <c r="A90" i="26"/>
  <c r="A141" i="26"/>
  <c r="B134" i="26"/>
  <c r="A134" i="26"/>
  <c r="B125" i="26"/>
  <c r="A125" i="26"/>
  <c r="B102" i="26"/>
  <c r="A108" i="26"/>
  <c r="B180" i="26"/>
  <c r="AG30" i="30"/>
  <c r="AD30" i="30"/>
  <c r="AC30" i="30"/>
  <c r="AJ30" i="30"/>
  <c r="AB30" i="30"/>
  <c r="AF30" i="30"/>
  <c r="AA30" i="30"/>
  <c r="AH30" i="30"/>
  <c r="AY30" i="30"/>
  <c r="AI30" i="30"/>
  <c r="M1" i="48"/>
  <c r="F1" i="48"/>
  <c r="U6" i="48"/>
  <c r="V6" i="48" s="1"/>
  <c r="W6" i="48" s="1"/>
  <c r="X6" i="48" s="1"/>
  <c r="Y6" i="48" s="1"/>
  <c r="Z6" i="48" s="1"/>
  <c r="AA6" i="48" s="1"/>
  <c r="AA1" i="48" s="1"/>
  <c r="G6" i="49"/>
  <c r="H6" i="49" s="1"/>
  <c r="I6" i="49" s="1"/>
  <c r="J6" i="49" s="1"/>
  <c r="K6" i="49" s="1"/>
  <c r="L6" i="49" s="1"/>
  <c r="M6" i="49" s="1"/>
  <c r="N6" i="49" s="1"/>
  <c r="O6" i="49" s="1"/>
  <c r="P6" i="49" s="1"/>
  <c r="Q6" i="49" s="1"/>
  <c r="R6" i="49" s="1"/>
  <c r="S6" i="49" s="1"/>
  <c r="T6" i="49" s="1"/>
  <c r="AX29" i="53"/>
  <c r="A24" i="52"/>
  <c r="AI29" i="53"/>
  <c r="AG5" i="53"/>
  <c r="AE26" i="53"/>
  <c r="AA20" i="53"/>
  <c r="C20" i="53" s="1"/>
  <c r="AB34" i="30"/>
  <c r="AY37" i="30"/>
  <c r="AH14" i="53"/>
  <c r="AG9" i="53"/>
  <c r="AJ40" i="30"/>
  <c r="AD24" i="53"/>
  <c r="AA6" i="53"/>
  <c r="D6" i="53" s="1"/>
  <c r="AC34" i="30"/>
  <c r="AA26" i="53"/>
  <c r="C26" i="53" s="1"/>
  <c r="AH13" i="30"/>
  <c r="AY13" i="30"/>
  <c r="AJ8" i="30"/>
  <c r="AD10" i="53"/>
  <c r="AG26" i="53"/>
  <c r="AD27" i="53"/>
  <c r="AX23" i="53"/>
  <c r="BA23" i="53" s="1"/>
  <c r="AH26" i="53"/>
  <c r="AC29" i="53"/>
  <c r="AG13" i="30"/>
  <c r="AF18" i="53"/>
  <c r="G18" i="53" s="1"/>
  <c r="AX27" i="53"/>
  <c r="AA7" i="53"/>
  <c r="C7" i="53" s="1"/>
  <c r="AA13" i="30"/>
  <c r="A23" i="52"/>
  <c r="AY10" i="30"/>
  <c r="AC31" i="30"/>
  <c r="AG23" i="53"/>
  <c r="AA36" i="53"/>
  <c r="AC13" i="30"/>
  <c r="AG35" i="53"/>
  <c r="AC26" i="53"/>
  <c r="AX25" i="53"/>
  <c r="BA25" i="53" s="1"/>
  <c r="AG29" i="53"/>
  <c r="AC7" i="53"/>
  <c r="AJ13" i="30"/>
  <c r="AE30" i="53"/>
  <c r="AB19" i="53"/>
  <c r="AJ12" i="30"/>
  <c r="AA36" i="30"/>
  <c r="AH30" i="53"/>
  <c r="AI5" i="53"/>
  <c r="AI13" i="53"/>
  <c r="AF6" i="53"/>
  <c r="G6" i="53" s="1"/>
  <c r="AJ6" i="53" s="1"/>
  <c r="AB6" i="53"/>
  <c r="AX11" i="53"/>
  <c r="BA11" i="53" s="1"/>
  <c r="AG8" i="53"/>
  <c r="AC32" i="53"/>
  <c r="AI17" i="53"/>
  <c r="AD31" i="53"/>
  <c r="AC22" i="53"/>
  <c r="AB13" i="30"/>
  <c r="AF10" i="30"/>
  <c r="AI18" i="53"/>
  <c r="AF28" i="53"/>
  <c r="G28" i="53" s="1"/>
  <c r="AO28" i="53" s="1"/>
  <c r="AB17" i="53"/>
  <c r="AF37" i="53"/>
  <c r="G37" i="53" s="1"/>
  <c r="AF24" i="53"/>
  <c r="G24" i="53" s="1"/>
  <c r="AJ24" i="53" s="1"/>
  <c r="AB22" i="53"/>
  <c r="AH15" i="53"/>
  <c r="D18" i="48" s="1"/>
  <c r="AD12" i="53"/>
  <c r="AD35" i="53"/>
  <c r="AI13" i="30"/>
  <c r="AJ37" i="30"/>
  <c r="AY40" i="30"/>
  <c r="AD17" i="53"/>
  <c r="AF32" i="53"/>
  <c r="G32" i="53" s="1"/>
  <c r="AI16" i="53"/>
  <c r="AE10" i="53"/>
  <c r="AB11" i="53"/>
  <c r="AF13" i="30"/>
  <c r="AF10" i="53"/>
  <c r="G10" i="53" s="1"/>
  <c r="AA33" i="53"/>
  <c r="H33" i="53" s="1"/>
  <c r="AJ34" i="30"/>
  <c r="AH16" i="53"/>
  <c r="AC15" i="53"/>
  <c r="AE7" i="53"/>
  <c r="AX19" i="53"/>
  <c r="BA19" i="53" s="1"/>
  <c r="AI20" i="53"/>
  <c r="AE20" i="53"/>
  <c r="AA13" i="53"/>
  <c r="H13" i="53" s="1"/>
  <c r="AD13" i="30"/>
  <c r="AE22" i="53"/>
  <c r="AA18" i="53"/>
  <c r="C18" i="53" s="1"/>
  <c r="AH12" i="53"/>
  <c r="AB31" i="53"/>
  <c r="AF33" i="53"/>
  <c r="G33" i="53" s="1"/>
  <c r="AO33" i="53" s="1"/>
  <c r="AJ10" i="30"/>
  <c r="AF27" i="53"/>
  <c r="G27" i="53" s="1"/>
  <c r="AY35" i="30"/>
  <c r="AE14" i="53"/>
  <c r="AC31" i="53"/>
  <c r="AC20" i="53"/>
  <c r="AJ21" i="30"/>
  <c r="AH22" i="53"/>
  <c r="AX21" i="53"/>
  <c r="BA21" i="53" s="1"/>
  <c r="AC33" i="53"/>
  <c r="AE32" i="53"/>
  <c r="AG15" i="53"/>
  <c r="D17" i="48" s="1"/>
  <c r="AX7" i="53"/>
  <c r="BA7" i="53" s="1"/>
  <c r="AB29" i="53"/>
  <c r="AE33" i="53"/>
  <c r="AG10" i="53"/>
  <c r="AI14" i="53"/>
  <c r="AI34" i="30"/>
  <c r="AX24" i="53"/>
  <c r="BA24" i="53" s="1"/>
  <c r="AB32" i="53"/>
  <c r="AD6" i="53"/>
  <c r="AF13" i="53"/>
  <c r="G13" i="53" s="1"/>
  <c r="AJ13" i="53" s="1"/>
  <c r="AI19" i="53"/>
  <c r="AE21" i="53"/>
  <c r="AD14" i="53"/>
  <c r="AD7" i="53"/>
  <c r="AB18" i="53"/>
  <c r="AF14" i="53"/>
  <c r="G14" i="53" s="1"/>
  <c r="AJ25" i="30"/>
  <c r="AA21" i="53"/>
  <c r="H21" i="53" s="1"/>
  <c r="A23" i="49"/>
  <c r="AI21" i="53"/>
  <c r="AA27" i="53"/>
  <c r="C27" i="53" s="1"/>
  <c r="AC8" i="53"/>
  <c r="AE15" i="53"/>
  <c r="D16" i="48" s="1"/>
  <c r="AH20" i="53"/>
  <c r="AX13" i="53"/>
  <c r="BA13" i="53" s="1"/>
  <c r="AC25" i="53"/>
  <c r="AE24" i="53"/>
  <c r="AG17" i="53"/>
  <c r="AX30" i="53"/>
  <c r="AB13" i="53"/>
  <c r="AE9" i="53"/>
  <c r="AG30" i="53"/>
  <c r="AI23" i="53"/>
  <c r="AI22" i="53"/>
  <c r="AG7" i="53"/>
  <c r="AE5" i="53"/>
  <c r="AC5" i="53"/>
  <c r="AA5" i="53"/>
  <c r="AA8" i="53"/>
  <c r="AC27" i="53"/>
  <c r="AJ18" i="30"/>
  <c r="AC21" i="53"/>
  <c r="AJ22" i="30"/>
  <c r="AC6" i="53"/>
  <c r="AB25" i="53"/>
  <c r="AJ29" i="30"/>
  <c r="AA11" i="53"/>
  <c r="AE31" i="53"/>
  <c r="AY22" i="30"/>
  <c r="AG32" i="53"/>
  <c r="AY16" i="30"/>
  <c r="AJ17" i="30"/>
  <c r="AJ20" i="30"/>
  <c r="AD34" i="53"/>
  <c r="AA37" i="53"/>
  <c r="AH35" i="53"/>
  <c r="AA17" i="53"/>
  <c r="AC30" i="53"/>
  <c r="AF12" i="53"/>
  <c r="G12" i="53" s="1"/>
  <c r="AP12" i="53" s="1"/>
  <c r="AH34" i="53"/>
  <c r="AA11" i="30"/>
  <c r="AA19" i="53"/>
  <c r="AC12" i="53"/>
  <c r="AE28" i="53"/>
  <c r="AH27" i="53"/>
  <c r="AC35" i="53"/>
  <c r="AE36" i="53"/>
  <c r="AG24" i="53"/>
  <c r="AI34" i="53"/>
  <c r="AI25" i="53"/>
  <c r="AG33" i="53"/>
  <c r="AY15" i="30"/>
  <c r="AB7" i="53"/>
  <c r="AB34" i="53"/>
  <c r="AA10" i="53"/>
  <c r="D10" i="53" s="1"/>
  <c r="AJ35" i="30"/>
  <c r="AX26" i="53"/>
  <c r="BA26" i="53" s="1"/>
  <c r="AD25" i="53"/>
  <c r="AY24" i="30"/>
  <c r="AF36" i="53"/>
  <c r="G36" i="53" s="1"/>
  <c r="AO36" i="53" s="1"/>
  <c r="AJ15" i="30"/>
  <c r="AD34" i="30"/>
  <c r="AI27" i="53"/>
  <c r="AA15" i="53"/>
  <c r="AD21" i="53"/>
  <c r="AF17" i="53"/>
  <c r="G17" i="53" s="1"/>
  <c r="AH17" i="53"/>
  <c r="AB37" i="53"/>
  <c r="AA9" i="53"/>
  <c r="AC14" i="53"/>
  <c r="AF19" i="53"/>
  <c r="G19" i="53" s="1"/>
  <c r="AJ19" i="53" s="1"/>
  <c r="AH25" i="53"/>
  <c r="AI11" i="30"/>
  <c r="AA34" i="53"/>
  <c r="AC23" i="53"/>
  <c r="AE34" i="53"/>
  <c r="AG14" i="53"/>
  <c r="A24" i="49"/>
  <c r="AY34" i="30"/>
  <c r="AI35" i="53"/>
  <c r="AG25" i="53"/>
  <c r="AE16" i="53"/>
  <c r="AC34" i="53"/>
  <c r="AA32" i="53"/>
  <c r="C32" i="53" s="1"/>
  <c r="AB12" i="53"/>
  <c r="AD18" i="53"/>
  <c r="AF35" i="53"/>
  <c r="G35" i="53" s="1"/>
  <c r="AI26" i="53"/>
  <c r="AX36" i="53"/>
  <c r="BA36" i="53" s="1"/>
  <c r="AA29" i="53"/>
  <c r="H29" i="53" s="1"/>
  <c r="AD29" i="53"/>
  <c r="AH8" i="53"/>
  <c r="AF11" i="30"/>
  <c r="AG22" i="53"/>
  <c r="AE8" i="53"/>
  <c r="AA31" i="53"/>
  <c r="AJ16" i="30"/>
  <c r="AX32" i="53"/>
  <c r="BA32" i="53" s="1"/>
  <c r="AC11" i="30"/>
  <c r="AY25" i="30"/>
  <c r="AI9" i="53"/>
  <c r="AY27" i="30"/>
  <c r="AC24" i="53"/>
  <c r="AG31" i="53"/>
  <c r="AY5" i="30"/>
  <c r="AE25" i="53"/>
  <c r="AX35" i="53"/>
  <c r="BA35" i="53" s="1"/>
  <c r="AB28" i="53"/>
  <c r="AH31" i="53"/>
  <c r="AC37" i="53"/>
  <c r="AD11" i="30"/>
  <c r="AB15" i="53"/>
  <c r="A19" i="48" s="1"/>
  <c r="AD19" i="53"/>
  <c r="AF31" i="53"/>
  <c r="G31" i="53" s="1"/>
  <c r="AH6" i="53"/>
  <c r="AE37" i="53"/>
  <c r="AA30" i="53"/>
  <c r="C30" i="53" s="1"/>
  <c r="AD36" i="53"/>
  <c r="AF9" i="53"/>
  <c r="G9" i="53" s="1"/>
  <c r="AH32" i="53"/>
  <c r="AD37" i="53"/>
  <c r="AA16" i="53"/>
  <c r="D16" i="53" s="1"/>
  <c r="AC28" i="53"/>
  <c r="AF26" i="53"/>
  <c r="G26" i="53" s="1"/>
  <c r="AO26" i="53" s="1"/>
  <c r="AH11" i="53"/>
  <c r="AY11" i="30"/>
  <c r="AH34" i="30"/>
  <c r="AH37" i="53"/>
  <c r="AH5" i="53"/>
  <c r="AF5" i="53"/>
  <c r="G5" i="53" s="1"/>
  <c r="AE17" i="53"/>
  <c r="AC9" i="53"/>
  <c r="AI31" i="53"/>
  <c r="AX31" i="53"/>
  <c r="AH9" i="53"/>
  <c r="AY26" i="30"/>
  <c r="AI24" i="53"/>
  <c r="AY9" i="30"/>
  <c r="AH19" i="53"/>
  <c r="AA12" i="53"/>
  <c r="AF8" i="53"/>
  <c r="G8" i="53" s="1"/>
  <c r="AD28" i="53"/>
  <c r="AJ26" i="30"/>
  <c r="AH21" i="53"/>
  <c r="AX37" i="53"/>
  <c r="BA37" i="53" s="1"/>
  <c r="AG21" i="53"/>
  <c r="AB30" i="53"/>
  <c r="AD9" i="53"/>
  <c r="AF20" i="53"/>
  <c r="G20" i="53" s="1"/>
  <c r="AI12" i="53"/>
  <c r="AX12" i="53"/>
  <c r="BA12" i="53" s="1"/>
  <c r="AB36" i="53"/>
  <c r="AD11" i="53"/>
  <c r="AF23" i="53"/>
  <c r="G23" i="53" s="1"/>
  <c r="AH29" i="53"/>
  <c r="AA14" i="53"/>
  <c r="AD20" i="53"/>
  <c r="AF11" i="53"/>
  <c r="G11" i="53" s="1"/>
  <c r="AH24" i="53"/>
  <c r="AI37" i="53"/>
  <c r="AG11" i="30"/>
  <c r="AH7" i="53"/>
  <c r="AF30" i="53"/>
  <c r="G30" i="53" s="1"/>
  <c r="AD5" i="53"/>
  <c r="AB5" i="53"/>
  <c r="AX16" i="53"/>
  <c r="BA16" i="53" s="1"/>
  <c r="AB24" i="53"/>
  <c r="AE12" i="53"/>
  <c r="AG28" i="53"/>
  <c r="AI15" i="53"/>
  <c r="AX10" i="53"/>
  <c r="AB35" i="53"/>
  <c r="AD15" i="53"/>
  <c r="AF22" i="53"/>
  <c r="G22" i="53" s="1"/>
  <c r="AO22" i="53" s="1"/>
  <c r="AI36" i="53"/>
  <c r="AA35" i="53"/>
  <c r="C35" i="53" s="1"/>
  <c r="AC16" i="53"/>
  <c r="AE23" i="53"/>
  <c r="AG13" i="53"/>
  <c r="AC22" i="30"/>
  <c r="AG11" i="53"/>
  <c r="AH18" i="53"/>
  <c r="AY28" i="30"/>
  <c r="AF21" i="53"/>
  <c r="G21" i="53" s="1"/>
  <c r="AY20" i="30"/>
  <c r="AE27" i="53"/>
  <c r="AB21" i="53"/>
  <c r="AJ24" i="30"/>
  <c r="AC17" i="53"/>
  <c r="AI28" i="53"/>
  <c r="AH11" i="30"/>
  <c r="AX20" i="53"/>
  <c r="BA20" i="53" s="1"/>
  <c r="AB9" i="53"/>
  <c r="AD30" i="53"/>
  <c r="AG27" i="53"/>
  <c r="AI8" i="53"/>
  <c r="AX34" i="53"/>
  <c r="AB26" i="53"/>
  <c r="AD8" i="53"/>
  <c r="AF29" i="53"/>
  <c r="G29" i="53" s="1"/>
  <c r="AJ29" i="53" s="1"/>
  <c r="AI10" i="53"/>
  <c r="AB20" i="53"/>
  <c r="AD26" i="53"/>
  <c r="AH23" i="53"/>
  <c r="AF34" i="30"/>
  <c r="AB11" i="30"/>
  <c r="AH36" i="53"/>
  <c r="AD23" i="53"/>
  <c r="AB16" i="53"/>
  <c r="AX14" i="53"/>
  <c r="BA14" i="53" s="1"/>
  <c r="AX22" i="53"/>
  <c r="BA22" i="53" s="1"/>
  <c r="AC11" i="53"/>
  <c r="AE29" i="53"/>
  <c r="AG16" i="53"/>
  <c r="AI33" i="53"/>
  <c r="AX8" i="53"/>
  <c r="AB8" i="53"/>
  <c r="AE11" i="53"/>
  <c r="AG36" i="53"/>
  <c r="AI32" i="53"/>
  <c r="AA25" i="53"/>
  <c r="AC19" i="53"/>
  <c r="AE6" i="53"/>
  <c r="AH28" i="53"/>
  <c r="AJ11" i="30"/>
  <c r="AF15" i="53"/>
  <c r="G15" i="53" s="1"/>
  <c r="AG34" i="53"/>
  <c r="AY23" i="30"/>
  <c r="AF34" i="53"/>
  <c r="G34" i="53" s="1"/>
  <c r="AG20" i="53"/>
  <c r="AY32" i="30"/>
  <c r="AD32" i="53"/>
  <c r="AY29" i="30"/>
  <c r="AD13" i="53"/>
  <c r="AJ9" i="30"/>
  <c r="AA22" i="53"/>
  <c r="D22" i="53" s="1"/>
  <c r="AJ27" i="30"/>
  <c r="AX5" i="53"/>
  <c r="BA5" i="53" s="1"/>
  <c r="AX17" i="53"/>
  <c r="BA17" i="53" s="1"/>
  <c r="AB14" i="53"/>
  <c r="AE18" i="53"/>
  <c r="AG18" i="53"/>
  <c r="AI30" i="53"/>
  <c r="AA34" i="30"/>
  <c r="AX9" i="53"/>
  <c r="AB23" i="53"/>
  <c r="AD22" i="53"/>
  <c r="AG19" i="53"/>
  <c r="AI11" i="53"/>
  <c r="AX18" i="53"/>
  <c r="BA18" i="53" s="1"/>
  <c r="AB10" i="53"/>
  <c r="AD16" i="53"/>
  <c r="AF7" i="53"/>
  <c r="G7" i="53" s="1"/>
  <c r="AO7" i="53" s="1"/>
  <c r="AH13" i="53"/>
  <c r="AH10" i="53"/>
  <c r="AF16" i="53"/>
  <c r="G16" i="53" s="1"/>
  <c r="AD33" i="53"/>
  <c r="AB33" i="53"/>
  <c r="AX33" i="53"/>
  <c r="AA28" i="53"/>
  <c r="AC18" i="53"/>
  <c r="AE19" i="53"/>
  <c r="AG6" i="53"/>
  <c r="AX6" i="53"/>
  <c r="BA6" i="53" s="1"/>
  <c r="AC10" i="53"/>
  <c r="AE13" i="53"/>
  <c r="AG12" i="53"/>
  <c r="AI7" i="53"/>
  <c r="AX28" i="53"/>
  <c r="AA23" i="53"/>
  <c r="C23" i="53" s="1"/>
  <c r="AC13" i="53"/>
  <c r="AF25" i="53"/>
  <c r="G25" i="53" s="1"/>
  <c r="AJ25" i="53" s="1"/>
  <c r="AH33" i="53"/>
  <c r="AG37" i="53"/>
  <c r="AC21" i="30"/>
  <c r="AB20" i="30"/>
  <c r="AJ36" i="30"/>
  <c r="AF31" i="30"/>
  <c r="AY31" i="30"/>
  <c r="AY8" i="30"/>
  <c r="AJ28" i="30"/>
  <c r="AY18" i="30"/>
  <c r="AJ32" i="30"/>
  <c r="AA24" i="53"/>
  <c r="AC36" i="53"/>
  <c r="AY17" i="30"/>
  <c r="AE35" i="53"/>
  <c r="AB27" i="53"/>
  <c r="AJ5" i="30"/>
  <c r="AJ23" i="30"/>
  <c r="AY19" i="30"/>
  <c r="AJ19" i="30"/>
  <c r="AY21" i="30"/>
  <c r="AI6" i="53"/>
  <c r="AG34" i="30"/>
  <c r="AX15" i="53"/>
  <c r="BA15" i="53" s="1"/>
  <c r="AA12" i="30"/>
  <c r="AF26" i="30"/>
  <c r="AJ7" i="30"/>
  <c r="AY7" i="30"/>
  <c r="AF15" i="30"/>
  <c r="AF8" i="30"/>
  <c r="AA26" i="30"/>
  <c r="AI40" i="30"/>
  <c r="AF22" i="30"/>
  <c r="AH36" i="30"/>
  <c r="AA24" i="30"/>
  <c r="AA25" i="30"/>
  <c r="AA22" i="30"/>
  <c r="AF20" i="30"/>
  <c r="AF40" i="30"/>
  <c r="AA7" i="30"/>
  <c r="AB40" i="30"/>
  <c r="AC20" i="30"/>
  <c r="AG20" i="30"/>
  <c r="AY36" i="30"/>
  <c r="AI32" i="30"/>
  <c r="AF12" i="30"/>
  <c r="AA5" i="30"/>
  <c r="AC8" i="30"/>
  <c r="AF27" i="30"/>
  <c r="AF29" i="30"/>
  <c r="AF25" i="30"/>
  <c r="AA16" i="30"/>
  <c r="AB24" i="30"/>
  <c r="AH21" i="30"/>
  <c r="AF16" i="30"/>
  <c r="AB8" i="30"/>
  <c r="AF7" i="30"/>
  <c r="AY12" i="30"/>
  <c r="AA31" i="30"/>
  <c r="AG31" i="30"/>
  <c r="AH9" i="30"/>
  <c r="AH32" i="30"/>
  <c r="AG8" i="30"/>
  <c r="AA21" i="30"/>
  <c r="AC12" i="30"/>
  <c r="AA19" i="30"/>
  <c r="AI17" i="30"/>
  <c r="AI24" i="30"/>
  <c r="AG17" i="30"/>
  <c r="AA23" i="30"/>
  <c r="AF23" i="30"/>
  <c r="AD40" i="30"/>
  <c r="AA10" i="30"/>
  <c r="AH20" i="30"/>
  <c r="AF36" i="30"/>
  <c r="AA9" i="30"/>
  <c r="AJ31" i="30"/>
  <c r="AA15" i="30"/>
  <c r="AD20" i="30"/>
  <c r="AF19" i="30"/>
  <c r="AA20" i="30"/>
  <c r="AF24" i="30"/>
  <c r="AA35" i="30"/>
  <c r="AG28" i="30"/>
  <c r="AB27" i="30"/>
  <c r="AH27" i="30"/>
  <c r="AF32" i="30"/>
  <c r="AB35" i="30"/>
  <c r="AF9" i="30"/>
  <c r="AI18" i="30"/>
  <c r="AB22" i="30"/>
  <c r="AD21" i="30"/>
  <c r="AI15" i="30"/>
  <c r="AF28" i="30"/>
  <c r="AF17" i="30"/>
  <c r="AA29" i="30"/>
  <c r="AH40" i="30"/>
  <c r="AD29" i="30"/>
  <c r="AI36" i="30"/>
  <c r="AH35" i="30"/>
  <c r="AA32" i="30"/>
  <c r="AD27" i="30"/>
  <c r="AD32" i="30"/>
  <c r="AB32" i="30"/>
  <c r="AD35" i="30"/>
  <c r="AA27" i="30"/>
  <c r="AH8" i="30"/>
  <c r="AG35" i="30"/>
  <c r="AD17" i="30"/>
  <c r="AI35" i="30"/>
  <c r="AB15" i="30"/>
  <c r="AC15" i="30"/>
  <c r="AA8" i="30"/>
  <c r="AI23" i="30"/>
  <c r="AH19" i="30"/>
  <c r="AB26" i="30"/>
  <c r="AG24" i="30"/>
  <c r="AC28" i="30"/>
  <c r="AG36" i="30"/>
  <c r="AH17" i="30"/>
  <c r="AF5" i="30"/>
  <c r="AC29" i="30"/>
  <c r="AB17" i="30"/>
  <c r="AF35" i="30"/>
  <c r="AG21" i="30"/>
  <c r="AG9" i="30"/>
  <c r="AB16" i="30"/>
  <c r="AI29" i="30"/>
  <c r="AG19" i="30"/>
  <c r="AC16" i="30"/>
  <c r="AB25" i="30"/>
  <c r="AD25" i="30"/>
  <c r="AB36" i="30"/>
  <c r="AG40" i="30"/>
  <c r="AB37" i="30"/>
  <c r="AG5" i="30"/>
  <c r="AI25" i="30"/>
  <c r="AI28" i="30"/>
  <c r="AD24" i="30"/>
  <c r="AC27" i="30"/>
  <c r="AH23" i="30"/>
  <c r="AH24" i="30"/>
  <c r="AG22" i="30"/>
  <c r="AC5" i="30"/>
  <c r="AI26" i="30"/>
  <c r="AD5" i="30"/>
  <c r="AG7" i="30"/>
  <c r="AH26" i="30"/>
  <c r="AI21" i="30"/>
  <c r="AD26" i="30"/>
  <c r="AG26" i="30"/>
  <c r="AF21" i="30"/>
  <c r="AA37" i="30"/>
  <c r="AA18" i="30"/>
  <c r="AI31" i="30"/>
  <c r="AC25" i="30"/>
  <c r="AD22" i="30"/>
  <c r="AI20" i="30"/>
  <c r="AC32" i="30"/>
  <c r="AG15" i="30"/>
  <c r="AG27" i="30"/>
  <c r="AI27" i="30"/>
  <c r="AA17" i="30"/>
  <c r="AD8" i="30"/>
  <c r="AG25" i="30"/>
  <c r="AH37" i="30"/>
  <c r="AB29" i="30"/>
  <c r="AB19" i="30"/>
  <c r="AI5" i="30"/>
  <c r="AC26" i="30"/>
  <c r="AC19" i="30"/>
  <c r="AH15" i="30"/>
  <c r="AD16" i="30"/>
  <c r="AH5" i="30"/>
  <c r="AI19" i="30"/>
  <c r="AD28" i="30"/>
  <c r="AH28" i="30"/>
  <c r="AB9" i="30"/>
  <c r="AI8" i="30"/>
  <c r="AD15" i="30"/>
  <c r="AA40" i="30"/>
  <c r="AD36" i="30"/>
  <c r="AC40" i="30"/>
  <c r="AB12" i="30"/>
  <c r="AH25" i="30"/>
  <c r="AG37" i="30"/>
  <c r="AG29" i="30"/>
  <c r="AI9" i="30"/>
  <c r="AC23" i="30"/>
  <c r="AC24" i="30"/>
  <c r="AB18" i="30"/>
  <c r="AD23" i="30"/>
  <c r="AH16" i="30"/>
  <c r="AB23" i="30"/>
  <c r="AG16" i="30"/>
  <c r="AC18" i="30"/>
  <c r="AF18" i="30"/>
  <c r="AC35" i="30"/>
  <c r="AB28" i="30"/>
  <c r="AD19" i="30"/>
  <c r="AC36" i="30"/>
  <c r="AI22" i="30"/>
  <c r="AB31" i="30"/>
  <c r="AD37" i="30"/>
  <c r="AG18" i="30"/>
  <c r="AH10" i="30"/>
  <c r="AH22" i="30"/>
  <c r="AD12" i="30"/>
  <c r="AC37" i="30"/>
  <c r="AI7" i="30"/>
  <c r="AH18" i="30"/>
  <c r="AI37" i="30"/>
  <c r="AD31" i="30"/>
  <c r="AH31" i="30"/>
  <c r="AD18" i="30"/>
  <c r="AI10" i="30"/>
  <c r="AH12" i="30"/>
  <c r="AD10" i="30"/>
  <c r="A19" i="52"/>
  <c r="AH7" i="30"/>
  <c r="AB7" i="30"/>
  <c r="AF37" i="30"/>
  <c r="AD9" i="30"/>
  <c r="AB10" i="30"/>
  <c r="AC9" i="30"/>
  <c r="AG12" i="30"/>
  <c r="AG32" i="30"/>
  <c r="AC7" i="30"/>
  <c r="AI16" i="30"/>
  <c r="AD7" i="30"/>
  <c r="AC17" i="30"/>
  <c r="AB5" i="30"/>
  <c r="AB21" i="30"/>
  <c r="AG23" i="30"/>
  <c r="AC10" i="30"/>
  <c r="AA28" i="30"/>
  <c r="AG10" i="30"/>
  <c r="AI12" i="30"/>
  <c r="AH29" i="30"/>
  <c r="C9" i="56" l="1"/>
  <c r="C8" i="56"/>
  <c r="C14" i="58"/>
  <c r="D14" i="58"/>
  <c r="AT14" i="58"/>
  <c r="AQ14" i="58"/>
  <c r="AK14" i="58"/>
  <c r="AP14" i="58"/>
  <c r="H14" i="58"/>
  <c r="E14" i="58"/>
  <c r="I14" i="58"/>
  <c r="AZ66" i="30"/>
  <c r="C8" i="61"/>
  <c r="E8" i="61" s="1"/>
  <c r="BN8" i="61" s="1"/>
  <c r="A19" i="61"/>
  <c r="A8" i="61"/>
  <c r="D17" i="61"/>
  <c r="D16" i="61"/>
  <c r="C9" i="61"/>
  <c r="AT6" i="30"/>
  <c r="AQ6" i="30"/>
  <c r="BD6" i="30" s="1"/>
  <c r="AP6" i="30"/>
  <c r="AK6" i="30"/>
  <c r="E6" i="30"/>
  <c r="I6" i="30"/>
  <c r="H6" i="30"/>
  <c r="C6" i="30"/>
  <c r="D6" i="30"/>
  <c r="D18" i="61"/>
  <c r="N65" i="27"/>
  <c r="N63" i="27"/>
  <c r="G61" i="58"/>
  <c r="AP61" i="58" s="1"/>
  <c r="G56" i="58"/>
  <c r="AP56" i="58" s="1"/>
  <c r="G9" i="58"/>
  <c r="AQ9" i="58" s="1"/>
  <c r="G66" i="58"/>
  <c r="AP66" i="58" s="1"/>
  <c r="G57" i="58"/>
  <c r="AK57" i="58" s="1"/>
  <c r="G62" i="58"/>
  <c r="AP62" i="58" s="1"/>
  <c r="G47" i="58"/>
  <c r="AK47" i="58" s="1"/>
  <c r="G36" i="58"/>
  <c r="AK36" i="58" s="1"/>
  <c r="G8" i="58"/>
  <c r="AP8" i="58" s="1"/>
  <c r="G59" i="58"/>
  <c r="AK59" i="58" s="1"/>
  <c r="G16" i="58"/>
  <c r="AP16" i="58" s="1"/>
  <c r="G7" i="58"/>
  <c r="AP7" i="58" s="1"/>
  <c r="G29" i="58"/>
  <c r="G67" i="58"/>
  <c r="AQ67" i="58" s="1"/>
  <c r="G30" i="58"/>
  <c r="AP30" i="58" s="1"/>
  <c r="G49" i="58"/>
  <c r="AP49" i="58" s="1"/>
  <c r="G63" i="58"/>
  <c r="G20" i="58"/>
  <c r="AP20" i="58" s="1"/>
  <c r="G53" i="58"/>
  <c r="AP53" i="58" s="1"/>
  <c r="G51" i="58"/>
  <c r="AP51" i="58" s="1"/>
  <c r="G58" i="58"/>
  <c r="AK58" i="58" s="1"/>
  <c r="G5" i="58"/>
  <c r="AP5" i="58" s="1"/>
  <c r="G27" i="58"/>
  <c r="AP27" i="58" s="1"/>
  <c r="G22" i="58"/>
  <c r="AK22" i="58" s="1"/>
  <c r="G60" i="58"/>
  <c r="AK60" i="58" s="1"/>
  <c r="G52" i="58"/>
  <c r="AK52" i="58" s="1"/>
  <c r="G18" i="58"/>
  <c r="G10" i="58"/>
  <c r="AQ10" i="58" s="1"/>
  <c r="AK19" i="58"/>
  <c r="G23" i="58"/>
  <c r="AP23" i="58" s="1"/>
  <c r="G6" i="58"/>
  <c r="AQ6" i="58" s="1"/>
  <c r="G55" i="58"/>
  <c r="AP55" i="58" s="1"/>
  <c r="G46" i="58"/>
  <c r="AP46" i="58" s="1"/>
  <c r="G37" i="58"/>
  <c r="AK37" i="58" s="1"/>
  <c r="C999" i="59"/>
  <c r="D999" i="59"/>
  <c r="AU999" i="59"/>
  <c r="AQ999" i="59"/>
  <c r="AL999" i="59"/>
  <c r="E999" i="59"/>
  <c r="J999" i="59"/>
  <c r="H999" i="59"/>
  <c r="T569" i="59"/>
  <c r="W341" i="59"/>
  <c r="X216" i="59"/>
  <c r="X344" i="59"/>
  <c r="U890" i="59"/>
  <c r="S772" i="59"/>
  <c r="V772" i="59" s="1"/>
  <c r="T772" i="59"/>
  <c r="W890" i="59"/>
  <c r="X886" i="59"/>
  <c r="W860" i="59"/>
  <c r="U836" i="59"/>
  <c r="T829" i="59"/>
  <c r="X822" i="59"/>
  <c r="W819" i="59"/>
  <c r="S776" i="59"/>
  <c r="V776" i="59" s="1"/>
  <c r="X719" i="59"/>
  <c r="U709" i="59"/>
  <c r="T705" i="59"/>
  <c r="S136" i="59"/>
  <c r="V136" i="59" s="1"/>
  <c r="S341" i="59"/>
  <c r="V341" i="59" s="1"/>
  <c r="W207" i="59"/>
  <c r="T136" i="59"/>
  <c r="X291" i="59"/>
  <c r="U292" i="59"/>
  <c r="X302" i="59"/>
  <c r="T492" i="59"/>
  <c r="W302" i="59"/>
  <c r="U207" i="59"/>
  <c r="U665" i="59"/>
  <c r="X313" i="59"/>
  <c r="T263" i="59"/>
  <c r="X342" i="59"/>
  <c r="U547" i="59"/>
  <c r="U489" i="59"/>
  <c r="T499" i="59"/>
  <c r="X487" i="59"/>
  <c r="W483" i="59"/>
  <c r="S504" i="59"/>
  <c r="V504" i="59" s="1"/>
  <c r="U429" i="59"/>
  <c r="T405" i="59"/>
  <c r="S121" i="59"/>
  <c r="V121" i="59" s="1"/>
  <c r="X263" i="59"/>
  <c r="S375" i="59"/>
  <c r="V375" i="59" s="1"/>
  <c r="S78" i="59"/>
  <c r="V78" i="59" s="1"/>
  <c r="T710" i="59"/>
  <c r="X820" i="59"/>
  <c r="S707" i="59"/>
  <c r="V707" i="59" s="1"/>
  <c r="S207" i="59"/>
  <c r="V207" i="59" s="1"/>
  <c r="X859" i="59"/>
  <c r="X836" i="59"/>
  <c r="X829" i="59"/>
  <c r="W609" i="59"/>
  <c r="T389" i="59"/>
  <c r="W898" i="59"/>
  <c r="W707" i="59"/>
  <c r="X898" i="59"/>
  <c r="W772" i="59"/>
  <c r="X603" i="59"/>
  <c r="S857" i="59"/>
  <c r="V857" i="59" s="1"/>
  <c r="X253" i="59"/>
  <c r="W859" i="59"/>
  <c r="S836" i="59"/>
  <c r="V836" i="59" s="1"/>
  <c r="S829" i="59"/>
  <c r="V829" i="59" s="1"/>
  <c r="S823" i="59"/>
  <c r="V823" i="59" s="1"/>
  <c r="X819" i="59"/>
  <c r="S710" i="59"/>
  <c r="V710" i="59" s="1"/>
  <c r="T702" i="59"/>
  <c r="X709" i="59"/>
  <c r="U216" i="59"/>
  <c r="W340" i="59"/>
  <c r="U857" i="59"/>
  <c r="T898" i="59"/>
  <c r="S898" i="59"/>
  <c r="V898" i="59" s="1"/>
  <c r="U820" i="59"/>
  <c r="T857" i="59"/>
  <c r="U291" i="59"/>
  <c r="X772" i="59"/>
  <c r="X707" i="59"/>
  <c r="T820" i="59"/>
  <c r="U428" i="59"/>
  <c r="W301" i="59"/>
  <c r="U705" i="59"/>
  <c r="T707" i="59"/>
  <c r="U707" i="59"/>
  <c r="T301" i="59"/>
  <c r="T890" i="59"/>
  <c r="S820" i="59"/>
  <c r="V820" i="59" s="1"/>
  <c r="S370" i="59"/>
  <c r="V370" i="59" s="1"/>
  <c r="T302" i="59"/>
  <c r="U898" i="59"/>
  <c r="U121" i="59"/>
  <c r="U603" i="59"/>
  <c r="X890" i="59"/>
  <c r="W412" i="59"/>
  <c r="T603" i="59"/>
  <c r="T860" i="59"/>
  <c r="X828" i="59"/>
  <c r="U822" i="59"/>
  <c r="S819" i="59"/>
  <c r="V819" i="59" s="1"/>
  <c r="T719" i="59"/>
  <c r="W705" i="59"/>
  <c r="S412" i="59"/>
  <c r="V412" i="59" s="1"/>
  <c r="T121" i="59"/>
  <c r="W121" i="59"/>
  <c r="S645" i="59"/>
  <c r="V645" i="59" s="1"/>
  <c r="S216" i="59"/>
  <c r="V216" i="59" s="1"/>
  <c r="T683" i="59"/>
  <c r="W291" i="59"/>
  <c r="U492" i="59"/>
  <c r="T78" i="59"/>
  <c r="S340" i="59"/>
  <c r="V340" i="59" s="1"/>
  <c r="U419" i="59"/>
  <c r="S665" i="59"/>
  <c r="V665" i="59" s="1"/>
  <c r="U344" i="59"/>
  <c r="U313" i="59"/>
  <c r="U608" i="59"/>
  <c r="X500" i="59"/>
  <c r="W487" i="59"/>
  <c r="T483" i="59"/>
  <c r="T90" i="59"/>
  <c r="U81" i="59"/>
  <c r="S21" i="59"/>
  <c r="V21" i="59" s="1"/>
  <c r="T886" i="59"/>
  <c r="T823" i="59"/>
  <c r="T341" i="59"/>
  <c r="X301" i="59"/>
  <c r="W313" i="59"/>
  <c r="S487" i="59"/>
  <c r="V487" i="59" s="1"/>
  <c r="U223" i="59"/>
  <c r="S58" i="59"/>
  <c r="V58" i="59" s="1"/>
  <c r="X683" i="59"/>
  <c r="W375" i="59"/>
  <c r="U480" i="59"/>
  <c r="U84" i="59"/>
  <c r="X11" i="59"/>
  <c r="W645" i="59"/>
  <c r="W820" i="59"/>
  <c r="S886" i="59"/>
  <c r="V886" i="59" s="1"/>
  <c r="U860" i="59"/>
  <c r="S828" i="59"/>
  <c r="V828" i="59" s="1"/>
  <c r="S822" i="59"/>
  <c r="V822" i="59" s="1"/>
  <c r="T776" i="59"/>
  <c r="W719" i="59"/>
  <c r="T709" i="59"/>
  <c r="X412" i="59"/>
  <c r="W136" i="59"/>
  <c r="X609" i="59"/>
  <c r="T313" i="59"/>
  <c r="W683" i="59"/>
  <c r="T292" i="59"/>
  <c r="T419" i="59"/>
  <c r="X207" i="59"/>
  <c r="W342" i="59"/>
  <c r="X671" i="59"/>
  <c r="W665" i="59"/>
  <c r="S428" i="59"/>
  <c r="V428" i="59" s="1"/>
  <c r="U569" i="59"/>
  <c r="X608" i="59"/>
  <c r="X489" i="59"/>
  <c r="S500" i="59"/>
  <c r="V500" i="59" s="1"/>
  <c r="U487" i="59"/>
  <c r="U483" i="59"/>
  <c r="T480" i="59"/>
  <c r="X429" i="59"/>
  <c r="U405" i="59"/>
  <c r="T223" i="59"/>
  <c r="X74" i="59"/>
  <c r="U90" i="59"/>
  <c r="S192" i="59"/>
  <c r="V192" i="59" s="1"/>
  <c r="T84" i="59"/>
  <c r="X81" i="59"/>
  <c r="X58" i="59"/>
  <c r="T11" i="59"/>
  <c r="W20" i="59"/>
  <c r="T21" i="59"/>
  <c r="U828" i="59"/>
  <c r="U412" i="59"/>
  <c r="U683" i="59"/>
  <c r="W419" i="59"/>
  <c r="S489" i="59"/>
  <c r="V489" i="59" s="1"/>
  <c r="W389" i="59"/>
  <c r="S81" i="59"/>
  <c r="V81" i="59" s="1"/>
  <c r="U21" i="59"/>
  <c r="S382" i="59"/>
  <c r="V382" i="59" s="1"/>
  <c r="T484" i="59"/>
  <c r="W223" i="59"/>
  <c r="S492" i="59"/>
  <c r="V492" i="59" s="1"/>
  <c r="U772" i="59"/>
  <c r="W776" i="59"/>
  <c r="W492" i="59"/>
  <c r="W671" i="59"/>
  <c r="S608" i="59"/>
  <c r="V608" i="59" s="1"/>
  <c r="S429" i="59"/>
  <c r="V429" i="59" s="1"/>
  <c r="W192" i="59"/>
  <c r="S19" i="59"/>
  <c r="V19" i="59" s="1"/>
  <c r="S603" i="59"/>
  <c r="V603" i="59" s="1"/>
  <c r="T547" i="59"/>
  <c r="X370" i="59"/>
  <c r="W58" i="59"/>
  <c r="T19" i="59"/>
  <c r="S228" i="59"/>
  <c r="V228" i="59" s="1"/>
  <c r="S890" i="59"/>
  <c r="V890" i="59" s="1"/>
  <c r="W886" i="59"/>
  <c r="U859" i="59"/>
  <c r="W828" i="59"/>
  <c r="W823" i="59"/>
  <c r="U776" i="59"/>
  <c r="S719" i="59"/>
  <c r="V719" i="59" s="1"/>
  <c r="W709" i="59"/>
  <c r="T609" i="59"/>
  <c r="S291" i="59"/>
  <c r="V291" i="59" s="1"/>
  <c r="S302" i="59"/>
  <c r="V302" i="59" s="1"/>
  <c r="W263" i="59"/>
  <c r="S483" i="59"/>
  <c r="V483" i="59" s="1"/>
  <c r="S176" i="59"/>
  <c r="V176" i="59" s="1"/>
  <c r="U253" i="59"/>
  <c r="U886" i="59"/>
  <c r="W857" i="59"/>
  <c r="U829" i="59"/>
  <c r="U823" i="59"/>
  <c r="X776" i="59"/>
  <c r="X702" i="59"/>
  <c r="S705" i="59"/>
  <c r="V705" i="59" s="1"/>
  <c r="X136" i="59"/>
  <c r="U263" i="59"/>
  <c r="U341" i="59"/>
  <c r="U136" i="59"/>
  <c r="T216" i="59"/>
  <c r="S683" i="59"/>
  <c r="V683" i="59" s="1"/>
  <c r="W382" i="59"/>
  <c r="X428" i="59"/>
  <c r="S419" i="59"/>
  <c r="V419" i="59" s="1"/>
  <c r="T340" i="59"/>
  <c r="U375" i="59"/>
  <c r="S664" i="59"/>
  <c r="V664" i="59" s="1"/>
  <c r="W569" i="59"/>
  <c r="S313" i="59"/>
  <c r="V313" i="59" s="1"/>
  <c r="W547" i="59"/>
  <c r="X511" i="59"/>
  <c r="AF511" i="59" s="1"/>
  <c r="U499" i="59"/>
  <c r="W484" i="59"/>
  <c r="T504" i="59"/>
  <c r="X480" i="59"/>
  <c r="X422" i="59"/>
  <c r="U389" i="59"/>
  <c r="T370" i="59"/>
  <c r="S223" i="59"/>
  <c r="V223" i="59" s="1"/>
  <c r="U176" i="59"/>
  <c r="X71" i="59"/>
  <c r="U219" i="59"/>
  <c r="X84" i="59"/>
  <c r="W11" i="59"/>
  <c r="X19" i="59"/>
  <c r="S17" i="59"/>
  <c r="V17" i="59" s="1"/>
  <c r="U342" i="59"/>
  <c r="W422" i="59"/>
  <c r="S292" i="59"/>
  <c r="V292" i="59" s="1"/>
  <c r="T836" i="59"/>
  <c r="W829" i="59"/>
  <c r="X823" i="59"/>
  <c r="W710" i="59"/>
  <c r="S702" i="59"/>
  <c r="V702" i="59" s="1"/>
  <c r="X705" i="59"/>
  <c r="X121" i="59"/>
  <c r="T344" i="59"/>
  <c r="S344" i="59"/>
  <c r="V344" i="59" s="1"/>
  <c r="W344" i="59"/>
  <c r="T228" i="59"/>
  <c r="W228" i="59"/>
  <c r="W216" i="59"/>
  <c r="X78" i="59"/>
  <c r="U340" i="59"/>
  <c r="S671" i="59"/>
  <c r="V671" i="59" s="1"/>
  <c r="S569" i="59"/>
  <c r="V569" i="59" s="1"/>
  <c r="U664" i="59"/>
  <c r="S263" i="59"/>
  <c r="V263" i="59" s="1"/>
  <c r="S342" i="59"/>
  <c r="V342" i="59" s="1"/>
  <c r="X547" i="59"/>
  <c r="T511" i="59"/>
  <c r="X499" i="59"/>
  <c r="U484" i="59"/>
  <c r="W504" i="59"/>
  <c r="S480" i="59"/>
  <c r="V480" i="59" s="1"/>
  <c r="S422" i="59"/>
  <c r="V422" i="59" s="1"/>
  <c r="X389" i="59"/>
  <c r="W370" i="59"/>
  <c r="X223" i="59"/>
  <c r="W90" i="59"/>
  <c r="S71" i="59"/>
  <c r="V71" i="59" s="1"/>
  <c r="X219" i="59"/>
  <c r="S84" i="59"/>
  <c r="V84" i="59" s="1"/>
  <c r="S20" i="59"/>
  <c r="V20" i="59" s="1"/>
  <c r="U19" i="59"/>
  <c r="T17" i="59"/>
  <c r="W500" i="59"/>
  <c r="S74" i="59"/>
  <c r="V74" i="59" s="1"/>
  <c r="U609" i="59"/>
  <c r="W499" i="59"/>
  <c r="U71" i="59"/>
  <c r="W21" i="59"/>
  <c r="T382" i="59"/>
  <c r="W292" i="59"/>
  <c r="T429" i="59"/>
  <c r="T859" i="59"/>
  <c r="S859" i="59"/>
  <c r="V859" i="59" s="1"/>
  <c r="X860" i="59"/>
  <c r="W836" i="59"/>
  <c r="T822" i="59"/>
  <c r="T819" i="59"/>
  <c r="U710" i="59"/>
  <c r="W702" i="59"/>
  <c r="T412" i="59"/>
  <c r="T253" i="59"/>
  <c r="W253" i="59"/>
  <c r="X645" i="59"/>
  <c r="W603" i="59"/>
  <c r="T291" i="59"/>
  <c r="S301" i="59"/>
  <c r="V301" i="59" s="1"/>
  <c r="X492" i="59"/>
  <c r="X382" i="59"/>
  <c r="T207" i="59"/>
  <c r="U671" i="59"/>
  <c r="T665" i="59"/>
  <c r="W664" i="59"/>
  <c r="T375" i="59"/>
  <c r="T608" i="59"/>
  <c r="S547" i="59"/>
  <c r="V547" i="59" s="1"/>
  <c r="U500" i="59"/>
  <c r="S499" i="59"/>
  <c r="V499" i="59" s="1"/>
  <c r="X484" i="59"/>
  <c r="U504" i="59"/>
  <c r="T422" i="59"/>
  <c r="X375" i="59"/>
  <c r="T74" i="59"/>
  <c r="X90" i="59"/>
  <c r="T71" i="59"/>
  <c r="S219" i="59"/>
  <c r="V219" i="59" s="1"/>
  <c r="T81" i="59"/>
  <c r="X20" i="59"/>
  <c r="W19" i="59"/>
  <c r="U17" i="59"/>
  <c r="W219" i="59"/>
  <c r="U20" i="59"/>
  <c r="W17" i="59"/>
  <c r="S709" i="59"/>
  <c r="V709" i="59" s="1"/>
  <c r="T428" i="59"/>
  <c r="W78" i="59"/>
  <c r="X569" i="59"/>
  <c r="W480" i="59"/>
  <c r="W71" i="59"/>
  <c r="U11" i="59"/>
  <c r="X664" i="59"/>
  <c r="U422" i="59"/>
  <c r="U192" i="59"/>
  <c r="X405" i="59"/>
  <c r="S860" i="59"/>
  <c r="V860" i="59" s="1"/>
  <c r="T828" i="59"/>
  <c r="W822" i="59"/>
  <c r="U819" i="59"/>
  <c r="X710" i="59"/>
  <c r="U702" i="59"/>
  <c r="U228" i="59"/>
  <c r="S253" i="59"/>
  <c r="V253" i="59" s="1"/>
  <c r="S609" i="59"/>
  <c r="V609" i="59" s="1"/>
  <c r="T645" i="59"/>
  <c r="X228" i="59"/>
  <c r="X292" i="59"/>
  <c r="U301" i="59"/>
  <c r="U382" i="59"/>
  <c r="U302" i="59"/>
  <c r="X340" i="59"/>
  <c r="X419" i="59"/>
  <c r="X665" i="59"/>
  <c r="U645" i="59"/>
  <c r="T342" i="59"/>
  <c r="W608" i="59"/>
  <c r="S511" i="59"/>
  <c r="V511" i="59" s="1"/>
  <c r="T500" i="59"/>
  <c r="T487" i="59"/>
  <c r="S484" i="59"/>
  <c r="V484" i="59" s="1"/>
  <c r="X504" i="59"/>
  <c r="W429" i="59"/>
  <c r="W405" i="59"/>
  <c r="W74" i="59"/>
  <c r="S90" i="59"/>
  <c r="V90" i="59" s="1"/>
  <c r="T192" i="59"/>
  <c r="T219" i="59"/>
  <c r="W81" i="59"/>
  <c r="U58" i="59"/>
  <c r="T20" i="59"/>
  <c r="X21" i="59"/>
  <c r="X17" i="59"/>
  <c r="T489" i="59"/>
  <c r="T503" i="59"/>
  <c r="S405" i="59"/>
  <c r="V405" i="59" s="1"/>
  <c r="U370" i="59"/>
  <c r="U74" i="59"/>
  <c r="X192" i="59"/>
  <c r="T58" i="59"/>
  <c r="S11" i="59"/>
  <c r="V11" i="59" s="1"/>
  <c r="X857" i="59"/>
  <c r="U719" i="59"/>
  <c r="X341" i="59"/>
  <c r="U78" i="59"/>
  <c r="T664" i="59"/>
  <c r="X483" i="59"/>
  <c r="W84" i="59"/>
  <c r="W428" i="59"/>
  <c r="W489" i="59"/>
  <c r="S389" i="59"/>
  <c r="V389" i="59" s="1"/>
  <c r="X501" i="59"/>
  <c r="W163" i="59"/>
  <c r="U900" i="59"/>
  <c r="S580" i="59"/>
  <c r="V580" i="59" s="1"/>
  <c r="U170" i="59"/>
  <c r="U186" i="59"/>
  <c r="W205" i="59"/>
  <c r="W884" i="59"/>
  <c r="T138" i="59"/>
  <c r="W383" i="59"/>
  <c r="X922" i="59"/>
  <c r="S376" i="59"/>
  <c r="V376" i="59" s="1"/>
  <c r="X562" i="59"/>
  <c r="T751" i="59"/>
  <c r="W131" i="59"/>
  <c r="W217" i="59"/>
  <c r="T794" i="59"/>
  <c r="X677" i="59"/>
  <c r="T620" i="59"/>
  <c r="T290" i="59"/>
  <c r="W105" i="59"/>
  <c r="T835" i="59"/>
  <c r="T889" i="59"/>
  <c r="T882" i="59"/>
  <c r="S178" i="59"/>
  <c r="V178" i="59" s="1"/>
  <c r="W917" i="59"/>
  <c r="S558" i="59"/>
  <c r="V558" i="59" s="1"/>
  <c r="W407" i="59"/>
  <c r="W837" i="59"/>
  <c r="T380" i="59"/>
  <c r="X86" i="59"/>
  <c r="S410" i="59"/>
  <c r="V410" i="59" s="1"/>
  <c r="T332" i="59"/>
  <c r="U807" i="59"/>
  <c r="U570" i="59"/>
  <c r="T432" i="59"/>
  <c r="S536" i="59"/>
  <c r="V536" i="59" s="1"/>
  <c r="W626" i="59"/>
  <c r="X352" i="59"/>
  <c r="X691" i="59"/>
  <c r="W185" i="59"/>
  <c r="T507" i="59"/>
  <c r="T644" i="59"/>
  <c r="S285" i="59"/>
  <c r="V285" i="59" s="1"/>
  <c r="W349" i="59"/>
  <c r="U296" i="59"/>
  <c r="U299" i="59"/>
  <c r="U290" i="59"/>
  <c r="W315" i="59"/>
  <c r="W566" i="59"/>
  <c r="W157" i="59"/>
  <c r="W733" i="59"/>
  <c r="T140" i="59"/>
  <c r="U594" i="59"/>
  <c r="S175" i="59"/>
  <c r="V175" i="59" s="1"/>
  <c r="S594" i="59"/>
  <c r="V594" i="59" s="1"/>
  <c r="T326" i="59"/>
  <c r="T109" i="59"/>
  <c r="S48" i="59"/>
  <c r="V48" i="59" s="1"/>
  <c r="T695" i="59"/>
  <c r="X294" i="59"/>
  <c r="U82" i="59"/>
  <c r="X73" i="59"/>
  <c r="W73" i="59"/>
  <c r="W296" i="59"/>
  <c r="U800" i="59"/>
  <c r="W155" i="59"/>
  <c r="S630" i="59"/>
  <c r="V630" i="59" s="1"/>
  <c r="U579" i="59"/>
  <c r="U209" i="59"/>
  <c r="X332" i="59"/>
  <c r="S512" i="59"/>
  <c r="V512" i="59" s="1"/>
  <c r="X109" i="59"/>
  <c r="X416" i="59"/>
  <c r="T61" i="59"/>
  <c r="T178" i="59"/>
  <c r="X91" i="59"/>
  <c r="T334" i="59"/>
  <c r="U149" i="59"/>
  <c r="S56" i="59"/>
  <c r="V56" i="59" s="1"/>
  <c r="T448" i="59"/>
  <c r="W153" i="59"/>
  <c r="S722" i="59"/>
  <c r="V722" i="59" s="1"/>
  <c r="X99" i="59"/>
  <c r="W99" i="59"/>
  <c r="X581" i="59"/>
  <c r="T630" i="59"/>
  <c r="U191" i="59"/>
  <c r="W641" i="59"/>
  <c r="U141" i="59"/>
  <c r="T656" i="59"/>
  <c r="S135" i="59"/>
  <c r="V135" i="59" s="1"/>
  <c r="W143" i="59"/>
  <c r="S411" i="59"/>
  <c r="V411" i="59" s="1"/>
  <c r="U682" i="59"/>
  <c r="S104" i="59"/>
  <c r="V104" i="59" s="1"/>
  <c r="S811" i="59"/>
  <c r="V811" i="59" s="1"/>
  <c r="W458" i="59"/>
  <c r="T752" i="59"/>
  <c r="W464" i="59"/>
  <c r="U269" i="59"/>
  <c r="X274" i="59"/>
  <c r="X388" i="59"/>
  <c r="T624" i="59"/>
  <c r="U632" i="59"/>
  <c r="W183" i="59"/>
  <c r="U637" i="59"/>
  <c r="X399" i="59"/>
  <c r="W652" i="59"/>
  <c r="T409" i="59"/>
  <c r="W426" i="59"/>
  <c r="T77" i="59"/>
  <c r="U388" i="59"/>
  <c r="X132" i="59"/>
  <c r="U77" i="59"/>
  <c r="U697" i="59"/>
  <c r="T462" i="59"/>
  <c r="W656" i="59"/>
  <c r="T48" i="59"/>
  <c r="U174" i="59"/>
  <c r="S846" i="59"/>
  <c r="V846" i="59" s="1"/>
  <c r="U511" i="59"/>
  <c r="T631" i="59"/>
  <c r="U210" i="59"/>
  <c r="U240" i="59"/>
  <c r="S450" i="59"/>
  <c r="V450" i="59" s="1"/>
  <c r="T457" i="59"/>
  <c r="T321" i="59"/>
  <c r="T555" i="59"/>
  <c r="S544" i="59"/>
  <c r="V544" i="59" s="1"/>
  <c r="W481" i="59"/>
  <c r="W252" i="59"/>
  <c r="U250" i="59"/>
  <c r="W730" i="59"/>
  <c r="X510" i="59"/>
  <c r="T655" i="59"/>
  <c r="U417" i="59"/>
  <c r="U406" i="59"/>
  <c r="U650" i="59"/>
  <c r="X149" i="59"/>
  <c r="T662" i="59"/>
  <c r="W119" i="59"/>
  <c r="T587" i="59"/>
  <c r="U161" i="59"/>
  <c r="S491" i="59"/>
  <c r="V491" i="59" s="1"/>
  <c r="X663" i="59"/>
  <c r="S295" i="59"/>
  <c r="V295" i="59" s="1"/>
  <c r="W778" i="59"/>
  <c r="U814" i="59"/>
  <c r="U137" i="59"/>
  <c r="X411" i="59"/>
  <c r="X67" i="59"/>
  <c r="S168" i="59"/>
  <c r="V168" i="59" s="1"/>
  <c r="S551" i="59"/>
  <c r="V551" i="59" s="1"/>
  <c r="U809" i="59"/>
  <c r="T371" i="59"/>
  <c r="S246" i="59"/>
  <c r="V246" i="59" s="1"/>
  <c r="W148" i="59"/>
  <c r="S77" i="59"/>
  <c r="V77" i="59" s="1"/>
  <c r="X234" i="59"/>
  <c r="S464" i="59"/>
  <c r="V464" i="59" s="1"/>
  <c r="U294" i="59"/>
  <c r="S300" i="59"/>
  <c r="V300" i="59" s="1"/>
  <c r="X315" i="59"/>
  <c r="T733" i="59"/>
  <c r="X733" i="59"/>
  <c r="T157" i="59"/>
  <c r="X503" i="59"/>
  <c r="U51" i="59"/>
  <c r="X138" i="59"/>
  <c r="W175" i="59"/>
  <c r="S496" i="59"/>
  <c r="V496" i="59" s="1"/>
  <c r="X465" i="59"/>
  <c r="W48" i="59"/>
  <c r="X48" i="59"/>
  <c r="S458" i="59"/>
  <c r="V458" i="59" s="1"/>
  <c r="W104" i="59"/>
  <c r="X296" i="59"/>
  <c r="X51" i="59"/>
  <c r="W72" i="59"/>
  <c r="T303" i="59"/>
  <c r="S407" i="59"/>
  <c r="V407" i="59" s="1"/>
  <c r="U155" i="59"/>
  <c r="U512" i="59"/>
  <c r="T538" i="59"/>
  <c r="W534" i="59"/>
  <c r="W800" i="59"/>
  <c r="U332" i="59"/>
  <c r="U109" i="59"/>
  <c r="U531" i="59"/>
  <c r="W61" i="59"/>
  <c r="S549" i="59"/>
  <c r="V549" i="59" s="1"/>
  <c r="X206" i="59"/>
  <c r="U372" i="59"/>
  <c r="W461" i="59"/>
  <c r="T458" i="59"/>
  <c r="T450" i="59"/>
  <c r="W620" i="59"/>
  <c r="U646" i="59"/>
  <c r="T180" i="59"/>
  <c r="X722" i="59"/>
  <c r="X22" i="59"/>
  <c r="X155" i="59"/>
  <c r="S312" i="59"/>
  <c r="V312" i="59" s="1"/>
  <c r="X550" i="59"/>
  <c r="S392" i="59"/>
  <c r="V392" i="59" s="1"/>
  <c r="X781" i="59"/>
  <c r="T46" i="59"/>
  <c r="T506" i="59"/>
  <c r="T810" i="59"/>
  <c r="U493" i="59"/>
  <c r="X502" i="59"/>
  <c r="U669" i="59"/>
  <c r="S832" i="59"/>
  <c r="V832" i="59" s="1"/>
  <c r="T160" i="59"/>
  <c r="T870" i="59"/>
  <c r="S646" i="59"/>
  <c r="V646" i="59" s="1"/>
  <c r="T488" i="59"/>
  <c r="T671" i="59"/>
  <c r="S157" i="59"/>
  <c r="V157" i="59" s="1"/>
  <c r="U972" i="59"/>
  <c r="T94" i="59"/>
  <c r="W462" i="59"/>
  <c r="T256" i="59"/>
  <c r="S527" i="59"/>
  <c r="V527" i="59" s="1"/>
  <c r="T416" i="59"/>
  <c r="W351" i="59"/>
  <c r="T637" i="59"/>
  <c r="U872" i="59"/>
  <c r="S495" i="59"/>
  <c r="V495" i="59" s="1"/>
  <c r="U310" i="59"/>
  <c r="S611" i="59"/>
  <c r="V611" i="59" s="1"/>
  <c r="W211" i="59"/>
  <c r="S525" i="59"/>
  <c r="V525" i="59" s="1"/>
  <c r="T50" i="59"/>
  <c r="T73" i="59"/>
  <c r="U374" i="59"/>
  <c r="W629" i="59"/>
  <c r="W224" i="59"/>
  <c r="U627" i="59"/>
  <c r="U761" i="59"/>
  <c r="U877" i="59"/>
  <c r="W413" i="59"/>
  <c r="S796" i="59"/>
  <c r="V796" i="59" s="1"/>
  <c r="S718" i="59"/>
  <c r="V718" i="59" s="1"/>
  <c r="S571" i="59"/>
  <c r="V571" i="59" s="1"/>
  <c r="T100" i="59"/>
  <c r="S299" i="59"/>
  <c r="V299" i="59" s="1"/>
  <c r="S306" i="59"/>
  <c r="V306" i="59" s="1"/>
  <c r="W306" i="59"/>
  <c r="W503" i="59"/>
  <c r="W510" i="59"/>
  <c r="U503" i="59"/>
  <c r="S109" i="59"/>
  <c r="V109" i="59" s="1"/>
  <c r="S206" i="59"/>
  <c r="V206" i="59" s="1"/>
  <c r="U138" i="59"/>
  <c r="W496" i="59"/>
  <c r="W312" i="59"/>
  <c r="U312" i="59"/>
  <c r="T92" i="59"/>
  <c r="W138" i="59"/>
  <c r="X133" i="59"/>
  <c r="X140" i="59"/>
  <c r="X49" i="59"/>
  <c r="X104" i="59"/>
  <c r="T104" i="59"/>
  <c r="T597" i="59"/>
  <c r="S800" i="59"/>
  <c r="V800" i="59" s="1"/>
  <c r="S332" i="59"/>
  <c r="V332" i="59" s="1"/>
  <c r="X172" i="59"/>
  <c r="X840" i="59"/>
  <c r="U54" i="59"/>
  <c r="W332" i="59"/>
  <c r="T91" i="59"/>
  <c r="T315" i="59"/>
  <c r="X662" i="59"/>
  <c r="U567" i="59"/>
  <c r="W549" i="59"/>
  <c r="S132" i="59"/>
  <c r="V132" i="59" s="1"/>
  <c r="U445" i="59"/>
  <c r="S388" i="59"/>
  <c r="V388" i="59" s="1"/>
  <c r="W450" i="59"/>
  <c r="X620" i="59"/>
  <c r="S550" i="59"/>
  <c r="V550" i="59" s="1"/>
  <c r="W889" i="59"/>
  <c r="X548" i="59"/>
  <c r="W13" i="59"/>
  <c r="T800" i="59"/>
  <c r="X230" i="59"/>
  <c r="S99" i="59"/>
  <c r="V99" i="59" s="1"/>
  <c r="T267" i="59"/>
  <c r="U165" i="59"/>
  <c r="U921" i="59"/>
  <c r="T299" i="59"/>
  <c r="X767" i="59"/>
  <c r="S368" i="59"/>
  <c r="V368" i="59" s="1"/>
  <c r="U206" i="59"/>
  <c r="T260" i="59"/>
  <c r="S152" i="59"/>
  <c r="V152" i="59" s="1"/>
  <c r="X654" i="59"/>
  <c r="S218" i="59"/>
  <c r="V218" i="59" s="1"/>
  <c r="T418" i="59"/>
  <c r="W582" i="59"/>
  <c r="W200" i="59"/>
  <c r="T496" i="59"/>
  <c r="U284" i="59"/>
  <c r="T625" i="59"/>
  <c r="W251" i="59"/>
  <c r="W530" i="59"/>
  <c r="S532" i="59"/>
  <c r="V532" i="59" s="1"/>
  <c r="T549" i="59"/>
  <c r="X773" i="59"/>
  <c r="U420" i="59"/>
  <c r="U893" i="59"/>
  <c r="X175" i="59"/>
  <c r="X47" i="59"/>
  <c r="S85" i="59"/>
  <c r="V85" i="59" s="1"/>
  <c r="X616" i="59"/>
  <c r="T277" i="59"/>
  <c r="S596" i="59"/>
  <c r="V596" i="59" s="1"/>
  <c r="X83" i="59"/>
  <c r="T66" i="59"/>
  <c r="X607" i="59"/>
  <c r="S215" i="59"/>
  <c r="V215" i="59" s="1"/>
  <c r="W624" i="59"/>
  <c r="T309" i="59"/>
  <c r="T227" i="59"/>
  <c r="S171" i="59"/>
  <c r="V171" i="59" s="1"/>
  <c r="W55" i="59"/>
  <c r="U675" i="59"/>
  <c r="X269" i="59"/>
  <c r="X179" i="59"/>
  <c r="T826" i="59"/>
  <c r="W826" i="59"/>
  <c r="T566" i="59"/>
  <c r="T194" i="59"/>
  <c r="T510" i="59"/>
  <c r="S448" i="59"/>
  <c r="V448" i="59" s="1"/>
  <c r="W49" i="59"/>
  <c r="U175" i="59"/>
  <c r="T206" i="59"/>
  <c r="W267" i="59"/>
  <c r="U465" i="59"/>
  <c r="X312" i="59"/>
  <c r="U48" i="59"/>
  <c r="S230" i="59"/>
  <c r="V230" i="59" s="1"/>
  <c r="T594" i="59"/>
  <c r="U104" i="59"/>
  <c r="U73" i="59"/>
  <c r="X570" i="59"/>
  <c r="T570" i="59"/>
  <c r="U407" i="59"/>
  <c r="S309" i="59"/>
  <c r="V309" i="59" s="1"/>
  <c r="W416" i="59"/>
  <c r="U178" i="59"/>
  <c r="X745" i="59"/>
  <c r="S54" i="59"/>
  <c r="V54" i="59" s="1"/>
  <c r="X679" i="59"/>
  <c r="S138" i="59"/>
  <c r="V138" i="59" s="1"/>
  <c r="S315" i="59"/>
  <c r="V315" i="59" s="1"/>
  <c r="W249" i="59"/>
  <c r="W91" i="59"/>
  <c r="U266" i="59"/>
  <c r="X135" i="59"/>
  <c r="X56" i="59"/>
  <c r="X180" i="59"/>
  <c r="U529" i="59"/>
  <c r="S739" i="59"/>
  <c r="V739" i="59" s="1"/>
  <c r="U550" i="59"/>
  <c r="S548" i="59"/>
  <c r="V548" i="59" s="1"/>
  <c r="W550" i="59"/>
  <c r="S858" i="59"/>
  <c r="V858" i="59" s="1"/>
  <c r="W369" i="59"/>
  <c r="S503" i="59"/>
  <c r="V503" i="59" s="1"/>
  <c r="U548" i="59"/>
  <c r="X306" i="59"/>
  <c r="X485" i="59"/>
  <c r="U117" i="59"/>
  <c r="S329" i="59"/>
  <c r="V329" i="59" s="1"/>
  <c r="X604" i="59"/>
  <c r="U906" i="59"/>
  <c r="W8" i="59"/>
  <c r="S635" i="59"/>
  <c r="V635" i="59" s="1"/>
  <c r="T426" i="59"/>
  <c r="U281" i="59"/>
  <c r="X275" i="59"/>
  <c r="T162" i="59"/>
  <c r="X57" i="59"/>
  <c r="S143" i="59"/>
  <c r="V143" i="59" s="1"/>
  <c r="S566" i="59"/>
  <c r="V566" i="59" s="1"/>
  <c r="S599" i="59"/>
  <c r="V599" i="59" s="1"/>
  <c r="U198" i="59"/>
  <c r="U270" i="59"/>
  <c r="X421" i="59"/>
  <c r="W334" i="59"/>
  <c r="W176" i="59"/>
  <c r="W697" i="59"/>
  <c r="T466" i="59"/>
  <c r="U262" i="59"/>
  <c r="U75" i="59"/>
  <c r="U552" i="59"/>
  <c r="T523" i="59"/>
  <c r="T632" i="59"/>
  <c r="U425" i="59"/>
  <c r="W594" i="59"/>
  <c r="T72" i="59"/>
  <c r="U717" i="59"/>
  <c r="X245" i="59"/>
  <c r="W497" i="59"/>
  <c r="X703" i="59"/>
  <c r="X881" i="59"/>
  <c r="T408" i="59"/>
  <c r="X643" i="59"/>
  <c r="X660" i="59"/>
  <c r="W180" i="59"/>
  <c r="U115" i="59"/>
  <c r="U120" i="59"/>
  <c r="W290" i="59"/>
  <c r="S290" i="59"/>
  <c r="V290" i="59" s="1"/>
  <c r="U306" i="59"/>
  <c r="W194" i="59"/>
  <c r="S733" i="59"/>
  <c r="V733" i="59" s="1"/>
  <c r="U733" i="59"/>
  <c r="T296" i="59"/>
  <c r="T446" i="59"/>
  <c r="W230" i="59"/>
  <c r="X496" i="59"/>
  <c r="U326" i="59"/>
  <c r="W109" i="59"/>
  <c r="X458" i="59"/>
  <c r="T230" i="59"/>
  <c r="T83" i="59"/>
  <c r="W82" i="59"/>
  <c r="U72" i="59"/>
  <c r="S73" i="59"/>
  <c r="V73" i="59" s="1"/>
  <c r="S296" i="59"/>
  <c r="V296" i="59" s="1"/>
  <c r="X527" i="59"/>
  <c r="X800" i="59"/>
  <c r="U189" i="59"/>
  <c r="U662" i="59"/>
  <c r="W897" i="59"/>
  <c r="X54" i="59"/>
  <c r="S334" i="59"/>
  <c r="V334" i="59" s="1"/>
  <c r="W206" i="59"/>
  <c r="W178" i="59"/>
  <c r="S266" i="59"/>
  <c r="V266" i="59" s="1"/>
  <c r="X549" i="59"/>
  <c r="T201" i="59"/>
  <c r="T167" i="59"/>
  <c r="U202" i="59"/>
  <c r="X450" i="59"/>
  <c r="W722" i="59"/>
  <c r="U701" i="59"/>
  <c r="T701" i="59"/>
  <c r="T548" i="59"/>
  <c r="U450" i="59"/>
  <c r="S782" i="59"/>
  <c r="V782" i="59" s="1"/>
  <c r="S6" i="59"/>
  <c r="V6" i="59" s="1"/>
  <c r="U92" i="59"/>
  <c r="S59" i="59"/>
  <c r="V59" i="59" s="1"/>
  <c r="T15" i="59"/>
  <c r="S774" i="59"/>
  <c r="V774" i="59" s="1"/>
  <c r="W698" i="59"/>
  <c r="X777" i="59"/>
  <c r="T568" i="59"/>
  <c r="T802" i="59"/>
  <c r="T7" i="59"/>
  <c r="T318" i="59"/>
  <c r="W602" i="59"/>
  <c r="S304" i="59"/>
  <c r="V304" i="59" s="1"/>
  <c r="T70" i="59"/>
  <c r="U541" i="59"/>
  <c r="T965" i="59"/>
  <c r="U153" i="59"/>
  <c r="T65" i="59"/>
  <c r="T953" i="59"/>
  <c r="W62" i="59"/>
  <c r="W701" i="59"/>
  <c r="U826" i="59"/>
  <c r="U446" i="59"/>
  <c r="X409" i="59"/>
  <c r="T529" i="59"/>
  <c r="T512" i="59"/>
  <c r="W811" i="59"/>
  <c r="U108" i="59"/>
  <c r="W156" i="59"/>
  <c r="W874" i="59"/>
  <c r="U390" i="59"/>
  <c r="U320" i="59"/>
  <c r="U303" i="59"/>
  <c r="S447" i="59"/>
  <c r="V447" i="59" s="1"/>
  <c r="X146" i="59"/>
  <c r="T554" i="59"/>
  <c r="X328" i="59"/>
  <c r="X878" i="59"/>
  <c r="U864" i="59"/>
  <c r="T266" i="59"/>
  <c r="T612" i="59"/>
  <c r="T114" i="59"/>
  <c r="U722" i="59"/>
  <c r="W682" i="59"/>
  <c r="X826" i="59"/>
  <c r="U289" i="59"/>
  <c r="X290" i="59"/>
  <c r="U566" i="59"/>
  <c r="U194" i="59"/>
  <c r="S133" i="59"/>
  <c r="V133" i="59" s="1"/>
  <c r="W51" i="59"/>
  <c r="X446" i="59"/>
  <c r="S75" i="59"/>
  <c r="V75" i="59" s="1"/>
  <c r="U230" i="59"/>
  <c r="S267" i="59"/>
  <c r="V267" i="59" s="1"/>
  <c r="S465" i="59"/>
  <c r="V465" i="59" s="1"/>
  <c r="X326" i="59"/>
  <c r="W133" i="59"/>
  <c r="T51" i="59"/>
  <c r="U83" i="59"/>
  <c r="S570" i="59"/>
  <c r="V570" i="59" s="1"/>
  <c r="X303" i="59"/>
  <c r="S72" i="59"/>
  <c r="V72" i="59" s="1"/>
  <c r="W149" i="59"/>
  <c r="W54" i="59"/>
  <c r="X674" i="59"/>
  <c r="X735" i="59"/>
  <c r="S579" i="59"/>
  <c r="V579" i="59" s="1"/>
  <c r="S757" i="59"/>
  <c r="V757" i="59" s="1"/>
  <c r="W512" i="59"/>
  <c r="X334" i="59"/>
  <c r="X178" i="59"/>
  <c r="S662" i="59"/>
  <c r="V662" i="59" s="1"/>
  <c r="X201" i="59"/>
  <c r="X249" i="59"/>
  <c r="U416" i="59"/>
  <c r="U135" i="59"/>
  <c r="U167" i="59"/>
  <c r="S597" i="59"/>
  <c r="V597" i="59" s="1"/>
  <c r="T722" i="59"/>
  <c r="W529" i="59"/>
  <c r="S889" i="59"/>
  <c r="V889" i="59" s="1"/>
  <c r="X597" i="59"/>
  <c r="W625" i="59"/>
  <c r="T641" i="59"/>
  <c r="T388" i="59"/>
  <c r="X16" i="59"/>
  <c r="X653" i="59"/>
  <c r="S490" i="59"/>
  <c r="V490" i="59" s="1"/>
  <c r="T423" i="59"/>
  <c r="S543" i="59"/>
  <c r="V543" i="59" s="1"/>
  <c r="T193" i="59"/>
  <c r="X226" i="59"/>
  <c r="U12" i="59"/>
  <c r="U863" i="59"/>
  <c r="T651" i="59"/>
  <c r="X53" i="59"/>
  <c r="U704" i="59"/>
  <c r="S750" i="59"/>
  <c r="V750" i="59" s="1"/>
  <c r="T278" i="59"/>
  <c r="T452" i="59"/>
  <c r="S191" i="59"/>
  <c r="V191" i="59" s="1"/>
  <c r="W96" i="59"/>
  <c r="U818" i="59"/>
  <c r="X130" i="59"/>
  <c r="T145" i="59"/>
  <c r="T54" i="59"/>
  <c r="U201" i="59"/>
  <c r="W427" i="59"/>
  <c r="W116" i="59"/>
  <c r="T225" i="59"/>
  <c r="W579" i="59"/>
  <c r="X377" i="59"/>
  <c r="S494" i="59"/>
  <c r="V494" i="59" s="1"/>
  <c r="W779" i="59"/>
  <c r="T424" i="59"/>
  <c r="X567" i="59"/>
  <c r="X82" i="59"/>
  <c r="X150" i="59"/>
  <c r="T623" i="59"/>
  <c r="T831" i="59"/>
  <c r="S652" i="59"/>
  <c r="V652" i="59" s="1"/>
  <c r="U799" i="59"/>
  <c r="S241" i="59"/>
  <c r="V241" i="59" s="1"/>
  <c r="S194" i="59"/>
  <c r="V194" i="59" s="1"/>
  <c r="U712" i="59"/>
  <c r="W621" i="59"/>
  <c r="S453" i="59"/>
  <c r="V453" i="59" s="1"/>
  <c r="S907" i="59"/>
  <c r="V907" i="59" s="1"/>
  <c r="X299" i="59"/>
  <c r="T289" i="59"/>
  <c r="W289" i="59"/>
  <c r="X566" i="59"/>
  <c r="X157" i="59"/>
  <c r="U49" i="59"/>
  <c r="T176" i="59"/>
  <c r="T175" i="59"/>
  <c r="X75" i="59"/>
  <c r="T294" i="59"/>
  <c r="U496" i="59"/>
  <c r="W92" i="59"/>
  <c r="W326" i="59"/>
  <c r="T147" i="59"/>
  <c r="T49" i="59"/>
  <c r="S49" i="59"/>
  <c r="V49" i="59" s="1"/>
  <c r="U695" i="59"/>
  <c r="S833" i="59"/>
  <c r="V833" i="59" s="1"/>
  <c r="U133" i="59"/>
  <c r="X594" i="59"/>
  <c r="X407" i="59"/>
  <c r="X531" i="59"/>
  <c r="S346" i="59"/>
  <c r="V346" i="59" s="1"/>
  <c r="X579" i="59"/>
  <c r="T407" i="59"/>
  <c r="X309" i="59"/>
  <c r="S61" i="59"/>
  <c r="V61" i="59" s="1"/>
  <c r="S416" i="59"/>
  <c r="V416" i="59" s="1"/>
  <c r="X266" i="59"/>
  <c r="U334" i="59"/>
  <c r="S531" i="59"/>
  <c r="V531" i="59" s="1"/>
  <c r="W266" i="59"/>
  <c r="S149" i="59"/>
  <c r="V149" i="59" s="1"/>
  <c r="S167" i="59"/>
  <c r="V167" i="59" s="1"/>
  <c r="S180" i="59"/>
  <c r="V180" i="59" s="1"/>
  <c r="T143" i="59"/>
  <c r="T550" i="59"/>
  <c r="W548" i="59"/>
  <c r="T99" i="59"/>
  <c r="U99" i="59"/>
  <c r="T618" i="59"/>
  <c r="S232" i="59"/>
  <c r="V232" i="59" s="1"/>
  <c r="X738" i="59"/>
  <c r="X289" i="59"/>
  <c r="X286" i="59"/>
  <c r="S815" i="59"/>
  <c r="V815" i="59" s="1"/>
  <c r="U535" i="59"/>
  <c r="T885" i="59"/>
  <c r="T482" i="59"/>
  <c r="X486" i="59"/>
  <c r="X647" i="59"/>
  <c r="W468" i="59"/>
  <c r="U386" i="59"/>
  <c r="S578" i="59"/>
  <c r="V578" i="59" s="1"/>
  <c r="X696" i="59"/>
  <c r="U308" i="59"/>
  <c r="T414" i="59"/>
  <c r="X305" i="59"/>
  <c r="T901" i="59"/>
  <c r="T848" i="59"/>
  <c r="T498" i="59"/>
  <c r="T610" i="59"/>
  <c r="T739" i="59"/>
  <c r="T249" i="59"/>
  <c r="U144" i="59"/>
  <c r="X112" i="59"/>
  <c r="X387" i="59"/>
  <c r="S595" i="59"/>
  <c r="V595" i="59" s="1"/>
  <c r="T706" i="59"/>
  <c r="S711" i="59"/>
  <c r="V711" i="59" s="1"/>
  <c r="W397" i="59"/>
  <c r="U597" i="59"/>
  <c r="U188" i="59"/>
  <c r="U833" i="59"/>
  <c r="S89" i="59"/>
  <c r="V89" i="59" s="1"/>
  <c r="U231" i="59"/>
  <c r="W640" i="59"/>
  <c r="U888" i="59"/>
  <c r="T955" i="59"/>
  <c r="U617" i="59"/>
  <c r="U561" i="59"/>
  <c r="T214" i="59"/>
  <c r="W899" i="59"/>
  <c r="X690" i="59"/>
  <c r="S695" i="59"/>
  <c r="V695" i="59" s="1"/>
  <c r="W299" i="59"/>
  <c r="S826" i="59"/>
  <c r="V826" i="59" s="1"/>
  <c r="S289" i="59"/>
  <c r="V289" i="59" s="1"/>
  <c r="T306" i="59"/>
  <c r="U157" i="59"/>
  <c r="S294" i="59"/>
  <c r="V294" i="59" s="1"/>
  <c r="U113" i="59"/>
  <c r="T75" i="59"/>
  <c r="W75" i="59"/>
  <c r="U549" i="59"/>
  <c r="W630" i="59"/>
  <c r="T312" i="59"/>
  <c r="W465" i="59"/>
  <c r="S91" i="59"/>
  <c r="V91" i="59" s="1"/>
  <c r="W140" i="59"/>
  <c r="X72" i="59"/>
  <c r="S303" i="59"/>
  <c r="V303" i="59" s="1"/>
  <c r="U140" i="59"/>
  <c r="S140" i="59"/>
  <c r="V140" i="59" s="1"/>
  <c r="X532" i="59"/>
  <c r="S431" i="59"/>
  <c r="V431" i="59" s="1"/>
  <c r="S638" i="59"/>
  <c r="V638" i="59" s="1"/>
  <c r="S581" i="59"/>
  <c r="V581" i="59" s="1"/>
  <c r="T579" i="59"/>
  <c r="X512" i="59"/>
  <c r="S814" i="59"/>
  <c r="V814" i="59" s="1"/>
  <c r="U91" i="59"/>
  <c r="W662" i="59"/>
  <c r="W596" i="59"/>
  <c r="X61" i="59"/>
  <c r="W531" i="59"/>
  <c r="U315" i="59"/>
  <c r="T149" i="59"/>
  <c r="U227" i="59"/>
  <c r="W537" i="59"/>
  <c r="U537" i="59"/>
  <c r="X701" i="59"/>
  <c r="W646" i="59"/>
  <c r="W597" i="59"/>
  <c r="X529" i="59"/>
  <c r="U510" i="59"/>
  <c r="T153" i="59"/>
  <c r="S620" i="59"/>
  <c r="V620" i="59" s="1"/>
  <c r="X670" i="59"/>
  <c r="X525" i="59"/>
  <c r="U63" i="59"/>
  <c r="X682" i="59"/>
  <c r="T82" i="59"/>
  <c r="W411" i="59"/>
  <c r="W147" i="59"/>
  <c r="U147" i="59"/>
  <c r="X194" i="59"/>
  <c r="W274" i="59"/>
  <c r="T269" i="59"/>
  <c r="X571" i="59"/>
  <c r="S274" i="59"/>
  <c r="V274" i="59" s="1"/>
  <c r="T445" i="59"/>
  <c r="W77" i="59"/>
  <c r="S452" i="59"/>
  <c r="V452" i="59" s="1"/>
  <c r="T53" i="59"/>
  <c r="X464" i="59"/>
  <c r="T420" i="59"/>
  <c r="W409" i="59"/>
  <c r="U652" i="59"/>
  <c r="T738" i="59"/>
  <c r="X162" i="59"/>
  <c r="W162" i="59"/>
  <c r="S372" i="59"/>
  <c r="V372" i="59" s="1"/>
  <c r="X63" i="59"/>
  <c r="T653" i="59"/>
  <c r="X77" i="59"/>
  <c r="X414" i="59"/>
  <c r="U638" i="59"/>
  <c r="S153" i="59"/>
  <c r="V153" i="59" s="1"/>
  <c r="T682" i="59"/>
  <c r="U53" i="59"/>
  <c r="T729" i="59"/>
  <c r="W303" i="59"/>
  <c r="W750" i="59"/>
  <c r="T638" i="59"/>
  <c r="X147" i="59"/>
  <c r="W269" i="59"/>
  <c r="U596" i="59"/>
  <c r="T202" i="59"/>
  <c r="S625" i="59"/>
  <c r="V625" i="59" s="1"/>
  <c r="U162" i="59"/>
  <c r="U232" i="59"/>
  <c r="S414" i="59"/>
  <c r="V414" i="59" s="1"/>
  <c r="U640" i="59"/>
  <c r="X652" i="59"/>
  <c r="T399" i="59"/>
  <c r="X624" i="59"/>
  <c r="W135" i="59"/>
  <c r="U462" i="59"/>
  <c r="X62" i="59"/>
  <c r="S751" i="59"/>
  <c r="V751" i="59" s="1"/>
  <c r="W456" i="59"/>
  <c r="X619" i="59"/>
  <c r="W739" i="59"/>
  <c r="T320" i="59"/>
  <c r="X373" i="59"/>
  <c r="U459" i="59"/>
  <c r="T373" i="59"/>
  <c r="U282" i="59"/>
  <c r="S268" i="59"/>
  <c r="V268" i="59" s="1"/>
  <c r="X602" i="59"/>
  <c r="T242" i="59"/>
  <c r="W445" i="59"/>
  <c r="T232" i="59"/>
  <c r="S53" i="59"/>
  <c r="V53" i="59" s="1"/>
  <c r="X747" i="59"/>
  <c r="U461" i="59"/>
  <c r="T877" i="59"/>
  <c r="S616" i="59"/>
  <c r="V616" i="59" s="1"/>
  <c r="T235" i="59"/>
  <c r="T57" i="59"/>
  <c r="T577" i="59"/>
  <c r="T417" i="59"/>
  <c r="T211" i="59"/>
  <c r="U100" i="59"/>
  <c r="W495" i="59"/>
  <c r="X243" i="59"/>
  <c r="U837" i="59"/>
  <c r="W100" i="59"/>
  <c r="T495" i="59"/>
  <c r="T735" i="59"/>
  <c r="U528" i="59"/>
  <c r="S235" i="59"/>
  <c r="V235" i="59" s="1"/>
  <c r="T115" i="59"/>
  <c r="W281" i="59"/>
  <c r="S761" i="59"/>
  <c r="V761" i="59" s="1"/>
  <c r="S100" i="59"/>
  <c r="V100" i="59" s="1"/>
  <c r="W120" i="59"/>
  <c r="S211" i="59"/>
  <c r="V211" i="59" s="1"/>
  <c r="T281" i="59"/>
  <c r="S523" i="59"/>
  <c r="V523" i="59" s="1"/>
  <c r="X481" i="59"/>
  <c r="U106" i="59"/>
  <c r="T60" i="59"/>
  <c r="X644" i="59"/>
  <c r="U410" i="59"/>
  <c r="U245" i="59"/>
  <c r="S199" i="59"/>
  <c r="V199" i="59" s="1"/>
  <c r="U130" i="59"/>
  <c r="U742" i="59"/>
  <c r="T864" i="59"/>
  <c r="U211" i="59"/>
  <c r="S651" i="59"/>
  <c r="V651" i="59" s="1"/>
  <c r="U460" i="59"/>
  <c r="X224" i="59"/>
  <c r="W636" i="59"/>
  <c r="X704" i="59"/>
  <c r="X295" i="59"/>
  <c r="X174" i="59"/>
  <c r="T47" i="59"/>
  <c r="S328" i="59"/>
  <c r="V328" i="59" s="1"/>
  <c r="S623" i="59"/>
  <c r="V623" i="59" s="1"/>
  <c r="X369" i="59"/>
  <c r="S717" i="59"/>
  <c r="V717" i="59" s="1"/>
  <c r="W47" i="59"/>
  <c r="U47" i="59"/>
  <c r="T231" i="59"/>
  <c r="U414" i="59"/>
  <c r="W590" i="59"/>
  <c r="W670" i="59"/>
  <c r="S728" i="59"/>
  <c r="V728" i="59" s="1"/>
  <c r="T741" i="59"/>
  <c r="X482" i="59"/>
  <c r="X678" i="59"/>
  <c r="X751" i="59"/>
  <c r="S482" i="59"/>
  <c r="V482" i="59" s="1"/>
  <c r="W623" i="59"/>
  <c r="U623" i="59"/>
  <c r="T636" i="59"/>
  <c r="X875" i="59"/>
  <c r="S417" i="59"/>
  <c r="V417" i="59" s="1"/>
  <c r="W799" i="59"/>
  <c r="T844" i="59"/>
  <c r="X242" i="59"/>
  <c r="X238" i="59"/>
  <c r="X884" i="59"/>
  <c r="T839" i="59"/>
  <c r="S488" i="59"/>
  <c r="V488" i="59" s="1"/>
  <c r="W568" i="59"/>
  <c r="U418" i="59"/>
  <c r="W457" i="59"/>
  <c r="U46" i="59"/>
  <c r="U427" i="59"/>
  <c r="W371" i="59"/>
  <c r="U688" i="59"/>
  <c r="X585" i="59"/>
  <c r="W425" i="59"/>
  <c r="S137" i="59"/>
  <c r="V137" i="59" s="1"/>
  <c r="T502" i="59"/>
  <c r="W277" i="59"/>
  <c r="W691" i="59"/>
  <c r="S656" i="59"/>
  <c r="V656" i="59" s="1"/>
  <c r="W424" i="59"/>
  <c r="W839" i="59"/>
  <c r="S347" i="59"/>
  <c r="V347" i="59" s="1"/>
  <c r="U551" i="59"/>
  <c r="X380" i="59"/>
  <c r="W89" i="59"/>
  <c r="W240" i="59"/>
  <c r="U380" i="59"/>
  <c r="U897" i="59"/>
  <c r="W655" i="59"/>
  <c r="W901" i="59"/>
  <c r="W818" i="59"/>
  <c r="W521" i="59"/>
  <c r="W871" i="59"/>
  <c r="U172" i="59"/>
  <c r="X374" i="59"/>
  <c r="W139" i="59"/>
  <c r="X293" i="59"/>
  <c r="S835" i="59"/>
  <c r="V835" i="59" s="1"/>
  <c r="S52" i="59"/>
  <c r="V52" i="59" s="1"/>
  <c r="U522" i="59"/>
  <c r="S172" i="59"/>
  <c r="V172" i="59" s="1"/>
  <c r="X199" i="59"/>
  <c r="W142" i="59"/>
  <c r="U353" i="59"/>
  <c r="S142" i="59"/>
  <c r="V142" i="59" s="1"/>
  <c r="X490" i="59"/>
  <c r="X46" i="59"/>
  <c r="U922" i="59"/>
  <c r="X144" i="59"/>
  <c r="U663" i="59"/>
  <c r="X754" i="59"/>
  <c r="T226" i="59"/>
  <c r="T851" i="59"/>
  <c r="X888" i="59"/>
  <c r="W533" i="59"/>
  <c r="S696" i="59"/>
  <c r="V696" i="59" s="1"/>
  <c r="S139" i="59"/>
  <c r="V139" i="59" s="1"/>
  <c r="X586" i="59"/>
  <c r="U304" i="59"/>
  <c r="W604" i="59"/>
  <c r="T604" i="59"/>
  <c r="T304" i="59"/>
  <c r="T455" i="59"/>
  <c r="T113" i="59"/>
  <c r="S510" i="59"/>
  <c r="V510" i="59" s="1"/>
  <c r="W191" i="59"/>
  <c r="T811" i="59"/>
  <c r="W459" i="59"/>
  <c r="T396" i="59"/>
  <c r="S446" i="59"/>
  <c r="V446" i="59" s="1"/>
  <c r="T750" i="59"/>
  <c r="S147" i="59"/>
  <c r="V147" i="59" s="1"/>
  <c r="S677" i="59"/>
  <c r="V677" i="59" s="1"/>
  <c r="U274" i="59"/>
  <c r="X752" i="59"/>
  <c r="W320" i="59"/>
  <c r="S640" i="59"/>
  <c r="V640" i="59" s="1"/>
  <c r="W408" i="59"/>
  <c r="U729" i="59"/>
  <c r="T464" i="59"/>
  <c r="S738" i="59"/>
  <c r="V738" i="59" s="1"/>
  <c r="X202" i="59"/>
  <c r="U466" i="59"/>
  <c r="U241" i="59"/>
  <c r="S63" i="59"/>
  <c r="V63" i="59" s="1"/>
  <c r="U624" i="59"/>
  <c r="X497" i="59"/>
  <c r="W690" i="59"/>
  <c r="T300" i="59"/>
  <c r="T690" i="59"/>
  <c r="W151" i="59"/>
  <c r="S882" i="59"/>
  <c r="V882" i="59" s="1"/>
  <c r="S320" i="59"/>
  <c r="V320" i="59" s="1"/>
  <c r="T243" i="59"/>
  <c r="X372" i="59"/>
  <c r="X491" i="59"/>
  <c r="T384" i="59"/>
  <c r="T617" i="59"/>
  <c r="W632" i="59"/>
  <c r="X392" i="59"/>
  <c r="U452" i="59"/>
  <c r="X160" i="59"/>
  <c r="W167" i="59"/>
  <c r="S778" i="59"/>
  <c r="V778" i="59" s="1"/>
  <c r="W256" i="59"/>
  <c r="X368" i="59"/>
  <c r="W729" i="59"/>
  <c r="U752" i="59"/>
  <c r="U453" i="59"/>
  <c r="T165" i="59"/>
  <c r="W735" i="59"/>
  <c r="X59" i="59"/>
  <c r="X66" i="59"/>
  <c r="W535" i="59"/>
  <c r="W310" i="59"/>
  <c r="X872" i="59"/>
  <c r="U66" i="59"/>
  <c r="W528" i="59"/>
  <c r="S837" i="59"/>
  <c r="V837" i="59" s="1"/>
  <c r="X96" i="59"/>
  <c r="S468" i="59"/>
  <c r="V468" i="59" s="1"/>
  <c r="U495" i="59"/>
  <c r="S373" i="59"/>
  <c r="V373" i="59" s="1"/>
  <c r="X833" i="59"/>
  <c r="U184" i="59"/>
  <c r="T582" i="59"/>
  <c r="T59" i="59"/>
  <c r="X555" i="59"/>
  <c r="T635" i="59"/>
  <c r="W578" i="59"/>
  <c r="U796" i="59"/>
  <c r="S148" i="59"/>
  <c r="V148" i="59" s="1"/>
  <c r="T551" i="59"/>
  <c r="W524" i="59"/>
  <c r="S224" i="59"/>
  <c r="V224" i="59" s="1"/>
  <c r="W449" i="59"/>
  <c r="W130" i="59"/>
  <c r="X148" i="59"/>
  <c r="X211" i="59"/>
  <c r="W145" i="59"/>
  <c r="S423" i="59"/>
  <c r="V423" i="59" s="1"/>
  <c r="U590" i="59"/>
  <c r="X551" i="59"/>
  <c r="U711" i="59"/>
  <c r="U745" i="59"/>
  <c r="S174" i="59"/>
  <c r="V174" i="59" s="1"/>
  <c r="W460" i="59"/>
  <c r="T174" i="59"/>
  <c r="W384" i="59"/>
  <c r="X637" i="59"/>
  <c r="U193" i="59"/>
  <c r="U728" i="59"/>
  <c r="W210" i="59"/>
  <c r="X119" i="59"/>
  <c r="T210" i="59"/>
  <c r="U449" i="59"/>
  <c r="W607" i="59"/>
  <c r="U151" i="59"/>
  <c r="U739" i="59"/>
  <c r="X106" i="59"/>
  <c r="U527" i="59"/>
  <c r="S193" i="59"/>
  <c r="V193" i="59" s="1"/>
  <c r="U882" i="59"/>
  <c r="T619" i="59"/>
  <c r="U580" i="59"/>
  <c r="W527" i="59"/>
  <c r="S744" i="59"/>
  <c r="V744" i="59" s="1"/>
  <c r="W869" i="59"/>
  <c r="W346" i="59"/>
  <c r="S818" i="59"/>
  <c r="V818" i="59" s="1"/>
  <c r="X782" i="59"/>
  <c r="X814" i="59"/>
  <c r="S676" i="59"/>
  <c r="V676" i="59" s="1"/>
  <c r="S967" i="59"/>
  <c r="V967" i="59" s="1"/>
  <c r="X396" i="59"/>
  <c r="S539" i="59"/>
  <c r="V539" i="59" s="1"/>
  <c r="T754" i="59"/>
  <c r="W589" i="59"/>
  <c r="T494" i="59"/>
  <c r="X198" i="59"/>
  <c r="W46" i="59"/>
  <c r="X427" i="59"/>
  <c r="W50" i="59"/>
  <c r="W587" i="59"/>
  <c r="W502" i="59"/>
  <c r="S425" i="59"/>
  <c r="V425" i="59" s="1"/>
  <c r="X50" i="59"/>
  <c r="S807" i="59"/>
  <c r="V807" i="59" s="1"/>
  <c r="S799" i="59"/>
  <c r="V799" i="59" s="1"/>
  <c r="S277" i="59"/>
  <c r="V277" i="59" s="1"/>
  <c r="T691" i="59"/>
  <c r="U965" i="59"/>
  <c r="W214" i="59"/>
  <c r="S322" i="59"/>
  <c r="V322" i="59" s="1"/>
  <c r="W322" i="59"/>
  <c r="T322" i="59"/>
  <c r="S240" i="59"/>
  <c r="V240" i="59" s="1"/>
  <c r="T141" i="59"/>
  <c r="W810" i="59"/>
  <c r="T172" i="59"/>
  <c r="U322" i="59"/>
  <c r="W879" i="59"/>
  <c r="T647" i="59"/>
  <c r="W241" i="59"/>
  <c r="X706" i="59"/>
  <c r="T687" i="59"/>
  <c r="X526" i="59"/>
  <c r="W374" i="59"/>
  <c r="S245" i="59"/>
  <c r="V245" i="59" s="1"/>
  <c r="T559" i="59"/>
  <c r="W414" i="59"/>
  <c r="W113" i="59"/>
  <c r="U180" i="59"/>
  <c r="X143" i="59"/>
  <c r="T132" i="59"/>
  <c r="U143" i="59"/>
  <c r="S82" i="59"/>
  <c r="V82" i="59" s="1"/>
  <c r="X161" i="59"/>
  <c r="T191" i="59"/>
  <c r="X811" i="59"/>
  <c r="T161" i="59"/>
  <c r="X320" i="59"/>
  <c r="W567" i="59"/>
  <c r="T261" i="59"/>
  <c r="W653" i="59"/>
  <c r="S637" i="59"/>
  <c r="V637" i="59" s="1"/>
  <c r="X739" i="59"/>
  <c r="T640" i="59"/>
  <c r="X640" i="59"/>
  <c r="X277" i="59"/>
  <c r="S462" i="59"/>
  <c r="V462" i="59" s="1"/>
  <c r="T134" i="59"/>
  <c r="T215" i="59"/>
  <c r="U497" i="59"/>
  <c r="U392" i="59"/>
  <c r="S809" i="59"/>
  <c r="V809" i="59" s="1"/>
  <c r="X349" i="59"/>
  <c r="T264" i="59"/>
  <c r="W540" i="59"/>
  <c r="T881" i="59"/>
  <c r="S184" i="59"/>
  <c r="V184" i="59" s="1"/>
  <c r="W617" i="59"/>
  <c r="T592" i="59"/>
  <c r="S463" i="59"/>
  <c r="V463" i="59" s="1"/>
  <c r="U105" i="59"/>
  <c r="X256" i="59"/>
  <c r="U408" i="59"/>
  <c r="T602" i="59"/>
  <c r="U846" i="59"/>
  <c r="T135" i="59"/>
  <c r="U782" i="59"/>
  <c r="S674" i="59"/>
  <c r="V674" i="59" s="1"/>
  <c r="X650" i="59"/>
  <c r="X264" i="59"/>
  <c r="T524" i="59"/>
  <c r="U577" i="59"/>
  <c r="U346" i="59"/>
  <c r="W184" i="59"/>
  <c r="X453" i="59"/>
  <c r="T184" i="59"/>
  <c r="S535" i="59"/>
  <c r="V535" i="59" s="1"/>
  <c r="X200" i="59"/>
  <c r="S96" i="59"/>
  <c r="V96" i="59" s="1"/>
  <c r="X235" i="59"/>
  <c r="X542" i="59"/>
  <c r="W864" i="59"/>
  <c r="W57" i="59"/>
  <c r="X535" i="59"/>
  <c r="X595" i="59"/>
  <c r="T96" i="59"/>
  <c r="T241" i="59"/>
  <c r="U145" i="59"/>
  <c r="S675" i="59"/>
  <c r="V675" i="59" s="1"/>
  <c r="T410" i="59"/>
  <c r="T120" i="59"/>
  <c r="W106" i="59"/>
  <c r="S210" i="59"/>
  <c r="V210" i="59" s="1"/>
  <c r="W193" i="59"/>
  <c r="S205" i="59"/>
  <c r="V205" i="59" s="1"/>
  <c r="U275" i="59"/>
  <c r="S644" i="59"/>
  <c r="V644" i="59" s="1"/>
  <c r="W704" i="59"/>
  <c r="S540" i="59"/>
  <c r="V540" i="59" s="1"/>
  <c r="U328" i="59"/>
  <c r="T540" i="59"/>
  <c r="X406" i="59"/>
  <c r="S379" i="59"/>
  <c r="V379" i="59" s="1"/>
  <c r="S86" i="59"/>
  <c r="V86" i="59" s="1"/>
  <c r="S323" i="59"/>
  <c r="V323" i="59" s="1"/>
  <c r="X711" i="59"/>
  <c r="S704" i="59"/>
  <c r="V704" i="59" s="1"/>
  <c r="T761" i="59"/>
  <c r="S119" i="59"/>
  <c r="V119" i="59" s="1"/>
  <c r="T536" i="59"/>
  <c r="X85" i="59"/>
  <c r="S460" i="59"/>
  <c r="V460" i="59" s="1"/>
  <c r="S622" i="59"/>
  <c r="V622" i="59" s="1"/>
  <c r="S552" i="59"/>
  <c r="V552" i="59" s="1"/>
  <c r="X742" i="59"/>
  <c r="T481" i="59"/>
  <c r="X141" i="59"/>
  <c r="U85" i="59"/>
  <c r="S481" i="59"/>
  <c r="V481" i="59" s="1"/>
  <c r="U619" i="59"/>
  <c r="X336" i="59"/>
  <c r="W745" i="59"/>
  <c r="X210" i="59"/>
  <c r="X536" i="59"/>
  <c r="S275" i="59"/>
  <c r="V275" i="59" s="1"/>
  <c r="S247" i="59"/>
  <c r="V247" i="59" s="1"/>
  <c r="T329" i="59"/>
  <c r="T386" i="59"/>
  <c r="T580" i="59"/>
  <c r="S777" i="59"/>
  <c r="V777" i="59" s="1"/>
  <c r="T539" i="59"/>
  <c r="U152" i="59"/>
  <c r="U329" i="59"/>
  <c r="W777" i="59"/>
  <c r="U839" i="59"/>
  <c r="S112" i="59"/>
  <c r="V112" i="59" s="1"/>
  <c r="T737" i="59"/>
  <c r="U889" i="59"/>
  <c r="S626" i="59"/>
  <c r="V626" i="59" s="1"/>
  <c r="X457" i="59"/>
  <c r="T767" i="59"/>
  <c r="W559" i="59"/>
  <c r="W242" i="59"/>
  <c r="T198" i="59"/>
  <c r="T808" i="59"/>
  <c r="T137" i="59"/>
  <c r="W688" i="59"/>
  <c r="T557" i="59"/>
  <c r="U587" i="59"/>
  <c r="X137" i="59"/>
  <c r="W525" i="59"/>
  <c r="X203" i="59"/>
  <c r="S691" i="59"/>
  <c r="V691" i="59" s="1"/>
  <c r="S953" i="59"/>
  <c r="V953" i="59" s="1"/>
  <c r="W541" i="59"/>
  <c r="U381" i="59"/>
  <c r="X240" i="59"/>
  <c r="T879" i="59"/>
  <c r="S746" i="59"/>
  <c r="V746" i="59" s="1"/>
  <c r="S398" i="59"/>
  <c r="V398" i="59" s="1"/>
  <c r="T451" i="59"/>
  <c r="T840" i="59"/>
  <c r="W863" i="59"/>
  <c r="S538" i="59"/>
  <c r="V538" i="59" s="1"/>
  <c r="X897" i="59"/>
  <c r="X376" i="59"/>
  <c r="U293" i="59"/>
  <c r="U744" i="59"/>
  <c r="T276" i="59"/>
  <c r="T239" i="59"/>
  <c r="X522" i="59"/>
  <c r="X871" i="59"/>
  <c r="U629" i="59"/>
  <c r="X630" i="59"/>
  <c r="U305" i="59"/>
  <c r="S529" i="59"/>
  <c r="V529" i="59" s="1"/>
  <c r="U625" i="59"/>
  <c r="X113" i="59"/>
  <c r="U411" i="59"/>
  <c r="W570" i="59"/>
  <c r="T133" i="59"/>
  <c r="S537" i="59"/>
  <c r="V537" i="59" s="1"/>
  <c r="U586" i="59"/>
  <c r="W571" i="59"/>
  <c r="W752" i="59"/>
  <c r="X596" i="59"/>
  <c r="S281" i="59"/>
  <c r="V281" i="59" s="1"/>
  <c r="S650" i="59"/>
  <c r="V650" i="59" s="1"/>
  <c r="U641" i="59"/>
  <c r="U751" i="59"/>
  <c r="T252" i="59"/>
  <c r="X300" i="59"/>
  <c r="S252" i="59"/>
  <c r="V252" i="59" s="1"/>
  <c r="U653" i="59"/>
  <c r="W738" i="59"/>
  <c r="S497" i="59"/>
  <c r="V497" i="59" s="1"/>
  <c r="T497" i="59"/>
  <c r="W232" i="59"/>
  <c r="S697" i="59"/>
  <c r="V697" i="59" s="1"/>
  <c r="S349" i="59"/>
  <c r="V349" i="59" s="1"/>
  <c r="X524" i="59"/>
  <c r="W235" i="59"/>
  <c r="T349" i="59"/>
  <c r="X93" i="59"/>
  <c r="T268" i="59"/>
  <c r="X495" i="59"/>
  <c r="X488" i="59"/>
  <c r="S66" i="59"/>
  <c r="V66" i="59" s="1"/>
  <c r="W782" i="59"/>
  <c r="X459" i="59"/>
  <c r="W372" i="59"/>
  <c r="T858" i="59"/>
  <c r="S632" i="59"/>
  <c r="V632" i="59" s="1"/>
  <c r="X877" i="59"/>
  <c r="U160" i="59"/>
  <c r="X617" i="59"/>
  <c r="X452" i="59"/>
  <c r="T533" i="59"/>
  <c r="W675" i="59"/>
  <c r="W417" i="59"/>
  <c r="W93" i="59"/>
  <c r="W627" i="59"/>
  <c r="U235" i="59"/>
  <c r="U592" i="59"/>
  <c r="X255" i="59"/>
  <c r="W423" i="59"/>
  <c r="U93" i="59"/>
  <c r="W243" i="59"/>
  <c r="W741" i="59"/>
  <c r="W65" i="59"/>
  <c r="S528" i="59"/>
  <c r="V528" i="59" s="1"/>
  <c r="W60" i="59"/>
  <c r="X100" i="59"/>
  <c r="S65" i="59"/>
  <c r="V65" i="59" s="1"/>
  <c r="T468" i="59"/>
  <c r="U200" i="59"/>
  <c r="T493" i="59"/>
  <c r="S120" i="59"/>
  <c r="V120" i="59" s="1"/>
  <c r="X728" i="59"/>
  <c r="W295" i="59"/>
  <c r="U678" i="59"/>
  <c r="T218" i="59"/>
  <c r="W870" i="59"/>
  <c r="X282" i="59"/>
  <c r="S745" i="59"/>
  <c r="V745" i="59" s="1"/>
  <c r="W651" i="59"/>
  <c r="T449" i="59"/>
  <c r="W558" i="59"/>
  <c r="S493" i="59"/>
  <c r="V493" i="59" s="1"/>
  <c r="T406" i="59"/>
  <c r="U224" i="59"/>
  <c r="U379" i="59"/>
  <c r="X818" i="59"/>
  <c r="T781" i="59"/>
  <c r="S115" i="59"/>
  <c r="V115" i="59" s="1"/>
  <c r="U482" i="59"/>
  <c r="S607" i="59"/>
  <c r="V607" i="59" s="1"/>
  <c r="T119" i="59"/>
  <c r="W523" i="59"/>
  <c r="X580" i="59"/>
  <c r="X170" i="59"/>
  <c r="X744" i="59"/>
  <c r="T251" i="59"/>
  <c r="X218" i="59"/>
  <c r="T130" i="59"/>
  <c r="U523" i="59"/>
  <c r="X623" i="59"/>
  <c r="W245" i="59"/>
  <c r="X796" i="59"/>
  <c r="W174" i="59"/>
  <c r="X590" i="59"/>
  <c r="X386" i="59"/>
  <c r="X391" i="59"/>
  <c r="T796" i="59"/>
  <c r="S703" i="59"/>
  <c r="V703" i="59" s="1"/>
  <c r="S151" i="59"/>
  <c r="V151" i="59" s="1"/>
  <c r="U815" i="59"/>
  <c r="T676" i="59"/>
  <c r="T777" i="59"/>
  <c r="X506" i="59"/>
  <c r="U858" i="59"/>
  <c r="U773" i="59"/>
  <c r="U203" i="59"/>
  <c r="T467" i="59"/>
  <c r="U810" i="59"/>
  <c r="S371" i="59"/>
  <c r="V371" i="59" s="1"/>
  <c r="U505" i="59"/>
  <c r="U774" i="59"/>
  <c r="X589" i="59"/>
  <c r="U457" i="59"/>
  <c r="T144" i="59"/>
  <c r="U327" i="59"/>
  <c r="T425" i="59"/>
  <c r="U691" i="59"/>
  <c r="T585" i="59"/>
  <c r="U277" i="59"/>
  <c r="W203" i="59"/>
  <c r="X656" i="59"/>
  <c r="T203" i="59"/>
  <c r="X799" i="59"/>
  <c r="X844" i="59"/>
  <c r="U352" i="59"/>
  <c r="U955" i="59"/>
  <c r="W511" i="59"/>
  <c r="T509" i="59"/>
  <c r="W851" i="59"/>
  <c r="X538" i="59"/>
  <c r="W844" i="59"/>
  <c r="X965" i="59"/>
  <c r="W398" i="59"/>
  <c r="X851" i="59"/>
  <c r="W508" i="59"/>
  <c r="U538" i="59"/>
  <c r="W522" i="59"/>
  <c r="S851" i="59"/>
  <c r="V851" i="59" s="1"/>
  <c r="T600" i="59"/>
  <c r="S455" i="59"/>
  <c r="V455" i="59" s="1"/>
  <c r="W767" i="59"/>
  <c r="X746" i="59"/>
  <c r="X758" i="59"/>
  <c r="S305" i="59"/>
  <c r="V305" i="59" s="1"/>
  <c r="W448" i="59"/>
  <c r="X889" i="59"/>
  <c r="T561" i="59"/>
  <c r="W446" i="59"/>
  <c r="T411" i="59"/>
  <c r="X191" i="59"/>
  <c r="X900" i="59"/>
  <c r="X262" i="59"/>
  <c r="T274" i="59"/>
  <c r="S202" i="59"/>
  <c r="V202" i="59" s="1"/>
  <c r="U657" i="59"/>
  <c r="W388" i="59"/>
  <c r="W63" i="59"/>
  <c r="U464" i="59"/>
  <c r="X426" i="59"/>
  <c r="W300" i="59"/>
  <c r="S426" i="59"/>
  <c r="V426" i="59" s="1"/>
  <c r="S62" i="59"/>
  <c r="V62" i="59" s="1"/>
  <c r="U62" i="59"/>
  <c r="X750" i="59"/>
  <c r="X449" i="59"/>
  <c r="U215" i="59"/>
  <c r="W392" i="59"/>
  <c r="T846" i="59"/>
  <c r="U349" i="59"/>
  <c r="S921" i="59"/>
  <c r="V921" i="59" s="1"/>
  <c r="X592" i="59"/>
  <c r="S690" i="59"/>
  <c r="V690" i="59" s="1"/>
  <c r="U488" i="59"/>
  <c r="S657" i="59"/>
  <c r="V657" i="59" s="1"/>
  <c r="S238" i="59"/>
  <c r="V238" i="59" s="1"/>
  <c r="X455" i="59"/>
  <c r="W328" i="59"/>
  <c r="S877" i="59"/>
  <c r="V877" i="59" s="1"/>
  <c r="U56" i="59"/>
  <c r="U368" i="59"/>
  <c r="U60" i="59"/>
  <c r="S264" i="59"/>
  <c r="V264" i="59" s="1"/>
  <c r="W56" i="59"/>
  <c r="S617" i="59"/>
  <c r="V617" i="59" s="1"/>
  <c r="U602" i="59"/>
  <c r="S256" i="59"/>
  <c r="V256" i="59" s="1"/>
  <c r="T453" i="59"/>
  <c r="W85" i="59"/>
  <c r="S555" i="59"/>
  <c r="V555" i="59" s="1"/>
  <c r="S747" i="59"/>
  <c r="V747" i="59" s="1"/>
  <c r="T675" i="59"/>
  <c r="S93" i="59"/>
  <c r="V93" i="59" s="1"/>
  <c r="S627" i="59"/>
  <c r="V627" i="59" s="1"/>
  <c r="X152" i="59"/>
  <c r="U582" i="59"/>
  <c r="S406" i="59"/>
  <c r="V406" i="59" s="1"/>
  <c r="W255" i="59"/>
  <c r="X184" i="59"/>
  <c r="T179" i="59"/>
  <c r="T595" i="59"/>
  <c r="U57" i="59"/>
  <c r="U96" i="59"/>
  <c r="W798" i="59"/>
  <c r="W493" i="59"/>
  <c r="S712" i="59"/>
  <c r="V712" i="59" s="1"/>
  <c r="T542" i="59"/>
  <c r="X675" i="59"/>
  <c r="T323" i="59"/>
  <c r="W728" i="59"/>
  <c r="W323" i="59"/>
  <c r="W379" i="59"/>
  <c r="T148" i="59"/>
  <c r="W712" i="59"/>
  <c r="W244" i="59"/>
  <c r="X310" i="59"/>
  <c r="X540" i="59"/>
  <c r="S318" i="59"/>
  <c r="V318" i="59" s="1"/>
  <c r="U524" i="59"/>
  <c r="X493" i="59"/>
  <c r="W551" i="59"/>
  <c r="X423" i="59"/>
  <c r="U398" i="59"/>
  <c r="W325" i="59"/>
  <c r="S864" i="59"/>
  <c r="V864" i="59" s="1"/>
  <c r="W536" i="59"/>
  <c r="U251" i="59"/>
  <c r="S130" i="59"/>
  <c r="V130" i="59" s="1"/>
  <c r="X578" i="59"/>
  <c r="W329" i="59"/>
  <c r="W552" i="59"/>
  <c r="W815" i="59"/>
  <c r="U295" i="59"/>
  <c r="W231" i="59"/>
  <c r="X231" i="59"/>
  <c r="T527" i="59"/>
  <c r="W637" i="59"/>
  <c r="U336" i="59"/>
  <c r="T815" i="59"/>
  <c r="U119" i="59"/>
  <c r="S641" i="59"/>
  <c r="V641" i="59" s="1"/>
  <c r="T146" i="59"/>
  <c r="S338" i="59"/>
  <c r="V338" i="59" s="1"/>
  <c r="U753" i="59"/>
  <c r="W744" i="59"/>
  <c r="X251" i="59"/>
  <c r="S870" i="59"/>
  <c r="V870" i="59" s="1"/>
  <c r="S505" i="59"/>
  <c r="V505" i="59" s="1"/>
  <c r="W796" i="59"/>
  <c r="X717" i="59"/>
  <c r="W754" i="59"/>
  <c r="W814" i="59"/>
  <c r="S396" i="59"/>
  <c r="V396" i="59" s="1"/>
  <c r="U557" i="59"/>
  <c r="X832" i="59"/>
  <c r="W331" i="59"/>
  <c r="W488" i="59"/>
  <c r="S839" i="59"/>
  <c r="V839" i="59" s="1"/>
  <c r="X331" i="59"/>
  <c r="U486" i="59"/>
  <c r="W418" i="59"/>
  <c r="W574" i="59"/>
  <c r="W466" i="59"/>
  <c r="S250" i="59"/>
  <c r="V250" i="59" s="1"/>
  <c r="W467" i="59"/>
  <c r="T688" i="59"/>
  <c r="U656" i="59"/>
  <c r="S424" i="59"/>
  <c r="V424" i="59" s="1"/>
  <c r="X466" i="59"/>
  <c r="T807" i="59"/>
  <c r="S917" i="59"/>
  <c r="V917" i="59" s="1"/>
  <c r="U255" i="59"/>
  <c r="U168" i="59"/>
  <c r="U86" i="59"/>
  <c r="U746" i="59"/>
  <c r="S871" i="59"/>
  <c r="V871" i="59" s="1"/>
  <c r="U89" i="59"/>
  <c r="U840" i="59"/>
  <c r="U884" i="59"/>
  <c r="W538" i="59"/>
  <c r="W271" i="59"/>
  <c r="U589" i="59"/>
  <c r="S146" i="59"/>
  <c r="V146" i="59" s="1"/>
  <c r="W647" i="59"/>
  <c r="S965" i="59"/>
  <c r="V965" i="59" s="1"/>
  <c r="X731" i="59"/>
  <c r="T663" i="59"/>
  <c r="U777" i="59"/>
  <c r="W347" i="59"/>
  <c r="T293" i="59"/>
  <c r="U458" i="59"/>
  <c r="U620" i="59"/>
  <c r="X153" i="59"/>
  <c r="X425" i="59"/>
  <c r="T646" i="59"/>
  <c r="S682" i="59"/>
  <c r="V682" i="59" s="1"/>
  <c r="T833" i="59"/>
  <c r="X176" i="59"/>
  <c r="T730" i="59"/>
  <c r="U811" i="59"/>
  <c r="S752" i="59"/>
  <c r="V752" i="59" s="1"/>
  <c r="T571" i="59"/>
  <c r="S461" i="59"/>
  <c r="V461" i="59" s="1"/>
  <c r="S408" i="59"/>
  <c r="V408" i="59" s="1"/>
  <c r="X461" i="59"/>
  <c r="X285" i="59"/>
  <c r="U409" i="59"/>
  <c r="U300" i="59"/>
  <c r="U252" i="59"/>
  <c r="S653" i="59"/>
  <c r="V653" i="59" s="1"/>
  <c r="X697" i="59"/>
  <c r="S165" i="59"/>
  <c r="V165" i="59" s="1"/>
  <c r="T105" i="59"/>
  <c r="T697" i="59"/>
  <c r="S445" i="59"/>
  <c r="V445" i="59" s="1"/>
  <c r="W689" i="59"/>
  <c r="X379" i="59"/>
  <c r="S678" i="59"/>
  <c r="V678" i="59" s="1"/>
  <c r="X528" i="59"/>
  <c r="U690" i="59"/>
  <c r="S105" i="59"/>
  <c r="V105" i="59" s="1"/>
  <c r="U373" i="59"/>
  <c r="U348" i="59"/>
  <c r="S399" i="59"/>
  <c r="V399" i="59" s="1"/>
  <c r="U242" i="59"/>
  <c r="X778" i="59"/>
  <c r="U132" i="59"/>
  <c r="T657" i="59"/>
  <c r="T255" i="59"/>
  <c r="W227" i="59"/>
  <c r="W132" i="59"/>
  <c r="X729" i="59"/>
  <c r="S619" i="59"/>
  <c r="V619" i="59" s="1"/>
  <c r="W452" i="59"/>
  <c r="W188" i="59"/>
  <c r="X577" i="59"/>
  <c r="W555" i="59"/>
  <c r="S798" i="59"/>
  <c r="V798" i="59" s="1"/>
  <c r="X837" i="59"/>
  <c r="X188" i="59"/>
  <c r="X281" i="59"/>
  <c r="X115" i="59"/>
  <c r="U59" i="59"/>
  <c r="W453" i="59"/>
  <c r="T200" i="59"/>
  <c r="T93" i="59"/>
  <c r="X165" i="59"/>
  <c r="W592" i="59"/>
  <c r="X145" i="59"/>
  <c r="T188" i="59"/>
  <c r="W165" i="59"/>
  <c r="U595" i="59"/>
  <c r="W761" i="59"/>
  <c r="X558" i="59"/>
  <c r="X761" i="59"/>
  <c r="W635" i="59"/>
  <c r="T521" i="59"/>
  <c r="S557" i="59"/>
  <c r="V557" i="59" s="1"/>
  <c r="X410" i="59"/>
  <c r="U205" i="59"/>
  <c r="S449" i="59"/>
  <c r="V449" i="59" s="1"/>
  <c r="T393" i="59"/>
  <c r="T704" i="59"/>
  <c r="S310" i="59"/>
  <c r="V310" i="59" s="1"/>
  <c r="X712" i="59"/>
  <c r="X651" i="59"/>
  <c r="S524" i="59"/>
  <c r="V524" i="59" s="1"/>
  <c r="W711" i="59"/>
  <c r="U423" i="59"/>
  <c r="W622" i="59"/>
  <c r="X610" i="59"/>
  <c r="U521" i="59"/>
  <c r="S106" i="59"/>
  <c r="V106" i="59" s="1"/>
  <c r="S282" i="59"/>
  <c r="V282" i="59" s="1"/>
  <c r="S231" i="59"/>
  <c r="V231" i="59" s="1"/>
  <c r="S590" i="59"/>
  <c r="V590" i="59" s="1"/>
  <c r="T282" i="59"/>
  <c r="U278" i="59"/>
  <c r="T85" i="59"/>
  <c r="S369" i="59"/>
  <c r="V369" i="59" s="1"/>
  <c r="W580" i="59"/>
  <c r="X131" i="59"/>
  <c r="U536" i="59"/>
  <c r="S251" i="59"/>
  <c r="V251" i="59" s="1"/>
  <c r="T285" i="59"/>
  <c r="S386" i="59"/>
  <c r="V386" i="59" s="1"/>
  <c r="W141" i="59"/>
  <c r="U622" i="59"/>
  <c r="W170" i="59"/>
  <c r="W751" i="59"/>
  <c r="T526" i="59"/>
  <c r="S47" i="59"/>
  <c r="V47" i="59" s="1"/>
  <c r="S170" i="59"/>
  <c r="V170" i="59" s="1"/>
  <c r="X142" i="59"/>
  <c r="T331" i="59"/>
  <c r="W858" i="59"/>
  <c r="T461" i="59"/>
  <c r="T52" i="59"/>
  <c r="U881" i="59"/>
  <c r="S881" i="59"/>
  <c r="V881" i="59" s="1"/>
  <c r="S502" i="59"/>
  <c r="V502" i="59" s="1"/>
  <c r="S46" i="59"/>
  <c r="V46" i="59" s="1"/>
  <c r="U331" i="59"/>
  <c r="W676" i="59"/>
  <c r="S198" i="59"/>
  <c r="V198" i="59" s="1"/>
  <c r="W881" i="59"/>
  <c r="X539" i="59"/>
  <c r="S457" i="59"/>
  <c r="V457" i="59" s="1"/>
  <c r="T591" i="59"/>
  <c r="U502" i="59"/>
  <c r="T799" i="59"/>
  <c r="W250" i="59"/>
  <c r="X250" i="59"/>
  <c r="X424" i="59"/>
  <c r="X467" i="59"/>
  <c r="U525" i="59"/>
  <c r="U217" i="59"/>
  <c r="W376" i="59"/>
  <c r="W562" i="59"/>
  <c r="S604" i="59"/>
  <c r="V604" i="59" s="1"/>
  <c r="T310" i="59"/>
  <c r="W396" i="59"/>
  <c r="X983" i="59"/>
  <c r="S878" i="59"/>
  <c r="V878" i="59" s="1"/>
  <c r="U832" i="59"/>
  <c r="T240" i="59"/>
  <c r="U413" i="59"/>
  <c r="W663" i="59"/>
  <c r="U377" i="59"/>
  <c r="W832" i="59"/>
  <c r="W965" i="59"/>
  <c r="S741" i="59"/>
  <c r="V741" i="59" s="1"/>
  <c r="W974" i="59"/>
  <c r="U494" i="59"/>
  <c r="S795" i="59"/>
  <c r="V795" i="59" s="1"/>
  <c r="W668" i="59"/>
  <c r="T599" i="59"/>
  <c r="S67" i="59"/>
  <c r="V67" i="59" s="1"/>
  <c r="X448" i="59"/>
  <c r="X638" i="59"/>
  <c r="T305" i="59"/>
  <c r="U738" i="59"/>
  <c r="S701" i="59"/>
  <c r="V701" i="59" s="1"/>
  <c r="U268" i="59"/>
  <c r="T205" i="59"/>
  <c r="X537" i="59"/>
  <c r="W674" i="59"/>
  <c r="W161" i="59"/>
  <c r="S161" i="59"/>
  <c r="V161" i="59" s="1"/>
  <c r="T596" i="59"/>
  <c r="X417" i="59"/>
  <c r="X268" i="59"/>
  <c r="W368" i="59"/>
  <c r="X641" i="59"/>
  <c r="X625" i="59"/>
  <c r="U426" i="59"/>
  <c r="X646" i="59"/>
  <c r="W215" i="59"/>
  <c r="X215" i="59"/>
  <c r="S162" i="59"/>
  <c r="V162" i="59" s="1"/>
  <c r="S134" i="59"/>
  <c r="V134" i="59" s="1"/>
  <c r="U750" i="59"/>
  <c r="S227" i="59"/>
  <c r="V227" i="59" s="1"/>
  <c r="X182" i="59"/>
  <c r="T747" i="59"/>
  <c r="T170" i="59"/>
  <c r="W202" i="59"/>
  <c r="U542" i="59"/>
  <c r="S278" i="59"/>
  <c r="V278" i="59" s="1"/>
  <c r="S179" i="59"/>
  <c r="V179" i="59" s="1"/>
  <c r="U264" i="59"/>
  <c r="X167" i="59"/>
  <c r="X737" i="59"/>
  <c r="T368" i="59"/>
  <c r="T392" i="59"/>
  <c r="T674" i="59"/>
  <c r="W846" i="59"/>
  <c r="X232" i="59"/>
  <c r="S602" i="59"/>
  <c r="V602" i="59" s="1"/>
  <c r="U778" i="59"/>
  <c r="U256" i="59"/>
  <c r="X227" i="59"/>
  <c r="U798" i="59"/>
  <c r="U555" i="59"/>
  <c r="U279" i="59"/>
  <c r="W59" i="59"/>
  <c r="X65" i="59"/>
  <c r="W406" i="59"/>
  <c r="W610" i="59"/>
  <c r="T528" i="59"/>
  <c r="U65" i="59"/>
  <c r="U468" i="59"/>
  <c r="T152" i="59"/>
  <c r="S188" i="59"/>
  <c r="V188" i="59" s="1"/>
  <c r="W66" i="59"/>
  <c r="T711" i="59"/>
  <c r="X468" i="59"/>
  <c r="W152" i="59"/>
  <c r="S60" i="59"/>
  <c r="V60" i="59" s="1"/>
  <c r="U610" i="59"/>
  <c r="X241" i="59"/>
  <c r="W595" i="59"/>
  <c r="W795" i="59"/>
  <c r="T742" i="59"/>
  <c r="T717" i="59"/>
  <c r="S585" i="59"/>
  <c r="V585" i="59" s="1"/>
  <c r="X523" i="59"/>
  <c r="T379" i="59"/>
  <c r="U540" i="59"/>
  <c r="X573" i="59"/>
  <c r="S742" i="59"/>
  <c r="V742" i="59" s="1"/>
  <c r="T275" i="59"/>
  <c r="W835" i="59"/>
  <c r="S610" i="59"/>
  <c r="V610" i="59" s="1"/>
  <c r="U558" i="59"/>
  <c r="T712" i="59"/>
  <c r="X627" i="59"/>
  <c r="X183" i="59"/>
  <c r="W86" i="59"/>
  <c r="X874" i="59"/>
  <c r="S506" i="59"/>
  <c r="V506" i="59" s="1"/>
  <c r="T622" i="59"/>
  <c r="S131" i="59"/>
  <c r="V131" i="59" s="1"/>
  <c r="U607" i="59"/>
  <c r="X636" i="59"/>
  <c r="W278" i="59"/>
  <c r="T578" i="59"/>
  <c r="T745" i="59"/>
  <c r="U670" i="59"/>
  <c r="X134" i="59"/>
  <c r="W577" i="59"/>
  <c r="X384" i="59"/>
  <c r="X323" i="59"/>
  <c r="T874" i="59"/>
  <c r="X205" i="59"/>
  <c r="X329" i="59"/>
  <c r="W285" i="59"/>
  <c r="X815" i="59"/>
  <c r="T131" i="59"/>
  <c r="U218" i="59"/>
  <c r="W146" i="59"/>
  <c r="T758" i="59"/>
  <c r="S735" i="59"/>
  <c r="V735" i="59" s="1"/>
  <c r="S884" i="59"/>
  <c r="V884" i="59" s="1"/>
  <c r="X445" i="59"/>
  <c r="S589" i="59"/>
  <c r="V589" i="59" s="1"/>
  <c r="S498" i="59"/>
  <c r="V498" i="59" s="1"/>
  <c r="S542" i="59"/>
  <c r="V542" i="59" s="1"/>
  <c r="U585" i="59"/>
  <c r="S242" i="59"/>
  <c r="V242" i="59" s="1"/>
  <c r="U238" i="59"/>
  <c r="W773" i="59"/>
  <c r="T116" i="59"/>
  <c r="W198" i="59"/>
  <c r="S559" i="59"/>
  <c r="V559" i="59" s="1"/>
  <c r="W486" i="59"/>
  <c r="S385" i="59"/>
  <c r="V385" i="59" s="1"/>
  <c r="T525" i="59"/>
  <c r="U50" i="59"/>
  <c r="S844" i="59"/>
  <c r="V844" i="59" s="1"/>
  <c r="T250" i="59"/>
  <c r="U399" i="59"/>
  <c r="S467" i="59"/>
  <c r="V467" i="59" s="1"/>
  <c r="W557" i="59"/>
  <c r="S466" i="59"/>
  <c r="V466" i="59" s="1"/>
  <c r="T501" i="59"/>
  <c r="X611" i="59"/>
  <c r="X217" i="59"/>
  <c r="W840" i="59"/>
  <c r="T581" i="59"/>
  <c r="U581" i="59"/>
  <c r="T63" i="59"/>
  <c r="U835" i="59"/>
  <c r="X398" i="59"/>
  <c r="T413" i="59"/>
  <c r="U451" i="59"/>
  <c r="T391" i="59"/>
  <c r="X835" i="59"/>
  <c r="U534" i="59"/>
  <c r="X494" i="59"/>
  <c r="X753" i="59"/>
  <c r="U626" i="59"/>
  <c r="S810" i="59"/>
  <c r="V810" i="59" s="1"/>
  <c r="U754" i="59"/>
  <c r="X599" i="59"/>
  <c r="T629" i="59"/>
  <c r="W638" i="59"/>
  <c r="W305" i="59"/>
  <c r="T744" i="59"/>
  <c r="S587" i="59"/>
  <c r="V587" i="59" s="1"/>
  <c r="W900" i="59"/>
  <c r="W833" i="59"/>
  <c r="W703" i="59"/>
  <c r="U630" i="59"/>
  <c r="S670" i="59"/>
  <c r="V670" i="59" s="1"/>
  <c r="T567" i="59"/>
  <c r="U571" i="59"/>
  <c r="S269" i="59"/>
  <c r="V269" i="59" s="1"/>
  <c r="W581" i="59"/>
  <c r="X657" i="59"/>
  <c r="S459" i="59"/>
  <c r="V459" i="59" s="1"/>
  <c r="T670" i="59"/>
  <c r="T652" i="59"/>
  <c r="S409" i="59"/>
  <c r="V409" i="59" s="1"/>
  <c r="X252" i="59"/>
  <c r="X462" i="59"/>
  <c r="W747" i="59"/>
  <c r="T62" i="59"/>
  <c r="U134" i="59"/>
  <c r="U747" i="59"/>
  <c r="T778" i="59"/>
  <c r="X588" i="59"/>
  <c r="W336" i="59"/>
  <c r="X278" i="59"/>
  <c r="S567" i="59"/>
  <c r="V567" i="59" s="1"/>
  <c r="X798" i="59"/>
  <c r="X120" i="59"/>
  <c r="T56" i="59"/>
  <c r="W53" i="59"/>
  <c r="S141" i="59"/>
  <c r="V141" i="59" s="1"/>
  <c r="T650" i="59"/>
  <c r="X408" i="59"/>
  <c r="W616" i="59"/>
  <c r="W877" i="59"/>
  <c r="S729" i="59"/>
  <c r="V729" i="59" s="1"/>
  <c r="X632" i="59"/>
  <c r="X858" i="59"/>
  <c r="U674" i="59"/>
  <c r="X846" i="59"/>
  <c r="U261" i="59"/>
  <c r="X346" i="59"/>
  <c r="U131" i="59"/>
  <c r="T558" i="59"/>
  <c r="W179" i="59"/>
  <c r="W491" i="59"/>
  <c r="X582" i="59"/>
  <c r="U735" i="59"/>
  <c r="U179" i="59"/>
  <c r="T491" i="59"/>
  <c r="W261" i="59"/>
  <c r="U491" i="59"/>
  <c r="S145" i="59"/>
  <c r="V145" i="59" s="1"/>
  <c r="T837" i="59"/>
  <c r="T535" i="59"/>
  <c r="S261" i="59"/>
  <c r="V261" i="59" s="1"/>
  <c r="S57" i="59"/>
  <c r="V57" i="59" s="1"/>
  <c r="S582" i="59"/>
  <c r="V582" i="59" s="1"/>
  <c r="X60" i="59"/>
  <c r="W644" i="59"/>
  <c r="W275" i="59"/>
  <c r="W134" i="59"/>
  <c r="T295" i="59"/>
  <c r="T798" i="59"/>
  <c r="T607" i="59"/>
  <c r="W410" i="59"/>
  <c r="U651" i="59"/>
  <c r="W951" i="59"/>
  <c r="X882" i="59"/>
  <c r="T224" i="59"/>
  <c r="W115" i="59"/>
  <c r="U148" i="59"/>
  <c r="T627" i="59"/>
  <c r="W781" i="59"/>
  <c r="U644" i="59"/>
  <c r="T678" i="59"/>
  <c r="T86" i="59"/>
  <c r="U481" i="59"/>
  <c r="T271" i="59"/>
  <c r="W678" i="59"/>
  <c r="W218" i="59"/>
  <c r="W619" i="59"/>
  <c r="T245" i="59"/>
  <c r="T703" i="59"/>
  <c r="T728" i="59"/>
  <c r="U276" i="59"/>
  <c r="T336" i="59"/>
  <c r="T328" i="59"/>
  <c r="U578" i="59"/>
  <c r="W532" i="59"/>
  <c r="W717" i="59"/>
  <c r="W882" i="59"/>
  <c r="X460" i="59"/>
  <c r="X151" i="59"/>
  <c r="U703" i="59"/>
  <c r="W386" i="59"/>
  <c r="W482" i="59"/>
  <c r="S384" i="59"/>
  <c r="V384" i="59" s="1"/>
  <c r="T369" i="59"/>
  <c r="S577" i="59"/>
  <c r="V577" i="59" s="1"/>
  <c r="X105" i="59"/>
  <c r="U369" i="59"/>
  <c r="U847" i="59"/>
  <c r="X559" i="59"/>
  <c r="X498" i="59"/>
  <c r="T814" i="59"/>
  <c r="T486" i="59"/>
  <c r="S331" i="59"/>
  <c r="V331" i="59" s="1"/>
  <c r="W505" i="59"/>
  <c r="X371" i="59"/>
  <c r="S116" i="59"/>
  <c r="V116" i="59" s="1"/>
  <c r="U371" i="59"/>
  <c r="W539" i="59"/>
  <c r="T183" i="59"/>
  <c r="X557" i="59"/>
  <c r="W137" i="59"/>
  <c r="S50" i="59"/>
  <c r="V50" i="59" s="1"/>
  <c r="S203" i="59"/>
  <c r="V203" i="59" s="1"/>
  <c r="X587" i="59"/>
  <c r="X688" i="59"/>
  <c r="W585" i="59"/>
  <c r="U424" i="59"/>
  <c r="S655" i="59"/>
  <c r="V655" i="59" s="1"/>
  <c r="T746" i="59"/>
  <c r="S270" i="59"/>
  <c r="V270" i="59" s="1"/>
  <c r="S869" i="59"/>
  <c r="V869" i="59" s="1"/>
  <c r="X635" i="59"/>
  <c r="X322" i="59"/>
  <c r="U635" i="59"/>
  <c r="U875" i="59"/>
  <c r="X655" i="59"/>
  <c r="W172" i="59"/>
  <c r="X55" i="59"/>
  <c r="T795" i="59"/>
  <c r="X839" i="59"/>
  <c r="U655" i="59"/>
  <c r="T67" i="59"/>
  <c r="U692" i="59"/>
  <c r="W599" i="59"/>
  <c r="T832" i="59"/>
  <c r="W385" i="59"/>
  <c r="W67" i="59"/>
  <c r="X629" i="59"/>
  <c r="X626" i="59"/>
  <c r="X676" i="59"/>
  <c r="X381" i="59"/>
  <c r="W112" i="59"/>
  <c r="S568" i="59"/>
  <c r="V568" i="59" s="1"/>
  <c r="U234" i="59"/>
  <c r="S507" i="59"/>
  <c r="V507" i="59" s="1"/>
  <c r="W189" i="59"/>
  <c r="X591" i="59"/>
  <c r="U731" i="59"/>
  <c r="U599" i="59"/>
  <c r="T818" i="59"/>
  <c r="X901" i="59"/>
  <c r="U214" i="59"/>
  <c r="W692" i="59"/>
  <c r="T352" i="59"/>
  <c r="U654" i="59"/>
  <c r="S276" i="59"/>
  <c r="V276" i="59" s="1"/>
  <c r="X600" i="59"/>
  <c r="U600" i="59"/>
  <c r="W260" i="59"/>
  <c r="W352" i="59"/>
  <c r="U851" i="59"/>
  <c r="U539" i="59"/>
  <c r="U568" i="59"/>
  <c r="T156" i="59"/>
  <c r="W293" i="59"/>
  <c r="U498" i="59"/>
  <c r="T505" i="59"/>
  <c r="S413" i="59"/>
  <c r="V413" i="59" s="1"/>
  <c r="W758" i="59"/>
  <c r="T338" i="59"/>
  <c r="T589" i="59"/>
  <c r="U611" i="59"/>
  <c r="X168" i="59"/>
  <c r="U604" i="59"/>
  <c r="T731" i="59"/>
  <c r="S687" i="59"/>
  <c r="V687" i="59" s="1"/>
  <c r="W150" i="59"/>
  <c r="T168" i="59"/>
  <c r="U621" i="59"/>
  <c r="S974" i="59"/>
  <c r="V974" i="59" s="1"/>
  <c r="W94" i="59"/>
  <c r="U526" i="59"/>
  <c r="S150" i="59"/>
  <c r="V150" i="59" s="1"/>
  <c r="S214" i="59"/>
  <c r="V214" i="59" s="1"/>
  <c r="W654" i="59"/>
  <c r="X114" i="59"/>
  <c r="S562" i="59"/>
  <c r="V562" i="59" s="1"/>
  <c r="X905" i="59"/>
  <c r="S983" i="59"/>
  <c r="V983" i="59" s="1"/>
  <c r="S689" i="59"/>
  <c r="V689" i="59" s="1"/>
  <c r="S885" i="59"/>
  <c r="V885" i="59" s="1"/>
  <c r="X757" i="59"/>
  <c r="T182" i="59"/>
  <c r="T574" i="59"/>
  <c r="T677" i="59"/>
  <c r="X885" i="59"/>
  <c r="U163" i="59"/>
  <c r="W681" i="59"/>
  <c r="U885" i="59"/>
  <c r="W247" i="59"/>
  <c r="W279" i="59"/>
  <c r="U385" i="59"/>
  <c r="U393" i="59"/>
  <c r="X669" i="59"/>
  <c r="W807" i="59"/>
  <c r="U953" i="59"/>
  <c r="W660" i="59"/>
  <c r="X544" i="59"/>
  <c r="W573" i="59"/>
  <c r="S591" i="59"/>
  <c r="V591" i="59" s="1"/>
  <c r="T247" i="59"/>
  <c r="W308" i="59"/>
  <c r="T843" i="59"/>
  <c r="W421" i="59"/>
  <c r="S612" i="59"/>
  <c r="V612" i="59" s="1"/>
  <c r="U347" i="59"/>
  <c r="T522" i="59"/>
  <c r="X276" i="59"/>
  <c r="W321" i="59"/>
  <c r="X622" i="59"/>
  <c r="S336" i="59"/>
  <c r="V336" i="59" s="1"/>
  <c r="W373" i="59"/>
  <c r="U448" i="59"/>
  <c r="T106" i="59"/>
  <c r="X812" i="59"/>
  <c r="T41" i="59"/>
  <c r="S791" i="59"/>
  <c r="V791" i="59" s="1"/>
  <c r="U383" i="59"/>
  <c r="T784" i="59"/>
  <c r="W841" i="59"/>
  <c r="S185" i="59"/>
  <c r="V185" i="59" s="1"/>
  <c r="U246" i="59"/>
  <c r="X841" i="59"/>
  <c r="U286" i="59"/>
  <c r="W431" i="59"/>
  <c r="W853" i="59"/>
  <c r="W338" i="59"/>
  <c r="S919" i="59"/>
  <c r="V919" i="59" s="1"/>
  <c r="U816" i="59"/>
  <c r="T865" i="59"/>
  <c r="W925" i="59"/>
  <c r="W37" i="59"/>
  <c r="W906" i="59"/>
  <c r="T765" i="59"/>
  <c r="T378" i="59"/>
  <c r="S771" i="59"/>
  <c r="V771" i="59" s="1"/>
  <c r="T238" i="59"/>
  <c r="X42" i="59"/>
  <c r="U39" i="59"/>
  <c r="X265" i="59"/>
  <c r="W788" i="59"/>
  <c r="W31" i="59"/>
  <c r="T863" i="59"/>
  <c r="W808" i="59"/>
  <c r="U971" i="59"/>
  <c r="T759" i="59"/>
  <c r="S762" i="59"/>
  <c r="V762" i="59" s="1"/>
  <c r="T919" i="59"/>
  <c r="X827" i="59"/>
  <c r="W348" i="59"/>
  <c r="W38" i="59"/>
  <c r="U764" i="59"/>
  <c r="S866" i="59"/>
  <c r="V866" i="59" s="1"/>
  <c r="S721" i="59"/>
  <c r="V721" i="59" s="1"/>
  <c r="U32" i="59"/>
  <c r="U107" i="59"/>
  <c r="S850" i="59"/>
  <c r="V850" i="59" s="1"/>
  <c r="W725" i="59"/>
  <c r="T164" i="59"/>
  <c r="U543" i="59"/>
  <c r="W377" i="59"/>
  <c r="T880" i="59"/>
  <c r="T29" i="59"/>
  <c r="T659" i="59"/>
  <c r="W921" i="59"/>
  <c r="T465" i="59"/>
  <c r="X824" i="59"/>
  <c r="W732" i="59"/>
  <c r="T869" i="59"/>
  <c r="S714" i="59"/>
  <c r="V714" i="59" s="1"/>
  <c r="S755" i="59"/>
  <c r="V755" i="59" s="1"/>
  <c r="S530" i="59"/>
  <c r="V530" i="59" s="1"/>
  <c r="T852" i="59"/>
  <c r="S900" i="59"/>
  <c r="V900" i="59" s="1"/>
  <c r="W907" i="59"/>
  <c r="X92" i="59"/>
  <c r="U901" i="59"/>
  <c r="X802" i="59"/>
  <c r="W809" i="59"/>
  <c r="S7" i="59"/>
  <c r="V7" i="59" s="1"/>
  <c r="S22" i="59"/>
  <c r="V22" i="59" s="1"/>
  <c r="S12" i="59"/>
  <c r="V12" i="59" s="1"/>
  <c r="T6" i="59"/>
  <c r="T16" i="59"/>
  <c r="U530" i="59"/>
  <c r="T900" i="59"/>
  <c r="S374" i="59"/>
  <c r="V374" i="59" s="1"/>
  <c r="X809" i="59"/>
  <c r="X7" i="59"/>
  <c r="T13" i="59"/>
  <c r="W16" i="59"/>
  <c r="U13" i="59"/>
  <c r="U15" i="59"/>
  <c r="X15" i="59"/>
  <c r="U917" i="59"/>
  <c r="S863" i="59"/>
  <c r="V863" i="59" s="1"/>
  <c r="U559" i="59"/>
  <c r="S754" i="59"/>
  <c r="V754" i="59" s="1"/>
  <c r="T626" i="59"/>
  <c r="U490" i="59"/>
  <c r="T490" i="59"/>
  <c r="T573" i="59"/>
  <c r="X418" i="59"/>
  <c r="S767" i="59"/>
  <c r="V767" i="59" s="1"/>
  <c r="S521" i="59"/>
  <c r="V521" i="59" s="1"/>
  <c r="S592" i="59"/>
  <c r="V592" i="59" s="1"/>
  <c r="S377" i="59"/>
  <c r="V377" i="59" s="1"/>
  <c r="W209" i="59"/>
  <c r="W611" i="59"/>
  <c r="T753" i="59"/>
  <c r="S209" i="59"/>
  <c r="V209" i="59" s="1"/>
  <c r="W270" i="59"/>
  <c r="T209" i="59"/>
  <c r="T541" i="59"/>
  <c r="X139" i="59"/>
  <c r="U509" i="59"/>
  <c r="S600" i="59"/>
  <c r="V600" i="59" s="1"/>
  <c r="X447" i="59"/>
  <c r="U455" i="59"/>
  <c r="U150" i="59"/>
  <c r="S731" i="59"/>
  <c r="V731" i="59" s="1"/>
  <c r="U447" i="59"/>
  <c r="W843" i="59"/>
  <c r="X879" i="59"/>
  <c r="U456" i="59"/>
  <c r="S888" i="59"/>
  <c r="V888" i="59" s="1"/>
  <c r="T779" i="59"/>
  <c r="U156" i="59"/>
  <c r="S387" i="59"/>
  <c r="V387" i="59" s="1"/>
  <c r="U681" i="59"/>
  <c r="T888" i="59"/>
  <c r="W171" i="59"/>
  <c r="U679" i="59"/>
  <c r="T163" i="59"/>
  <c r="W618" i="59"/>
  <c r="W737" i="59"/>
  <c r="S391" i="59"/>
  <c r="V391" i="59" s="1"/>
  <c r="X574" i="59"/>
  <c r="S679" i="59"/>
  <c r="V679" i="59" s="1"/>
  <c r="X831" i="59"/>
  <c r="T460" i="59"/>
  <c r="S554" i="59"/>
  <c r="V554" i="59" s="1"/>
  <c r="W643" i="59"/>
  <c r="W612" i="59"/>
  <c r="U660" i="59"/>
  <c r="W327" i="59"/>
  <c r="X390" i="59"/>
  <c r="S117" i="59"/>
  <c r="V117" i="59" s="1"/>
  <c r="T588" i="59"/>
  <c r="S659" i="59"/>
  <c r="V659" i="59" s="1"/>
  <c r="S454" i="59"/>
  <c r="V454" i="59" s="1"/>
  <c r="U396" i="59"/>
  <c r="T151" i="59"/>
  <c r="X687" i="59"/>
  <c r="S688" i="59"/>
  <c r="V688" i="59" s="1"/>
  <c r="W742" i="59"/>
  <c r="T327" i="59"/>
  <c r="U781" i="59"/>
  <c r="U812" i="59"/>
  <c r="U41" i="59"/>
  <c r="W842" i="59"/>
  <c r="X791" i="59"/>
  <c r="X784" i="59"/>
  <c r="S841" i="59"/>
  <c r="V841" i="59" s="1"/>
  <c r="T185" i="59"/>
  <c r="T246" i="59"/>
  <c r="X864" i="59"/>
  <c r="W905" i="59"/>
  <c r="T431" i="59"/>
  <c r="X853" i="59"/>
  <c r="U919" i="59"/>
  <c r="S879" i="59"/>
  <c r="V879" i="59" s="1"/>
  <c r="X865" i="59"/>
  <c r="S925" i="59"/>
  <c r="V925" i="59" s="1"/>
  <c r="X37" i="59"/>
  <c r="W543" i="59"/>
  <c r="S765" i="59"/>
  <c r="V765" i="59" s="1"/>
  <c r="X552" i="59"/>
  <c r="U771" i="59"/>
  <c r="W317" i="59"/>
  <c r="W922" i="59"/>
  <c r="S42" i="59"/>
  <c r="V42" i="59" s="1"/>
  <c r="U265" i="59"/>
  <c r="U788" i="59"/>
  <c r="X31" i="59"/>
  <c r="S51" i="59"/>
  <c r="V51" i="59" s="1"/>
  <c r="X316" i="59"/>
  <c r="S971" i="59"/>
  <c r="V971" i="59" s="1"/>
  <c r="U759" i="59"/>
  <c r="T762" i="59"/>
  <c r="T786" i="59"/>
  <c r="W827" i="59"/>
  <c r="T348" i="59"/>
  <c r="X38" i="59"/>
  <c r="T764" i="59"/>
  <c r="W866" i="59"/>
  <c r="X721" i="59"/>
  <c r="S107" i="59"/>
  <c r="V107" i="59" s="1"/>
  <c r="X850" i="59"/>
  <c r="T286" i="59"/>
  <c r="S706" i="59"/>
  <c r="V706" i="59" s="1"/>
  <c r="S803" i="59"/>
  <c r="V803" i="59" s="1"/>
  <c r="S724" i="59"/>
  <c r="V724" i="59" s="1"/>
  <c r="U29" i="59"/>
  <c r="W854" i="59"/>
  <c r="T616" i="59"/>
  <c r="X921" i="59"/>
  <c r="X543" i="59"/>
  <c r="T824" i="59"/>
  <c r="T732" i="59"/>
  <c r="X869" i="59"/>
  <c r="U714" i="59"/>
  <c r="T755" i="59"/>
  <c r="S326" i="59"/>
  <c r="V326" i="59" s="1"/>
  <c r="U802" i="59"/>
  <c r="U8" i="59"/>
  <c r="S13" i="59"/>
  <c r="V13" i="59" s="1"/>
  <c r="S249" i="59"/>
  <c r="V249" i="59" s="1"/>
  <c r="U22" i="59"/>
  <c r="U16" i="59"/>
  <c r="U647" i="59"/>
  <c r="S144" i="59"/>
  <c r="V144" i="59" s="1"/>
  <c r="T773" i="59"/>
  <c r="U668" i="59"/>
  <c r="X689" i="59"/>
  <c r="W490" i="59"/>
  <c r="U142" i="59"/>
  <c r="U52" i="59"/>
  <c r="S773" i="59"/>
  <c r="V773" i="59" s="1"/>
  <c r="X193" i="59"/>
  <c r="W831" i="59"/>
  <c r="X260" i="59"/>
  <c r="S353" i="59"/>
  <c r="V353" i="59" s="1"/>
  <c r="T562" i="59"/>
  <c r="X271" i="59"/>
  <c r="X533" i="59"/>
  <c r="W304" i="59"/>
  <c r="S94" i="59"/>
  <c r="V94" i="59" s="1"/>
  <c r="S692" i="59"/>
  <c r="V692" i="59" s="1"/>
  <c r="W447" i="59"/>
  <c r="X209" i="59"/>
  <c r="S631" i="59"/>
  <c r="V631" i="59" s="1"/>
  <c r="S325" i="59"/>
  <c r="V325" i="59" s="1"/>
  <c r="W509" i="59"/>
  <c r="T621" i="59"/>
  <c r="S753" i="59"/>
  <c r="V753" i="59" s="1"/>
  <c r="S217" i="59"/>
  <c r="V217" i="59" s="1"/>
  <c r="T454" i="59"/>
  <c r="S189" i="59"/>
  <c r="V189" i="59" s="1"/>
  <c r="U114" i="59"/>
  <c r="S951" i="59"/>
  <c r="V951" i="59" s="1"/>
  <c r="S794" i="59"/>
  <c r="V794" i="59" s="1"/>
  <c r="W391" i="59"/>
  <c r="S182" i="59"/>
  <c r="V182" i="59" s="1"/>
  <c r="W114" i="59"/>
  <c r="X454" i="59"/>
  <c r="T171" i="59"/>
  <c r="S262" i="59"/>
  <c r="V262" i="59" s="1"/>
  <c r="S643" i="59"/>
  <c r="V643" i="59" s="1"/>
  <c r="X681" i="59"/>
  <c r="X244" i="59"/>
  <c r="S421" i="59"/>
  <c r="V421" i="59" s="1"/>
  <c r="X612" i="59"/>
  <c r="T262" i="59"/>
  <c r="X843" i="59"/>
  <c r="T590" i="59"/>
  <c r="U677" i="59"/>
  <c r="S574" i="59"/>
  <c r="V574" i="59" s="1"/>
  <c r="U387" i="59"/>
  <c r="W387" i="59"/>
  <c r="T308" i="59"/>
  <c r="W390" i="59"/>
  <c r="W878" i="59"/>
  <c r="T199" i="59"/>
  <c r="S308" i="59"/>
  <c r="V308" i="59" s="1"/>
  <c r="U508" i="59"/>
  <c r="X432" i="59"/>
  <c r="W650" i="59"/>
  <c r="X974" i="59"/>
  <c r="X521" i="59"/>
  <c r="S624" i="59"/>
  <c r="V624" i="59" s="1"/>
  <c r="T906" i="59"/>
  <c r="S781" i="59"/>
  <c r="V781" i="59" s="1"/>
  <c r="W962" i="59"/>
  <c r="S812" i="59"/>
  <c r="V812" i="59" s="1"/>
  <c r="W34" i="59"/>
  <c r="U842" i="59"/>
  <c r="U791" i="59"/>
  <c r="W27" i="59"/>
  <c r="U784" i="59"/>
  <c r="S872" i="59"/>
  <c r="V872" i="59" s="1"/>
  <c r="X185" i="59"/>
  <c r="W246" i="59"/>
  <c r="W953" i="59"/>
  <c r="T346" i="59"/>
  <c r="S853" i="59"/>
  <c r="V853" i="59" s="1"/>
  <c r="X963" i="59"/>
  <c r="U879" i="59"/>
  <c r="X925" i="59"/>
  <c r="S37" i="59"/>
  <c r="V37" i="59" s="1"/>
  <c r="U841" i="59"/>
  <c r="S186" i="59"/>
  <c r="V186" i="59" s="1"/>
  <c r="U765" i="59"/>
  <c r="T552" i="59"/>
  <c r="X951" i="59"/>
  <c r="X317" i="59"/>
  <c r="S922" i="59"/>
  <c r="V922" i="59" s="1"/>
  <c r="T42" i="59"/>
  <c r="W265" i="59"/>
  <c r="W33" i="59"/>
  <c r="S31" i="59"/>
  <c r="V31" i="59" s="1"/>
  <c r="T872" i="59"/>
  <c r="U316" i="59"/>
  <c r="X774" i="59"/>
  <c r="W971" i="59"/>
  <c r="W759" i="59"/>
  <c r="X786" i="59"/>
  <c r="S827" i="59"/>
  <c r="V827" i="59" s="1"/>
  <c r="X348" i="59"/>
  <c r="S38" i="59"/>
  <c r="V38" i="59" s="1"/>
  <c r="X186" i="59"/>
  <c r="X764" i="59"/>
  <c r="T866" i="59"/>
  <c r="W721" i="59"/>
  <c r="X775" i="59"/>
  <c r="W107" i="59"/>
  <c r="U850" i="59"/>
  <c r="X24" i="59"/>
  <c r="S113" i="59"/>
  <c r="V113" i="59" s="1"/>
  <c r="X708" i="59"/>
  <c r="W706" i="59"/>
  <c r="W803" i="59"/>
  <c r="U724" i="59"/>
  <c r="X668" i="59"/>
  <c r="X25" i="59"/>
  <c r="S854" i="59"/>
  <c r="V854" i="59" s="1"/>
  <c r="U616" i="59"/>
  <c r="X972" i="59"/>
  <c r="T698" i="59"/>
  <c r="S824" i="59"/>
  <c r="V824" i="59" s="1"/>
  <c r="U199" i="59"/>
  <c r="W714" i="59"/>
  <c r="W755" i="59"/>
  <c r="U183" i="59"/>
  <c r="S155" i="59"/>
  <c r="V155" i="59" s="1"/>
  <c r="S201" i="59"/>
  <c r="V201" i="59" s="1"/>
  <c r="S415" i="59"/>
  <c r="V415" i="59" s="1"/>
  <c r="X40" i="59"/>
  <c r="T374" i="59"/>
  <c r="S802" i="59"/>
  <c r="V802" i="59" s="1"/>
  <c r="W695" i="59"/>
  <c r="X6" i="59"/>
  <c r="X261" i="59"/>
  <c r="W15" i="59"/>
  <c r="S16" i="59"/>
  <c r="V16" i="59" s="1"/>
  <c r="U40" i="59"/>
  <c r="S508" i="59"/>
  <c r="V508" i="59" s="1"/>
  <c r="T668" i="59"/>
  <c r="S840" i="59"/>
  <c r="V840" i="59" s="1"/>
  <c r="S668" i="59"/>
  <c r="V668" i="59" s="1"/>
  <c r="U507" i="59"/>
  <c r="S522" i="59"/>
  <c r="V522" i="59" s="1"/>
  <c r="X795" i="59"/>
  <c r="U116" i="59"/>
  <c r="U795" i="59"/>
  <c r="X810" i="59"/>
  <c r="S901" i="59"/>
  <c r="V901" i="59" s="1"/>
  <c r="X383" i="59"/>
  <c r="X70" i="59"/>
  <c r="X397" i="59"/>
  <c r="T875" i="59"/>
  <c r="W526" i="59"/>
  <c r="X692" i="59"/>
  <c r="U70" i="59"/>
  <c r="U696" i="59"/>
  <c r="W586" i="59"/>
  <c r="X94" i="59"/>
  <c r="T335" i="59"/>
  <c r="U687" i="59"/>
  <c r="S501" i="59"/>
  <c r="V501" i="59" s="1"/>
  <c r="U239" i="59"/>
  <c r="S955" i="59"/>
  <c r="V955" i="59" s="1"/>
  <c r="S239" i="59"/>
  <c r="V239" i="59" s="1"/>
  <c r="T681" i="59"/>
  <c r="U247" i="59"/>
  <c r="X718" i="59"/>
  <c r="S234" i="59"/>
  <c r="V234" i="59" s="1"/>
  <c r="U338" i="59"/>
  <c r="T421" i="59"/>
  <c r="T55" i="59"/>
  <c r="U718" i="59"/>
  <c r="W588" i="59"/>
  <c r="U391" i="59"/>
  <c r="W718" i="59"/>
  <c r="S390" i="59"/>
  <c r="V390" i="59" s="1"/>
  <c r="S163" i="59"/>
  <c r="V163" i="59" s="1"/>
  <c r="T117" i="59"/>
  <c r="T485" i="59"/>
  <c r="U573" i="59"/>
  <c r="U321" i="59"/>
  <c r="W507" i="59"/>
  <c r="U323" i="59"/>
  <c r="X420" i="59"/>
  <c r="X554" i="59"/>
  <c r="S284" i="59"/>
  <c r="V284" i="59" s="1"/>
  <c r="X618" i="59"/>
  <c r="S669" i="59"/>
  <c r="V669" i="59" s="1"/>
  <c r="X456" i="59"/>
  <c r="U899" i="59"/>
  <c r="U554" i="59"/>
  <c r="S55" i="59"/>
  <c r="V55" i="59" s="1"/>
  <c r="S561" i="59"/>
  <c r="V561" i="59" s="1"/>
  <c r="X561" i="59"/>
  <c r="U963" i="59"/>
  <c r="S893" i="59"/>
  <c r="V893" i="59" s="1"/>
  <c r="X907" i="59"/>
  <c r="T782" i="59"/>
  <c r="U318" i="59"/>
  <c r="T962" i="59"/>
  <c r="W812" i="59"/>
  <c r="X34" i="59"/>
  <c r="T842" i="59"/>
  <c r="W791" i="59"/>
  <c r="X27" i="59"/>
  <c r="X892" i="59"/>
  <c r="W872" i="59"/>
  <c r="T720" i="59"/>
  <c r="X246" i="59"/>
  <c r="S972" i="59"/>
  <c r="V972" i="59" s="1"/>
  <c r="T963" i="59"/>
  <c r="T270" i="59"/>
  <c r="T967" i="59"/>
  <c r="T37" i="59"/>
  <c r="X26" i="59"/>
  <c r="S286" i="59"/>
  <c r="V286" i="59" s="1"/>
  <c r="W765" i="59"/>
  <c r="W902" i="59"/>
  <c r="T951" i="59"/>
  <c r="S317" i="59"/>
  <c r="V317" i="59" s="1"/>
  <c r="U42" i="59"/>
  <c r="X33" i="59"/>
  <c r="T31" i="59"/>
  <c r="T316" i="59"/>
  <c r="T774" i="59"/>
  <c r="W52" i="59"/>
  <c r="S759" i="59"/>
  <c r="V759" i="59" s="1"/>
  <c r="X807" i="59"/>
  <c r="S786" i="59"/>
  <c r="V786" i="59" s="1"/>
  <c r="S348" i="59"/>
  <c r="V348" i="59" s="1"/>
  <c r="T38" i="59"/>
  <c r="W286" i="59"/>
  <c r="S848" i="59"/>
  <c r="V848" i="59" s="1"/>
  <c r="X866" i="59"/>
  <c r="W775" i="59"/>
  <c r="T107" i="59"/>
  <c r="T850" i="59"/>
  <c r="S24" i="59"/>
  <c r="V24" i="59" s="1"/>
  <c r="S97" i="59"/>
  <c r="V97" i="59" s="1"/>
  <c r="S708" i="59"/>
  <c r="V708" i="59" s="1"/>
  <c r="U706" i="59"/>
  <c r="T803" i="59"/>
  <c r="T724" i="59"/>
  <c r="T427" i="59"/>
  <c r="T25" i="59"/>
  <c r="T854" i="59"/>
  <c r="S905" i="59"/>
  <c r="V905" i="59" s="1"/>
  <c r="U824" i="59"/>
  <c r="T766" i="59"/>
  <c r="X714" i="59"/>
  <c r="U755" i="59"/>
  <c r="W309" i="59"/>
  <c r="T155" i="59"/>
  <c r="W415" i="59"/>
  <c r="S40" i="59"/>
  <c r="V40" i="59" s="1"/>
  <c r="W30" i="59"/>
  <c r="X980" i="59"/>
  <c r="W802" i="59"/>
  <c r="X695" i="59"/>
  <c r="X12" i="59"/>
  <c r="X415" i="59"/>
  <c r="W22" i="59"/>
  <c r="U67" i="59"/>
  <c r="S226" i="59"/>
  <c r="V226" i="59" s="1"/>
  <c r="S271" i="59"/>
  <c r="V271" i="59" s="1"/>
  <c r="S629" i="59"/>
  <c r="V629" i="59" s="1"/>
  <c r="S758" i="59"/>
  <c r="V758" i="59" s="1"/>
  <c r="U758" i="59"/>
  <c r="X52" i="59"/>
  <c r="W144" i="59"/>
  <c r="W847" i="59"/>
  <c r="X507" i="59"/>
  <c r="U285" i="59"/>
  <c r="S383" i="59"/>
  <c r="V383" i="59" s="1"/>
  <c r="S381" i="59"/>
  <c r="V381" i="59" s="1"/>
  <c r="U397" i="59"/>
  <c r="S534" i="59"/>
  <c r="V534" i="59" s="1"/>
  <c r="U631" i="59"/>
  <c r="S397" i="59"/>
  <c r="V397" i="59" s="1"/>
  <c r="T139" i="59"/>
  <c r="W353" i="59"/>
  <c r="X509" i="59"/>
  <c r="T353" i="59"/>
  <c r="U335" i="59"/>
  <c r="U94" i="59"/>
  <c r="S526" i="59"/>
  <c r="V526" i="59" s="1"/>
  <c r="X308" i="59"/>
  <c r="U501" i="59"/>
  <c r="X621" i="59"/>
  <c r="S784" i="59"/>
  <c r="V784" i="59" s="1"/>
  <c r="T244" i="59"/>
  <c r="X730" i="59"/>
  <c r="U421" i="59"/>
  <c r="W225" i="59"/>
  <c r="W485" i="59"/>
  <c r="X321" i="59"/>
  <c r="W757" i="59"/>
  <c r="S573" i="59"/>
  <c r="V573" i="59" s="1"/>
  <c r="W454" i="59"/>
  <c r="T757" i="59"/>
  <c r="X247" i="59"/>
  <c r="W544" i="59"/>
  <c r="S351" i="59"/>
  <c r="V351" i="59" s="1"/>
  <c r="T544" i="59"/>
  <c r="W182" i="59"/>
  <c r="T390" i="59"/>
  <c r="S244" i="59"/>
  <c r="V244" i="59" s="1"/>
  <c r="S255" i="59"/>
  <c r="V255" i="59" s="1"/>
  <c r="T279" i="59"/>
  <c r="S618" i="59"/>
  <c r="V618" i="59" s="1"/>
  <c r="X351" i="59"/>
  <c r="T108" i="59"/>
  <c r="W284" i="59"/>
  <c r="S730" i="59"/>
  <c r="V730" i="59" s="1"/>
  <c r="X953" i="59"/>
  <c r="X393" i="59"/>
  <c r="S456" i="59"/>
  <c r="V456" i="59" s="1"/>
  <c r="W432" i="59"/>
  <c r="W983" i="59"/>
  <c r="S380" i="59"/>
  <c r="V380" i="59" s="1"/>
  <c r="T871" i="59"/>
  <c r="U905" i="59"/>
  <c r="U843" i="59"/>
  <c r="U467" i="59"/>
  <c r="X318" i="59"/>
  <c r="U962" i="59"/>
  <c r="S34" i="59"/>
  <c r="V34" i="59" s="1"/>
  <c r="X842" i="59"/>
  <c r="T791" i="59"/>
  <c r="S27" i="59"/>
  <c r="V27" i="59" s="1"/>
  <c r="U892" i="59"/>
  <c r="W720" i="59"/>
  <c r="X267" i="59"/>
  <c r="S698" i="59"/>
  <c r="V698" i="59" s="1"/>
  <c r="X741" i="59"/>
  <c r="W816" i="59"/>
  <c r="X270" i="59"/>
  <c r="W967" i="59"/>
  <c r="U37" i="59"/>
  <c r="T531" i="59"/>
  <c r="W26" i="59"/>
  <c r="T905" i="59"/>
  <c r="X378" i="59"/>
  <c r="T902" i="59"/>
  <c r="U951" i="59"/>
  <c r="U317" i="59"/>
  <c r="W39" i="59"/>
  <c r="S33" i="59"/>
  <c r="V33" i="59" s="1"/>
  <c r="U31" i="59"/>
  <c r="S316" i="59"/>
  <c r="V316" i="59" s="1"/>
  <c r="W774" i="59"/>
  <c r="S636" i="59"/>
  <c r="V636" i="59" s="1"/>
  <c r="X759" i="59"/>
  <c r="U786" i="59"/>
  <c r="U243" i="59"/>
  <c r="U38" i="59"/>
  <c r="T284" i="59"/>
  <c r="U848" i="59"/>
  <c r="U866" i="59"/>
  <c r="W32" i="59"/>
  <c r="U775" i="59"/>
  <c r="T24" i="59"/>
  <c r="T725" i="59"/>
  <c r="W294" i="59"/>
  <c r="U164" i="59"/>
  <c r="X97" i="59"/>
  <c r="W708" i="59"/>
  <c r="S880" i="59"/>
  <c r="V880" i="59" s="1"/>
  <c r="X803" i="59"/>
  <c r="X724" i="59"/>
  <c r="S427" i="59"/>
  <c r="V427" i="59" s="1"/>
  <c r="U25" i="59"/>
  <c r="X854" i="59"/>
  <c r="S906" i="59"/>
  <c r="V906" i="59" s="1"/>
  <c r="X89" i="59"/>
  <c r="W824" i="59"/>
  <c r="X766" i="59"/>
  <c r="T714" i="59"/>
  <c r="X755" i="59"/>
  <c r="U309" i="59"/>
  <c r="T893" i="59"/>
  <c r="X906" i="59"/>
  <c r="T415" i="59"/>
  <c r="T40" i="59"/>
  <c r="X30" i="59"/>
  <c r="W980" i="59"/>
  <c r="T381" i="59"/>
  <c r="X893" i="59"/>
  <c r="U874" i="59"/>
  <c r="T142" i="59"/>
  <c r="W226" i="59"/>
  <c r="X335" i="59"/>
  <c r="U676" i="59"/>
  <c r="S779" i="59"/>
  <c r="V779" i="59" s="1"/>
  <c r="U767" i="59"/>
  <c r="U643" i="59"/>
  <c r="S486" i="59"/>
  <c r="V486" i="59" s="1"/>
  <c r="T376" i="59"/>
  <c r="U871" i="59"/>
  <c r="W659" i="59"/>
  <c r="X304" i="59"/>
  <c r="U533" i="59"/>
  <c r="U260" i="59"/>
  <c r="W381" i="59"/>
  <c r="S654" i="59"/>
  <c r="V654" i="59" s="1"/>
  <c r="W955" i="59"/>
  <c r="S533" i="59"/>
  <c r="V533" i="59" s="1"/>
  <c r="W70" i="59"/>
  <c r="W631" i="59"/>
  <c r="W455" i="59"/>
  <c r="T447" i="59"/>
  <c r="T217" i="59"/>
  <c r="X631" i="59"/>
  <c r="W687" i="59"/>
  <c r="U562" i="59"/>
  <c r="X325" i="59"/>
  <c r="T878" i="59"/>
  <c r="S327" i="59"/>
  <c r="V327" i="59" s="1"/>
  <c r="U757" i="59"/>
  <c r="S681" i="59"/>
  <c r="V681" i="59" s="1"/>
  <c r="U485" i="59"/>
  <c r="U544" i="59"/>
  <c r="X327" i="59"/>
  <c r="W784" i="59"/>
  <c r="S279" i="59"/>
  <c r="V279" i="59" s="1"/>
  <c r="S485" i="59"/>
  <c r="V485" i="59" s="1"/>
  <c r="W794" i="59"/>
  <c r="X163" i="59"/>
  <c r="W591" i="59"/>
  <c r="X225" i="59"/>
  <c r="U591" i="59"/>
  <c r="T669" i="59"/>
  <c r="T718" i="59"/>
  <c r="U878" i="59"/>
  <c r="T351" i="59"/>
  <c r="X338" i="59"/>
  <c r="W677" i="59"/>
  <c r="T189" i="59"/>
  <c r="X108" i="59"/>
  <c r="T679" i="59"/>
  <c r="S737" i="59"/>
  <c r="V737" i="59" s="1"/>
  <c r="T398" i="59"/>
  <c r="S420" i="59"/>
  <c r="V420" i="59" s="1"/>
  <c r="U244" i="59"/>
  <c r="W380" i="59"/>
  <c r="S432" i="59"/>
  <c r="V432" i="59" s="1"/>
  <c r="T847" i="59"/>
  <c r="W282" i="59"/>
  <c r="T974" i="59"/>
  <c r="S847" i="59"/>
  <c r="V847" i="59" s="1"/>
  <c r="T884" i="59"/>
  <c r="W318" i="59"/>
  <c r="X962" i="59"/>
  <c r="W41" i="59"/>
  <c r="T34" i="59"/>
  <c r="S842" i="59"/>
  <c r="V842" i="59" s="1"/>
  <c r="S875" i="59"/>
  <c r="V875" i="59" s="1"/>
  <c r="T27" i="59"/>
  <c r="S892" i="59"/>
  <c r="V892" i="59" s="1"/>
  <c r="U720" i="59"/>
  <c r="U267" i="59"/>
  <c r="X698" i="59"/>
  <c r="U741" i="59"/>
  <c r="X816" i="59"/>
  <c r="S865" i="59"/>
  <c r="V865" i="59" s="1"/>
  <c r="U967" i="59"/>
  <c r="T907" i="59"/>
  <c r="S26" i="59"/>
  <c r="V26" i="59" s="1"/>
  <c r="U506" i="59"/>
  <c r="S378" i="59"/>
  <c r="V378" i="59" s="1"/>
  <c r="X902" i="59"/>
  <c r="W771" i="59"/>
  <c r="T317" i="59"/>
  <c r="X39" i="59"/>
  <c r="T788" i="59"/>
  <c r="T33" i="59"/>
  <c r="T372" i="59"/>
  <c r="W186" i="59"/>
  <c r="X808" i="59"/>
  <c r="W316" i="59"/>
  <c r="U574" i="59"/>
  <c r="U636" i="59"/>
  <c r="X762" i="59"/>
  <c r="W786" i="59"/>
  <c r="S243" i="59"/>
  <c r="V243" i="59" s="1"/>
  <c r="X284" i="59"/>
  <c r="X848" i="59"/>
  <c r="X32" i="59"/>
  <c r="T775" i="59"/>
  <c r="U24" i="59"/>
  <c r="X725" i="59"/>
  <c r="X164" i="59"/>
  <c r="W97" i="59"/>
  <c r="U708" i="59"/>
  <c r="W880" i="59"/>
  <c r="U803" i="59"/>
  <c r="W724" i="59"/>
  <c r="T385" i="59"/>
  <c r="W29" i="59"/>
  <c r="W25" i="59"/>
  <c r="U854" i="59"/>
  <c r="U532" i="59"/>
  <c r="S160" i="59"/>
  <c r="V160" i="59" s="1"/>
  <c r="T89" i="59"/>
  <c r="U732" i="59"/>
  <c r="S766" i="59"/>
  <c r="V766" i="59" s="1"/>
  <c r="W852" i="59"/>
  <c r="S980" i="59"/>
  <c r="V980" i="59" s="1"/>
  <c r="X505" i="59"/>
  <c r="U226" i="59"/>
  <c r="W963" i="59"/>
  <c r="T112" i="59"/>
  <c r="S647" i="59"/>
  <c r="V647" i="59" s="1"/>
  <c r="X116" i="59"/>
  <c r="U376" i="59"/>
  <c r="W498" i="59"/>
  <c r="X413" i="59"/>
  <c r="U454" i="59"/>
  <c r="S899" i="59"/>
  <c r="V899" i="59" s="1"/>
  <c r="W731" i="59"/>
  <c r="X534" i="59"/>
  <c r="S260" i="59"/>
  <c r="V260" i="59" s="1"/>
  <c r="T611" i="59"/>
  <c r="S541" i="59"/>
  <c r="V541" i="59" s="1"/>
  <c r="X353" i="59"/>
  <c r="T534" i="59"/>
  <c r="U139" i="59"/>
  <c r="W335" i="59"/>
  <c r="S509" i="59"/>
  <c r="V509" i="59" s="1"/>
  <c r="T397" i="59"/>
  <c r="S352" i="59"/>
  <c r="V352" i="59" s="1"/>
  <c r="S335" i="59"/>
  <c r="V335" i="59" s="1"/>
  <c r="X239" i="59"/>
  <c r="W600" i="59"/>
  <c r="W696" i="59"/>
  <c r="W888" i="59"/>
  <c r="W262" i="59"/>
  <c r="X794" i="59"/>
  <c r="T689" i="59"/>
  <c r="W393" i="59"/>
  <c r="U588" i="59"/>
  <c r="X463" i="59"/>
  <c r="U794" i="59"/>
  <c r="X530" i="59"/>
  <c r="T387" i="59"/>
  <c r="S831" i="59"/>
  <c r="V831" i="59" s="1"/>
  <c r="S660" i="59"/>
  <c r="V660" i="59" s="1"/>
  <c r="W451" i="59"/>
  <c r="S183" i="59"/>
  <c r="V183" i="59" s="1"/>
  <c r="S588" i="59"/>
  <c r="V588" i="59" s="1"/>
  <c r="W669" i="59"/>
  <c r="U737" i="59"/>
  <c r="W885" i="59"/>
  <c r="X171" i="59"/>
  <c r="U171" i="59"/>
  <c r="U225" i="59"/>
  <c r="S108" i="59"/>
  <c r="V108" i="59" s="1"/>
  <c r="W199" i="59"/>
  <c r="S114" i="59"/>
  <c r="V114" i="59" s="1"/>
  <c r="U779" i="59"/>
  <c r="X189" i="59"/>
  <c r="U55" i="59"/>
  <c r="X508" i="59"/>
  <c r="W746" i="59"/>
  <c r="U432" i="59"/>
  <c r="U689" i="59"/>
  <c r="W264" i="59"/>
  <c r="W542" i="59"/>
  <c r="X847" i="59"/>
  <c r="T463" i="59"/>
  <c r="S962" i="59"/>
  <c r="V962" i="59" s="1"/>
  <c r="X41" i="59"/>
  <c r="U34" i="59"/>
  <c r="T899" i="59"/>
  <c r="W875" i="59"/>
  <c r="U27" i="59"/>
  <c r="W892" i="59"/>
  <c r="X720" i="59"/>
  <c r="U698" i="59"/>
  <c r="X431" i="59"/>
  <c r="T853" i="59"/>
  <c r="X870" i="59"/>
  <c r="T816" i="59"/>
  <c r="U865" i="59"/>
  <c r="T925" i="59"/>
  <c r="X967" i="59"/>
  <c r="W268" i="59"/>
  <c r="T459" i="59"/>
  <c r="T26" i="59"/>
  <c r="W506" i="59"/>
  <c r="U378" i="59"/>
  <c r="S902" i="59"/>
  <c r="V902" i="59" s="1"/>
  <c r="T771" i="59"/>
  <c r="W399" i="59"/>
  <c r="S39" i="59"/>
  <c r="V39" i="59" s="1"/>
  <c r="S265" i="59"/>
  <c r="V265" i="59" s="1"/>
  <c r="X788" i="59"/>
  <c r="U33" i="59"/>
  <c r="S83" i="59"/>
  <c r="V83" i="59" s="1"/>
  <c r="T186" i="59"/>
  <c r="S808" i="59"/>
  <c r="V808" i="59" s="1"/>
  <c r="T971" i="59"/>
  <c r="U762" i="59"/>
  <c r="T827" i="59"/>
  <c r="S764" i="59"/>
  <c r="V764" i="59" s="1"/>
  <c r="W848" i="59"/>
  <c r="T721" i="59"/>
  <c r="S32" i="59"/>
  <c r="V32" i="59" s="1"/>
  <c r="S775" i="59"/>
  <c r="V775" i="59" s="1"/>
  <c r="W24" i="59"/>
  <c r="U725" i="59"/>
  <c r="W657" i="59"/>
  <c r="W164" i="59"/>
  <c r="U97" i="59"/>
  <c r="T708" i="59"/>
  <c r="X880" i="59"/>
  <c r="U271" i="59"/>
  <c r="X29" i="59"/>
  <c r="S25" i="59"/>
  <c r="V25" i="59" s="1"/>
  <c r="X659" i="59"/>
  <c r="U384" i="59"/>
  <c r="T532" i="59"/>
  <c r="W160" i="59"/>
  <c r="X347" i="59"/>
  <c r="S732" i="59"/>
  <c r="V732" i="59" s="1"/>
  <c r="S293" i="59"/>
  <c r="V293" i="59" s="1"/>
  <c r="U766" i="59"/>
  <c r="S852" i="59"/>
  <c r="V852" i="59" s="1"/>
  <c r="W893" i="59"/>
  <c r="U249" i="59"/>
  <c r="U415" i="59"/>
  <c r="T30" i="59"/>
  <c r="T980" i="59"/>
  <c r="T897" i="59"/>
  <c r="X917" i="59"/>
  <c r="S874" i="59"/>
  <c r="V874" i="59" s="1"/>
  <c r="T537" i="59"/>
  <c r="S200" i="59"/>
  <c r="V200" i="59" s="1"/>
  <c r="W494" i="59"/>
  <c r="U112" i="59"/>
  <c r="U351" i="59"/>
  <c r="U612" i="59"/>
  <c r="T508" i="59"/>
  <c r="S418" i="59"/>
  <c r="V418" i="59" s="1"/>
  <c r="S663" i="59"/>
  <c r="V663" i="59" s="1"/>
  <c r="U146" i="59"/>
  <c r="X568" i="59"/>
  <c r="U844" i="59"/>
  <c r="W168" i="59"/>
  <c r="W753" i="59"/>
  <c r="T586" i="59"/>
  <c r="T325" i="59"/>
  <c r="U325" i="59"/>
  <c r="W276" i="59"/>
  <c r="S70" i="59"/>
  <c r="V70" i="59" s="1"/>
  <c r="T654" i="59"/>
  <c r="X955" i="59"/>
  <c r="W239" i="59"/>
  <c r="W501" i="59"/>
  <c r="T150" i="59"/>
  <c r="X214" i="59"/>
  <c r="S621" i="59"/>
  <c r="V621" i="59" s="1"/>
  <c r="T696" i="59"/>
  <c r="X541" i="59"/>
  <c r="S963" i="59"/>
  <c r="V963" i="59" s="1"/>
  <c r="X451" i="59"/>
  <c r="U463" i="59"/>
  <c r="W117" i="59"/>
  <c r="U730" i="59"/>
  <c r="S451" i="59"/>
  <c r="V451" i="59" s="1"/>
  <c r="T643" i="59"/>
  <c r="W463" i="59"/>
  <c r="X117" i="59"/>
  <c r="X156" i="59"/>
  <c r="U618" i="59"/>
  <c r="S321" i="59"/>
  <c r="V321" i="59" s="1"/>
  <c r="W554" i="59"/>
  <c r="U182" i="59"/>
  <c r="T234" i="59"/>
  <c r="S393" i="59"/>
  <c r="V393" i="59" s="1"/>
  <c r="X279" i="59"/>
  <c r="X779" i="59"/>
  <c r="T922" i="59"/>
  <c r="S156" i="59"/>
  <c r="V156" i="59" s="1"/>
  <c r="S225" i="59"/>
  <c r="V225" i="59" s="1"/>
  <c r="X385" i="59"/>
  <c r="W234" i="59"/>
  <c r="T660" i="59"/>
  <c r="W679" i="59"/>
  <c r="U831" i="59"/>
  <c r="W108" i="59"/>
  <c r="W420" i="59"/>
  <c r="W561" i="59"/>
  <c r="U983" i="59"/>
  <c r="S843" i="59"/>
  <c r="V843" i="59" s="1"/>
  <c r="T456" i="59"/>
  <c r="U61" i="59"/>
  <c r="T692" i="59"/>
  <c r="U974" i="59"/>
  <c r="T983" i="59"/>
  <c r="T812" i="59"/>
  <c r="S41" i="59"/>
  <c r="V41" i="59" s="1"/>
  <c r="X899" i="59"/>
  <c r="T383" i="59"/>
  <c r="T841" i="59"/>
  <c r="U185" i="59"/>
  <c r="S720" i="59"/>
  <c r="V720" i="59" s="1"/>
  <c r="T543" i="59"/>
  <c r="U431" i="59"/>
  <c r="U853" i="59"/>
  <c r="U870" i="59"/>
  <c r="X919" i="59"/>
  <c r="S816" i="59"/>
  <c r="V816" i="59" s="1"/>
  <c r="W865" i="59"/>
  <c r="U925" i="59"/>
  <c r="U26" i="59"/>
  <c r="X765" i="59"/>
  <c r="W378" i="59"/>
  <c r="U902" i="59"/>
  <c r="X771" i="59"/>
  <c r="W238" i="59"/>
  <c r="W42" i="59"/>
  <c r="T39" i="59"/>
  <c r="T265" i="59"/>
  <c r="S788" i="59"/>
  <c r="V788" i="59" s="1"/>
  <c r="W919" i="59"/>
  <c r="W83" i="59"/>
  <c r="X863" i="59"/>
  <c r="U808" i="59"/>
  <c r="X971" i="59"/>
  <c r="W762" i="59"/>
  <c r="U827" i="59"/>
  <c r="W764" i="59"/>
  <c r="U721" i="59"/>
  <c r="T32" i="59"/>
  <c r="X107" i="59"/>
  <c r="W850" i="59"/>
  <c r="S725" i="59"/>
  <c r="V725" i="59" s="1"/>
  <c r="S164" i="59"/>
  <c r="V164" i="59" s="1"/>
  <c r="T97" i="59"/>
  <c r="T377" i="59"/>
  <c r="U880" i="59"/>
  <c r="S29" i="59"/>
  <c r="V29" i="59" s="1"/>
  <c r="U659" i="59"/>
  <c r="T921" i="59"/>
  <c r="T347" i="59"/>
  <c r="X732" i="59"/>
  <c r="U869" i="59"/>
  <c r="W766" i="59"/>
  <c r="T530" i="59"/>
  <c r="U852" i="59"/>
  <c r="S586" i="59"/>
  <c r="V586" i="59" s="1"/>
  <c r="W972" i="59"/>
  <c r="S92" i="59"/>
  <c r="V92" i="59" s="1"/>
  <c r="T892" i="59"/>
  <c r="U30" i="59"/>
  <c r="U980" i="59"/>
  <c r="S897" i="59"/>
  <c r="V897" i="59" s="1"/>
  <c r="T917" i="59"/>
  <c r="T809" i="59"/>
  <c r="U907" i="59"/>
  <c r="U7" i="59"/>
  <c r="T22" i="59"/>
  <c r="T12" i="59"/>
  <c r="U6" i="59"/>
  <c r="X852" i="59"/>
  <c r="W201" i="59"/>
  <c r="W40" i="59"/>
  <c r="S15" i="59"/>
  <c r="V15" i="59" s="1"/>
  <c r="W12" i="59"/>
  <c r="T972" i="59"/>
  <c r="X13" i="59"/>
  <c r="W7" i="59"/>
  <c r="S8" i="59"/>
  <c r="V8" i="59" s="1"/>
  <c r="X8" i="59"/>
  <c r="S30" i="59"/>
  <c r="V30" i="59" s="1"/>
  <c r="T8" i="59"/>
  <c r="W6" i="59"/>
  <c r="S5" i="59"/>
  <c r="V5" i="59" s="1"/>
  <c r="W5" i="59"/>
  <c r="U5" i="59"/>
  <c r="T5" i="59"/>
  <c r="X5" i="59"/>
  <c r="AF5" i="59" s="1"/>
  <c r="AL116" i="59"/>
  <c r="AL83" i="59"/>
  <c r="AL52" i="59"/>
  <c r="AL294" i="59"/>
  <c r="AL252" i="59"/>
  <c r="AL502" i="59"/>
  <c r="AL491" i="59"/>
  <c r="AL717" i="59"/>
  <c r="AL818" i="59"/>
  <c r="AL67" i="59"/>
  <c r="AL99" i="59"/>
  <c r="AL137" i="59"/>
  <c r="AL289" i="59"/>
  <c r="AL609" i="59"/>
  <c r="AL466" i="59"/>
  <c r="AL683" i="59"/>
  <c r="AL157" i="59"/>
  <c r="AL341" i="59"/>
  <c r="AL113" i="59"/>
  <c r="AL305" i="59"/>
  <c r="AL369" i="59"/>
  <c r="AL371" i="59"/>
  <c r="AL512" i="59"/>
  <c r="AL391" i="59"/>
  <c r="AL635" i="59"/>
  <c r="AL637" i="59"/>
  <c r="AL192" i="59"/>
  <c r="AL532" i="59"/>
  <c r="AL487" i="59"/>
  <c r="AL617" i="59"/>
  <c r="AL599" i="59"/>
  <c r="AL718" i="59"/>
  <c r="AL78" i="59"/>
  <c r="AL209" i="59"/>
  <c r="AL255" i="59"/>
  <c r="AL368" i="59"/>
  <c r="AL573" i="59"/>
  <c r="AL580" i="59"/>
  <c r="AL500" i="59"/>
  <c r="AL772" i="59"/>
  <c r="AL163" i="59"/>
  <c r="AL260" i="59"/>
  <c r="AL310" i="59"/>
  <c r="AL386" i="59"/>
  <c r="AL397" i="59"/>
  <c r="AL521" i="59"/>
  <c r="AL662" i="59"/>
  <c r="AL692" i="59"/>
  <c r="AL765" i="59"/>
  <c r="AL892" i="59"/>
  <c r="AL300" i="59"/>
  <c r="AL226" i="59"/>
  <c r="AL405" i="59"/>
  <c r="AL419" i="59"/>
  <c r="AL552" i="59"/>
  <c r="AL612" i="59"/>
  <c r="AL654" i="59"/>
  <c r="AL687" i="59"/>
  <c r="AL623" i="59"/>
  <c r="AL869" i="59"/>
  <c r="AL156" i="59"/>
  <c r="AL58" i="59"/>
  <c r="AL261" i="59"/>
  <c r="AL223" i="59"/>
  <c r="AL327" i="59"/>
  <c r="AL325" i="59"/>
  <c r="AL450" i="59"/>
  <c r="AL538" i="59"/>
  <c r="AL524" i="59"/>
  <c r="AL670" i="59"/>
  <c r="AL786" i="59"/>
  <c r="AL730" i="59"/>
  <c r="AL629" i="59"/>
  <c r="AL872" i="59"/>
  <c r="AL678" i="59"/>
  <c r="AL967" i="59"/>
  <c r="AL632" i="59"/>
  <c r="AL644" i="59"/>
  <c r="AL795" i="59"/>
  <c r="AL871" i="59"/>
  <c r="AL922" i="59"/>
  <c r="AL842" i="59"/>
  <c r="AQ37" i="59"/>
  <c r="AQ30" i="59"/>
  <c r="AQ25" i="59"/>
  <c r="AL34" i="59"/>
  <c r="AQ41" i="59"/>
  <c r="AR33" i="59"/>
  <c r="AQ26" i="59"/>
  <c r="AQ27" i="59"/>
  <c r="AL138" i="59"/>
  <c r="AL141" i="59"/>
  <c r="AL59" i="59"/>
  <c r="AL238" i="59"/>
  <c r="AL269" i="59"/>
  <c r="AL568" i="59"/>
  <c r="AL611" i="59"/>
  <c r="AL581" i="59"/>
  <c r="AL781" i="59"/>
  <c r="AL646" i="59"/>
  <c r="AL114" i="59"/>
  <c r="AL148" i="59"/>
  <c r="AL85" i="59"/>
  <c r="AL246" i="59"/>
  <c r="AL299" i="59"/>
  <c r="AL398" i="59"/>
  <c r="AL418" i="59"/>
  <c r="AL759" i="59"/>
  <c r="AL84" i="59"/>
  <c r="AL170" i="59"/>
  <c r="AL146" i="59"/>
  <c r="AL178" i="59"/>
  <c r="AL203" i="59"/>
  <c r="AL373" i="59"/>
  <c r="AL597" i="59"/>
  <c r="AL399" i="59"/>
  <c r="AL701" i="59"/>
  <c r="AL655" i="59"/>
  <c r="AL353" i="59"/>
  <c r="AL92" i="59"/>
  <c r="AL577" i="59"/>
  <c r="AL511" i="59"/>
  <c r="AL427" i="59"/>
  <c r="AL537" i="59"/>
  <c r="AL820" i="59"/>
  <c r="AL143" i="59"/>
  <c r="AL247" i="59"/>
  <c r="AL342" i="59"/>
  <c r="AL426" i="59"/>
  <c r="AO426" i="59" s="1"/>
  <c r="AP426" i="59" s="1"/>
  <c r="AL618" i="59"/>
  <c r="AL729" i="59"/>
  <c r="AL142" i="59"/>
  <c r="AL304" i="59"/>
  <c r="AL53" i="59"/>
  <c r="AL536" i="59"/>
  <c r="AL462" i="59"/>
  <c r="AL416" i="59"/>
  <c r="AO416" i="59" s="1"/>
  <c r="AP416" i="59" s="1"/>
  <c r="AL674" i="59"/>
  <c r="AL757" i="59"/>
  <c r="AL640" i="59"/>
  <c r="AL955" i="59"/>
  <c r="AL286" i="59"/>
  <c r="AL293" i="59"/>
  <c r="AL463" i="59"/>
  <c r="AL551" i="59"/>
  <c r="AL483" i="59"/>
  <c r="AL622" i="59"/>
  <c r="AL675" i="59"/>
  <c r="AL752" i="59"/>
  <c r="AL652" i="59"/>
  <c r="AL877" i="59"/>
  <c r="AL112" i="59"/>
  <c r="AL352" i="59"/>
  <c r="AL244" i="59"/>
  <c r="AL347" i="59"/>
  <c r="AL162" i="59"/>
  <c r="AL525" i="59"/>
  <c r="AL544" i="59"/>
  <c r="AL528" i="59"/>
  <c r="AL828" i="59"/>
  <c r="AL737" i="59"/>
  <c r="AL974" i="59"/>
  <c r="AL690" i="59"/>
  <c r="AL971" i="59"/>
  <c r="AL664" i="59"/>
  <c r="AL870" i="59"/>
  <c r="AL788" i="59"/>
  <c r="AL962" i="59"/>
  <c r="AL627" i="59"/>
  <c r="AL714" i="59"/>
  <c r="AL953" i="59"/>
  <c r="AL38" i="59"/>
  <c r="AR31" i="59"/>
  <c r="AR34" i="59"/>
  <c r="AR41" i="59"/>
  <c r="AL24" i="59"/>
  <c r="AL151" i="59"/>
  <c r="AL56" i="59"/>
  <c r="AL86" i="59"/>
  <c r="AL374" i="59"/>
  <c r="AL256" i="59"/>
  <c r="AL429" i="59"/>
  <c r="AL505" i="59"/>
  <c r="AL541" i="59"/>
  <c r="AL794" i="59"/>
  <c r="AL809" i="59"/>
  <c r="AL155" i="59"/>
  <c r="AL153" i="59"/>
  <c r="AL185" i="59"/>
  <c r="AL108" i="59"/>
  <c r="AL303" i="59"/>
  <c r="AL328" i="59"/>
  <c r="AL510" i="59"/>
  <c r="AL482" i="59"/>
  <c r="AL742" i="59"/>
  <c r="AL96" i="59"/>
  <c r="AL11" i="59"/>
  <c r="AL49" i="59"/>
  <c r="AL336" i="59"/>
  <c r="AL335" i="59"/>
  <c r="AL454" i="59"/>
  <c r="AL489" i="59"/>
  <c r="AL539" i="59"/>
  <c r="AL798" i="59"/>
  <c r="AL744" i="59"/>
  <c r="AL82" i="59"/>
  <c r="AL117" i="59"/>
  <c r="AL561" i="59"/>
  <c r="AL590" i="59"/>
  <c r="AL543" i="59"/>
  <c r="AL841" i="59"/>
  <c r="AL165" i="59"/>
  <c r="AL385" i="59"/>
  <c r="AL71" i="59"/>
  <c r="AL318" i="59"/>
  <c r="AL456" i="59"/>
  <c r="AL710" i="59"/>
  <c r="AL831" i="59"/>
  <c r="AL164" i="59"/>
  <c r="AL381" i="59"/>
  <c r="AL180" i="59"/>
  <c r="AL390" i="59"/>
  <c r="AL570" i="59"/>
  <c r="AL408" i="59"/>
  <c r="AL827" i="59"/>
  <c r="AL767" i="59"/>
  <c r="AL747" i="59"/>
  <c r="AL906" i="59"/>
  <c r="AL296" i="59"/>
  <c r="AL321" i="59"/>
  <c r="AL467" i="59"/>
  <c r="AL558" i="59"/>
  <c r="AL507" i="59"/>
  <c r="AL657" i="59"/>
  <c r="AL777" i="59"/>
  <c r="AL839" i="59"/>
  <c r="AL660" i="59"/>
  <c r="AL90" i="59"/>
  <c r="AL217" i="59"/>
  <c r="AL131" i="59"/>
  <c r="AL271" i="59"/>
  <c r="AL191" i="59"/>
  <c r="AL262" i="59"/>
  <c r="AL578" i="59"/>
  <c r="AL458" i="59"/>
  <c r="AL377" i="59"/>
  <c r="AL833" i="59"/>
  <c r="AL858" i="59"/>
  <c r="AL815" i="59"/>
  <c r="AL963" i="59"/>
  <c r="AL741" i="59"/>
  <c r="AL875" i="59"/>
  <c r="AL859" i="59"/>
  <c r="AL919" i="59"/>
  <c r="AL799" i="59"/>
  <c r="AL907" i="59"/>
  <c r="AL643" i="59"/>
  <c r="AL725" i="59"/>
  <c r="AL921" i="59"/>
  <c r="AQ38" i="59"/>
  <c r="AQ31" i="59"/>
  <c r="AQ34" i="59"/>
  <c r="AQ40" i="59"/>
  <c r="AQ24" i="59"/>
  <c r="AL62" i="59"/>
  <c r="AL63" i="59"/>
  <c r="AL145" i="59"/>
  <c r="AL115" i="59"/>
  <c r="AL372" i="59"/>
  <c r="AL522" i="59"/>
  <c r="AL497" i="59"/>
  <c r="AL548" i="59"/>
  <c r="AL645" i="59"/>
  <c r="AL695" i="59"/>
  <c r="AL161" i="59"/>
  <c r="AL175" i="59"/>
  <c r="AL50" i="59"/>
  <c r="AL267" i="59"/>
  <c r="AL376" i="59"/>
  <c r="AL549" i="59"/>
  <c r="AL620" i="59"/>
  <c r="AL751" i="59"/>
  <c r="AL147" i="59"/>
  <c r="AL51" i="59"/>
  <c r="AL119" i="59"/>
  <c r="AL225" i="59"/>
  <c r="AL46" i="59"/>
  <c r="AL527" i="59"/>
  <c r="AL533" i="59"/>
  <c r="AL571" i="59"/>
  <c r="AL735" i="59"/>
  <c r="AL276" i="59"/>
  <c r="AL139" i="59"/>
  <c r="AL171" i="59"/>
  <c r="AL406" i="59"/>
  <c r="AO406" i="59" s="1"/>
  <c r="AP406" i="59" s="1"/>
  <c r="AL621" i="59"/>
  <c r="AL452" i="59"/>
  <c r="AL616" i="59"/>
  <c r="AL707" i="59"/>
  <c r="AL176" i="59"/>
  <c r="AL219" i="59"/>
  <c r="AL240" i="59"/>
  <c r="AL415" i="59"/>
  <c r="AL412" i="59"/>
  <c r="AL574" i="59"/>
  <c r="AL722" i="59"/>
  <c r="AL638" i="59"/>
  <c r="AL198" i="59"/>
  <c r="AL251" i="59"/>
  <c r="AL189" i="59"/>
  <c r="AL379" i="59"/>
  <c r="AL410" i="59"/>
  <c r="AL424" i="59"/>
  <c r="AL837" i="59"/>
  <c r="AL835" i="59"/>
  <c r="AL826" i="59"/>
  <c r="AL316" i="59"/>
  <c r="AL317" i="59"/>
  <c r="AL241" i="59"/>
  <c r="AL389" i="59"/>
  <c r="AL383" i="59"/>
  <c r="AL547" i="59"/>
  <c r="AL679" i="59"/>
  <c r="AL626" i="59"/>
  <c r="AL848" i="59"/>
  <c r="AL836" i="59"/>
  <c r="AL107" i="59"/>
  <c r="AL132" i="59"/>
  <c r="AL230" i="59"/>
  <c r="AL282" i="59"/>
  <c r="AL265" i="59"/>
  <c r="AL348" i="59"/>
  <c r="AL588" i="59"/>
  <c r="AL529" i="59"/>
  <c r="AL557" i="59"/>
  <c r="AL728" i="59"/>
  <c r="AL724" i="59"/>
  <c r="AL668" i="59"/>
  <c r="AL704" i="59"/>
  <c r="AL881" i="59"/>
  <c r="AL754" i="59"/>
  <c r="AL879" i="59"/>
  <c r="AL898" i="59"/>
  <c r="AL897" i="59"/>
  <c r="AL709" i="59"/>
  <c r="AL864" i="59"/>
  <c r="AL702" i="59"/>
  <c r="AL803" i="59"/>
  <c r="AL900" i="59"/>
  <c r="AL32" i="59"/>
  <c r="AL42" i="59"/>
  <c r="AL31" i="59"/>
  <c r="AL40" i="59"/>
  <c r="AL77" i="59"/>
  <c r="AL172" i="59"/>
  <c r="AL312" i="59"/>
  <c r="AL160" i="59"/>
  <c r="AL242" i="59"/>
  <c r="AL550" i="59"/>
  <c r="AL535" i="59"/>
  <c r="AL559" i="59"/>
  <c r="AL706" i="59"/>
  <c r="AL771" i="59"/>
  <c r="AL322" i="59"/>
  <c r="AL184" i="59"/>
  <c r="AL57" i="59"/>
  <c r="AL291" i="59"/>
  <c r="AL284" i="59"/>
  <c r="AL380" i="59"/>
  <c r="AL585" i="59"/>
  <c r="AL484" i="59"/>
  <c r="AQ19" i="59"/>
  <c r="AL207" i="59"/>
  <c r="AL93" i="59"/>
  <c r="AL100" i="59"/>
  <c r="AL231" i="59"/>
  <c r="AL263" i="59"/>
  <c r="AL413" i="59"/>
  <c r="AL602" i="59"/>
  <c r="AL647" i="59"/>
  <c r="AL802" i="59"/>
  <c r="AL285" i="59"/>
  <c r="AL202" i="59"/>
  <c r="AL250" i="59"/>
  <c r="AL422" i="59"/>
  <c r="AL375" i="59"/>
  <c r="AL595" i="59"/>
  <c r="AL800" i="59"/>
  <c r="AL712" i="59"/>
  <c r="AL75" i="59"/>
  <c r="AL277" i="59"/>
  <c r="AL199" i="59"/>
  <c r="AL464" i="59"/>
  <c r="AL579" i="59"/>
  <c r="AL587" i="59"/>
  <c r="AL791" i="59"/>
  <c r="AL776" i="59"/>
  <c r="AL109" i="59"/>
  <c r="AL292" i="59"/>
  <c r="AL503" i="59"/>
  <c r="AL506" i="59"/>
  <c r="AL592" i="59"/>
  <c r="AL665" i="59"/>
  <c r="AL696" i="59"/>
  <c r="AL866" i="59"/>
  <c r="AL346" i="59"/>
  <c r="AL105" i="59"/>
  <c r="AL315" i="59"/>
  <c r="AL393" i="59"/>
  <c r="AL387" i="59"/>
  <c r="AL447" i="59"/>
  <c r="AL689" i="59"/>
  <c r="AL659" i="59"/>
  <c r="AL677" i="59"/>
  <c r="AL698" i="59"/>
  <c r="AL925" i="59"/>
  <c r="AL179" i="59"/>
  <c r="AL174" i="59"/>
  <c r="AL326" i="59"/>
  <c r="AL313" i="59"/>
  <c r="AL279" i="59"/>
  <c r="AL432" i="59"/>
  <c r="AL600" i="59"/>
  <c r="AL531" i="59"/>
  <c r="AL451" i="59"/>
  <c r="AL824" i="59"/>
  <c r="AL731" i="59"/>
  <c r="AL721" i="59"/>
  <c r="AL917" i="59"/>
  <c r="AL829" i="59"/>
  <c r="AL972" i="59"/>
  <c r="AL857" i="59"/>
  <c r="AL888" i="59"/>
  <c r="AL779" i="59"/>
  <c r="AL901" i="59"/>
  <c r="AL782" i="59"/>
  <c r="AL784" i="59"/>
  <c r="AL965" i="59"/>
  <c r="AQ32" i="59"/>
  <c r="AL135" i="59"/>
  <c r="AL48" i="59"/>
  <c r="AL152" i="59"/>
  <c r="AL334" i="59"/>
  <c r="AL407" i="59"/>
  <c r="AL619" i="59"/>
  <c r="AL425" i="59"/>
  <c r="AL603" i="59"/>
  <c r="AL811" i="59"/>
  <c r="AR22" i="59"/>
  <c r="AL70" i="59"/>
  <c r="AL72" i="59"/>
  <c r="AL97" i="59"/>
  <c r="AL329" i="59"/>
  <c r="AL344" i="59"/>
  <c r="AL530" i="59"/>
  <c r="AL705" i="59"/>
  <c r="AL61" i="59"/>
  <c r="AL120" i="59"/>
  <c r="AL167" i="59"/>
  <c r="AL130" i="59"/>
  <c r="AL323" i="59"/>
  <c r="AL460" i="59"/>
  <c r="AL604" i="59"/>
  <c r="AL526" i="59"/>
  <c r="AL738" i="59"/>
  <c r="AL814" i="59"/>
  <c r="AL266" i="59"/>
  <c r="AL340" i="59"/>
  <c r="AL308" i="59"/>
  <c r="AL494" i="59"/>
  <c r="AL449" i="59"/>
  <c r="AL417" i="59"/>
  <c r="AL812" i="59"/>
  <c r="AL194" i="59"/>
  <c r="AL224" i="59"/>
  <c r="AL274" i="59"/>
  <c r="AL534" i="59"/>
  <c r="AL591" i="59"/>
  <c r="AL523" i="59"/>
  <c r="AL853" i="59"/>
  <c r="AL624" i="59"/>
  <c r="AL210" i="59"/>
  <c r="AL301" i="59"/>
  <c r="AL302" i="59"/>
  <c r="AL594" i="59"/>
  <c r="AL562" i="59"/>
  <c r="AL745" i="59"/>
  <c r="AL764" i="59"/>
  <c r="AL761" i="59"/>
  <c r="AL902" i="59"/>
  <c r="AL338" i="59"/>
  <c r="AL144" i="59"/>
  <c r="AL423" i="59"/>
  <c r="AL428" i="59"/>
  <c r="AL392" i="59"/>
  <c r="AL492" i="59"/>
  <c r="AL669" i="59"/>
  <c r="AL720" i="59"/>
  <c r="AL732" i="59"/>
  <c r="AL905" i="59"/>
  <c r="AL188" i="59"/>
  <c r="AL183" i="59"/>
  <c r="AL214" i="59"/>
  <c r="AL232" i="59"/>
  <c r="AL331" i="59"/>
  <c r="AL509" i="59"/>
  <c r="AL421" i="59"/>
  <c r="AO421" i="59" s="1"/>
  <c r="AP421" i="59" s="1"/>
  <c r="AL388" i="59"/>
  <c r="AL455" i="59"/>
  <c r="AL816" i="59"/>
  <c r="AL854" i="59"/>
  <c r="AL656" i="59"/>
  <c r="AL850" i="59"/>
  <c r="AL893" i="59"/>
  <c r="AL840" i="59"/>
  <c r="AL822" i="59"/>
  <c r="AL884" i="59"/>
  <c r="AL899" i="59"/>
  <c r="AL651" i="59"/>
  <c r="AL852" i="59"/>
  <c r="AL625" i="59"/>
  <c r="AL796" i="59"/>
  <c r="AL882" i="59"/>
  <c r="AL39" i="59"/>
  <c r="AR32" i="59"/>
  <c r="AL47" i="59"/>
  <c r="AL74" i="59"/>
  <c r="AL235" i="59"/>
  <c r="AL60" i="59"/>
  <c r="AL596" i="59"/>
  <c r="AL540" i="59"/>
  <c r="AL465" i="59"/>
  <c r="AL711" i="59"/>
  <c r="AL810" i="59"/>
  <c r="AL140" i="59"/>
  <c r="AL66" i="59"/>
  <c r="AL168" i="59"/>
  <c r="AL281" i="59"/>
  <c r="AL186" i="59"/>
  <c r="AL566" i="59"/>
  <c r="AL480" i="59"/>
  <c r="AL630" i="59"/>
  <c r="AL89" i="59"/>
  <c r="AL211" i="59"/>
  <c r="AL228" i="59"/>
  <c r="AL150" i="59"/>
  <c r="AL239" i="59"/>
  <c r="AL485" i="59"/>
  <c r="AL488" i="59"/>
  <c r="AL567" i="59"/>
  <c r="AL847" i="59"/>
  <c r="AL739" i="59"/>
  <c r="AL370" i="59"/>
  <c r="AL264" i="59"/>
  <c r="AL468" i="59"/>
  <c r="AL459" i="59"/>
  <c r="AL542" i="59"/>
  <c r="AL586" i="59"/>
  <c r="AL653" i="59"/>
  <c r="AL54" i="59"/>
  <c r="AL332" i="59"/>
  <c r="AL134" i="59"/>
  <c r="AL495" i="59"/>
  <c r="AL481" i="59"/>
  <c r="AL508" i="59"/>
  <c r="AL750" i="59"/>
  <c r="AL121" i="59"/>
  <c r="AL268" i="59"/>
  <c r="AL306" i="59"/>
  <c r="AL382" i="59"/>
  <c r="AL378" i="59"/>
  <c r="AL499" i="59"/>
  <c r="AL641" i="59"/>
  <c r="AL681" i="59"/>
  <c r="AL691" i="59"/>
  <c r="AL865" i="59"/>
  <c r="AL290" i="59"/>
  <c r="AL201" i="59"/>
  <c r="AL414" i="59"/>
  <c r="AL569" i="59"/>
  <c r="AL498" i="59"/>
  <c r="AL582" i="59"/>
  <c r="AL766" i="59"/>
  <c r="AL676" i="59"/>
  <c r="AL832" i="59"/>
  <c r="AL775" i="59"/>
  <c r="AL951" i="59"/>
  <c r="AL106" i="59"/>
  <c r="AL253" i="59"/>
  <c r="AL218" i="59"/>
  <c r="AL278" i="59"/>
  <c r="AL243" i="59"/>
  <c r="AL446" i="59"/>
  <c r="AL445" i="59"/>
  <c r="AL490" i="59"/>
  <c r="AL636" i="59"/>
  <c r="AL688" i="59"/>
  <c r="AL663" i="59"/>
  <c r="AL778" i="59"/>
  <c r="AL890" i="59"/>
  <c r="AL846" i="59"/>
  <c r="AL886" i="59"/>
  <c r="AL758" i="59"/>
  <c r="AL889" i="59"/>
  <c r="AL719" i="59"/>
  <c r="AL819" i="59"/>
  <c r="AL885" i="59"/>
  <c r="AL708" i="59"/>
  <c r="AL880" i="59"/>
  <c r="AR39" i="59"/>
  <c r="AR37" i="59"/>
  <c r="AR30" i="59"/>
  <c r="AL25" i="59"/>
  <c r="AR29" i="59"/>
  <c r="AL41" i="59"/>
  <c r="AQ33" i="59"/>
  <c r="AL27" i="59"/>
  <c r="AL206" i="59"/>
  <c r="AL746" i="59"/>
  <c r="AL453" i="59"/>
  <c r="AL504" i="59"/>
  <c r="AL411" i="59"/>
  <c r="AO411" i="59" s="1"/>
  <c r="AP411" i="59" s="1"/>
  <c r="AL461" i="59"/>
  <c r="AL555" i="59"/>
  <c r="AL73" i="59"/>
  <c r="AL878" i="59"/>
  <c r="AQ7" i="59"/>
  <c r="AL91" i="59"/>
  <c r="AL133" i="59"/>
  <c r="AL733" i="59"/>
  <c r="AL396" i="59"/>
  <c r="AL457" i="59"/>
  <c r="AL608" i="59"/>
  <c r="AL773" i="59"/>
  <c r="AL431" i="59"/>
  <c r="AL245" i="59"/>
  <c r="AL631" i="59"/>
  <c r="AQ12" i="59"/>
  <c r="AL16" i="59"/>
  <c r="AR15" i="59"/>
  <c r="AL227" i="59"/>
  <c r="AL104" i="59"/>
  <c r="AL81" i="59"/>
  <c r="AL807" i="59"/>
  <c r="AL843" i="59"/>
  <c r="AL697" i="59"/>
  <c r="AL650" i="59"/>
  <c r="AL216" i="59"/>
  <c r="AL610" i="59"/>
  <c r="AL808" i="59"/>
  <c r="AQ39" i="59"/>
  <c r="AL30" i="59"/>
  <c r="AL29" i="59"/>
  <c r="AL19" i="59"/>
  <c r="AL270" i="59"/>
  <c r="AL136" i="59"/>
  <c r="AL193" i="59"/>
  <c r="AL860" i="59"/>
  <c r="AL55" i="59"/>
  <c r="AL774" i="59"/>
  <c r="AL755" i="59"/>
  <c r="AL249" i="59"/>
  <c r="AL607" i="59"/>
  <c r="AL874" i="59"/>
  <c r="AQ29" i="59"/>
  <c r="AL589" i="59"/>
  <c r="AL205" i="59"/>
  <c r="AL215" i="59"/>
  <c r="AL309" i="59"/>
  <c r="AL295" i="59"/>
  <c r="AL863" i="59"/>
  <c r="AL844" i="59"/>
  <c r="AL234" i="59"/>
  <c r="AL851" i="59"/>
  <c r="AL703" i="59"/>
  <c r="AL8" i="59"/>
  <c r="AQ11" i="59"/>
  <c r="AL7" i="59"/>
  <c r="AR19" i="59"/>
  <c r="AL21" i="59"/>
  <c r="AL496" i="59"/>
  <c r="AL349" i="59"/>
  <c r="AL65" i="59"/>
  <c r="AL351" i="59"/>
  <c r="AL320" i="59"/>
  <c r="AL182" i="59"/>
  <c r="AL94" i="59"/>
  <c r="AL753" i="59"/>
  <c r="AL671" i="59"/>
  <c r="AL983" i="59"/>
  <c r="AR8" i="59"/>
  <c r="AR7" i="59"/>
  <c r="AQ21" i="59"/>
  <c r="AL6" i="59"/>
  <c r="AL13" i="59"/>
  <c r="AL409" i="59"/>
  <c r="AL149" i="59"/>
  <c r="AL384" i="59"/>
  <c r="AL275" i="59"/>
  <c r="AL200" i="59"/>
  <c r="AL762" i="59"/>
  <c r="AL37" i="59"/>
  <c r="AL20" i="59"/>
  <c r="AQ8" i="59"/>
  <c r="AL22" i="59"/>
  <c r="AR21" i="59"/>
  <c r="AQ6" i="59"/>
  <c r="AL12" i="59"/>
  <c r="AQ15" i="59"/>
  <c r="AQ13" i="59"/>
  <c r="AL823" i="59"/>
  <c r="AL554" i="59"/>
  <c r="AL493" i="59"/>
  <c r="AL486" i="59"/>
  <c r="AL420" i="59"/>
  <c r="AL501" i="59"/>
  <c r="AL980" i="59"/>
  <c r="AL448" i="59"/>
  <c r="AL682" i="59"/>
  <c r="AQ42" i="59"/>
  <c r="AL33" i="59"/>
  <c r="AL26" i="59"/>
  <c r="AQ20" i="59"/>
  <c r="AQ22" i="59"/>
  <c r="AL15" i="59"/>
  <c r="AR6" i="59"/>
  <c r="AR20" i="59"/>
  <c r="AQ16" i="59"/>
  <c r="AR16" i="59"/>
  <c r="AL17" i="59"/>
  <c r="AR17" i="59"/>
  <c r="AQ17" i="59"/>
  <c r="AU983" i="59"/>
  <c r="AQ983" i="59"/>
  <c r="AR983" i="59"/>
  <c r="AQ980" i="59"/>
  <c r="AU980" i="59"/>
  <c r="AQ974" i="59"/>
  <c r="AR974" i="59"/>
  <c r="AU974" i="59"/>
  <c r="AQ971" i="59"/>
  <c r="AQ972" i="59"/>
  <c r="AU972" i="59"/>
  <c r="AU971" i="59"/>
  <c r="AQ967" i="59"/>
  <c r="AU967" i="59"/>
  <c r="AU965" i="59"/>
  <c r="AQ965" i="59"/>
  <c r="AQ963" i="59"/>
  <c r="AQ962" i="59"/>
  <c r="AU962" i="59"/>
  <c r="AU963" i="59"/>
  <c r="AQ955" i="59"/>
  <c r="AR955" i="59"/>
  <c r="AU955" i="59"/>
  <c r="AU953" i="59"/>
  <c r="AQ953" i="59"/>
  <c r="AQ951" i="59"/>
  <c r="AR951" i="59"/>
  <c r="AU951" i="59"/>
  <c r="AQ925" i="59"/>
  <c r="AR925" i="59"/>
  <c r="AU925" i="59"/>
  <c r="AU921" i="59"/>
  <c r="AQ922" i="59"/>
  <c r="AQ921" i="59"/>
  <c r="AU922" i="59"/>
  <c r="AU919" i="59"/>
  <c r="AQ919" i="59"/>
  <c r="AQ917" i="59"/>
  <c r="AR917" i="59"/>
  <c r="AU917" i="59"/>
  <c r="AU906" i="59"/>
  <c r="AQ905" i="59"/>
  <c r="AQ907" i="59"/>
  <c r="AQ906" i="59"/>
  <c r="AU905" i="59"/>
  <c r="AU907" i="59"/>
  <c r="AU899" i="59"/>
  <c r="AU902" i="59"/>
  <c r="AQ902" i="59"/>
  <c r="AQ899" i="59"/>
  <c r="AQ901" i="59"/>
  <c r="AQ898" i="59"/>
  <c r="AU898" i="59"/>
  <c r="AU901" i="59"/>
  <c r="AU897" i="59"/>
  <c r="AQ900" i="59"/>
  <c r="AU900" i="59"/>
  <c r="AQ897" i="59"/>
  <c r="AQ893" i="59"/>
  <c r="AQ892" i="59"/>
  <c r="AU893" i="59"/>
  <c r="AU892" i="59"/>
  <c r="AQ890" i="59"/>
  <c r="AU889" i="59"/>
  <c r="AU890" i="59"/>
  <c r="AQ888" i="59"/>
  <c r="AQ889" i="59"/>
  <c r="AU888" i="59"/>
  <c r="AQ885" i="59"/>
  <c r="AQ884" i="59"/>
  <c r="AQ886" i="59"/>
  <c r="AU886" i="59"/>
  <c r="AU885" i="59"/>
  <c r="AU884" i="59"/>
  <c r="AU880" i="59"/>
  <c r="AQ877" i="59"/>
  <c r="AQ880" i="59"/>
  <c r="AU881" i="59"/>
  <c r="AU879" i="59"/>
  <c r="AU877" i="59"/>
  <c r="AU878" i="59"/>
  <c r="AQ879" i="59"/>
  <c r="AQ882" i="59"/>
  <c r="AU882" i="59"/>
  <c r="AQ878" i="59"/>
  <c r="AQ881" i="59"/>
  <c r="AU874" i="59"/>
  <c r="AQ874" i="59"/>
  <c r="AU875" i="59"/>
  <c r="AQ875" i="59"/>
  <c r="AU870" i="59"/>
  <c r="AU872" i="59"/>
  <c r="AQ872" i="59"/>
  <c r="AQ870" i="59"/>
  <c r="AQ871" i="59"/>
  <c r="AR871" i="59"/>
  <c r="AU869" i="59"/>
  <c r="AQ869" i="59"/>
  <c r="AR869" i="59"/>
  <c r="AU871" i="59"/>
  <c r="AU866" i="59"/>
  <c r="AU864" i="59"/>
  <c r="AQ865" i="59"/>
  <c r="AU863" i="59"/>
  <c r="AQ863" i="59"/>
  <c r="AU865" i="59"/>
  <c r="AQ857" i="59"/>
  <c r="AU859" i="59"/>
  <c r="AU857" i="59"/>
  <c r="AQ858" i="59"/>
  <c r="AU858" i="59"/>
  <c r="AQ859" i="59"/>
  <c r="AQ860" i="59"/>
  <c r="AU860" i="59"/>
  <c r="AU853" i="59"/>
  <c r="AU850" i="59"/>
  <c r="AR852" i="59"/>
  <c r="AQ852" i="59"/>
  <c r="AR851" i="59"/>
  <c r="AQ851" i="59"/>
  <c r="AU852" i="59"/>
  <c r="AU851" i="59"/>
  <c r="AR850" i="59"/>
  <c r="AQ850" i="59"/>
  <c r="AR853" i="59"/>
  <c r="AQ853" i="59"/>
  <c r="AU854" i="59"/>
  <c r="AQ854" i="59"/>
  <c r="AQ846" i="59"/>
  <c r="AQ848" i="59"/>
  <c r="AQ847" i="59"/>
  <c r="AU846" i="59"/>
  <c r="AU847" i="59"/>
  <c r="AU848" i="59"/>
  <c r="AU843" i="59"/>
  <c r="AU841" i="59"/>
  <c r="AQ842" i="59"/>
  <c r="AQ843" i="59"/>
  <c r="AU840" i="59"/>
  <c r="AU842" i="59"/>
  <c r="AU839" i="59"/>
  <c r="AU844" i="59"/>
  <c r="AQ841" i="59"/>
  <c r="AQ839" i="59"/>
  <c r="AQ844" i="59"/>
  <c r="AQ840" i="59"/>
  <c r="AU837" i="59"/>
  <c r="AU835" i="59"/>
  <c r="AQ835" i="59"/>
  <c r="AQ836" i="59"/>
  <c r="AQ837" i="59"/>
  <c r="AU836" i="59"/>
  <c r="AU831" i="59"/>
  <c r="AQ832" i="59"/>
  <c r="AQ833" i="59"/>
  <c r="AU833" i="59"/>
  <c r="AU832" i="59"/>
  <c r="AQ831" i="59"/>
  <c r="AU829" i="59"/>
  <c r="AQ826" i="59"/>
  <c r="AR826" i="59"/>
  <c r="AU827" i="59"/>
  <c r="AQ828" i="59"/>
  <c r="AU826" i="59"/>
  <c r="AQ829" i="59"/>
  <c r="AU828" i="59"/>
  <c r="AQ827" i="59"/>
  <c r="AQ824" i="59"/>
  <c r="AU824" i="59"/>
  <c r="AU822" i="59"/>
  <c r="AQ822" i="59"/>
  <c r="AQ823" i="59"/>
  <c r="AU823" i="59"/>
  <c r="AU818" i="59"/>
  <c r="AU820" i="59"/>
  <c r="AQ820" i="59"/>
  <c r="AU819" i="59"/>
  <c r="AQ818" i="59"/>
  <c r="AQ819" i="59"/>
  <c r="AQ814" i="59"/>
  <c r="AQ816" i="59"/>
  <c r="AQ815" i="59"/>
  <c r="AU815" i="59"/>
  <c r="AU816" i="59"/>
  <c r="AU814" i="59"/>
  <c r="AQ812" i="59"/>
  <c r="AQ809" i="59"/>
  <c r="AU812" i="59"/>
  <c r="AU809" i="59"/>
  <c r="AU811" i="59"/>
  <c r="AU808" i="59"/>
  <c r="AQ810" i="59"/>
  <c r="AQ807" i="59"/>
  <c r="AU810" i="59"/>
  <c r="AU807" i="59"/>
  <c r="AQ803" i="59"/>
  <c r="AU803" i="59"/>
  <c r="AU802" i="59"/>
  <c r="AQ802" i="59"/>
  <c r="AU800" i="59"/>
  <c r="AU798" i="59"/>
  <c r="AQ798" i="59"/>
  <c r="AQ799" i="59"/>
  <c r="AQ800" i="59"/>
  <c r="AU799" i="59"/>
  <c r="AQ795" i="59"/>
  <c r="AQ796" i="59"/>
  <c r="AU796" i="59"/>
  <c r="AU795" i="59"/>
  <c r="AU794" i="59"/>
  <c r="AQ794" i="59"/>
  <c r="AU791" i="59"/>
  <c r="AQ791" i="59"/>
  <c r="AR791" i="59"/>
  <c r="AQ788" i="59"/>
  <c r="AU788" i="59"/>
  <c r="AQ786" i="59"/>
  <c r="AR786" i="59"/>
  <c r="AU786" i="59"/>
  <c r="AR784" i="59"/>
  <c r="AQ784" i="59"/>
  <c r="AU784" i="59"/>
  <c r="AQ782" i="59"/>
  <c r="AR782" i="59"/>
  <c r="AU782" i="59"/>
  <c r="AQ781" i="59"/>
  <c r="AR781" i="59"/>
  <c r="AU781" i="59"/>
  <c r="AQ779" i="59"/>
  <c r="AQ776" i="59"/>
  <c r="AU776" i="59"/>
  <c r="AQ773" i="59"/>
  <c r="AU779" i="59"/>
  <c r="AU773" i="59"/>
  <c r="AR774" i="59"/>
  <c r="AQ774" i="59"/>
  <c r="AU774" i="59"/>
  <c r="AU772" i="59"/>
  <c r="AR777" i="59"/>
  <c r="AQ777" i="59"/>
  <c r="AU771" i="59"/>
  <c r="AR778" i="59"/>
  <c r="AQ778" i="59"/>
  <c r="AR775" i="59"/>
  <c r="AQ775" i="59"/>
  <c r="AU778" i="59"/>
  <c r="AQ771" i="59"/>
  <c r="AR771" i="59"/>
  <c r="AQ772" i="59"/>
  <c r="AR772" i="59"/>
  <c r="AU775" i="59"/>
  <c r="AU777" i="59"/>
  <c r="AQ766" i="59"/>
  <c r="AR766" i="59"/>
  <c r="AU764" i="59"/>
  <c r="AU766" i="59"/>
  <c r="AQ765" i="59"/>
  <c r="AR765" i="59"/>
  <c r="AQ767" i="59"/>
  <c r="AR767" i="59"/>
  <c r="AU765" i="59"/>
  <c r="AU767" i="59"/>
  <c r="AQ764" i="59"/>
  <c r="AR764" i="59"/>
  <c r="AQ762" i="59"/>
  <c r="AQ761" i="59"/>
  <c r="AU762" i="59"/>
  <c r="AU761" i="59"/>
  <c r="AQ758" i="59"/>
  <c r="AU759" i="59"/>
  <c r="AQ757" i="59"/>
  <c r="AQ759" i="59"/>
  <c r="AU758" i="59"/>
  <c r="AU757" i="59"/>
  <c r="AU755" i="59"/>
  <c r="AR755" i="59"/>
  <c r="AQ755" i="59"/>
  <c r="AU753" i="59"/>
  <c r="AR753" i="59"/>
  <c r="AQ753" i="59"/>
  <c r="AR751" i="59"/>
  <c r="AQ751" i="59"/>
  <c r="AU751" i="59"/>
  <c r="AU754" i="59"/>
  <c r="AU752" i="59"/>
  <c r="AQ750" i="59"/>
  <c r="AU750" i="59"/>
  <c r="AQ754" i="59"/>
  <c r="AQ752" i="59"/>
  <c r="AQ747" i="59"/>
  <c r="AU747" i="59"/>
  <c r="AQ744" i="59"/>
  <c r="AQ746" i="59"/>
  <c r="AQ745" i="59"/>
  <c r="AU744" i="59"/>
  <c r="AU745" i="59"/>
  <c r="AU746" i="59"/>
  <c r="AQ742" i="59"/>
  <c r="AR742" i="59"/>
  <c r="AU741" i="59"/>
  <c r="AU742" i="59"/>
  <c r="AQ741" i="59"/>
  <c r="AR741" i="59"/>
  <c r="AQ738" i="59"/>
  <c r="AR738" i="59"/>
  <c r="AQ737" i="59"/>
  <c r="AR737" i="59"/>
  <c r="AU738" i="59"/>
  <c r="AU739" i="59"/>
  <c r="AU737" i="59"/>
  <c r="AR739" i="59"/>
  <c r="AQ739" i="59"/>
  <c r="AU735" i="59"/>
  <c r="AQ735" i="59"/>
  <c r="AR735" i="59"/>
  <c r="AU729" i="59"/>
  <c r="AQ729" i="59"/>
  <c r="AU731" i="59"/>
  <c r="AQ733" i="59"/>
  <c r="AU733" i="59"/>
  <c r="AQ731" i="59"/>
  <c r="AU732" i="59"/>
  <c r="AU728" i="59"/>
  <c r="AU730" i="59"/>
  <c r="AR732" i="59"/>
  <c r="AQ732" i="59"/>
  <c r="AQ728" i="59"/>
  <c r="AR728" i="59"/>
  <c r="AR730" i="59"/>
  <c r="AQ730" i="59"/>
  <c r="AU725" i="59"/>
  <c r="AQ724" i="59"/>
  <c r="AR724" i="59"/>
  <c r="AU724" i="59"/>
  <c r="AQ725" i="59"/>
  <c r="AR725" i="59"/>
  <c r="AR722" i="59"/>
  <c r="AQ722" i="59"/>
  <c r="AU718" i="59"/>
  <c r="AR720" i="59"/>
  <c r="AQ720" i="59"/>
  <c r="AU722" i="59"/>
  <c r="AU720" i="59"/>
  <c r="AQ718" i="59"/>
  <c r="AR718" i="59"/>
  <c r="AU717" i="59"/>
  <c r="AQ719" i="59"/>
  <c r="AQ721" i="59"/>
  <c r="AQ717" i="59"/>
  <c r="AU719" i="59"/>
  <c r="AU721" i="59"/>
  <c r="AQ714" i="59"/>
  <c r="AR714" i="59"/>
  <c r="AU714" i="59"/>
  <c r="AU706" i="59"/>
  <c r="AU710" i="59"/>
  <c r="AR712" i="59"/>
  <c r="AQ712" i="59"/>
  <c r="AR706" i="59"/>
  <c r="AQ706" i="59"/>
  <c r="AR710" i="59"/>
  <c r="AQ710" i="59"/>
  <c r="AU708" i="59"/>
  <c r="AU702" i="59"/>
  <c r="AU704" i="59"/>
  <c r="AR708" i="59"/>
  <c r="AQ708" i="59"/>
  <c r="AU712" i="59"/>
  <c r="AQ702" i="59"/>
  <c r="AR702" i="59"/>
  <c r="AQ704" i="59"/>
  <c r="AR704" i="59"/>
  <c r="AU705" i="59"/>
  <c r="AQ711" i="59"/>
  <c r="AU711" i="59"/>
  <c r="AU709" i="59"/>
  <c r="AU707" i="59"/>
  <c r="AQ709" i="59"/>
  <c r="AQ707" i="59"/>
  <c r="AQ703" i="59"/>
  <c r="AU701" i="59"/>
  <c r="AQ701" i="59"/>
  <c r="AQ705" i="59"/>
  <c r="AU703" i="59"/>
  <c r="AU696" i="59"/>
  <c r="AQ696" i="59"/>
  <c r="AR696" i="59"/>
  <c r="AQ698" i="59"/>
  <c r="AR698" i="59"/>
  <c r="AU698" i="59"/>
  <c r="AQ695" i="59"/>
  <c r="AU697" i="59"/>
  <c r="AU695" i="59"/>
  <c r="AQ697" i="59"/>
  <c r="AQ689" i="59"/>
  <c r="AR689" i="59"/>
  <c r="AQ692" i="59"/>
  <c r="AR692" i="59"/>
  <c r="AU692" i="59"/>
  <c r="AU689" i="59"/>
  <c r="AQ691" i="59"/>
  <c r="AR691" i="59"/>
  <c r="AU691" i="59"/>
  <c r="AQ688" i="59"/>
  <c r="AU688" i="59"/>
  <c r="AU687" i="59"/>
  <c r="AU690" i="59"/>
  <c r="AQ690" i="59"/>
  <c r="AQ687" i="59"/>
  <c r="AQ681" i="59"/>
  <c r="AR681" i="59"/>
  <c r="AU683" i="59"/>
  <c r="AU681" i="59"/>
  <c r="AR682" i="59"/>
  <c r="AQ682" i="59"/>
  <c r="AR683" i="59"/>
  <c r="AQ683" i="59"/>
  <c r="AU682" i="59"/>
  <c r="AQ679" i="59"/>
  <c r="AU675" i="59"/>
  <c r="AU677" i="59"/>
  <c r="AU679" i="59"/>
  <c r="AQ677" i="59"/>
  <c r="AQ675" i="59"/>
  <c r="AR676" i="59"/>
  <c r="AQ676" i="59"/>
  <c r="AU676" i="59"/>
  <c r="AU678" i="59"/>
  <c r="AU674" i="59"/>
  <c r="AQ674" i="59"/>
  <c r="AR674" i="59"/>
  <c r="AR678" i="59"/>
  <c r="AQ678" i="59"/>
  <c r="AQ671" i="59"/>
  <c r="AR671" i="59"/>
  <c r="AU669" i="59"/>
  <c r="AQ669" i="59"/>
  <c r="AR669" i="59"/>
  <c r="AU671" i="59"/>
  <c r="AQ670" i="59"/>
  <c r="AU668" i="59"/>
  <c r="AU670" i="59"/>
  <c r="AQ668" i="59"/>
  <c r="AU664" i="59"/>
  <c r="AU663" i="59"/>
  <c r="AU665" i="59"/>
  <c r="AQ664" i="59"/>
  <c r="AR664" i="59"/>
  <c r="AQ663" i="59"/>
  <c r="AR663" i="59"/>
  <c r="AQ665" i="59"/>
  <c r="AR665" i="59"/>
  <c r="AQ662" i="59"/>
  <c r="AR662" i="59"/>
  <c r="AU662" i="59"/>
  <c r="AU660" i="59"/>
  <c r="AU659" i="59"/>
  <c r="AQ660" i="59"/>
  <c r="AR660" i="59"/>
  <c r="AQ659" i="59"/>
  <c r="AR659" i="59"/>
  <c r="AU651" i="59"/>
  <c r="AQ656" i="59"/>
  <c r="AQ650" i="59"/>
  <c r="AU654" i="59"/>
  <c r="AU656" i="59"/>
  <c r="AU645" i="59"/>
  <c r="AQ652" i="59"/>
  <c r="AU647" i="59"/>
  <c r="AR643" i="59"/>
  <c r="AQ643" i="59"/>
  <c r="AU652" i="59"/>
  <c r="AR645" i="59"/>
  <c r="AQ645" i="59"/>
  <c r="AU646" i="59"/>
  <c r="AQ657" i="59"/>
  <c r="AR657" i="59"/>
  <c r="AU657" i="59"/>
  <c r="AU644" i="59"/>
  <c r="AR644" i="59"/>
  <c r="AQ644" i="59"/>
  <c r="AQ654" i="59"/>
  <c r="AU650" i="59"/>
  <c r="AR655" i="59"/>
  <c r="AQ655" i="59"/>
  <c r="AU653" i="59"/>
  <c r="AQ647" i="59"/>
  <c r="AR647" i="59"/>
  <c r="AQ646" i="59"/>
  <c r="AR646" i="59"/>
  <c r="AR653" i="59"/>
  <c r="AQ653" i="59"/>
  <c r="AU655" i="59"/>
  <c r="AU643" i="59"/>
  <c r="AR651" i="59"/>
  <c r="AQ651" i="59"/>
  <c r="AU640" i="59"/>
  <c r="AU641" i="59"/>
  <c r="AQ640" i="59"/>
  <c r="AQ636" i="59"/>
  <c r="AQ638" i="59"/>
  <c r="AU638" i="59"/>
  <c r="AU636" i="59"/>
  <c r="AQ641" i="59"/>
  <c r="AU637" i="59"/>
  <c r="AU635" i="59"/>
  <c r="AQ635" i="59"/>
  <c r="AR635" i="59"/>
  <c r="AQ637" i="59"/>
  <c r="AR637" i="59"/>
  <c r="AU631" i="59"/>
  <c r="AU632" i="59"/>
  <c r="AQ631" i="59"/>
  <c r="AU629" i="59"/>
  <c r="AQ632" i="59"/>
  <c r="AQ630" i="59"/>
  <c r="AU630" i="59"/>
  <c r="AQ629" i="59"/>
  <c r="AQ627" i="59"/>
  <c r="AR627" i="59"/>
  <c r="AQ624" i="59"/>
  <c r="AR624" i="59"/>
  <c r="AU627" i="59"/>
  <c r="AQ621" i="59"/>
  <c r="AR621" i="59"/>
  <c r="AU624" i="59"/>
  <c r="AU618" i="59"/>
  <c r="AQ618" i="59"/>
  <c r="AR618" i="59"/>
  <c r="AU621" i="59"/>
  <c r="AU620" i="59"/>
  <c r="AQ623" i="59"/>
  <c r="AQ626" i="59"/>
  <c r="AQ617" i="59"/>
  <c r="AU617" i="59"/>
  <c r="AQ620" i="59"/>
  <c r="AU626" i="59"/>
  <c r="AU623" i="59"/>
  <c r="AQ625" i="59"/>
  <c r="AU619" i="59"/>
  <c r="AQ619" i="59"/>
  <c r="AU625" i="59"/>
  <c r="AQ622" i="59"/>
  <c r="AU622" i="59"/>
  <c r="AU616" i="59"/>
  <c r="AQ616" i="59"/>
  <c r="AU612" i="59"/>
  <c r="AR612" i="59"/>
  <c r="AQ612" i="59"/>
  <c r="AU608" i="59"/>
  <c r="AU610" i="59"/>
  <c r="AQ608" i="59"/>
  <c r="AR608" i="59"/>
  <c r="AR610" i="59"/>
  <c r="AQ610" i="59"/>
  <c r="AU609" i="59"/>
  <c r="AU611" i="59"/>
  <c r="AQ607" i="59"/>
  <c r="AQ611" i="59"/>
  <c r="AQ609" i="59"/>
  <c r="AU607" i="59"/>
  <c r="AU602" i="59"/>
  <c r="AR603" i="59"/>
  <c r="AQ603" i="59"/>
  <c r="AU604" i="59"/>
  <c r="AR604" i="59"/>
  <c r="AQ604" i="59"/>
  <c r="AU603" i="59"/>
  <c r="AQ602" i="59"/>
  <c r="AR602" i="59"/>
  <c r="AU600" i="59"/>
  <c r="AQ600" i="59"/>
  <c r="AR600" i="59"/>
  <c r="AQ599" i="59"/>
  <c r="AR599" i="59"/>
  <c r="AU599" i="59"/>
  <c r="AQ595" i="59"/>
  <c r="AU594" i="59"/>
  <c r="AU597" i="59"/>
  <c r="AU596" i="59"/>
  <c r="AU595" i="59"/>
  <c r="AQ597" i="59"/>
  <c r="AQ594" i="59"/>
  <c r="AU586" i="59"/>
  <c r="AQ596" i="59"/>
  <c r="AQ592" i="59"/>
  <c r="AR592" i="59"/>
  <c r="AQ588" i="59"/>
  <c r="AR588" i="59"/>
  <c r="AU592" i="59"/>
  <c r="AU588" i="59"/>
  <c r="AU590" i="59"/>
  <c r="AQ590" i="59"/>
  <c r="AR590" i="59"/>
  <c r="AQ586" i="59"/>
  <c r="AR586" i="59"/>
  <c r="AU591" i="59"/>
  <c r="AU589" i="59"/>
  <c r="AU585" i="59"/>
  <c r="AQ585" i="59"/>
  <c r="AU587" i="59"/>
  <c r="AQ587" i="59"/>
  <c r="AQ589" i="59"/>
  <c r="AQ591" i="59"/>
  <c r="AR582" i="59"/>
  <c r="AQ582" i="59"/>
  <c r="AU582" i="59"/>
  <c r="AU578" i="59"/>
  <c r="AQ578" i="59"/>
  <c r="AR578" i="59"/>
  <c r="AR580" i="59"/>
  <c r="AQ580" i="59"/>
  <c r="AU580" i="59"/>
  <c r="AU577" i="59"/>
  <c r="AQ577" i="59"/>
  <c r="AQ579" i="59"/>
  <c r="AU581" i="59"/>
  <c r="AQ581" i="59"/>
  <c r="AU579" i="59"/>
  <c r="AU573" i="59"/>
  <c r="AU574" i="59"/>
  <c r="AQ573" i="59"/>
  <c r="AR573" i="59"/>
  <c r="AQ574" i="59"/>
  <c r="AR574" i="59"/>
  <c r="AU570" i="59"/>
  <c r="AQ568" i="59"/>
  <c r="AR568" i="59"/>
  <c r="AU568" i="59"/>
  <c r="AQ567" i="59"/>
  <c r="AR567" i="59"/>
  <c r="AU567" i="59"/>
  <c r="AQ570" i="59"/>
  <c r="AR570" i="59"/>
  <c r="AU571" i="59"/>
  <c r="AQ571" i="59"/>
  <c r="AR571" i="59"/>
  <c r="AQ569" i="59"/>
  <c r="AU566" i="59"/>
  <c r="AU569" i="59"/>
  <c r="AQ566" i="59"/>
  <c r="AU561" i="59"/>
  <c r="AU562" i="59"/>
  <c r="AQ562" i="59"/>
  <c r="AR562" i="59"/>
  <c r="AQ561" i="59"/>
  <c r="AR561" i="59"/>
  <c r="AU557" i="59"/>
  <c r="AQ559" i="59"/>
  <c r="AU558" i="59"/>
  <c r="AQ557" i="59"/>
  <c r="AU559" i="59"/>
  <c r="AQ558" i="59"/>
  <c r="AQ554" i="59"/>
  <c r="AU554" i="59"/>
  <c r="AQ555" i="59"/>
  <c r="AU555" i="59"/>
  <c r="AU548" i="59"/>
  <c r="AR552" i="59"/>
  <c r="AQ552" i="59"/>
  <c r="AR550" i="59"/>
  <c r="AQ550" i="59"/>
  <c r="AQ548" i="59"/>
  <c r="AR548" i="59"/>
  <c r="AU552" i="59"/>
  <c r="AU550" i="59"/>
  <c r="AQ551" i="59"/>
  <c r="AU551" i="59"/>
  <c r="AU549" i="59"/>
  <c r="AU547" i="59"/>
  <c r="AQ547" i="59"/>
  <c r="AQ549" i="59"/>
  <c r="AQ543" i="59"/>
  <c r="AQ535" i="59"/>
  <c r="AU535" i="59"/>
  <c r="AQ536" i="59"/>
  <c r="AR536" i="59"/>
  <c r="AR544" i="59"/>
  <c r="AQ544" i="59"/>
  <c r="AU536" i="59"/>
  <c r="AQ527" i="59"/>
  <c r="AQ528" i="59"/>
  <c r="AR528" i="59"/>
  <c r="AU528" i="59"/>
  <c r="AU543" i="59"/>
  <c r="AU527" i="59"/>
  <c r="AU544" i="59"/>
  <c r="AU542" i="59"/>
  <c r="AQ534" i="59"/>
  <c r="AQ526" i="59"/>
  <c r="AQ542" i="59"/>
  <c r="AU534" i="59"/>
  <c r="AU526" i="59"/>
  <c r="AU541" i="59"/>
  <c r="AQ541" i="59"/>
  <c r="AU525" i="59"/>
  <c r="AQ525" i="59"/>
  <c r="AU533" i="59"/>
  <c r="AQ533" i="59"/>
  <c r="AQ524" i="59"/>
  <c r="AU532" i="59"/>
  <c r="AQ532" i="59"/>
  <c r="AU524" i="59"/>
  <c r="AU540" i="59"/>
  <c r="AQ540" i="59"/>
  <c r="AQ531" i="59"/>
  <c r="AQ539" i="59"/>
  <c r="AU531" i="59"/>
  <c r="AQ523" i="59"/>
  <c r="AU539" i="59"/>
  <c r="AU523" i="59"/>
  <c r="AQ530" i="59"/>
  <c r="AQ538" i="59"/>
  <c r="AQ522" i="59"/>
  <c r="AU530" i="59"/>
  <c r="AU538" i="59"/>
  <c r="AU522" i="59"/>
  <c r="AU529" i="59"/>
  <c r="AU521" i="59"/>
  <c r="AQ521" i="59"/>
  <c r="AU537" i="59"/>
  <c r="AQ529" i="59"/>
  <c r="AQ537" i="59"/>
  <c r="AR501" i="59"/>
  <c r="AQ501" i="59"/>
  <c r="AU489" i="59"/>
  <c r="AR490" i="59"/>
  <c r="AQ490" i="59"/>
  <c r="AU490" i="59"/>
  <c r="AR512" i="59"/>
  <c r="AQ512" i="59"/>
  <c r="AU512" i="59"/>
  <c r="AU511" i="59"/>
  <c r="AU501" i="59"/>
  <c r="AU500" i="59"/>
  <c r="AU499" i="59"/>
  <c r="AU510" i="59"/>
  <c r="AQ488" i="59"/>
  <c r="AU488" i="59"/>
  <c r="AQ499" i="59"/>
  <c r="AQ510" i="59"/>
  <c r="AQ498" i="59"/>
  <c r="AU498" i="59"/>
  <c r="AQ487" i="59"/>
  <c r="AU487" i="59"/>
  <c r="AU509" i="59"/>
  <c r="AQ509" i="59"/>
  <c r="AQ497" i="59"/>
  <c r="AQ508" i="59"/>
  <c r="AU486" i="59"/>
  <c r="AU497" i="59"/>
  <c r="AU508" i="59"/>
  <c r="AQ486" i="59"/>
  <c r="AU507" i="59"/>
  <c r="AQ507" i="59"/>
  <c r="AQ485" i="59"/>
  <c r="AQ496" i="59"/>
  <c r="AU496" i="59"/>
  <c r="AU485" i="59"/>
  <c r="AQ484" i="59"/>
  <c r="AU506" i="59"/>
  <c r="AQ495" i="59"/>
  <c r="AU495" i="59"/>
  <c r="AQ506" i="59"/>
  <c r="AU484" i="59"/>
  <c r="AU494" i="59"/>
  <c r="AQ483" i="59"/>
  <c r="AU483" i="59"/>
  <c r="AU505" i="59"/>
  <c r="AQ505" i="59"/>
  <c r="AQ494" i="59"/>
  <c r="AU504" i="59"/>
  <c r="AQ493" i="59"/>
  <c r="AU493" i="59"/>
  <c r="AQ482" i="59"/>
  <c r="AQ504" i="59"/>
  <c r="AU482" i="59"/>
  <c r="AU503" i="59"/>
  <c r="AU492" i="59"/>
  <c r="AQ481" i="59"/>
  <c r="AQ492" i="59"/>
  <c r="AU481" i="59"/>
  <c r="AQ503" i="59"/>
  <c r="AU502" i="59"/>
  <c r="AU491" i="59"/>
  <c r="AQ480" i="59"/>
  <c r="AQ491" i="59"/>
  <c r="AQ502" i="59"/>
  <c r="AU480" i="59"/>
  <c r="AU456" i="59"/>
  <c r="AU467" i="59"/>
  <c r="AQ456" i="59"/>
  <c r="AQ455" i="59"/>
  <c r="AU455" i="59"/>
  <c r="AQ467" i="59"/>
  <c r="AU468" i="59"/>
  <c r="AQ468" i="59"/>
  <c r="AU454" i="59"/>
  <c r="AQ454" i="59"/>
  <c r="AQ466" i="59"/>
  <c r="AU466" i="59"/>
  <c r="AQ453" i="59"/>
  <c r="AQ465" i="59"/>
  <c r="AU465" i="59"/>
  <c r="AU453" i="59"/>
  <c r="AU452" i="59"/>
  <c r="AQ464" i="59"/>
  <c r="AU464" i="59"/>
  <c r="AQ452" i="59"/>
  <c r="AQ451" i="59"/>
  <c r="AU451" i="59"/>
  <c r="AU463" i="59"/>
  <c r="AQ463" i="59"/>
  <c r="AU450" i="59"/>
  <c r="AU461" i="59"/>
  <c r="AU449" i="59"/>
  <c r="AQ462" i="59"/>
  <c r="AQ450" i="59"/>
  <c r="AU462" i="59"/>
  <c r="AU448" i="59"/>
  <c r="AQ448" i="59"/>
  <c r="AQ460" i="59"/>
  <c r="AU460" i="59"/>
  <c r="AQ459" i="59"/>
  <c r="AU447" i="59"/>
  <c r="AU459" i="59"/>
  <c r="AQ447" i="59"/>
  <c r="AQ446" i="59"/>
  <c r="AQ458" i="59"/>
  <c r="AU446" i="59"/>
  <c r="AU458" i="59"/>
  <c r="AU457" i="59"/>
  <c r="AQ445" i="59"/>
  <c r="AU445" i="59"/>
  <c r="AQ457" i="59"/>
  <c r="AU432" i="59"/>
  <c r="AQ432" i="59"/>
  <c r="AQ431" i="59"/>
  <c r="AU431" i="59"/>
  <c r="AU424" i="59"/>
  <c r="AU419" i="59"/>
  <c r="AU409" i="59"/>
  <c r="AU429" i="59"/>
  <c r="AU414" i="59"/>
  <c r="AU418" i="59"/>
  <c r="AU408" i="59"/>
  <c r="AQ418" i="59"/>
  <c r="AU428" i="59"/>
  <c r="AQ413" i="59"/>
  <c r="AU413" i="59"/>
  <c r="AU423" i="59"/>
  <c r="AQ408" i="59"/>
  <c r="AQ423" i="59"/>
  <c r="AQ428" i="59"/>
  <c r="AU407" i="59"/>
  <c r="AQ427" i="59"/>
  <c r="AU417" i="59"/>
  <c r="AQ412" i="59"/>
  <c r="AQ417" i="59"/>
  <c r="AQ407" i="59"/>
  <c r="AU427" i="59"/>
  <c r="AU412" i="59"/>
  <c r="AU422" i="59"/>
  <c r="AQ422" i="59"/>
  <c r="AQ410" i="59"/>
  <c r="AU420" i="59"/>
  <c r="AU410" i="59"/>
  <c r="AU421" i="59"/>
  <c r="AQ415" i="59"/>
  <c r="AQ420" i="59"/>
  <c r="AQ406" i="59"/>
  <c r="AU411" i="59"/>
  <c r="AQ416" i="59"/>
  <c r="AU415" i="59"/>
  <c r="AQ405" i="59"/>
  <c r="AQ411" i="59"/>
  <c r="AU406" i="59"/>
  <c r="AU405" i="59"/>
  <c r="AU426" i="59"/>
  <c r="AU425" i="59"/>
  <c r="AQ426" i="59"/>
  <c r="AU416" i="59"/>
  <c r="AQ425" i="59"/>
  <c r="AQ421" i="59"/>
  <c r="AQ397" i="59"/>
  <c r="AU397" i="59"/>
  <c r="AU399" i="59"/>
  <c r="AQ399" i="59"/>
  <c r="AU398" i="59"/>
  <c r="AQ396" i="59"/>
  <c r="AR396" i="59"/>
  <c r="AU396" i="59"/>
  <c r="AQ398" i="59"/>
  <c r="AR398" i="59"/>
  <c r="AU393" i="59"/>
  <c r="AU380" i="59"/>
  <c r="AQ380" i="59"/>
  <c r="AQ393" i="59"/>
  <c r="AU391" i="59"/>
  <c r="AQ392" i="59"/>
  <c r="AU378" i="59"/>
  <c r="AU379" i="59"/>
  <c r="AU392" i="59"/>
  <c r="AQ379" i="59"/>
  <c r="AU377" i="59"/>
  <c r="AU390" i="59"/>
  <c r="AQ376" i="59"/>
  <c r="AU376" i="59"/>
  <c r="AQ389" i="59"/>
  <c r="AU389" i="59"/>
  <c r="AU375" i="59"/>
  <c r="AQ388" i="59"/>
  <c r="AQ375" i="59"/>
  <c r="AU388" i="59"/>
  <c r="AU374" i="59"/>
  <c r="AQ387" i="59"/>
  <c r="AU387" i="59"/>
  <c r="AQ374" i="59"/>
  <c r="AU373" i="59"/>
  <c r="AQ386" i="59"/>
  <c r="AQ373" i="59"/>
  <c r="AU386" i="59"/>
  <c r="AU385" i="59"/>
  <c r="AU372" i="59"/>
  <c r="AQ385" i="59"/>
  <c r="AQ372" i="59"/>
  <c r="AQ371" i="59"/>
  <c r="AU371" i="59"/>
  <c r="AQ384" i="59"/>
  <c r="AU384" i="59"/>
  <c r="AQ370" i="59"/>
  <c r="AU383" i="59"/>
  <c r="AQ383" i="59"/>
  <c r="AU370" i="59"/>
  <c r="AQ382" i="59"/>
  <c r="AQ369" i="59"/>
  <c r="AU369" i="59"/>
  <c r="AU382" i="59"/>
  <c r="AQ381" i="59"/>
  <c r="AU368" i="59"/>
  <c r="AQ368" i="59"/>
  <c r="AU381" i="59"/>
  <c r="AU292" i="59"/>
  <c r="AU207" i="59"/>
  <c r="AU338" i="59"/>
  <c r="AU100" i="59"/>
  <c r="AU317" i="59"/>
  <c r="AU161" i="59"/>
  <c r="AU271" i="59"/>
  <c r="AU148" i="59"/>
  <c r="AQ142" i="59"/>
  <c r="AQ247" i="59"/>
  <c r="AU104" i="59"/>
  <c r="AQ249" i="59"/>
  <c r="AU90" i="59"/>
  <c r="AQ114" i="59"/>
  <c r="AU94" i="59"/>
  <c r="AQ351" i="59"/>
  <c r="AR351" i="59"/>
  <c r="AQ72" i="59"/>
  <c r="AQ292" i="59"/>
  <c r="AQ318" i="59"/>
  <c r="AQ310" i="59"/>
  <c r="AR310" i="59"/>
  <c r="AQ193" i="59"/>
  <c r="AU200" i="59"/>
  <c r="AQ304" i="59"/>
  <c r="AR304" i="59"/>
  <c r="AQ250" i="59"/>
  <c r="AU284" i="59"/>
  <c r="AU191" i="59"/>
  <c r="AQ143" i="59"/>
  <c r="AR266" i="59"/>
  <c r="AQ266" i="59"/>
  <c r="AU216" i="59"/>
  <c r="AQ89" i="59"/>
  <c r="AU105" i="59"/>
  <c r="AQ211" i="59"/>
  <c r="AR211" i="59"/>
  <c r="AU139" i="59"/>
  <c r="AR203" i="59"/>
  <c r="AQ203" i="59"/>
  <c r="AU328" i="59"/>
  <c r="AU238" i="59"/>
  <c r="AU143" i="59"/>
  <c r="AQ99" i="59"/>
  <c r="AU172" i="59"/>
  <c r="AU353" i="59"/>
  <c r="AU134" i="59"/>
  <c r="AR341" i="59"/>
  <c r="AQ341" i="59"/>
  <c r="AR246" i="59"/>
  <c r="AQ246" i="59"/>
  <c r="AQ82" i="59"/>
  <c r="AR82" i="59"/>
  <c r="AU224" i="59"/>
  <c r="AQ183" i="59"/>
  <c r="AQ271" i="59"/>
  <c r="AU234" i="59"/>
  <c r="AR97" i="59"/>
  <c r="AQ97" i="59"/>
  <c r="AU136" i="59"/>
  <c r="AQ348" i="59"/>
  <c r="AR348" i="59"/>
  <c r="AQ299" i="59"/>
  <c r="AR299" i="59"/>
  <c r="AU265" i="59"/>
  <c r="AU209" i="59"/>
  <c r="AU66" i="59"/>
  <c r="AQ346" i="59"/>
  <c r="AR346" i="59"/>
  <c r="AQ303" i="59"/>
  <c r="AQ264" i="59"/>
  <c r="AQ108" i="59"/>
  <c r="AQ228" i="59"/>
  <c r="AR289" i="59"/>
  <c r="AQ289" i="59"/>
  <c r="AU310" i="59"/>
  <c r="AU322" i="59"/>
  <c r="AR278" i="59"/>
  <c r="AQ278" i="59"/>
  <c r="AU352" i="59"/>
  <c r="AU300" i="59"/>
  <c r="AQ113" i="59"/>
  <c r="AR113" i="59"/>
  <c r="AQ116" i="59"/>
  <c r="AU316" i="59"/>
  <c r="AQ192" i="59"/>
  <c r="AQ285" i="59"/>
  <c r="AU171" i="59"/>
  <c r="AU85" i="59"/>
  <c r="AU116" i="59"/>
  <c r="AQ85" i="59"/>
  <c r="AQ347" i="59"/>
  <c r="AR347" i="59"/>
  <c r="AQ262" i="59"/>
  <c r="AU302" i="59"/>
  <c r="AU245" i="59"/>
  <c r="AU180" i="59"/>
  <c r="AR86" i="59"/>
  <c r="AQ86" i="59"/>
  <c r="AQ157" i="59"/>
  <c r="AU235" i="59"/>
  <c r="AQ179" i="59"/>
  <c r="AU256" i="59"/>
  <c r="AU193" i="59"/>
  <c r="AU74" i="59"/>
  <c r="AR349" i="59"/>
  <c r="AQ349" i="59"/>
  <c r="AU282" i="59"/>
  <c r="AR353" i="59"/>
  <c r="AQ353" i="59"/>
  <c r="AQ293" i="59"/>
  <c r="AR293" i="59"/>
  <c r="AU304" i="59"/>
  <c r="AU269" i="59"/>
  <c r="AQ281" i="59"/>
  <c r="AQ294" i="59"/>
  <c r="AU349" i="59"/>
  <c r="AQ150" i="59"/>
  <c r="AU270" i="59"/>
  <c r="AR300" i="59"/>
  <c r="AQ300" i="59"/>
  <c r="AU231" i="59"/>
  <c r="AQ210" i="59"/>
  <c r="AR210" i="59"/>
  <c r="AU278" i="59"/>
  <c r="AU289" i="59"/>
  <c r="AU344" i="59"/>
  <c r="AQ78" i="59"/>
  <c r="AR78" i="59"/>
  <c r="AU262" i="59"/>
  <c r="AU130" i="59"/>
  <c r="AU323" i="59"/>
  <c r="AU117" i="59"/>
  <c r="AQ245" i="59"/>
  <c r="AU334" i="59"/>
  <c r="AQ83" i="59"/>
  <c r="AU295" i="59"/>
  <c r="AU114" i="59"/>
  <c r="AQ217" i="59"/>
  <c r="AR217" i="59"/>
  <c r="AU108" i="59"/>
  <c r="AU285" i="59"/>
  <c r="AU77" i="59"/>
  <c r="AU346" i="59"/>
  <c r="AQ70" i="59"/>
  <c r="AU156" i="59"/>
  <c r="AQ239" i="59"/>
  <c r="AU274" i="59"/>
  <c r="AU286" i="59"/>
  <c r="AU182" i="59"/>
  <c r="AU174" i="59"/>
  <c r="AU82" i="59"/>
  <c r="AR115" i="59"/>
  <c r="AQ115" i="59"/>
  <c r="AR200" i="59"/>
  <c r="AQ200" i="59"/>
  <c r="AU253" i="59"/>
  <c r="AU348" i="59"/>
  <c r="AU73" i="59"/>
  <c r="AU160" i="59"/>
  <c r="AQ205" i="59"/>
  <c r="AR205" i="59"/>
  <c r="AU332" i="59"/>
  <c r="AU175" i="59"/>
  <c r="AQ188" i="59"/>
  <c r="AU232" i="59"/>
  <c r="AQ73" i="59"/>
  <c r="AR73" i="59"/>
  <c r="AU242" i="59"/>
  <c r="AQ268" i="59"/>
  <c r="AU137" i="59"/>
  <c r="AQ104" i="59"/>
  <c r="AR342" i="59"/>
  <c r="AQ342" i="59"/>
  <c r="AU303" i="59"/>
  <c r="AU163" i="59"/>
  <c r="AR75" i="59"/>
  <c r="AQ75" i="59"/>
  <c r="AU335" i="59"/>
  <c r="AQ153" i="59"/>
  <c r="AU189" i="59"/>
  <c r="AR176" i="59"/>
  <c r="AQ176" i="59"/>
  <c r="AR223" i="59"/>
  <c r="AQ223" i="59"/>
  <c r="AU99" i="59"/>
  <c r="AU206" i="59"/>
  <c r="AU251" i="59"/>
  <c r="AU281" i="59"/>
  <c r="AR352" i="59"/>
  <c r="AQ352" i="59"/>
  <c r="AQ65" i="59"/>
  <c r="AQ216" i="59"/>
  <c r="AU78" i="59"/>
  <c r="AQ194" i="59"/>
  <c r="AQ155" i="59"/>
  <c r="AU72" i="59"/>
  <c r="AQ130" i="59"/>
  <c r="AQ147" i="59"/>
  <c r="AU211" i="59"/>
  <c r="AU115" i="59"/>
  <c r="AR207" i="59"/>
  <c r="AQ207" i="59"/>
  <c r="AQ185" i="59"/>
  <c r="AQ136" i="59"/>
  <c r="AU275" i="59"/>
  <c r="AQ242" i="59"/>
  <c r="AR242" i="59"/>
  <c r="AQ302" i="59"/>
  <c r="AR302" i="59"/>
  <c r="AQ77" i="59"/>
  <c r="AR77" i="59"/>
  <c r="AQ90" i="59"/>
  <c r="AR90" i="59"/>
  <c r="AU246" i="59"/>
  <c r="AU261" i="59"/>
  <c r="AU293" i="59"/>
  <c r="AU326" i="59"/>
  <c r="AU228" i="59"/>
  <c r="AU112" i="59"/>
  <c r="AR274" i="59"/>
  <c r="AQ274" i="59"/>
  <c r="AU277" i="59"/>
  <c r="AU67" i="59"/>
  <c r="AQ224" i="59"/>
  <c r="AQ162" i="59"/>
  <c r="AR162" i="59"/>
  <c r="AU264" i="59"/>
  <c r="AQ232" i="59"/>
  <c r="AR232" i="59"/>
  <c r="AQ91" i="59"/>
  <c r="AQ105" i="59"/>
  <c r="AU218" i="59"/>
  <c r="AU185" i="59"/>
  <c r="AQ184" i="59"/>
  <c r="AU268" i="59"/>
  <c r="AQ320" i="59"/>
  <c r="AR320" i="59"/>
  <c r="AU178" i="59"/>
  <c r="AU320" i="59"/>
  <c r="AQ71" i="59"/>
  <c r="AR71" i="59"/>
  <c r="AQ84" i="59"/>
  <c r="AR84" i="59"/>
  <c r="AR230" i="59"/>
  <c r="AQ230" i="59"/>
  <c r="AU340" i="59"/>
  <c r="AQ284" i="59"/>
  <c r="AU75" i="59"/>
  <c r="AU215" i="59"/>
  <c r="AU217" i="59"/>
  <c r="AQ149" i="59"/>
  <c r="AQ313" i="59"/>
  <c r="AR313" i="59"/>
  <c r="AQ215" i="59"/>
  <c r="AR215" i="59"/>
  <c r="AU106" i="59"/>
  <c r="AU170" i="59"/>
  <c r="AU157" i="59"/>
  <c r="AR328" i="59"/>
  <c r="AQ328" i="59"/>
  <c r="AQ253" i="59"/>
  <c r="AU351" i="59"/>
  <c r="AR334" i="59"/>
  <c r="AQ334" i="59"/>
  <c r="AR152" i="59"/>
  <c r="AQ152" i="59"/>
  <c r="AR164" i="59"/>
  <c r="AQ164" i="59"/>
  <c r="AQ240" i="59"/>
  <c r="AR240" i="59"/>
  <c r="AU188" i="59"/>
  <c r="AR323" i="59"/>
  <c r="AQ323" i="59"/>
  <c r="AU279" i="59"/>
  <c r="AU141" i="59"/>
  <c r="AQ255" i="59"/>
  <c r="AR255" i="59"/>
  <c r="AR291" i="59"/>
  <c r="AQ291" i="59"/>
  <c r="AR182" i="59"/>
  <c r="AQ182" i="59"/>
  <c r="AQ139" i="59"/>
  <c r="AU315" i="59"/>
  <c r="AU240" i="59"/>
  <c r="AR338" i="59"/>
  <c r="AQ338" i="59"/>
  <c r="AU341" i="59"/>
  <c r="AU176" i="59"/>
  <c r="AQ189" i="59"/>
  <c r="AR325" i="59"/>
  <c r="AQ325" i="59"/>
  <c r="AR120" i="59"/>
  <c r="AQ120" i="59"/>
  <c r="AU119" i="59"/>
  <c r="AU226" i="59"/>
  <c r="AQ286" i="59"/>
  <c r="AU120" i="59"/>
  <c r="AU327" i="59"/>
  <c r="AQ145" i="59"/>
  <c r="AQ340" i="59"/>
  <c r="AR340" i="59"/>
  <c r="AQ135" i="59"/>
  <c r="AQ261" i="59"/>
  <c r="AU164" i="59"/>
  <c r="AQ134" i="59"/>
  <c r="AQ267" i="59"/>
  <c r="AR171" i="59"/>
  <c r="AQ171" i="59"/>
  <c r="AR117" i="59"/>
  <c r="AQ117" i="59"/>
  <c r="AU210" i="59"/>
  <c r="AQ260" i="59"/>
  <c r="AR260" i="59"/>
  <c r="AQ344" i="59"/>
  <c r="AR344" i="59"/>
  <c r="AQ282" i="59"/>
  <c r="AQ74" i="59"/>
  <c r="AQ270" i="59"/>
  <c r="AU230" i="59"/>
  <c r="AU198" i="59"/>
  <c r="AU96" i="59"/>
  <c r="AQ243" i="59"/>
  <c r="AU299" i="59"/>
  <c r="AQ306" i="59"/>
  <c r="AR306" i="59"/>
  <c r="AQ296" i="59"/>
  <c r="AQ317" i="59"/>
  <c r="AU93" i="59"/>
  <c r="AU135" i="59"/>
  <c r="AU205" i="59"/>
  <c r="AU252" i="59"/>
  <c r="AQ107" i="59"/>
  <c r="AU151" i="59"/>
  <c r="AR269" i="59"/>
  <c r="AQ269" i="59"/>
  <c r="AQ180" i="59"/>
  <c r="AQ160" i="59"/>
  <c r="AR160" i="59"/>
  <c r="AQ165" i="59"/>
  <c r="AU162" i="59"/>
  <c r="AQ151" i="59"/>
  <c r="AQ156" i="59"/>
  <c r="AQ112" i="59"/>
  <c r="AU250" i="59"/>
  <c r="AU97" i="59"/>
  <c r="AU291" i="59"/>
  <c r="AQ138" i="59"/>
  <c r="AU199" i="59"/>
  <c r="AU142" i="59"/>
  <c r="AU186" i="59"/>
  <c r="AU329" i="59"/>
  <c r="AU145" i="59"/>
  <c r="AR335" i="59"/>
  <c r="AQ335" i="59"/>
  <c r="AQ234" i="59"/>
  <c r="AU308" i="59"/>
  <c r="AQ301" i="59"/>
  <c r="AU84" i="59"/>
  <c r="AU65" i="59"/>
  <c r="AQ309" i="59"/>
  <c r="AR309" i="59"/>
  <c r="AU144" i="59"/>
  <c r="AQ133" i="59"/>
  <c r="AR226" i="59"/>
  <c r="AQ226" i="59"/>
  <c r="AR202" i="59"/>
  <c r="AQ202" i="59"/>
  <c r="AU255" i="59"/>
  <c r="AQ93" i="59"/>
  <c r="AQ199" i="59"/>
  <c r="AR199" i="59"/>
  <c r="AR238" i="59"/>
  <c r="AQ238" i="59"/>
  <c r="AU347" i="59"/>
  <c r="AQ168" i="59"/>
  <c r="AR168" i="59"/>
  <c r="AR174" i="59"/>
  <c r="AQ174" i="59"/>
  <c r="AU165" i="59"/>
  <c r="AQ214" i="59"/>
  <c r="AQ209" i="59"/>
  <c r="AR209" i="59"/>
  <c r="AU239" i="59"/>
  <c r="AU301" i="59"/>
  <c r="AU336" i="59"/>
  <c r="AU203" i="59"/>
  <c r="AU149" i="59"/>
  <c r="AU267" i="59"/>
  <c r="AU241" i="59"/>
  <c r="AQ312" i="59"/>
  <c r="AR312" i="59"/>
  <c r="AR326" i="59"/>
  <c r="AQ326" i="59"/>
  <c r="AR94" i="59"/>
  <c r="AQ94" i="59"/>
  <c r="AU133" i="59"/>
  <c r="AQ305" i="59"/>
  <c r="AU318" i="59"/>
  <c r="AQ66" i="59"/>
  <c r="AU86" i="59"/>
  <c r="AQ81" i="59"/>
  <c r="AU309" i="59"/>
  <c r="AU89" i="59"/>
  <c r="AU290" i="59"/>
  <c r="AQ161" i="59"/>
  <c r="AU296" i="59"/>
  <c r="AQ332" i="59"/>
  <c r="AU194" i="59"/>
  <c r="AU312" i="59"/>
  <c r="AQ336" i="59"/>
  <c r="AR336" i="59"/>
  <c r="AQ218" i="59"/>
  <c r="AU219" i="59"/>
  <c r="AU183" i="59"/>
  <c r="AU249" i="59"/>
  <c r="AQ235" i="59"/>
  <c r="AQ198" i="59"/>
  <c r="AR198" i="59"/>
  <c r="AR170" i="59"/>
  <c r="AQ170" i="59"/>
  <c r="AQ265" i="59"/>
  <c r="AU325" i="59"/>
  <c r="AQ191" i="59"/>
  <c r="AQ148" i="59"/>
  <c r="AU313" i="59"/>
  <c r="AU92" i="59"/>
  <c r="AU305" i="59"/>
  <c r="AR315" i="59"/>
  <c r="AQ315" i="59"/>
  <c r="AR144" i="59"/>
  <c r="AQ144" i="59"/>
  <c r="AQ252" i="59"/>
  <c r="AQ241" i="59"/>
  <c r="AQ131" i="59"/>
  <c r="AQ256" i="59"/>
  <c r="AR256" i="59"/>
  <c r="AU276" i="59"/>
  <c r="AQ92" i="59"/>
  <c r="AR92" i="59"/>
  <c r="AU91" i="59"/>
  <c r="AR201" i="59"/>
  <c r="AQ201" i="59"/>
  <c r="AQ100" i="59"/>
  <c r="AU184" i="59"/>
  <c r="AU146" i="59"/>
  <c r="AR244" i="59"/>
  <c r="AQ244" i="59"/>
  <c r="AQ206" i="59"/>
  <c r="AR206" i="59"/>
  <c r="AQ141" i="59"/>
  <c r="AU306" i="59"/>
  <c r="AR290" i="59"/>
  <c r="AQ290" i="59"/>
  <c r="AU155" i="59"/>
  <c r="AU223" i="59"/>
  <c r="AQ227" i="59"/>
  <c r="AU121" i="59"/>
  <c r="AR121" i="59"/>
  <c r="AQ121" i="59"/>
  <c r="AU321" i="59"/>
  <c r="AQ331" i="59"/>
  <c r="AQ295" i="59"/>
  <c r="AR295" i="59"/>
  <c r="AU138" i="59"/>
  <c r="AU201" i="59"/>
  <c r="AU153" i="59"/>
  <c r="AU132" i="59"/>
  <c r="AQ167" i="59"/>
  <c r="AR167" i="59"/>
  <c r="AQ178" i="59"/>
  <c r="AU150" i="59"/>
  <c r="AU131" i="59"/>
  <c r="AU227" i="59"/>
  <c r="AQ132" i="59"/>
  <c r="AQ263" i="59"/>
  <c r="AR263" i="59"/>
  <c r="AU247" i="59"/>
  <c r="AQ119" i="59"/>
  <c r="AR119" i="59"/>
  <c r="AQ186" i="59"/>
  <c r="AU202" i="59"/>
  <c r="AU214" i="59"/>
  <c r="AU168" i="59"/>
  <c r="AU260" i="59"/>
  <c r="AU152" i="59"/>
  <c r="AU113" i="59"/>
  <c r="AR329" i="59"/>
  <c r="AQ329" i="59"/>
  <c r="AQ279" i="59"/>
  <c r="AR322" i="59"/>
  <c r="AQ322" i="59"/>
  <c r="AU83" i="59"/>
  <c r="AU192" i="59"/>
  <c r="AU342" i="59"/>
  <c r="AU70" i="59"/>
  <c r="AR231" i="59"/>
  <c r="AQ231" i="59"/>
  <c r="AQ137" i="59"/>
  <c r="AU243" i="59"/>
  <c r="AQ96" i="59"/>
  <c r="AR96" i="59"/>
  <c r="AQ321" i="59"/>
  <c r="AR321" i="59"/>
  <c r="AQ316" i="59"/>
  <c r="AU167" i="59"/>
  <c r="AQ219" i="59"/>
  <c r="AR219" i="59"/>
  <c r="AQ140" i="59"/>
  <c r="AU107" i="59"/>
  <c r="AU140" i="59"/>
  <c r="AQ308" i="59"/>
  <c r="AR308" i="59"/>
  <c r="AU294" i="59"/>
  <c r="AU266" i="59"/>
  <c r="AU179" i="59"/>
  <c r="AQ276" i="59"/>
  <c r="AR276" i="59"/>
  <c r="AR175" i="59"/>
  <c r="AQ175" i="59"/>
  <c r="AQ251" i="59"/>
  <c r="AU81" i="59"/>
  <c r="AU331" i="59"/>
  <c r="AU109" i="59"/>
  <c r="AQ225" i="59"/>
  <c r="AU147" i="59"/>
  <c r="AU263" i="59"/>
  <c r="AQ277" i="59"/>
  <c r="AQ163" i="59"/>
  <c r="AQ146" i="59"/>
  <c r="AU244" i="59"/>
  <c r="AU225" i="59"/>
  <c r="AQ275" i="59"/>
  <c r="AU71" i="59"/>
  <c r="AR172" i="59"/>
  <c r="AQ172" i="59"/>
  <c r="AQ67" i="59"/>
  <c r="AR327" i="59"/>
  <c r="AQ327" i="59"/>
  <c r="AU51" i="59"/>
  <c r="AQ53" i="59"/>
  <c r="AR53" i="59"/>
  <c r="AR56" i="59"/>
  <c r="AQ56" i="59"/>
  <c r="AU54" i="59"/>
  <c r="AQ54" i="59"/>
  <c r="AQ60" i="59"/>
  <c r="AR62" i="59"/>
  <c r="AQ62" i="59"/>
  <c r="AU56" i="59"/>
  <c r="AQ51" i="59"/>
  <c r="AU50" i="59"/>
  <c r="AU48" i="59"/>
  <c r="AU53" i="59"/>
  <c r="AQ48" i="59"/>
  <c r="AQ50" i="59"/>
  <c r="AR50" i="59"/>
  <c r="AR59" i="59"/>
  <c r="AQ59" i="59"/>
  <c r="AU57" i="59"/>
  <c r="AU59" i="59"/>
  <c r="AU47" i="59"/>
  <c r="AU60" i="59"/>
  <c r="AQ63" i="59"/>
  <c r="AU62" i="59"/>
  <c r="AQ47" i="59"/>
  <c r="AR47" i="59"/>
  <c r="AQ57" i="59"/>
  <c r="AU63" i="59"/>
  <c r="AU58" i="59"/>
  <c r="AU61" i="59"/>
  <c r="AQ58" i="59"/>
  <c r="AU55" i="59"/>
  <c r="AQ49" i="59"/>
  <c r="AU46" i="59"/>
  <c r="AQ52" i="59"/>
  <c r="AQ61" i="59"/>
  <c r="AQ55" i="59"/>
  <c r="AU52" i="59"/>
  <c r="AU49" i="59"/>
  <c r="AQ46" i="59"/>
  <c r="AQ5" i="59"/>
  <c r="AR5" i="59"/>
  <c r="AL5" i="59"/>
  <c r="AU956" i="59"/>
  <c r="E982" i="59"/>
  <c r="C982" i="59"/>
  <c r="H982" i="59"/>
  <c r="D982" i="59"/>
  <c r="H79" i="59"/>
  <c r="E79" i="59"/>
  <c r="D79" i="59"/>
  <c r="C79" i="59"/>
  <c r="AU856" i="59"/>
  <c r="E556" i="59"/>
  <c r="D556" i="59"/>
  <c r="C556" i="59"/>
  <c r="H556" i="59"/>
  <c r="H684" i="59"/>
  <c r="E684" i="59"/>
  <c r="D684" i="59"/>
  <c r="C684" i="59"/>
  <c r="AU989" i="59"/>
  <c r="E973" i="59"/>
  <c r="C973" i="59"/>
  <c r="H973" i="59"/>
  <c r="D973" i="59"/>
  <c r="AL770" i="59"/>
  <c r="AQ770" i="59"/>
  <c r="AQ672" i="59"/>
  <c r="AL672" i="59"/>
  <c r="AR672" i="59"/>
  <c r="AU101" i="59"/>
  <c r="AL891" i="59"/>
  <c r="AQ891" i="59"/>
  <c r="AU667" i="59"/>
  <c r="H233" i="59"/>
  <c r="E233" i="59"/>
  <c r="D233" i="59"/>
  <c r="C233" i="59"/>
  <c r="AU968" i="59"/>
  <c r="AU700" i="59"/>
  <c r="AU947" i="59"/>
  <c r="AU633" i="59"/>
  <c r="AQ436" i="59"/>
  <c r="AL436" i="59"/>
  <c r="AQ343" i="59"/>
  <c r="AR343" i="59"/>
  <c r="AL343" i="59"/>
  <c r="AU10" i="59"/>
  <c r="H813" i="59"/>
  <c r="E813" i="59"/>
  <c r="D813" i="59"/>
  <c r="C813" i="59"/>
  <c r="H95" i="59"/>
  <c r="E95" i="59"/>
  <c r="C95" i="59"/>
  <c r="D95" i="59"/>
  <c r="E743" i="59"/>
  <c r="D743" i="59"/>
  <c r="H743" i="59"/>
  <c r="C743" i="59"/>
  <c r="AU95" i="59"/>
  <c r="AU473" i="59"/>
  <c r="AR337" i="59"/>
  <c r="AQ337" i="59"/>
  <c r="AL337" i="59"/>
  <c r="AL173" i="59"/>
  <c r="C287" i="59"/>
  <c r="H287" i="59"/>
  <c r="E287" i="59"/>
  <c r="D287" i="59"/>
  <c r="E615" i="59"/>
  <c r="D615" i="59"/>
  <c r="C615" i="59"/>
  <c r="H615" i="59"/>
  <c r="AQ970" i="59"/>
  <c r="AL970" i="59"/>
  <c r="H314" i="59"/>
  <c r="E314" i="59"/>
  <c r="D314" i="59"/>
  <c r="C314" i="59"/>
  <c r="E968" i="59"/>
  <c r="C968" i="59"/>
  <c r="H968" i="59"/>
  <c r="D968" i="59"/>
  <c r="AR849" i="59"/>
  <c r="AQ849" i="59"/>
  <c r="AL849" i="59"/>
  <c r="H103" i="59"/>
  <c r="E103" i="59"/>
  <c r="C103" i="59"/>
  <c r="D103" i="59"/>
  <c r="AQ785" i="59"/>
  <c r="AL785" i="59"/>
  <c r="AR785" i="59"/>
  <c r="AU173" i="59"/>
  <c r="AU280" i="59"/>
  <c r="AL350" i="59"/>
  <c r="AR350" i="59"/>
  <c r="AQ350" i="59"/>
  <c r="AU434" i="59"/>
  <c r="AU613" i="59"/>
  <c r="AQ649" i="59"/>
  <c r="AL649" i="59"/>
  <c r="E756" i="59"/>
  <c r="C756" i="59"/>
  <c r="H756" i="59"/>
  <c r="D756" i="59"/>
  <c r="E929" i="59"/>
  <c r="C929" i="59"/>
  <c r="H929" i="59"/>
  <c r="D929" i="59"/>
  <c r="AQ124" i="59"/>
  <c r="AL124" i="59"/>
  <c r="E404" i="59"/>
  <c r="H404" i="59"/>
  <c r="D404" i="59"/>
  <c r="C404" i="59"/>
  <c r="D118" i="59"/>
  <c r="C118" i="59"/>
  <c r="H118" i="59"/>
  <c r="E118" i="59"/>
  <c r="C358" i="59"/>
  <c r="E358" i="59"/>
  <c r="H358" i="59"/>
  <c r="D358" i="59"/>
  <c r="AU838" i="59"/>
  <c r="AL311" i="59"/>
  <c r="AR311" i="59"/>
  <c r="AQ311" i="59"/>
  <c r="AU672" i="59"/>
  <c r="AQ716" i="59"/>
  <c r="AL716" i="59"/>
  <c r="E920" i="59"/>
  <c r="C920" i="59"/>
  <c r="H920" i="59"/>
  <c r="D920" i="59"/>
  <c r="AL516" i="59"/>
  <c r="AQ516" i="59"/>
  <c r="AL358" i="59"/>
  <c r="AQ358" i="59"/>
  <c r="AL79" i="59"/>
  <c r="AQ79" i="59"/>
  <c r="E345" i="59"/>
  <c r="H345" i="59"/>
  <c r="D345" i="59"/>
  <c r="C345" i="59"/>
  <c r="AQ298" i="59"/>
  <c r="AL298" i="59"/>
  <c r="AR298" i="59"/>
  <c r="E988" i="59"/>
  <c r="D988" i="59"/>
  <c r="C988" i="59"/>
  <c r="H988" i="59"/>
  <c r="AL229" i="59"/>
  <c r="AR229" i="59"/>
  <c r="AQ229" i="59"/>
  <c r="AL288" i="59"/>
  <c r="AQ288" i="59"/>
  <c r="AU472" i="59"/>
  <c r="AL661" i="59"/>
  <c r="AR661" i="59"/>
  <c r="AQ661" i="59"/>
  <c r="E936" i="59"/>
  <c r="D936" i="59"/>
  <c r="C936" i="59"/>
  <c r="H936" i="59"/>
  <c r="AQ984" i="59"/>
  <c r="AL984" i="59"/>
  <c r="C366" i="59"/>
  <c r="H366" i="59"/>
  <c r="E366" i="59"/>
  <c r="D366" i="59"/>
  <c r="AU195" i="59"/>
  <c r="E280" i="59"/>
  <c r="D280" i="59"/>
  <c r="H280" i="59"/>
  <c r="C280" i="59"/>
  <c r="E908" i="59"/>
  <c r="H908" i="59"/>
  <c r="C908" i="59"/>
  <c r="D908" i="59"/>
  <c r="H248" i="59"/>
  <c r="C248" i="59"/>
  <c r="E248" i="59"/>
  <c r="D248" i="59"/>
  <c r="AU394" i="59"/>
  <c r="E984" i="59"/>
  <c r="H984" i="59"/>
  <c r="C984" i="59"/>
  <c r="D984" i="59"/>
  <c r="D212" i="59"/>
  <c r="H212" i="59"/>
  <c r="E212" i="59"/>
  <c r="C212" i="59"/>
  <c r="AL190" i="59"/>
  <c r="AQ190" i="59"/>
  <c r="H472" i="59"/>
  <c r="E472" i="59"/>
  <c r="D472" i="59"/>
  <c r="C472" i="59"/>
  <c r="AQ401" i="59"/>
  <c r="AL401" i="59"/>
  <c r="AU576" i="59"/>
  <c r="AU680" i="59"/>
  <c r="AU894" i="59"/>
  <c r="AU913" i="59"/>
  <c r="AL987" i="59"/>
  <c r="AQ987" i="59"/>
  <c r="AR987" i="59"/>
  <c r="AQ471" i="59"/>
  <c r="AL471" i="59"/>
  <c r="H726" i="59"/>
  <c r="E726" i="59"/>
  <c r="C726" i="59"/>
  <c r="D726" i="59"/>
  <c r="AU514" i="59"/>
  <c r="AU110" i="59"/>
  <c r="AQ933" i="59"/>
  <c r="AL933" i="59"/>
  <c r="AL364" i="59"/>
  <c r="E111" i="59"/>
  <c r="H111" i="59"/>
  <c r="D111" i="59"/>
  <c r="C111" i="59"/>
  <c r="AU9" i="59"/>
  <c r="AU181" i="59"/>
  <c r="AU760" i="59"/>
  <c r="AR790" i="59"/>
  <c r="AQ790" i="59"/>
  <c r="AL790" i="59"/>
  <c r="E993" i="59"/>
  <c r="C993" i="59"/>
  <c r="D993" i="59"/>
  <c r="H993" i="59"/>
  <c r="E367" i="59"/>
  <c r="H367" i="59"/>
  <c r="C367" i="59"/>
  <c r="D367" i="59"/>
  <c r="AL197" i="59"/>
  <c r="AQ197" i="59"/>
  <c r="AR197" i="59"/>
  <c r="E337" i="59"/>
  <c r="H337" i="59"/>
  <c r="C337" i="59"/>
  <c r="D337" i="59"/>
  <c r="AU942" i="59"/>
  <c r="E661" i="59"/>
  <c r="D661" i="59"/>
  <c r="H661" i="59"/>
  <c r="C661" i="59"/>
  <c r="AU258" i="59"/>
  <c r="AQ560" i="59"/>
  <c r="AL560" i="59"/>
  <c r="AR560" i="59"/>
  <c r="AU190" i="59"/>
  <c r="AU401" i="59"/>
  <c r="AU444" i="59"/>
  <c r="AL686" i="59"/>
  <c r="AQ686" i="59"/>
  <c r="AL806" i="59"/>
  <c r="AU948" i="59"/>
  <c r="C964" i="59"/>
  <c r="E964" i="59"/>
  <c r="D964" i="59"/>
  <c r="H964" i="59"/>
  <c r="AU520" i="59"/>
  <c r="H945" i="59"/>
  <c r="E945" i="59"/>
  <c r="C945" i="59"/>
  <c r="D945" i="59"/>
  <c r="AL769" i="59"/>
  <c r="AQ769" i="59"/>
  <c r="AR769" i="59"/>
  <c r="AQ394" i="59"/>
  <c r="AL394" i="59"/>
  <c r="AL45" i="59"/>
  <c r="AQ45" i="59"/>
  <c r="AU118" i="59"/>
  <c r="AU222" i="59"/>
  <c r="AU356" i="59"/>
  <c r="AQ339" i="59"/>
  <c r="AL339" i="59"/>
  <c r="AR339" i="59"/>
  <c r="AU439" i="59"/>
  <c r="AR684" i="59"/>
  <c r="AQ684" i="59"/>
  <c r="AL684" i="59"/>
  <c r="AR768" i="59"/>
  <c r="AQ768" i="59"/>
  <c r="AL768" i="59"/>
  <c r="AU845" i="59"/>
  <c r="AL911" i="59"/>
  <c r="AQ911" i="59"/>
  <c r="AU915" i="59"/>
  <c r="D950" i="59"/>
  <c r="C950" i="59"/>
  <c r="H950" i="59"/>
  <c r="E950" i="59"/>
  <c r="AU976" i="59"/>
  <c r="H760" i="59"/>
  <c r="E760" i="59"/>
  <c r="C760" i="59"/>
  <c r="D760" i="59"/>
  <c r="AL95" i="59"/>
  <c r="H960" i="59"/>
  <c r="E960" i="59"/>
  <c r="C960" i="59"/>
  <c r="D960" i="59"/>
  <c r="AL102" i="59"/>
  <c r="AQ102" i="59"/>
  <c r="AU471" i="59"/>
  <c r="AU127" i="59"/>
  <c r="E992" i="59"/>
  <c r="D992" i="59"/>
  <c r="H992" i="59"/>
  <c r="C992" i="59"/>
  <c r="AL575" i="59"/>
  <c r="AQ575" i="59"/>
  <c r="AU979" i="59"/>
  <c r="AU903" i="59"/>
  <c r="AL515" i="59"/>
  <c r="AQ515" i="59"/>
  <c r="AU748" i="59"/>
  <c r="AL959" i="59"/>
  <c r="AR959" i="59"/>
  <c r="AQ959" i="59"/>
  <c r="AQ545" i="59"/>
  <c r="AL545" i="59"/>
  <c r="H204" i="59"/>
  <c r="E204" i="59"/>
  <c r="D204" i="59"/>
  <c r="C204" i="59"/>
  <c r="E997" i="59"/>
  <c r="H997" i="59"/>
  <c r="D997" i="59"/>
  <c r="C997" i="59"/>
  <c r="AL916" i="59"/>
  <c r="AU914" i="59"/>
  <c r="E258" i="59"/>
  <c r="H258" i="59"/>
  <c r="D258" i="59"/>
  <c r="C258" i="59"/>
  <c r="H941" i="59"/>
  <c r="E941" i="59"/>
  <c r="D941" i="59"/>
  <c r="C941" i="59"/>
  <c r="AL154" i="59"/>
  <c r="AQ154" i="59"/>
  <c r="H830" i="59"/>
  <c r="E830" i="59"/>
  <c r="D830" i="59"/>
  <c r="C830" i="59"/>
  <c r="AL628" i="59"/>
  <c r="AQ628" i="59"/>
  <c r="AU969" i="59"/>
  <c r="AQ743" i="59"/>
  <c r="AL743" i="59"/>
  <c r="AQ127" i="59"/>
  <c r="AL127" i="59"/>
  <c r="AU367" i="59"/>
  <c r="AU23" i="59"/>
  <c r="E763" i="59"/>
  <c r="D763" i="59"/>
  <c r="C763" i="59"/>
  <c r="H763" i="59"/>
  <c r="AU862" i="59"/>
  <c r="E440" i="59"/>
  <c r="D440" i="59"/>
  <c r="H440" i="59"/>
  <c r="C440" i="59"/>
  <c r="H805" i="59"/>
  <c r="E805" i="59"/>
  <c r="C805" i="59"/>
  <c r="D805" i="59"/>
  <c r="E923" i="59"/>
  <c r="D923" i="59"/>
  <c r="C923" i="59"/>
  <c r="H923" i="59"/>
  <c r="AQ954" i="59"/>
  <c r="AL954" i="59"/>
  <c r="C935" i="59"/>
  <c r="E935" i="59"/>
  <c r="D935" i="59"/>
  <c r="H935" i="59"/>
  <c r="E977" i="59"/>
  <c r="C977" i="59"/>
  <c r="H977" i="59"/>
  <c r="D977" i="59"/>
  <c r="E642" i="59"/>
  <c r="H642" i="59"/>
  <c r="C642" i="59"/>
  <c r="D642" i="59"/>
  <c r="H563" i="59"/>
  <c r="E563" i="59"/>
  <c r="C563" i="59"/>
  <c r="D563" i="59"/>
  <c r="AQ584" i="59"/>
  <c r="AL584" i="59"/>
  <c r="AR584" i="59"/>
  <c r="AU734" i="59"/>
  <c r="AR514" i="59"/>
  <c r="AQ514" i="59"/>
  <c r="AL514" i="59"/>
  <c r="AL126" i="59"/>
  <c r="AQ126" i="59"/>
  <c r="E593" i="59"/>
  <c r="C593" i="59"/>
  <c r="H593" i="59"/>
  <c r="D593" i="59"/>
  <c r="D125" i="59"/>
  <c r="C125" i="59"/>
  <c r="H125" i="59"/>
  <c r="E125" i="59"/>
  <c r="AU272" i="59"/>
  <c r="E517" i="59"/>
  <c r="D517" i="59"/>
  <c r="C517" i="59"/>
  <c r="H517" i="59"/>
  <c r="AU716" i="59"/>
  <c r="AL793" i="59"/>
  <c r="AQ793" i="59"/>
  <c r="AL856" i="59"/>
  <c r="AQ856" i="59"/>
  <c r="AQ920" i="59"/>
  <c r="AL920" i="59"/>
  <c r="AL944" i="59"/>
  <c r="D958" i="59"/>
  <c r="C958" i="59"/>
  <c r="H958" i="59"/>
  <c r="E958" i="59"/>
  <c r="AU437" i="59"/>
  <c r="AQ98" i="59"/>
  <c r="AL98" i="59"/>
  <c r="E297" i="59"/>
  <c r="D297" i="59"/>
  <c r="C297" i="59"/>
  <c r="H297" i="59"/>
  <c r="AR181" i="59"/>
  <c r="AQ181" i="59"/>
  <c r="AL181" i="59"/>
  <c r="AL926" i="59"/>
  <c r="AR926" i="59"/>
  <c r="AQ926" i="59"/>
  <c r="AQ361" i="59"/>
  <c r="AL361" i="59"/>
  <c r="AU887" i="59"/>
  <c r="AU556" i="59"/>
  <c r="H273" i="59"/>
  <c r="E273" i="59"/>
  <c r="C273" i="59"/>
  <c r="D273" i="59"/>
  <c r="AU103" i="59"/>
  <c r="AL873" i="59"/>
  <c r="AQ873" i="59"/>
  <c r="E259" i="59"/>
  <c r="H259" i="59"/>
  <c r="D259" i="59"/>
  <c r="C259" i="59"/>
  <c r="AU158" i="59"/>
  <c r="D254" i="59"/>
  <c r="C254" i="59"/>
  <c r="H254" i="59"/>
  <c r="E254" i="59"/>
  <c r="AU400" i="59"/>
  <c r="AU572" i="59"/>
  <c r="E658" i="59"/>
  <c r="C658" i="59"/>
  <c r="H658" i="59"/>
  <c r="D658" i="59"/>
  <c r="AR749" i="59"/>
  <c r="AQ749" i="59"/>
  <c r="AL749" i="59"/>
  <c r="AU804" i="59"/>
  <c r="AL929" i="59"/>
  <c r="AR929" i="59"/>
  <c r="AQ929" i="59"/>
  <c r="AR976" i="59"/>
  <c r="AQ976" i="59"/>
  <c r="AL976" i="59"/>
  <c r="AL367" i="59"/>
  <c r="AQ367" i="59"/>
  <c r="AQ68" i="59"/>
  <c r="AL68" i="59"/>
  <c r="C912" i="59"/>
  <c r="E912" i="59"/>
  <c r="H912" i="59"/>
  <c r="D912" i="59"/>
  <c r="E357" i="59"/>
  <c r="H357" i="59"/>
  <c r="D357" i="59"/>
  <c r="C357" i="59"/>
  <c r="E18" i="59"/>
  <c r="H18" i="59"/>
  <c r="D18" i="59"/>
  <c r="C18" i="59"/>
  <c r="H606" i="59"/>
  <c r="E606" i="59"/>
  <c r="C606" i="59"/>
  <c r="D606" i="59"/>
  <c r="H257" i="59"/>
  <c r="E257" i="59"/>
  <c r="C257" i="59"/>
  <c r="D257" i="59"/>
  <c r="E324" i="59"/>
  <c r="D324" i="59"/>
  <c r="C324" i="59"/>
  <c r="H324" i="59"/>
  <c r="AU361" i="59"/>
  <c r="AU516" i="59"/>
  <c r="H873" i="59"/>
  <c r="E873" i="59"/>
  <c r="D873" i="59"/>
  <c r="C873" i="59"/>
  <c r="AU941" i="59"/>
  <c r="AL975" i="59"/>
  <c r="AQ975" i="59"/>
  <c r="AL345" i="59"/>
  <c r="AR345" i="59"/>
  <c r="AQ345" i="59"/>
  <c r="AU895" i="59"/>
  <c r="AQ520" i="59"/>
  <c r="AL520" i="59"/>
  <c r="H220" i="59"/>
  <c r="E220" i="59"/>
  <c r="D220" i="59"/>
  <c r="C220" i="59"/>
  <c r="AU920" i="59"/>
  <c r="AU35" i="59"/>
  <c r="H80" i="59"/>
  <c r="E80" i="59"/>
  <c r="D80" i="59"/>
  <c r="C80" i="59"/>
  <c r="AU478" i="59"/>
  <c r="H598" i="59"/>
  <c r="E598" i="59"/>
  <c r="C598" i="59"/>
  <c r="D598" i="59"/>
  <c r="AU792" i="59"/>
  <c r="AR950" i="59"/>
  <c r="AQ950" i="59"/>
  <c r="AL950" i="59"/>
  <c r="AU998" i="59"/>
  <c r="AU649" i="59"/>
  <c r="AL442" i="59"/>
  <c r="AQ442" i="59"/>
  <c r="H686" i="59"/>
  <c r="E686" i="59"/>
  <c r="C686" i="59"/>
  <c r="D686" i="59"/>
  <c r="AR236" i="59"/>
  <c r="AQ236" i="59"/>
  <c r="AL236" i="59"/>
  <c r="AU973" i="59"/>
  <c r="H546" i="59"/>
  <c r="E546" i="59"/>
  <c r="C546" i="59"/>
  <c r="D546" i="59"/>
  <c r="AL273" i="59"/>
  <c r="AQ273" i="59"/>
  <c r="AU358" i="59"/>
  <c r="AR948" i="59"/>
  <c r="AL948" i="59"/>
  <c r="AQ948" i="59"/>
  <c r="H994" i="59"/>
  <c r="E994" i="59"/>
  <c r="D994" i="59"/>
  <c r="C994" i="59"/>
  <c r="AL912" i="59"/>
  <c r="AR912" i="59"/>
  <c r="AQ912" i="59"/>
  <c r="AQ658" i="59"/>
  <c r="AL658" i="59"/>
  <c r="AR658" i="59"/>
  <c r="AL248" i="59"/>
  <c r="AQ248" i="59"/>
  <c r="AR208" i="59"/>
  <c r="AQ208" i="59"/>
  <c r="AL208" i="59"/>
  <c r="H221" i="59"/>
  <c r="E221" i="59"/>
  <c r="D221" i="59"/>
  <c r="C221" i="59"/>
  <c r="AL400" i="59"/>
  <c r="AQ400" i="59"/>
  <c r="AL634" i="59"/>
  <c r="AQ634" i="59"/>
  <c r="E553" i="59"/>
  <c r="C553" i="59"/>
  <c r="H553" i="59"/>
  <c r="D553" i="59"/>
  <c r="AU950" i="59"/>
  <c r="E969" i="59"/>
  <c r="D969" i="59"/>
  <c r="C969" i="59"/>
  <c r="H969" i="59"/>
  <c r="AU945" i="59"/>
  <c r="AL76" i="59"/>
  <c r="AR76" i="59"/>
  <c r="AQ76" i="59"/>
  <c r="AQ479" i="59"/>
  <c r="AL479" i="59"/>
  <c r="AU111" i="59"/>
  <c r="AU14" i="59"/>
  <c r="AU288" i="59"/>
  <c r="AU129" i="59"/>
  <c r="AL700" i="59"/>
  <c r="AQ700" i="59"/>
  <c r="AQ748" i="59"/>
  <c r="AL748" i="59"/>
  <c r="AU154" i="59"/>
  <c r="AU977" i="59"/>
  <c r="H995" i="59"/>
  <c r="E995" i="59"/>
  <c r="C995" i="59"/>
  <c r="D995" i="59"/>
  <c r="H633" i="59"/>
  <c r="E633" i="59"/>
  <c r="D633" i="59"/>
  <c r="C633" i="59"/>
  <c r="AQ615" i="59"/>
  <c r="AL615" i="59"/>
  <c r="AU995" i="59"/>
  <c r="AQ639" i="59"/>
  <c r="AL639" i="59"/>
  <c r="AU479" i="59"/>
  <c r="H959" i="59"/>
  <c r="E959" i="59"/>
  <c r="C959" i="59"/>
  <c r="D959" i="59"/>
  <c r="H516" i="59"/>
  <c r="E516" i="59"/>
  <c r="C516" i="59"/>
  <c r="D516" i="59"/>
  <c r="AL937" i="59"/>
  <c r="E350" i="59"/>
  <c r="C350" i="59"/>
  <c r="H350" i="59"/>
  <c r="D350" i="59"/>
  <c r="AU64" i="59"/>
  <c r="E438" i="59"/>
  <c r="C438" i="59"/>
  <c r="H438" i="59"/>
  <c r="D438" i="59"/>
  <c r="AU938" i="59"/>
  <c r="AL715" i="59"/>
  <c r="E298" i="59"/>
  <c r="H298" i="59"/>
  <c r="D298" i="59"/>
  <c r="C298" i="59"/>
  <c r="E43" i="59"/>
  <c r="D43" i="59"/>
  <c r="C43" i="59"/>
  <c r="H43" i="59"/>
  <c r="AU474" i="59"/>
  <c r="AU648" i="59"/>
  <c r="AQ915" i="59"/>
  <c r="AL915" i="59"/>
  <c r="AR915" i="59"/>
  <c r="AU946" i="59"/>
  <c r="AL977" i="59"/>
  <c r="AL563" i="59"/>
  <c r="AQ563" i="59"/>
  <c r="AQ813" i="59"/>
  <c r="AL813" i="59"/>
  <c r="AU208" i="59"/>
  <c r="AU783" i="59"/>
  <c r="AQ945" i="59"/>
  <c r="AL945" i="59"/>
  <c r="AU715" i="59"/>
  <c r="AL213" i="59"/>
  <c r="AR213" i="59"/>
  <c r="AQ213" i="59"/>
  <c r="AU912" i="59"/>
  <c r="H727" i="59"/>
  <c r="E727" i="59"/>
  <c r="C727" i="59"/>
  <c r="D727" i="59"/>
  <c r="AU44" i="59"/>
  <c r="AU366" i="59"/>
  <c r="H734" i="59"/>
  <c r="E734" i="59"/>
  <c r="D734" i="59"/>
  <c r="C734" i="59"/>
  <c r="H748" i="59"/>
  <c r="E748" i="59"/>
  <c r="D748" i="59"/>
  <c r="C748" i="59"/>
  <c r="AU896" i="59"/>
  <c r="AQ867" i="59"/>
  <c r="AL867" i="59"/>
  <c r="AR867" i="59"/>
  <c r="AU904" i="59"/>
  <c r="AL362" i="59"/>
  <c r="AQ362" i="59"/>
  <c r="E343" i="59"/>
  <c r="C343" i="59"/>
  <c r="H343" i="59"/>
  <c r="D343" i="59"/>
  <c r="AU614" i="59"/>
  <c r="AU248" i="59"/>
  <c r="AU128" i="59"/>
  <c r="AU233" i="59"/>
  <c r="H476" i="59"/>
  <c r="E476" i="59"/>
  <c r="D476" i="59"/>
  <c r="C476" i="59"/>
  <c r="AQ474" i="59"/>
  <c r="AL474" i="59"/>
  <c r="H576" i="59"/>
  <c r="E576" i="59"/>
  <c r="C576" i="59"/>
  <c r="D576" i="59"/>
  <c r="AU713" i="59"/>
  <c r="E723" i="59"/>
  <c r="D723" i="59"/>
  <c r="C723" i="59"/>
  <c r="H723" i="59"/>
  <c r="AL973" i="59"/>
  <c r="AR973" i="59"/>
  <c r="AQ973" i="59"/>
  <c r="AL995" i="59"/>
  <c r="AR995" i="59"/>
  <c r="AQ995" i="59"/>
  <c r="E69" i="59"/>
  <c r="H69" i="59"/>
  <c r="D69" i="59"/>
  <c r="C69" i="59"/>
  <c r="AU330" i="59"/>
  <c r="AQ927" i="59"/>
  <c r="AL927" i="59"/>
  <c r="AR927" i="59"/>
  <c r="H700" i="59"/>
  <c r="E700" i="59"/>
  <c r="C700" i="59"/>
  <c r="D700" i="59"/>
  <c r="AU403" i="59"/>
  <c r="AU324" i="59"/>
  <c r="AR736" i="59"/>
  <c r="AL736" i="59"/>
  <c r="AQ736" i="59"/>
  <c r="C817" i="59"/>
  <c r="H817" i="59"/>
  <c r="E817" i="59"/>
  <c r="D817" i="59"/>
  <c r="AL904" i="59"/>
  <c r="AQ904" i="59"/>
  <c r="AR930" i="59"/>
  <c r="AL930" i="59"/>
  <c r="AQ930" i="59"/>
  <c r="AU661" i="59"/>
  <c r="E360" i="59"/>
  <c r="H360" i="59"/>
  <c r="D360" i="59"/>
  <c r="C360" i="59"/>
  <c r="AL118" i="59"/>
  <c r="AR118" i="59"/>
  <c r="AQ118" i="59"/>
  <c r="AU908" i="59"/>
  <c r="AU363" i="59"/>
  <c r="AL673" i="59"/>
  <c r="AQ673" i="59"/>
  <c r="C768" i="59"/>
  <c r="H768" i="59"/>
  <c r="E768" i="59"/>
  <c r="D768" i="59"/>
  <c r="D990" i="59"/>
  <c r="H990" i="59"/>
  <c r="E990" i="59"/>
  <c r="C990" i="59"/>
  <c r="E470" i="59"/>
  <c r="H470" i="59"/>
  <c r="C470" i="59"/>
  <c r="D470" i="59"/>
  <c r="AL932" i="59"/>
  <c r="AQ932" i="59"/>
  <c r="AU364" i="59"/>
  <c r="AL862" i="59"/>
  <c r="AU686" i="59"/>
  <c r="E364" i="59"/>
  <c r="H364" i="59"/>
  <c r="D364" i="59"/>
  <c r="C364" i="59"/>
  <c r="E283" i="59"/>
  <c r="H283" i="59"/>
  <c r="D283" i="59"/>
  <c r="C283" i="59"/>
  <c r="AU441" i="59"/>
  <c r="AL330" i="59"/>
  <c r="AR330" i="59"/>
  <c r="AQ330" i="59"/>
  <c r="AU362" i="59"/>
  <c r="AU736" i="59"/>
  <c r="AU876" i="59"/>
  <c r="AU930" i="59"/>
  <c r="H932" i="59"/>
  <c r="E932" i="59"/>
  <c r="D932" i="59"/>
  <c r="C932" i="59"/>
  <c r="AU993" i="59"/>
  <c r="AU849" i="59"/>
  <c r="H821" i="59"/>
  <c r="E821" i="59"/>
  <c r="C821" i="59"/>
  <c r="D821" i="59"/>
  <c r="H649" i="59"/>
  <c r="E649" i="59"/>
  <c r="D649" i="59"/>
  <c r="C649" i="59"/>
  <c r="H28" i="59"/>
  <c r="E28" i="59"/>
  <c r="D28" i="59"/>
  <c r="C28" i="59"/>
  <c r="AU197" i="59"/>
  <c r="E339" i="59"/>
  <c r="D339" i="59"/>
  <c r="C339" i="59"/>
  <c r="H339" i="59"/>
  <c r="H613" i="59"/>
  <c r="E613" i="59"/>
  <c r="C613" i="59"/>
  <c r="D613" i="59"/>
  <c r="AU994" i="59"/>
  <c r="C400" i="59"/>
  <c r="H400" i="59"/>
  <c r="E400" i="59"/>
  <c r="D400" i="59"/>
  <c r="E319" i="59"/>
  <c r="H319" i="59"/>
  <c r="D319" i="59"/>
  <c r="C319" i="59"/>
  <c r="AL576" i="59"/>
  <c r="AR576" i="59"/>
  <c r="AQ576" i="59"/>
  <c r="E356" i="59"/>
  <c r="H356" i="59"/>
  <c r="D356" i="59"/>
  <c r="C356" i="59"/>
  <c r="AU553" i="59"/>
  <c r="H797" i="59"/>
  <c r="E797" i="59"/>
  <c r="D797" i="59"/>
  <c r="C797" i="59"/>
  <c r="AL825" i="59"/>
  <c r="AQ825" i="59"/>
  <c r="H940" i="59"/>
  <c r="E940" i="59"/>
  <c r="D940" i="59"/>
  <c r="C940" i="59"/>
  <c r="H944" i="59"/>
  <c r="E944" i="59"/>
  <c r="D944" i="59"/>
  <c r="C944" i="59"/>
  <c r="AL680" i="59"/>
  <c r="AL553" i="59"/>
  <c r="AQ553" i="59"/>
  <c r="AR28" i="59"/>
  <c r="AL28" i="59"/>
  <c r="AQ28" i="59"/>
  <c r="AU813" i="59"/>
  <c r="AU957" i="59"/>
  <c r="AR319" i="59"/>
  <c r="AQ319" i="59"/>
  <c r="AL319" i="59"/>
  <c r="E87" i="59"/>
  <c r="H87" i="59"/>
  <c r="D87" i="59"/>
  <c r="C87" i="59"/>
  <c r="AQ727" i="59"/>
  <c r="AL727" i="59"/>
  <c r="H441" i="59"/>
  <c r="E441" i="59"/>
  <c r="D441" i="59"/>
  <c r="C441" i="59"/>
  <c r="E956" i="59"/>
  <c r="C956" i="59"/>
  <c r="D956" i="59"/>
  <c r="H956" i="59"/>
  <c r="E787" i="59"/>
  <c r="H787" i="59"/>
  <c r="C787" i="59"/>
  <c r="D787" i="59"/>
  <c r="AU830" i="59"/>
  <c r="AU982" i="59"/>
  <c r="AQ887" i="59"/>
  <c r="AL887" i="59"/>
  <c r="AQ177" i="59"/>
  <c r="AL177" i="59"/>
  <c r="AL740" i="59"/>
  <c r="AQ740" i="59"/>
  <c r="AR740" i="59"/>
  <c r="E442" i="59"/>
  <c r="D442" i="59"/>
  <c r="C442" i="59"/>
  <c r="H442" i="59"/>
  <c r="H36" i="59"/>
  <c r="E36" i="59"/>
  <c r="D36" i="59"/>
  <c r="C36" i="59"/>
  <c r="AU159" i="59"/>
  <c r="H868" i="59"/>
  <c r="E868" i="59"/>
  <c r="D868" i="59"/>
  <c r="C868" i="59"/>
  <c r="E565" i="59"/>
  <c r="D565" i="59"/>
  <c r="H565" i="59"/>
  <c r="C565" i="59"/>
  <c r="AQ996" i="59"/>
  <c r="AL996" i="59"/>
  <c r="AL287" i="59"/>
  <c r="AR287" i="59"/>
  <c r="AQ287" i="59"/>
  <c r="AL473" i="59"/>
  <c r="AQ473" i="59"/>
  <c r="AU560" i="59"/>
  <c r="AU743" i="59"/>
  <c r="AL845" i="59"/>
  <c r="AQ845" i="59"/>
  <c r="AU909" i="59"/>
  <c r="H970" i="59"/>
  <c r="C970" i="59"/>
  <c r="E970" i="59"/>
  <c r="D970" i="59"/>
  <c r="AQ978" i="59"/>
  <c r="AL978" i="59"/>
  <c r="E474" i="59"/>
  <c r="D474" i="59"/>
  <c r="C474" i="59"/>
  <c r="H474" i="59"/>
  <c r="E363" i="59"/>
  <c r="H363" i="59"/>
  <c r="C363" i="59"/>
  <c r="D363" i="59"/>
  <c r="H64" i="59"/>
  <c r="E64" i="59"/>
  <c r="C64" i="59"/>
  <c r="D64" i="59"/>
  <c r="AU931" i="59"/>
  <c r="C311" i="59"/>
  <c r="H311" i="59"/>
  <c r="E311" i="59"/>
  <c r="D311" i="59"/>
  <c r="E575" i="59"/>
  <c r="H575" i="59"/>
  <c r="C575" i="59"/>
  <c r="D575" i="59"/>
  <c r="AU80" i="59"/>
  <c r="E699" i="59"/>
  <c r="D699" i="59"/>
  <c r="C699" i="59"/>
  <c r="H699" i="59"/>
  <c r="E785" i="59"/>
  <c r="D785" i="59"/>
  <c r="H785" i="59"/>
  <c r="C785" i="59"/>
  <c r="AU685" i="59"/>
  <c r="AQ23" i="59"/>
  <c r="AL23" i="59"/>
  <c r="AU395" i="59"/>
  <c r="AL789" i="59"/>
  <c r="AQ789" i="59"/>
  <c r="AL14" i="59"/>
  <c r="AQ14" i="59"/>
  <c r="AR14" i="59"/>
  <c r="E949" i="59"/>
  <c r="H949" i="59"/>
  <c r="C949" i="59"/>
  <c r="D949" i="59"/>
  <c r="H110" i="59"/>
  <c r="E110" i="59"/>
  <c r="D110" i="59"/>
  <c r="C110" i="59"/>
  <c r="AL402" i="59"/>
  <c r="AU763" i="59"/>
  <c r="C749" i="59"/>
  <c r="H749" i="59"/>
  <c r="E749" i="59"/>
  <c r="D749" i="59"/>
  <c r="E806" i="59"/>
  <c r="C806" i="59"/>
  <c r="H806" i="59"/>
  <c r="D806" i="59"/>
  <c r="AU928" i="59"/>
  <c r="AL998" i="59"/>
  <c r="AQ998" i="59"/>
  <c r="AQ360" i="59"/>
  <c r="AL360" i="59"/>
  <c r="AQ9" i="59"/>
  <c r="AL9" i="59"/>
  <c r="C966" i="59"/>
  <c r="E966" i="59"/>
  <c r="D966" i="59"/>
  <c r="H966" i="59"/>
  <c r="AL437" i="59"/>
  <c r="AQ437" i="59"/>
  <c r="E394" i="59"/>
  <c r="H394" i="59"/>
  <c r="D394" i="59"/>
  <c r="C394" i="59"/>
  <c r="AU204" i="59"/>
  <c r="E436" i="59"/>
  <c r="D436" i="59"/>
  <c r="H436" i="59"/>
  <c r="C436" i="59"/>
  <c r="AL472" i="59"/>
  <c r="AQ472" i="59"/>
  <c r="AU605" i="59"/>
  <c r="AU936" i="59"/>
  <c r="E948" i="59"/>
  <c r="D948" i="59"/>
  <c r="C948" i="59"/>
  <c r="H948" i="59"/>
  <c r="AU981" i="59"/>
  <c r="C330" i="59"/>
  <c r="H330" i="59"/>
  <c r="E330" i="59"/>
  <c r="D330" i="59"/>
  <c r="H469" i="59"/>
  <c r="E469" i="59"/>
  <c r="C469" i="59"/>
  <c r="D469" i="59"/>
  <c r="AU273" i="59"/>
  <c r="AQ556" i="59"/>
  <c r="AL556" i="59"/>
  <c r="AU298" i="59"/>
  <c r="AU402" i="59"/>
  <c r="AU213" i="59"/>
  <c r="E208" i="59"/>
  <c r="C208" i="59"/>
  <c r="H208" i="59"/>
  <c r="D208" i="59"/>
  <c r="AU297" i="59"/>
  <c r="H913" i="59"/>
  <c r="E913" i="59"/>
  <c r="D913" i="59"/>
  <c r="C913" i="59"/>
  <c r="E101" i="59"/>
  <c r="H101" i="59"/>
  <c r="D101" i="59"/>
  <c r="C101" i="59"/>
  <c r="AU910" i="59"/>
  <c r="AL433" i="59"/>
  <c r="AQ433" i="59"/>
  <c r="H123" i="59"/>
  <c r="E123" i="59"/>
  <c r="D123" i="59"/>
  <c r="C123" i="59"/>
  <c r="AQ430" i="59"/>
  <c r="AL430" i="59"/>
  <c r="E515" i="59"/>
  <c r="H515" i="59"/>
  <c r="C515" i="59"/>
  <c r="D515" i="59"/>
  <c r="AU723" i="59"/>
  <c r="AU834" i="59"/>
  <c r="AQ935" i="59"/>
  <c r="AL935" i="59"/>
  <c r="AL994" i="59"/>
  <c r="AQ994" i="59"/>
  <c r="AQ69" i="59"/>
  <c r="AL69" i="59"/>
  <c r="AR69" i="59"/>
  <c r="AU868" i="59"/>
  <c r="AQ989" i="59"/>
  <c r="AR989" i="59"/>
  <c r="AL989" i="59"/>
  <c r="H158" i="59"/>
  <c r="E158" i="59"/>
  <c r="D158" i="59"/>
  <c r="C158" i="59"/>
  <c r="AQ470" i="59"/>
  <c r="AL470" i="59"/>
  <c r="AL366" i="59"/>
  <c r="AQ366" i="59"/>
  <c r="AR204" i="59"/>
  <c r="AQ204" i="59"/>
  <c r="AL204" i="59"/>
  <c r="AL734" i="59"/>
  <c r="AR734" i="59"/>
  <c r="AQ734" i="59"/>
  <c r="AU855" i="59"/>
  <c r="D222" i="59"/>
  <c r="H222" i="59"/>
  <c r="E222" i="59"/>
  <c r="C222" i="59"/>
  <c r="AL924" i="59"/>
  <c r="AR924" i="59"/>
  <c r="AQ924" i="59"/>
  <c r="E614" i="59"/>
  <c r="H614" i="59"/>
  <c r="C614" i="59"/>
  <c r="D614" i="59"/>
  <c r="H434" i="59"/>
  <c r="E434" i="59"/>
  <c r="C434" i="59"/>
  <c r="D434" i="59"/>
  <c r="AQ258" i="59"/>
  <c r="AL258" i="59"/>
  <c r="AR258" i="59"/>
  <c r="AL222" i="59"/>
  <c r="AQ222" i="59"/>
  <c r="AU220" i="59"/>
  <c r="AU693" i="59"/>
  <c r="E769" i="59"/>
  <c r="H769" i="59"/>
  <c r="C769" i="59"/>
  <c r="D769" i="59"/>
  <c r="C954" i="59"/>
  <c r="E954" i="59"/>
  <c r="D954" i="59"/>
  <c r="H954" i="59"/>
  <c r="AQ992" i="59"/>
  <c r="AL992" i="59"/>
  <c r="AR992" i="59"/>
  <c r="AQ685" i="59"/>
  <c r="AL685" i="59"/>
  <c r="E10" i="59"/>
  <c r="H10" i="59"/>
  <c r="D10" i="59"/>
  <c r="C10" i="59"/>
  <c r="AR601" i="59"/>
  <c r="AQ601" i="59"/>
  <c r="AL601" i="59"/>
  <c r="AU916" i="59"/>
  <c r="E801" i="59"/>
  <c r="H801" i="59"/>
  <c r="C801" i="59"/>
  <c r="D801" i="59"/>
  <c r="AL357" i="59"/>
  <c r="E23" i="59"/>
  <c r="H23" i="59"/>
  <c r="D23" i="59"/>
  <c r="C23" i="59"/>
  <c r="AQ969" i="59"/>
  <c r="AR969" i="59"/>
  <c r="AL969" i="59"/>
  <c r="AL966" i="59"/>
  <c r="AQ966" i="59"/>
  <c r="AL949" i="59"/>
  <c r="AQ949" i="59"/>
  <c r="AL648" i="59"/>
  <c r="AR648" i="59"/>
  <c r="AQ648" i="59"/>
  <c r="H715" i="59"/>
  <c r="E715" i="59"/>
  <c r="C715" i="59"/>
  <c r="D715" i="59"/>
  <c r="AQ763" i="59"/>
  <c r="AL763" i="59"/>
  <c r="AR763" i="59"/>
  <c r="E430" i="59"/>
  <c r="C430" i="59"/>
  <c r="D430" i="59"/>
  <c r="H430" i="59"/>
  <c r="AQ475" i="59"/>
  <c r="AL475" i="59"/>
  <c r="AL166" i="59"/>
  <c r="AR166" i="59"/>
  <c r="AQ166" i="59"/>
  <c r="H518" i="59"/>
  <c r="E518" i="59"/>
  <c r="C518" i="59"/>
  <c r="D518" i="59"/>
  <c r="AL956" i="59"/>
  <c r="AQ956" i="59"/>
  <c r="AU475" i="59"/>
  <c r="E583" i="59"/>
  <c r="H583" i="59"/>
  <c r="C583" i="59"/>
  <c r="D583" i="59"/>
  <c r="E978" i="59"/>
  <c r="H978" i="59"/>
  <c r="D978" i="59"/>
  <c r="C978" i="59"/>
  <c r="AL756" i="59"/>
  <c r="AQ756" i="59"/>
  <c r="E564" i="59"/>
  <c r="C564" i="59"/>
  <c r="H564" i="59"/>
  <c r="D564" i="59"/>
  <c r="E834" i="59"/>
  <c r="H834" i="59"/>
  <c r="D834" i="59"/>
  <c r="C834" i="59"/>
  <c r="H861" i="59"/>
  <c r="E861" i="59"/>
  <c r="D861" i="59"/>
  <c r="C861" i="59"/>
  <c r="AU918" i="59"/>
  <c r="AQ435" i="59"/>
  <c r="AL435" i="59"/>
  <c r="AU36" i="59"/>
  <c r="AL10" i="59"/>
  <c r="AQ10" i="59"/>
  <c r="AU166" i="59"/>
  <c r="AU404" i="59"/>
  <c r="E740" i="59"/>
  <c r="H740" i="59"/>
  <c r="D740" i="59"/>
  <c r="C740" i="59"/>
  <c r="E825" i="59"/>
  <c r="C825" i="59"/>
  <c r="H825" i="59"/>
  <c r="D825" i="59"/>
  <c r="AU927" i="59"/>
  <c r="AL947" i="59"/>
  <c r="AQ947" i="59"/>
  <c r="AR981" i="59"/>
  <c r="AQ981" i="59"/>
  <c r="AL981" i="59"/>
  <c r="AU28" i="59"/>
  <c r="AL606" i="59"/>
  <c r="AQ606" i="59"/>
  <c r="AR606" i="59"/>
  <c r="E237" i="59"/>
  <c r="D237" i="59"/>
  <c r="H237" i="59"/>
  <c r="C237" i="59"/>
  <c r="AL43" i="59"/>
  <c r="AQ443" i="59"/>
  <c r="AL443" i="59"/>
  <c r="AR80" i="59"/>
  <c r="AQ80" i="59"/>
  <c r="AL80" i="59"/>
  <c r="AR158" i="59"/>
  <c r="AQ158" i="59"/>
  <c r="AL158" i="59"/>
  <c r="AL233" i="59"/>
  <c r="AR233" i="59"/>
  <c r="AQ233" i="59"/>
  <c r="AU867" i="59"/>
  <c r="AU934" i="59"/>
  <c r="C916" i="59"/>
  <c r="E916" i="59"/>
  <c r="H916" i="59"/>
  <c r="D916" i="59"/>
  <c r="AU583" i="59"/>
  <c r="AU76" i="59"/>
  <c r="AL723" i="59"/>
  <c r="E804" i="59"/>
  <c r="D804" i="59"/>
  <c r="C804" i="59"/>
  <c r="H804" i="59"/>
  <c r="AU932" i="59"/>
  <c r="H44" i="59"/>
  <c r="E44" i="59"/>
  <c r="D44" i="59"/>
  <c r="C44" i="59"/>
  <c r="AL903" i="59"/>
  <c r="AQ903" i="59"/>
  <c r="AU311" i="59"/>
  <c r="AU987" i="59"/>
  <c r="AR694" i="59"/>
  <c r="AQ694" i="59"/>
  <c r="AL694" i="59"/>
  <c r="AL441" i="59"/>
  <c r="AQ441" i="59"/>
  <c r="H213" i="59"/>
  <c r="E213" i="59"/>
  <c r="C213" i="59"/>
  <c r="D213" i="59"/>
  <c r="AQ365" i="59"/>
  <c r="AL365" i="59"/>
  <c r="AU926" i="59"/>
  <c r="E359" i="59"/>
  <c r="H359" i="59"/>
  <c r="D359" i="59"/>
  <c r="C359" i="59"/>
  <c r="E173" i="59"/>
  <c r="H173" i="59"/>
  <c r="D173" i="59"/>
  <c r="C173" i="59"/>
  <c r="D88" i="59"/>
  <c r="C88" i="59"/>
  <c r="H88" i="59"/>
  <c r="E88" i="59"/>
  <c r="AU365" i="59"/>
  <c r="E584" i="59"/>
  <c r="D584" i="59"/>
  <c r="C584" i="59"/>
  <c r="H584" i="59"/>
  <c r="AU658" i="59"/>
  <c r="AL868" i="59"/>
  <c r="AQ868" i="59"/>
  <c r="AU939" i="59"/>
  <c r="AU935" i="59"/>
  <c r="E975" i="59"/>
  <c r="D975" i="59"/>
  <c r="C975" i="59"/>
  <c r="H975" i="59"/>
  <c r="E924" i="59"/>
  <c r="C924" i="59"/>
  <c r="D924" i="59"/>
  <c r="H924" i="59"/>
  <c r="AQ280" i="59"/>
  <c r="AL280" i="59"/>
  <c r="AU18" i="59"/>
  <c r="AL883" i="59"/>
  <c r="AQ883" i="59"/>
  <c r="AL633" i="59"/>
  <c r="AR633" i="59"/>
  <c r="AQ633" i="59"/>
  <c r="AQ993" i="59"/>
  <c r="AL993" i="59"/>
  <c r="AR993" i="59"/>
  <c r="H196" i="59"/>
  <c r="E196" i="59"/>
  <c r="D196" i="59"/>
  <c r="C196" i="59"/>
  <c r="E354" i="59"/>
  <c r="H354" i="59"/>
  <c r="D354" i="59"/>
  <c r="C354" i="59"/>
  <c r="AU123" i="59"/>
  <c r="AQ943" i="59"/>
  <c r="AL943" i="59"/>
  <c r="H667" i="59"/>
  <c r="E667" i="59"/>
  <c r="D667" i="59"/>
  <c r="C667" i="59"/>
  <c r="H333" i="59"/>
  <c r="E333" i="59"/>
  <c r="D333" i="59"/>
  <c r="C333" i="59"/>
  <c r="AU187" i="59"/>
  <c r="AL212" i="59"/>
  <c r="AQ212" i="59"/>
  <c r="E169" i="59"/>
  <c r="C169" i="59"/>
  <c r="H169" i="59"/>
  <c r="D169" i="59"/>
  <c r="AU438" i="59"/>
  <c r="AL476" i="59"/>
  <c r="AQ476" i="59"/>
  <c r="H693" i="59"/>
  <c r="E693" i="59"/>
  <c r="D693" i="59"/>
  <c r="C693" i="59"/>
  <c r="AL787" i="59"/>
  <c r="AQ787" i="59"/>
  <c r="D894" i="59"/>
  <c r="C894" i="59"/>
  <c r="H894" i="59"/>
  <c r="E894" i="59"/>
  <c r="AL876" i="59"/>
  <c r="AQ876" i="59"/>
  <c r="AU940" i="59"/>
  <c r="AU954" i="59"/>
  <c r="AL986" i="59"/>
  <c r="AR986" i="59"/>
  <c r="AQ986" i="59"/>
  <c r="AU345" i="59"/>
  <c r="H190" i="59"/>
  <c r="E190" i="59"/>
  <c r="D190" i="59"/>
  <c r="C190" i="59"/>
  <c r="AU984" i="59"/>
  <c r="AU821" i="59"/>
  <c r="H181" i="59"/>
  <c r="E181" i="59"/>
  <c r="D181" i="59"/>
  <c r="C181" i="59"/>
  <c r="H514" i="59"/>
  <c r="E514" i="59"/>
  <c r="D514" i="59"/>
  <c r="C514" i="59"/>
  <c r="AL942" i="59"/>
  <c r="AQ942" i="59"/>
  <c r="E35" i="59"/>
  <c r="C35" i="59"/>
  <c r="H35" i="59"/>
  <c r="D35" i="59"/>
  <c r="AU443" i="59"/>
  <c r="H478" i="59"/>
  <c r="E478" i="59"/>
  <c r="D478" i="59"/>
  <c r="C478" i="59"/>
  <c r="E545" i="59"/>
  <c r="D545" i="59"/>
  <c r="C545" i="59"/>
  <c r="H545" i="59"/>
  <c r="AU615" i="59"/>
  <c r="E910" i="59"/>
  <c r="C910" i="59"/>
  <c r="D910" i="59"/>
  <c r="H910" i="59"/>
  <c r="AQ914" i="59"/>
  <c r="AL914" i="59"/>
  <c r="AU990" i="59"/>
  <c r="AU435" i="59"/>
  <c r="H195" i="59"/>
  <c r="E195" i="59"/>
  <c r="D195" i="59"/>
  <c r="C195" i="59"/>
  <c r="AQ583" i="59"/>
  <c r="AL583" i="59"/>
  <c r="AL35" i="59"/>
  <c r="AR35" i="59"/>
  <c r="AQ35" i="59"/>
  <c r="AU929" i="59"/>
  <c r="AL593" i="59"/>
  <c r="AQ593" i="59"/>
  <c r="AU221" i="59"/>
  <c r="AU319" i="59"/>
  <c r="H98" i="59"/>
  <c r="E98" i="59"/>
  <c r="D98" i="59"/>
  <c r="C98" i="59"/>
  <c r="C272" i="59"/>
  <c r="H272" i="59"/>
  <c r="E272" i="59"/>
  <c r="D272" i="59"/>
  <c r="E519" i="59"/>
  <c r="H519" i="59"/>
  <c r="D519" i="59"/>
  <c r="C519" i="59"/>
  <c r="AU768" i="59"/>
  <c r="AQ804" i="59"/>
  <c r="AL804" i="59"/>
  <c r="AL894" i="59"/>
  <c r="AQ894" i="59"/>
  <c r="H939" i="59"/>
  <c r="E939" i="59"/>
  <c r="C939" i="59"/>
  <c r="D939" i="59"/>
  <c r="H957" i="59"/>
  <c r="E957" i="59"/>
  <c r="D957" i="59"/>
  <c r="C957" i="59"/>
  <c r="AU883" i="59"/>
  <c r="AL991" i="59"/>
  <c r="AR991" i="59"/>
  <c r="AQ991" i="59"/>
  <c r="AQ259" i="59"/>
  <c r="AL259" i="59"/>
  <c r="AQ938" i="59"/>
  <c r="AL938" i="59"/>
  <c r="AL478" i="59"/>
  <c r="AQ478" i="59"/>
  <c r="AL913" i="59"/>
  <c r="AR913" i="59"/>
  <c r="AQ913" i="59"/>
  <c r="AR957" i="59"/>
  <c r="AQ957" i="59"/>
  <c r="AL957" i="59"/>
  <c r="AU639" i="59"/>
  <c r="AL797" i="59"/>
  <c r="AQ797" i="59"/>
  <c r="AQ780" i="59"/>
  <c r="AL780" i="59"/>
  <c r="AR780" i="59"/>
  <c r="AL333" i="59"/>
  <c r="AR333" i="59"/>
  <c r="AQ333" i="59"/>
  <c r="AQ952" i="59"/>
  <c r="AL952" i="59"/>
  <c r="AU684" i="59"/>
  <c r="AU740" i="59"/>
  <c r="AU770" i="59"/>
  <c r="AL666" i="59"/>
  <c r="AQ666" i="59"/>
  <c r="E989" i="59"/>
  <c r="H989" i="59"/>
  <c r="D989" i="59"/>
  <c r="C989" i="59"/>
  <c r="AU756" i="59"/>
  <c r="AL982" i="59"/>
  <c r="AR982" i="59"/>
  <c r="AQ982" i="59"/>
  <c r="E780" i="59"/>
  <c r="D780" i="59"/>
  <c r="H780" i="59"/>
  <c r="C780" i="59"/>
  <c r="AL122" i="59"/>
  <c r="AQ122" i="59"/>
  <c r="AU350" i="59"/>
  <c r="AU891" i="59"/>
  <c r="H236" i="59"/>
  <c r="E236" i="59"/>
  <c r="C236" i="59"/>
  <c r="D236" i="59"/>
  <c r="AU790" i="59"/>
  <c r="AL444" i="59"/>
  <c r="AQ444" i="59"/>
  <c r="AQ87" i="59"/>
  <c r="AL87" i="59"/>
  <c r="AR909" i="59"/>
  <c r="AQ909" i="59"/>
  <c r="AL909" i="59"/>
  <c r="AQ36" i="59"/>
  <c r="AL36" i="59"/>
  <c r="H154" i="59"/>
  <c r="E154" i="59"/>
  <c r="C154" i="59"/>
  <c r="D154" i="59"/>
  <c r="H401" i="59"/>
  <c r="E401" i="59"/>
  <c r="D401" i="59"/>
  <c r="C401" i="59"/>
  <c r="AU476" i="59"/>
  <c r="C736" i="59"/>
  <c r="E736" i="59"/>
  <c r="D736" i="59"/>
  <c r="H736" i="59"/>
  <c r="AQ805" i="59"/>
  <c r="AL805" i="59"/>
  <c r="AQ941" i="59"/>
  <c r="AL941" i="59"/>
  <c r="E946" i="59"/>
  <c r="D946" i="59"/>
  <c r="C946" i="59"/>
  <c r="H946" i="59"/>
  <c r="H403" i="59"/>
  <c r="E403" i="59"/>
  <c r="D403" i="59"/>
  <c r="C403" i="59"/>
  <c r="D129" i="59"/>
  <c r="C129" i="59"/>
  <c r="H129" i="59"/>
  <c r="E129" i="59"/>
  <c r="AU933" i="59"/>
  <c r="AU79" i="59"/>
  <c r="AQ792" i="59"/>
  <c r="AL792" i="59"/>
  <c r="AR792" i="59"/>
  <c r="AQ395" i="59"/>
  <c r="AL395" i="59"/>
  <c r="AQ985" i="59"/>
  <c r="AL985" i="59"/>
  <c r="AQ518" i="59"/>
  <c r="AL518" i="59"/>
  <c r="AU45" i="59"/>
  <c r="AU196" i="59"/>
  <c r="AU440" i="59"/>
  <c r="AU564" i="59"/>
  <c r="AU666" i="59"/>
  <c r="AQ801" i="59"/>
  <c r="AL801" i="59"/>
  <c r="C928" i="59"/>
  <c r="E928" i="59"/>
  <c r="D928" i="59"/>
  <c r="H928" i="59"/>
  <c r="H934" i="59"/>
  <c r="E934" i="59"/>
  <c r="D934" i="59"/>
  <c r="C934" i="59"/>
  <c r="AU985" i="59"/>
  <c r="AU606" i="59"/>
  <c r="AQ979" i="59"/>
  <c r="AL979" i="59"/>
  <c r="AU87" i="59"/>
  <c r="AL103" i="59"/>
  <c r="AQ103" i="59"/>
  <c r="AU518" i="59"/>
  <c r="D102" i="59"/>
  <c r="C102" i="59"/>
  <c r="H102" i="59"/>
  <c r="E102" i="59"/>
  <c r="C76" i="59"/>
  <c r="H76" i="59"/>
  <c r="E76" i="59"/>
  <c r="D76" i="59"/>
  <c r="AU333" i="59"/>
  <c r="E572" i="59"/>
  <c r="C572" i="59"/>
  <c r="H572" i="59"/>
  <c r="D572" i="59"/>
  <c r="E867" i="59"/>
  <c r="D867" i="59"/>
  <c r="C867" i="59"/>
  <c r="H867" i="59"/>
  <c r="AR923" i="59"/>
  <c r="AQ923" i="59"/>
  <c r="AL923" i="59"/>
  <c r="AQ936" i="59"/>
  <c r="AL936" i="59"/>
  <c r="E991" i="59"/>
  <c r="H991" i="59"/>
  <c r="C991" i="59"/>
  <c r="D991" i="59"/>
  <c r="AQ439" i="59"/>
  <c r="AL439" i="59"/>
  <c r="AU229" i="59"/>
  <c r="AU673" i="59"/>
  <c r="E159" i="59"/>
  <c r="H159" i="59"/>
  <c r="D159" i="59"/>
  <c r="C159" i="59"/>
  <c r="AQ440" i="59"/>
  <c r="AL440" i="59"/>
  <c r="E124" i="59"/>
  <c r="H124" i="59"/>
  <c r="C124" i="59"/>
  <c r="D124" i="59"/>
  <c r="AU43" i="59"/>
  <c r="AU102" i="59"/>
  <c r="AQ307" i="59"/>
  <c r="AL307" i="59"/>
  <c r="AR307" i="59"/>
  <c r="AQ434" i="59"/>
  <c r="AL434" i="59"/>
  <c r="AL910" i="59"/>
  <c r="AQ910" i="59"/>
  <c r="E985" i="59"/>
  <c r="C985" i="59"/>
  <c r="D985" i="59"/>
  <c r="H985" i="59"/>
  <c r="H288" i="59"/>
  <c r="E288" i="59"/>
  <c r="C288" i="59"/>
  <c r="D288" i="59"/>
  <c r="AQ908" i="59"/>
  <c r="AL908" i="59"/>
  <c r="AU513" i="59"/>
  <c r="AU992" i="59"/>
  <c r="E862" i="59"/>
  <c r="H862" i="59"/>
  <c r="C862" i="59"/>
  <c r="D862" i="59"/>
  <c r="AU212" i="59"/>
  <c r="AU433" i="59"/>
  <c r="AU545" i="59"/>
  <c r="AU825" i="59"/>
  <c r="AU911" i="59"/>
  <c r="AU986" i="59"/>
  <c r="AL598" i="59"/>
  <c r="AR598" i="59"/>
  <c r="AQ598" i="59"/>
  <c r="AQ896" i="59"/>
  <c r="AL896" i="59"/>
  <c r="AU593" i="59"/>
  <c r="AU978" i="59"/>
  <c r="H439" i="59"/>
  <c r="E439" i="59"/>
  <c r="D439" i="59"/>
  <c r="C439" i="59"/>
  <c r="AQ517" i="59"/>
  <c r="AL517" i="59"/>
  <c r="AU122" i="59"/>
  <c r="AU307" i="59"/>
  <c r="E666" i="59"/>
  <c r="H666" i="59"/>
  <c r="D666" i="59"/>
  <c r="C666" i="59"/>
  <c r="C876" i="59"/>
  <c r="H876" i="59"/>
  <c r="E876" i="59"/>
  <c r="D876" i="59"/>
  <c r="AQ834" i="59"/>
  <c r="AL834" i="59"/>
  <c r="E927" i="59"/>
  <c r="D927" i="59"/>
  <c r="C927" i="59"/>
  <c r="H927" i="59"/>
  <c r="AQ940" i="59"/>
  <c r="AL940" i="59"/>
  <c r="AQ283" i="59"/>
  <c r="AL283" i="59"/>
  <c r="H471" i="59"/>
  <c r="E471" i="59"/>
  <c r="D471" i="59"/>
  <c r="C471" i="59"/>
  <c r="AU257" i="59"/>
  <c r="AL297" i="59"/>
  <c r="AQ297" i="59"/>
  <c r="AU254" i="59"/>
  <c r="E355" i="59"/>
  <c r="H355" i="59"/>
  <c r="D355" i="59"/>
  <c r="C355" i="59"/>
  <c r="E605" i="59"/>
  <c r="D605" i="59"/>
  <c r="C605" i="59"/>
  <c r="H605" i="59"/>
  <c r="AQ821" i="59"/>
  <c r="AL821" i="59"/>
  <c r="AU961" i="59"/>
  <c r="AL519" i="59"/>
  <c r="AQ519" i="59"/>
  <c r="AQ565" i="59"/>
  <c r="AL565" i="59"/>
  <c r="AR565" i="59"/>
  <c r="AL918" i="59"/>
  <c r="AQ918" i="59"/>
  <c r="AU959" i="59"/>
  <c r="H443" i="59"/>
  <c r="E443" i="59"/>
  <c r="D443" i="59"/>
  <c r="C443" i="59"/>
  <c r="AR196" i="59"/>
  <c r="AL196" i="59"/>
  <c r="AQ196" i="59"/>
  <c r="AU339" i="59"/>
  <c r="H433" i="59"/>
  <c r="E433" i="59"/>
  <c r="D433" i="59"/>
  <c r="C433" i="59"/>
  <c r="AU519" i="59"/>
  <c r="E845" i="59"/>
  <c r="D845" i="59"/>
  <c r="H845" i="59"/>
  <c r="C845" i="59"/>
  <c r="AU923" i="59"/>
  <c r="AQ997" i="59"/>
  <c r="AL997" i="59"/>
  <c r="AU937" i="59"/>
  <c r="AU996" i="59"/>
  <c r="E783" i="59"/>
  <c r="D783" i="59"/>
  <c r="H783" i="59"/>
  <c r="C783" i="59"/>
  <c r="AU628" i="59"/>
  <c r="AQ546" i="59"/>
  <c r="AL546" i="59"/>
  <c r="AR546" i="59"/>
  <c r="AU642" i="59"/>
  <c r="AR931" i="59"/>
  <c r="AQ931" i="59"/>
  <c r="AL931" i="59"/>
  <c r="AQ988" i="59"/>
  <c r="AL988" i="59"/>
  <c r="AQ355" i="59"/>
  <c r="AL355" i="59"/>
  <c r="AU960" i="59"/>
  <c r="E365" i="59"/>
  <c r="H365" i="59"/>
  <c r="D365" i="59"/>
  <c r="C365" i="59"/>
  <c r="AU727" i="59"/>
  <c r="AL613" i="59"/>
  <c r="AQ403" i="59"/>
  <c r="AL403" i="59"/>
  <c r="E128" i="59"/>
  <c r="H128" i="59"/>
  <c r="D128" i="59"/>
  <c r="C128" i="59"/>
  <c r="H856" i="59"/>
  <c r="E856" i="59"/>
  <c r="C856" i="59"/>
  <c r="D856" i="59"/>
  <c r="AU565" i="59"/>
  <c r="AR110" i="59"/>
  <c r="AQ110" i="59"/>
  <c r="AL110" i="59"/>
  <c r="AU575" i="59"/>
  <c r="H127" i="59"/>
  <c r="E127" i="59"/>
  <c r="D127" i="59"/>
  <c r="C127" i="59"/>
  <c r="AQ220" i="59"/>
  <c r="AL220" i="59"/>
  <c r="E648" i="59"/>
  <c r="H648" i="59"/>
  <c r="D648" i="59"/>
  <c r="C648" i="59"/>
  <c r="AU584" i="59"/>
  <c r="AR928" i="59"/>
  <c r="AL928" i="59"/>
  <c r="AQ928" i="59"/>
  <c r="H122" i="59"/>
  <c r="E122" i="59"/>
  <c r="D122" i="59"/>
  <c r="C122" i="59"/>
  <c r="H930" i="59"/>
  <c r="E930" i="59"/>
  <c r="D930" i="59"/>
  <c r="C930" i="59"/>
  <c r="H937" i="59"/>
  <c r="E937" i="59"/>
  <c r="D937" i="59"/>
  <c r="C937" i="59"/>
  <c r="H634" i="59"/>
  <c r="E634" i="59"/>
  <c r="C634" i="59"/>
  <c r="D634" i="59"/>
  <c r="AU359" i="59"/>
  <c r="AU975" i="59"/>
  <c r="E694" i="59"/>
  <c r="H694" i="59"/>
  <c r="D694" i="59"/>
  <c r="C694" i="59"/>
  <c r="E14" i="59"/>
  <c r="H14" i="59"/>
  <c r="C14" i="59"/>
  <c r="D14" i="59"/>
  <c r="E68" i="59"/>
  <c r="D68" i="59"/>
  <c r="C68" i="59"/>
  <c r="H68" i="59"/>
  <c r="H437" i="59"/>
  <c r="E437" i="59"/>
  <c r="D437" i="59"/>
  <c r="C437" i="59"/>
  <c r="AR783" i="59"/>
  <c r="AL783" i="59"/>
  <c r="AQ783" i="59"/>
  <c r="AU785" i="59"/>
  <c r="AU944" i="59"/>
  <c r="AU970" i="59"/>
  <c r="E435" i="59"/>
  <c r="H435" i="59"/>
  <c r="D435" i="59"/>
  <c r="C435" i="59"/>
  <c r="AQ195" i="59"/>
  <c r="AL195" i="59"/>
  <c r="AR195" i="59"/>
  <c r="AU177" i="59"/>
  <c r="AU801" i="59"/>
  <c r="AL477" i="59"/>
  <c r="AL129" i="59"/>
  <c r="AQ129" i="59"/>
  <c r="AL642" i="59"/>
  <c r="AR642" i="59"/>
  <c r="AQ642" i="59"/>
  <c r="H402" i="59"/>
  <c r="E402" i="59"/>
  <c r="D402" i="59"/>
  <c r="C402" i="59"/>
  <c r="AU598" i="59"/>
  <c r="AU749" i="59"/>
  <c r="AU789" i="59"/>
  <c r="H903" i="59"/>
  <c r="E903" i="59"/>
  <c r="D903" i="59"/>
  <c r="C903" i="59"/>
  <c r="AQ111" i="59"/>
  <c r="AL111" i="59"/>
  <c r="H770" i="59"/>
  <c r="E770" i="59"/>
  <c r="D770" i="59"/>
  <c r="C770" i="59"/>
  <c r="H838" i="59"/>
  <c r="E838" i="59"/>
  <c r="C838" i="59"/>
  <c r="D838" i="59"/>
  <c r="AU125" i="59"/>
  <c r="AL254" i="59"/>
  <c r="AR254" i="59"/>
  <c r="AQ254" i="59"/>
  <c r="AU357" i="59"/>
  <c r="AU817" i="59"/>
  <c r="AL964" i="59"/>
  <c r="AQ964" i="59"/>
  <c r="AQ605" i="59"/>
  <c r="AL605" i="59"/>
  <c r="AU966" i="59"/>
  <c r="AL363" i="59"/>
  <c r="AQ363" i="59"/>
  <c r="H938" i="59"/>
  <c r="E938" i="59"/>
  <c r="D938" i="59"/>
  <c r="C938" i="59"/>
  <c r="AU343" i="59"/>
  <c r="AL125" i="59"/>
  <c r="AQ125" i="59"/>
  <c r="AU470" i="59"/>
  <c r="E883" i="59"/>
  <c r="H883" i="59"/>
  <c r="C883" i="59"/>
  <c r="D883" i="59"/>
  <c r="AU98" i="59"/>
  <c r="AL469" i="59"/>
  <c r="AQ469" i="59"/>
  <c r="AL726" i="59"/>
  <c r="AR726" i="59"/>
  <c r="AQ726" i="59"/>
  <c r="D911" i="59"/>
  <c r="H911" i="59"/>
  <c r="E911" i="59"/>
  <c r="C911" i="59"/>
  <c r="H473" i="59"/>
  <c r="E473" i="59"/>
  <c r="C473" i="59"/>
  <c r="D473" i="59"/>
  <c r="AR221" i="59"/>
  <c r="AQ221" i="59"/>
  <c r="AL221" i="59"/>
  <c r="AL960" i="59"/>
  <c r="AQ960" i="59"/>
  <c r="AQ572" i="59"/>
  <c r="AL572" i="59"/>
  <c r="AR572" i="59"/>
  <c r="E361" i="59"/>
  <c r="H361" i="59"/>
  <c r="D361" i="59"/>
  <c r="C361" i="59"/>
  <c r="AL88" i="59"/>
  <c r="AR88" i="59"/>
  <c r="AQ88" i="59"/>
  <c r="AU436" i="59"/>
  <c r="AQ324" i="59"/>
  <c r="AL324" i="59"/>
  <c r="AR324" i="59"/>
  <c r="AQ667" i="59"/>
  <c r="AL667" i="59"/>
  <c r="AR667" i="59"/>
  <c r="AU469" i="59"/>
  <c r="E197" i="59"/>
  <c r="C197" i="59"/>
  <c r="D197" i="59"/>
  <c r="H197" i="59"/>
  <c r="AU694" i="59"/>
  <c r="AQ939" i="59"/>
  <c r="AL939" i="59"/>
  <c r="E601" i="59"/>
  <c r="H601" i="59"/>
  <c r="D601" i="59"/>
  <c r="C601" i="59"/>
  <c r="AU787" i="59"/>
  <c r="AU546" i="59"/>
  <c r="AL359" i="59"/>
  <c r="AQ359" i="59"/>
  <c r="AU68" i="59"/>
  <c r="AU354" i="59"/>
  <c r="AL438" i="59"/>
  <c r="E672" i="59"/>
  <c r="H672" i="59"/>
  <c r="D672" i="59"/>
  <c r="C672" i="59"/>
  <c r="AU797" i="59"/>
  <c r="AQ513" i="59"/>
  <c r="AL513" i="59"/>
  <c r="H126" i="59"/>
  <c r="E126" i="59"/>
  <c r="C126" i="59"/>
  <c r="D126" i="59"/>
  <c r="H891" i="59"/>
  <c r="E891" i="59"/>
  <c r="D891" i="59"/>
  <c r="C891" i="59"/>
  <c r="AU952" i="59"/>
  <c r="E395" i="59"/>
  <c r="D395" i="59"/>
  <c r="H395" i="59"/>
  <c r="C395" i="59"/>
  <c r="E307" i="59"/>
  <c r="C307" i="59"/>
  <c r="H307" i="59"/>
  <c r="D307" i="59"/>
  <c r="AU314" i="59"/>
  <c r="H444" i="59"/>
  <c r="E444" i="59"/>
  <c r="D444" i="59"/>
  <c r="C444" i="59"/>
  <c r="H713" i="59"/>
  <c r="E713" i="59"/>
  <c r="D713" i="59"/>
  <c r="C713" i="59"/>
  <c r="E792" i="59"/>
  <c r="D792" i="59"/>
  <c r="C792" i="59"/>
  <c r="H792" i="59"/>
  <c r="E855" i="59"/>
  <c r="D855" i="59"/>
  <c r="C855" i="59"/>
  <c r="H855" i="59"/>
  <c r="E887" i="59"/>
  <c r="H887" i="59"/>
  <c r="C887" i="59"/>
  <c r="D887" i="59"/>
  <c r="H918" i="59"/>
  <c r="E918" i="59"/>
  <c r="D918" i="59"/>
  <c r="C918" i="59"/>
  <c r="AL934" i="59"/>
  <c r="AQ934" i="59"/>
  <c r="AU991" i="59"/>
  <c r="AU793" i="59"/>
  <c r="H475" i="59"/>
  <c r="E475" i="59"/>
  <c r="D475" i="59"/>
  <c r="C475" i="59"/>
  <c r="E996" i="59"/>
  <c r="H996" i="59"/>
  <c r="C996" i="59"/>
  <c r="D996" i="59"/>
  <c r="H793" i="59"/>
  <c r="E793" i="59"/>
  <c r="D793" i="59"/>
  <c r="C793" i="59"/>
  <c r="AQ159" i="59"/>
  <c r="AL159" i="59"/>
  <c r="AL861" i="59"/>
  <c r="AQ861" i="59"/>
  <c r="AQ961" i="59"/>
  <c r="AL961" i="59"/>
  <c r="AU769" i="59"/>
  <c r="E849" i="59"/>
  <c r="H849" i="59"/>
  <c r="C849" i="59"/>
  <c r="D849" i="59"/>
  <c r="AU563" i="59"/>
  <c r="AU943" i="59"/>
  <c r="C926" i="59"/>
  <c r="E926" i="59"/>
  <c r="H926" i="59"/>
  <c r="D926" i="59"/>
  <c r="AU634" i="59"/>
  <c r="AU283" i="59"/>
  <c r="AL564" i="59"/>
  <c r="AR564" i="59"/>
  <c r="AQ564" i="59"/>
  <c r="AQ614" i="59"/>
  <c r="AL614" i="59"/>
  <c r="AU949" i="59"/>
  <c r="E639" i="59"/>
  <c r="C639" i="59"/>
  <c r="H639" i="59"/>
  <c r="D639" i="59"/>
  <c r="E952" i="59"/>
  <c r="D952" i="59"/>
  <c r="H952" i="59"/>
  <c r="C952" i="59"/>
  <c r="AU69" i="59"/>
  <c r="AQ128" i="59"/>
  <c r="AL128" i="59"/>
  <c r="H520" i="59"/>
  <c r="E520" i="59"/>
  <c r="D520" i="59"/>
  <c r="C520" i="59"/>
  <c r="C362" i="59"/>
  <c r="E362" i="59"/>
  <c r="H362" i="59"/>
  <c r="D362" i="59"/>
  <c r="H166" i="59"/>
  <c r="E166" i="59"/>
  <c r="C166" i="59"/>
  <c r="D166" i="59"/>
  <c r="H895" i="59"/>
  <c r="E895" i="59"/>
  <c r="D895" i="59"/>
  <c r="C895" i="59"/>
  <c r="AU236" i="59"/>
  <c r="AU337" i="59"/>
  <c r="H45" i="59"/>
  <c r="E45" i="59"/>
  <c r="C45" i="59"/>
  <c r="D45" i="59"/>
  <c r="AU360" i="59"/>
  <c r="AU515" i="59"/>
  <c r="E560" i="59"/>
  <c r="C560" i="59"/>
  <c r="H560" i="59"/>
  <c r="D560" i="59"/>
  <c r="H943" i="59"/>
  <c r="E943" i="59"/>
  <c r="D943" i="59"/>
  <c r="C943" i="59"/>
  <c r="C986" i="59"/>
  <c r="H986" i="59"/>
  <c r="E986" i="59"/>
  <c r="D986" i="59"/>
  <c r="D998" i="59"/>
  <c r="E998" i="59"/>
  <c r="C998" i="59"/>
  <c r="H998" i="59"/>
  <c r="AU601" i="59"/>
  <c r="C987" i="59"/>
  <c r="E987" i="59"/>
  <c r="H987" i="59"/>
  <c r="D987" i="59"/>
  <c r="AU924" i="59"/>
  <c r="AQ123" i="59"/>
  <c r="AL123" i="59"/>
  <c r="AU477" i="59"/>
  <c r="AL760" i="59"/>
  <c r="AQ760" i="59"/>
  <c r="AQ830" i="59"/>
  <c r="AL830" i="59"/>
  <c r="E896" i="59"/>
  <c r="C896" i="59"/>
  <c r="H896" i="59"/>
  <c r="D896" i="59"/>
  <c r="H942" i="59"/>
  <c r="E942" i="59"/>
  <c r="C942" i="59"/>
  <c r="D942" i="59"/>
  <c r="E947" i="59"/>
  <c r="C947" i="59"/>
  <c r="H947" i="59"/>
  <c r="D947" i="59"/>
  <c r="AU997" i="59"/>
  <c r="AL693" i="59"/>
  <c r="AQ693" i="59"/>
  <c r="AL64" i="59"/>
  <c r="AR64" i="59"/>
  <c r="AQ64" i="59"/>
  <c r="H933" i="59"/>
  <c r="E933" i="59"/>
  <c r="C933" i="59"/>
  <c r="D933" i="59"/>
  <c r="E177" i="59"/>
  <c r="H177" i="59"/>
  <c r="C177" i="59"/>
  <c r="D177" i="59"/>
  <c r="AL44" i="59"/>
  <c r="AQ44" i="59"/>
  <c r="AL895" i="59"/>
  <c r="AQ895" i="59"/>
  <c r="AU237" i="59"/>
  <c r="H716" i="59"/>
  <c r="E716" i="59"/>
  <c r="D716" i="59"/>
  <c r="C716" i="59"/>
  <c r="AU861" i="59"/>
  <c r="H931" i="59"/>
  <c r="E931" i="59"/>
  <c r="C931" i="59"/>
  <c r="D931" i="59"/>
  <c r="AU958" i="59"/>
  <c r="D981" i="59"/>
  <c r="E981" i="59"/>
  <c r="C981" i="59"/>
  <c r="H981" i="59"/>
  <c r="H229" i="59"/>
  <c r="E229" i="59"/>
  <c r="C229" i="59"/>
  <c r="D229" i="59"/>
  <c r="E673" i="59"/>
  <c r="D673" i="59"/>
  <c r="H673" i="59"/>
  <c r="C673" i="59"/>
  <c r="AL187" i="59"/>
  <c r="AQ187" i="59"/>
  <c r="H477" i="59"/>
  <c r="E477" i="59"/>
  <c r="D477" i="59"/>
  <c r="C477" i="59"/>
  <c r="H789" i="59"/>
  <c r="E789" i="59"/>
  <c r="D789" i="59"/>
  <c r="C789" i="59"/>
  <c r="D904" i="59"/>
  <c r="E904" i="59"/>
  <c r="C904" i="59"/>
  <c r="H904" i="59"/>
  <c r="AU124" i="59"/>
  <c r="AQ354" i="59"/>
  <c r="AL354" i="59"/>
  <c r="AL169" i="59"/>
  <c r="AQ169" i="59"/>
  <c r="AR169" i="59"/>
  <c r="AL314" i="59"/>
  <c r="AQ314" i="59"/>
  <c r="AL713" i="59"/>
  <c r="AR713" i="59"/>
  <c r="AQ713" i="59"/>
  <c r="AQ404" i="59"/>
  <c r="AL404" i="59"/>
  <c r="AO404" i="59" s="1"/>
  <c r="AP404" i="59" s="1"/>
  <c r="E790" i="59"/>
  <c r="D790" i="59"/>
  <c r="C790" i="59"/>
  <c r="H790" i="59"/>
  <c r="H187" i="59"/>
  <c r="E187" i="59"/>
  <c r="C187" i="59"/>
  <c r="D187" i="59"/>
  <c r="AQ237" i="59"/>
  <c r="AL237" i="59"/>
  <c r="AL356" i="59"/>
  <c r="AQ356" i="59"/>
  <c r="AU517" i="59"/>
  <c r="E680" i="59"/>
  <c r="D680" i="59"/>
  <c r="H680" i="59"/>
  <c r="C680" i="59"/>
  <c r="H909" i="59"/>
  <c r="E909" i="59"/>
  <c r="C909" i="59"/>
  <c r="D909" i="59"/>
  <c r="AL946" i="59"/>
  <c r="AQ946" i="59"/>
  <c r="AR968" i="59"/>
  <c r="AQ968" i="59"/>
  <c r="AL968" i="59"/>
  <c r="AL990" i="59"/>
  <c r="AQ990" i="59"/>
  <c r="AU805" i="59"/>
  <c r="E513" i="59"/>
  <c r="H513" i="59"/>
  <c r="D513" i="59"/>
  <c r="C513" i="59"/>
  <c r="AU259" i="59"/>
  <c r="E9" i="59"/>
  <c r="H9" i="59"/>
  <c r="C9" i="59"/>
  <c r="D9" i="59"/>
  <c r="E685" i="59"/>
  <c r="D685" i="59"/>
  <c r="C685" i="59"/>
  <c r="H685" i="59"/>
  <c r="AU699" i="59"/>
  <c r="AU806" i="59"/>
  <c r="AU873" i="59"/>
  <c r="AQ958" i="59"/>
  <c r="AL958" i="59"/>
  <c r="AU442" i="59"/>
  <c r="AU726" i="59"/>
  <c r="AU287" i="59"/>
  <c r="AL817" i="59"/>
  <c r="AQ817" i="59"/>
  <c r="E915" i="59"/>
  <c r="D915" i="59"/>
  <c r="C915" i="59"/>
  <c r="H915" i="59"/>
  <c r="E914" i="59"/>
  <c r="D914" i="59"/>
  <c r="H914" i="59"/>
  <c r="C914" i="59"/>
  <c r="H961" i="59"/>
  <c r="E961" i="59"/>
  <c r="C961" i="59"/>
  <c r="D961" i="59"/>
  <c r="E976" i="59"/>
  <c r="D976" i="59"/>
  <c r="C976" i="59"/>
  <c r="H976" i="59"/>
  <c r="AQ699" i="59"/>
  <c r="AL699" i="59"/>
  <c r="AR699" i="59"/>
  <c r="AR18" i="59"/>
  <c r="AQ18" i="59"/>
  <c r="AL18" i="59"/>
  <c r="AL257" i="59"/>
  <c r="AQ257" i="59"/>
  <c r="AU988" i="59"/>
  <c r="H628" i="59"/>
  <c r="E628" i="59"/>
  <c r="C628" i="59"/>
  <c r="D628" i="59"/>
  <c r="AL101" i="59"/>
  <c r="AU430" i="59"/>
  <c r="H479" i="59"/>
  <c r="E479" i="59"/>
  <c r="D479" i="59"/>
  <c r="C479" i="59"/>
  <c r="AU355" i="59"/>
  <c r="AU126" i="59"/>
  <c r="AU169" i="59"/>
  <c r="AU88" i="59"/>
  <c r="AL272" i="59"/>
  <c r="AR272" i="59"/>
  <c r="AQ272" i="59"/>
  <c r="AQ838" i="59"/>
  <c r="AL838" i="59"/>
  <c r="AQ855" i="59"/>
  <c r="AL855" i="59"/>
  <c r="E979" i="59"/>
  <c r="D979" i="59"/>
  <c r="C979" i="59"/>
  <c r="H979" i="59"/>
  <c r="C59" i="30"/>
  <c r="D59" i="30"/>
  <c r="E59" i="30"/>
  <c r="H59" i="30"/>
  <c r="I59" i="30"/>
  <c r="AT59" i="30"/>
  <c r="AP59" i="30"/>
  <c r="AK59" i="30"/>
  <c r="AQ51" i="30"/>
  <c r="AP51" i="30"/>
  <c r="AK51" i="30"/>
  <c r="H51" i="30"/>
  <c r="I51" i="30"/>
  <c r="E51" i="30"/>
  <c r="D51" i="30"/>
  <c r="C51" i="30"/>
  <c r="AT51" i="30"/>
  <c r="I52" i="30"/>
  <c r="E52" i="30"/>
  <c r="C52" i="30"/>
  <c r="D52" i="30"/>
  <c r="H52" i="30"/>
  <c r="AT52" i="30"/>
  <c r="AK52" i="30"/>
  <c r="AQ52" i="30"/>
  <c r="BD52" i="30" s="1"/>
  <c r="AP52" i="30"/>
  <c r="D14" i="30"/>
  <c r="I14" i="30"/>
  <c r="E14" i="30"/>
  <c r="H14" i="30"/>
  <c r="C14" i="30"/>
  <c r="AT14" i="30"/>
  <c r="AK14" i="30"/>
  <c r="AQ14" i="30"/>
  <c r="BD14" i="30" s="1"/>
  <c r="AP14" i="30"/>
  <c r="N4" i="27"/>
  <c r="N35" i="27"/>
  <c r="AR939" i="59" s="1"/>
  <c r="N36" i="27"/>
  <c r="N37" i="27"/>
  <c r="AR845" i="59" s="1"/>
  <c r="N34" i="27"/>
  <c r="AR359" i="59" s="1"/>
  <c r="N32" i="27"/>
  <c r="AR380" i="59" s="1"/>
  <c r="N33" i="27"/>
  <c r="C62" i="30"/>
  <c r="D62" i="30"/>
  <c r="D69" i="30"/>
  <c r="C69" i="30"/>
  <c r="C66" i="30"/>
  <c r="D66" i="30"/>
  <c r="C68" i="30"/>
  <c r="D68" i="30"/>
  <c r="C63" i="30"/>
  <c r="D63" i="30"/>
  <c r="C67" i="30"/>
  <c r="D67" i="30"/>
  <c r="C65" i="30"/>
  <c r="D65" i="30"/>
  <c r="C61" i="30"/>
  <c r="D61" i="30"/>
  <c r="C64" i="30"/>
  <c r="D64" i="30"/>
  <c r="C60" i="30"/>
  <c r="D60" i="30"/>
  <c r="D70" i="30"/>
  <c r="C70" i="30"/>
  <c r="D56" i="30"/>
  <c r="C56" i="30"/>
  <c r="C58" i="30"/>
  <c r="D58" i="30"/>
  <c r="C39" i="30"/>
  <c r="D39" i="30"/>
  <c r="C57" i="30"/>
  <c r="D57" i="30"/>
  <c r="D49" i="30"/>
  <c r="C49" i="30"/>
  <c r="C54" i="30"/>
  <c r="D54" i="30"/>
  <c r="C50" i="30"/>
  <c r="D50" i="30"/>
  <c r="D41" i="30"/>
  <c r="C41" i="30"/>
  <c r="C53" i="30"/>
  <c r="D53" i="30"/>
  <c r="C48" i="30"/>
  <c r="D48" i="30"/>
  <c r="C45" i="30"/>
  <c r="D45" i="30"/>
  <c r="D44" i="30"/>
  <c r="C44" i="30"/>
  <c r="C46" i="30"/>
  <c r="D46" i="30"/>
  <c r="C55" i="30"/>
  <c r="D55" i="30"/>
  <c r="D47" i="30"/>
  <c r="C47" i="30"/>
  <c r="C43" i="30"/>
  <c r="D43" i="30"/>
  <c r="C42" i="30"/>
  <c r="D42" i="30"/>
  <c r="G43" i="30"/>
  <c r="G44" i="30"/>
  <c r="AK44" i="30" s="1"/>
  <c r="G33" i="30"/>
  <c r="G42" i="30"/>
  <c r="AP38" i="30"/>
  <c r="AK38" i="30"/>
  <c r="AT38" i="30"/>
  <c r="E38" i="30"/>
  <c r="H38" i="30"/>
  <c r="I38" i="30"/>
  <c r="C38" i="30"/>
  <c r="D38" i="30"/>
  <c r="N72" i="27"/>
  <c r="AR605" i="59" s="1"/>
  <c r="N71" i="27"/>
  <c r="AR79" i="59" s="1"/>
  <c r="N86" i="27"/>
  <c r="A8" i="52"/>
  <c r="N83" i="27"/>
  <c r="E11" i="49"/>
  <c r="DK11" i="49" s="1"/>
  <c r="B20" i="49"/>
  <c r="C8" i="48"/>
  <c r="E8" i="48" s="1"/>
  <c r="BX8" i="48" s="1"/>
  <c r="A23" i="48"/>
  <c r="AT36" i="58"/>
  <c r="AT16" i="58"/>
  <c r="AT25" i="58"/>
  <c r="AK65" i="58"/>
  <c r="AP65" i="58"/>
  <c r="H65" i="58"/>
  <c r="I65" i="58"/>
  <c r="C65" i="58"/>
  <c r="E65" i="58"/>
  <c r="D65" i="58"/>
  <c r="H57" i="58"/>
  <c r="E57" i="58"/>
  <c r="I57" i="58"/>
  <c r="C57" i="58"/>
  <c r="D57" i="58"/>
  <c r="AK15" i="58"/>
  <c r="AP15" i="58"/>
  <c r="AT51" i="58"/>
  <c r="AT28" i="58"/>
  <c r="I38" i="58"/>
  <c r="E38" i="58"/>
  <c r="H38" i="58"/>
  <c r="C38" i="58"/>
  <c r="D38" i="58"/>
  <c r="H28" i="58"/>
  <c r="I28" i="58"/>
  <c r="C28" i="58"/>
  <c r="D28" i="58"/>
  <c r="E28" i="58"/>
  <c r="AP35" i="58"/>
  <c r="AK35" i="58"/>
  <c r="AP24" i="58"/>
  <c r="AK24" i="58"/>
  <c r="D45" i="58"/>
  <c r="E45" i="58"/>
  <c r="H45" i="58"/>
  <c r="I45" i="58"/>
  <c r="C45" i="58"/>
  <c r="AT44" i="58"/>
  <c r="H64" i="58"/>
  <c r="I64" i="58"/>
  <c r="C64" i="58"/>
  <c r="D64" i="58"/>
  <c r="E64" i="58"/>
  <c r="AK40" i="58"/>
  <c r="AP40" i="58"/>
  <c r="E20" i="58"/>
  <c r="H20" i="58"/>
  <c r="I20" i="58"/>
  <c r="D20" i="58"/>
  <c r="C20" i="58"/>
  <c r="I47" i="58"/>
  <c r="E47" i="58"/>
  <c r="D47" i="58"/>
  <c r="C47" i="58"/>
  <c r="H47" i="58"/>
  <c r="E9" i="58"/>
  <c r="C9" i="58"/>
  <c r="H9" i="58"/>
  <c r="I9" i="58"/>
  <c r="D9" i="58"/>
  <c r="H67" i="58"/>
  <c r="I67" i="58"/>
  <c r="E67" i="58"/>
  <c r="C67" i="58"/>
  <c r="D67" i="58"/>
  <c r="H27" i="58"/>
  <c r="I27" i="58"/>
  <c r="C27" i="58"/>
  <c r="E27" i="58"/>
  <c r="D27" i="58"/>
  <c r="AT29" i="58"/>
  <c r="H18" i="58"/>
  <c r="C18" i="58"/>
  <c r="E18" i="58"/>
  <c r="I18" i="58"/>
  <c r="D18" i="58"/>
  <c r="AT5" i="58"/>
  <c r="E6" i="58"/>
  <c r="D6" i="58"/>
  <c r="H6" i="58"/>
  <c r="I6" i="58"/>
  <c r="C6" i="58"/>
  <c r="H34" i="58"/>
  <c r="I34" i="58"/>
  <c r="E34" i="58"/>
  <c r="D34" i="58"/>
  <c r="C34" i="58"/>
  <c r="H58" i="58"/>
  <c r="I58" i="58"/>
  <c r="D58" i="58"/>
  <c r="E58" i="58"/>
  <c r="C58" i="58"/>
  <c r="AP45" i="58"/>
  <c r="AK45" i="58"/>
  <c r="AT33" i="58"/>
  <c r="E43" i="58"/>
  <c r="H43" i="58"/>
  <c r="I43" i="58"/>
  <c r="C43" i="58"/>
  <c r="D43" i="58"/>
  <c r="AK38" i="58"/>
  <c r="AP38" i="58"/>
  <c r="AT58" i="58"/>
  <c r="AT6" i="58"/>
  <c r="AK43" i="58"/>
  <c r="AP43" i="58"/>
  <c r="AK34" i="58"/>
  <c r="AP34" i="58"/>
  <c r="AT54" i="58"/>
  <c r="AT35" i="58"/>
  <c r="AT31" i="58"/>
  <c r="E35" i="58"/>
  <c r="H35" i="58"/>
  <c r="I35" i="58"/>
  <c r="D35" i="58"/>
  <c r="C35" i="58"/>
  <c r="AT11" i="58"/>
  <c r="H44" i="58"/>
  <c r="I44" i="58"/>
  <c r="E44" i="58"/>
  <c r="D44" i="58"/>
  <c r="C44" i="58"/>
  <c r="AT7" i="58"/>
  <c r="H36" i="58"/>
  <c r="E36" i="58"/>
  <c r="I36" i="58"/>
  <c r="C36" i="58"/>
  <c r="D36" i="58"/>
  <c r="AT63" i="58"/>
  <c r="AT23" i="58"/>
  <c r="AP68" i="58"/>
  <c r="AK68" i="58"/>
  <c r="AP39" i="58"/>
  <c r="AK39" i="58"/>
  <c r="H12" i="58"/>
  <c r="I12" i="58"/>
  <c r="C12" i="58"/>
  <c r="D12" i="58"/>
  <c r="E12" i="58"/>
  <c r="AT48" i="58"/>
  <c r="AT38" i="58"/>
  <c r="I59" i="58"/>
  <c r="H59" i="58"/>
  <c r="E59" i="58"/>
  <c r="C59" i="58"/>
  <c r="D59" i="58"/>
  <c r="E51" i="58"/>
  <c r="I51" i="58"/>
  <c r="H51" i="58"/>
  <c r="D51" i="58"/>
  <c r="C51" i="58"/>
  <c r="AP31" i="58"/>
  <c r="AK31" i="58"/>
  <c r="I54" i="58"/>
  <c r="E54" i="58"/>
  <c r="C54" i="58"/>
  <c r="D54" i="58"/>
  <c r="H54" i="58"/>
  <c r="I33" i="58"/>
  <c r="E33" i="58"/>
  <c r="H33" i="58"/>
  <c r="C33" i="58"/>
  <c r="D33" i="58"/>
  <c r="AP54" i="58"/>
  <c r="AQ54" i="58"/>
  <c r="AK54" i="58"/>
  <c r="AP32" i="58"/>
  <c r="AK32" i="58"/>
  <c r="I42" i="58"/>
  <c r="E42" i="58"/>
  <c r="H42" i="58"/>
  <c r="D42" i="58"/>
  <c r="C42" i="58"/>
  <c r="E7" i="58"/>
  <c r="H7" i="58"/>
  <c r="I7" i="58"/>
  <c r="D7" i="58"/>
  <c r="C7" i="58"/>
  <c r="AT46" i="58"/>
  <c r="H46" i="58"/>
  <c r="I46" i="58"/>
  <c r="D46" i="58"/>
  <c r="E46" i="58"/>
  <c r="C46" i="58"/>
  <c r="D19" i="58"/>
  <c r="E19" i="58"/>
  <c r="H19" i="58"/>
  <c r="I19" i="58"/>
  <c r="C19" i="58"/>
  <c r="AT52" i="58"/>
  <c r="AK69" i="58"/>
  <c r="AP69" i="58"/>
  <c r="E32" i="58"/>
  <c r="H32" i="58"/>
  <c r="I32" i="58"/>
  <c r="D32" i="58"/>
  <c r="C32" i="58"/>
  <c r="AT42" i="58"/>
  <c r="AT15" i="58"/>
  <c r="AK33" i="58"/>
  <c r="AP33" i="58"/>
  <c r="AT17" i="58"/>
  <c r="AT21" i="58"/>
  <c r="E48" i="58"/>
  <c r="H48" i="58"/>
  <c r="I48" i="58"/>
  <c r="C48" i="58"/>
  <c r="D48" i="58"/>
  <c r="AT12" i="58"/>
  <c r="AK41" i="58"/>
  <c r="AP41" i="58"/>
  <c r="AT41" i="58"/>
  <c r="AT47" i="58"/>
  <c r="AT67" i="58"/>
  <c r="E49" i="58"/>
  <c r="C49" i="58"/>
  <c r="I49" i="58"/>
  <c r="H49" i="58"/>
  <c r="D49" i="58"/>
  <c r="AT8" i="58"/>
  <c r="H53" i="58"/>
  <c r="I53" i="58"/>
  <c r="C53" i="58"/>
  <c r="D53" i="58"/>
  <c r="E53" i="58"/>
  <c r="AT10" i="58"/>
  <c r="AT60" i="58"/>
  <c r="AT59" i="58"/>
  <c r="I69" i="58"/>
  <c r="H69" i="58"/>
  <c r="E69" i="58"/>
  <c r="C69" i="58"/>
  <c r="D69" i="58"/>
  <c r="AP70" i="58"/>
  <c r="AK70" i="58"/>
  <c r="E62" i="58"/>
  <c r="H62" i="58"/>
  <c r="C62" i="58"/>
  <c r="I62" i="58"/>
  <c r="D62" i="58"/>
  <c r="AT56" i="58"/>
  <c r="AT50" i="58"/>
  <c r="AT68" i="58"/>
  <c r="AK26" i="58"/>
  <c r="I25" i="58"/>
  <c r="E25" i="58"/>
  <c r="H25" i="58"/>
  <c r="D25" i="58"/>
  <c r="C25" i="58"/>
  <c r="AT13" i="58"/>
  <c r="AK48" i="58"/>
  <c r="AK11" i="58"/>
  <c r="AP11" i="58"/>
  <c r="AK13" i="58"/>
  <c r="AT65" i="58"/>
  <c r="I41" i="58"/>
  <c r="H41" i="58"/>
  <c r="C41" i="58"/>
  <c r="D41" i="58"/>
  <c r="E41" i="58"/>
  <c r="AT45" i="58"/>
  <c r="AT66" i="58"/>
  <c r="AT30" i="58"/>
  <c r="E56" i="58"/>
  <c r="I56" i="58"/>
  <c r="C56" i="58"/>
  <c r="H56" i="58"/>
  <c r="D56" i="58"/>
  <c r="H63" i="58"/>
  <c r="I63" i="58"/>
  <c r="D63" i="58"/>
  <c r="E63" i="58"/>
  <c r="C63" i="58"/>
  <c r="AT53" i="58"/>
  <c r="AT18" i="58"/>
  <c r="E61" i="58"/>
  <c r="H61" i="58"/>
  <c r="I61" i="58"/>
  <c r="C61" i="58"/>
  <c r="D61" i="58"/>
  <c r="H29" i="58"/>
  <c r="C29" i="58"/>
  <c r="E29" i="58"/>
  <c r="I29" i="58"/>
  <c r="D29" i="58"/>
  <c r="E68" i="58"/>
  <c r="H68" i="58"/>
  <c r="I68" i="58"/>
  <c r="C68" i="58"/>
  <c r="D68" i="58"/>
  <c r="AT61" i="58"/>
  <c r="E16" i="58"/>
  <c r="H16" i="58"/>
  <c r="I16" i="58"/>
  <c r="C16" i="58"/>
  <c r="D16" i="58"/>
  <c r="AT24" i="58"/>
  <c r="AT40" i="58"/>
  <c r="I60" i="58"/>
  <c r="H60" i="58"/>
  <c r="C60" i="58"/>
  <c r="E60" i="58"/>
  <c r="D60" i="58"/>
  <c r="H50" i="58"/>
  <c r="I50" i="58"/>
  <c r="E50" i="58"/>
  <c r="C50" i="58"/>
  <c r="D50" i="58"/>
  <c r="AT37" i="58"/>
  <c r="AT69" i="58"/>
  <c r="H26" i="58"/>
  <c r="I26" i="58"/>
  <c r="E26" i="58"/>
  <c r="C26" i="58"/>
  <c r="D26" i="58"/>
  <c r="H10" i="58"/>
  <c r="D10" i="58"/>
  <c r="E10" i="58"/>
  <c r="I10" i="58"/>
  <c r="C10" i="58"/>
  <c r="H15" i="58"/>
  <c r="I15" i="58"/>
  <c r="E15" i="58"/>
  <c r="C15" i="58"/>
  <c r="D15" i="58"/>
  <c r="AT26" i="58"/>
  <c r="E31" i="58"/>
  <c r="H31" i="58"/>
  <c r="I31" i="58"/>
  <c r="C31" i="58"/>
  <c r="D31" i="58"/>
  <c r="E24" i="58"/>
  <c r="H24" i="58"/>
  <c r="I24" i="58"/>
  <c r="C24" i="58"/>
  <c r="D24" i="58"/>
  <c r="AT64" i="58"/>
  <c r="H40" i="58"/>
  <c r="I40" i="58"/>
  <c r="E40" i="58"/>
  <c r="C40" i="58"/>
  <c r="D40" i="58"/>
  <c r="AP44" i="58"/>
  <c r="AK44" i="58"/>
  <c r="E39" i="58"/>
  <c r="I39" i="58"/>
  <c r="H39" i="58"/>
  <c r="C39" i="58"/>
  <c r="D39" i="58"/>
  <c r="H52" i="58"/>
  <c r="I52" i="58"/>
  <c r="E52" i="58"/>
  <c r="D52" i="58"/>
  <c r="C52" i="58"/>
  <c r="E22" i="58"/>
  <c r="H22" i="58"/>
  <c r="I22" i="58"/>
  <c r="C22" i="58"/>
  <c r="D22" i="58"/>
  <c r="AT22" i="58"/>
  <c r="AT55" i="58"/>
  <c r="AT43" i="58"/>
  <c r="H70" i="58"/>
  <c r="I70" i="58"/>
  <c r="E70" i="58"/>
  <c r="D70" i="58"/>
  <c r="C70" i="58"/>
  <c r="AT70" i="58"/>
  <c r="H8" i="58"/>
  <c r="I8" i="58"/>
  <c r="E8" i="58"/>
  <c r="C8" i="58"/>
  <c r="D8" i="58"/>
  <c r="AK28" i="58"/>
  <c r="AP28" i="58"/>
  <c r="D17" i="58"/>
  <c r="E17" i="58"/>
  <c r="H17" i="58"/>
  <c r="I17" i="58"/>
  <c r="C17" i="58"/>
  <c r="E21" i="58"/>
  <c r="H21" i="58"/>
  <c r="I21" i="58"/>
  <c r="D21" i="58"/>
  <c r="C21" i="58"/>
  <c r="AP21" i="58"/>
  <c r="AK21" i="58"/>
  <c r="E13" i="58"/>
  <c r="H13" i="58"/>
  <c r="I13" i="58"/>
  <c r="C13" i="58"/>
  <c r="D13" i="58"/>
  <c r="AK12" i="58"/>
  <c r="AP12" i="58"/>
  <c r="AT39" i="58"/>
  <c r="E66" i="58"/>
  <c r="H66" i="58"/>
  <c r="I66" i="58"/>
  <c r="D66" i="58"/>
  <c r="C66" i="58"/>
  <c r="AK50" i="58"/>
  <c r="AP50" i="58"/>
  <c r="H30" i="58"/>
  <c r="I30" i="58"/>
  <c r="E30" i="58"/>
  <c r="C30" i="58"/>
  <c r="D30" i="58"/>
  <c r="AT57" i="58"/>
  <c r="AT19" i="58"/>
  <c r="E37" i="58"/>
  <c r="I37" i="58"/>
  <c r="H37" i="58"/>
  <c r="C37" i="58"/>
  <c r="D37" i="58"/>
  <c r="E55" i="58"/>
  <c r="H55" i="58"/>
  <c r="C55" i="58"/>
  <c r="I55" i="58"/>
  <c r="D55" i="58"/>
  <c r="AT62" i="58"/>
  <c r="AK25" i="58"/>
  <c r="AP25" i="58"/>
  <c r="H11" i="58"/>
  <c r="I11" i="58"/>
  <c r="C11" i="58"/>
  <c r="D11" i="58"/>
  <c r="E11" i="58"/>
  <c r="AP42" i="58"/>
  <c r="AK42" i="58"/>
  <c r="AT34" i="58"/>
  <c r="AT9" i="58"/>
  <c r="I23" i="58"/>
  <c r="E23" i="58"/>
  <c r="H23" i="58"/>
  <c r="D23" i="58"/>
  <c r="C23" i="58"/>
  <c r="AP17" i="58"/>
  <c r="AK17" i="58"/>
  <c r="AT32" i="58"/>
  <c r="AK64" i="58"/>
  <c r="AP64" i="58"/>
  <c r="AT20" i="58"/>
  <c r="AT27" i="58"/>
  <c r="AT49" i="58"/>
  <c r="E5" i="58"/>
  <c r="H5" i="58"/>
  <c r="I5" i="58"/>
  <c r="C5" i="58"/>
  <c r="D5" i="58"/>
  <c r="N3" i="27"/>
  <c r="J101" i="27"/>
  <c r="AP26" i="58" s="1"/>
  <c r="J11" i="27"/>
  <c r="J26" i="27"/>
  <c r="J18" i="27"/>
  <c r="J40" i="27"/>
  <c r="J23" i="27"/>
  <c r="D33" i="30"/>
  <c r="C33" i="30"/>
  <c r="B21" i="56"/>
  <c r="B20" i="56"/>
  <c r="B9" i="56"/>
  <c r="B10" i="56"/>
  <c r="CO8" i="49"/>
  <c r="DJ8" i="49"/>
  <c r="AD8" i="49"/>
  <c r="CM8" i="49"/>
  <c r="AW8" i="49"/>
  <c r="DN8" i="49"/>
  <c r="EX6" i="56"/>
  <c r="EY6" i="56" s="1"/>
  <c r="EZ6" i="56" s="1"/>
  <c r="FA6" i="56" s="1"/>
  <c r="FB6" i="56" s="1"/>
  <c r="FC6" i="56" s="1"/>
  <c r="C9" i="54"/>
  <c r="B9" i="54"/>
  <c r="B10" i="54"/>
  <c r="B21" i="54"/>
  <c r="E34" i="53"/>
  <c r="D16" i="54"/>
  <c r="D18" i="54"/>
  <c r="D17" i="54"/>
  <c r="A19" i="54"/>
  <c r="A8" i="54"/>
  <c r="BX1" i="54"/>
  <c r="BY6" i="54"/>
  <c r="BZ6" i="54" s="1"/>
  <c r="CA6" i="54" s="1"/>
  <c r="CB6" i="54" s="1"/>
  <c r="CC6" i="54" s="1"/>
  <c r="CD6" i="54" s="1"/>
  <c r="CE6" i="54" s="1"/>
  <c r="BZ8" i="49"/>
  <c r="AI8" i="49"/>
  <c r="CI8" i="49"/>
  <c r="P8" i="49"/>
  <c r="DC8" i="49"/>
  <c r="AZ8" i="49"/>
  <c r="R8" i="49"/>
  <c r="N8" i="49"/>
  <c r="BJ8" i="49"/>
  <c r="BL8" i="49"/>
  <c r="DG8" i="49"/>
  <c r="DS8" i="49"/>
  <c r="AT8" i="49"/>
  <c r="CW8" i="49"/>
  <c r="BQ8" i="49"/>
  <c r="DO8" i="49"/>
  <c r="BH8" i="49"/>
  <c r="CK8" i="49"/>
  <c r="BV8" i="49"/>
  <c r="H8" i="49"/>
  <c r="CL8" i="49"/>
  <c r="DF8" i="49"/>
  <c r="BW8" i="49"/>
  <c r="BC8" i="49"/>
  <c r="AV8" i="49"/>
  <c r="BU8" i="49"/>
  <c r="BM8" i="49"/>
  <c r="CT8" i="49"/>
  <c r="AC8" i="49"/>
  <c r="AY8" i="49"/>
  <c r="BB8" i="49"/>
  <c r="DA8" i="49"/>
  <c r="AP8" i="49"/>
  <c r="J8" i="49"/>
  <c r="CS8" i="49"/>
  <c r="CP8" i="49"/>
  <c r="BY8" i="49"/>
  <c r="CN8" i="49"/>
  <c r="DE8" i="49"/>
  <c r="S8" i="49"/>
  <c r="CV8" i="49"/>
  <c r="BT8" i="49"/>
  <c r="AU8" i="49"/>
  <c r="DP8" i="49"/>
  <c r="L8" i="49"/>
  <c r="CY8" i="49"/>
  <c r="DH8" i="49"/>
  <c r="U8" i="49"/>
  <c r="AQ8" i="49"/>
  <c r="AN8" i="49"/>
  <c r="DR8" i="49"/>
  <c r="CC8" i="49"/>
  <c r="AK8" i="49"/>
  <c r="BG8" i="49"/>
  <c r="X8" i="49"/>
  <c r="F8" i="49"/>
  <c r="W8" i="49"/>
  <c r="CE8" i="49"/>
  <c r="CR8" i="49"/>
  <c r="V8" i="49"/>
  <c r="Y8" i="49"/>
  <c r="DL8" i="49"/>
  <c r="DM8" i="49"/>
  <c r="CA8" i="49"/>
  <c r="AF8" i="49"/>
  <c r="AA8" i="49"/>
  <c r="CF8" i="49"/>
  <c r="CQ8" i="49"/>
  <c r="AJ8" i="49"/>
  <c r="BD8" i="49"/>
  <c r="AX8" i="49"/>
  <c r="BX8" i="49"/>
  <c r="DB8" i="49"/>
  <c r="AS8" i="49"/>
  <c r="DI8" i="49"/>
  <c r="CZ8" i="49"/>
  <c r="AL8" i="49"/>
  <c r="BS8" i="49"/>
  <c r="BR8" i="49"/>
  <c r="AH8" i="49"/>
  <c r="T8" i="49"/>
  <c r="AB8" i="49"/>
  <c r="CD8" i="49"/>
  <c r="BO8" i="49"/>
  <c r="I8" i="49"/>
  <c r="DK8" i="49"/>
  <c r="BF8" i="49"/>
  <c r="CB8" i="49"/>
  <c r="AM8" i="49"/>
  <c r="DD8" i="49"/>
  <c r="M8" i="49"/>
  <c r="Q8" i="49"/>
  <c r="AR8" i="49"/>
  <c r="BP8" i="49"/>
  <c r="CX8" i="49"/>
  <c r="BK8" i="49"/>
  <c r="BA8" i="49"/>
  <c r="CG8" i="49"/>
  <c r="K8" i="49"/>
  <c r="AO8" i="49"/>
  <c r="BI8" i="49"/>
  <c r="Z8" i="49"/>
  <c r="DT8" i="49"/>
  <c r="CJ8" i="49"/>
  <c r="O8" i="49"/>
  <c r="CU8" i="49"/>
  <c r="BE8" i="49"/>
  <c r="AG8" i="49"/>
  <c r="DQ8" i="49"/>
  <c r="AE8" i="49"/>
  <c r="CH8" i="49"/>
  <c r="G8" i="49"/>
  <c r="N5" i="27"/>
  <c r="G29" i="30"/>
  <c r="G37" i="30"/>
  <c r="G7" i="30"/>
  <c r="G40" i="30"/>
  <c r="H25" i="30"/>
  <c r="G34" i="30"/>
  <c r="G30" i="30"/>
  <c r="AP30" i="30" s="1"/>
  <c r="G9" i="30"/>
  <c r="G17" i="30"/>
  <c r="C24" i="30"/>
  <c r="G36" i="30"/>
  <c r="G28" i="30"/>
  <c r="H34" i="30"/>
  <c r="G11" i="30"/>
  <c r="G21" i="30"/>
  <c r="G13" i="30"/>
  <c r="G25" i="30"/>
  <c r="G5" i="30"/>
  <c r="G19" i="30"/>
  <c r="G35" i="30"/>
  <c r="G8" i="30"/>
  <c r="G20" i="30"/>
  <c r="G10" i="30"/>
  <c r="G16" i="30"/>
  <c r="G31" i="30"/>
  <c r="B10" i="49"/>
  <c r="C9" i="49"/>
  <c r="E9" i="49" s="1"/>
  <c r="C10" i="49" s="1"/>
  <c r="B9" i="49"/>
  <c r="D10" i="49"/>
  <c r="N22" i="27"/>
  <c r="N47" i="27"/>
  <c r="N21" i="27"/>
  <c r="N7" i="27"/>
  <c r="AQ42" i="58" s="1"/>
  <c r="N19" i="27"/>
  <c r="N105" i="27"/>
  <c r="AR920" i="59" s="1"/>
  <c r="N104" i="27"/>
  <c r="N56" i="27"/>
  <c r="N57" i="27"/>
  <c r="N8" i="27"/>
  <c r="N82" i="27"/>
  <c r="N88" i="27"/>
  <c r="N100" i="27"/>
  <c r="AP8" i="53"/>
  <c r="AP10" i="53"/>
  <c r="N60" i="27"/>
  <c r="N78" i="27"/>
  <c r="AK70" i="30"/>
  <c r="AP70" i="30"/>
  <c r="AK68" i="30"/>
  <c r="AP68" i="30"/>
  <c r="AK67" i="30"/>
  <c r="AP67" i="30"/>
  <c r="AQ67" i="30"/>
  <c r="E53" i="30"/>
  <c r="H53" i="30"/>
  <c r="I53" i="30"/>
  <c r="AK41" i="30"/>
  <c r="AP41" i="30"/>
  <c r="AQ41" i="30"/>
  <c r="AT70" i="30"/>
  <c r="AK61" i="30"/>
  <c r="AP61" i="30"/>
  <c r="AK66" i="30"/>
  <c r="AP66" i="30"/>
  <c r="AQ66" i="30"/>
  <c r="E64" i="30"/>
  <c r="H64" i="30"/>
  <c r="I64" i="30"/>
  <c r="AT62" i="30"/>
  <c r="E62" i="30"/>
  <c r="H62" i="30"/>
  <c r="I62" i="30"/>
  <c r="E58" i="30"/>
  <c r="H58" i="30"/>
  <c r="I58" i="30"/>
  <c r="E67" i="30"/>
  <c r="I67" i="30"/>
  <c r="H67" i="30"/>
  <c r="AT41" i="30"/>
  <c r="AK49" i="30"/>
  <c r="AP49" i="30"/>
  <c r="AQ49" i="30"/>
  <c r="AT60" i="30"/>
  <c r="AT54" i="30"/>
  <c r="AT56" i="30"/>
  <c r="E70" i="30"/>
  <c r="H70" i="30"/>
  <c r="I70" i="30"/>
  <c r="AT64" i="30"/>
  <c r="E57" i="30"/>
  <c r="H57" i="30"/>
  <c r="I57" i="30"/>
  <c r="AT67" i="30"/>
  <c r="AT50" i="30"/>
  <c r="E42" i="30"/>
  <c r="H42" i="30"/>
  <c r="I42" i="30"/>
  <c r="AT55" i="30"/>
  <c r="AK62" i="30"/>
  <c r="AP62" i="30"/>
  <c r="AQ62" i="30"/>
  <c r="E63" i="30"/>
  <c r="H63" i="30"/>
  <c r="I63" i="30"/>
  <c r="E48" i="30"/>
  <c r="H48" i="30"/>
  <c r="I48" i="30"/>
  <c r="E49" i="30"/>
  <c r="H49" i="30"/>
  <c r="I49" i="30"/>
  <c r="E41" i="30"/>
  <c r="H41" i="30"/>
  <c r="I41" i="30"/>
  <c r="AK46" i="30"/>
  <c r="AP46" i="30"/>
  <c r="AT63" i="30"/>
  <c r="AK54" i="30"/>
  <c r="AP54" i="30"/>
  <c r="AT61" i="30"/>
  <c r="AT43" i="30"/>
  <c r="AK48" i="30"/>
  <c r="AP48" i="30"/>
  <c r="AQ48" i="30"/>
  <c r="AT45" i="30"/>
  <c r="AT42" i="30"/>
  <c r="AK56" i="30"/>
  <c r="AP56" i="30"/>
  <c r="AT57" i="30"/>
  <c r="E45" i="30"/>
  <c r="H45" i="30"/>
  <c r="I45" i="30"/>
  <c r="E50" i="30"/>
  <c r="H50" i="30"/>
  <c r="I50" i="30"/>
  <c r="E44" i="30"/>
  <c r="H44" i="30"/>
  <c r="I44" i="30"/>
  <c r="E43" i="30"/>
  <c r="I43" i="30"/>
  <c r="H43" i="30"/>
  <c r="E39" i="30"/>
  <c r="I39" i="30"/>
  <c r="H39" i="30"/>
  <c r="AK60" i="30"/>
  <c r="AP60" i="30"/>
  <c r="AQ60" i="30"/>
  <c r="E56" i="30"/>
  <c r="H56" i="30"/>
  <c r="I56" i="30"/>
  <c r="AT39" i="30"/>
  <c r="AT58" i="30"/>
  <c r="AT44" i="30"/>
  <c r="AK63" i="30"/>
  <c r="AK50" i="30"/>
  <c r="AP50" i="30"/>
  <c r="AQ50" i="30"/>
  <c r="AT33" i="30"/>
  <c r="AT53" i="30"/>
  <c r="E55" i="30"/>
  <c r="H55" i="30"/>
  <c r="I55" i="30"/>
  <c r="E33" i="30"/>
  <c r="H33" i="30"/>
  <c r="I33" i="30"/>
  <c r="E54" i="30"/>
  <c r="H54" i="30"/>
  <c r="I54" i="30"/>
  <c r="AT48" i="30"/>
  <c r="AK64" i="30"/>
  <c r="AP64" i="30"/>
  <c r="E66" i="30"/>
  <c r="H66" i="30"/>
  <c r="I66" i="30"/>
  <c r="AK58" i="30"/>
  <c r="AP58" i="30"/>
  <c r="AT49" i="30"/>
  <c r="AK45" i="30"/>
  <c r="AP45" i="30"/>
  <c r="E65" i="30"/>
  <c r="I65" i="30"/>
  <c r="H65" i="30"/>
  <c r="AK57" i="30"/>
  <c r="AP57" i="30"/>
  <c r="AQ57" i="30"/>
  <c r="E46" i="30"/>
  <c r="I46" i="30"/>
  <c r="H46" i="30"/>
  <c r="AT65" i="30"/>
  <c r="AT47" i="30"/>
  <c r="AT46" i="30"/>
  <c r="AK65" i="30"/>
  <c r="AP65" i="30"/>
  <c r="E47" i="30"/>
  <c r="H47" i="30"/>
  <c r="I47" i="30"/>
  <c r="AT68" i="30"/>
  <c r="AT66" i="30"/>
  <c r="AK53" i="30"/>
  <c r="AP53" i="30"/>
  <c r="E69" i="30"/>
  <c r="H69" i="30"/>
  <c r="I69" i="30"/>
  <c r="AK47" i="30"/>
  <c r="AP47" i="30"/>
  <c r="AQ47" i="30"/>
  <c r="AK69" i="30"/>
  <c r="AP69" i="30"/>
  <c r="AK39" i="30"/>
  <c r="AP39" i="30"/>
  <c r="AT69" i="30"/>
  <c r="AK55" i="30"/>
  <c r="AP55" i="30"/>
  <c r="E68" i="30"/>
  <c r="H68" i="30"/>
  <c r="I68" i="30"/>
  <c r="E61" i="30"/>
  <c r="H61" i="30"/>
  <c r="I61" i="30"/>
  <c r="E60" i="30"/>
  <c r="H60" i="30"/>
  <c r="I60" i="30"/>
  <c r="N59" i="27"/>
  <c r="AQ56" i="30" s="1"/>
  <c r="T1" i="46"/>
  <c r="U6" i="46"/>
  <c r="V6" i="46" s="1"/>
  <c r="W6" i="46" s="1"/>
  <c r="X6" i="46" s="1"/>
  <c r="Y6" i="46" s="1"/>
  <c r="Z6" i="46" s="1"/>
  <c r="AA6" i="46" s="1"/>
  <c r="B21" i="48"/>
  <c r="B20" i="48"/>
  <c r="N77" i="27"/>
  <c r="N85" i="27"/>
  <c r="N48" i="27"/>
  <c r="N99" i="27"/>
  <c r="N76" i="27"/>
  <c r="N25" i="27"/>
  <c r="N24" i="27"/>
  <c r="N13" i="27"/>
  <c r="AO23" i="53"/>
  <c r="N29" i="27"/>
  <c r="AQ15" i="58" s="1"/>
  <c r="N27" i="27"/>
  <c r="N20" i="27"/>
  <c r="N18" i="27"/>
  <c r="N38" i="27"/>
  <c r="N31" i="27"/>
  <c r="AQ28" i="58" s="1"/>
  <c r="N101" i="27"/>
  <c r="N28" i="27"/>
  <c r="AQ12" i="58" s="1"/>
  <c r="N15" i="27"/>
  <c r="AP7" i="53" s="1"/>
  <c r="N16" i="27"/>
  <c r="N12" i="27"/>
  <c r="N14" i="27"/>
  <c r="N40" i="27"/>
  <c r="N41" i="27"/>
  <c r="AP24" i="53" s="1"/>
  <c r="N17" i="27"/>
  <c r="N39" i="27"/>
  <c r="AP6" i="53" s="1"/>
  <c r="AP32" i="53"/>
  <c r="N91" i="27"/>
  <c r="AQ64" i="58" s="1"/>
  <c r="N103" i="27"/>
  <c r="AR690" i="59" s="1"/>
  <c r="N9" i="27"/>
  <c r="N6" i="27"/>
  <c r="N30" i="27"/>
  <c r="N26" i="27"/>
  <c r="N44" i="27"/>
  <c r="AQ50" i="58" s="1"/>
  <c r="N10" i="27"/>
  <c r="N70" i="27"/>
  <c r="N68" i="27"/>
  <c r="AP21" i="53" s="1"/>
  <c r="AO21" i="53"/>
  <c r="AP35" i="53"/>
  <c r="N97" i="27"/>
  <c r="N106" i="27"/>
  <c r="N51" i="27"/>
  <c r="N23" i="27"/>
  <c r="N62" i="27"/>
  <c r="N11" i="27"/>
  <c r="N42" i="27"/>
  <c r="AR956" i="59" s="1"/>
  <c r="N45" i="27"/>
  <c r="W37" i="52"/>
  <c r="O37" i="52"/>
  <c r="AW37" i="52"/>
  <c r="CZ37" i="52"/>
  <c r="AQ37" i="52"/>
  <c r="DB37" i="52"/>
  <c r="C37" i="52"/>
  <c r="U37" i="52"/>
  <c r="CY37" i="52"/>
  <c r="CO37" i="52"/>
  <c r="AE37" i="52"/>
  <c r="CL37" i="52"/>
  <c r="AD37" i="52"/>
  <c r="DS37" i="52"/>
  <c r="AM37" i="52"/>
  <c r="BP37" i="52"/>
  <c r="CA37" i="52"/>
  <c r="CE37" i="52"/>
  <c r="DF37" i="52"/>
  <c r="BS37" i="52"/>
  <c r="DV37" i="52"/>
  <c r="Q37" i="52"/>
  <c r="BC37" i="52"/>
  <c r="BI37" i="52"/>
  <c r="K37" i="52"/>
  <c r="DC37" i="52"/>
  <c r="CM37" i="52"/>
  <c r="BF37" i="52"/>
  <c r="BH37" i="52"/>
  <c r="CR37" i="52"/>
  <c r="CJ37" i="52"/>
  <c r="DX37" i="52"/>
  <c r="AJ37" i="52"/>
  <c r="BO37" i="52"/>
  <c r="BV37" i="52"/>
  <c r="BT37" i="52"/>
  <c r="BR37" i="52"/>
  <c r="B10" i="52"/>
  <c r="DR37" i="52"/>
  <c r="Y37" i="52"/>
  <c r="DP37" i="52"/>
  <c r="DE37" i="52"/>
  <c r="BL37" i="52"/>
  <c r="AI37" i="52"/>
  <c r="BZ37" i="52"/>
  <c r="DT37" i="52"/>
  <c r="AK37" i="52"/>
  <c r="DA37" i="52"/>
  <c r="AG37" i="52"/>
  <c r="AF37" i="52"/>
  <c r="CN37" i="52"/>
  <c r="BM37" i="52"/>
  <c r="AL37" i="52"/>
  <c r="DH37" i="52"/>
  <c r="BA37" i="52"/>
  <c r="CV37" i="52"/>
  <c r="P37" i="52"/>
  <c r="BG37" i="52"/>
  <c r="CG37" i="52"/>
  <c r="DK37" i="52"/>
  <c r="CX37" i="52"/>
  <c r="DQ37" i="52"/>
  <c r="AY37" i="52"/>
  <c r="DL37" i="52"/>
  <c r="CC37" i="52"/>
  <c r="V37" i="52"/>
  <c r="AA37" i="52"/>
  <c r="DO37" i="52"/>
  <c r="CF37" i="52"/>
  <c r="AT37" i="52"/>
  <c r="BE37" i="52"/>
  <c r="CT37" i="52"/>
  <c r="DN37" i="52"/>
  <c r="AR37" i="52"/>
  <c r="AO37" i="52"/>
  <c r="DD37" i="52"/>
  <c r="DG37" i="52"/>
  <c r="AX37" i="52"/>
  <c r="CU37" i="52"/>
  <c r="L37" i="52"/>
  <c r="BY37" i="52"/>
  <c r="DM37" i="52"/>
  <c r="BD37" i="52"/>
  <c r="CS37" i="52"/>
  <c r="N37" i="52"/>
  <c r="CK37" i="52"/>
  <c r="J37" i="52"/>
  <c r="AV37" i="52"/>
  <c r="DJ37" i="52"/>
  <c r="CB37" i="52"/>
  <c r="AN37" i="52"/>
  <c r="DW37" i="52"/>
  <c r="DI37" i="52"/>
  <c r="Z37" i="52"/>
  <c r="BJ37" i="52"/>
  <c r="AU37" i="52"/>
  <c r="BK37" i="52"/>
  <c r="AP37" i="52"/>
  <c r="AH37" i="52"/>
  <c r="BU37" i="52"/>
  <c r="T37" i="52"/>
  <c r="BQ37" i="52"/>
  <c r="AB37" i="52"/>
  <c r="AS37" i="52"/>
  <c r="BN37" i="52"/>
  <c r="X37" i="52"/>
  <c r="CD37" i="52"/>
  <c r="M37" i="52"/>
  <c r="CW37" i="52"/>
  <c r="AC37" i="52"/>
  <c r="BB37" i="52"/>
  <c r="CI37" i="52"/>
  <c r="BW37" i="52"/>
  <c r="R37" i="52"/>
  <c r="BX37" i="52"/>
  <c r="CH37" i="52"/>
  <c r="DU37" i="52"/>
  <c r="AZ37" i="52"/>
  <c r="S37" i="52"/>
  <c r="CP37" i="52"/>
  <c r="CQ37" i="52"/>
  <c r="DR9" i="48"/>
  <c r="P9" i="48"/>
  <c r="H26" i="53"/>
  <c r="D26" i="53"/>
  <c r="W26" i="53" s="1"/>
  <c r="BA9" i="48"/>
  <c r="BI9" i="48"/>
  <c r="R9" i="48"/>
  <c r="AT9" i="48"/>
  <c r="BU9" i="48"/>
  <c r="CC9" i="48"/>
  <c r="DA9" i="48"/>
  <c r="CR9" i="48"/>
  <c r="AC9" i="48"/>
  <c r="AH9" i="48"/>
  <c r="BF9" i="48"/>
  <c r="AK9" i="48"/>
  <c r="W9" i="48"/>
  <c r="J9" i="48"/>
  <c r="AL9" i="48"/>
  <c r="BE9" i="48"/>
  <c r="M9" i="48"/>
  <c r="AY9" i="48"/>
  <c r="DT9" i="48"/>
  <c r="CW9" i="48"/>
  <c r="DD9" i="48"/>
  <c r="T9" i="48"/>
  <c r="CL9" i="48"/>
  <c r="Q9" i="48"/>
  <c r="BX9" i="48"/>
  <c r="CE9" i="48"/>
  <c r="CF9" i="48"/>
  <c r="CM9" i="48"/>
  <c r="L9" i="48"/>
  <c r="BQ9" i="48"/>
  <c r="CX9" i="48"/>
  <c r="CD9" i="48"/>
  <c r="AD9" i="48"/>
  <c r="CQ9" i="48"/>
  <c r="K9" i="48"/>
  <c r="AA9" i="48"/>
  <c r="N9" i="48"/>
  <c r="CO9" i="48"/>
  <c r="BT9" i="48"/>
  <c r="AW9" i="48"/>
  <c r="CI9" i="48"/>
  <c r="DO9" i="48"/>
  <c r="AV9" i="48"/>
  <c r="DF9" i="48"/>
  <c r="AI9" i="48"/>
  <c r="AS9" i="48"/>
  <c r="CP9" i="48"/>
  <c r="CB9" i="48"/>
  <c r="DI9" i="48"/>
  <c r="DQ9" i="48"/>
  <c r="AF9" i="48"/>
  <c r="CS9" i="48"/>
  <c r="DK9" i="48"/>
  <c r="AU9" i="48"/>
  <c r="G9" i="48"/>
  <c r="AB9" i="48"/>
  <c r="Z9" i="48"/>
  <c r="CG9" i="48"/>
  <c r="X9" i="48"/>
  <c r="BY9" i="48"/>
  <c r="DH9" i="48"/>
  <c r="DM9" i="48"/>
  <c r="AE9" i="48"/>
  <c r="CN9" i="48"/>
  <c r="BV9" i="48"/>
  <c r="BP9" i="48"/>
  <c r="BS9" i="48"/>
  <c r="F9" i="48"/>
  <c r="BR9" i="48"/>
  <c r="CY9" i="48"/>
  <c r="AJ9" i="48"/>
  <c r="DS9" i="48"/>
  <c r="CA9" i="48"/>
  <c r="BD9" i="48"/>
  <c r="DJ9" i="48"/>
  <c r="V9" i="48"/>
  <c r="DP9" i="48"/>
  <c r="CT9" i="48"/>
  <c r="AO9" i="48"/>
  <c r="CV9" i="48"/>
  <c r="I9" i="48"/>
  <c r="DB9" i="48"/>
  <c r="CK9" i="48"/>
  <c r="BL9" i="48"/>
  <c r="BZ9" i="48"/>
  <c r="BM9" i="48"/>
  <c r="DG9" i="48"/>
  <c r="DN9" i="48"/>
  <c r="AX9" i="48"/>
  <c r="AG9" i="48"/>
  <c r="H9" i="48"/>
  <c r="DC9" i="48"/>
  <c r="O9" i="48"/>
  <c r="BO9" i="48"/>
  <c r="AN9" i="48"/>
  <c r="DL9" i="48"/>
  <c r="DE9" i="48"/>
  <c r="AR9" i="48"/>
  <c r="U9" i="48"/>
  <c r="CJ9" i="48"/>
  <c r="BK9" i="48"/>
  <c r="BH9" i="48"/>
  <c r="BC9" i="48"/>
  <c r="BG9" i="48"/>
  <c r="BW9" i="48"/>
  <c r="CH9" i="48"/>
  <c r="BB9" i="48"/>
  <c r="Y9" i="48"/>
  <c r="CZ9" i="48"/>
  <c r="BJ9" i="48"/>
  <c r="AP9" i="48"/>
  <c r="AZ9" i="48"/>
  <c r="CU9" i="48"/>
  <c r="S9" i="48"/>
  <c r="BN9" i="48"/>
  <c r="AQ9" i="48"/>
  <c r="I30" i="30"/>
  <c r="E30" i="30"/>
  <c r="D30" i="30"/>
  <c r="H30" i="30"/>
  <c r="C30" i="30"/>
  <c r="AT30" i="30"/>
  <c r="M1" i="49"/>
  <c r="C6" i="53"/>
  <c r="R6" i="53" s="1"/>
  <c r="AZ6" i="53" s="1"/>
  <c r="D20" i="53"/>
  <c r="T20" i="53" s="1"/>
  <c r="H20" i="53"/>
  <c r="H6" i="53"/>
  <c r="AB6" i="48"/>
  <c r="AC6" i="48" s="1"/>
  <c r="AD6" i="48" s="1"/>
  <c r="AE6" i="48" s="1"/>
  <c r="AF6" i="48" s="1"/>
  <c r="AG6" i="48" s="1"/>
  <c r="AH6" i="48" s="1"/>
  <c r="AO19" i="53"/>
  <c r="D7" i="53"/>
  <c r="T7" i="53" s="1"/>
  <c r="H34" i="53"/>
  <c r="AS25" i="53"/>
  <c r="AO32" i="53"/>
  <c r="I13" i="30"/>
  <c r="AP28" i="53"/>
  <c r="AJ32" i="53"/>
  <c r="AS37" i="53"/>
  <c r="A8" i="48"/>
  <c r="AJ28" i="53"/>
  <c r="E20" i="53"/>
  <c r="AS9" i="53"/>
  <c r="AT13" i="30"/>
  <c r="I6" i="53"/>
  <c r="BB6" i="53" s="1"/>
  <c r="AS11" i="53"/>
  <c r="E19" i="53"/>
  <c r="AS5" i="53"/>
  <c r="AT8" i="30"/>
  <c r="AO25" i="53"/>
  <c r="AS31" i="53"/>
  <c r="I25" i="53"/>
  <c r="BB25" i="53" s="1"/>
  <c r="E7" i="53"/>
  <c r="I23" i="53"/>
  <c r="AS14" i="53"/>
  <c r="E36" i="53"/>
  <c r="AS26" i="53"/>
  <c r="AT9" i="30"/>
  <c r="AS12" i="53"/>
  <c r="H32" i="53"/>
  <c r="AS15" i="53"/>
  <c r="D29" i="53"/>
  <c r="AS6" i="53"/>
  <c r="I8" i="53"/>
  <c r="AS10" i="53"/>
  <c r="I29" i="53"/>
  <c r="BB29" i="53" s="1"/>
  <c r="E25" i="53"/>
  <c r="AS36" i="53"/>
  <c r="AJ26" i="53"/>
  <c r="E10" i="53"/>
  <c r="I26" i="53"/>
  <c r="AT34" i="30"/>
  <c r="AS21" i="53"/>
  <c r="E35" i="53"/>
  <c r="I7" i="53"/>
  <c r="AP29" i="53"/>
  <c r="E17" i="53"/>
  <c r="AS24" i="53"/>
  <c r="AS33" i="53"/>
  <c r="H7" i="53"/>
  <c r="C21" i="53"/>
  <c r="H15" i="53"/>
  <c r="I20" i="53"/>
  <c r="I35" i="53"/>
  <c r="D13" i="30"/>
  <c r="H30" i="53"/>
  <c r="H13" i="30"/>
  <c r="C33" i="53"/>
  <c r="H16" i="53"/>
  <c r="AP19" i="53"/>
  <c r="C16" i="53"/>
  <c r="V16" i="53" s="1"/>
  <c r="E26" i="53"/>
  <c r="E8" i="53"/>
  <c r="AS22" i="53"/>
  <c r="E13" i="30"/>
  <c r="AS29" i="53"/>
  <c r="I22" i="53"/>
  <c r="D36" i="53"/>
  <c r="AS18" i="53"/>
  <c r="I16" i="53"/>
  <c r="I17" i="53"/>
  <c r="I37" i="53"/>
  <c r="I36" i="53"/>
  <c r="AS17" i="53"/>
  <c r="E16" i="53"/>
  <c r="E9" i="53"/>
  <c r="AO24" i="53"/>
  <c r="C13" i="30"/>
  <c r="AO29" i="53"/>
  <c r="H23" i="53"/>
  <c r="AS8" i="53"/>
  <c r="AJ33" i="53"/>
  <c r="AP26" i="53"/>
  <c r="E27" i="53"/>
  <c r="AJ7" i="53"/>
  <c r="AP33" i="53"/>
  <c r="E18" i="53"/>
  <c r="H27" i="53"/>
  <c r="E21" i="53"/>
  <c r="I13" i="53"/>
  <c r="BB13" i="53" s="1"/>
  <c r="I18" i="53"/>
  <c r="AT36" i="30"/>
  <c r="E14" i="53"/>
  <c r="E23" i="53"/>
  <c r="AS13" i="53"/>
  <c r="AS23" i="53"/>
  <c r="I28" i="53"/>
  <c r="E28" i="53"/>
  <c r="I32" i="53"/>
  <c r="D32" i="53"/>
  <c r="V32" i="53" s="1"/>
  <c r="AP13" i="53"/>
  <c r="AO13" i="53"/>
  <c r="D13" i="53"/>
  <c r="C13" i="53"/>
  <c r="E29" i="53"/>
  <c r="C29" i="53"/>
  <c r="E15" i="53"/>
  <c r="I15" i="53"/>
  <c r="I19" i="53"/>
  <c r="BB19" i="53" s="1"/>
  <c r="AS20" i="53"/>
  <c r="AS30" i="53"/>
  <c r="E22" i="53"/>
  <c r="AS16" i="53"/>
  <c r="E33" i="53"/>
  <c r="I33" i="53"/>
  <c r="D33" i="53"/>
  <c r="D23" i="53"/>
  <c r="S23" i="53" s="1"/>
  <c r="D28" i="53"/>
  <c r="C28" i="53"/>
  <c r="H28" i="53"/>
  <c r="E11" i="30"/>
  <c r="AO10" i="53"/>
  <c r="AJ10" i="53"/>
  <c r="AT18" i="30"/>
  <c r="I11" i="30"/>
  <c r="D18" i="53"/>
  <c r="T18" i="53" s="1"/>
  <c r="H18" i="53"/>
  <c r="E6" i="53"/>
  <c r="D36" i="30"/>
  <c r="H36" i="30"/>
  <c r="C36" i="30"/>
  <c r="C34" i="30"/>
  <c r="D34" i="30"/>
  <c r="D8" i="53"/>
  <c r="H8" i="53"/>
  <c r="C8" i="53"/>
  <c r="AO6" i="53"/>
  <c r="C36" i="53"/>
  <c r="H36" i="53"/>
  <c r="AS19" i="53"/>
  <c r="AO16" i="53"/>
  <c r="AJ16" i="53"/>
  <c r="AJ23" i="53"/>
  <c r="AP23" i="53"/>
  <c r="E5" i="53"/>
  <c r="I10" i="53"/>
  <c r="E13" i="53"/>
  <c r="AT28" i="30"/>
  <c r="AS35" i="53"/>
  <c r="AP25" i="53"/>
  <c r="H35" i="53"/>
  <c r="D35" i="53"/>
  <c r="S35" i="53" s="1"/>
  <c r="AO30" i="53"/>
  <c r="AP30" i="53"/>
  <c r="AJ30" i="53"/>
  <c r="AJ20" i="53"/>
  <c r="AO20" i="53"/>
  <c r="AP20" i="53"/>
  <c r="AS34" i="53"/>
  <c r="H9" i="53"/>
  <c r="C9" i="53"/>
  <c r="I9" i="53"/>
  <c r="D9" i="53"/>
  <c r="C11" i="30"/>
  <c r="H11" i="30"/>
  <c r="D11" i="30"/>
  <c r="AT24" i="30"/>
  <c r="AS27" i="53"/>
  <c r="H14" i="53"/>
  <c r="I14" i="53"/>
  <c r="D14" i="53"/>
  <c r="C14" i="53"/>
  <c r="AO35" i="53"/>
  <c r="AJ35" i="53"/>
  <c r="AJ31" i="53"/>
  <c r="AO31" i="53"/>
  <c r="AP31" i="53"/>
  <c r="C34" i="53"/>
  <c r="I34" i="53"/>
  <c r="D34" i="53"/>
  <c r="AJ12" i="53"/>
  <c r="AO12" i="53"/>
  <c r="I21" i="53"/>
  <c r="D21" i="53"/>
  <c r="AS32" i="53"/>
  <c r="AP22" i="53"/>
  <c r="AJ22" i="53"/>
  <c r="AO8" i="53"/>
  <c r="AJ8" i="53"/>
  <c r="AT11" i="30"/>
  <c r="E12" i="53"/>
  <c r="H10" i="53"/>
  <c r="C10" i="53"/>
  <c r="D27" i="53"/>
  <c r="S27" i="53" s="1"/>
  <c r="I27" i="53"/>
  <c r="AO27" i="53"/>
  <c r="AP27" i="53"/>
  <c r="AJ27" i="53"/>
  <c r="AT27" i="30"/>
  <c r="AT17" i="30"/>
  <c r="AJ21" i="53"/>
  <c r="D12" i="53"/>
  <c r="H12" i="53"/>
  <c r="I12" i="53"/>
  <c r="BC12" i="53" s="1"/>
  <c r="C12" i="53"/>
  <c r="AJ17" i="53"/>
  <c r="AO17" i="53"/>
  <c r="AP17" i="53"/>
  <c r="AS28" i="53"/>
  <c r="D17" i="53"/>
  <c r="C17" i="53"/>
  <c r="H17" i="53"/>
  <c r="D5" i="53"/>
  <c r="I5" i="53"/>
  <c r="H5" i="53"/>
  <c r="C5" i="53"/>
  <c r="AJ14" i="53"/>
  <c r="AO14" i="53"/>
  <c r="AP14" i="53"/>
  <c r="H22" i="53"/>
  <c r="C22" i="53"/>
  <c r="T22" i="53" s="1"/>
  <c r="AO9" i="53"/>
  <c r="AJ9" i="53"/>
  <c r="AJ36" i="53"/>
  <c r="AP36" i="53"/>
  <c r="AP34" i="53"/>
  <c r="AJ34" i="53"/>
  <c r="AO34" i="53"/>
  <c r="D31" i="53"/>
  <c r="I31" i="53"/>
  <c r="E31" i="53"/>
  <c r="H31" i="53"/>
  <c r="C31" i="53"/>
  <c r="D15" i="53"/>
  <c r="C15" i="53"/>
  <c r="H19" i="53"/>
  <c r="D19" i="53"/>
  <c r="C19" i="53"/>
  <c r="H37" i="53"/>
  <c r="C37" i="53"/>
  <c r="E37" i="53"/>
  <c r="D37" i="53"/>
  <c r="H25" i="53"/>
  <c r="D25" i="53"/>
  <c r="C25" i="53"/>
  <c r="AO11" i="53"/>
  <c r="AJ11" i="53"/>
  <c r="AP11" i="53"/>
  <c r="D30" i="53"/>
  <c r="S30" i="53" s="1"/>
  <c r="I30" i="53"/>
  <c r="E30" i="53"/>
  <c r="E11" i="53"/>
  <c r="I11" i="53"/>
  <c r="H11" i="53"/>
  <c r="C11" i="53"/>
  <c r="D11" i="53"/>
  <c r="AS7" i="53"/>
  <c r="E32" i="53"/>
  <c r="C12" i="30"/>
  <c r="D12" i="30"/>
  <c r="H12" i="30"/>
  <c r="I34" i="30"/>
  <c r="C26" i="30"/>
  <c r="D26" i="30"/>
  <c r="H26" i="30"/>
  <c r="E34" i="30"/>
  <c r="AT31" i="30"/>
  <c r="AT26" i="30"/>
  <c r="AT20" i="30"/>
  <c r="AT23" i="30"/>
  <c r="C24" i="53"/>
  <c r="E24" i="53"/>
  <c r="I24" i="53"/>
  <c r="BB24" i="53" s="1"/>
  <c r="H24" i="53"/>
  <c r="D24" i="53"/>
  <c r="AT5" i="30"/>
  <c r="AT25" i="30"/>
  <c r="AJ37" i="53"/>
  <c r="AP37" i="53"/>
  <c r="AT19" i="30"/>
  <c r="AT40" i="30"/>
  <c r="C20" i="30"/>
  <c r="H20" i="30"/>
  <c r="E20" i="30"/>
  <c r="I20" i="30"/>
  <c r="D20" i="30"/>
  <c r="H7" i="30"/>
  <c r="D7" i="30"/>
  <c r="C7" i="30"/>
  <c r="C9" i="30"/>
  <c r="D9" i="30"/>
  <c r="H9" i="30"/>
  <c r="H10" i="30"/>
  <c r="D10" i="30"/>
  <c r="C10" i="30"/>
  <c r="D19" i="30"/>
  <c r="C19" i="30"/>
  <c r="H19" i="30"/>
  <c r="AT35" i="30"/>
  <c r="AT15" i="30"/>
  <c r="AT32" i="30"/>
  <c r="C5" i="30"/>
  <c r="D5" i="30"/>
  <c r="H5" i="30"/>
  <c r="H22" i="30"/>
  <c r="D22" i="30"/>
  <c r="C22" i="30"/>
  <c r="D35" i="30"/>
  <c r="C35" i="30"/>
  <c r="H35" i="30"/>
  <c r="C15" i="30"/>
  <c r="D15" i="30"/>
  <c r="H15" i="30"/>
  <c r="H23" i="30"/>
  <c r="C23" i="30"/>
  <c r="D23" i="30"/>
  <c r="C16" i="30"/>
  <c r="H16" i="30"/>
  <c r="D16" i="30"/>
  <c r="D25" i="30"/>
  <c r="C25" i="30"/>
  <c r="AT22" i="30"/>
  <c r="H21" i="30"/>
  <c r="C21" i="30"/>
  <c r="D21" i="30"/>
  <c r="H31" i="30"/>
  <c r="D31" i="30"/>
  <c r="C31" i="30"/>
  <c r="D24" i="30"/>
  <c r="H24" i="30"/>
  <c r="E35" i="30"/>
  <c r="I35" i="30"/>
  <c r="H8" i="30"/>
  <c r="C8" i="30"/>
  <c r="E8" i="30"/>
  <c r="I8" i="30"/>
  <c r="D8" i="30"/>
  <c r="C32" i="30"/>
  <c r="D32" i="30"/>
  <c r="H32" i="30"/>
  <c r="AO15" i="53"/>
  <c r="D21" i="48" s="1"/>
  <c r="AJ15" i="53"/>
  <c r="AP15" i="53"/>
  <c r="G24" i="30"/>
  <c r="E24" i="30"/>
  <c r="D27" i="30"/>
  <c r="H27" i="30"/>
  <c r="C27" i="30"/>
  <c r="I24" i="30"/>
  <c r="D29" i="30"/>
  <c r="C29" i="30"/>
  <c r="H29" i="30"/>
  <c r="C40" i="30"/>
  <c r="H40" i="30"/>
  <c r="D40" i="30"/>
  <c r="E40" i="30"/>
  <c r="I40" i="30"/>
  <c r="E9" i="30"/>
  <c r="I9" i="30"/>
  <c r="G15" i="30"/>
  <c r="E15" i="30"/>
  <c r="I15" i="30"/>
  <c r="I17" i="30"/>
  <c r="C17" i="30"/>
  <c r="D17" i="30"/>
  <c r="H17" i="30"/>
  <c r="E17" i="30"/>
  <c r="C18" i="30"/>
  <c r="H18" i="30"/>
  <c r="D18" i="30"/>
  <c r="G22" i="30"/>
  <c r="I22" i="30"/>
  <c r="E22" i="30"/>
  <c r="E36" i="30"/>
  <c r="I36" i="30"/>
  <c r="AT21" i="30"/>
  <c r="G26" i="30"/>
  <c r="E26" i="30"/>
  <c r="I26" i="30"/>
  <c r="E25" i="30"/>
  <c r="I25" i="30"/>
  <c r="T1" i="49"/>
  <c r="U6" i="49"/>
  <c r="V6" i="49" s="1"/>
  <c r="W6" i="49" s="1"/>
  <c r="X6" i="49" s="1"/>
  <c r="Y6" i="49" s="1"/>
  <c r="Z6" i="49" s="1"/>
  <c r="AA6" i="49" s="1"/>
  <c r="I37" i="30"/>
  <c r="H37" i="30"/>
  <c r="D37" i="30"/>
  <c r="C37" i="30"/>
  <c r="E37" i="30"/>
  <c r="AJ5" i="53"/>
  <c r="AO5" i="53"/>
  <c r="AP5" i="53"/>
  <c r="I19" i="30"/>
  <c r="E19" i="30"/>
  <c r="AP18" i="53"/>
  <c r="AJ18" i="53"/>
  <c r="AO18" i="53"/>
  <c r="I29" i="30"/>
  <c r="E29" i="30"/>
  <c r="G27" i="30"/>
  <c r="E27" i="30"/>
  <c r="I27" i="30"/>
  <c r="I16" i="30"/>
  <c r="E16" i="30"/>
  <c r="G18" i="30"/>
  <c r="I18" i="30"/>
  <c r="E18" i="30"/>
  <c r="I31" i="30"/>
  <c r="E31" i="30"/>
  <c r="AT10" i="30"/>
  <c r="G23" i="30"/>
  <c r="E23" i="30"/>
  <c r="I23" i="30"/>
  <c r="AT12" i="30"/>
  <c r="I10" i="30"/>
  <c r="E10" i="30"/>
  <c r="E5" i="30"/>
  <c r="I5" i="30"/>
  <c r="E7" i="30"/>
  <c r="I7" i="30"/>
  <c r="G32" i="30"/>
  <c r="E32" i="30"/>
  <c r="I32" i="30"/>
  <c r="C28" i="30"/>
  <c r="E28" i="30"/>
  <c r="D28" i="30"/>
  <c r="H28" i="30"/>
  <c r="I28" i="30"/>
  <c r="AT37" i="30"/>
  <c r="AT7" i="30"/>
  <c r="I21" i="30"/>
  <c r="E21" i="30"/>
  <c r="AT29" i="30"/>
  <c r="AT16" i="30"/>
  <c r="G12" i="30"/>
  <c r="E12" i="30"/>
  <c r="I12" i="30"/>
  <c r="AQ26" i="58" l="1"/>
  <c r="AQ35" i="58"/>
  <c r="AQ45" i="58"/>
  <c r="AQ63" i="58"/>
  <c r="AQ40" i="58"/>
  <c r="AP29" i="58"/>
  <c r="AQ68" i="58"/>
  <c r="AQ18" i="58"/>
  <c r="BD18" i="58" s="1"/>
  <c r="AP19" i="58"/>
  <c r="W14" i="58"/>
  <c r="BB14" i="58" s="1"/>
  <c r="V14" i="58"/>
  <c r="T14" i="58"/>
  <c r="S14" i="58"/>
  <c r="R14" i="58"/>
  <c r="J14" i="58"/>
  <c r="BC14" i="58"/>
  <c r="BD14" i="58"/>
  <c r="CI8" i="61"/>
  <c r="CO8" i="61"/>
  <c r="BF8" i="61"/>
  <c r="AI8" i="61"/>
  <c r="AO8" i="61"/>
  <c r="J8" i="61"/>
  <c r="AL8" i="61"/>
  <c r="DM8" i="61"/>
  <c r="AU8" i="61"/>
  <c r="AD8" i="61"/>
  <c r="X8" i="61"/>
  <c r="BQ8" i="61"/>
  <c r="BA8" i="61"/>
  <c r="BZ8" i="61"/>
  <c r="AH8" i="61"/>
  <c r="CT8" i="61"/>
  <c r="DG8" i="61"/>
  <c r="T8" i="61"/>
  <c r="CS8" i="61"/>
  <c r="AG8" i="61"/>
  <c r="CW8" i="61"/>
  <c r="L8" i="61"/>
  <c r="BH8" i="61"/>
  <c r="DI8" i="61"/>
  <c r="DC8" i="61"/>
  <c r="Q8" i="61"/>
  <c r="AR8" i="61"/>
  <c r="AN8" i="61"/>
  <c r="O8" i="61"/>
  <c r="AY8" i="61"/>
  <c r="BX8" i="61"/>
  <c r="BR8" i="61"/>
  <c r="DO8" i="61"/>
  <c r="CV8" i="61"/>
  <c r="DQ8" i="61"/>
  <c r="DK8" i="61"/>
  <c r="CP8" i="61"/>
  <c r="DE8" i="61"/>
  <c r="CE8" i="61"/>
  <c r="BJ8" i="61"/>
  <c r="DH8" i="61"/>
  <c r="BG8" i="61"/>
  <c r="S8" i="61"/>
  <c r="DD8" i="61"/>
  <c r="I8" i="61"/>
  <c r="F8" i="61"/>
  <c r="DR8" i="61"/>
  <c r="BB8" i="61"/>
  <c r="CB8" i="61"/>
  <c r="CH8" i="61"/>
  <c r="AM8" i="61"/>
  <c r="BD8" i="61"/>
  <c r="U8" i="61"/>
  <c r="CM8" i="61"/>
  <c r="CL8" i="61"/>
  <c r="BL8" i="61"/>
  <c r="BK8" i="61"/>
  <c r="BS8" i="61"/>
  <c r="AE8" i="61"/>
  <c r="CJ8" i="61"/>
  <c r="CK8" i="61"/>
  <c r="AF8" i="61"/>
  <c r="AK8" i="61"/>
  <c r="BO8" i="61"/>
  <c r="DA8" i="61"/>
  <c r="CG8" i="61"/>
  <c r="CD8" i="61"/>
  <c r="H8" i="61"/>
  <c r="BM8" i="61"/>
  <c r="BT8" i="61"/>
  <c r="BY8" i="61"/>
  <c r="DN8" i="61"/>
  <c r="M8" i="61"/>
  <c r="V8" i="61"/>
  <c r="AS8" i="61"/>
  <c r="AB8" i="61"/>
  <c r="CC8" i="61"/>
  <c r="DP8" i="61"/>
  <c r="BV8" i="61"/>
  <c r="AJ8" i="61"/>
  <c r="AQ8" i="61"/>
  <c r="BW8" i="61"/>
  <c r="DT8" i="61"/>
  <c r="AZ8" i="61"/>
  <c r="G8" i="61"/>
  <c r="DS8" i="61"/>
  <c r="K8" i="61"/>
  <c r="Z8" i="61"/>
  <c r="N8" i="61"/>
  <c r="BE8" i="61"/>
  <c r="DJ8" i="61"/>
  <c r="CF8" i="61"/>
  <c r="BP8" i="61"/>
  <c r="BC8" i="61"/>
  <c r="DL8" i="61"/>
  <c r="AP8" i="61"/>
  <c r="DF8" i="61"/>
  <c r="CX8" i="61"/>
  <c r="AC8" i="61"/>
  <c r="AV8" i="61"/>
  <c r="BI8" i="61"/>
  <c r="R8" i="61"/>
  <c r="CA8" i="61"/>
  <c r="AT8" i="61"/>
  <c r="CR8" i="61"/>
  <c r="CZ8" i="61"/>
  <c r="CU8" i="61"/>
  <c r="Y8" i="61"/>
  <c r="CQ8" i="61"/>
  <c r="AW8" i="61"/>
  <c r="DB8" i="61"/>
  <c r="CN8" i="61"/>
  <c r="AA8" i="61"/>
  <c r="P8" i="61"/>
  <c r="AX8" i="61"/>
  <c r="BU8" i="61"/>
  <c r="W8" i="61"/>
  <c r="CY8" i="61"/>
  <c r="E9" i="61"/>
  <c r="BN9" i="61" s="1"/>
  <c r="BC6" i="30"/>
  <c r="R6" i="30"/>
  <c r="W6" i="30"/>
  <c r="V6" i="30"/>
  <c r="T6" i="30"/>
  <c r="S6" i="30"/>
  <c r="AK8" i="58"/>
  <c r="BC8" i="58" s="1"/>
  <c r="AK46" i="58"/>
  <c r="BC46" i="58" s="1"/>
  <c r="AP6" i="58"/>
  <c r="AK23" i="58"/>
  <c r="BC23" i="58" s="1"/>
  <c r="AK20" i="58"/>
  <c r="BC20" i="58" s="1"/>
  <c r="AQ20" i="58"/>
  <c r="BD20" i="58" s="1"/>
  <c r="AP67" i="58"/>
  <c r="AK30" i="58"/>
  <c r="BC30" i="58" s="1"/>
  <c r="AK51" i="58"/>
  <c r="BC51" i="58" s="1"/>
  <c r="AK53" i="58"/>
  <c r="BC53" i="58" s="1"/>
  <c r="AK29" i="58"/>
  <c r="BC29" i="58" s="1"/>
  <c r="AQ23" i="58"/>
  <c r="BD23" i="58" s="1"/>
  <c r="AK67" i="58"/>
  <c r="BC67" i="58" s="1"/>
  <c r="AP18" i="58"/>
  <c r="AK55" i="58"/>
  <c r="BC55" i="58" s="1"/>
  <c r="AQ55" i="58"/>
  <c r="BD55" i="58" s="1"/>
  <c r="AK16" i="58"/>
  <c r="BC16" i="58" s="1"/>
  <c r="AK27" i="58"/>
  <c r="BC27" i="58" s="1"/>
  <c r="AQ53" i="58"/>
  <c r="BD53" i="58" s="1"/>
  <c r="AK18" i="58"/>
  <c r="BC18" i="58" s="1"/>
  <c r="AK7" i="58"/>
  <c r="BC7" i="58" s="1"/>
  <c r="AQ7" i="58"/>
  <c r="BD7" i="58" s="1"/>
  <c r="AK61" i="58"/>
  <c r="BC61" i="58" s="1"/>
  <c r="AQ61" i="58"/>
  <c r="BD61" i="58" s="1"/>
  <c r="AK63" i="58"/>
  <c r="BC63" i="58" s="1"/>
  <c r="AQ46" i="58"/>
  <c r="BD46" i="58" s="1"/>
  <c r="AQ58" i="58"/>
  <c r="BD58" i="58" s="1"/>
  <c r="AP63" i="58"/>
  <c r="AP58" i="58"/>
  <c r="AK6" i="58"/>
  <c r="BC6" i="58" s="1"/>
  <c r="AP59" i="58"/>
  <c r="BC19" i="58"/>
  <c r="AQ19" i="58"/>
  <c r="BD19" i="58" s="1"/>
  <c r="AP57" i="58"/>
  <c r="AQ37" i="58"/>
  <c r="BD37" i="58" s="1"/>
  <c r="AP37" i="58"/>
  <c r="AK56" i="58"/>
  <c r="BC56" i="58" s="1"/>
  <c r="AQ56" i="58"/>
  <c r="BD56" i="58" s="1"/>
  <c r="AP10" i="58"/>
  <c r="AK10" i="58"/>
  <c r="BC10" i="58" s="1"/>
  <c r="AP60" i="58"/>
  <c r="AQ47" i="58"/>
  <c r="BD47" i="58" s="1"/>
  <c r="AK9" i="58"/>
  <c r="BC9" i="58" s="1"/>
  <c r="AK49" i="58"/>
  <c r="BC49" i="58" s="1"/>
  <c r="AP9" i="58"/>
  <c r="AK62" i="58"/>
  <c r="BC62" i="58" s="1"/>
  <c r="AP36" i="58"/>
  <c r="AK5" i="58"/>
  <c r="BC5" i="58" s="1"/>
  <c r="AQ52" i="58"/>
  <c r="BD52" i="58" s="1"/>
  <c r="AP52" i="58"/>
  <c r="AK66" i="58"/>
  <c r="BC66" i="58" s="1"/>
  <c r="AR106" i="59"/>
  <c r="AR267" i="59"/>
  <c r="AR384" i="59"/>
  <c r="AR616" i="59"/>
  <c r="AR875" i="59"/>
  <c r="AR906" i="59"/>
  <c r="AR331" i="59"/>
  <c r="AR243" i="59"/>
  <c r="AR234" i="59"/>
  <c r="AR371" i="59"/>
  <c r="AQ377" i="59"/>
  <c r="AR451" i="59"/>
  <c r="AR81" i="59"/>
  <c r="AR91" i="59"/>
  <c r="AR224" i="59"/>
  <c r="AR381" i="59"/>
  <c r="AR803" i="59"/>
  <c r="AR42" i="59"/>
  <c r="AR60" i="59"/>
  <c r="AR109" i="59"/>
  <c r="AR89" i="59"/>
  <c r="AR458" i="59"/>
  <c r="AR542" i="59"/>
  <c r="AR798" i="59"/>
  <c r="AR999" i="59"/>
  <c r="AR416" i="59"/>
  <c r="AR449" i="59"/>
  <c r="AR619" i="59"/>
  <c r="AR670" i="59"/>
  <c r="AR54" i="59"/>
  <c r="AR83" i="59"/>
  <c r="AQ414" i="59"/>
  <c r="AQ461" i="59"/>
  <c r="AR587" i="59"/>
  <c r="AR156" i="59"/>
  <c r="AR188" i="59"/>
  <c r="AR368" i="59"/>
  <c r="AR382" i="59"/>
  <c r="AR406" i="59"/>
  <c r="AR577" i="59"/>
  <c r="AR625" i="59"/>
  <c r="AR630" i="59"/>
  <c r="AR844" i="59"/>
  <c r="AR241" i="59"/>
  <c r="AR391" i="59"/>
  <c r="AR411" i="59"/>
  <c r="AR418" i="59"/>
  <c r="AR496" i="59"/>
  <c r="AR905" i="59"/>
  <c r="S999" i="59"/>
  <c r="V999" i="59" s="1"/>
  <c r="W999" i="59"/>
  <c r="T999" i="59"/>
  <c r="X999" i="59"/>
  <c r="U999" i="59"/>
  <c r="K999" i="59"/>
  <c r="K796" i="59"/>
  <c r="K599" i="59"/>
  <c r="K738" i="59"/>
  <c r="K112" i="59"/>
  <c r="K766" i="59"/>
  <c r="K888" i="59"/>
  <c r="K837" i="59"/>
  <c r="K967" i="59"/>
  <c r="K812" i="59"/>
  <c r="K645" i="59"/>
  <c r="K587" i="59"/>
  <c r="K353" i="59"/>
  <c r="K755" i="59"/>
  <c r="K495" i="59"/>
  <c r="K397" i="59"/>
  <c r="K143" i="59"/>
  <c r="K352" i="59"/>
  <c r="K548" i="59"/>
  <c r="K456" i="59"/>
  <c r="K188" i="59"/>
  <c r="K274" i="59"/>
  <c r="K120" i="59"/>
  <c r="K192" i="59"/>
  <c r="K392" i="59"/>
  <c r="K39" i="59"/>
  <c r="K50" i="59"/>
  <c r="K327" i="59"/>
  <c r="K33" i="59"/>
  <c r="K109" i="59"/>
  <c r="K115" i="59"/>
  <c r="K226" i="59"/>
  <c r="K370" i="59"/>
  <c r="K63" i="59"/>
  <c r="K535" i="59"/>
  <c r="K835" i="59"/>
  <c r="K61" i="59"/>
  <c r="K368" i="59"/>
  <c r="K146" i="59"/>
  <c r="K696" i="59"/>
  <c r="K426" i="59"/>
  <c r="K486" i="59"/>
  <c r="K162" i="59"/>
  <c r="K65" i="59"/>
  <c r="K286" i="59"/>
  <c r="K523" i="59"/>
  <c r="K182" i="59"/>
  <c r="K191" i="59"/>
  <c r="K731" i="59"/>
  <c r="K836" i="59"/>
  <c r="K389" i="59"/>
  <c r="K452" i="59"/>
  <c r="K907" i="59"/>
  <c r="K612" i="59"/>
  <c r="K698" i="59"/>
  <c r="K662" i="59"/>
  <c r="K703" i="59"/>
  <c r="K543" i="59"/>
  <c r="K800" i="59"/>
  <c r="K60" i="59"/>
  <c r="K47" i="59"/>
  <c r="K586" i="59"/>
  <c r="K549" i="59"/>
  <c r="K390" i="59"/>
  <c r="K141" i="59"/>
  <c r="K151" i="59"/>
  <c r="K457" i="59"/>
  <c r="K619" i="59"/>
  <c r="K951" i="59"/>
  <c r="K293" i="59"/>
  <c r="K133" i="59"/>
  <c r="K58" i="59"/>
  <c r="K525" i="59"/>
  <c r="K822" i="59"/>
  <c r="K48" i="59"/>
  <c r="K281" i="59"/>
  <c r="K261" i="59"/>
  <c r="K96" i="59"/>
  <c r="K882" i="59"/>
  <c r="K214" i="59"/>
  <c r="K108" i="59"/>
  <c r="K70" i="59"/>
  <c r="K585" i="59"/>
  <c r="K641" i="59"/>
  <c r="K83" i="59"/>
  <c r="K131" i="59"/>
  <c r="K81" i="59"/>
  <c r="K781" i="59"/>
  <c r="K561" i="59"/>
  <c r="K321" i="59"/>
  <c r="K252" i="59"/>
  <c r="K919" i="59"/>
  <c r="K917" i="59"/>
  <c r="K550" i="59"/>
  <c r="K705" i="59"/>
  <c r="K381" i="59"/>
  <c r="K255" i="59"/>
  <c r="K306" i="59"/>
  <c r="K113" i="59"/>
  <c r="K419" i="59"/>
  <c r="K702" i="59"/>
  <c r="K847" i="59"/>
  <c r="K636" i="59"/>
  <c r="K962" i="59"/>
  <c r="K312" i="59"/>
  <c r="K210" i="59"/>
  <c r="K898" i="59"/>
  <c r="K275" i="59"/>
  <c r="K398" i="59"/>
  <c r="K807" i="59"/>
  <c r="K451" i="59"/>
  <c r="K706" i="59"/>
  <c r="K528" i="59"/>
  <c r="K818" i="59"/>
  <c r="K387" i="59"/>
  <c r="K603" i="59"/>
  <c r="K342" i="59"/>
  <c r="K27" i="59"/>
  <c r="K524" i="59"/>
  <c r="K415" i="59"/>
  <c r="K382" i="59"/>
  <c r="K156" i="59"/>
  <c r="K885" i="59"/>
  <c r="K410" i="59"/>
  <c r="K267" i="59"/>
  <c r="K721" i="59"/>
  <c r="K144" i="59"/>
  <c r="K194" i="59"/>
  <c r="K892" i="59"/>
  <c r="K149" i="59"/>
  <c r="K687" i="59"/>
  <c r="K84" i="59"/>
  <c r="K884" i="59"/>
  <c r="K178" i="59"/>
  <c r="K104" i="59"/>
  <c r="K863" i="59"/>
  <c r="K341" i="59"/>
  <c r="K136" i="59"/>
  <c r="K880" i="59"/>
  <c r="K485" i="59"/>
  <c r="K399" i="59"/>
  <c r="K51" i="59"/>
  <c r="K253" i="59"/>
  <c r="K852" i="59"/>
  <c r="K711" i="59"/>
  <c r="K432" i="59"/>
  <c r="K384" i="59"/>
  <c r="K105" i="59"/>
  <c r="K651" i="59"/>
  <c r="K843" i="59"/>
  <c r="K600" i="59"/>
  <c r="K377" i="59"/>
  <c r="K864" i="59"/>
  <c r="K94" i="59"/>
  <c r="K305" i="59"/>
  <c r="K164" i="59"/>
  <c r="K71" i="59"/>
  <c r="K841" i="59"/>
  <c r="K728" i="59"/>
  <c r="K557" i="59"/>
  <c r="K762" i="59"/>
  <c r="K798" i="59"/>
  <c r="K853" i="59"/>
  <c r="K344" i="59"/>
  <c r="K270" i="59"/>
  <c r="K542" i="59"/>
  <c r="K405" i="59"/>
  <c r="K670" i="59"/>
  <c r="K458" i="59"/>
  <c r="K722" i="59"/>
  <c r="K529" i="59"/>
  <c r="K511" i="59"/>
  <c r="K211" i="59"/>
  <c r="K753" i="59"/>
  <c r="K505" i="59"/>
  <c r="K176" i="59"/>
  <c r="K277" i="59"/>
  <c r="K965" i="59"/>
  <c r="K953" i="59"/>
  <c r="K588" i="59"/>
  <c r="K897" i="59"/>
  <c r="K815" i="59"/>
  <c r="K239" i="59"/>
  <c r="K30" i="59"/>
  <c r="K637" i="59"/>
  <c r="K231" i="59"/>
  <c r="K455" i="59"/>
  <c r="K972" i="59"/>
  <c r="K777" i="59"/>
  <c r="K674" i="59"/>
  <c r="K859" i="59"/>
  <c r="K886" i="59"/>
  <c r="K57" i="59"/>
  <c r="K872" i="59"/>
  <c r="K689" i="59"/>
  <c r="K264" i="59"/>
  <c r="K581" i="59"/>
  <c r="K828" i="59"/>
  <c r="K150" i="59"/>
  <c r="K772" i="59"/>
  <c r="K539" i="59"/>
  <c r="K117" i="59"/>
  <c r="K276" i="59"/>
  <c r="K235" i="59"/>
  <c r="K660" i="59"/>
  <c r="K551" i="59"/>
  <c r="K318" i="59"/>
  <c r="K349" i="59"/>
  <c r="K983" i="59"/>
  <c r="K251" i="59"/>
  <c r="K294" i="59"/>
  <c r="K157" i="59"/>
  <c r="K185" i="59"/>
  <c r="K665" i="59"/>
  <c r="K499" i="59"/>
  <c r="K596" i="59"/>
  <c r="K607" i="59"/>
  <c r="K657" i="59"/>
  <c r="K504" i="59"/>
  <c r="K278" i="59"/>
  <c r="K338" i="59"/>
  <c r="K449" i="59"/>
  <c r="K494" i="59"/>
  <c r="K467" i="59"/>
  <c r="K97" i="59"/>
  <c r="K558" i="59"/>
  <c r="K450" i="59"/>
  <c r="K568" i="59"/>
  <c r="K851" i="59"/>
  <c r="K506" i="59"/>
  <c r="K594" i="59"/>
  <c r="K167" i="59"/>
  <c r="K316" i="59"/>
  <c r="K902" i="59"/>
  <c r="K678" i="59"/>
  <c r="K454" i="59"/>
  <c r="K629" i="59"/>
  <c r="K842" i="59"/>
  <c r="K82" i="59"/>
  <c r="K980" i="59"/>
  <c r="K683" i="59"/>
  <c r="K890" i="59"/>
  <c r="K466" i="59"/>
  <c r="K901" i="59"/>
  <c r="K701" i="59"/>
  <c r="K833" i="59"/>
  <c r="K857" i="59"/>
  <c r="K632" i="59"/>
  <c r="K198" i="59"/>
  <c r="K709" i="59"/>
  <c r="K379" i="59"/>
  <c r="K199" i="59"/>
  <c r="K602" i="59"/>
  <c r="K627" i="59"/>
  <c r="K137" i="59"/>
  <c r="K562" i="59"/>
  <c r="K569" i="59"/>
  <c r="K331" i="59"/>
  <c r="K879" i="59"/>
  <c r="K786" i="59"/>
  <c r="K655" i="59"/>
  <c r="K378" i="59"/>
  <c r="K85" i="59"/>
  <c r="K346" i="59"/>
  <c r="K850" i="59"/>
  <c r="K224" i="59"/>
  <c r="K227" i="59"/>
  <c r="K184" i="59"/>
  <c r="K788" i="59"/>
  <c r="K484" i="59"/>
  <c r="K418" i="59"/>
  <c r="K170" i="59"/>
  <c r="K824" i="59"/>
  <c r="K348" i="59"/>
  <c r="K501" i="59"/>
  <c r="K374" i="59"/>
  <c r="K148" i="59"/>
  <c r="K502" i="59"/>
  <c r="K589" i="59"/>
  <c r="K46" i="59"/>
  <c r="K49" i="59"/>
  <c r="K487" i="59"/>
  <c r="K376" i="59"/>
  <c r="K289" i="59"/>
  <c r="K803" i="59"/>
  <c r="K590" i="59"/>
  <c r="K202" i="59"/>
  <c r="K878" i="59"/>
  <c r="K165" i="59"/>
  <c r="K869" i="59"/>
  <c r="K714" i="59"/>
  <c r="K406" i="59"/>
  <c r="K761" i="59"/>
  <c r="K839" i="59"/>
  <c r="K733" i="59"/>
  <c r="K826" i="59"/>
  <c r="K262" i="59"/>
  <c r="K754" i="59"/>
  <c r="K591" i="59"/>
  <c r="K871" i="59"/>
  <c r="K745" i="59"/>
  <c r="K537" i="59"/>
  <c r="K507" i="59"/>
  <c r="K799" i="59"/>
  <c r="K119" i="59"/>
  <c r="K735" i="59"/>
  <c r="K385" i="59"/>
  <c r="K265" i="59"/>
  <c r="K413" i="59"/>
  <c r="K646" i="59"/>
  <c r="K846" i="59"/>
  <c r="K532" i="59"/>
  <c r="K578" i="59"/>
  <c r="K329" i="59"/>
  <c r="K704" i="59"/>
  <c r="K827" i="59"/>
  <c r="K955" i="59"/>
  <c r="K29" i="59"/>
  <c r="K205" i="59"/>
  <c r="K66" i="59"/>
  <c r="K747" i="59"/>
  <c r="K168" i="59"/>
  <c r="K416" i="59"/>
  <c r="K132" i="59"/>
  <c r="K692" i="59"/>
  <c r="K462" i="59"/>
  <c r="K522" i="59"/>
  <c r="K183" i="59"/>
  <c r="K650" i="59"/>
  <c r="K92" i="59"/>
  <c r="K40" i="59"/>
  <c r="K75" i="59"/>
  <c r="K241" i="59"/>
  <c r="K219" i="59"/>
  <c r="K829" i="59"/>
  <c r="K256" i="59"/>
  <c r="K335" i="59"/>
  <c r="K369" i="59"/>
  <c r="K135" i="59"/>
  <c r="K609" i="59"/>
  <c r="K161" i="59"/>
  <c r="K247" i="59"/>
  <c r="K774" i="59"/>
  <c r="K481" i="59"/>
  <c r="K271" i="59"/>
  <c r="K784" i="59"/>
  <c r="K681" i="59"/>
  <c r="K808" i="59"/>
  <c r="K730" i="59"/>
  <c r="K186" i="59"/>
  <c r="K396" i="59"/>
  <c r="K663" i="59"/>
  <c r="K620" i="59"/>
  <c r="K671" i="59"/>
  <c r="K90" i="59"/>
  <c r="K809" i="59"/>
  <c r="K538" i="59"/>
  <c r="K690" i="59"/>
  <c r="K582" i="59"/>
  <c r="K461" i="59"/>
  <c r="K552" i="59"/>
  <c r="K719" i="59"/>
  <c r="K741" i="59"/>
  <c r="K635" i="59"/>
  <c r="K332" i="59"/>
  <c r="K203" i="59"/>
  <c r="K509" i="59"/>
  <c r="K631" i="59"/>
  <c r="K616" i="59"/>
  <c r="K200" i="59"/>
  <c r="K193" i="59"/>
  <c r="K209" i="59"/>
  <c r="K659" i="59"/>
  <c r="K592" i="59"/>
  <c r="K758" i="59"/>
  <c r="K25" i="59"/>
  <c r="K106" i="59"/>
  <c r="K899" i="59"/>
  <c r="K832" i="59"/>
  <c r="K737" i="59"/>
  <c r="K465" i="59"/>
  <c r="K147" i="59"/>
  <c r="K750" i="59"/>
  <c r="K453" i="59"/>
  <c r="K422" i="59"/>
  <c r="K626" i="59"/>
  <c r="K391" i="59"/>
  <c r="K100" i="59"/>
  <c r="K773" i="59"/>
  <c r="K246" i="59"/>
  <c r="K155" i="59"/>
  <c r="K492" i="59"/>
  <c r="K238" i="59"/>
  <c r="K240" i="59"/>
  <c r="K134" i="59"/>
  <c r="K906" i="59"/>
  <c r="K263" i="59"/>
  <c r="K41" i="59"/>
  <c r="K59" i="59"/>
  <c r="K844" i="59"/>
  <c r="K540" i="59"/>
  <c r="K336" i="59"/>
  <c r="K625" i="59"/>
  <c r="K383" i="59"/>
  <c r="K695" i="59"/>
  <c r="K610" i="59"/>
  <c r="K244" i="59"/>
  <c r="K423" i="59"/>
  <c r="K624" i="59"/>
  <c r="K531" i="59"/>
  <c r="K691" i="59"/>
  <c r="K62" i="59"/>
  <c r="K858" i="59"/>
  <c r="K412" i="59"/>
  <c r="K814" i="59"/>
  <c r="K533" i="59"/>
  <c r="K459" i="59"/>
  <c r="K429" i="59"/>
  <c r="K767" i="59"/>
  <c r="K739" i="59"/>
  <c r="K647" i="59"/>
  <c r="K99" i="59"/>
  <c r="K37" i="59"/>
  <c r="K268" i="59"/>
  <c r="K759" i="59"/>
  <c r="K508" i="59"/>
  <c r="K218" i="59"/>
  <c r="K78" i="59"/>
  <c r="K24" i="59"/>
  <c r="K742" i="59"/>
  <c r="K411" i="59"/>
  <c r="K708" i="59"/>
  <c r="K54" i="59"/>
  <c r="K55" i="59"/>
  <c r="K848" i="59"/>
  <c r="K677" i="59"/>
  <c r="K752" i="59"/>
  <c r="K448" i="59"/>
  <c r="K72" i="59"/>
  <c r="K536" i="59"/>
  <c r="K334" i="59"/>
  <c r="K460" i="59"/>
  <c r="K688" i="59"/>
  <c r="K580" i="59"/>
  <c r="K38" i="59"/>
  <c r="K201" i="59"/>
  <c r="K225" i="59"/>
  <c r="K107" i="59"/>
  <c r="K617" i="59"/>
  <c r="K295" i="59"/>
  <c r="K347" i="59"/>
  <c r="K303" i="59"/>
  <c r="K870" i="59"/>
  <c r="K302" i="59"/>
  <c r="K142" i="59"/>
  <c r="K32" i="59"/>
  <c r="K409" i="59"/>
  <c r="K604" i="59"/>
  <c r="K230" i="59"/>
  <c r="K643" i="59"/>
  <c r="K375" i="59"/>
  <c r="K744" i="59"/>
  <c r="K831" i="59"/>
  <c r="K301" i="59"/>
  <c r="K320" i="59"/>
  <c r="K669" i="59"/>
  <c r="K445" i="59"/>
  <c r="K644" i="59"/>
  <c r="K874" i="59"/>
  <c r="K53" i="59"/>
  <c r="K446" i="59"/>
  <c r="K764" i="59"/>
  <c r="K488" i="59"/>
  <c r="K56" i="59"/>
  <c r="K554" i="59"/>
  <c r="K811" i="59"/>
  <c r="K707" i="59"/>
  <c r="K521" i="59"/>
  <c r="K654" i="59"/>
  <c r="K114" i="59"/>
  <c r="K630" i="59"/>
  <c r="K823" i="59"/>
  <c r="K530" i="59"/>
  <c r="K145" i="59"/>
  <c r="K163" i="59"/>
  <c r="K889" i="59"/>
  <c r="K571" i="59"/>
  <c r="K496" i="59"/>
  <c r="K718" i="59"/>
  <c r="K900" i="59"/>
  <c r="K732" i="59"/>
  <c r="K724" i="59"/>
  <c r="K676" i="59"/>
  <c r="K816" i="59"/>
  <c r="K503" i="59"/>
  <c r="K206" i="59"/>
  <c r="K304" i="59"/>
  <c r="K217" i="59"/>
  <c r="K234" i="59"/>
  <c r="K622" i="59"/>
  <c r="K421" i="59"/>
  <c r="K490" i="59"/>
  <c r="K245" i="59"/>
  <c r="K89" i="59"/>
  <c r="K555" i="59"/>
  <c r="K130" i="59"/>
  <c r="K300" i="59"/>
  <c r="K249" i="59"/>
  <c r="K765" i="59"/>
  <c r="K925" i="59"/>
  <c r="K34" i="59"/>
  <c r="K121" i="59"/>
  <c r="K463" i="59"/>
  <c r="K180" i="59"/>
  <c r="K729" i="59"/>
  <c r="K757" i="59"/>
  <c r="K534" i="59"/>
  <c r="K820" i="59"/>
  <c r="K675" i="59"/>
  <c r="K260" i="59"/>
  <c r="K285" i="59"/>
  <c r="K424" i="59"/>
  <c r="K566" i="59"/>
  <c r="K500" i="59"/>
  <c r="K865" i="59"/>
  <c r="K323" i="59"/>
  <c r="K468" i="59"/>
  <c r="K447" i="59"/>
  <c r="K317" i="59"/>
  <c r="K31" i="59"/>
  <c r="K380" i="59"/>
  <c r="K480" i="59"/>
  <c r="K697" i="59"/>
  <c r="K574" i="59"/>
  <c r="K679" i="59"/>
  <c r="K971" i="59"/>
  <c r="K570" i="59"/>
  <c r="K608" i="59"/>
  <c r="K232" i="59"/>
  <c r="K74" i="59"/>
  <c r="K921" i="59"/>
  <c r="K567" i="59"/>
  <c r="K425" i="59"/>
  <c r="K372" i="59"/>
  <c r="K388" i="59"/>
  <c r="K664" i="59"/>
  <c r="K779" i="59"/>
  <c r="K611" i="59"/>
  <c r="K597" i="59"/>
  <c r="K497" i="59"/>
  <c r="K510" i="59"/>
  <c r="K138" i="59"/>
  <c r="K881" i="59"/>
  <c r="K922" i="59"/>
  <c r="K42" i="59"/>
  <c r="K573" i="59"/>
  <c r="K407" i="59"/>
  <c r="K819" i="59"/>
  <c r="K67" i="59"/>
  <c r="K771" i="59"/>
  <c r="K621" i="59"/>
  <c r="K153" i="59"/>
  <c r="K86" i="59"/>
  <c r="K326" i="59"/>
  <c r="K893" i="59"/>
  <c r="K682" i="59"/>
  <c r="K215" i="59"/>
  <c r="K802" i="59"/>
  <c r="K299" i="59"/>
  <c r="K279" i="59"/>
  <c r="K408" i="59"/>
  <c r="K778" i="59"/>
  <c r="K290" i="59"/>
  <c r="K464" i="59"/>
  <c r="K794" i="59"/>
  <c r="K623" i="59"/>
  <c r="K174" i="59"/>
  <c r="K417" i="59"/>
  <c r="K315" i="59"/>
  <c r="K431" i="59"/>
  <c r="K776" i="59"/>
  <c r="K52" i="59"/>
  <c r="K351" i="59"/>
  <c r="K414" i="59"/>
  <c r="K309" i="59"/>
  <c r="K91" i="59"/>
  <c r="K171" i="59"/>
  <c r="K527" i="59"/>
  <c r="K710" i="59"/>
  <c r="K393" i="59"/>
  <c r="K559" i="59"/>
  <c r="K775" i="59"/>
  <c r="K373" i="59"/>
  <c r="K544" i="59"/>
  <c r="K223" i="59"/>
  <c r="K963" i="59"/>
  <c r="K640" i="59"/>
  <c r="K526" i="59"/>
  <c r="K498" i="59"/>
  <c r="K243" i="59"/>
  <c r="K371" i="59"/>
  <c r="K860" i="59"/>
  <c r="K782" i="59"/>
  <c r="K579" i="59"/>
  <c r="K242" i="59"/>
  <c r="K577" i="59"/>
  <c r="K175" i="59"/>
  <c r="K725" i="59"/>
  <c r="K974" i="59"/>
  <c r="K866" i="59"/>
  <c r="K228" i="59"/>
  <c r="K493" i="59"/>
  <c r="K284" i="59"/>
  <c r="K93" i="59"/>
  <c r="K810" i="59"/>
  <c r="K795" i="59"/>
  <c r="K250" i="59"/>
  <c r="K116" i="59"/>
  <c r="K875" i="59"/>
  <c r="K638" i="59"/>
  <c r="K905" i="59"/>
  <c r="K653" i="59"/>
  <c r="K712" i="59"/>
  <c r="K791" i="59"/>
  <c r="K269" i="59"/>
  <c r="K152" i="59"/>
  <c r="K491" i="59"/>
  <c r="K618" i="59"/>
  <c r="K207" i="59"/>
  <c r="K216" i="59"/>
  <c r="K717" i="59"/>
  <c r="K668" i="59"/>
  <c r="K172" i="59"/>
  <c r="K325" i="59"/>
  <c r="K179" i="59"/>
  <c r="K489" i="59"/>
  <c r="K547" i="59"/>
  <c r="K77" i="59"/>
  <c r="K313" i="59"/>
  <c r="K340" i="59"/>
  <c r="K296" i="59"/>
  <c r="K140" i="59"/>
  <c r="K292" i="59"/>
  <c r="K328" i="59"/>
  <c r="K541" i="59"/>
  <c r="K308" i="59"/>
  <c r="K482" i="59"/>
  <c r="K656" i="59"/>
  <c r="K266" i="59"/>
  <c r="K428" i="59"/>
  <c r="K291" i="59"/>
  <c r="K840" i="59"/>
  <c r="K595" i="59"/>
  <c r="K512" i="59"/>
  <c r="K427" i="59"/>
  <c r="K26" i="59"/>
  <c r="K386" i="59"/>
  <c r="K746" i="59"/>
  <c r="K854" i="59"/>
  <c r="K420" i="59"/>
  <c r="K189" i="59"/>
  <c r="K282" i="59"/>
  <c r="K160" i="59"/>
  <c r="K483" i="59"/>
  <c r="K877" i="59"/>
  <c r="K652" i="59"/>
  <c r="K720" i="59"/>
  <c r="K322" i="59"/>
  <c r="K310" i="59"/>
  <c r="K751" i="59"/>
  <c r="K139" i="59"/>
  <c r="K73" i="59"/>
  <c r="AT511" i="59"/>
  <c r="AT5" i="59"/>
  <c r="AS5" i="59" s="1"/>
  <c r="AV5" i="59" s="1"/>
  <c r="AW5" i="59" s="1"/>
  <c r="AX5" i="59" s="1"/>
  <c r="AR275" i="59"/>
  <c r="AR277" i="59"/>
  <c r="AR186" i="59"/>
  <c r="AR305" i="59"/>
  <c r="AR151" i="59"/>
  <c r="AR180" i="59"/>
  <c r="AR145" i="59"/>
  <c r="AR184" i="59"/>
  <c r="AR268" i="59"/>
  <c r="AR228" i="59"/>
  <c r="AR250" i="59"/>
  <c r="AR318" i="59"/>
  <c r="AR247" i="59"/>
  <c r="AR383" i="59"/>
  <c r="AR388" i="59"/>
  <c r="AQ429" i="59"/>
  <c r="AR446" i="59"/>
  <c r="AR450" i="59"/>
  <c r="AR461" i="59"/>
  <c r="AR452" i="59"/>
  <c r="AR465" i="59"/>
  <c r="AR455" i="59"/>
  <c r="AR502" i="59"/>
  <c r="AR503" i="59"/>
  <c r="AQ489" i="59"/>
  <c r="AR539" i="59"/>
  <c r="AR532" i="59"/>
  <c r="AR525" i="59"/>
  <c r="AR566" i="59"/>
  <c r="AR617" i="59"/>
  <c r="AR632" i="59"/>
  <c r="AR654" i="59"/>
  <c r="AR688" i="59"/>
  <c r="AR707" i="59"/>
  <c r="AR717" i="59"/>
  <c r="AR731" i="59"/>
  <c r="AR758" i="59"/>
  <c r="AR773" i="59"/>
  <c r="AR794" i="59"/>
  <c r="AR795" i="59"/>
  <c r="AQ811" i="59"/>
  <c r="AR812" i="59"/>
  <c r="AR816" i="59"/>
  <c r="AR829" i="59"/>
  <c r="AR832" i="59"/>
  <c r="AR843" i="59"/>
  <c r="AR859" i="59"/>
  <c r="AQ866" i="59"/>
  <c r="AR881" i="59"/>
  <c r="AR907" i="59"/>
  <c r="AR963" i="59"/>
  <c r="AR27" i="59"/>
  <c r="AF852" i="59"/>
  <c r="AT852" i="59"/>
  <c r="AS852" i="59" s="1"/>
  <c r="AV852" i="59" s="1"/>
  <c r="AW852" i="59" s="1"/>
  <c r="AX852" i="59" s="1"/>
  <c r="AF385" i="59"/>
  <c r="AT385" i="59"/>
  <c r="AO385" i="59" s="1"/>
  <c r="AP385" i="59" s="1"/>
  <c r="AF870" i="59"/>
  <c r="AT870" i="59"/>
  <c r="AF463" i="59"/>
  <c r="AT463" i="59"/>
  <c r="AF284" i="59"/>
  <c r="AT284" i="59"/>
  <c r="AF698" i="59"/>
  <c r="AT698" i="59"/>
  <c r="AS698" i="59" s="1"/>
  <c r="AV698" i="59" s="1"/>
  <c r="AW698" i="59" s="1"/>
  <c r="AX698" i="59" s="1"/>
  <c r="AF225" i="59"/>
  <c r="AT225" i="59"/>
  <c r="AF906" i="59"/>
  <c r="AT906" i="59"/>
  <c r="AF97" i="59"/>
  <c r="AT97" i="59"/>
  <c r="AS97" i="59" s="1"/>
  <c r="AV97" i="59" s="1"/>
  <c r="AW97" i="59" s="1"/>
  <c r="AX97" i="59" s="1"/>
  <c r="AF33" i="59"/>
  <c r="AT33" i="59"/>
  <c r="AS33" i="59" s="1"/>
  <c r="AV33" i="59" s="1"/>
  <c r="AW33" i="59" s="1"/>
  <c r="AX33" i="59" s="1"/>
  <c r="AF892" i="59"/>
  <c r="AT892" i="59"/>
  <c r="AF94" i="59"/>
  <c r="AT94" i="59"/>
  <c r="AS94" i="59" s="1"/>
  <c r="AV94" i="59" s="1"/>
  <c r="AW94" i="59" s="1"/>
  <c r="AX94" i="59" s="1"/>
  <c r="AF70" i="59"/>
  <c r="AT70" i="59"/>
  <c r="AF261" i="59"/>
  <c r="AT261" i="59"/>
  <c r="AF186" i="59"/>
  <c r="AT186" i="59"/>
  <c r="AF951" i="59"/>
  <c r="AT951" i="59"/>
  <c r="AS951" i="59" s="1"/>
  <c r="AV951" i="59" s="1"/>
  <c r="AF963" i="59"/>
  <c r="AT963" i="59"/>
  <c r="AF843" i="59"/>
  <c r="AT843" i="59"/>
  <c r="AF209" i="59"/>
  <c r="AT209" i="59"/>
  <c r="AS209" i="59" s="1"/>
  <c r="AV209" i="59" s="1"/>
  <c r="AW209" i="59" s="1"/>
  <c r="AX209" i="59" s="1"/>
  <c r="AF689" i="59"/>
  <c r="AT689" i="59"/>
  <c r="AS689" i="59" s="1"/>
  <c r="AV689" i="59" s="1"/>
  <c r="AW689" i="59" s="1"/>
  <c r="AX689" i="59" s="1"/>
  <c r="AT31" i="59"/>
  <c r="AS31" i="59" s="1"/>
  <c r="AV31" i="59" s="1"/>
  <c r="AW31" i="59" s="1"/>
  <c r="AX31" i="59" s="1"/>
  <c r="AF31" i="59"/>
  <c r="AF7" i="59"/>
  <c r="AT7" i="59"/>
  <c r="AS7" i="59" s="1"/>
  <c r="AV7" i="59" s="1"/>
  <c r="AW7" i="59" s="1"/>
  <c r="AX7" i="59" s="1"/>
  <c r="AF827" i="59"/>
  <c r="AT827" i="59"/>
  <c r="AF591" i="59"/>
  <c r="AT591" i="59"/>
  <c r="AF626" i="59"/>
  <c r="AT626" i="59"/>
  <c r="AF322" i="59"/>
  <c r="AT322" i="59"/>
  <c r="AS322" i="59" s="1"/>
  <c r="AV322" i="59" s="1"/>
  <c r="AW322" i="59" s="1"/>
  <c r="AX322" i="59" s="1"/>
  <c r="AF688" i="59"/>
  <c r="AT688" i="59"/>
  <c r="AF559" i="59"/>
  <c r="AT559" i="59"/>
  <c r="AF846" i="59"/>
  <c r="AT846" i="59"/>
  <c r="AF252" i="59"/>
  <c r="AT252" i="59"/>
  <c r="AF753" i="59"/>
  <c r="AT753" i="59"/>
  <c r="AS753" i="59" s="1"/>
  <c r="AV753" i="59" s="1"/>
  <c r="AW753" i="59" s="1"/>
  <c r="AX753" i="59" s="1"/>
  <c r="AF323" i="59"/>
  <c r="AT323" i="59"/>
  <c r="AS323" i="59" s="1"/>
  <c r="AV323" i="59" s="1"/>
  <c r="AW323" i="59" s="1"/>
  <c r="AX323" i="59" s="1"/>
  <c r="AF636" i="59"/>
  <c r="AT636" i="59"/>
  <c r="AF627" i="59"/>
  <c r="AT627" i="59"/>
  <c r="AS627" i="59" s="1"/>
  <c r="AV627" i="59" s="1"/>
  <c r="AW627" i="59" s="1"/>
  <c r="AX627" i="59" s="1"/>
  <c r="AF241" i="59"/>
  <c r="AT241" i="59"/>
  <c r="AF250" i="59"/>
  <c r="AT250" i="59"/>
  <c r="AF712" i="59"/>
  <c r="AT712" i="59"/>
  <c r="AS712" i="59" s="1"/>
  <c r="AV712" i="59" s="1"/>
  <c r="AW712" i="59" s="1"/>
  <c r="AX712" i="59" s="1"/>
  <c r="AF145" i="59"/>
  <c r="AT145" i="59"/>
  <c r="AF281" i="59"/>
  <c r="AT281" i="59"/>
  <c r="AF379" i="59"/>
  <c r="AT379" i="59"/>
  <c r="AO379" i="59" s="1"/>
  <c r="AP379" i="59" s="1"/>
  <c r="AF153" i="59"/>
  <c r="AT153" i="59"/>
  <c r="AF466" i="59"/>
  <c r="AT466" i="59"/>
  <c r="AF578" i="59"/>
  <c r="AT578" i="59"/>
  <c r="AS578" i="59" s="1"/>
  <c r="AV578" i="59" s="1"/>
  <c r="AF750" i="59"/>
  <c r="AT750" i="59"/>
  <c r="AF965" i="59"/>
  <c r="AT965" i="59"/>
  <c r="AF844" i="59"/>
  <c r="AT844" i="59"/>
  <c r="AF796" i="59"/>
  <c r="AT796" i="59"/>
  <c r="AF170" i="59"/>
  <c r="AT170" i="59"/>
  <c r="AS170" i="59" s="1"/>
  <c r="AV170" i="59" s="1"/>
  <c r="AW170" i="59" s="1"/>
  <c r="AX170" i="59" s="1"/>
  <c r="AF818" i="59"/>
  <c r="AT818" i="59"/>
  <c r="AF897" i="59"/>
  <c r="AT897" i="59"/>
  <c r="AO897" i="59" s="1"/>
  <c r="AP897" i="59" s="1"/>
  <c r="AF240" i="59"/>
  <c r="AT240" i="59"/>
  <c r="AS240" i="59" s="1"/>
  <c r="AV240" i="59" s="1"/>
  <c r="AW240" i="59" s="1"/>
  <c r="AX240" i="59" s="1"/>
  <c r="AF141" i="59"/>
  <c r="AT141" i="59"/>
  <c r="AF595" i="59"/>
  <c r="AT595" i="59"/>
  <c r="AF650" i="59"/>
  <c r="AT650" i="59"/>
  <c r="AF349" i="59"/>
  <c r="AT349" i="59"/>
  <c r="AS349" i="59" s="1"/>
  <c r="AV349" i="59" s="1"/>
  <c r="AW349" i="59" s="1"/>
  <c r="AX349" i="59" s="1"/>
  <c r="AF640" i="59"/>
  <c r="AT640" i="59"/>
  <c r="AF706" i="59"/>
  <c r="AT706" i="59"/>
  <c r="AS706" i="59" s="1"/>
  <c r="AV706" i="59" s="1"/>
  <c r="AW706" i="59" s="1"/>
  <c r="AX706" i="59" s="1"/>
  <c r="AF293" i="59"/>
  <c r="AT293" i="59"/>
  <c r="AS293" i="59" s="1"/>
  <c r="AV293" i="59" s="1"/>
  <c r="AW293" i="59" s="1"/>
  <c r="AX293" i="59" s="1"/>
  <c r="AF585" i="59"/>
  <c r="AT585" i="59"/>
  <c r="AF875" i="59"/>
  <c r="AT875" i="59"/>
  <c r="AF747" i="59"/>
  <c r="AT747" i="59"/>
  <c r="AF62" i="59"/>
  <c r="AT62" i="59"/>
  <c r="AS62" i="59" s="1"/>
  <c r="AV62" i="59" s="1"/>
  <c r="AW62" i="59" s="1"/>
  <c r="AX62" i="59" s="1"/>
  <c r="AF77" i="59"/>
  <c r="AT77" i="59"/>
  <c r="AS77" i="59" s="1"/>
  <c r="AV77" i="59" s="1"/>
  <c r="AW77" i="59" s="1"/>
  <c r="AX77" i="59" s="1"/>
  <c r="AF571" i="59"/>
  <c r="AT571" i="59"/>
  <c r="AS571" i="59" s="1"/>
  <c r="AV571" i="59" s="1"/>
  <c r="AF682" i="59"/>
  <c r="AT682" i="59"/>
  <c r="AS682" i="59" s="1"/>
  <c r="AV682" i="59" s="1"/>
  <c r="AF690" i="59"/>
  <c r="AT690" i="59"/>
  <c r="AS690" i="59" s="1"/>
  <c r="AV690" i="59" s="1"/>
  <c r="AW690" i="59" s="1"/>
  <c r="AX690" i="59" s="1"/>
  <c r="AF289" i="59"/>
  <c r="AT289" i="59"/>
  <c r="AS289" i="59" s="1"/>
  <c r="AV289" i="59" s="1"/>
  <c r="AW289" i="59" s="1"/>
  <c r="AX289" i="59" s="1"/>
  <c r="AF594" i="59"/>
  <c r="AT594" i="59"/>
  <c r="AF566" i="59"/>
  <c r="AT566" i="59"/>
  <c r="AF567" i="59"/>
  <c r="AT567" i="59"/>
  <c r="AS567" i="59" s="1"/>
  <c r="AV567" i="59" s="1"/>
  <c r="AW567" i="59" s="1"/>
  <c r="AX567" i="59" s="1"/>
  <c r="AF226" i="59"/>
  <c r="AT226" i="59"/>
  <c r="AS226" i="59" s="1"/>
  <c r="AV226" i="59" s="1"/>
  <c r="AW226" i="59" s="1"/>
  <c r="AX226" i="59" s="1"/>
  <c r="AF826" i="59"/>
  <c r="AT826" i="59"/>
  <c r="AS826" i="59" s="1"/>
  <c r="AV826" i="59" s="1"/>
  <c r="AW826" i="59" s="1"/>
  <c r="AX826" i="59" s="1"/>
  <c r="AF328" i="59"/>
  <c r="AT328" i="59"/>
  <c r="AS328" i="59" s="1"/>
  <c r="AV328" i="59" s="1"/>
  <c r="AW328" i="59" s="1"/>
  <c r="AX328" i="59" s="1"/>
  <c r="AF800" i="59"/>
  <c r="AT800" i="59"/>
  <c r="AF458" i="59"/>
  <c r="AT458" i="59"/>
  <c r="AF660" i="59"/>
  <c r="AT660" i="59"/>
  <c r="AS660" i="59" s="1"/>
  <c r="AV660" i="59" s="1"/>
  <c r="AF180" i="59"/>
  <c r="AT180" i="59"/>
  <c r="AF679" i="59"/>
  <c r="AT679" i="59"/>
  <c r="AF570" i="59"/>
  <c r="AT570" i="59"/>
  <c r="AS570" i="59" s="1"/>
  <c r="AV570" i="59" s="1"/>
  <c r="AW570" i="59" s="1"/>
  <c r="AX570" i="59" s="1"/>
  <c r="AF616" i="59"/>
  <c r="AT616" i="59"/>
  <c r="AF548" i="59"/>
  <c r="AT548" i="59"/>
  <c r="AS548" i="59" s="1"/>
  <c r="AV548" i="59" s="1"/>
  <c r="AW548" i="59" s="1"/>
  <c r="AX548" i="59" s="1"/>
  <c r="AF172" i="59"/>
  <c r="AT172" i="59"/>
  <c r="AS172" i="59" s="1"/>
  <c r="AV172" i="59" s="1"/>
  <c r="AW172" i="59" s="1"/>
  <c r="AX172" i="59" s="1"/>
  <c r="AF133" i="59"/>
  <c r="AT133" i="59"/>
  <c r="AF733" i="59"/>
  <c r="AT733" i="59"/>
  <c r="AF274" i="59"/>
  <c r="AT274" i="59"/>
  <c r="AS274" i="59" s="1"/>
  <c r="AV274" i="59" s="1"/>
  <c r="AW274" i="59" s="1"/>
  <c r="AX274" i="59" s="1"/>
  <c r="AF581" i="59"/>
  <c r="AT581" i="59"/>
  <c r="AF17" i="59"/>
  <c r="AT17" i="59"/>
  <c r="AS17" i="59" s="1"/>
  <c r="AV17" i="59" s="1"/>
  <c r="AW17" i="59" s="1"/>
  <c r="AX17" i="59" s="1"/>
  <c r="AF710" i="59"/>
  <c r="AT710" i="59"/>
  <c r="AS710" i="59" s="1"/>
  <c r="AV710" i="59" s="1"/>
  <c r="AW710" i="59" s="1"/>
  <c r="AX710" i="59" s="1"/>
  <c r="AF664" i="59"/>
  <c r="AT664" i="59"/>
  <c r="AS664" i="59" s="1"/>
  <c r="AV664" i="59" s="1"/>
  <c r="AF382" i="59"/>
  <c r="AT382" i="59"/>
  <c r="AO382" i="59" s="1"/>
  <c r="AP382" i="59" s="1"/>
  <c r="AF499" i="59"/>
  <c r="AT499" i="59"/>
  <c r="AF121" i="59"/>
  <c r="AT121" i="59"/>
  <c r="AS121" i="59" s="1"/>
  <c r="AV121" i="59" s="1"/>
  <c r="AW121" i="59" s="1"/>
  <c r="AX121" i="59" s="1"/>
  <c r="AF136" i="59"/>
  <c r="AT136" i="59"/>
  <c r="AF207" i="59"/>
  <c r="AT207" i="59"/>
  <c r="AS207" i="59" s="1"/>
  <c r="AV207" i="59" s="1"/>
  <c r="AW207" i="59" s="1"/>
  <c r="AX207" i="59" s="1"/>
  <c r="AF898" i="59"/>
  <c r="AT898" i="59"/>
  <c r="AO898" i="59" s="1"/>
  <c r="AP898" i="59" s="1"/>
  <c r="AF342" i="59"/>
  <c r="AT342" i="59"/>
  <c r="AS342" i="59" s="1"/>
  <c r="AV342" i="59" s="1"/>
  <c r="AW342" i="59" s="1"/>
  <c r="AX342" i="59" s="1"/>
  <c r="AF719" i="59"/>
  <c r="AT719" i="59"/>
  <c r="AR61" i="59"/>
  <c r="AR58" i="59"/>
  <c r="AR251" i="59"/>
  <c r="AR252" i="59"/>
  <c r="AR218" i="59"/>
  <c r="AR214" i="59"/>
  <c r="AR74" i="59"/>
  <c r="AR239" i="59"/>
  <c r="AR245" i="59"/>
  <c r="AR192" i="59"/>
  <c r="AR410" i="59"/>
  <c r="AR407" i="59"/>
  <c r="AR431" i="59"/>
  <c r="AR445" i="59"/>
  <c r="AR460" i="59"/>
  <c r="AR487" i="59"/>
  <c r="AR499" i="59"/>
  <c r="AR537" i="59"/>
  <c r="AR530" i="59"/>
  <c r="AR551" i="59"/>
  <c r="AR558" i="59"/>
  <c r="AR581" i="59"/>
  <c r="AR585" i="59"/>
  <c r="AR596" i="59"/>
  <c r="AR611" i="59"/>
  <c r="AR638" i="59"/>
  <c r="AR687" i="59"/>
  <c r="AR705" i="59"/>
  <c r="AR744" i="59"/>
  <c r="AR754" i="59"/>
  <c r="AR814" i="59"/>
  <c r="AR820" i="59"/>
  <c r="AR847" i="59"/>
  <c r="AR878" i="59"/>
  <c r="AR885" i="59"/>
  <c r="AR897" i="59"/>
  <c r="AR898" i="59"/>
  <c r="AR38" i="59"/>
  <c r="AR40" i="59"/>
  <c r="AT765" i="59"/>
  <c r="AS765" i="59" s="1"/>
  <c r="AV765" i="59" s="1"/>
  <c r="AW765" i="59" s="1"/>
  <c r="AX765" i="59" s="1"/>
  <c r="AF765" i="59"/>
  <c r="AF214" i="59"/>
  <c r="AT214" i="59"/>
  <c r="AT788" i="59"/>
  <c r="AF788" i="59"/>
  <c r="AF239" i="59"/>
  <c r="AT239" i="59"/>
  <c r="AF353" i="59"/>
  <c r="AT353" i="59"/>
  <c r="AS353" i="59" s="1"/>
  <c r="AV353" i="59" s="1"/>
  <c r="AF413" i="59"/>
  <c r="AT413" i="59"/>
  <c r="AO413" i="59" s="1"/>
  <c r="AP413" i="59" s="1"/>
  <c r="AF505" i="59"/>
  <c r="AT505" i="59"/>
  <c r="AF962" i="59"/>
  <c r="AT962" i="59"/>
  <c r="AF631" i="59"/>
  <c r="AT631" i="59"/>
  <c r="AT854" i="59"/>
  <c r="AF854" i="59"/>
  <c r="AF267" i="59"/>
  <c r="AT267" i="59"/>
  <c r="AF318" i="59"/>
  <c r="AT318" i="59"/>
  <c r="AF247" i="59"/>
  <c r="AT247" i="59"/>
  <c r="AF52" i="59"/>
  <c r="AT52" i="59"/>
  <c r="AF415" i="59"/>
  <c r="AT415" i="59"/>
  <c r="AO415" i="59" s="1"/>
  <c r="AP415" i="59" s="1"/>
  <c r="AF27" i="59"/>
  <c r="AT27" i="59"/>
  <c r="AF907" i="59"/>
  <c r="AT907" i="59"/>
  <c r="AF456" i="59"/>
  <c r="AT456" i="59"/>
  <c r="AF383" i="59"/>
  <c r="AT383" i="59"/>
  <c r="AO383" i="59" s="1"/>
  <c r="AP383" i="59" s="1"/>
  <c r="AF6" i="59"/>
  <c r="AT6" i="59"/>
  <c r="AS6" i="59" s="1"/>
  <c r="AV6" i="59" s="1"/>
  <c r="AW6" i="59" s="1"/>
  <c r="AX6" i="59" s="1"/>
  <c r="AT24" i="59"/>
  <c r="AF24" i="59"/>
  <c r="AF521" i="59"/>
  <c r="AT521" i="59"/>
  <c r="AF454" i="59"/>
  <c r="AT454" i="59"/>
  <c r="AF260" i="59"/>
  <c r="AT260" i="59"/>
  <c r="AS260" i="59" s="1"/>
  <c r="AV260" i="59" s="1"/>
  <c r="AW260" i="59" s="1"/>
  <c r="AX260" i="59" s="1"/>
  <c r="AF543" i="59"/>
  <c r="AT543" i="59"/>
  <c r="AF809" i="59"/>
  <c r="AT809" i="59"/>
  <c r="AF265" i="59"/>
  <c r="AT265" i="59"/>
  <c r="AF276" i="59"/>
  <c r="AT276" i="59"/>
  <c r="AS276" i="59" s="1"/>
  <c r="AV276" i="59" s="1"/>
  <c r="AW276" i="59" s="1"/>
  <c r="AX276" i="59" s="1"/>
  <c r="AF114" i="59"/>
  <c r="AT114" i="59"/>
  <c r="AF629" i="59"/>
  <c r="AT629" i="59"/>
  <c r="AF839" i="59"/>
  <c r="AT839" i="59"/>
  <c r="AF635" i="59"/>
  <c r="AT635" i="59"/>
  <c r="AS635" i="59" s="1"/>
  <c r="AV635" i="59" s="1"/>
  <c r="AW635" i="59" s="1"/>
  <c r="AX635" i="59" s="1"/>
  <c r="AF587" i="59"/>
  <c r="AT587" i="59"/>
  <c r="AF582" i="59"/>
  <c r="AT582" i="59"/>
  <c r="AS582" i="59" s="1"/>
  <c r="AV582" i="59" s="1"/>
  <c r="AF588" i="59"/>
  <c r="AT588" i="59"/>
  <c r="AS588" i="59" s="1"/>
  <c r="AV588" i="59" s="1"/>
  <c r="AW588" i="59" s="1"/>
  <c r="AX588" i="59" s="1"/>
  <c r="AF494" i="59"/>
  <c r="AT494" i="59"/>
  <c r="AF384" i="59"/>
  <c r="AT384" i="59"/>
  <c r="AO384" i="59" s="1"/>
  <c r="AP384" i="59" s="1"/>
  <c r="AF268" i="59"/>
  <c r="AT268" i="59"/>
  <c r="AF188" i="59"/>
  <c r="AT188" i="59"/>
  <c r="AF729" i="59"/>
  <c r="AT729" i="59"/>
  <c r="AF493" i="59"/>
  <c r="AT493" i="59"/>
  <c r="AF592" i="59"/>
  <c r="AT592" i="59"/>
  <c r="AS592" i="59" s="1"/>
  <c r="AV592" i="59" s="1"/>
  <c r="AW592" i="59" s="1"/>
  <c r="AX592" i="59" s="1"/>
  <c r="AF799" i="59"/>
  <c r="AT799" i="59"/>
  <c r="AF580" i="59"/>
  <c r="AT580" i="59"/>
  <c r="AS580" i="59" s="1"/>
  <c r="AV580" i="59" s="1"/>
  <c r="AF282" i="59"/>
  <c r="AT282" i="59"/>
  <c r="AF93" i="59"/>
  <c r="AT93" i="59"/>
  <c r="AF871" i="59"/>
  <c r="AT871" i="59"/>
  <c r="AS871" i="59" s="1"/>
  <c r="AV871" i="59" s="1"/>
  <c r="AW871" i="59" s="1"/>
  <c r="AX871" i="59" s="1"/>
  <c r="AF457" i="59"/>
  <c r="AT457" i="59"/>
  <c r="AF536" i="59"/>
  <c r="AT536" i="59"/>
  <c r="AS536" i="59" s="1"/>
  <c r="AV536" i="59" s="1"/>
  <c r="AW536" i="59" s="1"/>
  <c r="AX536" i="59" s="1"/>
  <c r="AF535" i="59"/>
  <c r="AT535" i="59"/>
  <c r="AF811" i="59"/>
  <c r="AT811" i="59"/>
  <c r="AO811" i="59" s="1"/>
  <c r="AP811" i="59" s="1"/>
  <c r="AF198" i="59"/>
  <c r="AT198" i="59"/>
  <c r="AS198" i="59" s="1"/>
  <c r="AV198" i="59" s="1"/>
  <c r="AW198" i="59" s="1"/>
  <c r="AX198" i="59" s="1"/>
  <c r="AF814" i="59"/>
  <c r="AT814" i="59"/>
  <c r="AF833" i="59"/>
  <c r="AT833" i="59"/>
  <c r="AF872" i="59"/>
  <c r="AT872" i="59"/>
  <c r="AF392" i="59"/>
  <c r="AT392" i="59"/>
  <c r="AO392" i="59" s="1"/>
  <c r="AP392" i="59" s="1"/>
  <c r="AF369" i="59"/>
  <c r="AT369" i="59"/>
  <c r="AO369" i="59" s="1"/>
  <c r="AP369" i="59" s="1"/>
  <c r="AF224" i="59"/>
  <c r="AT224" i="59"/>
  <c r="AF61" i="59"/>
  <c r="AT61" i="59"/>
  <c r="AF387" i="59"/>
  <c r="AT387" i="59"/>
  <c r="AO387" i="59" s="1"/>
  <c r="AP387" i="59" s="1"/>
  <c r="AF647" i="59"/>
  <c r="AT647" i="59"/>
  <c r="AS647" i="59" s="1"/>
  <c r="AV647" i="59" s="1"/>
  <c r="AW647" i="59" s="1"/>
  <c r="AX647" i="59" s="1"/>
  <c r="AF738" i="59"/>
  <c r="AT738" i="59"/>
  <c r="AS738" i="59" s="1"/>
  <c r="AV738" i="59" s="1"/>
  <c r="AW738" i="59" s="1"/>
  <c r="AX738" i="59" s="1"/>
  <c r="AF446" i="59"/>
  <c r="AT446" i="59"/>
  <c r="AF527" i="59"/>
  <c r="AT527" i="59"/>
  <c r="AF643" i="59"/>
  <c r="AT643" i="59"/>
  <c r="AS643" i="59" s="1"/>
  <c r="AV643" i="59" s="1"/>
  <c r="AW643" i="59" s="1"/>
  <c r="AX643" i="59" s="1"/>
  <c r="AF56" i="59"/>
  <c r="AT56" i="59"/>
  <c r="AS56" i="59" s="1"/>
  <c r="AV56" i="59" s="1"/>
  <c r="AW56" i="59" s="1"/>
  <c r="AX56" i="59" s="1"/>
  <c r="AF550" i="59"/>
  <c r="AT550" i="59"/>
  <c r="AS550" i="59" s="1"/>
  <c r="AV550" i="59" s="1"/>
  <c r="AW550" i="59" s="1"/>
  <c r="AX550" i="59" s="1"/>
  <c r="AF465" i="59"/>
  <c r="AT465" i="59"/>
  <c r="AF91" i="59"/>
  <c r="AT91" i="59"/>
  <c r="AF294" i="59"/>
  <c r="AT294" i="59"/>
  <c r="AF562" i="59"/>
  <c r="AT562" i="59"/>
  <c r="AS562" i="59" s="1"/>
  <c r="AV562" i="59" s="1"/>
  <c r="AT21" i="59"/>
  <c r="AS21" i="59" s="1"/>
  <c r="AV21" i="59" s="1"/>
  <c r="AW21" i="59" s="1"/>
  <c r="AX21" i="59" s="1"/>
  <c r="AF21" i="59"/>
  <c r="AF292" i="59"/>
  <c r="AT292" i="59"/>
  <c r="AF90" i="59"/>
  <c r="AT90" i="59"/>
  <c r="AS90" i="59" s="1"/>
  <c r="AV90" i="59" s="1"/>
  <c r="AW90" i="59" s="1"/>
  <c r="AX90" i="59" s="1"/>
  <c r="AF492" i="59"/>
  <c r="AT492" i="59"/>
  <c r="AF223" i="59"/>
  <c r="AT223" i="59"/>
  <c r="AS223" i="59" s="1"/>
  <c r="AV223" i="59" s="1"/>
  <c r="AW223" i="59" s="1"/>
  <c r="AX223" i="59" s="1"/>
  <c r="AF78" i="59"/>
  <c r="AT78" i="59"/>
  <c r="AS78" i="59" s="1"/>
  <c r="AV78" i="59" s="1"/>
  <c r="AW78" i="59" s="1"/>
  <c r="AX78" i="59" s="1"/>
  <c r="AF705" i="59"/>
  <c r="AT705" i="59"/>
  <c r="AF428" i="59"/>
  <c r="AT428" i="59"/>
  <c r="AO428" i="59" s="1"/>
  <c r="AP428" i="59" s="1"/>
  <c r="AF74" i="59"/>
  <c r="AT74" i="59"/>
  <c r="AF489" i="59"/>
  <c r="AT489" i="59"/>
  <c r="AT11" i="59"/>
  <c r="AF11" i="59"/>
  <c r="AF291" i="59"/>
  <c r="AT291" i="59"/>
  <c r="AS291" i="59" s="1"/>
  <c r="AV291" i="59" s="1"/>
  <c r="AW291" i="59" s="1"/>
  <c r="AX291" i="59" s="1"/>
  <c r="AR46" i="59"/>
  <c r="AR63" i="59"/>
  <c r="AR51" i="59"/>
  <c r="AR141" i="59"/>
  <c r="AR100" i="59"/>
  <c r="AR148" i="59"/>
  <c r="AQ106" i="59"/>
  <c r="AR317" i="59"/>
  <c r="AR282" i="59"/>
  <c r="AR261" i="59"/>
  <c r="AR253" i="59"/>
  <c r="AR136" i="59"/>
  <c r="AR147" i="59"/>
  <c r="AR194" i="59"/>
  <c r="AR150" i="59"/>
  <c r="AR108" i="59"/>
  <c r="AR292" i="59"/>
  <c r="AR114" i="59"/>
  <c r="AR142" i="59"/>
  <c r="AR373" i="59"/>
  <c r="AR387" i="59"/>
  <c r="AR390" i="59"/>
  <c r="AQ391" i="59"/>
  <c r="AR426" i="59"/>
  <c r="AR405" i="59"/>
  <c r="AR420" i="59"/>
  <c r="AR428" i="59"/>
  <c r="AR414" i="59"/>
  <c r="AR447" i="59"/>
  <c r="AR462" i="59"/>
  <c r="AR463" i="59"/>
  <c r="AR453" i="59"/>
  <c r="AR468" i="59"/>
  <c r="AR456" i="59"/>
  <c r="AR491" i="59"/>
  <c r="AR504" i="59"/>
  <c r="AR494" i="59"/>
  <c r="AR484" i="59"/>
  <c r="AR507" i="59"/>
  <c r="AR508" i="59"/>
  <c r="AQ500" i="59"/>
  <c r="AR531" i="59"/>
  <c r="AR526" i="59"/>
  <c r="AR549" i="59"/>
  <c r="AR591" i="59"/>
  <c r="AR607" i="59"/>
  <c r="AR626" i="59"/>
  <c r="AR668" i="59"/>
  <c r="AR677" i="59"/>
  <c r="AR701" i="59"/>
  <c r="AR709" i="59"/>
  <c r="AR802" i="59"/>
  <c r="AR807" i="59"/>
  <c r="AR808" i="59"/>
  <c r="AR831" i="59"/>
  <c r="AR841" i="59"/>
  <c r="AR842" i="59"/>
  <c r="AR863" i="59"/>
  <c r="AR864" i="59"/>
  <c r="AR890" i="59"/>
  <c r="AR965" i="59"/>
  <c r="AR972" i="59"/>
  <c r="AR980" i="59"/>
  <c r="AR11" i="59"/>
  <c r="AF13" i="59"/>
  <c r="AT13" i="59"/>
  <c r="AF659" i="59"/>
  <c r="AT659" i="59"/>
  <c r="AS659" i="59" s="1"/>
  <c r="AV659" i="59" s="1"/>
  <c r="AF431" i="59"/>
  <c r="AT431" i="59"/>
  <c r="AF41" i="59"/>
  <c r="AT41" i="59"/>
  <c r="AS41" i="59" s="1"/>
  <c r="AV41" i="59" s="1"/>
  <c r="AW41" i="59" s="1"/>
  <c r="AX41" i="59" s="1"/>
  <c r="AF164" i="59"/>
  <c r="AT164" i="59"/>
  <c r="AS164" i="59" s="1"/>
  <c r="AV164" i="59" s="1"/>
  <c r="AW164" i="59" s="1"/>
  <c r="AX164" i="59" s="1"/>
  <c r="AF338" i="59"/>
  <c r="AT338" i="59"/>
  <c r="AS338" i="59" s="1"/>
  <c r="AV338" i="59" s="1"/>
  <c r="AW338" i="59" s="1"/>
  <c r="AX338" i="59" s="1"/>
  <c r="AF163" i="59"/>
  <c r="AT163" i="59"/>
  <c r="AF893" i="59"/>
  <c r="AT893" i="59"/>
  <c r="AF393" i="59"/>
  <c r="AT393" i="59"/>
  <c r="AO393" i="59" s="1"/>
  <c r="AP393" i="59" s="1"/>
  <c r="AF730" i="59"/>
  <c r="AT730" i="59"/>
  <c r="AS730" i="59" s="1"/>
  <c r="AV730" i="59" s="1"/>
  <c r="AW730" i="59" s="1"/>
  <c r="AX730" i="59" s="1"/>
  <c r="AF12" i="59"/>
  <c r="AT12" i="59"/>
  <c r="AF807" i="59"/>
  <c r="AT807" i="59"/>
  <c r="AO807" i="59" s="1"/>
  <c r="AP807" i="59" s="1"/>
  <c r="AT25" i="59"/>
  <c r="AF25" i="59"/>
  <c r="AF348" i="59"/>
  <c r="AT348" i="59"/>
  <c r="AS348" i="59" s="1"/>
  <c r="AV348" i="59" s="1"/>
  <c r="AW348" i="59" s="1"/>
  <c r="AX348" i="59" s="1"/>
  <c r="AF974" i="59"/>
  <c r="AT974" i="59"/>
  <c r="AS974" i="59" s="1"/>
  <c r="AV974" i="59" s="1"/>
  <c r="AF612" i="59"/>
  <c r="AT612" i="59"/>
  <c r="AS612" i="59" s="1"/>
  <c r="AV612" i="59" s="1"/>
  <c r="AW612" i="59" s="1"/>
  <c r="AX612" i="59" s="1"/>
  <c r="AF921" i="59"/>
  <c r="AT921" i="59"/>
  <c r="AT850" i="59"/>
  <c r="AS850" i="59" s="1"/>
  <c r="AV850" i="59" s="1"/>
  <c r="AW850" i="59" s="1"/>
  <c r="AX850" i="59" s="1"/>
  <c r="AF850" i="59"/>
  <c r="AF37" i="59"/>
  <c r="AT37" i="59"/>
  <c r="AS37" i="59" s="1"/>
  <c r="AV37" i="59" s="1"/>
  <c r="AW37" i="59" s="1"/>
  <c r="AX37" i="59" s="1"/>
  <c r="AF864" i="59"/>
  <c r="AT864" i="59"/>
  <c r="AO864" i="59" s="1"/>
  <c r="AP864" i="59" s="1"/>
  <c r="AF418" i="59"/>
  <c r="AT418" i="59"/>
  <c r="AO418" i="59" s="1"/>
  <c r="AP418" i="59" s="1"/>
  <c r="AT841" i="59"/>
  <c r="AF841" i="59"/>
  <c r="AF812" i="59"/>
  <c r="AT812" i="59"/>
  <c r="AF371" i="59"/>
  <c r="AT371" i="59"/>
  <c r="AO371" i="59" s="1"/>
  <c r="AP371" i="59" s="1"/>
  <c r="AF151" i="59"/>
  <c r="AT151" i="59"/>
  <c r="AF858" i="59"/>
  <c r="AT858" i="59"/>
  <c r="AF523" i="59"/>
  <c r="AT523" i="59"/>
  <c r="AF215" i="59"/>
  <c r="AT215" i="59"/>
  <c r="AS215" i="59" s="1"/>
  <c r="AV215" i="59" s="1"/>
  <c r="AW215" i="59" s="1"/>
  <c r="AX215" i="59" s="1"/>
  <c r="AF417" i="59"/>
  <c r="AT417" i="59"/>
  <c r="AO417" i="59" s="1"/>
  <c r="AP417" i="59" s="1"/>
  <c r="AF610" i="59"/>
  <c r="AT610" i="59"/>
  <c r="AS610" i="59" s="1"/>
  <c r="AV610" i="59" s="1"/>
  <c r="AW610" i="59" s="1"/>
  <c r="AX610" i="59" s="1"/>
  <c r="AF761" i="59"/>
  <c r="AT761" i="59"/>
  <c r="AF165" i="59"/>
  <c r="AT165" i="59"/>
  <c r="AF837" i="59"/>
  <c r="AT837" i="59"/>
  <c r="AF331" i="59"/>
  <c r="AT331" i="59"/>
  <c r="AF231" i="59"/>
  <c r="AT231" i="59"/>
  <c r="AS231" i="59" s="1"/>
  <c r="AV231" i="59" s="1"/>
  <c r="AW231" i="59" s="1"/>
  <c r="AX231" i="59" s="1"/>
  <c r="AF152" i="59"/>
  <c r="AT152" i="59"/>
  <c r="AS152" i="59" s="1"/>
  <c r="AV152" i="59" s="1"/>
  <c r="AW152" i="59" s="1"/>
  <c r="AX152" i="59" s="1"/>
  <c r="AF889" i="59"/>
  <c r="AT889" i="59"/>
  <c r="AF538" i="59"/>
  <c r="AT538" i="59"/>
  <c r="AF623" i="59"/>
  <c r="AT623" i="59"/>
  <c r="AF522" i="59"/>
  <c r="AT522" i="59"/>
  <c r="AF210" i="59"/>
  <c r="AT210" i="59"/>
  <c r="AS210" i="59" s="1"/>
  <c r="AV210" i="59" s="1"/>
  <c r="AW210" i="59" s="1"/>
  <c r="AX210" i="59" s="1"/>
  <c r="AF742" i="59"/>
  <c r="AT742" i="59"/>
  <c r="AS742" i="59" s="1"/>
  <c r="AV742" i="59" s="1"/>
  <c r="AF453" i="59"/>
  <c r="AT453" i="59"/>
  <c r="AF739" i="59"/>
  <c r="AT739" i="59"/>
  <c r="AS739" i="59" s="1"/>
  <c r="AV739" i="59" s="1"/>
  <c r="AW739" i="59" s="1"/>
  <c r="AX739" i="59" s="1"/>
  <c r="AF50" i="59"/>
  <c r="AT50" i="59"/>
  <c r="AS50" i="59" s="1"/>
  <c r="AV50" i="59" s="1"/>
  <c r="AW50" i="59" s="1"/>
  <c r="AX50" i="59" s="1"/>
  <c r="AF782" i="59"/>
  <c r="AT782" i="59"/>
  <c r="AS782" i="59" s="1"/>
  <c r="AV782" i="59" s="1"/>
  <c r="AF211" i="59"/>
  <c r="AT211" i="59"/>
  <c r="AS211" i="59" s="1"/>
  <c r="AV211" i="59" s="1"/>
  <c r="AW211" i="59" s="1"/>
  <c r="AX211" i="59" s="1"/>
  <c r="AF752" i="59"/>
  <c r="AT752" i="59"/>
  <c r="AF754" i="59"/>
  <c r="AT754" i="59"/>
  <c r="AF374" i="59"/>
  <c r="AT374" i="59"/>
  <c r="AO374" i="59" s="1"/>
  <c r="AP374" i="59" s="1"/>
  <c r="AF884" i="59"/>
  <c r="AT884" i="59"/>
  <c r="AF373" i="59"/>
  <c r="AT373" i="59"/>
  <c r="AF63" i="59"/>
  <c r="AT63" i="59"/>
  <c r="AF464" i="59"/>
  <c r="AT464" i="59"/>
  <c r="AF525" i="59"/>
  <c r="AT525" i="59"/>
  <c r="AF701" i="59"/>
  <c r="AT701" i="59"/>
  <c r="AF112" i="59"/>
  <c r="AT112" i="59"/>
  <c r="AF305" i="59"/>
  <c r="AT305" i="59"/>
  <c r="AF486" i="59"/>
  <c r="AT486" i="59"/>
  <c r="AF309" i="59"/>
  <c r="AT309" i="59"/>
  <c r="AS309" i="59" s="1"/>
  <c r="AV309" i="59" s="1"/>
  <c r="AW309" i="59" s="1"/>
  <c r="AX309" i="59" s="1"/>
  <c r="AF597" i="59"/>
  <c r="AT597" i="59"/>
  <c r="AF249" i="59"/>
  <c r="AT249" i="59"/>
  <c r="AF735" i="59"/>
  <c r="AT735" i="59"/>
  <c r="AS735" i="59" s="1"/>
  <c r="AV735" i="59" s="1"/>
  <c r="AW735" i="59" s="1"/>
  <c r="AX735" i="59" s="1"/>
  <c r="AF146" i="59"/>
  <c r="AT146" i="59"/>
  <c r="AF57" i="59"/>
  <c r="AT57" i="59"/>
  <c r="AF604" i="59"/>
  <c r="AT604" i="59"/>
  <c r="AS604" i="59" s="1"/>
  <c r="AV604" i="59" s="1"/>
  <c r="AW604" i="59" s="1"/>
  <c r="AX604" i="59" s="1"/>
  <c r="AF135" i="59"/>
  <c r="AT135" i="59"/>
  <c r="AF745" i="59"/>
  <c r="AT745" i="59"/>
  <c r="AF179" i="59"/>
  <c r="AT179" i="59"/>
  <c r="AF47" i="59"/>
  <c r="AT47" i="59"/>
  <c r="AS47" i="59" s="1"/>
  <c r="AV47" i="59" s="1"/>
  <c r="AW47" i="59" s="1"/>
  <c r="AX47" i="59" s="1"/>
  <c r="AF654" i="59"/>
  <c r="AT654" i="59"/>
  <c r="AF662" i="59"/>
  <c r="AT662" i="59"/>
  <c r="AS662" i="59" s="1"/>
  <c r="AV662" i="59" s="1"/>
  <c r="AF502" i="59"/>
  <c r="AT502" i="59"/>
  <c r="AF315" i="59"/>
  <c r="AT315" i="59"/>
  <c r="AS315" i="59" s="1"/>
  <c r="AV315" i="59" s="1"/>
  <c r="AW315" i="59" s="1"/>
  <c r="AX315" i="59" s="1"/>
  <c r="AF149" i="59"/>
  <c r="AT149" i="59"/>
  <c r="AF399" i="59"/>
  <c r="AT399" i="59"/>
  <c r="AF99" i="59"/>
  <c r="AT99" i="59"/>
  <c r="AF483" i="59"/>
  <c r="AT483" i="59"/>
  <c r="AF192" i="59"/>
  <c r="AT192" i="59"/>
  <c r="AF228" i="59"/>
  <c r="AT228" i="59"/>
  <c r="AF547" i="59"/>
  <c r="AT547" i="59"/>
  <c r="AF702" i="59"/>
  <c r="AT702" i="59"/>
  <c r="AS702" i="59" s="1"/>
  <c r="AV702" i="59" s="1"/>
  <c r="AW702" i="59" s="1"/>
  <c r="AX702" i="59" s="1"/>
  <c r="AF370" i="59"/>
  <c r="AT370" i="59"/>
  <c r="AO370" i="59" s="1"/>
  <c r="AP370" i="59" s="1"/>
  <c r="AF608" i="59"/>
  <c r="AT608" i="59"/>
  <c r="AS608" i="59" s="1"/>
  <c r="AV608" i="59" s="1"/>
  <c r="AW608" i="59" s="1"/>
  <c r="AX608" i="59" s="1"/>
  <c r="AF301" i="59"/>
  <c r="AT301" i="59"/>
  <c r="AF707" i="59"/>
  <c r="AT707" i="59"/>
  <c r="AF820" i="59"/>
  <c r="AT820" i="59"/>
  <c r="AF313" i="59"/>
  <c r="AT313" i="59"/>
  <c r="AS313" i="59" s="1"/>
  <c r="AV313" i="59" s="1"/>
  <c r="AW313" i="59" s="1"/>
  <c r="AX313" i="59" s="1"/>
  <c r="AQ438" i="59"/>
  <c r="AR52" i="59"/>
  <c r="AR67" i="59"/>
  <c r="AR225" i="59"/>
  <c r="AR137" i="59"/>
  <c r="AR178" i="59"/>
  <c r="AR227" i="59"/>
  <c r="AR191" i="59"/>
  <c r="AR165" i="59"/>
  <c r="AR284" i="59"/>
  <c r="AR153" i="59"/>
  <c r="AR70" i="59"/>
  <c r="AR85" i="59"/>
  <c r="AR99" i="59"/>
  <c r="AR143" i="59"/>
  <c r="AR369" i="59"/>
  <c r="AR370" i="59"/>
  <c r="AR372" i="59"/>
  <c r="AQ390" i="59"/>
  <c r="AR393" i="59"/>
  <c r="AR397" i="59"/>
  <c r="AR417" i="59"/>
  <c r="AR413" i="59"/>
  <c r="AQ409" i="59"/>
  <c r="AR432" i="59"/>
  <c r="AR448" i="59"/>
  <c r="AR464" i="59"/>
  <c r="AR480" i="59"/>
  <c r="AR492" i="59"/>
  <c r="AR482" i="59"/>
  <c r="AR488" i="59"/>
  <c r="AR500" i="59"/>
  <c r="AR529" i="59"/>
  <c r="AR524" i="59"/>
  <c r="AR541" i="59"/>
  <c r="AR547" i="59"/>
  <c r="AR622" i="59"/>
  <c r="AR631" i="59"/>
  <c r="AR636" i="59"/>
  <c r="AR650" i="59"/>
  <c r="AR697" i="59"/>
  <c r="AR721" i="59"/>
  <c r="AR733" i="59"/>
  <c r="AR750" i="59"/>
  <c r="AR759" i="59"/>
  <c r="AR761" i="59"/>
  <c r="AR776" i="59"/>
  <c r="AR788" i="59"/>
  <c r="AR800" i="59"/>
  <c r="AQ808" i="59"/>
  <c r="AR828" i="59"/>
  <c r="AR840" i="59"/>
  <c r="AR848" i="59"/>
  <c r="AR858" i="59"/>
  <c r="AQ864" i="59"/>
  <c r="AR870" i="59"/>
  <c r="AR901" i="59"/>
  <c r="AR921" i="59"/>
  <c r="AR12" i="59"/>
  <c r="AR13" i="59"/>
  <c r="AT732" i="59"/>
  <c r="AS732" i="59" s="1"/>
  <c r="AV732" i="59" s="1"/>
  <c r="AW732" i="59" s="1"/>
  <c r="AX732" i="59" s="1"/>
  <c r="AF732" i="59"/>
  <c r="AF917" i="59"/>
  <c r="AT917" i="59"/>
  <c r="AS917" i="59" s="1"/>
  <c r="AV917" i="59" s="1"/>
  <c r="AF508" i="59"/>
  <c r="AT508" i="59"/>
  <c r="AT725" i="59"/>
  <c r="AS725" i="59" s="1"/>
  <c r="AV725" i="59" s="1"/>
  <c r="AW725" i="59" s="1"/>
  <c r="AX725" i="59" s="1"/>
  <c r="AF725" i="59"/>
  <c r="AF762" i="59"/>
  <c r="AT762" i="59"/>
  <c r="AF755" i="59"/>
  <c r="AT755" i="59"/>
  <c r="AS755" i="59" s="1"/>
  <c r="AV755" i="59" s="1"/>
  <c r="AW755" i="59" s="1"/>
  <c r="AX755" i="59" s="1"/>
  <c r="AF953" i="59"/>
  <c r="AT953" i="59"/>
  <c r="AF695" i="59"/>
  <c r="AT695" i="59"/>
  <c r="AF618" i="59"/>
  <c r="AT618" i="59"/>
  <c r="AS618" i="59" s="1"/>
  <c r="AV618" i="59" s="1"/>
  <c r="AW618" i="59" s="1"/>
  <c r="AX618" i="59" s="1"/>
  <c r="AF810" i="59"/>
  <c r="AT810" i="59"/>
  <c r="AO810" i="59" s="1"/>
  <c r="AP810" i="59" s="1"/>
  <c r="AF668" i="59"/>
  <c r="AT668" i="59"/>
  <c r="AF193" i="59"/>
  <c r="AT193" i="59"/>
  <c r="AF447" i="59"/>
  <c r="AT447" i="59"/>
  <c r="AF15" i="59"/>
  <c r="AT15" i="59"/>
  <c r="AS15" i="59" s="1"/>
  <c r="AV15" i="59" s="1"/>
  <c r="AW15" i="59" s="1"/>
  <c r="AX15" i="59" s="1"/>
  <c r="AF802" i="59"/>
  <c r="AT802" i="59"/>
  <c r="AF42" i="59"/>
  <c r="AT42" i="59"/>
  <c r="AF544" i="59"/>
  <c r="AT544" i="59"/>
  <c r="AS544" i="59" s="1"/>
  <c r="AV544" i="59" s="1"/>
  <c r="AW544" i="59" s="1"/>
  <c r="AX544" i="59" s="1"/>
  <c r="AF757" i="59"/>
  <c r="AT757" i="59"/>
  <c r="AF55" i="59"/>
  <c r="AT55" i="59"/>
  <c r="AF105" i="59"/>
  <c r="AT105" i="59"/>
  <c r="AO105" i="59" s="1"/>
  <c r="AP105" i="59" s="1"/>
  <c r="AF460" i="59"/>
  <c r="AT460" i="59"/>
  <c r="AF882" i="59"/>
  <c r="AT882" i="59"/>
  <c r="AF632" i="59"/>
  <c r="AT632" i="59"/>
  <c r="AF835" i="59"/>
  <c r="AT835" i="59"/>
  <c r="AF815" i="59"/>
  <c r="AT815" i="59"/>
  <c r="AF134" i="59"/>
  <c r="AT134" i="59"/>
  <c r="AF227" i="59"/>
  <c r="AT227" i="59"/>
  <c r="AF142" i="59"/>
  <c r="AT142" i="59"/>
  <c r="AF558" i="59"/>
  <c r="AT558" i="59"/>
  <c r="AF285" i="59"/>
  <c r="AT285" i="59"/>
  <c r="AF176" i="59"/>
  <c r="AT176" i="59"/>
  <c r="AS176" i="59" s="1"/>
  <c r="AV176" i="59" s="1"/>
  <c r="AW176" i="59" s="1"/>
  <c r="AX176" i="59" s="1"/>
  <c r="AF717" i="59"/>
  <c r="AT717" i="59"/>
  <c r="AF656" i="59"/>
  <c r="AT656" i="59"/>
  <c r="AF459" i="59"/>
  <c r="AT459" i="59"/>
  <c r="AF596" i="59"/>
  <c r="AT596" i="59"/>
  <c r="AF113" i="59"/>
  <c r="AT113" i="59"/>
  <c r="AS113" i="59" s="1"/>
  <c r="AV113" i="59" s="1"/>
  <c r="AW113" i="59" s="1"/>
  <c r="AX113" i="59" s="1"/>
  <c r="AF711" i="59"/>
  <c r="AT711" i="59"/>
  <c r="AF161" i="59"/>
  <c r="AT161" i="59"/>
  <c r="AF119" i="59"/>
  <c r="AT119" i="59"/>
  <c r="AS119" i="59" s="1"/>
  <c r="AV119" i="59" s="1"/>
  <c r="AW119" i="59" s="1"/>
  <c r="AX119" i="59" s="1"/>
  <c r="AF148" i="59"/>
  <c r="AT148" i="59"/>
  <c r="AF368" i="59"/>
  <c r="AT368" i="59"/>
  <c r="AO368" i="59" s="1"/>
  <c r="AP368" i="59" s="1"/>
  <c r="AF202" i="59"/>
  <c r="AT202" i="59"/>
  <c r="AS202" i="59" s="1"/>
  <c r="AV202" i="59" s="1"/>
  <c r="AW202" i="59" s="1"/>
  <c r="AX202" i="59" s="1"/>
  <c r="AF586" i="59"/>
  <c r="AT586" i="59"/>
  <c r="AS586" i="59" s="1"/>
  <c r="AV586" i="59" s="1"/>
  <c r="AW586" i="59" s="1"/>
  <c r="AX586" i="59" s="1"/>
  <c r="AF199" i="59"/>
  <c r="AT199" i="59"/>
  <c r="AS199" i="59" s="1"/>
  <c r="AV199" i="59" s="1"/>
  <c r="AW199" i="59" s="1"/>
  <c r="AX199" i="59" s="1"/>
  <c r="AF238" i="59"/>
  <c r="AT238" i="59"/>
  <c r="AS238" i="59" s="1"/>
  <c r="AV238" i="59" s="1"/>
  <c r="AW238" i="59" s="1"/>
  <c r="AX238" i="59" s="1"/>
  <c r="AF644" i="59"/>
  <c r="AT644" i="59"/>
  <c r="AS644" i="59" s="1"/>
  <c r="AV644" i="59" s="1"/>
  <c r="AW644" i="59" s="1"/>
  <c r="AX644" i="59" s="1"/>
  <c r="AF624" i="59"/>
  <c r="AT624" i="59"/>
  <c r="AS624" i="59" s="1"/>
  <c r="AV624" i="59" s="1"/>
  <c r="AW624" i="59" s="1"/>
  <c r="AX624" i="59" s="1"/>
  <c r="AF194" i="59"/>
  <c r="AT194" i="59"/>
  <c r="AF670" i="59"/>
  <c r="AT670" i="59"/>
  <c r="AF532" i="59"/>
  <c r="AT532" i="59"/>
  <c r="AF75" i="59"/>
  <c r="AT75" i="59"/>
  <c r="AS75" i="59" s="1"/>
  <c r="AV75" i="59" s="1"/>
  <c r="AW75" i="59" s="1"/>
  <c r="AX75" i="59" s="1"/>
  <c r="AF299" i="59"/>
  <c r="AT299" i="59"/>
  <c r="AS299" i="59" s="1"/>
  <c r="AV299" i="59" s="1"/>
  <c r="AW299" i="59" s="1"/>
  <c r="AX299" i="59" s="1"/>
  <c r="AF201" i="59"/>
  <c r="AT201" i="59"/>
  <c r="AS201" i="59" s="1"/>
  <c r="AV201" i="59" s="1"/>
  <c r="AW201" i="59" s="1"/>
  <c r="AX201" i="59" s="1"/>
  <c r="AF674" i="59"/>
  <c r="AT674" i="59"/>
  <c r="AS674" i="59" s="1"/>
  <c r="AV674" i="59" s="1"/>
  <c r="AF450" i="59"/>
  <c r="AT450" i="59"/>
  <c r="AF496" i="59"/>
  <c r="AT496" i="59"/>
  <c r="AF881" i="59"/>
  <c r="AT881" i="59"/>
  <c r="AF269" i="59"/>
  <c r="AT269" i="59"/>
  <c r="AS269" i="59" s="1"/>
  <c r="AV269" i="59" s="1"/>
  <c r="AW269" i="59" s="1"/>
  <c r="AX269" i="59" s="1"/>
  <c r="AF607" i="59"/>
  <c r="AT607" i="59"/>
  <c r="AF175" i="59"/>
  <c r="AT175" i="59"/>
  <c r="AS175" i="59" s="1"/>
  <c r="AV175" i="59" s="1"/>
  <c r="AW175" i="59" s="1"/>
  <c r="AX175" i="59" s="1"/>
  <c r="AF620" i="59"/>
  <c r="AT620" i="59"/>
  <c r="AF155" i="59"/>
  <c r="AT155" i="59"/>
  <c r="AF51" i="59"/>
  <c r="AT51" i="59"/>
  <c r="AF922" i="59"/>
  <c r="AT922" i="59"/>
  <c r="AF504" i="59"/>
  <c r="AT504" i="59"/>
  <c r="AF665" i="59"/>
  <c r="AT665" i="59"/>
  <c r="AS665" i="59" s="1"/>
  <c r="AV665" i="59" s="1"/>
  <c r="AF375" i="59"/>
  <c r="AT375" i="59"/>
  <c r="AO375" i="59" s="1"/>
  <c r="AP375" i="59" s="1"/>
  <c r="AF389" i="59"/>
  <c r="AT389" i="59"/>
  <c r="AO389" i="59" s="1"/>
  <c r="AP389" i="59" s="1"/>
  <c r="AF19" i="59"/>
  <c r="AT19" i="59"/>
  <c r="AS19" i="59" s="1"/>
  <c r="AV19" i="59" s="1"/>
  <c r="AW19" i="59" s="1"/>
  <c r="AX19" i="59" s="1"/>
  <c r="AF776" i="59"/>
  <c r="AT776" i="59"/>
  <c r="AF500" i="59"/>
  <c r="AT500" i="59"/>
  <c r="AF890" i="59"/>
  <c r="AT890" i="59"/>
  <c r="AF772" i="59"/>
  <c r="AT772" i="59"/>
  <c r="AS772" i="59" s="1"/>
  <c r="AV772" i="59" s="1"/>
  <c r="AW772" i="59" s="1"/>
  <c r="AX772" i="59" s="1"/>
  <c r="AF822" i="59"/>
  <c r="AT822" i="59"/>
  <c r="AR146" i="59"/>
  <c r="AR131" i="59"/>
  <c r="AR235" i="59"/>
  <c r="AR133" i="59"/>
  <c r="AR301" i="59"/>
  <c r="AR296" i="59"/>
  <c r="AR135" i="59"/>
  <c r="AR216" i="59"/>
  <c r="AR104" i="59"/>
  <c r="AR294" i="59"/>
  <c r="AR116" i="59"/>
  <c r="AR249" i="59"/>
  <c r="AR386" i="59"/>
  <c r="AR389" i="59"/>
  <c r="AR378" i="59"/>
  <c r="AR415" i="59"/>
  <c r="AR422" i="59"/>
  <c r="AR423" i="59"/>
  <c r="AR409" i="59"/>
  <c r="AR505" i="59"/>
  <c r="AR506" i="59"/>
  <c r="AR486" i="59"/>
  <c r="AR497" i="59"/>
  <c r="AR540" i="59"/>
  <c r="AR534" i="59"/>
  <c r="AR555" i="59"/>
  <c r="AR557" i="59"/>
  <c r="AR569" i="59"/>
  <c r="AR589" i="59"/>
  <c r="AR594" i="59"/>
  <c r="AR595" i="59"/>
  <c r="AR623" i="59"/>
  <c r="AR629" i="59"/>
  <c r="AR747" i="59"/>
  <c r="AR757" i="59"/>
  <c r="AR810" i="59"/>
  <c r="AR819" i="59"/>
  <c r="AR824" i="59"/>
  <c r="AR837" i="59"/>
  <c r="AR846" i="59"/>
  <c r="AR874" i="59"/>
  <c r="AR889" i="59"/>
  <c r="AR900" i="59"/>
  <c r="AR971" i="59"/>
  <c r="AR26" i="59"/>
  <c r="AT971" i="59"/>
  <c r="AF971" i="59"/>
  <c r="AF779" i="59"/>
  <c r="AT779" i="59"/>
  <c r="AF156" i="59"/>
  <c r="AT156" i="59"/>
  <c r="AF451" i="59"/>
  <c r="AT451" i="59"/>
  <c r="AF29" i="59"/>
  <c r="AT29" i="59"/>
  <c r="AS29" i="59" s="1"/>
  <c r="AV29" i="59" s="1"/>
  <c r="AW29" i="59" s="1"/>
  <c r="AX29" i="59" s="1"/>
  <c r="AF967" i="59"/>
  <c r="AT967" i="59"/>
  <c r="AF720" i="59"/>
  <c r="AT720" i="59"/>
  <c r="AS720" i="59" s="1"/>
  <c r="AV720" i="59" s="1"/>
  <c r="AW720" i="59" s="1"/>
  <c r="AX720" i="59" s="1"/>
  <c r="AF171" i="59"/>
  <c r="AT171" i="59"/>
  <c r="AS171" i="59" s="1"/>
  <c r="AV171" i="59" s="1"/>
  <c r="AW171" i="59" s="1"/>
  <c r="AX171" i="59" s="1"/>
  <c r="AF794" i="59"/>
  <c r="AT794" i="59"/>
  <c r="AF116" i="59"/>
  <c r="AT116" i="59"/>
  <c r="AT39" i="59"/>
  <c r="AS39" i="59" s="1"/>
  <c r="AV39" i="59" s="1"/>
  <c r="AW39" i="59" s="1"/>
  <c r="AX39" i="59" s="1"/>
  <c r="AF39" i="59"/>
  <c r="AF724" i="59"/>
  <c r="AT724" i="59"/>
  <c r="AS724" i="59" s="1"/>
  <c r="AV724" i="59" s="1"/>
  <c r="AW724" i="59" s="1"/>
  <c r="AX724" i="59" s="1"/>
  <c r="AF509" i="59"/>
  <c r="AT509" i="59"/>
  <c r="AF714" i="59"/>
  <c r="AT714" i="59"/>
  <c r="AS714" i="59" s="1"/>
  <c r="AV714" i="59" s="1"/>
  <c r="AF866" i="59"/>
  <c r="AT866" i="59"/>
  <c r="AO866" i="59" s="1"/>
  <c r="AP866" i="59" s="1"/>
  <c r="AT34" i="59"/>
  <c r="AS34" i="59" s="1"/>
  <c r="AV34" i="59" s="1"/>
  <c r="AW34" i="59" s="1"/>
  <c r="AX34" i="59" s="1"/>
  <c r="AF34" i="59"/>
  <c r="AF561" i="59"/>
  <c r="AT561" i="59"/>
  <c r="AS561" i="59" s="1"/>
  <c r="AV561" i="59" s="1"/>
  <c r="AF692" i="59"/>
  <c r="AT692" i="59"/>
  <c r="AS692" i="59" s="1"/>
  <c r="AV692" i="59" s="1"/>
  <c r="AW692" i="59" s="1"/>
  <c r="AX692" i="59" s="1"/>
  <c r="AT775" i="59"/>
  <c r="AS775" i="59" s="1"/>
  <c r="AV775" i="59" s="1"/>
  <c r="AW775" i="59" s="1"/>
  <c r="AX775" i="59" s="1"/>
  <c r="AF775" i="59"/>
  <c r="AF786" i="59"/>
  <c r="AT786" i="59"/>
  <c r="AS786" i="59" s="1"/>
  <c r="AV786" i="59" s="1"/>
  <c r="AF432" i="59"/>
  <c r="AT432" i="59"/>
  <c r="AF244" i="59"/>
  <c r="AT244" i="59"/>
  <c r="AS244" i="59" s="1"/>
  <c r="AV244" i="59" s="1"/>
  <c r="AW244" i="59" s="1"/>
  <c r="AX244" i="59" s="1"/>
  <c r="AF721" i="59"/>
  <c r="AT721" i="59"/>
  <c r="AF865" i="59"/>
  <c r="AT865" i="59"/>
  <c r="AO865" i="59" s="1"/>
  <c r="AP865" i="59" s="1"/>
  <c r="AF901" i="59"/>
  <c r="AT901" i="59"/>
  <c r="AO901" i="59" s="1"/>
  <c r="AP901" i="59" s="1"/>
  <c r="AF120" i="59"/>
  <c r="AT120" i="59"/>
  <c r="AS120" i="59" s="1"/>
  <c r="AV120" i="59" s="1"/>
  <c r="AW120" i="59" s="1"/>
  <c r="AX120" i="59" s="1"/>
  <c r="AF599" i="59"/>
  <c r="AT599" i="59"/>
  <c r="AS599" i="59" s="1"/>
  <c r="AV599" i="59" s="1"/>
  <c r="AW599" i="59" s="1"/>
  <c r="AX599" i="59" s="1"/>
  <c r="AF445" i="59"/>
  <c r="AT445" i="59"/>
  <c r="AF468" i="59"/>
  <c r="AT468" i="59"/>
  <c r="AF737" i="59"/>
  <c r="AT737" i="59"/>
  <c r="AS737" i="59" s="1"/>
  <c r="AV737" i="59" s="1"/>
  <c r="AW737" i="59" s="1"/>
  <c r="AX737" i="59" s="1"/>
  <c r="AF646" i="59"/>
  <c r="AT646" i="59"/>
  <c r="AS646" i="59" s="1"/>
  <c r="AV646" i="59" s="1"/>
  <c r="AW646" i="59" s="1"/>
  <c r="AX646" i="59" s="1"/>
  <c r="AF461" i="59"/>
  <c r="AT461" i="59"/>
  <c r="AF540" i="59"/>
  <c r="AT540" i="59"/>
  <c r="AF455" i="59"/>
  <c r="AT455" i="59"/>
  <c r="AF262" i="59"/>
  <c r="AT262" i="59"/>
  <c r="AF589" i="59"/>
  <c r="AT589" i="59"/>
  <c r="AF391" i="59"/>
  <c r="AT391" i="59"/>
  <c r="AO391" i="59" s="1"/>
  <c r="AP391" i="59" s="1"/>
  <c r="AF100" i="59"/>
  <c r="AT100" i="59"/>
  <c r="AF255" i="59"/>
  <c r="AT255" i="59"/>
  <c r="AS255" i="59" s="1"/>
  <c r="AV255" i="59" s="1"/>
  <c r="AW255" i="59" s="1"/>
  <c r="AX255" i="59" s="1"/>
  <c r="AF452" i="59"/>
  <c r="AT452" i="59"/>
  <c r="AF524" i="59"/>
  <c r="AT524" i="59"/>
  <c r="AF336" i="59"/>
  <c r="AT336" i="59"/>
  <c r="AS336" i="59" s="1"/>
  <c r="AV336" i="59" s="1"/>
  <c r="AW336" i="59" s="1"/>
  <c r="AX336" i="59" s="1"/>
  <c r="AF542" i="59"/>
  <c r="AT542" i="59"/>
  <c r="AF66" i="59"/>
  <c r="AT66" i="59"/>
  <c r="AF144" i="59"/>
  <c r="AT144" i="59"/>
  <c r="AS144" i="59" s="1"/>
  <c r="AV144" i="59" s="1"/>
  <c r="AW144" i="59" s="1"/>
  <c r="AX144" i="59" s="1"/>
  <c r="AF242" i="59"/>
  <c r="AT242" i="59"/>
  <c r="AS242" i="59" s="1"/>
  <c r="AV242" i="59" s="1"/>
  <c r="AW242" i="59" s="1"/>
  <c r="AX242" i="59" s="1"/>
  <c r="AF579" i="59"/>
  <c r="AT579" i="59"/>
  <c r="AF377" i="59"/>
  <c r="AT377" i="59"/>
  <c r="AO377" i="59" s="1"/>
  <c r="AP377" i="59" s="1"/>
  <c r="AF130" i="59"/>
  <c r="AT130" i="59"/>
  <c r="AF53" i="59"/>
  <c r="AT53" i="59"/>
  <c r="AS53" i="59" s="1"/>
  <c r="AV53" i="59" s="1"/>
  <c r="AW53" i="59" s="1"/>
  <c r="AX53" i="59" s="1"/>
  <c r="AF326" i="59"/>
  <c r="AT326" i="59"/>
  <c r="AS326" i="59" s="1"/>
  <c r="AV326" i="59" s="1"/>
  <c r="AW326" i="59" s="1"/>
  <c r="AX326" i="59" s="1"/>
  <c r="AF54" i="59"/>
  <c r="AT54" i="59"/>
  <c r="AF703" i="59"/>
  <c r="AT703" i="59"/>
  <c r="AF421" i="59"/>
  <c r="AT421" i="59"/>
  <c r="AF275" i="59"/>
  <c r="AT275" i="59"/>
  <c r="AF22" i="59"/>
  <c r="AT22" i="59"/>
  <c r="AS22" i="59" s="1"/>
  <c r="AV22" i="59" s="1"/>
  <c r="AW22" i="59" s="1"/>
  <c r="AX22" i="59" s="1"/>
  <c r="AF296" i="59"/>
  <c r="AT296" i="59"/>
  <c r="AF138" i="59"/>
  <c r="AT138" i="59"/>
  <c r="AF663" i="59"/>
  <c r="AT663" i="59"/>
  <c r="AS663" i="59" s="1"/>
  <c r="AV663" i="59" s="1"/>
  <c r="AF132" i="59"/>
  <c r="AT132" i="59"/>
  <c r="AF416" i="59"/>
  <c r="AT416" i="59"/>
  <c r="AF677" i="59"/>
  <c r="AT677" i="59"/>
  <c r="AF419" i="59"/>
  <c r="AT419" i="59"/>
  <c r="AO419" i="59" s="1"/>
  <c r="AP419" i="59" s="1"/>
  <c r="AF569" i="59"/>
  <c r="AT569" i="59"/>
  <c r="AF823" i="59"/>
  <c r="AT823" i="59"/>
  <c r="AF422" i="59"/>
  <c r="AT422" i="59"/>
  <c r="AO422" i="59" s="1"/>
  <c r="AP422" i="59" s="1"/>
  <c r="AF58" i="59"/>
  <c r="AT58" i="59"/>
  <c r="AF429" i="59"/>
  <c r="AT429" i="59"/>
  <c r="AO429" i="59" s="1"/>
  <c r="AP429" i="59" s="1"/>
  <c r="AF709" i="59"/>
  <c r="AT709" i="59"/>
  <c r="AF253" i="59"/>
  <c r="AT253" i="59"/>
  <c r="AF487" i="59"/>
  <c r="AT487" i="59"/>
  <c r="AF344" i="59"/>
  <c r="AT344" i="59"/>
  <c r="AS344" i="59" s="1"/>
  <c r="AV344" i="59" s="1"/>
  <c r="AW344" i="59" s="1"/>
  <c r="AX344" i="59" s="1"/>
  <c r="AQ613" i="59"/>
  <c r="AQ364" i="59"/>
  <c r="AR49" i="59"/>
  <c r="AR57" i="59"/>
  <c r="AR48" i="59"/>
  <c r="AR163" i="59"/>
  <c r="AQ109" i="59"/>
  <c r="AR316" i="59"/>
  <c r="AR279" i="59"/>
  <c r="AR161" i="59"/>
  <c r="AR66" i="59"/>
  <c r="AR93" i="59"/>
  <c r="AR112" i="59"/>
  <c r="AR107" i="59"/>
  <c r="AR286" i="59"/>
  <c r="AR189" i="59"/>
  <c r="AR139" i="59"/>
  <c r="AR149" i="59"/>
  <c r="AR105" i="59"/>
  <c r="AR185" i="59"/>
  <c r="AR130" i="59"/>
  <c r="AR179" i="59"/>
  <c r="AR264" i="59"/>
  <c r="AR271" i="59"/>
  <c r="AR193" i="59"/>
  <c r="AR72" i="59"/>
  <c r="AR385" i="59"/>
  <c r="AR377" i="59"/>
  <c r="AQ378" i="59"/>
  <c r="AR421" i="59"/>
  <c r="AR412" i="59"/>
  <c r="AQ424" i="59"/>
  <c r="AQ419" i="59"/>
  <c r="AR466" i="59"/>
  <c r="AR467" i="59"/>
  <c r="AR481" i="59"/>
  <c r="AR498" i="59"/>
  <c r="AR522" i="59"/>
  <c r="AR523" i="59"/>
  <c r="AR533" i="59"/>
  <c r="AR527" i="59"/>
  <c r="AR535" i="59"/>
  <c r="AR579" i="59"/>
  <c r="AR620" i="59"/>
  <c r="AR641" i="59"/>
  <c r="AR640" i="59"/>
  <c r="AR703" i="59"/>
  <c r="AR719" i="59"/>
  <c r="AR729" i="59"/>
  <c r="AR745" i="59"/>
  <c r="AR762" i="59"/>
  <c r="AR779" i="59"/>
  <c r="AR799" i="59"/>
  <c r="AR818" i="59"/>
  <c r="AR827" i="59"/>
  <c r="AR865" i="59"/>
  <c r="AR872" i="59"/>
  <c r="AR882" i="59"/>
  <c r="AR880" i="59"/>
  <c r="AR886" i="59"/>
  <c r="AR888" i="59"/>
  <c r="AR892" i="59"/>
  <c r="AR899" i="59"/>
  <c r="AR922" i="59"/>
  <c r="AR24" i="59"/>
  <c r="AR25" i="59"/>
  <c r="AF279" i="59"/>
  <c r="AT279" i="59"/>
  <c r="AF117" i="59"/>
  <c r="AT117" i="59"/>
  <c r="AS117" i="59" s="1"/>
  <c r="AV117" i="59" s="1"/>
  <c r="AW117" i="59" s="1"/>
  <c r="AX117" i="59" s="1"/>
  <c r="AF955" i="59"/>
  <c r="AT955" i="59"/>
  <c r="AS955" i="59" s="1"/>
  <c r="AV955" i="59" s="1"/>
  <c r="AF847" i="59"/>
  <c r="AT847" i="59"/>
  <c r="AF189" i="59"/>
  <c r="AT189" i="59"/>
  <c r="AF534" i="59"/>
  <c r="AT534" i="59"/>
  <c r="AF304" i="59"/>
  <c r="AT304" i="59"/>
  <c r="AS304" i="59" s="1"/>
  <c r="AV304" i="59" s="1"/>
  <c r="AW304" i="59" s="1"/>
  <c r="AX304" i="59" s="1"/>
  <c r="AT30" i="59"/>
  <c r="AS30" i="59" s="1"/>
  <c r="AV30" i="59" s="1"/>
  <c r="AW30" i="59" s="1"/>
  <c r="AX30" i="59" s="1"/>
  <c r="AF30" i="59"/>
  <c r="AF766" i="59"/>
  <c r="AT766" i="59"/>
  <c r="AS766" i="59" s="1"/>
  <c r="AV766" i="59" s="1"/>
  <c r="AW766" i="59" s="1"/>
  <c r="AX766" i="59" s="1"/>
  <c r="AF803" i="59"/>
  <c r="AT803" i="59"/>
  <c r="AF759" i="59"/>
  <c r="AT759" i="59"/>
  <c r="AF270" i="59"/>
  <c r="AT270" i="59"/>
  <c r="AF621" i="59"/>
  <c r="AT621" i="59"/>
  <c r="AS621" i="59" s="1"/>
  <c r="AV621" i="59" s="1"/>
  <c r="AW621" i="59" s="1"/>
  <c r="AX621" i="59" s="1"/>
  <c r="AF980" i="59"/>
  <c r="AT980" i="59"/>
  <c r="AF246" i="59"/>
  <c r="AT246" i="59"/>
  <c r="AS246" i="59" s="1"/>
  <c r="AV246" i="59" s="1"/>
  <c r="AW246" i="59" s="1"/>
  <c r="AX246" i="59" s="1"/>
  <c r="AF554" i="59"/>
  <c r="AT554" i="59"/>
  <c r="AF40" i="59"/>
  <c r="AT40" i="59"/>
  <c r="AF185" i="59"/>
  <c r="AT185" i="59"/>
  <c r="AF681" i="59"/>
  <c r="AT681" i="59"/>
  <c r="AS681" i="59" s="1"/>
  <c r="AV681" i="59" s="1"/>
  <c r="AF533" i="59"/>
  <c r="AT533" i="59"/>
  <c r="AF831" i="59"/>
  <c r="AT831" i="59"/>
  <c r="AF879" i="59"/>
  <c r="AT879" i="59"/>
  <c r="AF92" i="59"/>
  <c r="AT92" i="59"/>
  <c r="AS92" i="59" s="1"/>
  <c r="AV92" i="59" s="1"/>
  <c r="AW92" i="59" s="1"/>
  <c r="AX92" i="59" s="1"/>
  <c r="AF655" i="59"/>
  <c r="AT655" i="59"/>
  <c r="AS655" i="59" s="1"/>
  <c r="AV655" i="59" s="1"/>
  <c r="AW655" i="59" s="1"/>
  <c r="AX655" i="59" s="1"/>
  <c r="AF557" i="59"/>
  <c r="AT557" i="59"/>
  <c r="AF60" i="59"/>
  <c r="AT60" i="59"/>
  <c r="AF798" i="59"/>
  <c r="AT798" i="59"/>
  <c r="AF657" i="59"/>
  <c r="AT657" i="59"/>
  <c r="AS657" i="59" s="1"/>
  <c r="AV657" i="59" s="1"/>
  <c r="AW657" i="59" s="1"/>
  <c r="AX657" i="59" s="1"/>
  <c r="AF217" i="59"/>
  <c r="AT217" i="59"/>
  <c r="AS217" i="59" s="1"/>
  <c r="AV217" i="59" s="1"/>
  <c r="AW217" i="59" s="1"/>
  <c r="AX217" i="59" s="1"/>
  <c r="AF329" i="59"/>
  <c r="AT329" i="59"/>
  <c r="AS329" i="59" s="1"/>
  <c r="AV329" i="59" s="1"/>
  <c r="AW329" i="59" s="1"/>
  <c r="AX329" i="59" s="1"/>
  <c r="AF874" i="59"/>
  <c r="AT874" i="59"/>
  <c r="AF167" i="59"/>
  <c r="AT167" i="59"/>
  <c r="AS167" i="59" s="1"/>
  <c r="AV167" i="59" s="1"/>
  <c r="AW167" i="59" s="1"/>
  <c r="AX167" i="59" s="1"/>
  <c r="AF182" i="59"/>
  <c r="AT182" i="59"/>
  <c r="AS182" i="59" s="1"/>
  <c r="AV182" i="59" s="1"/>
  <c r="AW182" i="59" s="1"/>
  <c r="AX182" i="59" s="1"/>
  <c r="AF638" i="59"/>
  <c r="AT638" i="59"/>
  <c r="AF577" i="59"/>
  <c r="AT577" i="59"/>
  <c r="AF310" i="59"/>
  <c r="AT310" i="59"/>
  <c r="AS310" i="59" s="1"/>
  <c r="AV310" i="59" s="1"/>
  <c r="AW310" i="59" s="1"/>
  <c r="AX310" i="59" s="1"/>
  <c r="AF675" i="59"/>
  <c r="AT675" i="59"/>
  <c r="AF426" i="59"/>
  <c r="AT426" i="59"/>
  <c r="AF900" i="59"/>
  <c r="AT900" i="59"/>
  <c r="AO900" i="59" s="1"/>
  <c r="AP900" i="59" s="1"/>
  <c r="AF758" i="59"/>
  <c r="AT758" i="59"/>
  <c r="AF506" i="59"/>
  <c r="AT506" i="59"/>
  <c r="AF386" i="59"/>
  <c r="AT386" i="59"/>
  <c r="AO386" i="59" s="1"/>
  <c r="AP386" i="59" s="1"/>
  <c r="AF218" i="59"/>
  <c r="AT218" i="59"/>
  <c r="AF617" i="59"/>
  <c r="AT617" i="59"/>
  <c r="AF300" i="59"/>
  <c r="AT300" i="59"/>
  <c r="AS300" i="59" s="1"/>
  <c r="AV300" i="59" s="1"/>
  <c r="AW300" i="59" s="1"/>
  <c r="AX300" i="59" s="1"/>
  <c r="AF203" i="59"/>
  <c r="AT203" i="59"/>
  <c r="AS203" i="59" s="1"/>
  <c r="AV203" i="59" s="1"/>
  <c r="AW203" i="59" s="1"/>
  <c r="AX203" i="59" s="1"/>
  <c r="AF235" i="59"/>
  <c r="AT235" i="59"/>
  <c r="AF106" i="59"/>
  <c r="AT106" i="59"/>
  <c r="AO106" i="59" s="1"/>
  <c r="AP106" i="59" s="1"/>
  <c r="AF555" i="59"/>
  <c r="AT555" i="59"/>
  <c r="AF96" i="59"/>
  <c r="AT96" i="59"/>
  <c r="AS96" i="59" s="1"/>
  <c r="AV96" i="59" s="1"/>
  <c r="AW96" i="59" s="1"/>
  <c r="AX96" i="59" s="1"/>
  <c r="AF59" i="59"/>
  <c r="AT59" i="59"/>
  <c r="AS59" i="59" s="1"/>
  <c r="AV59" i="59" s="1"/>
  <c r="AW59" i="59" s="1"/>
  <c r="AX59" i="59" s="1"/>
  <c r="AF491" i="59"/>
  <c r="AT491" i="59"/>
  <c r="AF380" i="59"/>
  <c r="AT380" i="59"/>
  <c r="AO380" i="59" s="1"/>
  <c r="AP380" i="59" s="1"/>
  <c r="AS380" i="59" s="1"/>
  <c r="AV380" i="59" s="1"/>
  <c r="AW380" i="59" s="1"/>
  <c r="AX380" i="59" s="1"/>
  <c r="AF751" i="59"/>
  <c r="AT751" i="59"/>
  <c r="AS751" i="59" s="1"/>
  <c r="AV751" i="59" s="1"/>
  <c r="AW751" i="59" s="1"/>
  <c r="AX751" i="59" s="1"/>
  <c r="AF174" i="59"/>
  <c r="AT174" i="59"/>
  <c r="AS174" i="59" s="1"/>
  <c r="AV174" i="59" s="1"/>
  <c r="AW174" i="59" s="1"/>
  <c r="AX174" i="59" s="1"/>
  <c r="AF243" i="59"/>
  <c r="AT243" i="59"/>
  <c r="AF602" i="59"/>
  <c r="AT602" i="59"/>
  <c r="AS602" i="59" s="1"/>
  <c r="AV602" i="59" s="1"/>
  <c r="AW602" i="59" s="1"/>
  <c r="AX602" i="59" s="1"/>
  <c r="AF619" i="59"/>
  <c r="AT619" i="59"/>
  <c r="AF652" i="59"/>
  <c r="AT652" i="59"/>
  <c r="AF162" i="59"/>
  <c r="AT162" i="59"/>
  <c r="AS162" i="59" s="1"/>
  <c r="AV162" i="59" s="1"/>
  <c r="AW162" i="59" s="1"/>
  <c r="AX162" i="59" s="1"/>
  <c r="AF696" i="59"/>
  <c r="AT696" i="59"/>
  <c r="AS696" i="59" s="1"/>
  <c r="AV696" i="59" s="1"/>
  <c r="AW696" i="59" s="1"/>
  <c r="AX696" i="59" s="1"/>
  <c r="AF653" i="59"/>
  <c r="AT653" i="59"/>
  <c r="AS653" i="59" s="1"/>
  <c r="AV653" i="59" s="1"/>
  <c r="AW653" i="59" s="1"/>
  <c r="AX653" i="59" s="1"/>
  <c r="AF178" i="59"/>
  <c r="AT178" i="59"/>
  <c r="AF409" i="59"/>
  <c r="AT409" i="59"/>
  <c r="AO409" i="59" s="1"/>
  <c r="AP409" i="59" s="1"/>
  <c r="AF485" i="59"/>
  <c r="AT485" i="59"/>
  <c r="AF83" i="59"/>
  <c r="AT83" i="59"/>
  <c r="AF230" i="59"/>
  <c r="AT230" i="59"/>
  <c r="AS230" i="59" s="1"/>
  <c r="AV230" i="59" s="1"/>
  <c r="AW230" i="59" s="1"/>
  <c r="AX230" i="59" s="1"/>
  <c r="AF104" i="59"/>
  <c r="AT104" i="59"/>
  <c r="AO104" i="59" s="1"/>
  <c r="AP104" i="59" s="1"/>
  <c r="AF722" i="59"/>
  <c r="AT722" i="59"/>
  <c r="AS722" i="59" s="1"/>
  <c r="AV722" i="59" s="1"/>
  <c r="AW722" i="59" s="1"/>
  <c r="AX722" i="59" s="1"/>
  <c r="AF206" i="59"/>
  <c r="AT206" i="59"/>
  <c r="AS206" i="59" s="1"/>
  <c r="AV206" i="59" s="1"/>
  <c r="AW206" i="59" s="1"/>
  <c r="AX206" i="59" s="1"/>
  <c r="AF109" i="59"/>
  <c r="AT109" i="59"/>
  <c r="AO109" i="59" s="1"/>
  <c r="AP109" i="59" s="1"/>
  <c r="AF501" i="59"/>
  <c r="AT501" i="59"/>
  <c r="AS501" i="59" s="1"/>
  <c r="AV501" i="59" s="1"/>
  <c r="AW501" i="59" s="1"/>
  <c r="AX501" i="59" s="1"/>
  <c r="AF341" i="59"/>
  <c r="AT341" i="59"/>
  <c r="AS341" i="59" s="1"/>
  <c r="AV341" i="59" s="1"/>
  <c r="AW341" i="59" s="1"/>
  <c r="AX341" i="59" s="1"/>
  <c r="AF340" i="59"/>
  <c r="AT340" i="59"/>
  <c r="AS340" i="59" s="1"/>
  <c r="AV340" i="59" s="1"/>
  <c r="AW340" i="59" s="1"/>
  <c r="AX340" i="59" s="1"/>
  <c r="AF405" i="59"/>
  <c r="AT405" i="59"/>
  <c r="AO405" i="59" s="1"/>
  <c r="AP405" i="59" s="1"/>
  <c r="AT20" i="59"/>
  <c r="AS20" i="59" s="1"/>
  <c r="AV20" i="59" s="1"/>
  <c r="AW20" i="59" s="1"/>
  <c r="AX20" i="59" s="1"/>
  <c r="AF20" i="59"/>
  <c r="AF645" i="59"/>
  <c r="AT645" i="59"/>
  <c r="AS645" i="59" s="1"/>
  <c r="AV645" i="59" s="1"/>
  <c r="AW645" i="59" s="1"/>
  <c r="AX645" i="59" s="1"/>
  <c r="AF84" i="59"/>
  <c r="AT84" i="59"/>
  <c r="AS84" i="59" s="1"/>
  <c r="AV84" i="59" s="1"/>
  <c r="AW84" i="59" s="1"/>
  <c r="AX84" i="59" s="1"/>
  <c r="AF480" i="59"/>
  <c r="AT480" i="59"/>
  <c r="AF81" i="59"/>
  <c r="AT81" i="59"/>
  <c r="AF609" i="59"/>
  <c r="AT609" i="59"/>
  <c r="AF683" i="59"/>
  <c r="AT683" i="59"/>
  <c r="AS683" i="59" s="1"/>
  <c r="AV683" i="59" s="1"/>
  <c r="AF829" i="59"/>
  <c r="AT829" i="59"/>
  <c r="AF216" i="59"/>
  <c r="AT216" i="59"/>
  <c r="AR132" i="59"/>
  <c r="AR265" i="59"/>
  <c r="AR375" i="59"/>
  <c r="AR392" i="59"/>
  <c r="AR424" i="59"/>
  <c r="AR419" i="59"/>
  <c r="AR457" i="59"/>
  <c r="AR459" i="59"/>
  <c r="AR509" i="59"/>
  <c r="AQ511" i="59"/>
  <c r="AR521" i="59"/>
  <c r="AR597" i="59"/>
  <c r="AR652" i="59"/>
  <c r="AR656" i="59"/>
  <c r="AR796" i="59"/>
  <c r="AR809" i="59"/>
  <c r="AR815" i="59"/>
  <c r="AR823" i="59"/>
  <c r="AR833" i="59"/>
  <c r="AR836" i="59"/>
  <c r="AR877" i="59"/>
  <c r="AR953" i="59"/>
  <c r="AR962" i="59"/>
  <c r="AR967" i="59"/>
  <c r="AF107" i="59"/>
  <c r="AT107" i="59"/>
  <c r="AO107" i="59" s="1"/>
  <c r="AP107" i="59" s="1"/>
  <c r="AF863" i="59"/>
  <c r="AT863" i="59"/>
  <c r="AO863" i="59" s="1"/>
  <c r="AP863" i="59" s="1"/>
  <c r="AF771" i="59"/>
  <c r="AT771" i="59"/>
  <c r="AS771" i="59" s="1"/>
  <c r="AV771" i="59" s="1"/>
  <c r="AW771" i="59" s="1"/>
  <c r="AX771" i="59" s="1"/>
  <c r="AF919" i="59"/>
  <c r="AT919" i="59"/>
  <c r="AF541" i="59"/>
  <c r="AT541" i="59"/>
  <c r="AF347" i="59"/>
  <c r="AT347" i="59"/>
  <c r="AS347" i="59" s="1"/>
  <c r="AV347" i="59" s="1"/>
  <c r="AW347" i="59" s="1"/>
  <c r="AX347" i="59" s="1"/>
  <c r="AF880" i="59"/>
  <c r="AT880" i="59"/>
  <c r="AF530" i="59"/>
  <c r="AT530" i="59"/>
  <c r="AF32" i="59"/>
  <c r="AT32" i="59"/>
  <c r="AS32" i="59" s="1"/>
  <c r="AV32" i="59" s="1"/>
  <c r="AW32" i="59" s="1"/>
  <c r="AX32" i="59" s="1"/>
  <c r="AF816" i="59"/>
  <c r="AT816" i="59"/>
  <c r="AF325" i="59"/>
  <c r="AT325" i="59"/>
  <c r="AS325" i="59" s="1"/>
  <c r="AV325" i="59" s="1"/>
  <c r="AW325" i="59" s="1"/>
  <c r="AX325" i="59" s="1"/>
  <c r="AF335" i="59"/>
  <c r="AT335" i="59"/>
  <c r="AS335" i="59" s="1"/>
  <c r="AV335" i="59" s="1"/>
  <c r="AW335" i="59" s="1"/>
  <c r="AX335" i="59" s="1"/>
  <c r="AF842" i="59"/>
  <c r="AT842" i="59"/>
  <c r="AF321" i="59"/>
  <c r="AT321" i="59"/>
  <c r="AS321" i="59" s="1"/>
  <c r="AV321" i="59" s="1"/>
  <c r="AW321" i="59" s="1"/>
  <c r="AX321" i="59" s="1"/>
  <c r="AF507" i="59"/>
  <c r="AT507" i="59"/>
  <c r="AF420" i="59"/>
  <c r="AT420" i="59"/>
  <c r="AO420" i="59" s="1"/>
  <c r="AP420" i="59" s="1"/>
  <c r="AF795" i="59"/>
  <c r="AT795" i="59"/>
  <c r="AF925" i="59"/>
  <c r="AT925" i="59"/>
  <c r="AS925" i="59" s="1"/>
  <c r="AV925" i="59" s="1"/>
  <c r="AF271" i="59"/>
  <c r="AT271" i="59"/>
  <c r="AF869" i="59"/>
  <c r="AT869" i="59"/>
  <c r="AS869" i="59" s="1"/>
  <c r="AV869" i="59" s="1"/>
  <c r="AW869" i="59" s="1"/>
  <c r="AX869" i="59" s="1"/>
  <c r="AF316" i="59"/>
  <c r="AT316" i="59"/>
  <c r="AF784" i="59"/>
  <c r="AT784" i="59"/>
  <c r="AS784" i="59" s="1"/>
  <c r="AV784" i="59" s="1"/>
  <c r="AF390" i="59"/>
  <c r="AT390" i="59"/>
  <c r="AO390" i="59" s="1"/>
  <c r="AP390" i="59" s="1"/>
  <c r="AF139" i="59"/>
  <c r="AT139" i="59"/>
  <c r="AF824" i="59"/>
  <c r="AT824" i="59"/>
  <c r="AF168" i="59"/>
  <c r="AT168" i="59"/>
  <c r="AS168" i="59" s="1"/>
  <c r="AV168" i="59" s="1"/>
  <c r="AW168" i="59" s="1"/>
  <c r="AX168" i="59" s="1"/>
  <c r="AF600" i="59"/>
  <c r="AT600" i="59"/>
  <c r="AS600" i="59" s="1"/>
  <c r="AV600" i="59" s="1"/>
  <c r="AW600" i="59" s="1"/>
  <c r="AX600" i="59" s="1"/>
  <c r="AF381" i="59"/>
  <c r="AT381" i="59"/>
  <c r="AO381" i="59" s="1"/>
  <c r="AP381" i="59" s="1"/>
  <c r="AF346" i="59"/>
  <c r="AT346" i="59"/>
  <c r="AS346" i="59" s="1"/>
  <c r="AV346" i="59" s="1"/>
  <c r="AW346" i="59" s="1"/>
  <c r="AX346" i="59" s="1"/>
  <c r="AF611" i="59"/>
  <c r="AT611" i="59"/>
  <c r="AF205" i="59"/>
  <c r="AT205" i="59"/>
  <c r="AS205" i="59" s="1"/>
  <c r="AV205" i="59" s="1"/>
  <c r="AW205" i="59" s="1"/>
  <c r="AX205" i="59" s="1"/>
  <c r="AF65" i="59"/>
  <c r="AT65" i="59"/>
  <c r="AF625" i="59"/>
  <c r="AT625" i="59"/>
  <c r="AF448" i="59"/>
  <c r="AT448" i="59"/>
  <c r="AF983" i="59"/>
  <c r="AT983" i="59"/>
  <c r="AS983" i="59" s="1"/>
  <c r="AV983" i="59" s="1"/>
  <c r="AF467" i="59"/>
  <c r="AT467" i="59"/>
  <c r="AF539" i="59"/>
  <c r="AT539" i="59"/>
  <c r="AF410" i="59"/>
  <c r="AT410" i="59"/>
  <c r="AO410" i="59" s="1"/>
  <c r="AP410" i="59" s="1"/>
  <c r="AF528" i="59"/>
  <c r="AT528" i="59"/>
  <c r="AS528" i="59" s="1"/>
  <c r="AV528" i="59" s="1"/>
  <c r="AW528" i="59" s="1"/>
  <c r="AX528" i="59" s="1"/>
  <c r="AF697" i="59"/>
  <c r="AT697" i="59"/>
  <c r="AF832" i="59"/>
  <c r="AT832" i="59"/>
  <c r="AF184" i="59"/>
  <c r="AT184" i="59"/>
  <c r="AF191" i="59"/>
  <c r="AT191" i="59"/>
  <c r="AF746" i="59"/>
  <c r="AT746" i="59"/>
  <c r="AF851" i="59"/>
  <c r="AT851" i="59"/>
  <c r="AS851" i="59" s="1"/>
  <c r="AV851" i="59" s="1"/>
  <c r="AW851" i="59" s="1"/>
  <c r="AX851" i="59" s="1"/>
  <c r="AF590" i="59"/>
  <c r="AT590" i="59"/>
  <c r="AS590" i="59" s="1"/>
  <c r="AV590" i="59" s="1"/>
  <c r="AW590" i="59" s="1"/>
  <c r="AX590" i="59" s="1"/>
  <c r="AF728" i="59"/>
  <c r="AT728" i="59"/>
  <c r="AS728" i="59" s="1"/>
  <c r="AV728" i="59" s="1"/>
  <c r="AW728" i="59" s="1"/>
  <c r="AX728" i="59" s="1"/>
  <c r="AF488" i="59"/>
  <c r="AT488" i="59"/>
  <c r="AF85" i="59"/>
  <c r="AT85" i="59"/>
  <c r="AF526" i="59"/>
  <c r="AT526" i="59"/>
  <c r="AF396" i="59"/>
  <c r="AT396" i="59"/>
  <c r="AS396" i="59" s="1"/>
  <c r="AV396" i="59" s="1"/>
  <c r="AF551" i="59"/>
  <c r="AT551" i="59"/>
  <c r="AF372" i="59"/>
  <c r="AT372" i="59"/>
  <c r="AO372" i="59" s="1"/>
  <c r="AP372" i="59" s="1"/>
  <c r="AF497" i="59"/>
  <c r="AT497" i="59"/>
  <c r="AF46" i="59"/>
  <c r="AT46" i="59"/>
  <c r="AF678" i="59"/>
  <c r="AT678" i="59"/>
  <c r="AS678" i="59" s="1"/>
  <c r="AV678" i="59" s="1"/>
  <c r="AF295" i="59"/>
  <c r="AT295" i="59"/>
  <c r="AS295" i="59" s="1"/>
  <c r="AV295" i="59" s="1"/>
  <c r="AW295" i="59" s="1"/>
  <c r="AX295" i="59" s="1"/>
  <c r="AF481" i="59"/>
  <c r="AT481" i="59"/>
  <c r="AF147" i="59"/>
  <c r="AT147" i="59"/>
  <c r="AF512" i="59"/>
  <c r="AT512" i="59"/>
  <c r="AS512" i="59" s="1"/>
  <c r="AV512" i="59" s="1"/>
  <c r="AW512" i="59" s="1"/>
  <c r="AX512" i="59" s="1"/>
  <c r="AF531" i="59"/>
  <c r="AT531" i="59"/>
  <c r="AF150" i="59"/>
  <c r="AT150" i="59"/>
  <c r="AF16" i="59"/>
  <c r="AT16" i="59"/>
  <c r="AS16" i="59" s="1"/>
  <c r="AV16" i="59" s="1"/>
  <c r="AW16" i="59" s="1"/>
  <c r="AX16" i="59" s="1"/>
  <c r="AF334" i="59"/>
  <c r="AT334" i="59"/>
  <c r="AS334" i="59" s="1"/>
  <c r="AV334" i="59" s="1"/>
  <c r="AW334" i="59" s="1"/>
  <c r="AX334" i="59" s="1"/>
  <c r="AF290" i="59"/>
  <c r="AT290" i="59"/>
  <c r="AS290" i="59" s="1"/>
  <c r="AV290" i="59" s="1"/>
  <c r="AW290" i="59" s="1"/>
  <c r="AX290" i="59" s="1"/>
  <c r="AF777" i="59"/>
  <c r="AT777" i="59"/>
  <c r="AS777" i="59" s="1"/>
  <c r="AV777" i="59" s="1"/>
  <c r="AW777" i="59" s="1"/>
  <c r="AX777" i="59" s="1"/>
  <c r="AF245" i="59"/>
  <c r="AT245" i="59"/>
  <c r="AF306" i="59"/>
  <c r="AT306" i="59"/>
  <c r="AS306" i="59" s="1"/>
  <c r="AV306" i="59" s="1"/>
  <c r="AW306" i="59" s="1"/>
  <c r="AX306" i="59" s="1"/>
  <c r="AF312" i="59"/>
  <c r="AT312" i="59"/>
  <c r="AS312" i="59" s="1"/>
  <c r="AV312" i="59" s="1"/>
  <c r="AW312" i="59" s="1"/>
  <c r="AX312" i="59" s="1"/>
  <c r="AF773" i="59"/>
  <c r="AT773" i="59"/>
  <c r="AF49" i="59"/>
  <c r="AT49" i="59"/>
  <c r="AF503" i="59"/>
  <c r="AT503" i="59"/>
  <c r="AF234" i="59"/>
  <c r="AT234" i="59"/>
  <c r="AF67" i="59"/>
  <c r="AT67" i="59"/>
  <c r="AF691" i="59"/>
  <c r="AT691" i="59"/>
  <c r="AS691" i="59" s="1"/>
  <c r="AV691" i="59" s="1"/>
  <c r="AW691" i="59" s="1"/>
  <c r="AX691" i="59" s="1"/>
  <c r="AF484" i="59"/>
  <c r="AT484" i="59"/>
  <c r="AF860" i="59"/>
  <c r="AT860" i="59"/>
  <c r="AF219" i="59"/>
  <c r="AT219" i="59"/>
  <c r="AS219" i="59" s="1"/>
  <c r="AV219" i="59" s="1"/>
  <c r="AW219" i="59" s="1"/>
  <c r="AX219" i="59" s="1"/>
  <c r="AF671" i="59"/>
  <c r="AT671" i="59"/>
  <c r="AS671" i="59" s="1"/>
  <c r="AV671" i="59" s="1"/>
  <c r="AW671" i="59" s="1"/>
  <c r="AX671" i="59" s="1"/>
  <c r="AF603" i="59"/>
  <c r="AT603" i="59"/>
  <c r="AS603" i="59" s="1"/>
  <c r="AV603" i="59" s="1"/>
  <c r="AW603" i="59" s="1"/>
  <c r="AX603" i="59" s="1"/>
  <c r="AF836" i="59"/>
  <c r="AT836" i="59"/>
  <c r="AF263" i="59"/>
  <c r="AT263" i="59"/>
  <c r="AS263" i="59" s="1"/>
  <c r="AV263" i="59" s="1"/>
  <c r="AW263" i="59" s="1"/>
  <c r="AX263" i="59" s="1"/>
  <c r="AR55" i="59"/>
  <c r="AR140" i="59"/>
  <c r="AR332" i="59"/>
  <c r="AR138" i="59"/>
  <c r="AR270" i="59"/>
  <c r="AR134" i="59"/>
  <c r="AR155" i="59"/>
  <c r="AR65" i="59"/>
  <c r="AR281" i="59"/>
  <c r="AR157" i="59"/>
  <c r="AR262" i="59"/>
  <c r="AR285" i="59"/>
  <c r="AR303" i="59"/>
  <c r="AR183" i="59"/>
  <c r="AR374" i="59"/>
  <c r="AR376" i="59"/>
  <c r="AR379" i="59"/>
  <c r="AR399" i="59"/>
  <c r="AR425" i="59"/>
  <c r="AR427" i="59"/>
  <c r="AR408" i="59"/>
  <c r="AR429" i="59"/>
  <c r="AQ449" i="59"/>
  <c r="AR454" i="59"/>
  <c r="AR493" i="59"/>
  <c r="AR483" i="59"/>
  <c r="AR495" i="59"/>
  <c r="AR485" i="59"/>
  <c r="AR510" i="59"/>
  <c r="AR511" i="59"/>
  <c r="AR489" i="59"/>
  <c r="AR538" i="59"/>
  <c r="AR543" i="59"/>
  <c r="AR554" i="59"/>
  <c r="AR559" i="59"/>
  <c r="AR609" i="59"/>
  <c r="AR675" i="59"/>
  <c r="AR679" i="59"/>
  <c r="AR695" i="59"/>
  <c r="AR711" i="59"/>
  <c r="AR746" i="59"/>
  <c r="AR752" i="59"/>
  <c r="AR811" i="59"/>
  <c r="AR822" i="59"/>
  <c r="AR835" i="59"/>
  <c r="AR839" i="59"/>
  <c r="AR854" i="59"/>
  <c r="AR860" i="59"/>
  <c r="AR857" i="59"/>
  <c r="AR866" i="59"/>
  <c r="AR879" i="59"/>
  <c r="AR884" i="59"/>
  <c r="AR893" i="59"/>
  <c r="AR902" i="59"/>
  <c r="AR919" i="59"/>
  <c r="AF8" i="59"/>
  <c r="AT8" i="59"/>
  <c r="AS8" i="59" s="1"/>
  <c r="AV8" i="59" s="1"/>
  <c r="AW8" i="59" s="1"/>
  <c r="AX8" i="59" s="1"/>
  <c r="AF899" i="59"/>
  <c r="AT899" i="59"/>
  <c r="AO899" i="59" s="1"/>
  <c r="AP899" i="59" s="1"/>
  <c r="AF568" i="59"/>
  <c r="AT568" i="59"/>
  <c r="AS568" i="59" s="1"/>
  <c r="AV568" i="59" s="1"/>
  <c r="AF848" i="59"/>
  <c r="AT848" i="59"/>
  <c r="AF808" i="59"/>
  <c r="AT808" i="59"/>
  <c r="AO808" i="59" s="1"/>
  <c r="AP808" i="59" s="1"/>
  <c r="AT902" i="59"/>
  <c r="AO902" i="59" s="1"/>
  <c r="AP902" i="59" s="1"/>
  <c r="AF902" i="59"/>
  <c r="AF108" i="59"/>
  <c r="AT108" i="59"/>
  <c r="AO108" i="59" s="1"/>
  <c r="AP108" i="59" s="1"/>
  <c r="AF327" i="59"/>
  <c r="AT327" i="59"/>
  <c r="AS327" i="59" s="1"/>
  <c r="AV327" i="59" s="1"/>
  <c r="AW327" i="59" s="1"/>
  <c r="AX327" i="59" s="1"/>
  <c r="AF89" i="59"/>
  <c r="AT89" i="59"/>
  <c r="AF378" i="59"/>
  <c r="AT378" i="59"/>
  <c r="AO378" i="59" s="1"/>
  <c r="AP378" i="59" s="1"/>
  <c r="AF741" i="59"/>
  <c r="AT741" i="59"/>
  <c r="AS741" i="59" s="1"/>
  <c r="AV741" i="59" s="1"/>
  <c r="AF351" i="59"/>
  <c r="AT351" i="59"/>
  <c r="AS351" i="59" s="1"/>
  <c r="AV351" i="59" s="1"/>
  <c r="AF308" i="59"/>
  <c r="AT308" i="59"/>
  <c r="AS308" i="59" s="1"/>
  <c r="AV308" i="59" s="1"/>
  <c r="AW308" i="59" s="1"/>
  <c r="AX308" i="59" s="1"/>
  <c r="AF26" i="59"/>
  <c r="AT26" i="59"/>
  <c r="AF718" i="59"/>
  <c r="AT718" i="59"/>
  <c r="AS718" i="59" s="1"/>
  <c r="AV718" i="59" s="1"/>
  <c r="AW718" i="59" s="1"/>
  <c r="AX718" i="59" s="1"/>
  <c r="AF397" i="59"/>
  <c r="AT397" i="59"/>
  <c r="AF972" i="59"/>
  <c r="AT972" i="59"/>
  <c r="AF708" i="59"/>
  <c r="AT708" i="59"/>
  <c r="AS708" i="59" s="1"/>
  <c r="AV708" i="59" s="1"/>
  <c r="AW708" i="59" s="1"/>
  <c r="AX708" i="59" s="1"/>
  <c r="AT764" i="59"/>
  <c r="AS764" i="59" s="1"/>
  <c r="AV764" i="59" s="1"/>
  <c r="AW764" i="59" s="1"/>
  <c r="AX764" i="59" s="1"/>
  <c r="AF764" i="59"/>
  <c r="AF774" i="59"/>
  <c r="AT774" i="59"/>
  <c r="AS774" i="59" s="1"/>
  <c r="AV774" i="59" s="1"/>
  <c r="AW774" i="59" s="1"/>
  <c r="AX774" i="59" s="1"/>
  <c r="AF317" i="59"/>
  <c r="AT317" i="59"/>
  <c r="AT38" i="59"/>
  <c r="AF38" i="59"/>
  <c r="AF552" i="59"/>
  <c r="AT552" i="59"/>
  <c r="AS552" i="59" s="1"/>
  <c r="AV552" i="59" s="1"/>
  <c r="AW552" i="59" s="1"/>
  <c r="AX552" i="59" s="1"/>
  <c r="AF853" i="59"/>
  <c r="AT853" i="59"/>
  <c r="AS853" i="59" s="1"/>
  <c r="AV853" i="59" s="1"/>
  <c r="AW853" i="59" s="1"/>
  <c r="AX853" i="59" s="1"/>
  <c r="AF791" i="59"/>
  <c r="AT791" i="59"/>
  <c r="AS791" i="59" s="1"/>
  <c r="AV791" i="59" s="1"/>
  <c r="AF687" i="59"/>
  <c r="AT687" i="59"/>
  <c r="AF574" i="59"/>
  <c r="AT574" i="59"/>
  <c r="AS574" i="59" s="1"/>
  <c r="AV574" i="59" s="1"/>
  <c r="AF622" i="59"/>
  <c r="AT622" i="59"/>
  <c r="AF669" i="59"/>
  <c r="AT669" i="59"/>
  <c r="AS669" i="59" s="1"/>
  <c r="AV669" i="59" s="1"/>
  <c r="AW669" i="59" s="1"/>
  <c r="AX669" i="59" s="1"/>
  <c r="AF885" i="59"/>
  <c r="AT885" i="59"/>
  <c r="AF905" i="59"/>
  <c r="AT905" i="59"/>
  <c r="AF676" i="59"/>
  <c r="AT676" i="59"/>
  <c r="AS676" i="59" s="1"/>
  <c r="AV676" i="59" s="1"/>
  <c r="AF498" i="59"/>
  <c r="AT498" i="59"/>
  <c r="AF408" i="59"/>
  <c r="AT408" i="59"/>
  <c r="AO408" i="59" s="1"/>
  <c r="AP408" i="59" s="1"/>
  <c r="AF278" i="59"/>
  <c r="AT278" i="59"/>
  <c r="AS278" i="59" s="1"/>
  <c r="AV278" i="59" s="1"/>
  <c r="AW278" i="59" s="1"/>
  <c r="AX278" i="59" s="1"/>
  <c r="AF462" i="59"/>
  <c r="AT462" i="59"/>
  <c r="AF398" i="59"/>
  <c r="AT398" i="59"/>
  <c r="AS398" i="59" s="1"/>
  <c r="AV398" i="59" s="1"/>
  <c r="AF183" i="59"/>
  <c r="AT183" i="59"/>
  <c r="AF573" i="59"/>
  <c r="AT573" i="59"/>
  <c r="AS573" i="59" s="1"/>
  <c r="AV573" i="59" s="1"/>
  <c r="AF232" i="59"/>
  <c r="AT232" i="59"/>
  <c r="AS232" i="59" s="1"/>
  <c r="AV232" i="59" s="1"/>
  <c r="AW232" i="59" s="1"/>
  <c r="AX232" i="59" s="1"/>
  <c r="AF641" i="59"/>
  <c r="AT641" i="59"/>
  <c r="AF537" i="59"/>
  <c r="AT537" i="59"/>
  <c r="AF424" i="59"/>
  <c r="AT424" i="59"/>
  <c r="AO424" i="59" s="1"/>
  <c r="AP424" i="59" s="1"/>
  <c r="AF131" i="59"/>
  <c r="AT131" i="59"/>
  <c r="AF651" i="59"/>
  <c r="AT651" i="59"/>
  <c r="AS651" i="59" s="1"/>
  <c r="AV651" i="59" s="1"/>
  <c r="AW651" i="59" s="1"/>
  <c r="AX651" i="59" s="1"/>
  <c r="AF115" i="59"/>
  <c r="AT115" i="59"/>
  <c r="AS115" i="59" s="1"/>
  <c r="AV115" i="59" s="1"/>
  <c r="AW115" i="59" s="1"/>
  <c r="AX115" i="59" s="1"/>
  <c r="AF778" i="59"/>
  <c r="AT778" i="59"/>
  <c r="AS778" i="59" s="1"/>
  <c r="AV778" i="59" s="1"/>
  <c r="AW778" i="59" s="1"/>
  <c r="AX778" i="59" s="1"/>
  <c r="AF425" i="59"/>
  <c r="AT425" i="59"/>
  <c r="AO425" i="59" s="1"/>
  <c r="AP425" i="59" s="1"/>
  <c r="AF731" i="59"/>
  <c r="AT731" i="59"/>
  <c r="AF251" i="59"/>
  <c r="AT251" i="59"/>
  <c r="AF423" i="59"/>
  <c r="AT423" i="59"/>
  <c r="AO423" i="59" s="1"/>
  <c r="AP423" i="59" s="1"/>
  <c r="AF449" i="59"/>
  <c r="AT449" i="59"/>
  <c r="AF744" i="59"/>
  <c r="AT744" i="59"/>
  <c r="AF877" i="59"/>
  <c r="AT877" i="59"/>
  <c r="AF495" i="59"/>
  <c r="AT495" i="59"/>
  <c r="AF630" i="59"/>
  <c r="AT630" i="59"/>
  <c r="AF376" i="59"/>
  <c r="AT376" i="59"/>
  <c r="AO376" i="59" s="1"/>
  <c r="AP376" i="59" s="1"/>
  <c r="AF137" i="59"/>
  <c r="AT137" i="59"/>
  <c r="AF406" i="59"/>
  <c r="AT406" i="59"/>
  <c r="AF200" i="59"/>
  <c r="AT200" i="59"/>
  <c r="AS200" i="59" s="1"/>
  <c r="AV200" i="59" s="1"/>
  <c r="AW200" i="59" s="1"/>
  <c r="AX200" i="59" s="1"/>
  <c r="AF264" i="59"/>
  <c r="AT264" i="59"/>
  <c r="AF256" i="59"/>
  <c r="AT256" i="59"/>
  <c r="AS256" i="59" s="1"/>
  <c r="AV256" i="59" s="1"/>
  <c r="AW256" i="59" s="1"/>
  <c r="AX256" i="59" s="1"/>
  <c r="AF277" i="59"/>
  <c r="AT277" i="59"/>
  <c r="AF320" i="59"/>
  <c r="AT320" i="59"/>
  <c r="AS320" i="59" s="1"/>
  <c r="AV320" i="59" s="1"/>
  <c r="AW320" i="59" s="1"/>
  <c r="AX320" i="59" s="1"/>
  <c r="AF143" i="59"/>
  <c r="AT143" i="59"/>
  <c r="AF427" i="59"/>
  <c r="AT427" i="59"/>
  <c r="AO427" i="59" s="1"/>
  <c r="AP427" i="59" s="1"/>
  <c r="AF637" i="59"/>
  <c r="AT637" i="59"/>
  <c r="AS637" i="59" s="1"/>
  <c r="AV637" i="59" s="1"/>
  <c r="AW637" i="59" s="1"/>
  <c r="AX637" i="59" s="1"/>
  <c r="AF160" i="59"/>
  <c r="AT160" i="59"/>
  <c r="AS160" i="59" s="1"/>
  <c r="AV160" i="59" s="1"/>
  <c r="AW160" i="59" s="1"/>
  <c r="AX160" i="59" s="1"/>
  <c r="AF888" i="59"/>
  <c r="AT888" i="59"/>
  <c r="AF490" i="59"/>
  <c r="AT490" i="59"/>
  <c r="AS490" i="59" s="1"/>
  <c r="AV490" i="59" s="1"/>
  <c r="AW490" i="59" s="1"/>
  <c r="AX490" i="59" s="1"/>
  <c r="AF482" i="59"/>
  <c r="AT482" i="59"/>
  <c r="AF704" i="59"/>
  <c r="AT704" i="59"/>
  <c r="AS704" i="59" s="1"/>
  <c r="AV704" i="59" s="1"/>
  <c r="AW704" i="59" s="1"/>
  <c r="AX704" i="59" s="1"/>
  <c r="AF414" i="59"/>
  <c r="AT414" i="59"/>
  <c r="AO414" i="59" s="1"/>
  <c r="AP414" i="59" s="1"/>
  <c r="AF529" i="59"/>
  <c r="AT529" i="59"/>
  <c r="AF72" i="59"/>
  <c r="AT72" i="59"/>
  <c r="AF286" i="59"/>
  <c r="AT286" i="59"/>
  <c r="AF266" i="59"/>
  <c r="AT266" i="59"/>
  <c r="AS266" i="59" s="1"/>
  <c r="AV266" i="59" s="1"/>
  <c r="AW266" i="59" s="1"/>
  <c r="AX266" i="59" s="1"/>
  <c r="AF407" i="59"/>
  <c r="AT407" i="59"/>
  <c r="AO407" i="59" s="1"/>
  <c r="AP407" i="59" s="1"/>
  <c r="AF157" i="59"/>
  <c r="AT157" i="59"/>
  <c r="AF82" i="59"/>
  <c r="AT82" i="59"/>
  <c r="AS82" i="59" s="1"/>
  <c r="AV82" i="59" s="1"/>
  <c r="AW82" i="59" s="1"/>
  <c r="AX82" i="59" s="1"/>
  <c r="AF303" i="59"/>
  <c r="AT303" i="59"/>
  <c r="AF878" i="59"/>
  <c r="AT878" i="59"/>
  <c r="AF549" i="59"/>
  <c r="AT549" i="59"/>
  <c r="AF767" i="59"/>
  <c r="AT767" i="59"/>
  <c r="AS767" i="59" s="1"/>
  <c r="AV767" i="59" s="1"/>
  <c r="AW767" i="59" s="1"/>
  <c r="AX767" i="59" s="1"/>
  <c r="AF840" i="59"/>
  <c r="AT840" i="59"/>
  <c r="AF140" i="59"/>
  <c r="AT140" i="59"/>
  <c r="AF781" i="59"/>
  <c r="AT781" i="59"/>
  <c r="AS781" i="59" s="1"/>
  <c r="AV781" i="59" s="1"/>
  <c r="AF48" i="59"/>
  <c r="AT48" i="59"/>
  <c r="AF411" i="59"/>
  <c r="AT411" i="59"/>
  <c r="AF510" i="59"/>
  <c r="AT510" i="59"/>
  <c r="AF388" i="59"/>
  <c r="AT388" i="59"/>
  <c r="AO388" i="59" s="1"/>
  <c r="AP388" i="59" s="1"/>
  <c r="AF332" i="59"/>
  <c r="AT332" i="59"/>
  <c r="AF73" i="59"/>
  <c r="AT73" i="59"/>
  <c r="AS73" i="59" s="1"/>
  <c r="AV73" i="59" s="1"/>
  <c r="AW73" i="59" s="1"/>
  <c r="AX73" i="59" s="1"/>
  <c r="AF352" i="59"/>
  <c r="AT352" i="59"/>
  <c r="AS352" i="59" s="1"/>
  <c r="AV352" i="59" s="1"/>
  <c r="AF86" i="59"/>
  <c r="AT86" i="59"/>
  <c r="AS86" i="59" s="1"/>
  <c r="AV86" i="59" s="1"/>
  <c r="AW86" i="59" s="1"/>
  <c r="AX86" i="59" s="1"/>
  <c r="AF857" i="59"/>
  <c r="AT857" i="59"/>
  <c r="AF71" i="59"/>
  <c r="AT71" i="59"/>
  <c r="AS71" i="59" s="1"/>
  <c r="AV71" i="59" s="1"/>
  <c r="AW71" i="59" s="1"/>
  <c r="AX71" i="59" s="1"/>
  <c r="AF412" i="59"/>
  <c r="AT412" i="59"/>
  <c r="AO412" i="59" s="1"/>
  <c r="AP412" i="59" s="1"/>
  <c r="AF828" i="59"/>
  <c r="AT828" i="59"/>
  <c r="AF819" i="59"/>
  <c r="AT819" i="59"/>
  <c r="AF859" i="59"/>
  <c r="AT859" i="59"/>
  <c r="AF302" i="59"/>
  <c r="AT302" i="59"/>
  <c r="AS302" i="59" s="1"/>
  <c r="AV302" i="59" s="1"/>
  <c r="AW302" i="59" s="1"/>
  <c r="AX302" i="59" s="1"/>
  <c r="AF886" i="59"/>
  <c r="AT886" i="59"/>
  <c r="K15" i="59"/>
  <c r="K6" i="59"/>
  <c r="K12" i="59"/>
  <c r="K7" i="59"/>
  <c r="K19" i="59"/>
  <c r="K16" i="59"/>
  <c r="K20" i="59"/>
  <c r="K22" i="59"/>
  <c r="K21" i="59"/>
  <c r="K13" i="59"/>
  <c r="K8" i="59"/>
  <c r="K17" i="59"/>
  <c r="K11" i="59"/>
  <c r="AR593" i="59"/>
  <c r="AR825" i="59"/>
  <c r="AR958" i="59"/>
  <c r="AR908" i="59"/>
  <c r="AR805" i="59"/>
  <c r="AR472" i="59"/>
  <c r="AQ59" i="30"/>
  <c r="BD59" i="30" s="1"/>
  <c r="AR990" i="59"/>
  <c r="AR437" i="59"/>
  <c r="AR404" i="59"/>
  <c r="AR360" i="59"/>
  <c r="AR817" i="59"/>
  <c r="AR614" i="59"/>
  <c r="AR363" i="59"/>
  <c r="AR403" i="59"/>
  <c r="AR259" i="59"/>
  <c r="AR903" i="59"/>
  <c r="AR23" i="59"/>
  <c r="AR830" i="59"/>
  <c r="AR220" i="59"/>
  <c r="AR952" i="59"/>
  <c r="AR470" i="59"/>
  <c r="AR994" i="59"/>
  <c r="AR855" i="59"/>
  <c r="AR801" i="59"/>
  <c r="AR518" i="59"/>
  <c r="AR222" i="59"/>
  <c r="AR237" i="59"/>
  <c r="AR354" i="59"/>
  <c r="AR760" i="59"/>
  <c r="AR438" i="59"/>
  <c r="AR440" i="59"/>
  <c r="AR979" i="59"/>
  <c r="AR797" i="59"/>
  <c r="AR639" i="59"/>
  <c r="AR187" i="59"/>
  <c r="AR895" i="59"/>
  <c r="AR934" i="59"/>
  <c r="AR896" i="59"/>
  <c r="AR910" i="59"/>
  <c r="AR936" i="59"/>
  <c r="AR177" i="59"/>
  <c r="AR248" i="59"/>
  <c r="AR873" i="59"/>
  <c r="AR856" i="59"/>
  <c r="AR743" i="59"/>
  <c r="AQ916" i="59"/>
  <c r="AR364" i="59"/>
  <c r="AR124" i="59"/>
  <c r="AR173" i="59"/>
  <c r="AR891" i="59"/>
  <c r="AR314" i="59"/>
  <c r="AR964" i="59"/>
  <c r="AR477" i="59"/>
  <c r="AR613" i="59"/>
  <c r="AR918" i="59"/>
  <c r="AR297" i="59"/>
  <c r="AR283" i="59"/>
  <c r="AR985" i="59"/>
  <c r="AR122" i="59"/>
  <c r="AR883" i="59"/>
  <c r="AR553" i="59"/>
  <c r="AR434" i="59"/>
  <c r="AR666" i="59"/>
  <c r="AR894" i="59"/>
  <c r="AR583" i="59"/>
  <c r="AR756" i="59"/>
  <c r="AR473" i="59"/>
  <c r="AR727" i="59"/>
  <c r="AR356" i="59"/>
  <c r="AR960" i="59"/>
  <c r="AR355" i="59"/>
  <c r="AR517" i="59"/>
  <c r="AR478" i="59"/>
  <c r="AR942" i="59"/>
  <c r="AR947" i="59"/>
  <c r="AR10" i="59"/>
  <c r="AR966" i="59"/>
  <c r="AQ680" i="59"/>
  <c r="AQ101" i="59"/>
  <c r="AR44" i="59"/>
  <c r="AR693" i="59"/>
  <c r="AR961" i="59"/>
  <c r="AR111" i="59"/>
  <c r="AR821" i="59"/>
  <c r="AR834" i="59"/>
  <c r="AR103" i="59"/>
  <c r="AR395" i="59"/>
  <c r="AR87" i="59"/>
  <c r="AR914" i="59"/>
  <c r="AR943" i="59"/>
  <c r="AR868" i="59"/>
  <c r="AQ723" i="59"/>
  <c r="AQ43" i="59"/>
  <c r="AR357" i="59"/>
  <c r="AR556" i="59"/>
  <c r="AR978" i="59"/>
  <c r="AR887" i="59"/>
  <c r="AR680" i="59"/>
  <c r="AR700" i="59"/>
  <c r="AR634" i="59"/>
  <c r="AR367" i="59"/>
  <c r="AQ944" i="59"/>
  <c r="AR916" i="59"/>
  <c r="AR575" i="59"/>
  <c r="AQ806" i="59"/>
  <c r="AR401" i="59"/>
  <c r="AR190" i="59"/>
  <c r="AR716" i="59"/>
  <c r="AR128" i="59"/>
  <c r="AR159" i="59"/>
  <c r="AR838" i="59"/>
  <c r="AR101" i="59"/>
  <c r="AR257" i="59"/>
  <c r="AR513" i="59"/>
  <c r="AR941" i="59"/>
  <c r="AR365" i="59"/>
  <c r="AR723" i="59"/>
  <c r="AR43" i="59"/>
  <c r="AR475" i="59"/>
  <c r="AR685" i="59"/>
  <c r="AR935" i="59"/>
  <c r="AR932" i="59"/>
  <c r="AR474" i="59"/>
  <c r="AR362" i="59"/>
  <c r="AR273" i="59"/>
  <c r="AR361" i="59"/>
  <c r="AR98" i="59"/>
  <c r="AR628" i="59"/>
  <c r="AR806" i="59"/>
  <c r="AR946" i="59"/>
  <c r="AR129" i="59"/>
  <c r="AR988" i="59"/>
  <c r="AR940" i="59"/>
  <c r="AR36" i="59"/>
  <c r="AR444" i="59"/>
  <c r="AR804" i="59"/>
  <c r="AR876" i="59"/>
  <c r="AR787" i="59"/>
  <c r="AR476" i="59"/>
  <c r="AR280" i="59"/>
  <c r="AR441" i="59"/>
  <c r="AQ357" i="59"/>
  <c r="AR433" i="59"/>
  <c r="AQ402" i="59"/>
  <c r="AR789" i="59"/>
  <c r="AR996" i="59"/>
  <c r="AQ977" i="59"/>
  <c r="AR442" i="59"/>
  <c r="AR944" i="59"/>
  <c r="AR793" i="59"/>
  <c r="AR154" i="59"/>
  <c r="AQ95" i="59"/>
  <c r="AR911" i="59"/>
  <c r="AR933" i="59"/>
  <c r="K979" i="59"/>
  <c r="AR123" i="59"/>
  <c r="AR469" i="59"/>
  <c r="AR997" i="59"/>
  <c r="AR519" i="59"/>
  <c r="AR439" i="59"/>
  <c r="AR938" i="59"/>
  <c r="AR435" i="59"/>
  <c r="AR949" i="59"/>
  <c r="AR366" i="59"/>
  <c r="AR430" i="59"/>
  <c r="AR998" i="59"/>
  <c r="AR402" i="59"/>
  <c r="AR977" i="59"/>
  <c r="AR937" i="59"/>
  <c r="AR515" i="59"/>
  <c r="AR102" i="59"/>
  <c r="AR95" i="59"/>
  <c r="AR45" i="59"/>
  <c r="AR686" i="59"/>
  <c r="AR984" i="59"/>
  <c r="AR970" i="59"/>
  <c r="AR436" i="59"/>
  <c r="AR861" i="59"/>
  <c r="AR125" i="59"/>
  <c r="AQ477" i="59"/>
  <c r="AR212" i="59"/>
  <c r="AR443" i="59"/>
  <c r="AR9" i="59"/>
  <c r="AR673" i="59"/>
  <c r="AR904" i="59"/>
  <c r="AQ715" i="59"/>
  <c r="AQ937" i="59"/>
  <c r="AR748" i="59"/>
  <c r="AR400" i="59"/>
  <c r="AR975" i="59"/>
  <c r="AR127" i="59"/>
  <c r="AR545" i="59"/>
  <c r="AR471" i="59"/>
  <c r="AR358" i="59"/>
  <c r="AR649" i="59"/>
  <c r="AQ862" i="59"/>
  <c r="AR813" i="59"/>
  <c r="AR715" i="59"/>
  <c r="AR615" i="59"/>
  <c r="AR954" i="59"/>
  <c r="AR394" i="59"/>
  <c r="AR862" i="59"/>
  <c r="AR945" i="59"/>
  <c r="AR563" i="59"/>
  <c r="AR479" i="59"/>
  <c r="AR520" i="59"/>
  <c r="AR68" i="59"/>
  <c r="AR126" i="59"/>
  <c r="AR288" i="59"/>
  <c r="AR516" i="59"/>
  <c r="AQ173" i="59"/>
  <c r="AR770" i="59"/>
  <c r="K479" i="59"/>
  <c r="K307" i="59"/>
  <c r="W911" i="59"/>
  <c r="U911" i="59"/>
  <c r="T911" i="59"/>
  <c r="S911" i="59"/>
  <c r="X911" i="59"/>
  <c r="K903" i="59"/>
  <c r="S236" i="59"/>
  <c r="X236" i="59"/>
  <c r="W236" i="59"/>
  <c r="U236" i="59"/>
  <c r="T236" i="59"/>
  <c r="W910" i="59"/>
  <c r="U910" i="59"/>
  <c r="T910" i="59"/>
  <c r="S910" i="59"/>
  <c r="X910" i="59"/>
  <c r="K545" i="59"/>
  <c r="K173" i="59"/>
  <c r="U916" i="59"/>
  <c r="T916" i="59"/>
  <c r="S916" i="59"/>
  <c r="X916" i="59"/>
  <c r="W916" i="59"/>
  <c r="X834" i="59"/>
  <c r="U834" i="59"/>
  <c r="T834" i="59"/>
  <c r="S834" i="59"/>
  <c r="W834" i="59"/>
  <c r="X430" i="59"/>
  <c r="W430" i="59"/>
  <c r="U430" i="59"/>
  <c r="T430" i="59"/>
  <c r="S430" i="59"/>
  <c r="K614" i="59"/>
  <c r="T515" i="59"/>
  <c r="X515" i="59"/>
  <c r="U515" i="59"/>
  <c r="W515" i="59"/>
  <c r="S515" i="59"/>
  <c r="S123" i="59"/>
  <c r="X123" i="59"/>
  <c r="W123" i="59"/>
  <c r="U123" i="59"/>
  <c r="T123" i="59"/>
  <c r="K948" i="59"/>
  <c r="S966" i="59"/>
  <c r="W966" i="59"/>
  <c r="T966" i="59"/>
  <c r="X966" i="59"/>
  <c r="U966" i="59"/>
  <c r="K806" i="59"/>
  <c r="X785" i="59"/>
  <c r="W785" i="59"/>
  <c r="U785" i="59"/>
  <c r="T785" i="59"/>
  <c r="S785" i="59"/>
  <c r="K575" i="59"/>
  <c r="K787" i="59"/>
  <c r="W441" i="59"/>
  <c r="T441" i="59"/>
  <c r="X441" i="59"/>
  <c r="U441" i="59"/>
  <c r="S441" i="59"/>
  <c r="X87" i="59"/>
  <c r="W87" i="59"/>
  <c r="U87" i="59"/>
  <c r="T87" i="59"/>
  <c r="S87" i="59"/>
  <c r="W944" i="59"/>
  <c r="U944" i="59"/>
  <c r="T944" i="59"/>
  <c r="X944" i="59"/>
  <c r="S944" i="59"/>
  <c r="T613" i="59"/>
  <c r="S613" i="59"/>
  <c r="X613" i="59"/>
  <c r="U613" i="59"/>
  <c r="W613" i="59"/>
  <c r="K28" i="59"/>
  <c r="S821" i="59"/>
  <c r="W821" i="59"/>
  <c r="X821" i="59"/>
  <c r="U821" i="59"/>
  <c r="T821" i="59"/>
  <c r="K915" i="59"/>
  <c r="X513" i="59"/>
  <c r="T513" i="59"/>
  <c r="U513" i="59"/>
  <c r="S513" i="59"/>
  <c r="W513" i="59"/>
  <c r="K187" i="59"/>
  <c r="W904" i="59"/>
  <c r="U904" i="59"/>
  <c r="T904" i="59"/>
  <c r="S904" i="59"/>
  <c r="X904" i="59"/>
  <c r="K789" i="59"/>
  <c r="K673" i="59"/>
  <c r="K981" i="59"/>
  <c r="S931" i="59"/>
  <c r="X931" i="59"/>
  <c r="W931" i="59"/>
  <c r="T931" i="59"/>
  <c r="U931" i="59"/>
  <c r="K942" i="59"/>
  <c r="K520" i="59"/>
  <c r="K793" i="59"/>
  <c r="W475" i="59"/>
  <c r="U475" i="59"/>
  <c r="S475" i="59"/>
  <c r="X475" i="59"/>
  <c r="T475" i="59"/>
  <c r="K918" i="59"/>
  <c r="X855" i="59"/>
  <c r="W855" i="59"/>
  <c r="U855" i="59"/>
  <c r="T855" i="59"/>
  <c r="S855" i="59"/>
  <c r="T713" i="59"/>
  <c r="S713" i="59"/>
  <c r="X713" i="59"/>
  <c r="W713" i="59"/>
  <c r="U713" i="59"/>
  <c r="X307" i="59"/>
  <c r="U307" i="59"/>
  <c r="T307" i="59"/>
  <c r="S307" i="59"/>
  <c r="W307" i="59"/>
  <c r="X672" i="59"/>
  <c r="U672" i="59"/>
  <c r="T672" i="59"/>
  <c r="S672" i="59"/>
  <c r="W672" i="59"/>
  <c r="K601" i="59"/>
  <c r="K435" i="59"/>
  <c r="K437" i="59"/>
  <c r="T634" i="59"/>
  <c r="S634" i="59"/>
  <c r="X634" i="59"/>
  <c r="U634" i="59"/>
  <c r="W634" i="59"/>
  <c r="U122" i="59"/>
  <c r="T122" i="59"/>
  <c r="S122" i="59"/>
  <c r="X122" i="59"/>
  <c r="W122" i="59"/>
  <c r="K365" i="59"/>
  <c r="W471" i="59"/>
  <c r="U471" i="59"/>
  <c r="S471" i="59"/>
  <c r="X471" i="59"/>
  <c r="T471" i="59"/>
  <c r="K876" i="59"/>
  <c r="K439" i="59"/>
  <c r="T288" i="59"/>
  <c r="S288" i="59"/>
  <c r="W288" i="59"/>
  <c r="X288" i="59"/>
  <c r="U288" i="59"/>
  <c r="T991" i="59"/>
  <c r="W991" i="59"/>
  <c r="X991" i="59"/>
  <c r="U991" i="59"/>
  <c r="S991" i="59"/>
  <c r="K102" i="59"/>
  <c r="K934" i="59"/>
  <c r="K946" i="59"/>
  <c r="K236" i="59"/>
  <c r="K98" i="59"/>
  <c r="W514" i="59"/>
  <c r="U514" i="59"/>
  <c r="T514" i="59"/>
  <c r="X514" i="59"/>
  <c r="S514" i="59"/>
  <c r="K181" i="59"/>
  <c r="K190" i="59"/>
  <c r="T693" i="59"/>
  <c r="S693" i="59"/>
  <c r="X693" i="59"/>
  <c r="W693" i="59"/>
  <c r="U693" i="59"/>
  <c r="K333" i="59"/>
  <c r="K924" i="59"/>
  <c r="K213" i="59"/>
  <c r="W44" i="59"/>
  <c r="U44" i="59"/>
  <c r="T44" i="59"/>
  <c r="S44" i="59"/>
  <c r="X44" i="59"/>
  <c r="K804" i="59"/>
  <c r="K825" i="59"/>
  <c r="K564" i="59"/>
  <c r="K978" i="59"/>
  <c r="W769" i="59"/>
  <c r="T769" i="59"/>
  <c r="X769" i="59"/>
  <c r="U769" i="59"/>
  <c r="S769" i="59"/>
  <c r="X434" i="59"/>
  <c r="W434" i="59"/>
  <c r="U434" i="59"/>
  <c r="T434" i="59"/>
  <c r="S434" i="59"/>
  <c r="K123" i="59"/>
  <c r="U948" i="59"/>
  <c r="X948" i="59"/>
  <c r="W948" i="59"/>
  <c r="T948" i="59"/>
  <c r="S948" i="59"/>
  <c r="K966" i="59"/>
  <c r="X806" i="59"/>
  <c r="U806" i="59"/>
  <c r="W806" i="59"/>
  <c r="T806" i="59"/>
  <c r="S806" i="59"/>
  <c r="S64" i="59"/>
  <c r="X64" i="59"/>
  <c r="W64" i="59"/>
  <c r="U64" i="59"/>
  <c r="T64" i="59"/>
  <c r="K363" i="59"/>
  <c r="K565" i="59"/>
  <c r="K940" i="59"/>
  <c r="K797" i="59"/>
  <c r="X319" i="59"/>
  <c r="W319" i="59"/>
  <c r="U319" i="59"/>
  <c r="T319" i="59"/>
  <c r="S319" i="59"/>
  <c r="T932" i="59"/>
  <c r="W932" i="59"/>
  <c r="U932" i="59"/>
  <c r="S932" i="59"/>
  <c r="X932" i="59"/>
  <c r="K283" i="59"/>
  <c r="K516" i="59"/>
  <c r="K686" i="59"/>
  <c r="S80" i="59"/>
  <c r="X80" i="59"/>
  <c r="W80" i="59"/>
  <c r="U80" i="59"/>
  <c r="T80" i="59"/>
  <c r="K873" i="59"/>
  <c r="T254" i="59"/>
  <c r="X254" i="59"/>
  <c r="W254" i="59"/>
  <c r="U254" i="59"/>
  <c r="S254" i="59"/>
  <c r="T273" i="59"/>
  <c r="S273" i="59"/>
  <c r="W273" i="59"/>
  <c r="X273" i="59"/>
  <c r="U273" i="59"/>
  <c r="X517" i="59"/>
  <c r="U517" i="59"/>
  <c r="T517" i="59"/>
  <c r="S517" i="59"/>
  <c r="W517" i="59"/>
  <c r="U593" i="59"/>
  <c r="T593" i="59"/>
  <c r="S593" i="59"/>
  <c r="X593" i="59"/>
  <c r="W593" i="59"/>
  <c r="T563" i="59"/>
  <c r="S563" i="59"/>
  <c r="X563" i="59"/>
  <c r="W563" i="59"/>
  <c r="U563" i="59"/>
  <c r="K923" i="59"/>
  <c r="K997" i="59"/>
  <c r="X111" i="59"/>
  <c r="W111" i="59"/>
  <c r="U111" i="59"/>
  <c r="T111" i="59"/>
  <c r="S111" i="59"/>
  <c r="T366" i="59"/>
  <c r="S366" i="59"/>
  <c r="X366" i="59"/>
  <c r="W366" i="59"/>
  <c r="U366" i="59"/>
  <c r="K345" i="59"/>
  <c r="W929" i="59"/>
  <c r="U929" i="59"/>
  <c r="T929" i="59"/>
  <c r="X929" i="59"/>
  <c r="S929" i="59"/>
  <c r="U628" i="59"/>
  <c r="T628" i="59"/>
  <c r="S628" i="59"/>
  <c r="X628" i="59"/>
  <c r="W628" i="59"/>
  <c r="K716" i="59"/>
  <c r="K947" i="59"/>
  <c r="K895" i="59"/>
  <c r="X639" i="59"/>
  <c r="T639" i="59"/>
  <c r="W639" i="59"/>
  <c r="U639" i="59"/>
  <c r="S639" i="59"/>
  <c r="K444" i="59"/>
  <c r="U126" i="59"/>
  <c r="T126" i="59"/>
  <c r="S126" i="59"/>
  <c r="X126" i="59"/>
  <c r="W126" i="59"/>
  <c r="W197" i="59"/>
  <c r="T197" i="59"/>
  <c r="S197" i="59"/>
  <c r="X197" i="59"/>
  <c r="U197" i="59"/>
  <c r="W883" i="59"/>
  <c r="X883" i="59"/>
  <c r="U883" i="59"/>
  <c r="T883" i="59"/>
  <c r="S883" i="59"/>
  <c r="K937" i="59"/>
  <c r="W102" i="59"/>
  <c r="U102" i="59"/>
  <c r="T102" i="59"/>
  <c r="S102" i="59"/>
  <c r="X102" i="59"/>
  <c r="U401" i="59"/>
  <c r="S401" i="59"/>
  <c r="X401" i="59"/>
  <c r="W401" i="59"/>
  <c r="T401" i="59"/>
  <c r="K88" i="59"/>
  <c r="T359" i="59"/>
  <c r="X359" i="59"/>
  <c r="W359" i="59"/>
  <c r="U359" i="59"/>
  <c r="S359" i="59"/>
  <c r="K430" i="59"/>
  <c r="K10" i="59"/>
  <c r="K222" i="59"/>
  <c r="T913" i="59"/>
  <c r="S913" i="59"/>
  <c r="X913" i="59"/>
  <c r="W913" i="59"/>
  <c r="U913" i="59"/>
  <c r="K785" i="59"/>
  <c r="K400" i="59"/>
  <c r="X790" i="59"/>
  <c r="W790" i="59"/>
  <c r="U790" i="59"/>
  <c r="T790" i="59"/>
  <c r="S790" i="59"/>
  <c r="K362" i="59"/>
  <c r="K639" i="59"/>
  <c r="K68" i="59"/>
  <c r="S127" i="59"/>
  <c r="X127" i="59"/>
  <c r="W127" i="59"/>
  <c r="U127" i="59"/>
  <c r="T127" i="59"/>
  <c r="T845" i="59"/>
  <c r="X845" i="59"/>
  <c r="W845" i="59"/>
  <c r="U845" i="59"/>
  <c r="S845" i="59"/>
  <c r="K471" i="59"/>
  <c r="K572" i="59"/>
  <c r="K519" i="59"/>
  <c r="T894" i="59"/>
  <c r="X894" i="59"/>
  <c r="W894" i="59"/>
  <c r="U894" i="59"/>
  <c r="S894" i="59"/>
  <c r="K9" i="59"/>
  <c r="K5" i="59"/>
  <c r="K896" i="59"/>
  <c r="K560" i="59"/>
  <c r="T362" i="59"/>
  <c r="X362" i="59"/>
  <c r="S362" i="59"/>
  <c r="W362" i="59"/>
  <c r="U362" i="59"/>
  <c r="X395" i="59"/>
  <c r="U395" i="59"/>
  <c r="T395" i="59"/>
  <c r="S395" i="59"/>
  <c r="W395" i="59"/>
  <c r="K197" i="59"/>
  <c r="S473" i="59"/>
  <c r="W473" i="59"/>
  <c r="T473" i="59"/>
  <c r="X473" i="59"/>
  <c r="U473" i="59"/>
  <c r="U443" i="59"/>
  <c r="S443" i="59"/>
  <c r="X443" i="59"/>
  <c r="W443" i="59"/>
  <c r="T443" i="59"/>
  <c r="K288" i="59"/>
  <c r="K867" i="59"/>
  <c r="K667" i="59"/>
  <c r="S975" i="59"/>
  <c r="U975" i="59"/>
  <c r="X975" i="59"/>
  <c r="W975" i="59"/>
  <c r="T975" i="59"/>
  <c r="S979" i="59"/>
  <c r="U979" i="59"/>
  <c r="W979" i="59"/>
  <c r="X979" i="59"/>
  <c r="T979" i="59"/>
  <c r="K628" i="59"/>
  <c r="K976" i="59"/>
  <c r="X685" i="59"/>
  <c r="W685" i="59"/>
  <c r="U685" i="59"/>
  <c r="T685" i="59"/>
  <c r="S685" i="59"/>
  <c r="K790" i="59"/>
  <c r="T789" i="59"/>
  <c r="S789" i="59"/>
  <c r="X789" i="59"/>
  <c r="W789" i="59"/>
  <c r="U789" i="59"/>
  <c r="K477" i="59"/>
  <c r="X177" i="59"/>
  <c r="T177" i="59"/>
  <c r="S177" i="59"/>
  <c r="W177" i="59"/>
  <c r="U177" i="59"/>
  <c r="K933" i="59"/>
  <c r="X896" i="59"/>
  <c r="U896" i="59"/>
  <c r="W896" i="59"/>
  <c r="T896" i="59"/>
  <c r="S896" i="59"/>
  <c r="K987" i="59"/>
  <c r="S943" i="59"/>
  <c r="X943" i="59"/>
  <c r="W943" i="59"/>
  <c r="T943" i="59"/>
  <c r="U943" i="59"/>
  <c r="X560" i="59"/>
  <c r="U560" i="59"/>
  <c r="T560" i="59"/>
  <c r="W560" i="59"/>
  <c r="S560" i="59"/>
  <c r="X849" i="59"/>
  <c r="W849" i="59"/>
  <c r="U849" i="59"/>
  <c r="T849" i="59"/>
  <c r="S849" i="59"/>
  <c r="U793" i="59"/>
  <c r="T793" i="59"/>
  <c r="S793" i="59"/>
  <c r="X793" i="59"/>
  <c r="W793" i="59"/>
  <c r="K996" i="59"/>
  <c r="T918" i="59"/>
  <c r="S918" i="59"/>
  <c r="X918" i="59"/>
  <c r="W918" i="59"/>
  <c r="U918" i="59"/>
  <c r="K887" i="59"/>
  <c r="K792" i="59"/>
  <c r="K713" i="59"/>
  <c r="K126" i="59"/>
  <c r="K883" i="59"/>
  <c r="K838" i="59"/>
  <c r="W903" i="59"/>
  <c r="S903" i="59"/>
  <c r="X903" i="59"/>
  <c r="U903" i="59"/>
  <c r="T903" i="59"/>
  <c r="W437" i="59"/>
  <c r="T437" i="59"/>
  <c r="X437" i="59"/>
  <c r="U437" i="59"/>
  <c r="S437" i="59"/>
  <c r="X694" i="59"/>
  <c r="W694" i="59"/>
  <c r="U694" i="59"/>
  <c r="S694" i="59"/>
  <c r="T694" i="59"/>
  <c r="K930" i="59"/>
  <c r="K122" i="59"/>
  <c r="K355" i="59"/>
  <c r="X862" i="59"/>
  <c r="W862" i="59"/>
  <c r="U862" i="59"/>
  <c r="T862" i="59"/>
  <c r="S862" i="59"/>
  <c r="X867" i="59"/>
  <c r="W867" i="59"/>
  <c r="U867" i="59"/>
  <c r="T867" i="59"/>
  <c r="S867" i="59"/>
  <c r="U934" i="59"/>
  <c r="W934" i="59"/>
  <c r="T934" i="59"/>
  <c r="S934" i="59"/>
  <c r="X934" i="59"/>
  <c r="S780" i="59"/>
  <c r="X780" i="59"/>
  <c r="T780" i="59"/>
  <c r="W780" i="59"/>
  <c r="U780" i="59"/>
  <c r="S957" i="59"/>
  <c r="X957" i="59"/>
  <c r="W957" i="59"/>
  <c r="U957" i="59"/>
  <c r="T957" i="59"/>
  <c r="K35" i="59"/>
  <c r="K514" i="59"/>
  <c r="K894" i="59"/>
  <c r="K693" i="59"/>
  <c r="T169" i="59"/>
  <c r="X169" i="59"/>
  <c r="W169" i="59"/>
  <c r="U169" i="59"/>
  <c r="S169" i="59"/>
  <c r="T333" i="59"/>
  <c r="S333" i="59"/>
  <c r="X333" i="59"/>
  <c r="W333" i="59"/>
  <c r="U333" i="59"/>
  <c r="K975" i="59"/>
  <c r="X173" i="59"/>
  <c r="W173" i="59"/>
  <c r="U173" i="59"/>
  <c r="T173" i="59"/>
  <c r="S173" i="59"/>
  <c r="K44" i="59"/>
  <c r="K23" i="59"/>
  <c r="K208" i="59"/>
  <c r="K436" i="59"/>
  <c r="K394" i="59"/>
  <c r="S110" i="59"/>
  <c r="X110" i="59"/>
  <c r="W110" i="59"/>
  <c r="U110" i="59"/>
  <c r="T110" i="59"/>
  <c r="U575" i="59"/>
  <c r="T575" i="59"/>
  <c r="S575" i="59"/>
  <c r="X575" i="59"/>
  <c r="W575" i="59"/>
  <c r="U311" i="59"/>
  <c r="T311" i="59"/>
  <c r="S311" i="59"/>
  <c r="W311" i="59"/>
  <c r="X311" i="59"/>
  <c r="K970" i="59"/>
  <c r="S36" i="59"/>
  <c r="X36" i="59"/>
  <c r="W36" i="59"/>
  <c r="U36" i="59"/>
  <c r="T36" i="59"/>
  <c r="U787" i="59"/>
  <c r="T787" i="59"/>
  <c r="S787" i="59"/>
  <c r="X787" i="59"/>
  <c r="W787" i="59"/>
  <c r="K956" i="59"/>
  <c r="U940" i="59"/>
  <c r="T940" i="59"/>
  <c r="S940" i="59"/>
  <c r="X940" i="59"/>
  <c r="W940" i="59"/>
  <c r="T797" i="59"/>
  <c r="S797" i="59"/>
  <c r="X797" i="59"/>
  <c r="W797" i="59"/>
  <c r="U797" i="59"/>
  <c r="K339" i="59"/>
  <c r="W28" i="59"/>
  <c r="S28" i="59"/>
  <c r="X28" i="59"/>
  <c r="U28" i="59"/>
  <c r="T28" i="59"/>
  <c r="K649" i="59"/>
  <c r="K932" i="59"/>
  <c r="X364" i="59"/>
  <c r="W364" i="59"/>
  <c r="U364" i="59"/>
  <c r="T364" i="59"/>
  <c r="S364" i="59"/>
  <c r="K360" i="59"/>
  <c r="U700" i="59"/>
  <c r="T700" i="59"/>
  <c r="S700" i="59"/>
  <c r="W700" i="59"/>
  <c r="X700" i="59"/>
  <c r="X723" i="59"/>
  <c r="W723" i="59"/>
  <c r="U723" i="59"/>
  <c r="T723" i="59"/>
  <c r="S723" i="59"/>
  <c r="S734" i="59"/>
  <c r="T734" i="59"/>
  <c r="X734" i="59"/>
  <c r="W734" i="59"/>
  <c r="U734" i="59"/>
  <c r="T633" i="59"/>
  <c r="X633" i="59"/>
  <c r="W633" i="59"/>
  <c r="U633" i="59"/>
  <c r="S633" i="59"/>
  <c r="T873" i="59"/>
  <c r="S873" i="59"/>
  <c r="X873" i="59"/>
  <c r="W873" i="59"/>
  <c r="U873" i="59"/>
  <c r="K606" i="59"/>
  <c r="K977" i="59"/>
  <c r="K440" i="59"/>
  <c r="U204" i="59"/>
  <c r="S204" i="59"/>
  <c r="X204" i="59"/>
  <c r="W204" i="59"/>
  <c r="T204" i="59"/>
  <c r="U950" i="59"/>
  <c r="X950" i="59"/>
  <c r="W950" i="59"/>
  <c r="T950" i="59"/>
  <c r="S950" i="59"/>
  <c r="K945" i="59"/>
  <c r="X964" i="59"/>
  <c r="W964" i="59"/>
  <c r="U964" i="59"/>
  <c r="T964" i="59"/>
  <c r="S964" i="59"/>
  <c r="K337" i="59"/>
  <c r="K908" i="59"/>
  <c r="X404" i="59"/>
  <c r="W404" i="59"/>
  <c r="U404" i="59"/>
  <c r="T404" i="59"/>
  <c r="S404" i="59"/>
  <c r="U103" i="59"/>
  <c r="T103" i="59"/>
  <c r="S103" i="59"/>
  <c r="X103" i="59"/>
  <c r="W103" i="59"/>
  <c r="K95" i="59"/>
  <c r="X237" i="59"/>
  <c r="W237" i="59"/>
  <c r="U237" i="59"/>
  <c r="T237" i="59"/>
  <c r="S237" i="59"/>
  <c r="W740" i="59"/>
  <c r="T740" i="59"/>
  <c r="X740" i="59"/>
  <c r="U740" i="59"/>
  <c r="S740" i="59"/>
  <c r="K715" i="59"/>
  <c r="X23" i="59"/>
  <c r="U23" i="59"/>
  <c r="T23" i="59"/>
  <c r="W23" i="59"/>
  <c r="S23" i="59"/>
  <c r="X394" i="59"/>
  <c r="W394" i="59"/>
  <c r="U394" i="59"/>
  <c r="T394" i="59"/>
  <c r="S394" i="59"/>
  <c r="K64" i="59"/>
  <c r="K356" i="59"/>
  <c r="W649" i="59"/>
  <c r="S649" i="59"/>
  <c r="X649" i="59"/>
  <c r="U649" i="59"/>
  <c r="T649" i="59"/>
  <c r="K680" i="59"/>
  <c r="K904" i="59"/>
  <c r="S947" i="59"/>
  <c r="W947" i="59"/>
  <c r="X947" i="59"/>
  <c r="U947" i="59"/>
  <c r="T947" i="59"/>
  <c r="S952" i="59"/>
  <c r="X952" i="59"/>
  <c r="W952" i="59"/>
  <c r="U952" i="59"/>
  <c r="T952" i="59"/>
  <c r="K475" i="59"/>
  <c r="K911" i="59"/>
  <c r="S838" i="59"/>
  <c r="W838" i="59"/>
  <c r="X838" i="59"/>
  <c r="U838" i="59"/>
  <c r="T838" i="59"/>
  <c r="K128" i="59"/>
  <c r="K928" i="59"/>
  <c r="S403" i="59"/>
  <c r="X403" i="59"/>
  <c r="W403" i="59"/>
  <c r="U403" i="59"/>
  <c r="T403" i="59"/>
  <c r="S939" i="59"/>
  <c r="X939" i="59"/>
  <c r="U939" i="59"/>
  <c r="T939" i="59"/>
  <c r="W939" i="59"/>
  <c r="U35" i="59"/>
  <c r="T35" i="59"/>
  <c r="X35" i="59"/>
  <c r="S35" i="59"/>
  <c r="W35" i="59"/>
  <c r="X584" i="59"/>
  <c r="W584" i="59"/>
  <c r="U584" i="59"/>
  <c r="T584" i="59"/>
  <c r="S584" i="59"/>
  <c r="W88" i="59"/>
  <c r="U88" i="59"/>
  <c r="T88" i="59"/>
  <c r="S88" i="59"/>
  <c r="X88" i="59"/>
  <c r="K685" i="59"/>
  <c r="K513" i="59"/>
  <c r="S909" i="59"/>
  <c r="X909" i="59"/>
  <c r="W909" i="59"/>
  <c r="U909" i="59"/>
  <c r="T909" i="59"/>
  <c r="W229" i="59"/>
  <c r="U229" i="59"/>
  <c r="T229" i="59"/>
  <c r="S229" i="59"/>
  <c r="X229" i="59"/>
  <c r="S933" i="59"/>
  <c r="X933" i="59"/>
  <c r="W933" i="59"/>
  <c r="T933" i="59"/>
  <c r="U933" i="59"/>
  <c r="T987" i="59"/>
  <c r="W987" i="59"/>
  <c r="U987" i="59"/>
  <c r="S987" i="59"/>
  <c r="X987" i="59"/>
  <c r="U998" i="59"/>
  <c r="T998" i="59"/>
  <c r="S998" i="59"/>
  <c r="W998" i="59"/>
  <c r="X998" i="59"/>
  <c r="U45" i="59"/>
  <c r="T45" i="59"/>
  <c r="S45" i="59"/>
  <c r="X45" i="59"/>
  <c r="W45" i="59"/>
  <c r="X166" i="59"/>
  <c r="W166" i="59"/>
  <c r="U166" i="59"/>
  <c r="T166" i="59"/>
  <c r="S166" i="59"/>
  <c r="K672" i="59"/>
  <c r="X361" i="59"/>
  <c r="T361" i="59"/>
  <c r="S361" i="59"/>
  <c r="W361" i="59"/>
  <c r="U361" i="59"/>
  <c r="K770" i="59"/>
  <c r="X68" i="59"/>
  <c r="W68" i="59"/>
  <c r="U68" i="59"/>
  <c r="T68" i="59"/>
  <c r="S68" i="59"/>
  <c r="U930" i="59"/>
  <c r="S930" i="59"/>
  <c r="X930" i="59"/>
  <c r="W930" i="59"/>
  <c r="T930" i="59"/>
  <c r="K127" i="59"/>
  <c r="K991" i="59"/>
  <c r="W76" i="59"/>
  <c r="U76" i="59"/>
  <c r="T76" i="59"/>
  <c r="S76" i="59"/>
  <c r="X76" i="59"/>
  <c r="K195" i="59"/>
  <c r="X354" i="59"/>
  <c r="W354" i="59"/>
  <c r="U354" i="59"/>
  <c r="T354" i="59"/>
  <c r="S354" i="59"/>
  <c r="T479" i="59"/>
  <c r="S479" i="59"/>
  <c r="X479" i="59"/>
  <c r="W479" i="59"/>
  <c r="U479" i="59"/>
  <c r="K914" i="59"/>
  <c r="W187" i="59"/>
  <c r="T187" i="59"/>
  <c r="S187" i="59"/>
  <c r="X187" i="59"/>
  <c r="U187" i="59"/>
  <c r="S673" i="59"/>
  <c r="W673" i="59"/>
  <c r="T673" i="59"/>
  <c r="X673" i="59"/>
  <c r="U673" i="59"/>
  <c r="W942" i="59"/>
  <c r="T942" i="59"/>
  <c r="S942" i="59"/>
  <c r="X942" i="59"/>
  <c r="U942" i="59"/>
  <c r="W895" i="59"/>
  <c r="X895" i="59"/>
  <c r="U895" i="59"/>
  <c r="T895" i="59"/>
  <c r="S895" i="59"/>
  <c r="W520" i="59"/>
  <c r="S520" i="59"/>
  <c r="X520" i="59"/>
  <c r="U520" i="59"/>
  <c r="T520" i="59"/>
  <c r="K926" i="59"/>
  <c r="X792" i="59"/>
  <c r="W792" i="59"/>
  <c r="U792" i="59"/>
  <c r="T792" i="59"/>
  <c r="S792" i="59"/>
  <c r="T444" i="59"/>
  <c r="S444" i="59"/>
  <c r="X444" i="59"/>
  <c r="W444" i="59"/>
  <c r="U444" i="59"/>
  <c r="X601" i="59"/>
  <c r="W601" i="59"/>
  <c r="T601" i="59"/>
  <c r="S601" i="59"/>
  <c r="U601" i="59"/>
  <c r="K473" i="59"/>
  <c r="U938" i="59"/>
  <c r="T938" i="59"/>
  <c r="S938" i="59"/>
  <c r="X938" i="59"/>
  <c r="W938" i="59"/>
  <c r="S435" i="59"/>
  <c r="X435" i="59"/>
  <c r="W435" i="59"/>
  <c r="U435" i="59"/>
  <c r="T435" i="59"/>
  <c r="W937" i="59"/>
  <c r="U937" i="59"/>
  <c r="T937" i="59"/>
  <c r="S937" i="59"/>
  <c r="X937" i="59"/>
  <c r="K856" i="59"/>
  <c r="X365" i="59"/>
  <c r="U365" i="59"/>
  <c r="T365" i="59"/>
  <c r="S365" i="59"/>
  <c r="W365" i="59"/>
  <c r="K433" i="59"/>
  <c r="K443" i="59"/>
  <c r="K605" i="59"/>
  <c r="K927" i="59"/>
  <c r="K666" i="59"/>
  <c r="K124" i="59"/>
  <c r="X928" i="59"/>
  <c r="W928" i="59"/>
  <c r="U928" i="59"/>
  <c r="T928" i="59"/>
  <c r="S928" i="59"/>
  <c r="K154" i="59"/>
  <c r="X545" i="59"/>
  <c r="U545" i="59"/>
  <c r="T545" i="59"/>
  <c r="S545" i="59"/>
  <c r="W545" i="59"/>
  <c r="K478" i="59"/>
  <c r="K196" i="59"/>
  <c r="K359" i="59"/>
  <c r="W213" i="59"/>
  <c r="U213" i="59"/>
  <c r="T213" i="59"/>
  <c r="S213" i="59"/>
  <c r="X213" i="59"/>
  <c r="K740" i="59"/>
  <c r="U978" i="59"/>
  <c r="W978" i="59"/>
  <c r="S978" i="59"/>
  <c r="X978" i="59"/>
  <c r="T978" i="59"/>
  <c r="K583" i="59"/>
  <c r="K518" i="59"/>
  <c r="K801" i="59"/>
  <c r="X614" i="59"/>
  <c r="W614" i="59"/>
  <c r="T614" i="59"/>
  <c r="S614" i="59"/>
  <c r="U614" i="59"/>
  <c r="W158" i="59"/>
  <c r="U158" i="59"/>
  <c r="T158" i="59"/>
  <c r="S158" i="59"/>
  <c r="X158" i="59"/>
  <c r="K101" i="59"/>
  <c r="K913" i="59"/>
  <c r="K749" i="59"/>
  <c r="K110" i="59"/>
  <c r="K949" i="59"/>
  <c r="K699" i="59"/>
  <c r="T363" i="59"/>
  <c r="X363" i="59"/>
  <c r="W363" i="59"/>
  <c r="U363" i="59"/>
  <c r="S363" i="59"/>
  <c r="U970" i="59"/>
  <c r="S970" i="59"/>
  <c r="X970" i="59"/>
  <c r="W970" i="59"/>
  <c r="T970" i="59"/>
  <c r="X565" i="59"/>
  <c r="W565" i="59"/>
  <c r="T565" i="59"/>
  <c r="S565" i="59"/>
  <c r="U565" i="59"/>
  <c r="K442" i="59"/>
  <c r="U356" i="59"/>
  <c r="T356" i="59"/>
  <c r="W356" i="59"/>
  <c r="S356" i="59"/>
  <c r="X356" i="59"/>
  <c r="X339" i="59"/>
  <c r="W339" i="59"/>
  <c r="U339" i="59"/>
  <c r="T339" i="59"/>
  <c r="S339" i="59"/>
  <c r="X470" i="59"/>
  <c r="W470" i="59"/>
  <c r="U470" i="59"/>
  <c r="T470" i="59"/>
  <c r="S470" i="59"/>
  <c r="K990" i="59"/>
  <c r="K576" i="59"/>
  <c r="K476" i="59"/>
  <c r="K43" i="59"/>
  <c r="K995" i="59"/>
  <c r="W969" i="59"/>
  <c r="U969" i="59"/>
  <c r="S969" i="59"/>
  <c r="X969" i="59"/>
  <c r="T969" i="59"/>
  <c r="T553" i="59"/>
  <c r="X553" i="59"/>
  <c r="U553" i="59"/>
  <c r="W553" i="59"/>
  <c r="S553" i="59"/>
  <c r="U686" i="59"/>
  <c r="T686" i="59"/>
  <c r="S686" i="59"/>
  <c r="W686" i="59"/>
  <c r="X686" i="59"/>
  <c r="W18" i="59"/>
  <c r="U18" i="59"/>
  <c r="T18" i="59"/>
  <c r="S18" i="59"/>
  <c r="X18" i="59"/>
  <c r="K357" i="59"/>
  <c r="X259" i="59"/>
  <c r="W259" i="59"/>
  <c r="S259" i="59"/>
  <c r="U259" i="59"/>
  <c r="T259" i="59"/>
  <c r="K297" i="59"/>
  <c r="K958" i="59"/>
  <c r="W977" i="59"/>
  <c r="X977" i="59"/>
  <c r="U977" i="59"/>
  <c r="T977" i="59"/>
  <c r="S977" i="59"/>
  <c r="S805" i="59"/>
  <c r="W805" i="59"/>
  <c r="U805" i="59"/>
  <c r="T805" i="59"/>
  <c r="X805" i="59"/>
  <c r="W830" i="59"/>
  <c r="U830" i="59"/>
  <c r="S830" i="59"/>
  <c r="X830" i="59"/>
  <c r="T830" i="59"/>
  <c r="U941" i="59"/>
  <c r="X941" i="59"/>
  <c r="W941" i="59"/>
  <c r="T941" i="59"/>
  <c r="S941" i="59"/>
  <c r="X997" i="59"/>
  <c r="U997" i="59"/>
  <c r="T997" i="59"/>
  <c r="S997" i="59"/>
  <c r="W997" i="59"/>
  <c r="K204" i="59"/>
  <c r="K661" i="59"/>
  <c r="U984" i="59"/>
  <c r="W984" i="59"/>
  <c r="S984" i="59"/>
  <c r="X984" i="59"/>
  <c r="T984" i="59"/>
  <c r="K248" i="59"/>
  <c r="K280" i="59"/>
  <c r="K936" i="59"/>
  <c r="X988" i="59"/>
  <c r="U988" i="59"/>
  <c r="T988" i="59"/>
  <c r="S988" i="59"/>
  <c r="W988" i="59"/>
  <c r="X345" i="59"/>
  <c r="W345" i="59"/>
  <c r="U345" i="59"/>
  <c r="T345" i="59"/>
  <c r="S345" i="59"/>
  <c r="W756" i="59"/>
  <c r="T756" i="59"/>
  <c r="X756" i="59"/>
  <c r="U756" i="59"/>
  <c r="S756" i="59"/>
  <c r="K743" i="59"/>
  <c r="W813" i="59"/>
  <c r="S813" i="59"/>
  <c r="T813" i="59"/>
  <c r="X813" i="59"/>
  <c r="U813" i="59"/>
  <c r="U973" i="59"/>
  <c r="S973" i="59"/>
  <c r="X973" i="59"/>
  <c r="W973" i="59"/>
  <c r="T973" i="59"/>
  <c r="K684" i="59"/>
  <c r="U438" i="59"/>
  <c r="T438" i="59"/>
  <c r="W438" i="59"/>
  <c r="S438" i="59"/>
  <c r="X438" i="59"/>
  <c r="K633" i="59"/>
  <c r="T598" i="59"/>
  <c r="S598" i="59"/>
  <c r="X598" i="59"/>
  <c r="U598" i="59"/>
  <c r="W598" i="59"/>
  <c r="K18" i="59"/>
  <c r="K658" i="59"/>
  <c r="K935" i="59"/>
  <c r="K830" i="59"/>
  <c r="W726" i="59"/>
  <c r="T726" i="59"/>
  <c r="S726" i="59"/>
  <c r="X726" i="59"/>
  <c r="U726" i="59"/>
  <c r="K984" i="59"/>
  <c r="S976" i="59"/>
  <c r="U976" i="59"/>
  <c r="T976" i="59"/>
  <c r="X976" i="59"/>
  <c r="W976" i="59"/>
  <c r="X915" i="59"/>
  <c r="W915" i="59"/>
  <c r="U915" i="59"/>
  <c r="T915" i="59"/>
  <c r="S915" i="59"/>
  <c r="X9" i="59"/>
  <c r="T9" i="59"/>
  <c r="W9" i="59"/>
  <c r="S9" i="59"/>
  <c r="U9" i="59"/>
  <c r="S477" i="59"/>
  <c r="X477" i="59"/>
  <c r="W477" i="59"/>
  <c r="U477" i="59"/>
  <c r="T477" i="59"/>
  <c r="W981" i="59"/>
  <c r="X981" i="59"/>
  <c r="U981" i="59"/>
  <c r="T981" i="59"/>
  <c r="S981" i="59"/>
  <c r="K402" i="59"/>
  <c r="K634" i="59"/>
  <c r="T433" i="59"/>
  <c r="U433" i="59"/>
  <c r="S433" i="59"/>
  <c r="X433" i="59"/>
  <c r="W433" i="59"/>
  <c r="X355" i="59"/>
  <c r="W355" i="59"/>
  <c r="T355" i="59"/>
  <c r="S355" i="59"/>
  <c r="U355" i="59"/>
  <c r="T666" i="59"/>
  <c r="X666" i="59"/>
  <c r="W666" i="59"/>
  <c r="U666" i="59"/>
  <c r="S666" i="59"/>
  <c r="U946" i="59"/>
  <c r="X946" i="59"/>
  <c r="W946" i="59"/>
  <c r="T946" i="59"/>
  <c r="S946" i="59"/>
  <c r="K989" i="59"/>
  <c r="S98" i="59"/>
  <c r="X98" i="59"/>
  <c r="W98" i="59"/>
  <c r="U98" i="59"/>
  <c r="T98" i="59"/>
  <c r="S195" i="59"/>
  <c r="X195" i="59"/>
  <c r="W195" i="59"/>
  <c r="T195" i="59"/>
  <c r="U195" i="59"/>
  <c r="K910" i="59"/>
  <c r="T478" i="59"/>
  <c r="W478" i="59"/>
  <c r="U478" i="59"/>
  <c r="X478" i="59"/>
  <c r="S478" i="59"/>
  <c r="W667" i="59"/>
  <c r="U667" i="59"/>
  <c r="S667" i="59"/>
  <c r="X667" i="59"/>
  <c r="T667" i="59"/>
  <c r="U196" i="59"/>
  <c r="T196" i="59"/>
  <c r="X196" i="59"/>
  <c r="W196" i="59"/>
  <c r="S196" i="59"/>
  <c r="K584" i="59"/>
  <c r="X804" i="59"/>
  <c r="W804" i="59"/>
  <c r="U804" i="59"/>
  <c r="T804" i="59"/>
  <c r="S804" i="59"/>
  <c r="K158" i="59"/>
  <c r="K821" i="59"/>
  <c r="X914" i="59"/>
  <c r="W914" i="59"/>
  <c r="U914" i="59"/>
  <c r="T914" i="59"/>
  <c r="S914" i="59"/>
  <c r="K909" i="59"/>
  <c r="K986" i="59"/>
  <c r="X996" i="59"/>
  <c r="W996" i="59"/>
  <c r="U996" i="59"/>
  <c r="S996" i="59"/>
  <c r="T996" i="59"/>
  <c r="X887" i="59"/>
  <c r="U887" i="59"/>
  <c r="W887" i="59"/>
  <c r="T887" i="59"/>
  <c r="S887" i="59"/>
  <c r="K14" i="59"/>
  <c r="T648" i="59"/>
  <c r="X648" i="59"/>
  <c r="U648" i="59"/>
  <c r="W648" i="59"/>
  <c r="S648" i="59"/>
  <c r="U856" i="59"/>
  <c r="T856" i="59"/>
  <c r="S856" i="59"/>
  <c r="X856" i="59"/>
  <c r="W856" i="59"/>
  <c r="K76" i="59"/>
  <c r="K401" i="59"/>
  <c r="U154" i="59"/>
  <c r="T154" i="59"/>
  <c r="S154" i="59"/>
  <c r="X154" i="59"/>
  <c r="W154" i="59"/>
  <c r="T986" i="59"/>
  <c r="U986" i="59"/>
  <c r="X986" i="59"/>
  <c r="W986" i="59"/>
  <c r="S986" i="59"/>
  <c r="S891" i="59"/>
  <c r="X891" i="59"/>
  <c r="W891" i="59"/>
  <c r="U891" i="59"/>
  <c r="T891" i="59"/>
  <c r="W783" i="59"/>
  <c r="U783" i="59"/>
  <c r="S783" i="59"/>
  <c r="X783" i="59"/>
  <c r="T783" i="59"/>
  <c r="X124" i="59"/>
  <c r="W124" i="59"/>
  <c r="U124" i="59"/>
  <c r="T124" i="59"/>
  <c r="S124" i="59"/>
  <c r="X159" i="59"/>
  <c r="T159" i="59"/>
  <c r="W159" i="59"/>
  <c r="U159" i="59"/>
  <c r="S159" i="59"/>
  <c r="X572" i="59"/>
  <c r="U572" i="59"/>
  <c r="T572" i="59"/>
  <c r="W572" i="59"/>
  <c r="S572" i="59"/>
  <c r="K736" i="59"/>
  <c r="K939" i="59"/>
  <c r="K961" i="59"/>
  <c r="T680" i="59"/>
  <c r="S680" i="59"/>
  <c r="X680" i="59"/>
  <c r="W680" i="59"/>
  <c r="U680" i="59"/>
  <c r="K229" i="59"/>
  <c r="S716" i="59"/>
  <c r="X716" i="59"/>
  <c r="W716" i="59"/>
  <c r="U716" i="59"/>
  <c r="T716" i="59"/>
  <c r="K177" i="59"/>
  <c r="K998" i="59"/>
  <c r="K943" i="59"/>
  <c r="K45" i="59"/>
  <c r="K166" i="59"/>
  <c r="K952" i="59"/>
  <c r="U926" i="59"/>
  <c r="X926" i="59"/>
  <c r="W926" i="59"/>
  <c r="T926" i="59"/>
  <c r="S926" i="59"/>
  <c r="K849" i="59"/>
  <c r="K395" i="59"/>
  <c r="K891" i="59"/>
  <c r="K361" i="59"/>
  <c r="K694" i="59"/>
  <c r="K648" i="59"/>
  <c r="K845" i="59"/>
  <c r="X605" i="59"/>
  <c r="W605" i="59"/>
  <c r="U605" i="59"/>
  <c r="T605" i="59"/>
  <c r="S605" i="59"/>
  <c r="S927" i="59"/>
  <c r="X927" i="59"/>
  <c r="W927" i="59"/>
  <c r="U927" i="59"/>
  <c r="T927" i="59"/>
  <c r="S439" i="59"/>
  <c r="X439" i="59"/>
  <c r="U439" i="59"/>
  <c r="T439" i="59"/>
  <c r="W439" i="59"/>
  <c r="K862" i="59"/>
  <c r="X985" i="59"/>
  <c r="S985" i="59"/>
  <c r="U985" i="59"/>
  <c r="T985" i="59"/>
  <c r="W985" i="59"/>
  <c r="K159" i="59"/>
  <c r="K129" i="59"/>
  <c r="K403" i="59"/>
  <c r="X736" i="59"/>
  <c r="W736" i="59"/>
  <c r="U736" i="59"/>
  <c r="T736" i="59"/>
  <c r="S736" i="59"/>
  <c r="K957" i="59"/>
  <c r="T519" i="59"/>
  <c r="X519" i="59"/>
  <c r="U519" i="59"/>
  <c r="W519" i="59"/>
  <c r="S519" i="59"/>
  <c r="K272" i="59"/>
  <c r="T181" i="59"/>
  <c r="S181" i="59"/>
  <c r="X181" i="59"/>
  <c r="W181" i="59"/>
  <c r="U181" i="59"/>
  <c r="K169" i="59"/>
  <c r="K354" i="59"/>
  <c r="W924" i="59"/>
  <c r="T924" i="59"/>
  <c r="X924" i="59"/>
  <c r="U924" i="59"/>
  <c r="S924" i="59"/>
  <c r="K916" i="59"/>
  <c r="T825" i="59"/>
  <c r="X825" i="59"/>
  <c r="U825" i="59"/>
  <c r="W825" i="59"/>
  <c r="S825" i="59"/>
  <c r="K861" i="59"/>
  <c r="T564" i="59"/>
  <c r="X564" i="59"/>
  <c r="U564" i="59"/>
  <c r="W564" i="59"/>
  <c r="S564" i="59"/>
  <c r="S10" i="59"/>
  <c r="X10" i="59"/>
  <c r="U10" i="59"/>
  <c r="T10" i="59"/>
  <c r="W10" i="59"/>
  <c r="U954" i="59"/>
  <c r="S954" i="59"/>
  <c r="X954" i="59"/>
  <c r="W954" i="59"/>
  <c r="T954" i="59"/>
  <c r="W222" i="59"/>
  <c r="U222" i="59"/>
  <c r="T222" i="59"/>
  <c r="S222" i="59"/>
  <c r="X222" i="59"/>
  <c r="K469" i="59"/>
  <c r="W749" i="59"/>
  <c r="U749" i="59"/>
  <c r="T749" i="59"/>
  <c r="S749" i="59"/>
  <c r="X749" i="59"/>
  <c r="X699" i="59"/>
  <c r="W699" i="59"/>
  <c r="U699" i="59"/>
  <c r="T699" i="59"/>
  <c r="S699" i="59"/>
  <c r="K868" i="59"/>
  <c r="K36" i="59"/>
  <c r="X283" i="59"/>
  <c r="W283" i="59"/>
  <c r="U283" i="59"/>
  <c r="S283" i="59"/>
  <c r="T283" i="59"/>
  <c r="X69" i="59"/>
  <c r="W69" i="59"/>
  <c r="U69" i="59"/>
  <c r="T69" i="59"/>
  <c r="S69" i="59"/>
  <c r="U727" i="59"/>
  <c r="X727" i="59"/>
  <c r="W727" i="59"/>
  <c r="T727" i="59"/>
  <c r="S727" i="59"/>
  <c r="X43" i="59"/>
  <c r="W43" i="59"/>
  <c r="U43" i="59"/>
  <c r="T43" i="59"/>
  <c r="S43" i="59"/>
  <c r="S516" i="59"/>
  <c r="W516" i="59"/>
  <c r="U516" i="59"/>
  <c r="T516" i="59"/>
  <c r="X516" i="59"/>
  <c r="K959" i="59"/>
  <c r="K994" i="59"/>
  <c r="K324" i="59"/>
  <c r="K257" i="59"/>
  <c r="W958" i="59"/>
  <c r="U958" i="59"/>
  <c r="T958" i="59"/>
  <c r="S958" i="59"/>
  <c r="X958" i="59"/>
  <c r="W642" i="59"/>
  <c r="X642" i="59"/>
  <c r="U642" i="59"/>
  <c r="S642" i="59"/>
  <c r="T642" i="59"/>
  <c r="K992" i="59"/>
  <c r="K960" i="59"/>
  <c r="K760" i="59"/>
  <c r="K367" i="59"/>
  <c r="U472" i="59"/>
  <c r="T472" i="59"/>
  <c r="S472" i="59"/>
  <c r="X472" i="59"/>
  <c r="W472" i="59"/>
  <c r="W212" i="59"/>
  <c r="U212" i="59"/>
  <c r="T212" i="59"/>
  <c r="S212" i="59"/>
  <c r="X212" i="59"/>
  <c r="S248" i="59"/>
  <c r="X248" i="59"/>
  <c r="W248" i="59"/>
  <c r="U248" i="59"/>
  <c r="T248" i="59"/>
  <c r="X280" i="59"/>
  <c r="W280" i="59"/>
  <c r="U280" i="59"/>
  <c r="T280" i="59"/>
  <c r="S280" i="59"/>
  <c r="X936" i="59"/>
  <c r="W936" i="59"/>
  <c r="U936" i="59"/>
  <c r="T936" i="59"/>
  <c r="S936" i="59"/>
  <c r="K968" i="59"/>
  <c r="K615" i="59"/>
  <c r="K287" i="59"/>
  <c r="U233" i="59"/>
  <c r="T233" i="59"/>
  <c r="S233" i="59"/>
  <c r="X233" i="59"/>
  <c r="W233" i="59"/>
  <c r="K364" i="59"/>
  <c r="K470" i="59"/>
  <c r="K700" i="59"/>
  <c r="S748" i="59"/>
  <c r="X748" i="59"/>
  <c r="T748" i="59"/>
  <c r="W748" i="59"/>
  <c r="U748" i="59"/>
  <c r="K734" i="59"/>
  <c r="T350" i="59"/>
  <c r="W350" i="59"/>
  <c r="U350" i="59"/>
  <c r="S350" i="59"/>
  <c r="X350" i="59"/>
  <c r="K969" i="59"/>
  <c r="K553" i="59"/>
  <c r="S221" i="59"/>
  <c r="X221" i="59"/>
  <c r="W221" i="59"/>
  <c r="U221" i="59"/>
  <c r="T221" i="59"/>
  <c r="K80" i="59"/>
  <c r="X324" i="59"/>
  <c r="W324" i="59"/>
  <c r="U324" i="59"/>
  <c r="T324" i="59"/>
  <c r="S324" i="59"/>
  <c r="X658" i="59"/>
  <c r="U658" i="59"/>
  <c r="T658" i="59"/>
  <c r="W658" i="59"/>
  <c r="S658" i="59"/>
  <c r="K259" i="59"/>
  <c r="K805" i="59"/>
  <c r="K366" i="59"/>
  <c r="K988" i="59"/>
  <c r="K404" i="59"/>
  <c r="K756" i="59"/>
  <c r="K103" i="59"/>
  <c r="W968" i="59"/>
  <c r="U968" i="59"/>
  <c r="T968" i="59"/>
  <c r="S968" i="59"/>
  <c r="X968" i="59"/>
  <c r="K314" i="59"/>
  <c r="X615" i="59"/>
  <c r="W615" i="59"/>
  <c r="U615" i="59"/>
  <c r="T615" i="59"/>
  <c r="S615" i="59"/>
  <c r="U287" i="59"/>
  <c r="T287" i="59"/>
  <c r="S287" i="59"/>
  <c r="X287" i="59"/>
  <c r="W287" i="59"/>
  <c r="K813" i="59"/>
  <c r="K973" i="59"/>
  <c r="U79" i="59"/>
  <c r="T79" i="59"/>
  <c r="S79" i="59"/>
  <c r="X79" i="59"/>
  <c r="W79" i="59"/>
  <c r="W982" i="59"/>
  <c r="S982" i="59"/>
  <c r="X982" i="59"/>
  <c r="U982" i="59"/>
  <c r="T982" i="59"/>
  <c r="S961" i="59"/>
  <c r="X961" i="59"/>
  <c r="W961" i="59"/>
  <c r="U961" i="59"/>
  <c r="T961" i="59"/>
  <c r="K931" i="59"/>
  <c r="K855" i="59"/>
  <c r="K938" i="59"/>
  <c r="U770" i="59"/>
  <c r="X770" i="59"/>
  <c r="W770" i="59"/>
  <c r="T770" i="59"/>
  <c r="S770" i="59"/>
  <c r="S402" i="59"/>
  <c r="X402" i="59"/>
  <c r="W402" i="59"/>
  <c r="U402" i="59"/>
  <c r="T402" i="59"/>
  <c r="T14" i="59"/>
  <c r="X14" i="59"/>
  <c r="S14" i="59"/>
  <c r="W14" i="59"/>
  <c r="U14" i="59"/>
  <c r="X128" i="59"/>
  <c r="W128" i="59"/>
  <c r="U128" i="59"/>
  <c r="T128" i="59"/>
  <c r="S128" i="59"/>
  <c r="K783" i="59"/>
  <c r="T876" i="59"/>
  <c r="X876" i="59"/>
  <c r="W876" i="59"/>
  <c r="U876" i="59"/>
  <c r="S876" i="59"/>
  <c r="K985" i="59"/>
  <c r="W129" i="59"/>
  <c r="U129" i="59"/>
  <c r="T129" i="59"/>
  <c r="S129" i="59"/>
  <c r="X129" i="59"/>
  <c r="K780" i="59"/>
  <c r="X989" i="59"/>
  <c r="S989" i="59"/>
  <c r="U989" i="59"/>
  <c r="W989" i="59"/>
  <c r="T989" i="59"/>
  <c r="U272" i="59"/>
  <c r="T272" i="59"/>
  <c r="X272" i="59"/>
  <c r="W272" i="59"/>
  <c r="S272" i="59"/>
  <c r="U190" i="59"/>
  <c r="W190" i="59"/>
  <c r="T190" i="59"/>
  <c r="S190" i="59"/>
  <c r="X190" i="59"/>
  <c r="T990" i="59"/>
  <c r="S990" i="59"/>
  <c r="X990" i="59"/>
  <c r="W990" i="59"/>
  <c r="U990" i="59"/>
  <c r="K768" i="59"/>
  <c r="X360" i="59"/>
  <c r="U360" i="59"/>
  <c r="T360" i="59"/>
  <c r="W360" i="59"/>
  <c r="S360" i="59"/>
  <c r="K69" i="59"/>
  <c r="U476" i="59"/>
  <c r="T476" i="59"/>
  <c r="S476" i="59"/>
  <c r="X476" i="59"/>
  <c r="W476" i="59"/>
  <c r="K343" i="59"/>
  <c r="K748" i="59"/>
  <c r="K727" i="59"/>
  <c r="X298" i="59"/>
  <c r="W298" i="59"/>
  <c r="U298" i="59"/>
  <c r="S298" i="59"/>
  <c r="T298" i="59"/>
  <c r="K350" i="59"/>
  <c r="K221" i="59"/>
  <c r="U220" i="59"/>
  <c r="S220" i="59"/>
  <c r="X220" i="59"/>
  <c r="W220" i="59"/>
  <c r="T220" i="59"/>
  <c r="U606" i="59"/>
  <c r="T606" i="59"/>
  <c r="S606" i="59"/>
  <c r="X606" i="59"/>
  <c r="W606" i="59"/>
  <c r="K642" i="59"/>
  <c r="X923" i="59"/>
  <c r="W923" i="59"/>
  <c r="U923" i="59"/>
  <c r="T923" i="59"/>
  <c r="S923" i="59"/>
  <c r="S763" i="59"/>
  <c r="X763" i="59"/>
  <c r="T763" i="59"/>
  <c r="W763" i="59"/>
  <c r="U763" i="59"/>
  <c r="K941" i="59"/>
  <c r="W945" i="59"/>
  <c r="U945" i="59"/>
  <c r="T945" i="59"/>
  <c r="S945" i="59"/>
  <c r="X945" i="59"/>
  <c r="K964" i="59"/>
  <c r="X993" i="59"/>
  <c r="S993" i="59"/>
  <c r="W993" i="59"/>
  <c r="U993" i="59"/>
  <c r="T993" i="59"/>
  <c r="K212" i="59"/>
  <c r="U908" i="59"/>
  <c r="S908" i="59"/>
  <c r="W908" i="59"/>
  <c r="X908" i="59"/>
  <c r="T908" i="59"/>
  <c r="X920" i="59"/>
  <c r="W920" i="59"/>
  <c r="U920" i="59"/>
  <c r="T920" i="59"/>
  <c r="S920" i="59"/>
  <c r="K118" i="59"/>
  <c r="U95" i="59"/>
  <c r="T95" i="59"/>
  <c r="S95" i="59"/>
  <c r="X95" i="59"/>
  <c r="W95" i="59"/>
  <c r="X556" i="59"/>
  <c r="W556" i="59"/>
  <c r="T556" i="59"/>
  <c r="S556" i="59"/>
  <c r="U556" i="59"/>
  <c r="K982" i="59"/>
  <c r="T861" i="59"/>
  <c r="S861" i="59"/>
  <c r="X861" i="59"/>
  <c r="W861" i="59"/>
  <c r="U861" i="59"/>
  <c r="K834" i="59"/>
  <c r="U715" i="59"/>
  <c r="T715" i="59"/>
  <c r="S715" i="59"/>
  <c r="X715" i="59"/>
  <c r="W715" i="59"/>
  <c r="K515" i="59"/>
  <c r="X101" i="59"/>
  <c r="W101" i="59"/>
  <c r="U101" i="59"/>
  <c r="T101" i="59"/>
  <c r="S101" i="59"/>
  <c r="K330" i="59"/>
  <c r="X436" i="59"/>
  <c r="S436" i="59"/>
  <c r="W436" i="59"/>
  <c r="U436" i="59"/>
  <c r="T436" i="59"/>
  <c r="W949" i="59"/>
  <c r="S949" i="59"/>
  <c r="X949" i="59"/>
  <c r="U949" i="59"/>
  <c r="T949" i="59"/>
  <c r="X474" i="59"/>
  <c r="W474" i="59"/>
  <c r="U474" i="59"/>
  <c r="T474" i="59"/>
  <c r="S474" i="59"/>
  <c r="U868" i="59"/>
  <c r="T868" i="59"/>
  <c r="S868" i="59"/>
  <c r="X868" i="59"/>
  <c r="W868" i="59"/>
  <c r="W442" i="59"/>
  <c r="U442" i="59"/>
  <c r="T442" i="59"/>
  <c r="S442" i="59"/>
  <c r="X442" i="59"/>
  <c r="W956" i="59"/>
  <c r="T956" i="59"/>
  <c r="S956" i="59"/>
  <c r="X956" i="59"/>
  <c r="U956" i="59"/>
  <c r="K87" i="59"/>
  <c r="W400" i="59"/>
  <c r="U400" i="59"/>
  <c r="T400" i="59"/>
  <c r="S400" i="59"/>
  <c r="X400" i="59"/>
  <c r="K613" i="59"/>
  <c r="T768" i="59"/>
  <c r="S768" i="59"/>
  <c r="X768" i="59"/>
  <c r="W768" i="59"/>
  <c r="U768" i="59"/>
  <c r="U817" i="59"/>
  <c r="T817" i="59"/>
  <c r="X817" i="59"/>
  <c r="W817" i="59"/>
  <c r="S817" i="59"/>
  <c r="T576" i="59"/>
  <c r="S576" i="59"/>
  <c r="X576" i="59"/>
  <c r="U576" i="59"/>
  <c r="W576" i="59"/>
  <c r="X343" i="59"/>
  <c r="W343" i="59"/>
  <c r="U343" i="59"/>
  <c r="T343" i="59"/>
  <c r="S343" i="59"/>
  <c r="K438" i="59"/>
  <c r="T995" i="59"/>
  <c r="W995" i="59"/>
  <c r="X995" i="59"/>
  <c r="U995" i="59"/>
  <c r="S995" i="59"/>
  <c r="T994" i="59"/>
  <c r="S994" i="59"/>
  <c r="X994" i="59"/>
  <c r="W994" i="59"/>
  <c r="U994" i="59"/>
  <c r="S546" i="59"/>
  <c r="X546" i="59"/>
  <c r="W546" i="59"/>
  <c r="T546" i="59"/>
  <c r="U546" i="59"/>
  <c r="K220" i="59"/>
  <c r="X357" i="59"/>
  <c r="T357" i="59"/>
  <c r="S357" i="59"/>
  <c r="W357" i="59"/>
  <c r="U357" i="59"/>
  <c r="K912" i="59"/>
  <c r="K254" i="59"/>
  <c r="T297" i="59"/>
  <c r="X297" i="59"/>
  <c r="W297" i="59"/>
  <c r="U297" i="59"/>
  <c r="S297" i="59"/>
  <c r="K517" i="59"/>
  <c r="K125" i="59"/>
  <c r="K593" i="59"/>
  <c r="X440" i="59"/>
  <c r="W440" i="59"/>
  <c r="U440" i="59"/>
  <c r="T440" i="59"/>
  <c r="S440" i="59"/>
  <c r="X258" i="59"/>
  <c r="U258" i="59"/>
  <c r="W258" i="59"/>
  <c r="T258" i="59"/>
  <c r="S258" i="59"/>
  <c r="S661" i="59"/>
  <c r="W661" i="59"/>
  <c r="U661" i="59"/>
  <c r="T661" i="59"/>
  <c r="X661" i="59"/>
  <c r="X337" i="59"/>
  <c r="W337" i="59"/>
  <c r="U337" i="59"/>
  <c r="T337" i="59"/>
  <c r="S337" i="59"/>
  <c r="K993" i="59"/>
  <c r="K472" i="59"/>
  <c r="K920" i="59"/>
  <c r="K358" i="59"/>
  <c r="W118" i="59"/>
  <c r="U118" i="59"/>
  <c r="T118" i="59"/>
  <c r="S118" i="59"/>
  <c r="X118" i="59"/>
  <c r="K929" i="59"/>
  <c r="K233" i="59"/>
  <c r="K237" i="59"/>
  <c r="X583" i="59"/>
  <c r="W583" i="59"/>
  <c r="T583" i="59"/>
  <c r="S583" i="59"/>
  <c r="U583" i="59"/>
  <c r="S518" i="59"/>
  <c r="W518" i="59"/>
  <c r="X518" i="59"/>
  <c r="U518" i="59"/>
  <c r="T518" i="59"/>
  <c r="X801" i="59"/>
  <c r="W801" i="59"/>
  <c r="U801" i="59"/>
  <c r="T801" i="59"/>
  <c r="S801" i="59"/>
  <c r="K954" i="59"/>
  <c r="K769" i="59"/>
  <c r="K434" i="59"/>
  <c r="S208" i="59"/>
  <c r="X208" i="59"/>
  <c r="W208" i="59"/>
  <c r="U208" i="59"/>
  <c r="T208" i="59"/>
  <c r="W469" i="59"/>
  <c r="T469" i="59"/>
  <c r="X469" i="59"/>
  <c r="U469" i="59"/>
  <c r="S469" i="59"/>
  <c r="U330" i="59"/>
  <c r="T330" i="59"/>
  <c r="S330" i="59"/>
  <c r="X330" i="59"/>
  <c r="W330" i="59"/>
  <c r="K311" i="59"/>
  <c r="K474" i="59"/>
  <c r="K441" i="59"/>
  <c r="K944" i="59"/>
  <c r="K319" i="59"/>
  <c r="K817" i="59"/>
  <c r="K723" i="59"/>
  <c r="K298" i="59"/>
  <c r="W959" i="59"/>
  <c r="T959" i="59"/>
  <c r="X959" i="59"/>
  <c r="U959" i="59"/>
  <c r="S959" i="59"/>
  <c r="K546" i="59"/>
  <c r="K598" i="59"/>
  <c r="W257" i="59"/>
  <c r="X257" i="59"/>
  <c r="U257" i="59"/>
  <c r="T257" i="59"/>
  <c r="S257" i="59"/>
  <c r="U912" i="59"/>
  <c r="T912" i="59"/>
  <c r="S912" i="59"/>
  <c r="X912" i="59"/>
  <c r="W912" i="59"/>
  <c r="K273" i="59"/>
  <c r="W125" i="59"/>
  <c r="U125" i="59"/>
  <c r="T125" i="59"/>
  <c r="S125" i="59"/>
  <c r="X125" i="59"/>
  <c r="K563" i="59"/>
  <c r="U935" i="59"/>
  <c r="W935" i="59"/>
  <c r="X935" i="59"/>
  <c r="T935" i="59"/>
  <c r="S935" i="59"/>
  <c r="K763" i="59"/>
  <c r="K258" i="59"/>
  <c r="X992" i="59"/>
  <c r="U992" i="59"/>
  <c r="W992" i="59"/>
  <c r="T992" i="59"/>
  <c r="S992" i="59"/>
  <c r="U960" i="59"/>
  <c r="X960" i="59"/>
  <c r="W960" i="59"/>
  <c r="T960" i="59"/>
  <c r="S960" i="59"/>
  <c r="U760" i="59"/>
  <c r="X760" i="59"/>
  <c r="W760" i="59"/>
  <c r="T760" i="59"/>
  <c r="S760" i="59"/>
  <c r="K950" i="59"/>
  <c r="T367" i="59"/>
  <c r="X367" i="59"/>
  <c r="W367" i="59"/>
  <c r="U367" i="59"/>
  <c r="S367" i="59"/>
  <c r="K111" i="59"/>
  <c r="K726" i="59"/>
  <c r="T358" i="59"/>
  <c r="X358" i="59"/>
  <c r="W358" i="59"/>
  <c r="U358" i="59"/>
  <c r="S358" i="59"/>
  <c r="T314" i="59"/>
  <c r="S314" i="59"/>
  <c r="X314" i="59"/>
  <c r="W314" i="59"/>
  <c r="U314" i="59"/>
  <c r="U743" i="59"/>
  <c r="S743" i="59"/>
  <c r="X743" i="59"/>
  <c r="W743" i="59"/>
  <c r="T743" i="59"/>
  <c r="W684" i="59"/>
  <c r="U684" i="59"/>
  <c r="S684" i="59"/>
  <c r="X684" i="59"/>
  <c r="T684" i="59"/>
  <c r="K556" i="59"/>
  <c r="K79" i="59"/>
  <c r="T59" i="30"/>
  <c r="R59" i="30"/>
  <c r="S59" i="30"/>
  <c r="W59" i="30"/>
  <c r="BB59" i="30" s="1"/>
  <c r="V59" i="30"/>
  <c r="BC59" i="30"/>
  <c r="T51" i="30"/>
  <c r="V51" i="30"/>
  <c r="R51" i="30"/>
  <c r="W51" i="30"/>
  <c r="BB51" i="30" s="1"/>
  <c r="S51" i="30"/>
  <c r="BC51" i="30"/>
  <c r="BD51" i="30"/>
  <c r="BC52" i="30"/>
  <c r="T52" i="30"/>
  <c r="S52" i="30"/>
  <c r="W52" i="30"/>
  <c r="BB52" i="30" s="1"/>
  <c r="R52" i="30"/>
  <c r="V52" i="30"/>
  <c r="AP63" i="30"/>
  <c r="AQ63" i="30"/>
  <c r="AQ66" i="58"/>
  <c r="BC14" i="30"/>
  <c r="V14" i="30"/>
  <c r="T14" i="30"/>
  <c r="S14" i="30"/>
  <c r="R14" i="30"/>
  <c r="W14" i="30"/>
  <c r="BB14" i="30" s="1"/>
  <c r="AQ68" i="30"/>
  <c r="AQ58" i="30"/>
  <c r="BD58" i="30" s="1"/>
  <c r="AQ65" i="30"/>
  <c r="AQ64" i="30"/>
  <c r="AQ69" i="30"/>
  <c r="AQ61" i="30"/>
  <c r="S61" i="30"/>
  <c r="W61" i="30"/>
  <c r="BB61" i="30" s="1"/>
  <c r="R61" i="30"/>
  <c r="T61" i="30"/>
  <c r="V61" i="30"/>
  <c r="R69" i="30"/>
  <c r="S69" i="30"/>
  <c r="V69" i="30"/>
  <c r="W69" i="30"/>
  <c r="BB69" i="30" s="1"/>
  <c r="T69" i="30"/>
  <c r="R65" i="30"/>
  <c r="W65" i="30"/>
  <c r="BB65" i="30" s="1"/>
  <c r="S65" i="30"/>
  <c r="V65" i="30"/>
  <c r="T65" i="30"/>
  <c r="S63" i="30"/>
  <c r="R63" i="30"/>
  <c r="W63" i="30"/>
  <c r="BB63" i="30" s="1"/>
  <c r="T63" i="30"/>
  <c r="V63" i="30"/>
  <c r="T68" i="30"/>
  <c r="S68" i="30"/>
  <c r="V68" i="30"/>
  <c r="W68" i="30"/>
  <c r="BB68" i="30" s="1"/>
  <c r="R68" i="30"/>
  <c r="T62" i="30"/>
  <c r="V62" i="30"/>
  <c r="W62" i="30"/>
  <c r="BB62" i="30" s="1"/>
  <c r="R62" i="30"/>
  <c r="S62" i="30"/>
  <c r="T64" i="30"/>
  <c r="V64" i="30"/>
  <c r="S64" i="30"/>
  <c r="W64" i="30"/>
  <c r="BB64" i="30" s="1"/>
  <c r="R64" i="30"/>
  <c r="S67" i="30"/>
  <c r="W67" i="30"/>
  <c r="BB67" i="30" s="1"/>
  <c r="V67" i="30"/>
  <c r="R67" i="30"/>
  <c r="T67" i="30"/>
  <c r="V66" i="30"/>
  <c r="T66" i="30"/>
  <c r="W66" i="30"/>
  <c r="R66" i="30"/>
  <c r="S66" i="30"/>
  <c r="R60" i="30"/>
  <c r="T60" i="30"/>
  <c r="V60" i="30"/>
  <c r="W60" i="30"/>
  <c r="BB60" i="30" s="1"/>
  <c r="S60" i="30"/>
  <c r="CE11" i="49"/>
  <c r="AQ70" i="30"/>
  <c r="BD70" i="30" s="1"/>
  <c r="W70" i="30"/>
  <c r="S70" i="30"/>
  <c r="V70" i="30"/>
  <c r="T70" i="30"/>
  <c r="R70" i="30"/>
  <c r="BJ11" i="49"/>
  <c r="BB11" i="49"/>
  <c r="DG11" i="49"/>
  <c r="CJ11" i="49"/>
  <c r="P11" i="49"/>
  <c r="AL11" i="49"/>
  <c r="DO11" i="49"/>
  <c r="BV11" i="49"/>
  <c r="R5" i="30"/>
  <c r="R20" i="30"/>
  <c r="W56" i="30"/>
  <c r="V56" i="30"/>
  <c r="S56" i="30"/>
  <c r="T56" i="30"/>
  <c r="R56" i="30"/>
  <c r="S58" i="30"/>
  <c r="V58" i="30"/>
  <c r="R58" i="30"/>
  <c r="W58" i="30"/>
  <c r="BB58" i="30" s="1"/>
  <c r="T58" i="30"/>
  <c r="N11" i="49"/>
  <c r="BK11" i="49"/>
  <c r="Y11" i="49"/>
  <c r="AQ39" i="30"/>
  <c r="BD39" i="30" s="1"/>
  <c r="R39" i="30"/>
  <c r="T39" i="30"/>
  <c r="V39" i="30"/>
  <c r="W39" i="30"/>
  <c r="S39" i="30"/>
  <c r="R57" i="30"/>
  <c r="S57" i="30"/>
  <c r="T57" i="30"/>
  <c r="V57" i="30"/>
  <c r="W57" i="30"/>
  <c r="AQ54" i="30"/>
  <c r="BD54" i="30" s="1"/>
  <c r="AQ21" i="58"/>
  <c r="BD21" i="58" s="1"/>
  <c r="AQ53" i="30"/>
  <c r="AQ27" i="58"/>
  <c r="AQ46" i="30"/>
  <c r="AQ55" i="30"/>
  <c r="AQ45" i="30"/>
  <c r="R50" i="30"/>
  <c r="T50" i="30"/>
  <c r="S50" i="30"/>
  <c r="W50" i="30"/>
  <c r="BB50" i="30" s="1"/>
  <c r="V50" i="30"/>
  <c r="R41" i="30"/>
  <c r="T41" i="30"/>
  <c r="V41" i="30"/>
  <c r="W41" i="30"/>
  <c r="BB41" i="30" s="1"/>
  <c r="S41" i="30"/>
  <c r="R54" i="30"/>
  <c r="T54" i="30"/>
  <c r="V54" i="30"/>
  <c r="W54" i="30"/>
  <c r="BB54" i="30" s="1"/>
  <c r="S54" i="30"/>
  <c r="R49" i="30"/>
  <c r="T49" i="30"/>
  <c r="S49" i="30"/>
  <c r="V49" i="30"/>
  <c r="W49" i="30"/>
  <c r="BB49" i="30" s="1"/>
  <c r="T45" i="30"/>
  <c r="R45" i="30"/>
  <c r="W45" i="30"/>
  <c r="BB45" i="30" s="1"/>
  <c r="S45" i="30"/>
  <c r="V45" i="30"/>
  <c r="W43" i="30"/>
  <c r="BB43" i="30" s="1"/>
  <c r="T43" i="30"/>
  <c r="S43" i="30"/>
  <c r="R43" i="30"/>
  <c r="V43" i="30"/>
  <c r="W55" i="30"/>
  <c r="BB55" i="30" s="1"/>
  <c r="V55" i="30"/>
  <c r="R55" i="30"/>
  <c r="T55" i="30"/>
  <c r="S55" i="30"/>
  <c r="T47" i="30"/>
  <c r="W47" i="30"/>
  <c r="BB47" i="30" s="1"/>
  <c r="R47" i="30"/>
  <c r="S47" i="30"/>
  <c r="V47" i="30"/>
  <c r="R46" i="30"/>
  <c r="T46" i="30"/>
  <c r="W46" i="30"/>
  <c r="BB46" i="30" s="1"/>
  <c r="S46" i="30"/>
  <c r="V46" i="30"/>
  <c r="V48" i="30"/>
  <c r="R48" i="30"/>
  <c r="W48" i="30"/>
  <c r="BB48" i="30" s="1"/>
  <c r="S48" i="30"/>
  <c r="T48" i="30"/>
  <c r="S44" i="30"/>
  <c r="W44" i="30"/>
  <c r="BB44" i="30" s="1"/>
  <c r="R44" i="30"/>
  <c r="T44" i="30"/>
  <c r="V44" i="30"/>
  <c r="S53" i="30"/>
  <c r="T53" i="30"/>
  <c r="R53" i="30"/>
  <c r="V53" i="30"/>
  <c r="W53" i="30"/>
  <c r="BB53" i="30" s="1"/>
  <c r="V42" i="30"/>
  <c r="T42" i="30"/>
  <c r="S42" i="30"/>
  <c r="W42" i="30"/>
  <c r="BB42" i="30" s="1"/>
  <c r="R42" i="30"/>
  <c r="Z11" i="49"/>
  <c r="F11" i="49"/>
  <c r="C12" i="49"/>
  <c r="E12" i="49" s="1"/>
  <c r="C13" i="49" s="1"/>
  <c r="T11" i="49"/>
  <c r="AB11" i="49"/>
  <c r="BQ11" i="49"/>
  <c r="I11" i="49"/>
  <c r="DI11" i="49"/>
  <c r="DT11" i="49"/>
  <c r="DP11" i="49"/>
  <c r="DN11" i="49"/>
  <c r="CV11" i="49"/>
  <c r="BM11" i="49"/>
  <c r="DD11" i="49"/>
  <c r="DF11" i="49"/>
  <c r="AR11" i="49"/>
  <c r="CK11" i="49"/>
  <c r="AV11" i="49"/>
  <c r="BD11" i="49"/>
  <c r="CD11" i="49"/>
  <c r="CS11" i="49"/>
  <c r="H11" i="49"/>
  <c r="DL11" i="49"/>
  <c r="AJ11" i="49"/>
  <c r="AZ11" i="49"/>
  <c r="DA11" i="49"/>
  <c r="CM11" i="49"/>
  <c r="BI11" i="49"/>
  <c r="CG11" i="49"/>
  <c r="BX11" i="49"/>
  <c r="DE11" i="49"/>
  <c r="BN11" i="49"/>
  <c r="AP9" i="53"/>
  <c r="BC9" i="53" s="1"/>
  <c r="CY11" i="49"/>
  <c r="AH11" i="49"/>
  <c r="O11" i="49"/>
  <c r="DR11" i="49"/>
  <c r="Q11" i="49"/>
  <c r="BU11" i="49"/>
  <c r="AU11" i="49"/>
  <c r="CN11" i="49"/>
  <c r="AF11" i="49"/>
  <c r="BC11" i="49"/>
  <c r="AO11" i="49"/>
  <c r="BZ11" i="49"/>
  <c r="DC11" i="49"/>
  <c r="CA11" i="49"/>
  <c r="CU11" i="49"/>
  <c r="DH11" i="49"/>
  <c r="K11" i="49"/>
  <c r="CT11" i="49"/>
  <c r="AS11" i="49"/>
  <c r="BR11" i="49"/>
  <c r="AC11" i="49"/>
  <c r="BG11" i="49"/>
  <c r="AM11" i="49"/>
  <c r="BS11" i="49"/>
  <c r="BL11" i="49"/>
  <c r="AI11" i="49"/>
  <c r="BY11" i="49"/>
  <c r="V11" i="49"/>
  <c r="CQ11" i="49"/>
  <c r="W11" i="49"/>
  <c r="CH11" i="49"/>
  <c r="BA11" i="49"/>
  <c r="CL11" i="49"/>
  <c r="AA11" i="49"/>
  <c r="DQ11" i="49"/>
  <c r="CC11" i="49"/>
  <c r="CP11" i="49"/>
  <c r="BH11" i="49"/>
  <c r="BO11" i="49"/>
  <c r="L11" i="49"/>
  <c r="S11" i="49"/>
  <c r="CX11" i="49"/>
  <c r="AT11" i="49"/>
  <c r="X11" i="49"/>
  <c r="AK11" i="49"/>
  <c r="CB11" i="49"/>
  <c r="AD11" i="49"/>
  <c r="R11" i="49"/>
  <c r="AP11" i="49"/>
  <c r="J11" i="49"/>
  <c r="BT11" i="49"/>
  <c r="DJ11" i="49"/>
  <c r="G11" i="49"/>
  <c r="AQ11" i="49"/>
  <c r="CW11" i="49"/>
  <c r="BW11" i="49"/>
  <c r="DM11" i="49"/>
  <c r="CF11" i="49"/>
  <c r="BE11" i="49"/>
  <c r="AN11" i="49"/>
  <c r="CZ11" i="49"/>
  <c r="U11" i="49"/>
  <c r="BF11" i="49"/>
  <c r="AW11" i="49"/>
  <c r="AX11" i="49"/>
  <c r="DS11" i="49"/>
  <c r="AE11" i="49"/>
  <c r="BP11" i="49"/>
  <c r="CI11" i="49"/>
  <c r="AY11" i="49"/>
  <c r="M11" i="49"/>
  <c r="CO11" i="49"/>
  <c r="AG11" i="49"/>
  <c r="CR11" i="49"/>
  <c r="DB11" i="49"/>
  <c r="AQ38" i="30"/>
  <c r="BD38" i="30" s="1"/>
  <c r="AK42" i="30"/>
  <c r="AQ43" i="30"/>
  <c r="AK33" i="30"/>
  <c r="BC33" i="30" s="1"/>
  <c r="AQ44" i="30"/>
  <c r="AP44" i="30"/>
  <c r="AP43" i="30"/>
  <c r="AP33" i="30"/>
  <c r="AQ33" i="30"/>
  <c r="BD33" i="30" s="1"/>
  <c r="AK43" i="30"/>
  <c r="AQ42" i="30"/>
  <c r="AP42" i="30"/>
  <c r="BB9" i="53"/>
  <c r="R37" i="30"/>
  <c r="R18" i="30"/>
  <c r="R22" i="30"/>
  <c r="R17" i="30"/>
  <c r="R12" i="30"/>
  <c r="R21" i="30"/>
  <c r="R34" i="30"/>
  <c r="R40" i="30"/>
  <c r="BC38" i="30"/>
  <c r="T38" i="30"/>
  <c r="V38" i="30"/>
  <c r="W38" i="30"/>
  <c r="R38" i="30"/>
  <c r="S38" i="30"/>
  <c r="R28" i="30"/>
  <c r="R11" i="30"/>
  <c r="R19" i="30"/>
  <c r="R27" i="30"/>
  <c r="R36" i="30"/>
  <c r="R9" i="30"/>
  <c r="R30" i="30"/>
  <c r="R31" i="30"/>
  <c r="R10" i="30"/>
  <c r="R29" i="30"/>
  <c r="R7" i="30"/>
  <c r="R8" i="30"/>
  <c r="R15" i="30"/>
  <c r="R25" i="30"/>
  <c r="R24" i="30"/>
  <c r="R35" i="30"/>
  <c r="R33" i="30"/>
  <c r="R23" i="30"/>
  <c r="R32" i="30"/>
  <c r="R26" i="30"/>
  <c r="R16" i="30"/>
  <c r="R13" i="30"/>
  <c r="AP22" i="58"/>
  <c r="AQ32" i="58"/>
  <c r="AQ65" i="58"/>
  <c r="BD65" i="58" s="1"/>
  <c r="AQ25" i="58"/>
  <c r="BD25" i="58" s="1"/>
  <c r="BB8" i="53"/>
  <c r="BC10" i="53"/>
  <c r="BB10" i="53"/>
  <c r="BD6" i="58"/>
  <c r="BD15" i="58"/>
  <c r="BD67" i="58"/>
  <c r="BD50" i="58"/>
  <c r="BD40" i="58"/>
  <c r="BD45" i="58"/>
  <c r="BD12" i="58"/>
  <c r="BD9" i="58"/>
  <c r="BD68" i="58"/>
  <c r="BD42" i="58"/>
  <c r="BD35" i="58"/>
  <c r="BD64" i="58"/>
  <c r="BD28" i="58"/>
  <c r="BD10" i="58"/>
  <c r="BD26" i="58"/>
  <c r="AQ57" i="58"/>
  <c r="AQ70" i="58"/>
  <c r="BD70" i="58" s="1"/>
  <c r="AQ48" i="58"/>
  <c r="BD48" i="58" s="1"/>
  <c r="BD63" i="58"/>
  <c r="BD54" i="58"/>
  <c r="AQ22" i="58"/>
  <c r="AQ30" i="58"/>
  <c r="AQ16" i="58"/>
  <c r="AQ59" i="58"/>
  <c r="AQ36" i="58"/>
  <c r="AQ38" i="58"/>
  <c r="BD38" i="58" s="1"/>
  <c r="AQ5" i="58"/>
  <c r="AP48" i="58"/>
  <c r="AQ41" i="58"/>
  <c r="BD41" i="58" s="1"/>
  <c r="AQ69" i="58"/>
  <c r="BD69" i="58" s="1"/>
  <c r="AQ34" i="58"/>
  <c r="BD34" i="58" s="1"/>
  <c r="AQ43" i="58"/>
  <c r="BD43" i="58" s="1"/>
  <c r="AQ24" i="58"/>
  <c r="BD24" i="58" s="1"/>
  <c r="AQ17" i="58"/>
  <c r="BD17" i="58" s="1"/>
  <c r="AQ60" i="58"/>
  <c r="AQ51" i="58"/>
  <c r="AQ29" i="58"/>
  <c r="AQ31" i="58"/>
  <c r="BD31" i="58" s="1"/>
  <c r="AQ39" i="58"/>
  <c r="BD39" i="58" s="1"/>
  <c r="AQ8" i="58"/>
  <c r="AQ44" i="58"/>
  <c r="BD44" i="58" s="1"/>
  <c r="AQ11" i="58"/>
  <c r="BD11" i="58" s="1"/>
  <c r="AQ49" i="58"/>
  <c r="AQ62" i="58"/>
  <c r="AQ13" i="58"/>
  <c r="BD13" i="58" s="1"/>
  <c r="AP13" i="58"/>
  <c r="AQ33" i="58"/>
  <c r="BD33" i="58" s="1"/>
  <c r="AP47" i="58"/>
  <c r="J5" i="58"/>
  <c r="S23" i="58"/>
  <c r="R23" i="58"/>
  <c r="T23" i="58"/>
  <c r="V23" i="58"/>
  <c r="W23" i="58"/>
  <c r="R11" i="58"/>
  <c r="T11" i="58"/>
  <c r="V11" i="58"/>
  <c r="W11" i="58"/>
  <c r="S11" i="58"/>
  <c r="V55" i="58"/>
  <c r="W55" i="58"/>
  <c r="R55" i="58"/>
  <c r="T55" i="58"/>
  <c r="S55" i="58"/>
  <c r="J37" i="58"/>
  <c r="BC52" i="58"/>
  <c r="J21" i="58"/>
  <c r="J70" i="58"/>
  <c r="J22" i="58"/>
  <c r="BC44" i="58"/>
  <c r="J15" i="58"/>
  <c r="T63" i="58"/>
  <c r="S63" i="58"/>
  <c r="V63" i="58"/>
  <c r="R63" i="58"/>
  <c r="W63" i="58"/>
  <c r="V56" i="58"/>
  <c r="W56" i="58"/>
  <c r="R56" i="58"/>
  <c r="T56" i="58"/>
  <c r="S56" i="58"/>
  <c r="BC11" i="58"/>
  <c r="BC70" i="58"/>
  <c r="BC41" i="58"/>
  <c r="J48" i="58"/>
  <c r="BC33" i="58"/>
  <c r="V42" i="58"/>
  <c r="T42" i="58"/>
  <c r="W42" i="58"/>
  <c r="R42" i="58"/>
  <c r="S42" i="58"/>
  <c r="J33" i="58"/>
  <c r="T54" i="58"/>
  <c r="R54" i="58"/>
  <c r="S54" i="58"/>
  <c r="V54" i="58"/>
  <c r="W54" i="58"/>
  <c r="BC39" i="58"/>
  <c r="J47" i="58"/>
  <c r="W20" i="58"/>
  <c r="R20" i="58"/>
  <c r="S20" i="58"/>
  <c r="T20" i="58"/>
  <c r="V20" i="58"/>
  <c r="J28" i="58"/>
  <c r="J57" i="58"/>
  <c r="BC64" i="58"/>
  <c r="J11" i="58"/>
  <c r="R8" i="58"/>
  <c r="S8" i="58"/>
  <c r="T8" i="58"/>
  <c r="V8" i="58"/>
  <c r="W8" i="58"/>
  <c r="W39" i="58"/>
  <c r="S39" i="58"/>
  <c r="T39" i="58"/>
  <c r="V39" i="58"/>
  <c r="R39" i="58"/>
  <c r="V40" i="58"/>
  <c r="R40" i="58"/>
  <c r="S40" i="58"/>
  <c r="T40" i="58"/>
  <c r="W40" i="58"/>
  <c r="W31" i="58"/>
  <c r="V31" i="58"/>
  <c r="R31" i="58"/>
  <c r="S31" i="58"/>
  <c r="T31" i="58"/>
  <c r="R29" i="58"/>
  <c r="V29" i="58"/>
  <c r="W29" i="58"/>
  <c r="S29" i="58"/>
  <c r="T29" i="58"/>
  <c r="J56" i="58"/>
  <c r="BC13" i="58"/>
  <c r="S69" i="58"/>
  <c r="T69" i="58"/>
  <c r="V69" i="58"/>
  <c r="W69" i="58"/>
  <c r="R69" i="58"/>
  <c r="J49" i="58"/>
  <c r="J7" i="58"/>
  <c r="J51" i="58"/>
  <c r="R12" i="58"/>
  <c r="S12" i="58"/>
  <c r="T12" i="58"/>
  <c r="V12" i="58"/>
  <c r="W12" i="58"/>
  <c r="J35" i="58"/>
  <c r="BC34" i="58"/>
  <c r="BC45" i="58"/>
  <c r="R27" i="58"/>
  <c r="S27" i="58"/>
  <c r="T27" i="58"/>
  <c r="V27" i="58"/>
  <c r="W27" i="58"/>
  <c r="R67" i="58"/>
  <c r="S67" i="58"/>
  <c r="V67" i="58"/>
  <c r="W67" i="58"/>
  <c r="T67" i="58"/>
  <c r="BC40" i="58"/>
  <c r="R64" i="58"/>
  <c r="S64" i="58"/>
  <c r="T64" i="58"/>
  <c r="V64" i="58"/>
  <c r="W64" i="58"/>
  <c r="R30" i="58"/>
  <c r="S30" i="58"/>
  <c r="T30" i="58"/>
  <c r="V30" i="58"/>
  <c r="W30" i="58"/>
  <c r="W66" i="58"/>
  <c r="R66" i="58"/>
  <c r="S66" i="58"/>
  <c r="T66" i="58"/>
  <c r="V66" i="58"/>
  <c r="J52" i="58"/>
  <c r="J31" i="58"/>
  <c r="S60" i="58"/>
  <c r="T60" i="58"/>
  <c r="V60" i="58"/>
  <c r="W60" i="58"/>
  <c r="R60" i="58"/>
  <c r="BC26" i="58"/>
  <c r="V49" i="58"/>
  <c r="W49" i="58"/>
  <c r="R49" i="58"/>
  <c r="S49" i="58"/>
  <c r="T49" i="58"/>
  <c r="J54" i="58"/>
  <c r="J59" i="58"/>
  <c r="J12" i="58"/>
  <c r="BC68" i="58"/>
  <c r="BC38" i="58"/>
  <c r="J27" i="58"/>
  <c r="J9" i="58"/>
  <c r="J20" i="58"/>
  <c r="J64" i="58"/>
  <c r="BC37" i="58"/>
  <c r="W13" i="58"/>
  <c r="R13" i="58"/>
  <c r="S13" i="58"/>
  <c r="T13" i="58"/>
  <c r="V13" i="58"/>
  <c r="J8" i="58"/>
  <c r="BC60" i="58"/>
  <c r="J39" i="58"/>
  <c r="J40" i="58"/>
  <c r="BC58" i="58"/>
  <c r="R26" i="58"/>
  <c r="S26" i="58"/>
  <c r="T26" i="58"/>
  <c r="V26" i="58"/>
  <c r="W26" i="58"/>
  <c r="J63" i="58"/>
  <c r="S41" i="58"/>
  <c r="T41" i="58"/>
  <c r="V41" i="58"/>
  <c r="W41" i="58"/>
  <c r="R41" i="58"/>
  <c r="S25" i="58"/>
  <c r="T25" i="58"/>
  <c r="V25" i="58"/>
  <c r="W25" i="58"/>
  <c r="R25" i="58"/>
  <c r="W32" i="58"/>
  <c r="R32" i="58"/>
  <c r="S32" i="58"/>
  <c r="T32" i="58"/>
  <c r="V32" i="58"/>
  <c r="R46" i="58"/>
  <c r="S46" i="58"/>
  <c r="T46" i="58"/>
  <c r="V46" i="58"/>
  <c r="W46" i="58"/>
  <c r="BC32" i="58"/>
  <c r="BC31" i="58"/>
  <c r="BC47" i="58"/>
  <c r="R44" i="58"/>
  <c r="S44" i="58"/>
  <c r="T44" i="58"/>
  <c r="V44" i="58"/>
  <c r="W44" i="58"/>
  <c r="R34" i="58"/>
  <c r="S34" i="58"/>
  <c r="T34" i="58"/>
  <c r="V34" i="58"/>
  <c r="W34" i="58"/>
  <c r="J67" i="58"/>
  <c r="S38" i="58"/>
  <c r="T38" i="58"/>
  <c r="V38" i="58"/>
  <c r="W38" i="58"/>
  <c r="R38" i="58"/>
  <c r="BC15" i="58"/>
  <c r="J23" i="58"/>
  <c r="J30" i="58"/>
  <c r="J66" i="58"/>
  <c r="J13" i="58"/>
  <c r="V24" i="58"/>
  <c r="W24" i="58"/>
  <c r="R24" i="58"/>
  <c r="S24" i="58"/>
  <c r="T24" i="58"/>
  <c r="R10" i="58"/>
  <c r="S10" i="58"/>
  <c r="T10" i="58"/>
  <c r="V10" i="58"/>
  <c r="W10" i="58"/>
  <c r="V50" i="58"/>
  <c r="R50" i="58"/>
  <c r="S50" i="58"/>
  <c r="T50" i="58"/>
  <c r="W50" i="58"/>
  <c r="J60" i="58"/>
  <c r="W61" i="58"/>
  <c r="S61" i="58"/>
  <c r="T61" i="58"/>
  <c r="V61" i="58"/>
  <c r="R61" i="58"/>
  <c r="J69" i="58"/>
  <c r="R53" i="58"/>
  <c r="T53" i="58"/>
  <c r="S53" i="58"/>
  <c r="W53" i="58"/>
  <c r="V53" i="58"/>
  <c r="V19" i="58"/>
  <c r="W19" i="58"/>
  <c r="T19" i="58"/>
  <c r="R19" i="58"/>
  <c r="S19" i="58"/>
  <c r="J42" i="58"/>
  <c r="BC59" i="58"/>
  <c r="T36" i="58"/>
  <c r="V36" i="58"/>
  <c r="R36" i="58"/>
  <c r="S36" i="58"/>
  <c r="W36" i="58"/>
  <c r="BC36" i="58"/>
  <c r="R58" i="58"/>
  <c r="S58" i="58"/>
  <c r="T58" i="58"/>
  <c r="V58" i="58"/>
  <c r="W58" i="58"/>
  <c r="W6" i="58"/>
  <c r="R6" i="58"/>
  <c r="S6" i="58"/>
  <c r="T6" i="58"/>
  <c r="V6" i="58"/>
  <c r="V9" i="58"/>
  <c r="W9" i="58"/>
  <c r="R9" i="58"/>
  <c r="S9" i="58"/>
  <c r="T9" i="58"/>
  <c r="R65" i="58"/>
  <c r="T65" i="58"/>
  <c r="V65" i="58"/>
  <c r="W65" i="58"/>
  <c r="S65" i="58"/>
  <c r="BC12" i="58"/>
  <c r="R70" i="58"/>
  <c r="S70" i="58"/>
  <c r="T70" i="58"/>
  <c r="V70" i="58"/>
  <c r="W70" i="58"/>
  <c r="J24" i="58"/>
  <c r="J10" i="58"/>
  <c r="J26" i="58"/>
  <c r="T16" i="58"/>
  <c r="V16" i="58"/>
  <c r="W16" i="58"/>
  <c r="R16" i="58"/>
  <c r="S16" i="58"/>
  <c r="W68" i="58"/>
  <c r="V68" i="58"/>
  <c r="R68" i="58"/>
  <c r="S68" i="58"/>
  <c r="T68" i="58"/>
  <c r="J61" i="58"/>
  <c r="J41" i="58"/>
  <c r="BC48" i="58"/>
  <c r="J53" i="58"/>
  <c r="J32" i="58"/>
  <c r="BC69" i="58"/>
  <c r="J19" i="58"/>
  <c r="S33" i="58"/>
  <c r="T33" i="58"/>
  <c r="V33" i="58"/>
  <c r="W33" i="58"/>
  <c r="R33" i="58"/>
  <c r="J36" i="58"/>
  <c r="BC43" i="58"/>
  <c r="J6" i="58"/>
  <c r="J18" i="58"/>
  <c r="R47" i="58"/>
  <c r="S47" i="58"/>
  <c r="T47" i="58"/>
  <c r="V47" i="58"/>
  <c r="W47" i="58"/>
  <c r="J65" i="58"/>
  <c r="BC65" i="58"/>
  <c r="BC42" i="58"/>
  <c r="T37" i="58"/>
  <c r="V37" i="58"/>
  <c r="W37" i="58"/>
  <c r="S37" i="58"/>
  <c r="R37" i="58"/>
  <c r="BC50" i="58"/>
  <c r="BC21" i="58"/>
  <c r="W21" i="58"/>
  <c r="R21" i="58"/>
  <c r="S21" i="58"/>
  <c r="T21" i="58"/>
  <c r="V21" i="58"/>
  <c r="T17" i="58"/>
  <c r="V17" i="58"/>
  <c r="W17" i="58"/>
  <c r="R17" i="58"/>
  <c r="S17" i="58"/>
  <c r="R15" i="58"/>
  <c r="S15" i="58"/>
  <c r="T15" i="58"/>
  <c r="V15" i="58"/>
  <c r="W15" i="58"/>
  <c r="J50" i="58"/>
  <c r="J16" i="58"/>
  <c r="J68" i="58"/>
  <c r="J62" i="58"/>
  <c r="J46" i="58"/>
  <c r="BC54" i="58"/>
  <c r="R51" i="58"/>
  <c r="T51" i="58"/>
  <c r="V51" i="58"/>
  <c r="W51" i="58"/>
  <c r="S51" i="58"/>
  <c r="J44" i="58"/>
  <c r="T43" i="58"/>
  <c r="R43" i="58"/>
  <c r="S43" i="58"/>
  <c r="V43" i="58"/>
  <c r="W43" i="58"/>
  <c r="J34" i="58"/>
  <c r="BC57" i="58"/>
  <c r="T45" i="58"/>
  <c r="V45" i="58"/>
  <c r="W45" i="58"/>
  <c r="R45" i="58"/>
  <c r="S45" i="58"/>
  <c r="BC24" i="58"/>
  <c r="BC35" i="58"/>
  <c r="J38" i="58"/>
  <c r="W5" i="58"/>
  <c r="R5" i="58"/>
  <c r="S5" i="58"/>
  <c r="T5" i="58"/>
  <c r="V5" i="58"/>
  <c r="BC17" i="58"/>
  <c r="BC25" i="58"/>
  <c r="J55" i="58"/>
  <c r="J17" i="58"/>
  <c r="BC28" i="58"/>
  <c r="BC22" i="58"/>
  <c r="W22" i="58"/>
  <c r="R22" i="58"/>
  <c r="S22" i="58"/>
  <c r="T22" i="58"/>
  <c r="V22" i="58"/>
  <c r="R52" i="58"/>
  <c r="S52" i="58"/>
  <c r="T52" i="58"/>
  <c r="V52" i="58"/>
  <c r="W52" i="58"/>
  <c r="J29" i="58"/>
  <c r="J25" i="58"/>
  <c r="V62" i="58"/>
  <c r="W62" i="58"/>
  <c r="R62" i="58"/>
  <c r="T62" i="58"/>
  <c r="S62" i="58"/>
  <c r="V48" i="58"/>
  <c r="W48" i="58"/>
  <c r="R48" i="58"/>
  <c r="S48" i="58"/>
  <c r="T48" i="58"/>
  <c r="W7" i="58"/>
  <c r="R7" i="58"/>
  <c r="S7" i="58"/>
  <c r="T7" i="58"/>
  <c r="V7" i="58"/>
  <c r="S59" i="58"/>
  <c r="R59" i="58"/>
  <c r="T59" i="58"/>
  <c r="V59" i="58"/>
  <c r="W59" i="58"/>
  <c r="W35" i="58"/>
  <c r="R35" i="58"/>
  <c r="S35" i="58"/>
  <c r="T35" i="58"/>
  <c r="V35" i="58"/>
  <c r="J43" i="58"/>
  <c r="J58" i="58"/>
  <c r="R18" i="58"/>
  <c r="V18" i="58"/>
  <c r="S18" i="58"/>
  <c r="T18" i="58"/>
  <c r="W18" i="58"/>
  <c r="J45" i="58"/>
  <c r="R28" i="58"/>
  <c r="S28" i="58"/>
  <c r="T28" i="58"/>
  <c r="V28" i="58"/>
  <c r="W28" i="58"/>
  <c r="R57" i="58"/>
  <c r="S57" i="58"/>
  <c r="T57" i="58"/>
  <c r="V57" i="58"/>
  <c r="W57" i="58"/>
  <c r="T33" i="30"/>
  <c r="S33" i="30"/>
  <c r="V33" i="30"/>
  <c r="W33" i="30"/>
  <c r="E9" i="56"/>
  <c r="E9" i="54"/>
  <c r="EA9" i="54" s="1"/>
  <c r="CF6" i="54"/>
  <c r="CG6" i="54" s="1"/>
  <c r="CH6" i="54" s="1"/>
  <c r="CI6" i="54" s="1"/>
  <c r="CJ6" i="54" s="1"/>
  <c r="CK6" i="54" s="1"/>
  <c r="CL6" i="54" s="1"/>
  <c r="CE1" i="54"/>
  <c r="AP8" i="30"/>
  <c r="AK5" i="30"/>
  <c r="AP28" i="30"/>
  <c r="AK36" i="30"/>
  <c r="AK7" i="30"/>
  <c r="AQ13" i="30"/>
  <c r="BD13" i="30" s="1"/>
  <c r="AK9" i="30"/>
  <c r="AK35" i="30"/>
  <c r="AK21" i="30"/>
  <c r="AK31" i="30"/>
  <c r="AP16" i="30"/>
  <c r="AP10" i="30"/>
  <c r="AK37" i="30"/>
  <c r="AK20" i="30"/>
  <c r="AK29" i="30"/>
  <c r="AK19" i="30"/>
  <c r="AK11" i="30"/>
  <c r="AK40" i="30"/>
  <c r="BC8" i="53"/>
  <c r="DD8" i="48"/>
  <c r="E10" i="49"/>
  <c r="CD10" i="49" s="1"/>
  <c r="CA8" i="48"/>
  <c r="CE8" i="48"/>
  <c r="K8" i="48"/>
  <c r="AQ34" i="30"/>
  <c r="AQ25" i="30"/>
  <c r="AQ17" i="30"/>
  <c r="BD17" i="30" s="1"/>
  <c r="BC37" i="53"/>
  <c r="BB37" i="53"/>
  <c r="AP21" i="30"/>
  <c r="AQ37" i="30"/>
  <c r="BD37" i="30" s="1"/>
  <c r="AP25" i="30"/>
  <c r="AP9" i="30"/>
  <c r="AQ9" i="30"/>
  <c r="AP13" i="30"/>
  <c r="AK13" i="30"/>
  <c r="AK25" i="30"/>
  <c r="AQ10" i="30"/>
  <c r="BD10" i="30" s="1"/>
  <c r="AQ5" i="30"/>
  <c r="AQ7" i="30"/>
  <c r="AP5" i="30"/>
  <c r="AK28" i="30"/>
  <c r="AP36" i="30"/>
  <c r="AP7" i="30"/>
  <c r="AQ36" i="30"/>
  <c r="BD36" i="30" s="1"/>
  <c r="AQ30" i="30"/>
  <c r="BD30" i="30" s="1"/>
  <c r="AK30" i="30"/>
  <c r="BC30" i="30" s="1"/>
  <c r="AP29" i="30"/>
  <c r="AK8" i="30"/>
  <c r="AQ8" i="30"/>
  <c r="AP34" i="30"/>
  <c r="AK34" i="30"/>
  <c r="AP11" i="30"/>
  <c r="AP19" i="30"/>
  <c r="AK10" i="30"/>
  <c r="AP17" i="30"/>
  <c r="AP31" i="30"/>
  <c r="AK16" i="30"/>
  <c r="AK17" i="30"/>
  <c r="AQ31" i="30"/>
  <c r="BD31" i="30" s="1"/>
  <c r="W24" i="30"/>
  <c r="AQ29" i="30"/>
  <c r="BD29" i="30" s="1"/>
  <c r="AP20" i="30"/>
  <c r="AQ35" i="30"/>
  <c r="BD35" i="30" s="1"/>
  <c r="AQ16" i="30"/>
  <c r="BD16" i="30" s="1"/>
  <c r="AP35" i="30"/>
  <c r="BW9" i="49"/>
  <c r="G9" i="49"/>
  <c r="AC9" i="49"/>
  <c r="BI9" i="49"/>
  <c r="CZ9" i="49"/>
  <c r="P9" i="49"/>
  <c r="BY9" i="49"/>
  <c r="DP9" i="49"/>
  <c r="DL9" i="49"/>
  <c r="DD9" i="49"/>
  <c r="J9" i="49"/>
  <c r="T9" i="49"/>
  <c r="DF9" i="49"/>
  <c r="BT9" i="49"/>
  <c r="AW9" i="49"/>
  <c r="BA9" i="49"/>
  <c r="AG9" i="49"/>
  <c r="Q9" i="49"/>
  <c r="CS9" i="49"/>
  <c r="DM9" i="49"/>
  <c r="DE9" i="49"/>
  <c r="W9" i="49"/>
  <c r="CR9" i="49"/>
  <c r="DT9" i="49"/>
  <c r="CB9" i="49"/>
  <c r="CJ9" i="49"/>
  <c r="BP9" i="49"/>
  <c r="DI9" i="49"/>
  <c r="H9" i="49"/>
  <c r="AL9" i="49"/>
  <c r="CH9" i="49"/>
  <c r="BN9" i="49"/>
  <c r="DR9" i="49"/>
  <c r="AH9" i="49"/>
  <c r="Z9" i="49"/>
  <c r="AD9" i="49"/>
  <c r="AU9" i="49"/>
  <c r="AJ9" i="49"/>
  <c r="BS9" i="49"/>
  <c r="CL9" i="49"/>
  <c r="BR9" i="49"/>
  <c r="AO9" i="49"/>
  <c r="BV9" i="49"/>
  <c r="DJ9" i="49"/>
  <c r="CK9" i="49"/>
  <c r="BH9" i="49"/>
  <c r="CY9" i="49"/>
  <c r="BF9" i="49"/>
  <c r="CF9" i="49"/>
  <c r="DA9" i="49"/>
  <c r="L9" i="49"/>
  <c r="AQ9" i="49"/>
  <c r="CQ9" i="49"/>
  <c r="AE9" i="49"/>
  <c r="CA9" i="49"/>
  <c r="DH9" i="49"/>
  <c r="AA9" i="49"/>
  <c r="DG9" i="49"/>
  <c r="BU9" i="49"/>
  <c r="CC9" i="49"/>
  <c r="CT9" i="49"/>
  <c r="BZ9" i="49"/>
  <c r="BX9" i="49"/>
  <c r="CV9" i="49"/>
  <c r="CD9" i="49"/>
  <c r="AF9" i="49"/>
  <c r="AK9" i="49"/>
  <c r="AB9" i="49"/>
  <c r="DQ9" i="49"/>
  <c r="AI9" i="49"/>
  <c r="CE9" i="49"/>
  <c r="AM9" i="49"/>
  <c r="AN9" i="49"/>
  <c r="CO9" i="49"/>
  <c r="CI9" i="49"/>
  <c r="N9" i="49"/>
  <c r="V9" i="49"/>
  <c r="CU9" i="49"/>
  <c r="AV9" i="49"/>
  <c r="AY9" i="49"/>
  <c r="DB9" i="49"/>
  <c r="AZ9" i="49"/>
  <c r="CM9" i="49"/>
  <c r="M9" i="49"/>
  <c r="AX9" i="49"/>
  <c r="K9" i="49"/>
  <c r="BJ9" i="49"/>
  <c r="CP9" i="49"/>
  <c r="BC9" i="49"/>
  <c r="DS9" i="49"/>
  <c r="AS9" i="49"/>
  <c r="AT9" i="49"/>
  <c r="BL9" i="49"/>
  <c r="BG9" i="49"/>
  <c r="I9" i="49"/>
  <c r="BQ9" i="49"/>
  <c r="BB9" i="49"/>
  <c r="DN9" i="49"/>
  <c r="R9" i="49"/>
  <c r="O9" i="49"/>
  <c r="DK9" i="49"/>
  <c r="U9" i="49"/>
  <c r="BO9" i="49"/>
  <c r="F9" i="49"/>
  <c r="BK9" i="49"/>
  <c r="BE9" i="49"/>
  <c r="CG9" i="49"/>
  <c r="S9" i="49"/>
  <c r="Y9" i="49"/>
  <c r="BM9" i="49"/>
  <c r="DO9" i="49"/>
  <c r="AR9" i="49"/>
  <c r="CN9" i="49"/>
  <c r="X9" i="49"/>
  <c r="CW9" i="49"/>
  <c r="AP9" i="49"/>
  <c r="BD9" i="49"/>
  <c r="DC9" i="49"/>
  <c r="CX9" i="49"/>
  <c r="AQ11" i="30"/>
  <c r="BD57" i="30"/>
  <c r="BD62" i="30"/>
  <c r="BD47" i="30"/>
  <c r="BD41" i="30"/>
  <c r="BC57" i="30"/>
  <c r="BD48" i="30"/>
  <c r="BC49" i="30"/>
  <c r="BC55" i="30"/>
  <c r="BC39" i="30"/>
  <c r="BC45" i="30"/>
  <c r="BC60" i="30"/>
  <c r="BD56" i="30"/>
  <c r="BC54" i="30"/>
  <c r="BC46" i="30"/>
  <c r="BC63" i="30"/>
  <c r="BC48" i="30"/>
  <c r="BB36" i="53"/>
  <c r="BC58" i="30"/>
  <c r="BC64" i="30"/>
  <c r="BC56" i="30"/>
  <c r="BC47" i="30"/>
  <c r="BC41" i="30"/>
  <c r="BC53" i="30"/>
  <c r="BC65" i="30"/>
  <c r="BD50" i="30"/>
  <c r="BD66" i="30"/>
  <c r="BD67" i="30"/>
  <c r="BC44" i="30"/>
  <c r="BC62" i="30"/>
  <c r="BD49" i="30"/>
  <c r="BC69" i="30"/>
  <c r="BC50" i="30"/>
  <c r="BD60" i="30"/>
  <c r="BC66" i="30"/>
  <c r="BC61" i="30"/>
  <c r="BC67" i="30"/>
  <c r="BC68" i="30"/>
  <c r="BC70" i="30"/>
  <c r="AQ28" i="30"/>
  <c r="BC18" i="53"/>
  <c r="AA1" i="46"/>
  <c r="AB6" i="46"/>
  <c r="AC6" i="46" s="1"/>
  <c r="AD6" i="46" s="1"/>
  <c r="AE6" i="46" s="1"/>
  <c r="AF6" i="46" s="1"/>
  <c r="AG6" i="46" s="1"/>
  <c r="AH6" i="46" s="1"/>
  <c r="DG8" i="48"/>
  <c r="BL8" i="48"/>
  <c r="DC8" i="48"/>
  <c r="BT8" i="48"/>
  <c r="Q8" i="48"/>
  <c r="AP8" i="48"/>
  <c r="BZ8" i="48"/>
  <c r="V13" i="30"/>
  <c r="BB16" i="53"/>
  <c r="BB23" i="53"/>
  <c r="BC17" i="53"/>
  <c r="BB17" i="53"/>
  <c r="BC23" i="53"/>
  <c r="BC25" i="53"/>
  <c r="BB35" i="53"/>
  <c r="BC26" i="53"/>
  <c r="BC14" i="53"/>
  <c r="BC19" i="53"/>
  <c r="BB32" i="53"/>
  <c r="BB22" i="53"/>
  <c r="BC22" i="53"/>
  <c r="BC36" i="53"/>
  <c r="BC32" i="53"/>
  <c r="BC6" i="53"/>
  <c r="BB14" i="53"/>
  <c r="BB26" i="53"/>
  <c r="BC7" i="53"/>
  <c r="BB12" i="53"/>
  <c r="BC20" i="53"/>
  <c r="BC24" i="53"/>
  <c r="BC13" i="53"/>
  <c r="BC35" i="53"/>
  <c r="BB20" i="53"/>
  <c r="BB7" i="53"/>
  <c r="BB21" i="53"/>
  <c r="BC21" i="53"/>
  <c r="AQ40" i="30"/>
  <c r="AP40" i="30"/>
  <c r="AO37" i="53"/>
  <c r="AP37" i="30"/>
  <c r="AQ21" i="30"/>
  <c r="AQ19" i="30"/>
  <c r="AQ20" i="30"/>
  <c r="AP16" i="53"/>
  <c r="BC16" i="53" s="1"/>
  <c r="V8" i="48"/>
  <c r="AZ8" i="48"/>
  <c r="BG8" i="48"/>
  <c r="CB8" i="48"/>
  <c r="BA8" i="48"/>
  <c r="CO8" i="48"/>
  <c r="BD8" i="48"/>
  <c r="AT8" i="48"/>
  <c r="AX8" i="48"/>
  <c r="CR8" i="48"/>
  <c r="AS8" i="48"/>
  <c r="DF8" i="48"/>
  <c r="CJ8" i="48"/>
  <c r="DQ8" i="48"/>
  <c r="DB8" i="48"/>
  <c r="BO8" i="48"/>
  <c r="CG8" i="48"/>
  <c r="AC8" i="48"/>
  <c r="DK8" i="48"/>
  <c r="CC8" i="48"/>
  <c r="CK8" i="48"/>
  <c r="DI8" i="48"/>
  <c r="CM8" i="48"/>
  <c r="BC8" i="48"/>
  <c r="BJ8" i="48"/>
  <c r="S8" i="48"/>
  <c r="BS8" i="48"/>
  <c r="CP8" i="48"/>
  <c r="BH8" i="48"/>
  <c r="DL8" i="48"/>
  <c r="F8" i="48"/>
  <c r="AF8" i="48"/>
  <c r="AL8" i="48"/>
  <c r="CZ8" i="48"/>
  <c r="CS8" i="48"/>
  <c r="BN8" i="48"/>
  <c r="Z8" i="48"/>
  <c r="CL8" i="48"/>
  <c r="DR8" i="48"/>
  <c r="BY8" i="48"/>
  <c r="CH8" i="48"/>
  <c r="Y8" i="48"/>
  <c r="L8" i="48"/>
  <c r="AW8" i="48"/>
  <c r="AG8" i="48"/>
  <c r="BI8" i="48"/>
  <c r="BV8" i="48"/>
  <c r="BE8" i="48"/>
  <c r="CD8" i="48"/>
  <c r="CF8" i="48"/>
  <c r="P8" i="48"/>
  <c r="CX8" i="48"/>
  <c r="AA8" i="48"/>
  <c r="DA8" i="48"/>
  <c r="DM8" i="48"/>
  <c r="T8" i="48"/>
  <c r="H8" i="48"/>
  <c r="DP8" i="48"/>
  <c r="DN8" i="48"/>
  <c r="AB8" i="48"/>
  <c r="CV8" i="48"/>
  <c r="DO8" i="48"/>
  <c r="CW8" i="48"/>
  <c r="DS8" i="48"/>
  <c r="AE8" i="48"/>
  <c r="BF8" i="48"/>
  <c r="AN8" i="48"/>
  <c r="W8" i="48"/>
  <c r="DJ8" i="48"/>
  <c r="AK8" i="48"/>
  <c r="N8" i="48"/>
  <c r="AV8" i="48"/>
  <c r="X8" i="48"/>
  <c r="BQ8" i="48"/>
  <c r="AO8" i="48"/>
  <c r="J8" i="48"/>
  <c r="AD8" i="48"/>
  <c r="CT8" i="48"/>
  <c r="R8" i="48"/>
  <c r="U8" i="48"/>
  <c r="AY8" i="48"/>
  <c r="CQ8" i="48"/>
  <c r="AU8" i="48"/>
  <c r="BB8" i="48"/>
  <c r="AM8" i="48"/>
  <c r="BM8" i="48"/>
  <c r="O8" i="48"/>
  <c r="AH8" i="48"/>
  <c r="CI8" i="48"/>
  <c r="G8" i="48"/>
  <c r="AQ8" i="48"/>
  <c r="DH8" i="48"/>
  <c r="BU8" i="48"/>
  <c r="BK8" i="48"/>
  <c r="I8" i="48"/>
  <c r="AJ8" i="48"/>
  <c r="AR8" i="48"/>
  <c r="CU8" i="48"/>
  <c r="CN8" i="48"/>
  <c r="M8" i="48"/>
  <c r="DE8" i="48"/>
  <c r="AI8" i="48"/>
  <c r="BR8" i="48"/>
  <c r="DT8" i="48"/>
  <c r="BP8" i="48"/>
  <c r="CY8" i="48"/>
  <c r="BW8" i="48"/>
  <c r="S26" i="53"/>
  <c r="R26" i="53"/>
  <c r="U26" i="53" s="1"/>
  <c r="V26" i="53"/>
  <c r="T26" i="53"/>
  <c r="S30" i="30"/>
  <c r="T30" i="30"/>
  <c r="W30" i="30"/>
  <c r="V30" i="30"/>
  <c r="R28" i="53"/>
  <c r="U28" i="53" s="1"/>
  <c r="V28" i="53"/>
  <c r="S32" i="53"/>
  <c r="R32" i="53"/>
  <c r="AZ32" i="53" s="1"/>
  <c r="W32" i="53"/>
  <c r="T32" i="53"/>
  <c r="S28" i="53"/>
  <c r="BC29" i="53"/>
  <c r="T13" i="30"/>
  <c r="S13" i="30"/>
  <c r="T16" i="53"/>
  <c r="S16" i="53"/>
  <c r="W13" i="30"/>
  <c r="R16" i="53"/>
  <c r="U16" i="53" s="1"/>
  <c r="W16" i="53"/>
  <c r="BB28" i="53"/>
  <c r="T35" i="53"/>
  <c r="T6" i="53"/>
  <c r="V21" i="53"/>
  <c r="W28" i="53"/>
  <c r="BA28" i="53" s="1"/>
  <c r="V29" i="53"/>
  <c r="R27" i="53"/>
  <c r="U27" i="53" s="1"/>
  <c r="V35" i="53"/>
  <c r="R35" i="53"/>
  <c r="U35" i="53" s="1"/>
  <c r="V27" i="53"/>
  <c r="W35" i="53"/>
  <c r="U6" i="53"/>
  <c r="S6" i="53"/>
  <c r="BC5" i="53"/>
  <c r="W27" i="53"/>
  <c r="BA27" i="53" s="1"/>
  <c r="R30" i="53"/>
  <c r="U30" i="53" s="1"/>
  <c r="T27" i="53"/>
  <c r="T30" i="53"/>
  <c r="W33" i="53"/>
  <c r="BA33" i="53" s="1"/>
  <c r="R20" i="53"/>
  <c r="AZ20" i="53" s="1"/>
  <c r="V20" i="53"/>
  <c r="W6" i="53"/>
  <c r="S20" i="53"/>
  <c r="S7" i="53"/>
  <c r="T36" i="53"/>
  <c r="V6" i="53"/>
  <c r="W20" i="53"/>
  <c r="T28" i="53"/>
  <c r="S24" i="30"/>
  <c r="R13" i="53"/>
  <c r="U13" i="53" s="1"/>
  <c r="T34" i="30"/>
  <c r="T24" i="30"/>
  <c r="R8" i="53"/>
  <c r="AZ8" i="53" s="1"/>
  <c r="S21" i="53"/>
  <c r="J35" i="53"/>
  <c r="AH1" i="48"/>
  <c r="AI6" i="48"/>
  <c r="AJ6" i="48" s="1"/>
  <c r="AK6" i="48" s="1"/>
  <c r="AL6" i="48" s="1"/>
  <c r="AM6" i="48" s="1"/>
  <c r="AN6" i="48" s="1"/>
  <c r="AO6" i="48" s="1"/>
  <c r="J19" i="53"/>
  <c r="W8" i="53"/>
  <c r="BA8" i="53" s="1"/>
  <c r="V8" i="53"/>
  <c r="T8" i="53"/>
  <c r="S8" i="53"/>
  <c r="R7" i="53"/>
  <c r="AZ7" i="53" s="1"/>
  <c r="V7" i="53"/>
  <c r="J17" i="53"/>
  <c r="J11" i="53"/>
  <c r="J7" i="53"/>
  <c r="T21" i="53"/>
  <c r="J34" i="53"/>
  <c r="W21" i="53"/>
  <c r="V36" i="53"/>
  <c r="R21" i="53"/>
  <c r="U21" i="53" s="1"/>
  <c r="V24" i="30"/>
  <c r="W7" i="53"/>
  <c r="J26" i="53"/>
  <c r="J14" i="53"/>
  <c r="S13" i="53"/>
  <c r="J24" i="53"/>
  <c r="S33" i="53"/>
  <c r="J20" i="53"/>
  <c r="R29" i="53"/>
  <c r="AZ29" i="53" s="1"/>
  <c r="T13" i="53"/>
  <c r="T33" i="53"/>
  <c r="T29" i="53"/>
  <c r="V13" i="53"/>
  <c r="R33" i="53"/>
  <c r="U33" i="53" s="1"/>
  <c r="J32" i="53"/>
  <c r="W29" i="53"/>
  <c r="BA29" i="53" s="1"/>
  <c r="W13" i="53"/>
  <c r="J29" i="53"/>
  <c r="J21" i="53"/>
  <c r="J25" i="53"/>
  <c r="J27" i="53"/>
  <c r="J36" i="53"/>
  <c r="J18" i="53"/>
  <c r="J8" i="53"/>
  <c r="J13" i="53"/>
  <c r="S29" i="53"/>
  <c r="R22" i="53"/>
  <c r="U22" i="53" s="1"/>
  <c r="J28" i="53"/>
  <c r="J23" i="53"/>
  <c r="J37" i="53"/>
  <c r="J5" i="53"/>
  <c r="J9" i="53"/>
  <c r="J10" i="53"/>
  <c r="BC28" i="53"/>
  <c r="S36" i="53"/>
  <c r="W36" i="53"/>
  <c r="J30" i="53"/>
  <c r="BB27" i="53"/>
  <c r="R36" i="53"/>
  <c r="AZ36" i="53" s="1"/>
  <c r="V33" i="53"/>
  <c r="W22" i="53"/>
  <c r="BC33" i="53"/>
  <c r="J31" i="53"/>
  <c r="J22" i="53"/>
  <c r="J6" i="53"/>
  <c r="J15" i="53"/>
  <c r="W34" i="30"/>
  <c r="J16" i="53"/>
  <c r="J12" i="53"/>
  <c r="J33" i="53"/>
  <c r="V30" i="53"/>
  <c r="W30" i="53"/>
  <c r="BA30" i="53" s="1"/>
  <c r="V18" i="53"/>
  <c r="W9" i="53"/>
  <c r="BA9" i="53" s="1"/>
  <c r="T23" i="53"/>
  <c r="R18" i="53"/>
  <c r="U18" i="53" s="1"/>
  <c r="S18" i="53"/>
  <c r="V34" i="30"/>
  <c r="BB34" i="53"/>
  <c r="W18" i="53"/>
  <c r="BC34" i="53"/>
  <c r="BB33" i="53"/>
  <c r="V23" i="53"/>
  <c r="W23" i="53"/>
  <c r="BB30" i="53"/>
  <c r="S36" i="30"/>
  <c r="T36" i="30"/>
  <c r="W36" i="30"/>
  <c r="V36" i="30"/>
  <c r="BB31" i="53"/>
  <c r="S34" i="30"/>
  <c r="S22" i="53"/>
  <c r="R23" i="53"/>
  <c r="U23" i="53" s="1"/>
  <c r="BC11" i="53"/>
  <c r="BB11" i="53"/>
  <c r="W11" i="30"/>
  <c r="T37" i="53"/>
  <c r="R37" i="53"/>
  <c r="S37" i="53"/>
  <c r="W37" i="53"/>
  <c r="V37" i="53"/>
  <c r="R11" i="53"/>
  <c r="BC30" i="53"/>
  <c r="S11" i="53"/>
  <c r="V11" i="53"/>
  <c r="W11" i="53"/>
  <c r="T11" i="53"/>
  <c r="W19" i="53"/>
  <c r="V19" i="53"/>
  <c r="R19" i="53"/>
  <c r="S19" i="53"/>
  <c r="T19" i="53"/>
  <c r="T17" i="53"/>
  <c r="W17" i="53"/>
  <c r="R17" i="53"/>
  <c r="V17" i="53"/>
  <c r="S17" i="53"/>
  <c r="T10" i="53"/>
  <c r="R10" i="53"/>
  <c r="S10" i="53"/>
  <c r="W10" i="53"/>
  <c r="BA10" i="53" s="1"/>
  <c r="V10" i="53"/>
  <c r="S9" i="53"/>
  <c r="R9" i="53"/>
  <c r="T9" i="53"/>
  <c r="V9" i="53"/>
  <c r="V22" i="53"/>
  <c r="V25" i="53"/>
  <c r="S25" i="53"/>
  <c r="R25" i="53"/>
  <c r="W25" i="53"/>
  <c r="T25" i="53"/>
  <c r="W12" i="53"/>
  <c r="R12" i="53"/>
  <c r="S12" i="53"/>
  <c r="T12" i="53"/>
  <c r="V12" i="53"/>
  <c r="V14" i="53"/>
  <c r="S14" i="53"/>
  <c r="T14" i="53"/>
  <c r="W14" i="53"/>
  <c r="R14" i="53"/>
  <c r="R15" i="53"/>
  <c r="S15" i="53"/>
  <c r="D10" i="48" s="1"/>
  <c r="T15" i="53"/>
  <c r="D11" i="48" s="1"/>
  <c r="W15" i="53"/>
  <c r="V15" i="53"/>
  <c r="D12" i="48" s="1"/>
  <c r="R5" i="53"/>
  <c r="S5" i="53"/>
  <c r="T5" i="53"/>
  <c r="V5" i="53"/>
  <c r="W5" i="53"/>
  <c r="S34" i="53"/>
  <c r="R34" i="53"/>
  <c r="W34" i="53"/>
  <c r="BA34" i="53" s="1"/>
  <c r="T34" i="53"/>
  <c r="V34" i="53"/>
  <c r="BC27" i="53"/>
  <c r="BC31" i="53"/>
  <c r="S31" i="53"/>
  <c r="W31" i="53"/>
  <c r="BA31" i="53" s="1"/>
  <c r="V31" i="53"/>
  <c r="R31" i="53"/>
  <c r="T31" i="53"/>
  <c r="T11" i="30"/>
  <c r="V11" i="30"/>
  <c r="S11" i="30"/>
  <c r="S10" i="30"/>
  <c r="S26" i="30"/>
  <c r="V26" i="30"/>
  <c r="W26" i="30"/>
  <c r="T26" i="30"/>
  <c r="V12" i="30"/>
  <c r="W12" i="30"/>
  <c r="T12" i="30"/>
  <c r="S12" i="30"/>
  <c r="T24" i="53"/>
  <c r="V24" i="53"/>
  <c r="R24" i="53"/>
  <c r="W24" i="53"/>
  <c r="S24" i="53"/>
  <c r="T15" i="30"/>
  <c r="S16" i="30"/>
  <c r="T16" i="30"/>
  <c r="W16" i="30"/>
  <c r="V16" i="30"/>
  <c r="W15" i="30"/>
  <c r="V15" i="30"/>
  <c r="S15" i="30"/>
  <c r="W5" i="30"/>
  <c r="T5" i="30"/>
  <c r="V5" i="30"/>
  <c r="S5" i="30"/>
  <c r="W25" i="30"/>
  <c r="S25" i="30"/>
  <c r="V25" i="30"/>
  <c r="T25" i="30"/>
  <c r="V23" i="30"/>
  <c r="S23" i="30"/>
  <c r="T23" i="30"/>
  <c r="W23" i="30"/>
  <c r="W35" i="30"/>
  <c r="S35" i="30"/>
  <c r="T35" i="30"/>
  <c r="V35" i="30"/>
  <c r="W21" i="30"/>
  <c r="S21" i="30"/>
  <c r="V21" i="30"/>
  <c r="T21" i="30"/>
  <c r="W7" i="30"/>
  <c r="V7" i="30"/>
  <c r="S7" i="30"/>
  <c r="V32" i="30"/>
  <c r="S31" i="30"/>
  <c r="W31" i="30"/>
  <c r="V31" i="30"/>
  <c r="T31" i="30"/>
  <c r="V10" i="30"/>
  <c r="W10" i="30"/>
  <c r="T10" i="30"/>
  <c r="T7" i="30"/>
  <c r="W20" i="30"/>
  <c r="V20" i="30"/>
  <c r="S20" i="30"/>
  <c r="T20" i="30"/>
  <c r="T22" i="30"/>
  <c r="S22" i="30"/>
  <c r="V22" i="30"/>
  <c r="W22" i="30"/>
  <c r="S19" i="30"/>
  <c r="W19" i="30"/>
  <c r="V19" i="30"/>
  <c r="T19" i="30"/>
  <c r="S9" i="30"/>
  <c r="W9" i="30"/>
  <c r="T9" i="30"/>
  <c r="V9" i="30"/>
  <c r="V29" i="30"/>
  <c r="S29" i="30"/>
  <c r="T29" i="30"/>
  <c r="W29" i="30"/>
  <c r="W27" i="30"/>
  <c r="S27" i="30"/>
  <c r="V27" i="30"/>
  <c r="T27" i="30"/>
  <c r="D22" i="48"/>
  <c r="BC15" i="53"/>
  <c r="BB15" i="53"/>
  <c r="D19" i="48"/>
  <c r="AP24" i="30"/>
  <c r="AQ24" i="30"/>
  <c r="BD24" i="30" s="1"/>
  <c r="AK24" i="30"/>
  <c r="W32" i="30"/>
  <c r="T32" i="30"/>
  <c r="S32" i="30"/>
  <c r="T8" i="30"/>
  <c r="S8" i="30"/>
  <c r="W8" i="30"/>
  <c r="V8" i="30"/>
  <c r="V18" i="30"/>
  <c r="S18" i="30"/>
  <c r="T18" i="30"/>
  <c r="W18" i="30"/>
  <c r="AP26" i="30"/>
  <c r="AK26" i="30"/>
  <c r="AQ26" i="30"/>
  <c r="BD26" i="30" s="1"/>
  <c r="W17" i="30"/>
  <c r="S17" i="30"/>
  <c r="V17" i="30"/>
  <c r="T17" i="30"/>
  <c r="BB5" i="53"/>
  <c r="S37" i="30"/>
  <c r="V37" i="30"/>
  <c r="W37" i="30"/>
  <c r="T37" i="30"/>
  <c r="AP27" i="30"/>
  <c r="AK27" i="30"/>
  <c r="AQ27" i="30"/>
  <c r="BD27" i="30" s="1"/>
  <c r="BB18" i="53"/>
  <c r="AP22" i="30"/>
  <c r="AQ22" i="30"/>
  <c r="BD22" i="30" s="1"/>
  <c r="AK22" i="30"/>
  <c r="AB6" i="49"/>
  <c r="AC6" i="49" s="1"/>
  <c r="AD6" i="49" s="1"/>
  <c r="AE6" i="49" s="1"/>
  <c r="AF6" i="49" s="1"/>
  <c r="AG6" i="49" s="1"/>
  <c r="AH6" i="49" s="1"/>
  <c r="AA1" i="49"/>
  <c r="W40" i="30"/>
  <c r="T40" i="30"/>
  <c r="V40" i="30"/>
  <c r="S40" i="30"/>
  <c r="AQ15" i="30"/>
  <c r="BD15" i="30" s="1"/>
  <c r="AP15" i="30"/>
  <c r="AK15" i="30"/>
  <c r="AP18" i="30"/>
  <c r="AK18" i="30"/>
  <c r="AQ18" i="30"/>
  <c r="BD18" i="30" s="1"/>
  <c r="W28" i="30"/>
  <c r="V28" i="30"/>
  <c r="S28" i="30"/>
  <c r="T28" i="30"/>
  <c r="AP23" i="30"/>
  <c r="AQ23" i="30"/>
  <c r="BD23" i="30" s="1"/>
  <c r="AK23" i="30"/>
  <c r="AK12" i="30"/>
  <c r="AQ12" i="30"/>
  <c r="BD12" i="30" s="1"/>
  <c r="AP12" i="30"/>
  <c r="AK32" i="30"/>
  <c r="AQ32" i="30"/>
  <c r="BD32" i="30" s="1"/>
  <c r="AP32" i="30"/>
  <c r="D21" i="56" l="1"/>
  <c r="D10" i="56"/>
  <c r="D12" i="56"/>
  <c r="D19" i="56"/>
  <c r="D11" i="56"/>
  <c r="D22" i="56"/>
  <c r="ET9" i="56"/>
  <c r="C10" i="56"/>
  <c r="AE14" i="58"/>
  <c r="U14" i="58"/>
  <c r="AS14" i="58" s="1"/>
  <c r="AR14" i="58" s="1"/>
  <c r="AU14" i="58" s="1"/>
  <c r="AV14" i="58" s="1"/>
  <c r="AW14" i="58" s="1"/>
  <c r="BA14" i="58"/>
  <c r="BB66" i="30"/>
  <c r="Q9" i="61"/>
  <c r="BS9" i="61"/>
  <c r="D21" i="61"/>
  <c r="BZ9" i="61"/>
  <c r="CF9" i="61"/>
  <c r="P9" i="61"/>
  <c r="AH9" i="61"/>
  <c r="DG9" i="61"/>
  <c r="AD9" i="61"/>
  <c r="BE9" i="61"/>
  <c r="Z9" i="61"/>
  <c r="BU9" i="61"/>
  <c r="AS224" i="59"/>
  <c r="AV224" i="59" s="1"/>
  <c r="AW224" i="59" s="1"/>
  <c r="AX224" i="59" s="1"/>
  <c r="AS371" i="59"/>
  <c r="AV371" i="59" s="1"/>
  <c r="AW371" i="59" s="1"/>
  <c r="AX371" i="59" s="1"/>
  <c r="AF9" i="61"/>
  <c r="CN9" i="61"/>
  <c r="AE9" i="61"/>
  <c r="AT9" i="61"/>
  <c r="AJ9" i="61"/>
  <c r="BV9" i="61"/>
  <c r="D10" i="61"/>
  <c r="CB9" i="61"/>
  <c r="DP9" i="61"/>
  <c r="BK9" i="61"/>
  <c r="AW9" i="61"/>
  <c r="DS9" i="61"/>
  <c r="M9" i="61"/>
  <c r="CW9" i="61"/>
  <c r="BW9" i="61"/>
  <c r="AB9" i="61"/>
  <c r="CI9" i="61"/>
  <c r="CO9" i="61"/>
  <c r="CL9" i="61"/>
  <c r="CV9" i="61"/>
  <c r="BF9" i="61"/>
  <c r="H9" i="61"/>
  <c r="V9" i="61"/>
  <c r="BG9" i="61"/>
  <c r="BY9" i="61"/>
  <c r="AI9" i="61"/>
  <c r="AG9" i="61"/>
  <c r="BB9" i="61"/>
  <c r="CT9" i="61"/>
  <c r="J9" i="61"/>
  <c r="DT9" i="61"/>
  <c r="DK9" i="61"/>
  <c r="BT9" i="61"/>
  <c r="AO9" i="61"/>
  <c r="BA9" i="61"/>
  <c r="BQ9" i="61"/>
  <c r="K9" i="61"/>
  <c r="CK9" i="61"/>
  <c r="CU9" i="61"/>
  <c r="CX9" i="61"/>
  <c r="DQ9" i="61"/>
  <c r="DC9" i="61"/>
  <c r="AC9" i="61"/>
  <c r="AX9" i="61"/>
  <c r="CA9" i="61"/>
  <c r="I9" i="61"/>
  <c r="CM9" i="61"/>
  <c r="AK9" i="61"/>
  <c r="AQ9" i="61"/>
  <c r="AU9" i="61"/>
  <c r="Y9" i="61"/>
  <c r="AV9" i="61"/>
  <c r="DB9" i="61"/>
  <c r="DF9" i="61"/>
  <c r="DO9" i="61"/>
  <c r="AA9" i="61"/>
  <c r="CC9" i="61"/>
  <c r="G9" i="61"/>
  <c r="BJ9" i="61"/>
  <c r="CD9" i="61"/>
  <c r="BC9" i="61"/>
  <c r="BI9" i="61"/>
  <c r="AN9" i="61"/>
  <c r="AS9" i="61"/>
  <c r="DJ9" i="61"/>
  <c r="F9" i="61"/>
  <c r="CQ9" i="61"/>
  <c r="AR9" i="61"/>
  <c r="CR9" i="61"/>
  <c r="BM9" i="61"/>
  <c r="DN9" i="61"/>
  <c r="BX9" i="61"/>
  <c r="CY9" i="61"/>
  <c r="CE9" i="61"/>
  <c r="CP9" i="61"/>
  <c r="D19" i="61"/>
  <c r="U9" i="61"/>
  <c r="X9" i="61"/>
  <c r="C10" i="61"/>
  <c r="D12" i="61"/>
  <c r="R9" i="61"/>
  <c r="BL9" i="61"/>
  <c r="BR9" i="61"/>
  <c r="DM9" i="61"/>
  <c r="L9" i="61"/>
  <c r="T9" i="61"/>
  <c r="AL9" i="61"/>
  <c r="CJ9" i="61"/>
  <c r="S9" i="61"/>
  <c r="DI9" i="61"/>
  <c r="W9" i="61"/>
  <c r="BD9" i="61"/>
  <c r="AY9" i="61"/>
  <c r="DD9" i="61"/>
  <c r="DA9" i="61"/>
  <c r="CZ9" i="61"/>
  <c r="BH9" i="61"/>
  <c r="BO9" i="61"/>
  <c r="DE9" i="61"/>
  <c r="CH9" i="61"/>
  <c r="N9" i="61"/>
  <c r="CG9" i="61"/>
  <c r="O9" i="61"/>
  <c r="DH9" i="61"/>
  <c r="AM9" i="61"/>
  <c r="CS9" i="61"/>
  <c r="DL9" i="61"/>
  <c r="AZ9" i="61"/>
  <c r="DR9" i="61"/>
  <c r="BP9" i="61"/>
  <c r="AP9" i="61"/>
  <c r="AE6" i="30"/>
  <c r="BB6" i="30"/>
  <c r="BA6" i="30"/>
  <c r="U6" i="30"/>
  <c r="AS6" i="30" s="1"/>
  <c r="AR6" i="30" s="1"/>
  <c r="AU6" i="30" s="1"/>
  <c r="D11" i="61"/>
  <c r="BD32" i="58"/>
  <c r="D22" i="61"/>
  <c r="AS42" i="59"/>
  <c r="AV42" i="59" s="1"/>
  <c r="AW42" i="59" s="1"/>
  <c r="AX42" i="59" s="1"/>
  <c r="AS406" i="59"/>
  <c r="AV406" i="59" s="1"/>
  <c r="AW406" i="59" s="1"/>
  <c r="AX406" i="59" s="1"/>
  <c r="AS85" i="59"/>
  <c r="AV85" i="59" s="1"/>
  <c r="AW85" i="59" s="1"/>
  <c r="AX85" i="59" s="1"/>
  <c r="AS906" i="59"/>
  <c r="AV906" i="59" s="1"/>
  <c r="AW906" i="59" s="1"/>
  <c r="AX906" i="59" s="1"/>
  <c r="AS632" i="59"/>
  <c r="AV632" i="59" s="1"/>
  <c r="AW632" i="59" s="1"/>
  <c r="AX632" i="59" s="1"/>
  <c r="AS625" i="59"/>
  <c r="AV625" i="59" s="1"/>
  <c r="AW625" i="59" s="1"/>
  <c r="AX625" i="59" s="1"/>
  <c r="AS188" i="59"/>
  <c r="AV188" i="59" s="1"/>
  <c r="AW188" i="59" s="1"/>
  <c r="AX188" i="59" s="1"/>
  <c r="AS905" i="59"/>
  <c r="AV905" i="59" s="1"/>
  <c r="AW905" i="59" s="1"/>
  <c r="AX905" i="59" s="1"/>
  <c r="AS243" i="59"/>
  <c r="AV243" i="59" s="1"/>
  <c r="AW243" i="59" s="1"/>
  <c r="AX243" i="59" s="1"/>
  <c r="AS83" i="59"/>
  <c r="AV83" i="59" s="1"/>
  <c r="AW83" i="59" s="1"/>
  <c r="AX83" i="59" s="1"/>
  <c r="AS89" i="59"/>
  <c r="AV89" i="59" s="1"/>
  <c r="AW89" i="59" s="1"/>
  <c r="AX89" i="59" s="1"/>
  <c r="AS616" i="59"/>
  <c r="AV616" i="59" s="1"/>
  <c r="AW616" i="59" s="1"/>
  <c r="AX616" i="59" s="1"/>
  <c r="AS875" i="59"/>
  <c r="AV875" i="59" s="1"/>
  <c r="AW875" i="59" s="1"/>
  <c r="AX875" i="59" s="1"/>
  <c r="AS619" i="59"/>
  <c r="AV619" i="59" s="1"/>
  <c r="AW619" i="59" s="1"/>
  <c r="AX619" i="59" s="1"/>
  <c r="AS381" i="59"/>
  <c r="AV381" i="59" s="1"/>
  <c r="AW381" i="59" s="1"/>
  <c r="AX381" i="59" s="1"/>
  <c r="AS81" i="59"/>
  <c r="AV81" i="59" s="1"/>
  <c r="AW81" i="59" s="1"/>
  <c r="AX81" i="59" s="1"/>
  <c r="AS798" i="59"/>
  <c r="AV798" i="59" s="1"/>
  <c r="AW798" i="59" s="1"/>
  <c r="AX798" i="59" s="1"/>
  <c r="AS418" i="59"/>
  <c r="AV418" i="59" s="1"/>
  <c r="AW418" i="59" s="1"/>
  <c r="AX418" i="59" s="1"/>
  <c r="BD16" i="58"/>
  <c r="BD22" i="58"/>
  <c r="BD49" i="58"/>
  <c r="BD29" i="58"/>
  <c r="BD5" i="58"/>
  <c r="BD8" i="58"/>
  <c r="BD60" i="58"/>
  <c r="BD30" i="58"/>
  <c r="BD62" i="58"/>
  <c r="BD27" i="58"/>
  <c r="BD66" i="58"/>
  <c r="BD51" i="58"/>
  <c r="BD36" i="58"/>
  <c r="BD59" i="58"/>
  <c r="BD57" i="58"/>
  <c r="AS267" i="59"/>
  <c r="AV267" i="59" s="1"/>
  <c r="AW267" i="59" s="1"/>
  <c r="AX267" i="59" s="1"/>
  <c r="AS54" i="59"/>
  <c r="AV54" i="59" s="1"/>
  <c r="AW54" i="59" s="1"/>
  <c r="AX54" i="59" s="1"/>
  <c r="AS411" i="59"/>
  <c r="AV411" i="59" s="1"/>
  <c r="AW411" i="59" s="1"/>
  <c r="AX411" i="59" s="1"/>
  <c r="AS331" i="59"/>
  <c r="AV331" i="59" s="1"/>
  <c r="AW331" i="59" s="1"/>
  <c r="AX331" i="59" s="1"/>
  <c r="AS382" i="59"/>
  <c r="AV382" i="59" s="1"/>
  <c r="AW382" i="59" s="1"/>
  <c r="AX382" i="59" s="1"/>
  <c r="AS60" i="59"/>
  <c r="AV60" i="59" s="1"/>
  <c r="AW60" i="59" s="1"/>
  <c r="AX60" i="59" s="1"/>
  <c r="AS542" i="59"/>
  <c r="AV542" i="59" s="1"/>
  <c r="AW542" i="59" s="1"/>
  <c r="AX542" i="59" s="1"/>
  <c r="AS451" i="59"/>
  <c r="AV451" i="59" s="1"/>
  <c r="AW451" i="59" s="1"/>
  <c r="AX451" i="59" s="1"/>
  <c r="AS156" i="59"/>
  <c r="AV156" i="59" s="1"/>
  <c r="AW156" i="59" s="1"/>
  <c r="AX156" i="59" s="1"/>
  <c r="AS844" i="59"/>
  <c r="AV844" i="59" s="1"/>
  <c r="AW844" i="59" s="1"/>
  <c r="AX844" i="59" s="1"/>
  <c r="AS241" i="59"/>
  <c r="AV241" i="59" s="1"/>
  <c r="AW241" i="59" s="1"/>
  <c r="AX241" i="59" s="1"/>
  <c r="AS458" i="59"/>
  <c r="AV458" i="59" s="1"/>
  <c r="AW458" i="59" s="1"/>
  <c r="AX458" i="59" s="1"/>
  <c r="AS91" i="59"/>
  <c r="AV91" i="59" s="1"/>
  <c r="AW91" i="59" s="1"/>
  <c r="AX91" i="59" s="1"/>
  <c r="AS670" i="59"/>
  <c r="AV670" i="59" s="1"/>
  <c r="AW670" i="59" s="1"/>
  <c r="AX670" i="59" s="1"/>
  <c r="AS234" i="59"/>
  <c r="AV234" i="59" s="1"/>
  <c r="AW234" i="59" s="1"/>
  <c r="AX234" i="59" s="1"/>
  <c r="AS496" i="59"/>
  <c r="AV496" i="59" s="1"/>
  <c r="AW496" i="59" s="1"/>
  <c r="AX496" i="59" s="1"/>
  <c r="AS577" i="59"/>
  <c r="AV577" i="59" s="1"/>
  <c r="AW577" i="59" s="1"/>
  <c r="AS803" i="59"/>
  <c r="AV803" i="59" s="1"/>
  <c r="AW803" i="59" s="1"/>
  <c r="AX803" i="59" s="1"/>
  <c r="AS416" i="59"/>
  <c r="AV416" i="59" s="1"/>
  <c r="AW416" i="59" s="1"/>
  <c r="AX416" i="59" s="1"/>
  <c r="AS587" i="59"/>
  <c r="AV587" i="59" s="1"/>
  <c r="AW587" i="59" s="1"/>
  <c r="AX587" i="59" s="1"/>
  <c r="AS630" i="59"/>
  <c r="AV630" i="59" s="1"/>
  <c r="AW630" i="59" s="1"/>
  <c r="AX630" i="59" s="1"/>
  <c r="AS63" i="59"/>
  <c r="AV63" i="59" s="1"/>
  <c r="AW63" i="59" s="1"/>
  <c r="AX63" i="59" s="1"/>
  <c r="AS794" i="59"/>
  <c r="AV794" i="59" s="1"/>
  <c r="AW794" i="59" s="1"/>
  <c r="AX794" i="59" s="1"/>
  <c r="AS709" i="59"/>
  <c r="AV709" i="59" s="1"/>
  <c r="AW709" i="59" s="1"/>
  <c r="AX709" i="59" s="1"/>
  <c r="AS558" i="59"/>
  <c r="AV558" i="59" s="1"/>
  <c r="AW558" i="59" s="1"/>
  <c r="AT999" i="59"/>
  <c r="AS999" i="59" s="1"/>
  <c r="AV999" i="59" s="1"/>
  <c r="AF999" i="59"/>
  <c r="AS51" i="59"/>
  <c r="AV51" i="59" s="1"/>
  <c r="AW51" i="59" s="1"/>
  <c r="AX51" i="59" s="1"/>
  <c r="AS100" i="59"/>
  <c r="AV100" i="59" s="1"/>
  <c r="AW100" i="59" s="1"/>
  <c r="AX100" i="59" s="1"/>
  <c r="AS530" i="59"/>
  <c r="AV530" i="59" s="1"/>
  <c r="AW530" i="59" s="1"/>
  <c r="AX530" i="59" s="1"/>
  <c r="AS275" i="59"/>
  <c r="AV275" i="59" s="1"/>
  <c r="AW275" i="59" s="1"/>
  <c r="AX275" i="59" s="1"/>
  <c r="AS881" i="59"/>
  <c r="AV881" i="59" s="1"/>
  <c r="AW881" i="59" s="1"/>
  <c r="AX881" i="59" s="1"/>
  <c r="AS491" i="59"/>
  <c r="AV491" i="59" s="1"/>
  <c r="AW491" i="59" s="1"/>
  <c r="AX491" i="59" s="1"/>
  <c r="AS452" i="59"/>
  <c r="AV452" i="59" s="1"/>
  <c r="AW452" i="59" s="1"/>
  <c r="AX452" i="59" s="1"/>
  <c r="AS251" i="59"/>
  <c r="AV251" i="59" s="1"/>
  <c r="AW251" i="59" s="1"/>
  <c r="AX251" i="59" s="1"/>
  <c r="AS449" i="59"/>
  <c r="AV449" i="59" s="1"/>
  <c r="AW449" i="59" s="1"/>
  <c r="AX449" i="59" s="1"/>
  <c r="AS761" i="59"/>
  <c r="AV761" i="59" s="1"/>
  <c r="AW761" i="59" s="1"/>
  <c r="AX761" i="59" s="1"/>
  <c r="AS93" i="59"/>
  <c r="AV93" i="59" s="1"/>
  <c r="AW93" i="59" s="1"/>
  <c r="AX93" i="59" s="1"/>
  <c r="AS410" i="59"/>
  <c r="AV410" i="59" s="1"/>
  <c r="AW410" i="59" s="1"/>
  <c r="AX410" i="59" s="1"/>
  <c r="AS885" i="59"/>
  <c r="AV885" i="59" s="1"/>
  <c r="AW885" i="59" s="1"/>
  <c r="AX885" i="59" s="1"/>
  <c r="AS180" i="59"/>
  <c r="AV180" i="59" s="1"/>
  <c r="AW180" i="59" s="1"/>
  <c r="AX180" i="59" s="1"/>
  <c r="AS268" i="59"/>
  <c r="AV268" i="59" s="1"/>
  <c r="AW268" i="59" s="1"/>
  <c r="AX268" i="59" s="1"/>
  <c r="AS687" i="59"/>
  <c r="AV687" i="59" s="1"/>
  <c r="AW687" i="59" s="1"/>
  <c r="AX687" i="59" s="1"/>
  <c r="AS446" i="59"/>
  <c r="AV446" i="59" s="1"/>
  <c r="AW446" i="59" s="1"/>
  <c r="AX446" i="59" s="1"/>
  <c r="AS819" i="59"/>
  <c r="AV819" i="59" s="1"/>
  <c r="AW819" i="59" s="1"/>
  <c r="AX819" i="59" s="1"/>
  <c r="AS688" i="59"/>
  <c r="AV688" i="59" s="1"/>
  <c r="AW688" i="59" s="1"/>
  <c r="AX688" i="59" s="1"/>
  <c r="AS503" i="59"/>
  <c r="AV503" i="59" s="1"/>
  <c r="AW503" i="59" s="1"/>
  <c r="AX503" i="59" s="1"/>
  <c r="AS750" i="59"/>
  <c r="AV750" i="59" s="1"/>
  <c r="AW750" i="59" s="1"/>
  <c r="AX750" i="59" s="1"/>
  <c r="AS535" i="59"/>
  <c r="AV535" i="59" s="1"/>
  <c r="AW535" i="59" s="1"/>
  <c r="AX535" i="59" s="1"/>
  <c r="AS412" i="59"/>
  <c r="AV412" i="59" s="1"/>
  <c r="AW412" i="59" s="1"/>
  <c r="AX412" i="59" s="1"/>
  <c r="AS137" i="59"/>
  <c r="AV137" i="59" s="1"/>
  <c r="AW137" i="59" s="1"/>
  <c r="AX137" i="59" s="1"/>
  <c r="AS147" i="59"/>
  <c r="AV147" i="59" s="1"/>
  <c r="AW147" i="59" s="1"/>
  <c r="AX147" i="59" s="1"/>
  <c r="AS759" i="59"/>
  <c r="AV759" i="59" s="1"/>
  <c r="AX759" i="59" s="1"/>
  <c r="AS426" i="59"/>
  <c r="AV426" i="59" s="1"/>
  <c r="AW426" i="59" s="1"/>
  <c r="AX426" i="59" s="1"/>
  <c r="AS622" i="59"/>
  <c r="AV622" i="59" s="1"/>
  <c r="AW622" i="59" s="1"/>
  <c r="AX622" i="59" s="1"/>
  <c r="AS397" i="59"/>
  <c r="AV397" i="59" s="1"/>
  <c r="AX397" i="59" s="1"/>
  <c r="AS848" i="59"/>
  <c r="AV848" i="59" s="1"/>
  <c r="AW848" i="59" s="1"/>
  <c r="AX848" i="59" s="1"/>
  <c r="AS899" i="59"/>
  <c r="AV899" i="59" s="1"/>
  <c r="AW899" i="59" s="1"/>
  <c r="AX899" i="59" s="1"/>
  <c r="AS754" i="59"/>
  <c r="AV754" i="59" s="1"/>
  <c r="AW754" i="59" s="1"/>
  <c r="AX754" i="59" s="1"/>
  <c r="AS878" i="59"/>
  <c r="AV878" i="59" s="1"/>
  <c r="AW878" i="59" s="1"/>
  <c r="AX878" i="59" s="1"/>
  <c r="AS537" i="59"/>
  <c r="AV537" i="59" s="1"/>
  <c r="AW537" i="59" s="1"/>
  <c r="AX537" i="59" s="1"/>
  <c r="AS270" i="59"/>
  <c r="AV270" i="59" s="1"/>
  <c r="AW270" i="59" s="1"/>
  <c r="AX270" i="59" s="1"/>
  <c r="AS466" i="59"/>
  <c r="AV466" i="59" s="1"/>
  <c r="AW466" i="59" s="1"/>
  <c r="AX466" i="59" s="1"/>
  <c r="AS802" i="59"/>
  <c r="AV802" i="59" s="1"/>
  <c r="AW802" i="59" s="1"/>
  <c r="AX802" i="59" s="1"/>
  <c r="AS49" i="59"/>
  <c r="AV49" i="59" s="1"/>
  <c r="AW49" i="59" s="1"/>
  <c r="AX49" i="59" s="1"/>
  <c r="AS507" i="59"/>
  <c r="AV507" i="59" s="1"/>
  <c r="AW507" i="59" s="1"/>
  <c r="AX507" i="59" s="1"/>
  <c r="AS261" i="59"/>
  <c r="AV261" i="59" s="1"/>
  <c r="AW261" i="59" s="1"/>
  <c r="AX261" i="59" s="1"/>
  <c r="AS840" i="59"/>
  <c r="AV840" i="59" s="1"/>
  <c r="AW840" i="59" s="1"/>
  <c r="AX840" i="59" s="1"/>
  <c r="AS414" i="59"/>
  <c r="AV414" i="59" s="1"/>
  <c r="AW414" i="59" s="1"/>
  <c r="AX414" i="59" s="1"/>
  <c r="AS66" i="59"/>
  <c r="AV66" i="59" s="1"/>
  <c r="AW66" i="59" s="1"/>
  <c r="AX66" i="59" s="1"/>
  <c r="AS800" i="59"/>
  <c r="AV800" i="59" s="1"/>
  <c r="AW800" i="59" s="1"/>
  <c r="AX800" i="59" s="1"/>
  <c r="AS184" i="59"/>
  <c r="AV184" i="59" s="1"/>
  <c r="AW184" i="59" s="1"/>
  <c r="AX184" i="59" s="1"/>
  <c r="AS650" i="59"/>
  <c r="AV650" i="59" s="1"/>
  <c r="AW650" i="59" s="1"/>
  <c r="AX650" i="59" s="1"/>
  <c r="AS581" i="59"/>
  <c r="AV581" i="59" s="1"/>
  <c r="AW581" i="59" s="1"/>
  <c r="AS131" i="59"/>
  <c r="AV131" i="59" s="1"/>
  <c r="AW131" i="59" s="1"/>
  <c r="AX131" i="59" s="1"/>
  <c r="AS854" i="59"/>
  <c r="AV854" i="59" s="1"/>
  <c r="AW854" i="59" s="1"/>
  <c r="AX854" i="59" s="1"/>
  <c r="AS638" i="59"/>
  <c r="AV638" i="59" s="1"/>
  <c r="AW638" i="59" s="1"/>
  <c r="AX638" i="59" s="1"/>
  <c r="AS58" i="59"/>
  <c r="AV58" i="59" s="1"/>
  <c r="AW58" i="59" s="1"/>
  <c r="AX58" i="59" s="1"/>
  <c r="AS679" i="59"/>
  <c r="AV679" i="59" s="1"/>
  <c r="AW679" i="59" s="1"/>
  <c r="AS795" i="59"/>
  <c r="AV795" i="59" s="1"/>
  <c r="AW795" i="59" s="1"/>
  <c r="AX795" i="59" s="1"/>
  <c r="AS249" i="59"/>
  <c r="AV249" i="59" s="1"/>
  <c r="AW249" i="59" s="1"/>
  <c r="AX249" i="59" s="1"/>
  <c r="AS192" i="59"/>
  <c r="AV192" i="59" s="1"/>
  <c r="AW192" i="59" s="1"/>
  <c r="AS654" i="59"/>
  <c r="AV654" i="59" s="1"/>
  <c r="AW654" i="59" s="1"/>
  <c r="AX654" i="59" s="1"/>
  <c r="AS549" i="59"/>
  <c r="AV549" i="59" s="1"/>
  <c r="AW549" i="59" s="1"/>
  <c r="AX549" i="59" s="1"/>
  <c r="AS831" i="59"/>
  <c r="AV831" i="59" s="1"/>
  <c r="AW831" i="59" s="1"/>
  <c r="AX831" i="59" s="1"/>
  <c r="AS847" i="59"/>
  <c r="AV847" i="59" s="1"/>
  <c r="AW847" i="59" s="1"/>
  <c r="AX847" i="59" s="1"/>
  <c r="AS145" i="59"/>
  <c r="AV145" i="59" s="1"/>
  <c r="AW145" i="59" s="1"/>
  <c r="AX145" i="59" s="1"/>
  <c r="AS488" i="59"/>
  <c r="AV488" i="59" s="1"/>
  <c r="AW488" i="59" s="1"/>
  <c r="AX488" i="59" s="1"/>
  <c r="AS245" i="59"/>
  <c r="AV245" i="59" s="1"/>
  <c r="AW245" i="59" s="1"/>
  <c r="AX245" i="59" s="1"/>
  <c r="AS953" i="59"/>
  <c r="AV953" i="59" s="1"/>
  <c r="AW953" i="59" s="1"/>
  <c r="AS502" i="59"/>
  <c r="AV502" i="59" s="1"/>
  <c r="AW502" i="59" s="1"/>
  <c r="AX502" i="59" s="1"/>
  <c r="AS859" i="59"/>
  <c r="AV859" i="59" s="1"/>
  <c r="AW859" i="59" s="1"/>
  <c r="AX859" i="59" s="1"/>
  <c r="AS461" i="59"/>
  <c r="AV461" i="59" s="1"/>
  <c r="AW461" i="59" s="1"/>
  <c r="AX461" i="59" s="1"/>
  <c r="AS67" i="59"/>
  <c r="AV67" i="59" s="1"/>
  <c r="AW67" i="59" s="1"/>
  <c r="AX67" i="59" s="1"/>
  <c r="AS526" i="59"/>
  <c r="AV526" i="59" s="1"/>
  <c r="AW526" i="59" s="1"/>
  <c r="AX526" i="59" s="1"/>
  <c r="AS611" i="59"/>
  <c r="AV611" i="59" s="1"/>
  <c r="AW611" i="59" s="1"/>
  <c r="AX611" i="59" s="1"/>
  <c r="AS61" i="59"/>
  <c r="AV61" i="59" s="1"/>
  <c r="AW61" i="59" s="1"/>
  <c r="AX61" i="59" s="1"/>
  <c r="AS541" i="59"/>
  <c r="AV541" i="59" s="1"/>
  <c r="AW541" i="59" s="1"/>
  <c r="AX541" i="59" s="1"/>
  <c r="AS499" i="59"/>
  <c r="AV499" i="59" s="1"/>
  <c r="AW499" i="59" s="1"/>
  <c r="AX499" i="59" s="1"/>
  <c r="AS828" i="59"/>
  <c r="AV828" i="59" s="1"/>
  <c r="AW828" i="59" s="1"/>
  <c r="AX828" i="59" s="1"/>
  <c r="AS388" i="59"/>
  <c r="AV388" i="59" s="1"/>
  <c r="AW388" i="59" s="1"/>
  <c r="AX388" i="59" s="1"/>
  <c r="AS253" i="59"/>
  <c r="AV253" i="59" s="1"/>
  <c r="AW253" i="59" s="1"/>
  <c r="AX253" i="59" s="1"/>
  <c r="AS142" i="59"/>
  <c r="AV142" i="59" s="1"/>
  <c r="AW142" i="59" s="1"/>
  <c r="AX142" i="59" s="1"/>
  <c r="AS262" i="59"/>
  <c r="AV262" i="59" s="1"/>
  <c r="AW262" i="59" s="1"/>
  <c r="AX262" i="59" s="1"/>
  <c r="AS505" i="59"/>
  <c r="AV505" i="59" s="1"/>
  <c r="AW505" i="59" s="1"/>
  <c r="AX505" i="59" s="1"/>
  <c r="AS812" i="59"/>
  <c r="AV812" i="59" s="1"/>
  <c r="AW812" i="59" s="1"/>
  <c r="AX812" i="59" s="1"/>
  <c r="AS888" i="59"/>
  <c r="AV888" i="59" s="1"/>
  <c r="AW888" i="59" s="1"/>
  <c r="AX888" i="59" s="1"/>
  <c r="AS641" i="59"/>
  <c r="AV641" i="59" s="1"/>
  <c r="AW641" i="59" s="1"/>
  <c r="AX641" i="59" s="1"/>
  <c r="AS498" i="59"/>
  <c r="AV498" i="59" s="1"/>
  <c r="AW498" i="59" s="1"/>
  <c r="AX498" i="59" s="1"/>
  <c r="AS407" i="59"/>
  <c r="AV407" i="59" s="1"/>
  <c r="AW407" i="59" s="1"/>
  <c r="AX407" i="59" s="1"/>
  <c r="AS607" i="59"/>
  <c r="AV607" i="59" s="1"/>
  <c r="AW607" i="59" s="1"/>
  <c r="AX607" i="59" s="1"/>
  <c r="AS522" i="59"/>
  <c r="AV522" i="59" s="1"/>
  <c r="AW522" i="59" s="1"/>
  <c r="AX522" i="59" s="1"/>
  <c r="AS872" i="59"/>
  <c r="AV872" i="59" s="1"/>
  <c r="AW872" i="59" s="1"/>
  <c r="AX872" i="59" s="1"/>
  <c r="AS265" i="59"/>
  <c r="AV265" i="59" s="1"/>
  <c r="AW265" i="59" s="1"/>
  <c r="AX265" i="59" s="1"/>
  <c r="AS303" i="59"/>
  <c r="AV303" i="59" s="1"/>
  <c r="AW303" i="59" s="1"/>
  <c r="AX303" i="59" s="1"/>
  <c r="AS235" i="59"/>
  <c r="AV235" i="59" s="1"/>
  <c r="AW235" i="59" s="1"/>
  <c r="AX235" i="59" s="1"/>
  <c r="AS807" i="59"/>
  <c r="AV807" i="59" s="1"/>
  <c r="AW807" i="59" s="1"/>
  <c r="AX807" i="59" s="1"/>
  <c r="AS294" i="59"/>
  <c r="AV294" i="59" s="1"/>
  <c r="AW294" i="59" s="1"/>
  <c r="AX294" i="59" s="1"/>
  <c r="AS510" i="59"/>
  <c r="AV510" i="59" s="1"/>
  <c r="AW510" i="59" s="1"/>
  <c r="AX510" i="59" s="1"/>
  <c r="AS408" i="59"/>
  <c r="AV408" i="59" s="1"/>
  <c r="AW408" i="59" s="1"/>
  <c r="AX408" i="59" s="1"/>
  <c r="AS589" i="59"/>
  <c r="AV589" i="59" s="1"/>
  <c r="AW589" i="59" s="1"/>
  <c r="AX589" i="59" s="1"/>
  <c r="AS497" i="59"/>
  <c r="AV497" i="59" s="1"/>
  <c r="AW497" i="59" s="1"/>
  <c r="AX497" i="59" s="1"/>
  <c r="AS842" i="59"/>
  <c r="AV842" i="59" s="1"/>
  <c r="AW842" i="59" s="1"/>
  <c r="AX842" i="59" s="1"/>
  <c r="AS26" i="59"/>
  <c r="AV26" i="59" s="1"/>
  <c r="AW26" i="59" s="1"/>
  <c r="AX26" i="59" s="1"/>
  <c r="AS721" i="59"/>
  <c r="AV721" i="59" s="1"/>
  <c r="AW721" i="59" s="1"/>
  <c r="AX721" i="59" s="1"/>
  <c r="AS487" i="59"/>
  <c r="AV487" i="59" s="1"/>
  <c r="AW487" i="59" s="1"/>
  <c r="AX487" i="59" s="1"/>
  <c r="AS134" i="59"/>
  <c r="AV134" i="59" s="1"/>
  <c r="AW134" i="59" s="1"/>
  <c r="AX134" i="59" s="1"/>
  <c r="AS271" i="59"/>
  <c r="AV271" i="59" s="1"/>
  <c r="AW271" i="59" s="1"/>
  <c r="AX271" i="59" s="1"/>
  <c r="AS566" i="59"/>
  <c r="AV566" i="59" s="1"/>
  <c r="AW566" i="59" s="1"/>
  <c r="AX566" i="59" s="1"/>
  <c r="AS533" i="59"/>
  <c r="AV533" i="59" s="1"/>
  <c r="AW533" i="59" s="1"/>
  <c r="AX533" i="59" s="1"/>
  <c r="AS511" i="59"/>
  <c r="AV511" i="59" s="1"/>
  <c r="AW511" i="59" s="1"/>
  <c r="AX511" i="59" s="1"/>
  <c r="AS107" i="59"/>
  <c r="AV107" i="59" s="1"/>
  <c r="AW107" i="59" s="1"/>
  <c r="AX107" i="59" s="1"/>
  <c r="AS422" i="59"/>
  <c r="AV422" i="59" s="1"/>
  <c r="AW422" i="59" s="1"/>
  <c r="AX422" i="59" s="1"/>
  <c r="AS132" i="59"/>
  <c r="AV132" i="59" s="1"/>
  <c r="AW132" i="59" s="1"/>
  <c r="AX132" i="59" s="1"/>
  <c r="AS547" i="59"/>
  <c r="AV547" i="59" s="1"/>
  <c r="AW547" i="59" s="1"/>
  <c r="AX547" i="59" s="1"/>
  <c r="AS179" i="59"/>
  <c r="AV179" i="59" s="1"/>
  <c r="AW179" i="59" s="1"/>
  <c r="AX179" i="59" s="1"/>
  <c r="AS597" i="59"/>
  <c r="AV597" i="59" s="1"/>
  <c r="AW597" i="59" s="1"/>
  <c r="AX597" i="59" s="1"/>
  <c r="AS889" i="59"/>
  <c r="AV889" i="59" s="1"/>
  <c r="AW889" i="59" s="1"/>
  <c r="AX889" i="59" s="1"/>
  <c r="AS837" i="59"/>
  <c r="AV837" i="59" s="1"/>
  <c r="AW837" i="59" s="1"/>
  <c r="AX837" i="59" s="1"/>
  <c r="AS719" i="59"/>
  <c r="AV719" i="59" s="1"/>
  <c r="AW719" i="59" s="1"/>
  <c r="AX719" i="59" s="1"/>
  <c r="AS136" i="59"/>
  <c r="AV136" i="59" s="1"/>
  <c r="AW136" i="59" s="1"/>
  <c r="AX136" i="59" s="1"/>
  <c r="AS747" i="59"/>
  <c r="AV747" i="59" s="1"/>
  <c r="AW747" i="59" s="1"/>
  <c r="AS595" i="59"/>
  <c r="AV595" i="59" s="1"/>
  <c r="AW595" i="59" s="1"/>
  <c r="AX595" i="59" s="1"/>
  <c r="AS965" i="59"/>
  <c r="AS153" i="59"/>
  <c r="AV153" i="59" s="1"/>
  <c r="AW153" i="59" s="1"/>
  <c r="AX153" i="59" s="1"/>
  <c r="AS70" i="59"/>
  <c r="AV70" i="59" s="1"/>
  <c r="AW70" i="59" s="1"/>
  <c r="AX70" i="59" s="1"/>
  <c r="AS843" i="59"/>
  <c r="AV843" i="59" s="1"/>
  <c r="AW843" i="59" s="1"/>
  <c r="AX843" i="59" s="1"/>
  <c r="AS921" i="59"/>
  <c r="AV921" i="59" s="1"/>
  <c r="AW921" i="59" s="1"/>
  <c r="AS846" i="59"/>
  <c r="AV846" i="59" s="1"/>
  <c r="AW846" i="59" s="1"/>
  <c r="AX846" i="59" s="1"/>
  <c r="AS284" i="59"/>
  <c r="AV284" i="59" s="1"/>
  <c r="AW284" i="59" s="1"/>
  <c r="AX284" i="59" s="1"/>
  <c r="AS773" i="59"/>
  <c r="AV773" i="59" s="1"/>
  <c r="AW773" i="59" s="1"/>
  <c r="AX773" i="59" s="1"/>
  <c r="AS448" i="59"/>
  <c r="AV448" i="59" s="1"/>
  <c r="AW448" i="59" s="1"/>
  <c r="AX448" i="59" s="1"/>
  <c r="AS863" i="59"/>
  <c r="AV863" i="59" s="1"/>
  <c r="AW863" i="59" s="1"/>
  <c r="AX863" i="59" s="1"/>
  <c r="AS531" i="59"/>
  <c r="AV531" i="59" s="1"/>
  <c r="AW531" i="59" s="1"/>
  <c r="AX531" i="59" s="1"/>
  <c r="AS372" i="59"/>
  <c r="AV372" i="59" s="1"/>
  <c r="AW372" i="59" s="1"/>
  <c r="AX372" i="59" s="1"/>
  <c r="AS820" i="59"/>
  <c r="AV820" i="59" s="1"/>
  <c r="AW820" i="59" s="1"/>
  <c r="AX820" i="59" s="1"/>
  <c r="AS455" i="59"/>
  <c r="AV455" i="59" s="1"/>
  <c r="AW455" i="59" s="1"/>
  <c r="AX455" i="59" s="1"/>
  <c r="AS139" i="59"/>
  <c r="AV139" i="59" s="1"/>
  <c r="AW139" i="59" s="1"/>
  <c r="AX139" i="59" s="1"/>
  <c r="AS420" i="59"/>
  <c r="AV420" i="59" s="1"/>
  <c r="AW420" i="59" s="1"/>
  <c r="AX420" i="59" s="1"/>
  <c r="AS617" i="59"/>
  <c r="AV617" i="59" s="1"/>
  <c r="AW617" i="59" s="1"/>
  <c r="AX617" i="59" s="1"/>
  <c r="AS596" i="59"/>
  <c r="AV596" i="59" s="1"/>
  <c r="AW596" i="59" s="1"/>
  <c r="AX596" i="59" s="1"/>
  <c r="AS489" i="59"/>
  <c r="AV489" i="59" s="1"/>
  <c r="AW489" i="59" s="1"/>
  <c r="AX489" i="59" s="1"/>
  <c r="AS114" i="59"/>
  <c r="AV114" i="59" s="1"/>
  <c r="AW114" i="59" s="1"/>
  <c r="AX114" i="59" s="1"/>
  <c r="AS543" i="59"/>
  <c r="AV543" i="59" s="1"/>
  <c r="AW543" i="59" s="1"/>
  <c r="AX543" i="59" s="1"/>
  <c r="AS493" i="59"/>
  <c r="AV493" i="59" s="1"/>
  <c r="AW493" i="59" s="1"/>
  <c r="AX493" i="59" s="1"/>
  <c r="AS55" i="59"/>
  <c r="AV55" i="59" s="1"/>
  <c r="AW55" i="59" s="1"/>
  <c r="AX55" i="59" s="1"/>
  <c r="AS282" i="59"/>
  <c r="AV282" i="59" s="1"/>
  <c r="AW282" i="59" s="1"/>
  <c r="AX282" i="59" s="1"/>
  <c r="AS841" i="59"/>
  <c r="AV841" i="59" s="1"/>
  <c r="AW841" i="59" s="1"/>
  <c r="AX841" i="59" s="1"/>
  <c r="AS668" i="59"/>
  <c r="AV668" i="59" s="1"/>
  <c r="AW668" i="59" s="1"/>
  <c r="AX668" i="59" s="1"/>
  <c r="AS508" i="59"/>
  <c r="AV508" i="59" s="1"/>
  <c r="AW508" i="59" s="1"/>
  <c r="AX508" i="59" s="1"/>
  <c r="AS384" i="59"/>
  <c r="AV384" i="59" s="1"/>
  <c r="AW384" i="59" s="1"/>
  <c r="AX384" i="59" s="1"/>
  <c r="AS130" i="59"/>
  <c r="AV130" i="59" s="1"/>
  <c r="AW130" i="59" s="1"/>
  <c r="AX130" i="59" s="1"/>
  <c r="AS631" i="59"/>
  <c r="AV631" i="59" s="1"/>
  <c r="AW631" i="59" s="1"/>
  <c r="AX631" i="59" s="1"/>
  <c r="AS818" i="59"/>
  <c r="AV818" i="59" s="1"/>
  <c r="AW818" i="59" s="1"/>
  <c r="AX818" i="59" s="1"/>
  <c r="AS636" i="59"/>
  <c r="AV636" i="59" s="1"/>
  <c r="AW636" i="59" s="1"/>
  <c r="AX636" i="59" s="1"/>
  <c r="AS112" i="59"/>
  <c r="AV112" i="59" s="1"/>
  <c r="AW112" i="59" s="1"/>
  <c r="AX112" i="59" s="1"/>
  <c r="AS57" i="59"/>
  <c r="AV57" i="59" s="1"/>
  <c r="AW57" i="59" s="1"/>
  <c r="AX57" i="59" s="1"/>
  <c r="AS745" i="59"/>
  <c r="AV745" i="59" s="1"/>
  <c r="AW745" i="59" s="1"/>
  <c r="AS445" i="59"/>
  <c r="AV445" i="59" s="1"/>
  <c r="AW445" i="59" s="1"/>
  <c r="AX445" i="59" s="1"/>
  <c r="AS829" i="59"/>
  <c r="AV829" i="59" s="1"/>
  <c r="AW829" i="59" s="1"/>
  <c r="AX829" i="59" s="1"/>
  <c r="AS27" i="59"/>
  <c r="AV27" i="59" s="1"/>
  <c r="AW27" i="59" s="1"/>
  <c r="AX27" i="59" s="1"/>
  <c r="AS318" i="59"/>
  <c r="AV318" i="59" s="1"/>
  <c r="AW318" i="59" s="1"/>
  <c r="AX318" i="59" s="1"/>
  <c r="AS108" i="59"/>
  <c r="AV108" i="59" s="1"/>
  <c r="AW108" i="59" s="1"/>
  <c r="AX108" i="59" s="1"/>
  <c r="AS525" i="59"/>
  <c r="AV525" i="59" s="1"/>
  <c r="AW525" i="59" s="1"/>
  <c r="AX525" i="59" s="1"/>
  <c r="AS559" i="59"/>
  <c r="AV559" i="59" s="1"/>
  <c r="AW559" i="59" s="1"/>
  <c r="AS38" i="59"/>
  <c r="AV38" i="59" s="1"/>
  <c r="AW38" i="59" s="1"/>
  <c r="AX38" i="59" s="1"/>
  <c r="AS191" i="59"/>
  <c r="AV191" i="59" s="1"/>
  <c r="AX191" i="59" s="1"/>
  <c r="AS305" i="59"/>
  <c r="AV305" i="59" s="1"/>
  <c r="AW305" i="59" s="1"/>
  <c r="AX305" i="59" s="1"/>
  <c r="AS731" i="59"/>
  <c r="AV731" i="59" s="1"/>
  <c r="AW731" i="59" s="1"/>
  <c r="AX731" i="59" s="1"/>
  <c r="AS317" i="59"/>
  <c r="AV317" i="59" s="1"/>
  <c r="AW317" i="59" s="1"/>
  <c r="AX317" i="59" s="1"/>
  <c r="AS72" i="59"/>
  <c r="AV72" i="59" s="1"/>
  <c r="AW72" i="59" s="1"/>
  <c r="AX72" i="59" s="1"/>
  <c r="AS504" i="59"/>
  <c r="AV504" i="59" s="1"/>
  <c r="AW504" i="59" s="1"/>
  <c r="AX504" i="59" s="1"/>
  <c r="AS746" i="59"/>
  <c r="AV746" i="59" s="1"/>
  <c r="AW746" i="59" s="1"/>
  <c r="AS453" i="59"/>
  <c r="AV453" i="59" s="1"/>
  <c r="AW453" i="59" s="1"/>
  <c r="AX453" i="59" s="1"/>
  <c r="AS296" i="59"/>
  <c r="AV296" i="59" s="1"/>
  <c r="AW296" i="59" s="1"/>
  <c r="AX296" i="59" s="1"/>
  <c r="AS301" i="59"/>
  <c r="AV301" i="59" s="1"/>
  <c r="AW301" i="59" s="1"/>
  <c r="AX301" i="59" s="1"/>
  <c r="AS143" i="59"/>
  <c r="AV143" i="59" s="1"/>
  <c r="AW143" i="59" s="1"/>
  <c r="AX143" i="59" s="1"/>
  <c r="AS227" i="59"/>
  <c r="AV227" i="59" s="1"/>
  <c r="AW227" i="59" s="1"/>
  <c r="AX227" i="59" s="1"/>
  <c r="AS626" i="59"/>
  <c r="AV626" i="59" s="1"/>
  <c r="AW626" i="59" s="1"/>
  <c r="AX626" i="59" s="1"/>
  <c r="AS492" i="59"/>
  <c r="AV492" i="59" s="1"/>
  <c r="AW492" i="59" s="1"/>
  <c r="AX492" i="59" s="1"/>
  <c r="AS799" i="59"/>
  <c r="AV799" i="59" s="1"/>
  <c r="AW799" i="59" s="1"/>
  <c r="AX799" i="59" s="1"/>
  <c r="AS415" i="59"/>
  <c r="AV415" i="59" s="1"/>
  <c r="AW415" i="59" s="1"/>
  <c r="AX415" i="59" s="1"/>
  <c r="AS963" i="59"/>
  <c r="AV963" i="59" s="1"/>
  <c r="AW963" i="59" s="1"/>
  <c r="AX963" i="59" s="1"/>
  <c r="AS569" i="59"/>
  <c r="AV569" i="59" s="1"/>
  <c r="AW569" i="59" s="1"/>
  <c r="AX569" i="59" s="1"/>
  <c r="AS48" i="59"/>
  <c r="AV48" i="59" s="1"/>
  <c r="AW48" i="59" s="1"/>
  <c r="AX48" i="59" s="1"/>
  <c r="AS839" i="59"/>
  <c r="AV839" i="59" s="1"/>
  <c r="AW839" i="59" s="1"/>
  <c r="AX839" i="59" s="1"/>
  <c r="AS386" i="59"/>
  <c r="AV386" i="59" s="1"/>
  <c r="AW386" i="59" s="1"/>
  <c r="AX386" i="59" s="1"/>
  <c r="AS980" i="59"/>
  <c r="AV980" i="59" s="1"/>
  <c r="AW980" i="59" s="1"/>
  <c r="AS776" i="59"/>
  <c r="AV776" i="59" s="1"/>
  <c r="AW776" i="59" s="1"/>
  <c r="AX776" i="59" s="1"/>
  <c r="AS532" i="59"/>
  <c r="AV532" i="59" s="1"/>
  <c r="AW532" i="59" s="1"/>
  <c r="AX532" i="59" s="1"/>
  <c r="AS886" i="59"/>
  <c r="AV886" i="59" s="1"/>
  <c r="AW886" i="59" s="1"/>
  <c r="AX886" i="59" s="1"/>
  <c r="AS864" i="59"/>
  <c r="AV864" i="59" s="1"/>
  <c r="AW864" i="59" s="1"/>
  <c r="AX864" i="59" s="1"/>
  <c r="AS250" i="59"/>
  <c r="AV250" i="59" s="1"/>
  <c r="AW250" i="59" s="1"/>
  <c r="AX250" i="59" s="1"/>
  <c r="AS431" i="59"/>
  <c r="AV431" i="59" s="1"/>
  <c r="AW431" i="59" s="1"/>
  <c r="AX431" i="59" s="1"/>
  <c r="AS898" i="59"/>
  <c r="AV898" i="59" s="1"/>
  <c r="AW898" i="59" s="1"/>
  <c r="AX898" i="59" s="1"/>
  <c r="AS106" i="59"/>
  <c r="AV106" i="59" s="1"/>
  <c r="AW106" i="59" s="1"/>
  <c r="AX106" i="59" s="1"/>
  <c r="AS717" i="59"/>
  <c r="AV717" i="59" s="1"/>
  <c r="AW717" i="59" s="1"/>
  <c r="AX717" i="59" s="1"/>
  <c r="AS744" i="59"/>
  <c r="AV744" i="59" s="1"/>
  <c r="AW744" i="59" s="1"/>
  <c r="AS391" i="59"/>
  <c r="AV391" i="59" s="1"/>
  <c r="AW391" i="59" s="1"/>
  <c r="AX391" i="59" s="1"/>
  <c r="AS454" i="59"/>
  <c r="AV454" i="59" s="1"/>
  <c r="AW454" i="59" s="1"/>
  <c r="AX454" i="59" s="1"/>
  <c r="AS150" i="59"/>
  <c r="AV150" i="59" s="1"/>
  <c r="AW150" i="59" s="1"/>
  <c r="AX150" i="59" s="1"/>
  <c r="AS481" i="59"/>
  <c r="AV481" i="59" s="1"/>
  <c r="AW481" i="59" s="1"/>
  <c r="AX481" i="59" s="1"/>
  <c r="AS816" i="59"/>
  <c r="AV816" i="59" s="1"/>
  <c r="AW816" i="59" s="1"/>
  <c r="AX816" i="59" s="1"/>
  <c r="AS218" i="59"/>
  <c r="AV218" i="59" s="1"/>
  <c r="AW218" i="59" s="1"/>
  <c r="AX218" i="59" s="1"/>
  <c r="AS279" i="59"/>
  <c r="AV279" i="59" s="1"/>
  <c r="AW279" i="59" s="1"/>
  <c r="AX279" i="59" s="1"/>
  <c r="AS104" i="59"/>
  <c r="AV104" i="59" s="1"/>
  <c r="AW104" i="59" s="1"/>
  <c r="AX104" i="59" s="1"/>
  <c r="AS540" i="59"/>
  <c r="AV540" i="59" s="1"/>
  <c r="AW540" i="59" s="1"/>
  <c r="AX540" i="59" s="1"/>
  <c r="AS857" i="59"/>
  <c r="AV857" i="59" s="1"/>
  <c r="AW857" i="59" s="1"/>
  <c r="AX857" i="59" s="1"/>
  <c r="AS534" i="59"/>
  <c r="AV534" i="59" s="1"/>
  <c r="AW534" i="59" s="1"/>
  <c r="AX534" i="59" s="1"/>
  <c r="AS506" i="59"/>
  <c r="AV506" i="59" s="1"/>
  <c r="AW506" i="59" s="1"/>
  <c r="AX506" i="59" s="1"/>
  <c r="AS480" i="59"/>
  <c r="AV480" i="59" s="1"/>
  <c r="AW480" i="59" s="1"/>
  <c r="AX480" i="59" s="1"/>
  <c r="AS860" i="59"/>
  <c r="AV860" i="59" s="1"/>
  <c r="AW860" i="59" s="1"/>
  <c r="AX860" i="59" s="1"/>
  <c r="AS157" i="59"/>
  <c r="AV157" i="59" s="1"/>
  <c r="AW157" i="59" s="1"/>
  <c r="AX157" i="59" s="1"/>
  <c r="AS423" i="59"/>
  <c r="AV423" i="59" s="1"/>
  <c r="AW423" i="59" s="1"/>
  <c r="AX423" i="59" s="1"/>
  <c r="AS424" i="59"/>
  <c r="AV424" i="59" s="1"/>
  <c r="AW424" i="59" s="1"/>
  <c r="AX424" i="59" s="1"/>
  <c r="AS555" i="59"/>
  <c r="AV555" i="59" s="1"/>
  <c r="AW555" i="59" s="1"/>
  <c r="AS447" i="59"/>
  <c r="AV447" i="59" s="1"/>
  <c r="AW447" i="59" s="1"/>
  <c r="AX447" i="59" s="1"/>
  <c r="AS140" i="59"/>
  <c r="AV140" i="59" s="1"/>
  <c r="AW140" i="59" s="1"/>
  <c r="AX140" i="59" s="1"/>
  <c r="AS877" i="59"/>
  <c r="AV877" i="59" s="1"/>
  <c r="AW877" i="59" s="1"/>
  <c r="AX877" i="59" s="1"/>
  <c r="AS116" i="59"/>
  <c r="AV116" i="59" s="1"/>
  <c r="AW116" i="59" s="1"/>
  <c r="AX116" i="59" s="1"/>
  <c r="AS252" i="59"/>
  <c r="AV252" i="59" s="1"/>
  <c r="AW252" i="59" s="1"/>
  <c r="AX252" i="59" s="1"/>
  <c r="AS890" i="59"/>
  <c r="AV890" i="59" s="1"/>
  <c r="AW890" i="59" s="1"/>
  <c r="AX890" i="59" s="1"/>
  <c r="AS874" i="59"/>
  <c r="AV874" i="59" s="1"/>
  <c r="AW874" i="59" s="1"/>
  <c r="AX874" i="59" s="1"/>
  <c r="AS292" i="59"/>
  <c r="AV292" i="59" s="1"/>
  <c r="AW292" i="59" s="1"/>
  <c r="AX292" i="59" s="1"/>
  <c r="AS186" i="59"/>
  <c r="AV186" i="59" s="1"/>
  <c r="AW186" i="59" s="1"/>
  <c r="AX186" i="59" s="1"/>
  <c r="AS46" i="59"/>
  <c r="AV46" i="59" s="1"/>
  <c r="AW46" i="59" s="1"/>
  <c r="AX46" i="59" s="1"/>
  <c r="AS264" i="59"/>
  <c r="AV264" i="59" s="1"/>
  <c r="AW264" i="59" s="1"/>
  <c r="AX264" i="59" s="1"/>
  <c r="AS155" i="59"/>
  <c r="AV155" i="59" s="1"/>
  <c r="AW155" i="59" s="1"/>
  <c r="AX155" i="59" s="1"/>
  <c r="AS161" i="59"/>
  <c r="AV161" i="59" s="1"/>
  <c r="AW161" i="59" s="1"/>
  <c r="AX161" i="59" s="1"/>
  <c r="AS285" i="59"/>
  <c r="AV285" i="59" s="1"/>
  <c r="AW285" i="59" s="1"/>
  <c r="AX285" i="59" s="1"/>
  <c r="AS500" i="59"/>
  <c r="AV500" i="59" s="1"/>
  <c r="AW500" i="59" s="1"/>
  <c r="AX500" i="59" s="1"/>
  <c r="AS814" i="59"/>
  <c r="AV814" i="59" s="1"/>
  <c r="AW814" i="59" s="1"/>
  <c r="AX814" i="59" s="1"/>
  <c r="AS758" i="59"/>
  <c r="AV758" i="59" s="1"/>
  <c r="AW758" i="59" s="1"/>
  <c r="AS247" i="59"/>
  <c r="AV247" i="59" s="1"/>
  <c r="AW247" i="59" s="1"/>
  <c r="AX247" i="59" s="1"/>
  <c r="AS151" i="59"/>
  <c r="AV151" i="59" s="1"/>
  <c r="AW151" i="59" s="1"/>
  <c r="AX151" i="59" s="1"/>
  <c r="AS427" i="59"/>
  <c r="AV427" i="59" s="1"/>
  <c r="AW427" i="59" s="1"/>
  <c r="AX427" i="59" s="1"/>
  <c r="AS832" i="59"/>
  <c r="AV832" i="59" s="1"/>
  <c r="AW832" i="59" s="1"/>
  <c r="AX832" i="59" s="1"/>
  <c r="AS579" i="59"/>
  <c r="AV579" i="59" s="1"/>
  <c r="AW579" i="59" s="1"/>
  <c r="AS465" i="59"/>
  <c r="AV465" i="59" s="1"/>
  <c r="AW465" i="59" s="1"/>
  <c r="AX465" i="59" s="1"/>
  <c r="AS824" i="59"/>
  <c r="AV824" i="59" s="1"/>
  <c r="AW824" i="59" s="1"/>
  <c r="AX824" i="59" s="1"/>
  <c r="AS74" i="59"/>
  <c r="AV74" i="59" s="1"/>
  <c r="AW74" i="59" s="1"/>
  <c r="AX74" i="59" s="1"/>
  <c r="AS286" i="59"/>
  <c r="AV286" i="59" s="1"/>
  <c r="AW286" i="59" s="1"/>
  <c r="AX286" i="59" s="1"/>
  <c r="AS165" i="59"/>
  <c r="AV165" i="59" s="1"/>
  <c r="AW165" i="59" s="1"/>
  <c r="AX165" i="59" s="1"/>
  <c r="AS697" i="59"/>
  <c r="AV697" i="59" s="1"/>
  <c r="AW697" i="59" s="1"/>
  <c r="AX697" i="59" s="1"/>
  <c r="AS40" i="59"/>
  <c r="AV40" i="59" s="1"/>
  <c r="AW40" i="59" s="1"/>
  <c r="AX40" i="59" s="1"/>
  <c r="AS460" i="59"/>
  <c r="AV460" i="59" s="1"/>
  <c r="AW460" i="59" s="1"/>
  <c r="AX460" i="59" s="1"/>
  <c r="AS529" i="59"/>
  <c r="AV529" i="59" s="1"/>
  <c r="AW529" i="59" s="1"/>
  <c r="AX529" i="59" s="1"/>
  <c r="AS183" i="59"/>
  <c r="AV183" i="59" s="1"/>
  <c r="AW183" i="59" s="1"/>
  <c r="AX183" i="59" s="1"/>
  <c r="AS378" i="59"/>
  <c r="AV378" i="59" s="1"/>
  <c r="AW378" i="59" s="1"/>
  <c r="AX378" i="59" s="1"/>
  <c r="AS879" i="59"/>
  <c r="AV879" i="59" s="1"/>
  <c r="AW879" i="59" s="1"/>
  <c r="AX879" i="59" s="1"/>
  <c r="AS459" i="59"/>
  <c r="AV459" i="59" s="1"/>
  <c r="AW459" i="59" s="1"/>
  <c r="AX459" i="59" s="1"/>
  <c r="AS880" i="59"/>
  <c r="AV880" i="59" s="1"/>
  <c r="AW880" i="59" s="1"/>
  <c r="AX880" i="59" s="1"/>
  <c r="AS185" i="59"/>
  <c r="AV185" i="59" s="1"/>
  <c r="AW185" i="59" s="1"/>
  <c r="AX185" i="59" s="1"/>
  <c r="AS677" i="59"/>
  <c r="AV677" i="59" s="1"/>
  <c r="AW677" i="59" s="1"/>
  <c r="AS421" i="59"/>
  <c r="AV421" i="59" s="1"/>
  <c r="AW421" i="59" s="1"/>
  <c r="AX421" i="59" s="1"/>
  <c r="AS779" i="59"/>
  <c r="AV779" i="59" s="1"/>
  <c r="AW779" i="59" s="1"/>
  <c r="AX779" i="59" s="1"/>
  <c r="AS370" i="59"/>
  <c r="AV370" i="59" s="1"/>
  <c r="AW370" i="59" s="1"/>
  <c r="AX370" i="59" s="1"/>
  <c r="AS135" i="59"/>
  <c r="AV135" i="59" s="1"/>
  <c r="AW135" i="59" s="1"/>
  <c r="AX135" i="59" s="1"/>
  <c r="AS585" i="59"/>
  <c r="AV585" i="59" s="1"/>
  <c r="AW585" i="59" s="1"/>
  <c r="AX585" i="59" s="1"/>
  <c r="AS468" i="59"/>
  <c r="AV468" i="59" s="1"/>
  <c r="AW468" i="59" s="1"/>
  <c r="AX468" i="59" s="1"/>
  <c r="AS901" i="59"/>
  <c r="AV901" i="59" s="1"/>
  <c r="AW901" i="59" s="1"/>
  <c r="AX901" i="59" s="1"/>
  <c r="AS432" i="59"/>
  <c r="AV432" i="59" s="1"/>
  <c r="AW432" i="59" s="1"/>
  <c r="AX432" i="59" s="1"/>
  <c r="AS405" i="59"/>
  <c r="AV405" i="59" s="1"/>
  <c r="AW405" i="59" s="1"/>
  <c r="AX405" i="59" s="1"/>
  <c r="AS109" i="59"/>
  <c r="AV109" i="59" s="1"/>
  <c r="AW109" i="59" s="1"/>
  <c r="AX109" i="59" s="1"/>
  <c r="AS836" i="59"/>
  <c r="AV836" i="59" s="1"/>
  <c r="AW836" i="59" s="1"/>
  <c r="AX836" i="59" s="1"/>
  <c r="AS316" i="59"/>
  <c r="AV316" i="59" s="1"/>
  <c r="AW316" i="59" s="1"/>
  <c r="AX316" i="59" s="1"/>
  <c r="AS701" i="59"/>
  <c r="AV701" i="59" s="1"/>
  <c r="AW701" i="59" s="1"/>
  <c r="AX701" i="59" s="1"/>
  <c r="AS919" i="59"/>
  <c r="AV919" i="59" s="1"/>
  <c r="AW919" i="59" s="1"/>
  <c r="AS189" i="59"/>
  <c r="AV189" i="59" s="1"/>
  <c r="AW189" i="59" s="1"/>
  <c r="AX189" i="59" s="1"/>
  <c r="AS383" i="59"/>
  <c r="AV383" i="59" s="1"/>
  <c r="AW383" i="59" s="1"/>
  <c r="AX383" i="59" s="1"/>
  <c r="AS138" i="59"/>
  <c r="AV138" i="59" s="1"/>
  <c r="AW138" i="59" s="1"/>
  <c r="AX138" i="59" s="1"/>
  <c r="AS967" i="59"/>
  <c r="AV967" i="59" s="1"/>
  <c r="AX967" i="59" s="1"/>
  <c r="AS99" i="59"/>
  <c r="AV99" i="59" s="1"/>
  <c r="AW99" i="59" s="1"/>
  <c r="AX99" i="59" s="1"/>
  <c r="AS149" i="59"/>
  <c r="AV149" i="59" s="1"/>
  <c r="AW149" i="59" s="1"/>
  <c r="AX149" i="59" s="1"/>
  <c r="AS486" i="59"/>
  <c r="AV486" i="59" s="1"/>
  <c r="AW486" i="59" s="1"/>
  <c r="AX486" i="59" s="1"/>
  <c r="AS884" i="59"/>
  <c r="AV884" i="59" s="1"/>
  <c r="AW884" i="59" s="1"/>
  <c r="AX884" i="59" s="1"/>
  <c r="AS623" i="59"/>
  <c r="AV623" i="59" s="1"/>
  <c r="AW623" i="59" s="1"/>
  <c r="AX623" i="59" s="1"/>
  <c r="AS523" i="59"/>
  <c r="AV523" i="59" s="1"/>
  <c r="AW523" i="59" s="1"/>
  <c r="AX523" i="59" s="1"/>
  <c r="AS163" i="59"/>
  <c r="AV163" i="59" s="1"/>
  <c r="AW163" i="59" s="1"/>
  <c r="AX163" i="59" s="1"/>
  <c r="AS788" i="59"/>
  <c r="AV788" i="59" s="1"/>
  <c r="AX788" i="59" s="1"/>
  <c r="AS897" i="59"/>
  <c r="AV897" i="59" s="1"/>
  <c r="AW897" i="59" s="1"/>
  <c r="AX897" i="59" s="1"/>
  <c r="AS796" i="59"/>
  <c r="AV796" i="59" s="1"/>
  <c r="AW796" i="59" s="1"/>
  <c r="AX796" i="59" s="1"/>
  <c r="AS281" i="59"/>
  <c r="AV281" i="59" s="1"/>
  <c r="AW281" i="59" s="1"/>
  <c r="AX281" i="59" s="1"/>
  <c r="AS827" i="59"/>
  <c r="AV827" i="59" s="1"/>
  <c r="AW827" i="59" s="1"/>
  <c r="AX827" i="59" s="1"/>
  <c r="AS892" i="59"/>
  <c r="AV892" i="59" s="1"/>
  <c r="AW892" i="59" s="1"/>
  <c r="AX892" i="59" s="1"/>
  <c r="AS225" i="59"/>
  <c r="AV225" i="59" s="1"/>
  <c r="AW225" i="59" s="1"/>
  <c r="AX225" i="59" s="1"/>
  <c r="AS870" i="59"/>
  <c r="AV870" i="59" s="1"/>
  <c r="AW870" i="59" s="1"/>
  <c r="AX870" i="59" s="1"/>
  <c r="AS907" i="59"/>
  <c r="AV907" i="59" s="1"/>
  <c r="AW907" i="59" s="1"/>
  <c r="AX907" i="59" s="1"/>
  <c r="AS539" i="59"/>
  <c r="AV539" i="59" s="1"/>
  <c r="AW539" i="59" s="1"/>
  <c r="AX539" i="59" s="1"/>
  <c r="AS450" i="59"/>
  <c r="AV450" i="59" s="1"/>
  <c r="AW450" i="59" s="1"/>
  <c r="AX450" i="59" s="1"/>
  <c r="AS228" i="59"/>
  <c r="AV228" i="59" s="1"/>
  <c r="AW228" i="59" s="1"/>
  <c r="AX228" i="59" s="1"/>
  <c r="AS277" i="59"/>
  <c r="AV277" i="59" s="1"/>
  <c r="AW277" i="59" s="1"/>
  <c r="AX277" i="59" s="1"/>
  <c r="AS216" i="59"/>
  <c r="AV216" i="59" s="1"/>
  <c r="AW216" i="59" s="1"/>
  <c r="AX216" i="59" s="1"/>
  <c r="AS703" i="59"/>
  <c r="AV703" i="59" s="1"/>
  <c r="AW703" i="59" s="1"/>
  <c r="AX703" i="59" s="1"/>
  <c r="AS524" i="59"/>
  <c r="AV524" i="59" s="1"/>
  <c r="AW524" i="59" s="1"/>
  <c r="AX524" i="59" s="1"/>
  <c r="AS971" i="59"/>
  <c r="AV971" i="59" s="1"/>
  <c r="AW971" i="59" s="1"/>
  <c r="AS332" i="59"/>
  <c r="AV332" i="59" s="1"/>
  <c r="AW332" i="59" s="1"/>
  <c r="AX332" i="59" s="1"/>
  <c r="AS425" i="59"/>
  <c r="AV425" i="59" s="1"/>
  <c r="AW425" i="59" s="1"/>
  <c r="AX425" i="59" s="1"/>
  <c r="AS462" i="59"/>
  <c r="AV462" i="59" s="1"/>
  <c r="AW462" i="59" s="1"/>
  <c r="AX462" i="59" s="1"/>
  <c r="AS417" i="59"/>
  <c r="AV417" i="59" s="1"/>
  <c r="AW417" i="59" s="1"/>
  <c r="AX417" i="59" s="1"/>
  <c r="AS429" i="59"/>
  <c r="AV429" i="59" s="1"/>
  <c r="AW429" i="59" s="1"/>
  <c r="AX429" i="59" s="1"/>
  <c r="AS377" i="59"/>
  <c r="AV377" i="59" s="1"/>
  <c r="AW377" i="59" s="1"/>
  <c r="AX377" i="59" s="1"/>
  <c r="AS865" i="59"/>
  <c r="AV865" i="59" s="1"/>
  <c r="AW865" i="59" s="1"/>
  <c r="AX865" i="59" s="1"/>
  <c r="AS393" i="59"/>
  <c r="AV393" i="59" s="1"/>
  <c r="AW393" i="59" s="1"/>
  <c r="AX393" i="59" s="1"/>
  <c r="AS822" i="59"/>
  <c r="AV822" i="59" s="1"/>
  <c r="AW822" i="59" s="1"/>
  <c r="AX822" i="59" s="1"/>
  <c r="AS882" i="59"/>
  <c r="AV882" i="59" s="1"/>
  <c r="AW882" i="59" s="1"/>
  <c r="AX882" i="59" s="1"/>
  <c r="AS757" i="59"/>
  <c r="AV757" i="59" s="1"/>
  <c r="AX757" i="59" s="1"/>
  <c r="AS810" i="59"/>
  <c r="AV810" i="59" s="1"/>
  <c r="AW810" i="59" s="1"/>
  <c r="AX810" i="59" s="1"/>
  <c r="AS25" i="59"/>
  <c r="AV25" i="59" s="1"/>
  <c r="AW25" i="59" s="1"/>
  <c r="AX25" i="59" s="1"/>
  <c r="AS527" i="59"/>
  <c r="AV527" i="59" s="1"/>
  <c r="AW527" i="59" s="1"/>
  <c r="AX527" i="59" s="1"/>
  <c r="AS387" i="59"/>
  <c r="AV387" i="59" s="1"/>
  <c r="AW387" i="59" s="1"/>
  <c r="AX387" i="59" s="1"/>
  <c r="AS392" i="59"/>
  <c r="AV392" i="59" s="1"/>
  <c r="AW392" i="59" s="1"/>
  <c r="AX392" i="59" s="1"/>
  <c r="AS457" i="59"/>
  <c r="AV457" i="59" s="1"/>
  <c r="AW457" i="59" s="1"/>
  <c r="AX457" i="59" s="1"/>
  <c r="AS729" i="59"/>
  <c r="AV729" i="59" s="1"/>
  <c r="AW729" i="59" s="1"/>
  <c r="AX729" i="59" s="1"/>
  <c r="AS494" i="59"/>
  <c r="AV494" i="59" s="1"/>
  <c r="AW494" i="59" s="1"/>
  <c r="AX494" i="59" s="1"/>
  <c r="AS962" i="59"/>
  <c r="AV962" i="59" s="1"/>
  <c r="AW962" i="59" s="1"/>
  <c r="AX962" i="59" s="1"/>
  <c r="AS239" i="59"/>
  <c r="AV239" i="59" s="1"/>
  <c r="AW239" i="59" s="1"/>
  <c r="AX239" i="59" s="1"/>
  <c r="AS482" i="59"/>
  <c r="AV482" i="59" s="1"/>
  <c r="AW482" i="59" s="1"/>
  <c r="AX482" i="59" s="1"/>
  <c r="AS495" i="59"/>
  <c r="AV495" i="59" s="1"/>
  <c r="AW495" i="59" s="1"/>
  <c r="AX495" i="59" s="1"/>
  <c r="AS419" i="59"/>
  <c r="AV419" i="59" s="1"/>
  <c r="AW419" i="59" s="1"/>
  <c r="AX419" i="59" s="1"/>
  <c r="AS866" i="59"/>
  <c r="AV866" i="59" s="1"/>
  <c r="AW866" i="59" s="1"/>
  <c r="AX866" i="59" s="1"/>
  <c r="AS399" i="59"/>
  <c r="AV399" i="59" s="1"/>
  <c r="AX399" i="59" s="1"/>
  <c r="AS146" i="59"/>
  <c r="AV146" i="59" s="1"/>
  <c r="AW146" i="59" s="1"/>
  <c r="AX146" i="59" s="1"/>
  <c r="AS752" i="59"/>
  <c r="AV752" i="59" s="1"/>
  <c r="AW752" i="59" s="1"/>
  <c r="AX752" i="59" s="1"/>
  <c r="AS893" i="59"/>
  <c r="AV893" i="59" s="1"/>
  <c r="AW893" i="59" s="1"/>
  <c r="AX893" i="59" s="1"/>
  <c r="AS733" i="59"/>
  <c r="AV733" i="59" s="1"/>
  <c r="AW733" i="59" s="1"/>
  <c r="AX733" i="59" s="1"/>
  <c r="AS594" i="59"/>
  <c r="AV594" i="59" s="1"/>
  <c r="AW594" i="59" s="1"/>
  <c r="AX594" i="59" s="1"/>
  <c r="AS640" i="59"/>
  <c r="AV640" i="59" s="1"/>
  <c r="AW640" i="59" s="1"/>
  <c r="AX640" i="59" s="1"/>
  <c r="AS141" i="59"/>
  <c r="AV141" i="59" s="1"/>
  <c r="AW141" i="59" s="1"/>
  <c r="AX141" i="59" s="1"/>
  <c r="AS591" i="59"/>
  <c r="AV591" i="59" s="1"/>
  <c r="AW591" i="59" s="1"/>
  <c r="AX591" i="59" s="1"/>
  <c r="AS463" i="59"/>
  <c r="AV463" i="59" s="1"/>
  <c r="AW463" i="59" s="1"/>
  <c r="AX463" i="59" s="1"/>
  <c r="AS484" i="59"/>
  <c r="AV484" i="59" s="1"/>
  <c r="AW484" i="59" s="1"/>
  <c r="AX484" i="59" s="1"/>
  <c r="AS551" i="59"/>
  <c r="AV551" i="59" s="1"/>
  <c r="AW551" i="59" s="1"/>
  <c r="AX551" i="59" s="1"/>
  <c r="AS467" i="59"/>
  <c r="AV467" i="59" s="1"/>
  <c r="AW467" i="59" s="1"/>
  <c r="AX467" i="59" s="1"/>
  <c r="AS65" i="59"/>
  <c r="AV65" i="59" s="1"/>
  <c r="AW65" i="59" s="1"/>
  <c r="AX65" i="59" s="1"/>
  <c r="AS609" i="59"/>
  <c r="AV609" i="59" s="1"/>
  <c r="AW609" i="59" s="1"/>
  <c r="AX609" i="59" s="1"/>
  <c r="AS485" i="59"/>
  <c r="AV485" i="59" s="1"/>
  <c r="AW485" i="59" s="1"/>
  <c r="AX485" i="59" s="1"/>
  <c r="AS675" i="59"/>
  <c r="AV675" i="59" s="1"/>
  <c r="AW675" i="59" s="1"/>
  <c r="AS557" i="59"/>
  <c r="AV557" i="59" s="1"/>
  <c r="AW557" i="59" s="1"/>
  <c r="AS620" i="59"/>
  <c r="AV620" i="59" s="1"/>
  <c r="AW620" i="59" s="1"/>
  <c r="AX620" i="59" s="1"/>
  <c r="AS711" i="59"/>
  <c r="AV711" i="59" s="1"/>
  <c r="AW711" i="59" s="1"/>
  <c r="AX711" i="59" s="1"/>
  <c r="AS656" i="59"/>
  <c r="AV656" i="59" s="1"/>
  <c r="AW656" i="59" s="1"/>
  <c r="AX656" i="59" s="1"/>
  <c r="AS815" i="59"/>
  <c r="AV815" i="59" s="1"/>
  <c r="AW815" i="59" s="1"/>
  <c r="AX815" i="59" s="1"/>
  <c r="AS762" i="59"/>
  <c r="AV762" i="59" s="1"/>
  <c r="AW762" i="59" s="1"/>
  <c r="AX762" i="59" s="1"/>
  <c r="AS428" i="59"/>
  <c r="AV428" i="59" s="1"/>
  <c r="AW428" i="59" s="1"/>
  <c r="AX428" i="59" s="1"/>
  <c r="AS811" i="59"/>
  <c r="AV811" i="59" s="1"/>
  <c r="AW811" i="59" s="1"/>
  <c r="AX811" i="59" s="1"/>
  <c r="AS133" i="59"/>
  <c r="AV133" i="59" s="1"/>
  <c r="AW133" i="59" s="1"/>
  <c r="AX133" i="59" s="1"/>
  <c r="AS902" i="59"/>
  <c r="AV902" i="59" s="1"/>
  <c r="AW902" i="59" s="1"/>
  <c r="AX902" i="59" s="1"/>
  <c r="AS390" i="59"/>
  <c r="AV390" i="59" s="1"/>
  <c r="AW390" i="59" s="1"/>
  <c r="AX390" i="59" s="1"/>
  <c r="AS409" i="59"/>
  <c r="AV409" i="59" s="1"/>
  <c r="AW409" i="59" s="1"/>
  <c r="AX409" i="59" s="1"/>
  <c r="AS554" i="59"/>
  <c r="AV554" i="59" s="1"/>
  <c r="AW554" i="59" s="1"/>
  <c r="AS389" i="59"/>
  <c r="AV389" i="59" s="1"/>
  <c r="AW389" i="59" s="1"/>
  <c r="AX389" i="59" s="1"/>
  <c r="AS922" i="59"/>
  <c r="AV922" i="59" s="1"/>
  <c r="AW922" i="59" s="1"/>
  <c r="AS194" i="59"/>
  <c r="AV194" i="59" s="1"/>
  <c r="AW194" i="59" s="1"/>
  <c r="AS148" i="59"/>
  <c r="AV148" i="59" s="1"/>
  <c r="AW148" i="59" s="1"/>
  <c r="AX148" i="59" s="1"/>
  <c r="AS835" i="59"/>
  <c r="AV835" i="59" s="1"/>
  <c r="AW835" i="59" s="1"/>
  <c r="AX835" i="59" s="1"/>
  <c r="AS105" i="59"/>
  <c r="AV105" i="59" s="1"/>
  <c r="AW105" i="59" s="1"/>
  <c r="AX105" i="59" s="1"/>
  <c r="AS193" i="59"/>
  <c r="AV193" i="59" s="1"/>
  <c r="AW193" i="59" s="1"/>
  <c r="AS705" i="59"/>
  <c r="AV705" i="59" s="1"/>
  <c r="AW705" i="59" s="1"/>
  <c r="AX705" i="59" s="1"/>
  <c r="AS833" i="59"/>
  <c r="AV833" i="59" s="1"/>
  <c r="AW833" i="59" s="1"/>
  <c r="AX833" i="59" s="1"/>
  <c r="AS629" i="59"/>
  <c r="AV629" i="59" s="1"/>
  <c r="AW629" i="59" s="1"/>
  <c r="AX629" i="59" s="1"/>
  <c r="AS809" i="59"/>
  <c r="AV809" i="59" s="1"/>
  <c r="AW809" i="59" s="1"/>
  <c r="AX809" i="59" s="1"/>
  <c r="AS521" i="59"/>
  <c r="AV521" i="59" s="1"/>
  <c r="AW521" i="59" s="1"/>
  <c r="AX521" i="59" s="1"/>
  <c r="AS456" i="59"/>
  <c r="AV456" i="59" s="1"/>
  <c r="AW456" i="59" s="1"/>
  <c r="AX456" i="59" s="1"/>
  <c r="AS52" i="59"/>
  <c r="AV52" i="59" s="1"/>
  <c r="AW52" i="59" s="1"/>
  <c r="AX52" i="59" s="1"/>
  <c r="AS413" i="59"/>
  <c r="AV413" i="59" s="1"/>
  <c r="AW413" i="59" s="1"/>
  <c r="AX413" i="59" s="1"/>
  <c r="AS214" i="59"/>
  <c r="AV214" i="59" s="1"/>
  <c r="AW214" i="59" s="1"/>
  <c r="AX214" i="59" s="1"/>
  <c r="AS376" i="59"/>
  <c r="AV376" i="59" s="1"/>
  <c r="AW376" i="59" s="1"/>
  <c r="AX376" i="59" s="1"/>
  <c r="AS972" i="59"/>
  <c r="AV972" i="59" s="1"/>
  <c r="AW972" i="59" s="1"/>
  <c r="AS808" i="59"/>
  <c r="AV808" i="59" s="1"/>
  <c r="AW808" i="59" s="1"/>
  <c r="AX808" i="59" s="1"/>
  <c r="AS823" i="59"/>
  <c r="AV823" i="59" s="1"/>
  <c r="AW823" i="59" s="1"/>
  <c r="AX823" i="59" s="1"/>
  <c r="AS509" i="59"/>
  <c r="AV509" i="59" s="1"/>
  <c r="AW509" i="59" s="1"/>
  <c r="AX509" i="59" s="1"/>
  <c r="AS707" i="59"/>
  <c r="AV707" i="59" s="1"/>
  <c r="AW707" i="59" s="1"/>
  <c r="AX707" i="59" s="1"/>
  <c r="AS483" i="59"/>
  <c r="AV483" i="59" s="1"/>
  <c r="AW483" i="59" s="1"/>
  <c r="AX483" i="59" s="1"/>
  <c r="AS464" i="59"/>
  <c r="AV464" i="59" s="1"/>
  <c r="AW464" i="59" s="1"/>
  <c r="AX464" i="59" s="1"/>
  <c r="AS374" i="59"/>
  <c r="AV374" i="59" s="1"/>
  <c r="AW374" i="59" s="1"/>
  <c r="AX374" i="59" s="1"/>
  <c r="AS538" i="59"/>
  <c r="AV538" i="59" s="1"/>
  <c r="AW538" i="59" s="1"/>
  <c r="AX538" i="59" s="1"/>
  <c r="AS858" i="59"/>
  <c r="AV858" i="59" s="1"/>
  <c r="AW858" i="59" s="1"/>
  <c r="AX858" i="59" s="1"/>
  <c r="AS385" i="59"/>
  <c r="AV385" i="59" s="1"/>
  <c r="AW385" i="59" s="1"/>
  <c r="AX385" i="59" s="1"/>
  <c r="AS178" i="59"/>
  <c r="AV178" i="59" s="1"/>
  <c r="AW178" i="59" s="1"/>
  <c r="AX178" i="59" s="1"/>
  <c r="AS652" i="59"/>
  <c r="AV652" i="59" s="1"/>
  <c r="AW652" i="59" s="1"/>
  <c r="AX652" i="59" s="1"/>
  <c r="AS900" i="59"/>
  <c r="AV900" i="59" s="1"/>
  <c r="AW900" i="59" s="1"/>
  <c r="AX900" i="59" s="1"/>
  <c r="AS375" i="59"/>
  <c r="AV375" i="59" s="1"/>
  <c r="AW375" i="59" s="1"/>
  <c r="AX375" i="59" s="1"/>
  <c r="AS369" i="59"/>
  <c r="AV369" i="59" s="1"/>
  <c r="AW369" i="59" s="1"/>
  <c r="AX369" i="59" s="1"/>
  <c r="AS368" i="59"/>
  <c r="AV368" i="59" s="1"/>
  <c r="AW368" i="59" s="1"/>
  <c r="AX368" i="59" s="1"/>
  <c r="AS379" i="59"/>
  <c r="AV379" i="59" s="1"/>
  <c r="AW379" i="59" s="1"/>
  <c r="AX379" i="59" s="1"/>
  <c r="AS695" i="59"/>
  <c r="AV695" i="59" s="1"/>
  <c r="AW695" i="59" s="1"/>
  <c r="AX695" i="59" s="1"/>
  <c r="AO373" i="59"/>
  <c r="AP373" i="59" s="1"/>
  <c r="AS373" i="59" s="1"/>
  <c r="AV373" i="59" s="1"/>
  <c r="AW373" i="59" s="1"/>
  <c r="AX373" i="59" s="1"/>
  <c r="AS12" i="59"/>
  <c r="AV12" i="59" s="1"/>
  <c r="AW12" i="59" s="1"/>
  <c r="AX12" i="59" s="1"/>
  <c r="AS11" i="59"/>
  <c r="AV11" i="59" s="1"/>
  <c r="AW11" i="59" s="1"/>
  <c r="AX11" i="59" s="1"/>
  <c r="AS24" i="59"/>
  <c r="AV24" i="59" s="1"/>
  <c r="AW24" i="59" s="1"/>
  <c r="AX24" i="59" s="1"/>
  <c r="AS13" i="59"/>
  <c r="AV13" i="59" s="1"/>
  <c r="AW13" i="59" s="1"/>
  <c r="AX13" i="59" s="1"/>
  <c r="BD5" i="30"/>
  <c r="BD8" i="30"/>
  <c r="BD7" i="30"/>
  <c r="BD9" i="30"/>
  <c r="AX351" i="59"/>
  <c r="AW351" i="59"/>
  <c r="AW562" i="59"/>
  <c r="AX562" i="59"/>
  <c r="AW571" i="59"/>
  <c r="AX571" i="59"/>
  <c r="AW662" i="59"/>
  <c r="AX662" i="59"/>
  <c r="AW678" i="59"/>
  <c r="AX678" i="59"/>
  <c r="AW682" i="59"/>
  <c r="AX682" i="59"/>
  <c r="AW791" i="59"/>
  <c r="AX791" i="59"/>
  <c r="AW917" i="59"/>
  <c r="AX917" i="59"/>
  <c r="AW574" i="59"/>
  <c r="AX574" i="59"/>
  <c r="AW674" i="59"/>
  <c r="AX674" i="59"/>
  <c r="AW396" i="59"/>
  <c r="AX396" i="59"/>
  <c r="AW683" i="59"/>
  <c r="AX683" i="59"/>
  <c r="AW742" i="59"/>
  <c r="AX742" i="59"/>
  <c r="AW353" i="59"/>
  <c r="AX353" i="59"/>
  <c r="AW573" i="59"/>
  <c r="AX573" i="59"/>
  <c r="AW578" i="59"/>
  <c r="AX578" i="59"/>
  <c r="AW665" i="59"/>
  <c r="AX665" i="59"/>
  <c r="AW714" i="59"/>
  <c r="AX714" i="59"/>
  <c r="AW786" i="59"/>
  <c r="AX786" i="59"/>
  <c r="AW951" i="59"/>
  <c r="AX951" i="59"/>
  <c r="AW974" i="59"/>
  <c r="AX974" i="59"/>
  <c r="AW660" i="59"/>
  <c r="AX660" i="59"/>
  <c r="AW741" i="59"/>
  <c r="AX741" i="59"/>
  <c r="AW925" i="59"/>
  <c r="AX925" i="59"/>
  <c r="AW352" i="59"/>
  <c r="AX352" i="59"/>
  <c r="AW398" i="59"/>
  <c r="AX398" i="59"/>
  <c r="AW568" i="59"/>
  <c r="AX568" i="59"/>
  <c r="AW784" i="59"/>
  <c r="AX784" i="59"/>
  <c r="AW983" i="59"/>
  <c r="AX983" i="59"/>
  <c r="AW664" i="59"/>
  <c r="AX664" i="59"/>
  <c r="AW561" i="59"/>
  <c r="AX561" i="59"/>
  <c r="AW582" i="59"/>
  <c r="AX582" i="59"/>
  <c r="AW580" i="59"/>
  <c r="AX580" i="59"/>
  <c r="AW659" i="59"/>
  <c r="AX659" i="59"/>
  <c r="AW663" i="59"/>
  <c r="AX663" i="59"/>
  <c r="AW676" i="59"/>
  <c r="AX676" i="59"/>
  <c r="AW681" i="59"/>
  <c r="AX681" i="59"/>
  <c r="AW781" i="59"/>
  <c r="AX781" i="59"/>
  <c r="AW782" i="59"/>
  <c r="AX782" i="59"/>
  <c r="AW955" i="59"/>
  <c r="AX955" i="59"/>
  <c r="V936" i="59"/>
  <c r="AT936" i="59" s="1"/>
  <c r="V212" i="59"/>
  <c r="AT212" i="59" s="1"/>
  <c r="AS212" i="59" s="1"/>
  <c r="AV212" i="59" s="1"/>
  <c r="AW212" i="59" s="1"/>
  <c r="AX212" i="59" s="1"/>
  <c r="V958" i="59"/>
  <c r="AT958" i="59" s="1"/>
  <c r="AS958" i="59" s="1"/>
  <c r="AV958" i="59" s="1"/>
  <c r="AW958" i="59" s="1"/>
  <c r="AX958" i="59" s="1"/>
  <c r="V516" i="59"/>
  <c r="AT516" i="59" s="1"/>
  <c r="AS516" i="59" s="1"/>
  <c r="AV516" i="59" s="1"/>
  <c r="AW516" i="59" s="1"/>
  <c r="AX516" i="59" s="1"/>
  <c r="AF283" i="59"/>
  <c r="AF749" i="59"/>
  <c r="V10" i="59"/>
  <c r="AT10" i="59" s="1"/>
  <c r="AS10" i="59" s="1"/>
  <c r="AV10" i="59" s="1"/>
  <c r="AW10" i="59" s="1"/>
  <c r="AX10" i="59" s="1"/>
  <c r="V985" i="59"/>
  <c r="AT985" i="59" s="1"/>
  <c r="AS985" i="59" s="1"/>
  <c r="AV985" i="59" s="1"/>
  <c r="AF439" i="59"/>
  <c r="V605" i="59"/>
  <c r="AT605" i="59" s="1"/>
  <c r="AS605" i="59" s="1"/>
  <c r="AV605" i="59" s="1"/>
  <c r="AW605" i="59" s="1"/>
  <c r="AX605" i="59" s="1"/>
  <c r="AF926" i="59"/>
  <c r="V783" i="59"/>
  <c r="AT783" i="59" s="1"/>
  <c r="AS783" i="59" s="1"/>
  <c r="AV783" i="59" s="1"/>
  <c r="V856" i="59"/>
  <c r="AT856" i="59" s="1"/>
  <c r="V196" i="59"/>
  <c r="AT196" i="59" s="1"/>
  <c r="AS196" i="59" s="1"/>
  <c r="AV196" i="59" s="1"/>
  <c r="AW196" i="59" s="1"/>
  <c r="AX196" i="59" s="1"/>
  <c r="AF98" i="59"/>
  <c r="AF946" i="59"/>
  <c r="V9" i="59"/>
  <c r="AT9" i="59" s="1"/>
  <c r="AS9" i="59" s="1"/>
  <c r="AV9" i="59" s="1"/>
  <c r="AW9" i="59" s="1"/>
  <c r="AX9" i="59" s="1"/>
  <c r="AF915" i="59"/>
  <c r="AF726" i="59"/>
  <c r="V973" i="59"/>
  <c r="AT973" i="59" s="1"/>
  <c r="AS973" i="59" s="1"/>
  <c r="AV973" i="59" s="1"/>
  <c r="V984" i="59"/>
  <c r="AT984" i="59" s="1"/>
  <c r="V941" i="59"/>
  <c r="AT941" i="59" s="1"/>
  <c r="V805" i="59"/>
  <c r="AT805" i="59" s="1"/>
  <c r="V18" i="59"/>
  <c r="AT18" i="59" s="1"/>
  <c r="AS18" i="59" s="1"/>
  <c r="AV18" i="59" s="1"/>
  <c r="AW18" i="59" s="1"/>
  <c r="AX18" i="59" s="1"/>
  <c r="V686" i="59"/>
  <c r="AT686" i="59" s="1"/>
  <c r="AS686" i="59" s="1"/>
  <c r="AV686" i="59" s="1"/>
  <c r="AW686" i="59" s="1"/>
  <c r="AX686" i="59" s="1"/>
  <c r="AF356" i="59"/>
  <c r="V970" i="59"/>
  <c r="AT970" i="59" s="1"/>
  <c r="AS970" i="59" s="1"/>
  <c r="AV970" i="59" s="1"/>
  <c r="AF978" i="59"/>
  <c r="V928" i="59"/>
  <c r="AT928" i="59" s="1"/>
  <c r="AS928" i="59" s="1"/>
  <c r="AV928" i="59" s="1"/>
  <c r="V435" i="59"/>
  <c r="AT435" i="59" s="1"/>
  <c r="AS435" i="59" s="1"/>
  <c r="AV435" i="59" s="1"/>
  <c r="AW435" i="59" s="1"/>
  <c r="AX435" i="59" s="1"/>
  <c r="V909" i="59"/>
  <c r="AT909" i="59" s="1"/>
  <c r="AS909" i="59" s="1"/>
  <c r="AV909" i="59" s="1"/>
  <c r="V584" i="59"/>
  <c r="AT584" i="59" s="1"/>
  <c r="AS584" i="59" s="1"/>
  <c r="AV584" i="59" s="1"/>
  <c r="AW584" i="59" s="1"/>
  <c r="AX584" i="59" s="1"/>
  <c r="V35" i="59"/>
  <c r="AT35" i="59" s="1"/>
  <c r="AS35" i="59" s="1"/>
  <c r="AV35" i="59" s="1"/>
  <c r="AW35" i="59" s="1"/>
  <c r="AX35" i="59" s="1"/>
  <c r="V838" i="59"/>
  <c r="AT838" i="59" s="1"/>
  <c r="AS838" i="59" s="1"/>
  <c r="AV838" i="59" s="1"/>
  <c r="AW838" i="59" s="1"/>
  <c r="AX838" i="59" s="1"/>
  <c r="V947" i="59"/>
  <c r="AT947" i="59" s="1"/>
  <c r="AS947" i="59" s="1"/>
  <c r="AV947" i="59" s="1"/>
  <c r="V23" i="59"/>
  <c r="AT23" i="59" s="1"/>
  <c r="AS23" i="59" s="1"/>
  <c r="AV23" i="59" s="1"/>
  <c r="AW23" i="59" s="1"/>
  <c r="AX23" i="59" s="1"/>
  <c r="V740" i="59"/>
  <c r="AT740" i="59" s="1"/>
  <c r="AS740" i="59" s="1"/>
  <c r="AV740" i="59" s="1"/>
  <c r="V873" i="59"/>
  <c r="AT873" i="59" s="1"/>
  <c r="AS873" i="59" s="1"/>
  <c r="AV873" i="59" s="1"/>
  <c r="AW873" i="59" s="1"/>
  <c r="AX873" i="59" s="1"/>
  <c r="AF633" i="59"/>
  <c r="V734" i="59"/>
  <c r="AT734" i="59" s="1"/>
  <c r="AS734" i="59" s="1"/>
  <c r="AV734" i="59" s="1"/>
  <c r="AW734" i="59" s="1"/>
  <c r="AX734" i="59" s="1"/>
  <c r="V700" i="59"/>
  <c r="AT700" i="59" s="1"/>
  <c r="AS700" i="59" s="1"/>
  <c r="AV700" i="59" s="1"/>
  <c r="AW700" i="59" s="1"/>
  <c r="AX700" i="59" s="1"/>
  <c r="V28" i="59"/>
  <c r="AT28" i="59" s="1"/>
  <c r="AS28" i="59" s="1"/>
  <c r="AV28" i="59" s="1"/>
  <c r="AW28" i="59" s="1"/>
  <c r="AX28" i="59" s="1"/>
  <c r="V173" i="59"/>
  <c r="AT173" i="59" s="1"/>
  <c r="AS173" i="59" s="1"/>
  <c r="AV173" i="59" s="1"/>
  <c r="AW173" i="59" s="1"/>
  <c r="AX173" i="59" s="1"/>
  <c r="AF333" i="59"/>
  <c r="V957" i="59"/>
  <c r="AT957" i="59" s="1"/>
  <c r="AS957" i="59" s="1"/>
  <c r="AV957" i="59" s="1"/>
  <c r="AW957" i="59" s="1"/>
  <c r="AX957" i="59" s="1"/>
  <c r="AF780" i="59"/>
  <c r="V943" i="59"/>
  <c r="AT943" i="59" s="1"/>
  <c r="AF443" i="59"/>
  <c r="AF913" i="59"/>
  <c r="AF102" i="59"/>
  <c r="V593" i="59"/>
  <c r="AT593" i="59" s="1"/>
  <c r="AS593" i="59" s="1"/>
  <c r="AV593" i="59" s="1"/>
  <c r="AW593" i="59" s="1"/>
  <c r="AX593" i="59" s="1"/>
  <c r="AF80" i="59"/>
  <c r="V932" i="59"/>
  <c r="AT932" i="59" s="1"/>
  <c r="AS932" i="59" s="1"/>
  <c r="AV932" i="59" s="1"/>
  <c r="AW932" i="59" s="1"/>
  <c r="AX932" i="59" s="1"/>
  <c r="AF319" i="59"/>
  <c r="AF44" i="59"/>
  <c r="V991" i="59"/>
  <c r="AT991" i="59" s="1"/>
  <c r="AS991" i="59" s="1"/>
  <c r="AV991" i="59" s="1"/>
  <c r="AF288" i="59"/>
  <c r="V471" i="59"/>
  <c r="AT471" i="59" s="1"/>
  <c r="AS471" i="59" s="1"/>
  <c r="AV471" i="59" s="1"/>
  <c r="AW471" i="59" s="1"/>
  <c r="AX471" i="59" s="1"/>
  <c r="AF855" i="59"/>
  <c r="AF441" i="59"/>
  <c r="V515" i="59"/>
  <c r="AT515" i="59" s="1"/>
  <c r="AS515" i="59" s="1"/>
  <c r="AV515" i="59" s="1"/>
  <c r="AW515" i="59" s="1"/>
  <c r="AX515" i="59" s="1"/>
  <c r="V910" i="59"/>
  <c r="AT910" i="59" s="1"/>
  <c r="AS910" i="59" s="1"/>
  <c r="AV910" i="59" s="1"/>
  <c r="AF911" i="59"/>
  <c r="AF314" i="59"/>
  <c r="AF358" i="59"/>
  <c r="AF912" i="59"/>
  <c r="AF330" i="59"/>
  <c r="V518" i="59"/>
  <c r="AT518" i="59" s="1"/>
  <c r="AS518" i="59" s="1"/>
  <c r="AV518" i="59" s="1"/>
  <c r="AW518" i="59" s="1"/>
  <c r="AX518" i="59" s="1"/>
  <c r="V343" i="59"/>
  <c r="AT343" i="59" s="1"/>
  <c r="AS343" i="59" s="1"/>
  <c r="AV343" i="59" s="1"/>
  <c r="AW343" i="59" s="1"/>
  <c r="AX343" i="59" s="1"/>
  <c r="V576" i="59"/>
  <c r="AT576" i="59" s="1"/>
  <c r="AS576" i="59" s="1"/>
  <c r="AV576" i="59" s="1"/>
  <c r="AF400" i="59"/>
  <c r="V956" i="59"/>
  <c r="AT956" i="59" s="1"/>
  <c r="AS956" i="59" s="1"/>
  <c r="AV956" i="59" s="1"/>
  <c r="V101" i="59"/>
  <c r="AT101" i="59" s="1"/>
  <c r="AF715" i="59"/>
  <c r="V556" i="59"/>
  <c r="AT556" i="59" s="1"/>
  <c r="AS556" i="59" s="1"/>
  <c r="AV556" i="59" s="1"/>
  <c r="V993" i="59"/>
  <c r="AT993" i="59" s="1"/>
  <c r="AS993" i="59" s="1"/>
  <c r="AV993" i="59" s="1"/>
  <c r="AF190" i="59"/>
  <c r="AF14" i="59"/>
  <c r="V968" i="59"/>
  <c r="AT968" i="59" s="1"/>
  <c r="AS968" i="59" s="1"/>
  <c r="AV968" i="59" s="1"/>
  <c r="AW968" i="59" s="1"/>
  <c r="AX968" i="59" s="1"/>
  <c r="AF280" i="59"/>
  <c r="V642" i="59"/>
  <c r="AT642" i="59" s="1"/>
  <c r="AS642" i="59" s="1"/>
  <c r="AV642" i="59" s="1"/>
  <c r="AW642" i="59" s="1"/>
  <c r="AX642" i="59" s="1"/>
  <c r="V43" i="59"/>
  <c r="AT43" i="59" s="1"/>
  <c r="AS43" i="59" s="1"/>
  <c r="AV43" i="59" s="1"/>
  <c r="AW43" i="59" s="1"/>
  <c r="AX43" i="59" s="1"/>
  <c r="V727" i="59"/>
  <c r="AT727" i="59" s="1"/>
  <c r="AS727" i="59" s="1"/>
  <c r="AV727" i="59" s="1"/>
  <c r="AW727" i="59" s="1"/>
  <c r="AX727" i="59" s="1"/>
  <c r="AF69" i="59"/>
  <c r="V749" i="59"/>
  <c r="AT749" i="59" s="1"/>
  <c r="AS749" i="59" s="1"/>
  <c r="AV749" i="59" s="1"/>
  <c r="AW749" i="59" s="1"/>
  <c r="AX749" i="59" s="1"/>
  <c r="AF954" i="59"/>
  <c r="V825" i="59"/>
  <c r="AT825" i="59" s="1"/>
  <c r="AS825" i="59" s="1"/>
  <c r="AV825" i="59" s="1"/>
  <c r="AW825" i="59" s="1"/>
  <c r="AX825" i="59" s="1"/>
  <c r="V924" i="59"/>
  <c r="AT924" i="59" s="1"/>
  <c r="AS924" i="59" s="1"/>
  <c r="AV924" i="59" s="1"/>
  <c r="V736" i="59"/>
  <c r="AT736" i="59" s="1"/>
  <c r="AS736" i="59" s="1"/>
  <c r="AV736" i="59" s="1"/>
  <c r="AW736" i="59" s="1"/>
  <c r="AX736" i="59" s="1"/>
  <c r="AF985" i="59"/>
  <c r="V439" i="59"/>
  <c r="AT439" i="59" s="1"/>
  <c r="AS439" i="59" s="1"/>
  <c r="AV439" i="59" s="1"/>
  <c r="AW439" i="59" s="1"/>
  <c r="AX439" i="59" s="1"/>
  <c r="AF572" i="59"/>
  <c r="AF891" i="59"/>
  <c r="V887" i="59"/>
  <c r="AT887" i="59" s="1"/>
  <c r="AS887" i="59" s="1"/>
  <c r="AV887" i="59" s="1"/>
  <c r="AW887" i="59" s="1"/>
  <c r="AX887" i="59" s="1"/>
  <c r="V98" i="59"/>
  <c r="AT98" i="59" s="1"/>
  <c r="AS98" i="59" s="1"/>
  <c r="AV98" i="59" s="1"/>
  <c r="AW98" i="59" s="1"/>
  <c r="AX98" i="59" s="1"/>
  <c r="V981" i="59"/>
  <c r="AT981" i="59" s="1"/>
  <c r="AS981" i="59" s="1"/>
  <c r="AV981" i="59" s="1"/>
  <c r="AF477" i="59"/>
  <c r="V726" i="59"/>
  <c r="AT726" i="59" s="1"/>
  <c r="AS726" i="59" s="1"/>
  <c r="AV726" i="59" s="1"/>
  <c r="AW726" i="59" s="1"/>
  <c r="AX726" i="59" s="1"/>
  <c r="V813" i="59"/>
  <c r="AT813" i="59" s="1"/>
  <c r="AS813" i="59" s="1"/>
  <c r="AV813" i="59" s="1"/>
  <c r="AW813" i="59" s="1"/>
  <c r="AX813" i="59" s="1"/>
  <c r="V345" i="59"/>
  <c r="AT345" i="59" s="1"/>
  <c r="AS345" i="59" s="1"/>
  <c r="AV345" i="59" s="1"/>
  <c r="AW345" i="59" s="1"/>
  <c r="AX345" i="59" s="1"/>
  <c r="V977" i="59"/>
  <c r="AT977" i="59" s="1"/>
  <c r="AS977" i="59" s="1"/>
  <c r="AV977" i="59" s="1"/>
  <c r="V356" i="59"/>
  <c r="AT356" i="59" s="1"/>
  <c r="V565" i="59"/>
  <c r="AT565" i="59" s="1"/>
  <c r="AS565" i="59" s="1"/>
  <c r="AV565" i="59" s="1"/>
  <c r="V978" i="59"/>
  <c r="AT978" i="59" s="1"/>
  <c r="AS978" i="59" s="1"/>
  <c r="AV978" i="59" s="1"/>
  <c r="AF545" i="59"/>
  <c r="V365" i="59"/>
  <c r="AT365" i="59" s="1"/>
  <c r="AF601" i="59"/>
  <c r="AF520" i="59"/>
  <c r="V68" i="59"/>
  <c r="AT68" i="59" s="1"/>
  <c r="AS68" i="59" s="1"/>
  <c r="AV68" i="59" s="1"/>
  <c r="AW68" i="59" s="1"/>
  <c r="AX68" i="59" s="1"/>
  <c r="AF45" i="59"/>
  <c r="AF35" i="59"/>
  <c r="AF939" i="59"/>
  <c r="AF649" i="59"/>
  <c r="V394" i="59"/>
  <c r="AT394" i="59" s="1"/>
  <c r="AF237" i="59"/>
  <c r="AF964" i="59"/>
  <c r="V723" i="59"/>
  <c r="AT723" i="59" s="1"/>
  <c r="AS723" i="59" s="1"/>
  <c r="AV723" i="59" s="1"/>
  <c r="AW723" i="59" s="1"/>
  <c r="AX723" i="59" s="1"/>
  <c r="AF940" i="59"/>
  <c r="V311" i="59"/>
  <c r="AT311" i="59" s="1"/>
  <c r="AS311" i="59" s="1"/>
  <c r="AV311" i="59" s="1"/>
  <c r="AW311" i="59" s="1"/>
  <c r="AX311" i="59" s="1"/>
  <c r="V333" i="59"/>
  <c r="AT333" i="59" s="1"/>
  <c r="AS333" i="59" s="1"/>
  <c r="AV333" i="59" s="1"/>
  <c r="AW333" i="59" s="1"/>
  <c r="AX333" i="59" s="1"/>
  <c r="V780" i="59"/>
  <c r="AT780" i="59" s="1"/>
  <c r="AS780" i="59" s="1"/>
  <c r="AV780" i="59" s="1"/>
  <c r="AF694" i="59"/>
  <c r="AF918" i="59"/>
  <c r="V685" i="59"/>
  <c r="AT685" i="59" s="1"/>
  <c r="AS685" i="59" s="1"/>
  <c r="AV685" i="59" s="1"/>
  <c r="AW685" i="59" s="1"/>
  <c r="AX685" i="59" s="1"/>
  <c r="AF979" i="59"/>
  <c r="V975" i="59"/>
  <c r="AT975" i="59" s="1"/>
  <c r="AS975" i="59" s="1"/>
  <c r="AV975" i="59" s="1"/>
  <c r="V443" i="59"/>
  <c r="AT443" i="59" s="1"/>
  <c r="AS443" i="59" s="1"/>
  <c r="AV443" i="59" s="1"/>
  <c r="AW443" i="59" s="1"/>
  <c r="AX443" i="59" s="1"/>
  <c r="V473" i="59"/>
  <c r="AT473" i="59" s="1"/>
  <c r="AS473" i="59" s="1"/>
  <c r="AV473" i="59" s="1"/>
  <c r="AW473" i="59" s="1"/>
  <c r="AX473" i="59" s="1"/>
  <c r="V790" i="59"/>
  <c r="AT790" i="59" s="1"/>
  <c r="AS790" i="59" s="1"/>
  <c r="AV790" i="59" s="1"/>
  <c r="V913" i="59"/>
  <c r="AT913" i="59" s="1"/>
  <c r="AS913" i="59" s="1"/>
  <c r="AV913" i="59" s="1"/>
  <c r="V359" i="59"/>
  <c r="V102" i="59"/>
  <c r="AT102" i="59" s="1"/>
  <c r="AF111" i="59"/>
  <c r="V80" i="59"/>
  <c r="AT80" i="59" s="1"/>
  <c r="AS80" i="59" s="1"/>
  <c r="AV80" i="59" s="1"/>
  <c r="AW80" i="59" s="1"/>
  <c r="AX80" i="59" s="1"/>
  <c r="V44" i="59"/>
  <c r="AT44" i="59" s="1"/>
  <c r="AS44" i="59" s="1"/>
  <c r="AV44" i="59" s="1"/>
  <c r="AW44" i="59" s="1"/>
  <c r="AX44" i="59" s="1"/>
  <c r="AF672" i="59"/>
  <c r="AF713" i="59"/>
  <c r="AF931" i="59"/>
  <c r="V821" i="59"/>
  <c r="AT821" i="59" s="1"/>
  <c r="AS821" i="59" s="1"/>
  <c r="AV821" i="59" s="1"/>
  <c r="AW821" i="59" s="1"/>
  <c r="AX821" i="59" s="1"/>
  <c r="V87" i="59"/>
  <c r="AT87" i="59" s="1"/>
  <c r="AS87" i="59" s="1"/>
  <c r="AV87" i="59" s="1"/>
  <c r="AW87" i="59" s="1"/>
  <c r="AX87" i="59" s="1"/>
  <c r="AF785" i="59"/>
  <c r="V911" i="59"/>
  <c r="AF760" i="59"/>
  <c r="V935" i="59"/>
  <c r="AT935" i="59" s="1"/>
  <c r="AS935" i="59" s="1"/>
  <c r="AV935" i="59" s="1"/>
  <c r="AW935" i="59" s="1"/>
  <c r="AX935" i="59" s="1"/>
  <c r="AF257" i="59"/>
  <c r="V258" i="59"/>
  <c r="AT258" i="59" s="1"/>
  <c r="AS258" i="59" s="1"/>
  <c r="AV258" i="59" s="1"/>
  <c r="AW258" i="59" s="1"/>
  <c r="AX258" i="59" s="1"/>
  <c r="V546" i="59"/>
  <c r="AT546" i="59" s="1"/>
  <c r="AS546" i="59" s="1"/>
  <c r="AV546" i="59" s="1"/>
  <c r="AW546" i="59" s="1"/>
  <c r="AX546" i="59" s="1"/>
  <c r="AF576" i="59"/>
  <c r="AF920" i="59"/>
  <c r="AF360" i="59"/>
  <c r="AF272" i="59"/>
  <c r="V14" i="59"/>
  <c r="AT14" i="59" s="1"/>
  <c r="AS14" i="59" s="1"/>
  <c r="AV14" i="59" s="1"/>
  <c r="AW14" i="59" s="1"/>
  <c r="AX14" i="59" s="1"/>
  <c r="V770" i="59"/>
  <c r="AT770" i="59" s="1"/>
  <c r="AS770" i="59" s="1"/>
  <c r="AV770" i="59" s="1"/>
  <c r="AW770" i="59" s="1"/>
  <c r="AX770" i="59" s="1"/>
  <c r="V314" i="59"/>
  <c r="AT314" i="59" s="1"/>
  <c r="AS314" i="59" s="1"/>
  <c r="AV314" i="59" s="1"/>
  <c r="AW314" i="59" s="1"/>
  <c r="AX314" i="59" s="1"/>
  <c r="V960" i="59"/>
  <c r="AT960" i="59" s="1"/>
  <c r="AS960" i="59" s="1"/>
  <c r="AV960" i="59" s="1"/>
  <c r="AW960" i="59" s="1"/>
  <c r="AX960" i="59" s="1"/>
  <c r="AF935" i="59"/>
  <c r="V912" i="59"/>
  <c r="AT912" i="59" s="1"/>
  <c r="AS912" i="59" s="1"/>
  <c r="AV912" i="59" s="1"/>
  <c r="V330" i="59"/>
  <c r="AT330" i="59" s="1"/>
  <c r="AS330" i="59" s="1"/>
  <c r="AV330" i="59" s="1"/>
  <c r="AW330" i="59" s="1"/>
  <c r="AX330" i="59" s="1"/>
  <c r="AF337" i="59"/>
  <c r="AF297" i="59"/>
  <c r="V400" i="59"/>
  <c r="AT400" i="59" s="1"/>
  <c r="V715" i="59"/>
  <c r="AT715" i="59" s="1"/>
  <c r="AS715" i="59" s="1"/>
  <c r="AV715" i="59" s="1"/>
  <c r="AW715" i="59" s="1"/>
  <c r="AX715" i="59" s="1"/>
  <c r="AF861" i="59"/>
  <c r="AF993" i="59"/>
  <c r="AF923" i="59"/>
  <c r="AF298" i="59"/>
  <c r="V190" i="59"/>
  <c r="AT190" i="59" s="1"/>
  <c r="AS190" i="59" s="1"/>
  <c r="AV190" i="59" s="1"/>
  <c r="AF876" i="59"/>
  <c r="AF982" i="59"/>
  <c r="V615" i="59"/>
  <c r="AT615" i="59" s="1"/>
  <c r="AS615" i="59" s="1"/>
  <c r="AV615" i="59" s="1"/>
  <c r="AW615" i="59" s="1"/>
  <c r="AX615" i="59" s="1"/>
  <c r="V324" i="59"/>
  <c r="AT324" i="59" s="1"/>
  <c r="AS324" i="59" s="1"/>
  <c r="AV324" i="59" s="1"/>
  <c r="AW324" i="59" s="1"/>
  <c r="AX324" i="59" s="1"/>
  <c r="AF748" i="59"/>
  <c r="V699" i="59"/>
  <c r="AT699" i="59" s="1"/>
  <c r="AS699" i="59" s="1"/>
  <c r="AV699" i="59" s="1"/>
  <c r="AW699" i="59" s="1"/>
  <c r="AX699" i="59" s="1"/>
  <c r="AF222" i="59"/>
  <c r="V954" i="59"/>
  <c r="V159" i="59"/>
  <c r="AT159" i="59" s="1"/>
  <c r="AS159" i="59" s="1"/>
  <c r="AV159" i="59" s="1"/>
  <c r="AW159" i="59" s="1"/>
  <c r="AX159" i="59" s="1"/>
  <c r="V891" i="59"/>
  <c r="AT891" i="59" s="1"/>
  <c r="AS891" i="59" s="1"/>
  <c r="AV891" i="59" s="1"/>
  <c r="AW891" i="59" s="1"/>
  <c r="AX891" i="59" s="1"/>
  <c r="AF996" i="59"/>
  <c r="V804" i="59"/>
  <c r="AF196" i="59"/>
  <c r="V478" i="59"/>
  <c r="AT478" i="59" s="1"/>
  <c r="AS478" i="59" s="1"/>
  <c r="AV478" i="59" s="1"/>
  <c r="AW478" i="59" s="1"/>
  <c r="AX478" i="59" s="1"/>
  <c r="V477" i="59"/>
  <c r="AT477" i="59" s="1"/>
  <c r="AS477" i="59" s="1"/>
  <c r="AV477" i="59" s="1"/>
  <c r="AW477" i="59" s="1"/>
  <c r="AX477" i="59" s="1"/>
  <c r="AF976" i="59"/>
  <c r="AF988" i="59"/>
  <c r="AF553" i="59"/>
  <c r="AF470" i="59"/>
  <c r="V363" i="59"/>
  <c r="AT363" i="59" s="1"/>
  <c r="AF213" i="59"/>
  <c r="V520" i="59"/>
  <c r="AT520" i="59" s="1"/>
  <c r="AS520" i="59" s="1"/>
  <c r="AV520" i="59" s="1"/>
  <c r="AW520" i="59" s="1"/>
  <c r="AX520" i="59" s="1"/>
  <c r="AF942" i="59"/>
  <c r="V673" i="59"/>
  <c r="AT673" i="59" s="1"/>
  <c r="AS673" i="59" s="1"/>
  <c r="AV673" i="59" s="1"/>
  <c r="V45" i="59"/>
  <c r="AT45" i="59" s="1"/>
  <c r="AS45" i="59" s="1"/>
  <c r="AV45" i="59" s="1"/>
  <c r="AW45" i="59" s="1"/>
  <c r="AX45" i="59" s="1"/>
  <c r="AF987" i="59"/>
  <c r="V939" i="59"/>
  <c r="AF952" i="59"/>
  <c r="V649" i="59"/>
  <c r="AT649" i="59" s="1"/>
  <c r="AS649" i="59" s="1"/>
  <c r="AV649" i="59" s="1"/>
  <c r="AW649" i="59" s="1"/>
  <c r="AX649" i="59" s="1"/>
  <c r="AF740" i="59"/>
  <c r="V404" i="59"/>
  <c r="AT404" i="59" s="1"/>
  <c r="AS404" i="59" s="1"/>
  <c r="AV404" i="59" s="1"/>
  <c r="AW404" i="59" s="1"/>
  <c r="AX404" i="59" s="1"/>
  <c r="AF204" i="59"/>
  <c r="AF364" i="59"/>
  <c r="V940" i="59"/>
  <c r="AT940" i="59" s="1"/>
  <c r="AS940" i="59" s="1"/>
  <c r="AV940" i="59" s="1"/>
  <c r="AW940" i="59" s="1"/>
  <c r="AX940" i="59" s="1"/>
  <c r="AF36" i="59"/>
  <c r="V867" i="59"/>
  <c r="AT867" i="59" s="1"/>
  <c r="AS867" i="59" s="1"/>
  <c r="AV867" i="59" s="1"/>
  <c r="AW867" i="59" s="1"/>
  <c r="AX867" i="59" s="1"/>
  <c r="V437" i="59"/>
  <c r="AT437" i="59" s="1"/>
  <c r="AS437" i="59" s="1"/>
  <c r="AV437" i="59" s="1"/>
  <c r="AW437" i="59" s="1"/>
  <c r="AX437" i="59" s="1"/>
  <c r="V918" i="59"/>
  <c r="AT918" i="59" s="1"/>
  <c r="AS918" i="59" s="1"/>
  <c r="AV918" i="59" s="1"/>
  <c r="V849" i="59"/>
  <c r="AT849" i="59" s="1"/>
  <c r="AS849" i="59" s="1"/>
  <c r="AV849" i="59" s="1"/>
  <c r="AW849" i="59" s="1"/>
  <c r="AX849" i="59" s="1"/>
  <c r="V896" i="59"/>
  <c r="AT896" i="59" s="1"/>
  <c r="V362" i="59"/>
  <c r="AT362" i="59" s="1"/>
  <c r="AF883" i="59"/>
  <c r="AF126" i="59"/>
  <c r="V929" i="59"/>
  <c r="AT929" i="59" s="1"/>
  <c r="AS929" i="59" s="1"/>
  <c r="AV929" i="59" s="1"/>
  <c r="AW929" i="59" s="1"/>
  <c r="AX929" i="59" s="1"/>
  <c r="AF366" i="59"/>
  <c r="AF254" i="59"/>
  <c r="AF64" i="59"/>
  <c r="AF806" i="59"/>
  <c r="AF434" i="59"/>
  <c r="AF991" i="59"/>
  <c r="V288" i="59"/>
  <c r="AT288" i="59" s="1"/>
  <c r="AS288" i="59" s="1"/>
  <c r="AV288" i="59" s="1"/>
  <c r="AW288" i="59" s="1"/>
  <c r="AX288" i="59" s="1"/>
  <c r="V713" i="59"/>
  <c r="AT713" i="59" s="1"/>
  <c r="AS713" i="59" s="1"/>
  <c r="AV713" i="59" s="1"/>
  <c r="V931" i="59"/>
  <c r="AT931" i="59" s="1"/>
  <c r="AS931" i="59" s="1"/>
  <c r="AV931" i="59" s="1"/>
  <c r="AW931" i="59" s="1"/>
  <c r="AX931" i="59" s="1"/>
  <c r="AF513" i="59"/>
  <c r="V944" i="59"/>
  <c r="AT944" i="59" s="1"/>
  <c r="AF430" i="59"/>
  <c r="AF959" i="59"/>
  <c r="V801" i="59"/>
  <c r="AT801" i="59" s="1"/>
  <c r="AS801" i="59" s="1"/>
  <c r="AV801" i="59" s="1"/>
  <c r="AW801" i="59" s="1"/>
  <c r="AX801" i="59" s="1"/>
  <c r="V118" i="59"/>
  <c r="AT118" i="59" s="1"/>
  <c r="AS118" i="59" s="1"/>
  <c r="AV118" i="59" s="1"/>
  <c r="AW118" i="59" s="1"/>
  <c r="AX118" i="59" s="1"/>
  <c r="AF956" i="59"/>
  <c r="AF474" i="59"/>
  <c r="AF968" i="59"/>
  <c r="AF992" i="59"/>
  <c r="V583" i="59"/>
  <c r="AT583" i="59" s="1"/>
  <c r="AS583" i="59" s="1"/>
  <c r="AV583" i="59" s="1"/>
  <c r="AW583" i="59" s="1"/>
  <c r="AX583" i="59" s="1"/>
  <c r="AF661" i="59"/>
  <c r="AF440" i="59"/>
  <c r="AF994" i="59"/>
  <c r="V861" i="59"/>
  <c r="AF763" i="59"/>
  <c r="AF476" i="59"/>
  <c r="AF129" i="59"/>
  <c r="AF128" i="59"/>
  <c r="AF770" i="59"/>
  <c r="V982" i="59"/>
  <c r="AT982" i="59" s="1"/>
  <c r="AS982" i="59" s="1"/>
  <c r="AV982" i="59" s="1"/>
  <c r="V658" i="59"/>
  <c r="AT658" i="59" s="1"/>
  <c r="AS658" i="59" s="1"/>
  <c r="AV658" i="59" s="1"/>
  <c r="AF221" i="59"/>
  <c r="V748" i="59"/>
  <c r="AT748" i="59" s="1"/>
  <c r="AS748" i="59" s="1"/>
  <c r="AV748" i="59" s="1"/>
  <c r="AW748" i="59" s="1"/>
  <c r="AX748" i="59" s="1"/>
  <c r="AF642" i="59"/>
  <c r="V222" i="59"/>
  <c r="AT222" i="59" s="1"/>
  <c r="AS222" i="59" s="1"/>
  <c r="AV222" i="59" s="1"/>
  <c r="AW222" i="59" s="1"/>
  <c r="AX222" i="59" s="1"/>
  <c r="V564" i="59"/>
  <c r="AT564" i="59" s="1"/>
  <c r="AS564" i="59" s="1"/>
  <c r="AV564" i="59" s="1"/>
  <c r="AW564" i="59" s="1"/>
  <c r="AX564" i="59" s="1"/>
  <c r="AF924" i="59"/>
  <c r="AF124" i="59"/>
  <c r="V986" i="59"/>
  <c r="AT986" i="59" s="1"/>
  <c r="AS986" i="59" s="1"/>
  <c r="AV986" i="59" s="1"/>
  <c r="AW986" i="59" s="1"/>
  <c r="AX986" i="59" s="1"/>
  <c r="V648" i="59"/>
  <c r="AT648" i="59" s="1"/>
  <c r="AS648" i="59" s="1"/>
  <c r="AV648" i="59" s="1"/>
  <c r="AW648" i="59" s="1"/>
  <c r="AX648" i="59" s="1"/>
  <c r="AF914" i="59"/>
  <c r="AF478" i="59"/>
  <c r="AF195" i="59"/>
  <c r="V666" i="59"/>
  <c r="AT666" i="59" s="1"/>
  <c r="AS666" i="59" s="1"/>
  <c r="AV666" i="59" s="1"/>
  <c r="AW666" i="59" s="1"/>
  <c r="AX666" i="59" s="1"/>
  <c r="V355" i="59"/>
  <c r="AT355" i="59" s="1"/>
  <c r="AF9" i="59"/>
  <c r="AF941" i="59"/>
  <c r="V259" i="59"/>
  <c r="AT259" i="59" s="1"/>
  <c r="AS259" i="59" s="1"/>
  <c r="AV259" i="59" s="1"/>
  <c r="AW259" i="59" s="1"/>
  <c r="AX259" i="59" s="1"/>
  <c r="V339" i="59"/>
  <c r="AT339" i="59" s="1"/>
  <c r="AS339" i="59" s="1"/>
  <c r="AV339" i="59" s="1"/>
  <c r="AW339" i="59" s="1"/>
  <c r="AX339" i="59" s="1"/>
  <c r="V213" i="59"/>
  <c r="AT213" i="59" s="1"/>
  <c r="AS213" i="59" s="1"/>
  <c r="AV213" i="59" s="1"/>
  <c r="AW213" i="59" s="1"/>
  <c r="AX213" i="59" s="1"/>
  <c r="AF792" i="59"/>
  <c r="V942" i="59"/>
  <c r="V354" i="59"/>
  <c r="AT354" i="59" s="1"/>
  <c r="AS354" i="59" s="1"/>
  <c r="AV354" i="59" s="1"/>
  <c r="AW354" i="59" s="1"/>
  <c r="AX354" i="59" s="1"/>
  <c r="V361" i="59"/>
  <c r="AT361" i="59" s="1"/>
  <c r="V166" i="59"/>
  <c r="AT166" i="59" s="1"/>
  <c r="AS166" i="59" s="1"/>
  <c r="AV166" i="59" s="1"/>
  <c r="AW166" i="59" s="1"/>
  <c r="AX166" i="59" s="1"/>
  <c r="V987" i="59"/>
  <c r="AT987" i="59" s="1"/>
  <c r="AS987" i="59" s="1"/>
  <c r="AV987" i="59" s="1"/>
  <c r="AW987" i="59" s="1"/>
  <c r="AX987" i="59" s="1"/>
  <c r="AF88" i="59"/>
  <c r="V952" i="59"/>
  <c r="AT952" i="59" s="1"/>
  <c r="V950" i="59"/>
  <c r="AT950" i="59" s="1"/>
  <c r="AS950" i="59" s="1"/>
  <c r="AV950" i="59" s="1"/>
  <c r="V204" i="59"/>
  <c r="AT204" i="59" s="1"/>
  <c r="AS204" i="59" s="1"/>
  <c r="AV204" i="59" s="1"/>
  <c r="AW204" i="59" s="1"/>
  <c r="AX204" i="59" s="1"/>
  <c r="AF787" i="59"/>
  <c r="V36" i="59"/>
  <c r="AT36" i="59" s="1"/>
  <c r="AS36" i="59" s="1"/>
  <c r="AV36" i="59" s="1"/>
  <c r="AW36" i="59" s="1"/>
  <c r="AX36" i="59" s="1"/>
  <c r="V169" i="59"/>
  <c r="AT169" i="59" s="1"/>
  <c r="AS169" i="59" s="1"/>
  <c r="AV169" i="59" s="1"/>
  <c r="AW169" i="59" s="1"/>
  <c r="AX169" i="59" s="1"/>
  <c r="V862" i="59"/>
  <c r="AT862" i="59" s="1"/>
  <c r="AF903" i="59"/>
  <c r="AF560" i="59"/>
  <c r="AF362" i="59"/>
  <c r="V894" i="59"/>
  <c r="AT894" i="59" s="1"/>
  <c r="V126" i="59"/>
  <c r="AT126" i="59" s="1"/>
  <c r="AS126" i="59" s="1"/>
  <c r="AV126" i="59" s="1"/>
  <c r="AW126" i="59" s="1"/>
  <c r="AX126" i="59" s="1"/>
  <c r="AF639" i="59"/>
  <c r="AF929" i="59"/>
  <c r="V366" i="59"/>
  <c r="AF563" i="59"/>
  <c r="AF273" i="59"/>
  <c r="V64" i="59"/>
  <c r="AT64" i="59" s="1"/>
  <c r="AS64" i="59" s="1"/>
  <c r="AV64" i="59" s="1"/>
  <c r="AW64" i="59" s="1"/>
  <c r="AX64" i="59" s="1"/>
  <c r="V769" i="59"/>
  <c r="AT769" i="59" s="1"/>
  <c r="AS769" i="59" s="1"/>
  <c r="AV769" i="59" s="1"/>
  <c r="AW769" i="59" s="1"/>
  <c r="AX769" i="59" s="1"/>
  <c r="AF634" i="59"/>
  <c r="V307" i="59"/>
  <c r="AT307" i="59" s="1"/>
  <c r="AS307" i="59" s="1"/>
  <c r="AV307" i="59" s="1"/>
  <c r="AW307" i="59" s="1"/>
  <c r="AX307" i="59" s="1"/>
  <c r="AF475" i="59"/>
  <c r="AF944" i="59"/>
  <c r="AF515" i="59"/>
  <c r="AF236" i="59"/>
  <c r="AF684" i="59"/>
  <c r="AF743" i="59"/>
  <c r="V367" i="59"/>
  <c r="AF801" i="59"/>
  <c r="AF258" i="59"/>
  <c r="V994" i="59"/>
  <c r="AT994" i="59" s="1"/>
  <c r="AS994" i="59" s="1"/>
  <c r="AV994" i="59" s="1"/>
  <c r="V817" i="59"/>
  <c r="AT817" i="59" s="1"/>
  <c r="AS817" i="59" s="1"/>
  <c r="AV817" i="59" s="1"/>
  <c r="AW817" i="59" s="1"/>
  <c r="AX817" i="59" s="1"/>
  <c r="AF868" i="59"/>
  <c r="V474" i="59"/>
  <c r="AT474" i="59" s="1"/>
  <c r="AS474" i="59" s="1"/>
  <c r="AV474" i="59" s="1"/>
  <c r="AW474" i="59" s="1"/>
  <c r="AX474" i="59" s="1"/>
  <c r="AF949" i="59"/>
  <c r="AF556" i="59"/>
  <c r="V920" i="59"/>
  <c r="AT920" i="59" s="1"/>
  <c r="AS920" i="59" s="1"/>
  <c r="AV920" i="59" s="1"/>
  <c r="AF908" i="59"/>
  <c r="V763" i="59"/>
  <c r="AT763" i="59" s="1"/>
  <c r="AS763" i="59" s="1"/>
  <c r="AV763" i="59" s="1"/>
  <c r="AW763" i="59" s="1"/>
  <c r="AX763" i="59" s="1"/>
  <c r="V476" i="59"/>
  <c r="AT476" i="59" s="1"/>
  <c r="AS476" i="59" s="1"/>
  <c r="AV476" i="59" s="1"/>
  <c r="AW476" i="59" s="1"/>
  <c r="AX476" i="59" s="1"/>
  <c r="V360" i="59"/>
  <c r="AT360" i="59" s="1"/>
  <c r="AF990" i="59"/>
  <c r="V129" i="59"/>
  <c r="AT129" i="59" s="1"/>
  <c r="AS129" i="59" s="1"/>
  <c r="AV129" i="59" s="1"/>
  <c r="AW129" i="59" s="1"/>
  <c r="AX129" i="59" s="1"/>
  <c r="V221" i="59"/>
  <c r="AT221" i="59" s="1"/>
  <c r="AS221" i="59" s="1"/>
  <c r="AV221" i="59" s="1"/>
  <c r="AW221" i="59" s="1"/>
  <c r="AX221" i="59" s="1"/>
  <c r="AF350" i="59"/>
  <c r="AF936" i="59"/>
  <c r="AF516" i="59"/>
  <c r="AF727" i="59"/>
  <c r="AF825" i="59"/>
  <c r="AF181" i="59"/>
  <c r="V519" i="59"/>
  <c r="AT519" i="59" s="1"/>
  <c r="AS519" i="59" s="1"/>
  <c r="AV519" i="59" s="1"/>
  <c r="AW519" i="59" s="1"/>
  <c r="AX519" i="59" s="1"/>
  <c r="AF605" i="59"/>
  <c r="AF680" i="59"/>
  <c r="AF154" i="59"/>
  <c r="V195" i="59"/>
  <c r="AT195" i="59" s="1"/>
  <c r="AS195" i="59" s="1"/>
  <c r="AV195" i="59" s="1"/>
  <c r="AW195" i="59" s="1"/>
  <c r="AX195" i="59" s="1"/>
  <c r="AF433" i="59"/>
  <c r="AF981" i="59"/>
  <c r="V915" i="59"/>
  <c r="AT915" i="59" s="1"/>
  <c r="AS915" i="59" s="1"/>
  <c r="AV915" i="59" s="1"/>
  <c r="AF598" i="59"/>
  <c r="AF438" i="59"/>
  <c r="V756" i="59"/>
  <c r="AT756" i="59" s="1"/>
  <c r="AS756" i="59" s="1"/>
  <c r="AV756" i="59" s="1"/>
  <c r="V997" i="59"/>
  <c r="AT997" i="59" s="1"/>
  <c r="AS997" i="59" s="1"/>
  <c r="AV997" i="59" s="1"/>
  <c r="AF805" i="59"/>
  <c r="AF977" i="59"/>
  <c r="AF565" i="59"/>
  <c r="V614" i="59"/>
  <c r="AT614" i="59" s="1"/>
  <c r="AS614" i="59" s="1"/>
  <c r="AV614" i="59" s="1"/>
  <c r="AW614" i="59" s="1"/>
  <c r="AX614" i="59" s="1"/>
  <c r="AF928" i="59"/>
  <c r="AF365" i="59"/>
  <c r="AF444" i="59"/>
  <c r="V895" i="59"/>
  <c r="AT895" i="59" s="1"/>
  <c r="AF187" i="59"/>
  <c r="AF933" i="59"/>
  <c r="V88" i="59"/>
  <c r="AT88" i="59" s="1"/>
  <c r="AS88" i="59" s="1"/>
  <c r="AV88" i="59" s="1"/>
  <c r="AW88" i="59" s="1"/>
  <c r="AX88" i="59" s="1"/>
  <c r="AF584" i="59"/>
  <c r="AF23" i="59"/>
  <c r="V787" i="59"/>
  <c r="AT787" i="59" s="1"/>
  <c r="AS787" i="59" s="1"/>
  <c r="AV787" i="59" s="1"/>
  <c r="AF110" i="59"/>
  <c r="AF173" i="59"/>
  <c r="AF934" i="59"/>
  <c r="AF437" i="59"/>
  <c r="V903" i="59"/>
  <c r="AT903" i="59" s="1"/>
  <c r="AS903" i="59" s="1"/>
  <c r="AV903" i="59" s="1"/>
  <c r="AW903" i="59" s="1"/>
  <c r="AX903" i="59" s="1"/>
  <c r="V177" i="59"/>
  <c r="AT177" i="59" s="1"/>
  <c r="AS177" i="59" s="1"/>
  <c r="AV177" i="59" s="1"/>
  <c r="AW177" i="59" s="1"/>
  <c r="AX177" i="59" s="1"/>
  <c r="V979" i="59"/>
  <c r="AT979" i="59" s="1"/>
  <c r="AS979" i="59" s="1"/>
  <c r="AV979" i="59" s="1"/>
  <c r="V395" i="59"/>
  <c r="AT395" i="59" s="1"/>
  <c r="V845" i="59"/>
  <c r="AT845" i="59" s="1"/>
  <c r="AF127" i="59"/>
  <c r="AF359" i="59"/>
  <c r="AF628" i="59"/>
  <c r="V563" i="59"/>
  <c r="AT563" i="59" s="1"/>
  <c r="AS563" i="59" s="1"/>
  <c r="AV563" i="59" s="1"/>
  <c r="AW563" i="59" s="1"/>
  <c r="AX563" i="59" s="1"/>
  <c r="V517" i="59"/>
  <c r="AT517" i="59" s="1"/>
  <c r="AS517" i="59" s="1"/>
  <c r="AV517" i="59" s="1"/>
  <c r="AW517" i="59" s="1"/>
  <c r="AX517" i="59" s="1"/>
  <c r="V319" i="59"/>
  <c r="AT319" i="59" s="1"/>
  <c r="AS319" i="59" s="1"/>
  <c r="AV319" i="59" s="1"/>
  <c r="AW319" i="59" s="1"/>
  <c r="AX319" i="59" s="1"/>
  <c r="V948" i="59"/>
  <c r="AT948" i="59" s="1"/>
  <c r="AS948" i="59" s="1"/>
  <c r="AV948" i="59" s="1"/>
  <c r="V514" i="59"/>
  <c r="AT514" i="59" s="1"/>
  <c r="AS514" i="59" s="1"/>
  <c r="AV514" i="59" s="1"/>
  <c r="AW514" i="59" s="1"/>
  <c r="AX514" i="59" s="1"/>
  <c r="V634" i="59"/>
  <c r="AT634" i="59" s="1"/>
  <c r="AS634" i="59" s="1"/>
  <c r="AV634" i="59" s="1"/>
  <c r="AW634" i="59" s="1"/>
  <c r="AX634" i="59" s="1"/>
  <c r="V855" i="59"/>
  <c r="V475" i="59"/>
  <c r="AT475" i="59" s="1"/>
  <c r="AS475" i="59" s="1"/>
  <c r="AV475" i="59" s="1"/>
  <c r="AW475" i="59" s="1"/>
  <c r="AX475" i="59" s="1"/>
  <c r="AF966" i="59"/>
  <c r="V834" i="59"/>
  <c r="AT834" i="59" s="1"/>
  <c r="AS834" i="59" s="1"/>
  <c r="AV834" i="59" s="1"/>
  <c r="AW834" i="59" s="1"/>
  <c r="AX834" i="59" s="1"/>
  <c r="V236" i="59"/>
  <c r="AT236" i="59" s="1"/>
  <c r="AS236" i="59" s="1"/>
  <c r="AV236" i="59" s="1"/>
  <c r="AW236" i="59" s="1"/>
  <c r="AX236" i="59" s="1"/>
  <c r="V684" i="59"/>
  <c r="AT684" i="59" s="1"/>
  <c r="AS684" i="59" s="1"/>
  <c r="AV684" i="59" s="1"/>
  <c r="AW684" i="59" s="1"/>
  <c r="AX684" i="59" s="1"/>
  <c r="V743" i="59"/>
  <c r="AT743" i="59" s="1"/>
  <c r="AS743" i="59" s="1"/>
  <c r="AV743" i="59" s="1"/>
  <c r="V760" i="59"/>
  <c r="AT760" i="59" s="1"/>
  <c r="AF960" i="59"/>
  <c r="V257" i="59"/>
  <c r="AT257" i="59" s="1"/>
  <c r="AS257" i="59" s="1"/>
  <c r="AV257" i="59" s="1"/>
  <c r="AW257" i="59" s="1"/>
  <c r="AX257" i="59" s="1"/>
  <c r="V469" i="59"/>
  <c r="AT469" i="59" s="1"/>
  <c r="AS469" i="59" s="1"/>
  <c r="AV469" i="59" s="1"/>
  <c r="AW469" i="59" s="1"/>
  <c r="AX469" i="59" s="1"/>
  <c r="AF208" i="59"/>
  <c r="V357" i="59"/>
  <c r="AT357" i="59" s="1"/>
  <c r="V995" i="59"/>
  <c r="AT995" i="59" s="1"/>
  <c r="AS995" i="59" s="1"/>
  <c r="AV995" i="59" s="1"/>
  <c r="AF343" i="59"/>
  <c r="AF768" i="59"/>
  <c r="V868" i="59"/>
  <c r="AT868" i="59" s="1"/>
  <c r="AS868" i="59" s="1"/>
  <c r="AV868" i="59" s="1"/>
  <c r="AW868" i="59" s="1"/>
  <c r="AX868" i="59" s="1"/>
  <c r="V949" i="59"/>
  <c r="AT949" i="59" s="1"/>
  <c r="AS949" i="59" s="1"/>
  <c r="AV949" i="59" s="1"/>
  <c r="AF101" i="59"/>
  <c r="AF606" i="59"/>
  <c r="AF220" i="59"/>
  <c r="V990" i="59"/>
  <c r="AT990" i="59" s="1"/>
  <c r="AS990" i="59" s="1"/>
  <c r="AV990" i="59" s="1"/>
  <c r="AW990" i="59" s="1"/>
  <c r="AX990" i="59" s="1"/>
  <c r="V350" i="59"/>
  <c r="AT350" i="59" s="1"/>
  <c r="AS350" i="59" s="1"/>
  <c r="AV350" i="59" s="1"/>
  <c r="AF233" i="59"/>
  <c r="V280" i="59"/>
  <c r="AT280" i="59" s="1"/>
  <c r="AS280" i="59" s="1"/>
  <c r="AV280" i="59" s="1"/>
  <c r="AW280" i="59" s="1"/>
  <c r="AX280" i="59" s="1"/>
  <c r="AF248" i="59"/>
  <c r="AF472" i="59"/>
  <c r="AF43" i="59"/>
  <c r="V69" i="59"/>
  <c r="AT69" i="59" s="1"/>
  <c r="AS69" i="59" s="1"/>
  <c r="AV69" i="59" s="1"/>
  <c r="AW69" i="59" s="1"/>
  <c r="AX69" i="59" s="1"/>
  <c r="V283" i="59"/>
  <c r="AT283" i="59" s="1"/>
  <c r="AS283" i="59" s="1"/>
  <c r="AV283" i="59" s="1"/>
  <c r="AW283" i="59" s="1"/>
  <c r="AX283" i="59" s="1"/>
  <c r="V181" i="59"/>
  <c r="AT181" i="59" s="1"/>
  <c r="AS181" i="59" s="1"/>
  <c r="AV181" i="59" s="1"/>
  <c r="AW181" i="59" s="1"/>
  <c r="AX181" i="59" s="1"/>
  <c r="AF736" i="59"/>
  <c r="V926" i="59"/>
  <c r="AT926" i="59" s="1"/>
  <c r="AS926" i="59" s="1"/>
  <c r="AV926" i="59" s="1"/>
  <c r="AF716" i="59"/>
  <c r="V680" i="59"/>
  <c r="AT680" i="59" s="1"/>
  <c r="AS680" i="59" s="1"/>
  <c r="AV680" i="59" s="1"/>
  <c r="V572" i="59"/>
  <c r="AT572" i="59" s="1"/>
  <c r="AS572" i="59" s="1"/>
  <c r="AV572" i="59" s="1"/>
  <c r="AF986" i="59"/>
  <c r="V154" i="59"/>
  <c r="AT154" i="59" s="1"/>
  <c r="AS154" i="59" s="1"/>
  <c r="AV154" i="59" s="1"/>
  <c r="AW154" i="59" s="1"/>
  <c r="AX154" i="59" s="1"/>
  <c r="AF887" i="59"/>
  <c r="V946" i="59"/>
  <c r="AT946" i="59" s="1"/>
  <c r="AS946" i="59" s="1"/>
  <c r="AV946" i="59" s="1"/>
  <c r="AW946" i="59" s="1"/>
  <c r="AX946" i="59" s="1"/>
  <c r="V433" i="59"/>
  <c r="AT433" i="59" s="1"/>
  <c r="AS433" i="59" s="1"/>
  <c r="AV433" i="59" s="1"/>
  <c r="AW433" i="59" s="1"/>
  <c r="AX433" i="59" s="1"/>
  <c r="V976" i="59"/>
  <c r="AT976" i="59" s="1"/>
  <c r="AS976" i="59" s="1"/>
  <c r="AV976" i="59" s="1"/>
  <c r="V598" i="59"/>
  <c r="AT598" i="59" s="1"/>
  <c r="AS598" i="59" s="1"/>
  <c r="AV598" i="59" s="1"/>
  <c r="AW598" i="59" s="1"/>
  <c r="AX598" i="59" s="1"/>
  <c r="V438" i="59"/>
  <c r="AT438" i="59" s="1"/>
  <c r="AS438" i="59" s="1"/>
  <c r="AV438" i="59" s="1"/>
  <c r="AW438" i="59" s="1"/>
  <c r="AX438" i="59" s="1"/>
  <c r="AF345" i="59"/>
  <c r="AF259" i="59"/>
  <c r="AF969" i="59"/>
  <c r="AF363" i="59"/>
  <c r="V444" i="59"/>
  <c r="AT444" i="59" s="1"/>
  <c r="AS444" i="59" s="1"/>
  <c r="AV444" i="59" s="1"/>
  <c r="AW444" i="59" s="1"/>
  <c r="AX444" i="59" s="1"/>
  <c r="V187" i="59"/>
  <c r="AT187" i="59" s="1"/>
  <c r="AS187" i="59" s="1"/>
  <c r="AV187" i="59" s="1"/>
  <c r="AW187" i="59" s="1"/>
  <c r="AX187" i="59" s="1"/>
  <c r="AF76" i="59"/>
  <c r="AF68" i="59"/>
  <c r="AF361" i="59"/>
  <c r="AF998" i="59"/>
  <c r="V933" i="59"/>
  <c r="AT933" i="59" s="1"/>
  <c r="AS933" i="59" s="1"/>
  <c r="AV933" i="59" s="1"/>
  <c r="AW933" i="59" s="1"/>
  <c r="AX933" i="59" s="1"/>
  <c r="AF394" i="59"/>
  <c r="V237" i="59"/>
  <c r="AT237" i="59" s="1"/>
  <c r="AS237" i="59" s="1"/>
  <c r="AV237" i="59" s="1"/>
  <c r="AW237" i="59" s="1"/>
  <c r="AX237" i="59" s="1"/>
  <c r="V964" i="59"/>
  <c r="AT964" i="59" s="1"/>
  <c r="AS964" i="59" s="1"/>
  <c r="V633" i="59"/>
  <c r="AT633" i="59" s="1"/>
  <c r="AS633" i="59" s="1"/>
  <c r="AV633" i="59" s="1"/>
  <c r="AW633" i="59" s="1"/>
  <c r="AX633" i="59" s="1"/>
  <c r="AF723" i="59"/>
  <c r="AF797" i="59"/>
  <c r="AF575" i="59"/>
  <c r="V110" i="59"/>
  <c r="AT110" i="59" s="1"/>
  <c r="AS110" i="59" s="1"/>
  <c r="AV110" i="59" s="1"/>
  <c r="AW110" i="59" s="1"/>
  <c r="AX110" i="59" s="1"/>
  <c r="V934" i="59"/>
  <c r="AT934" i="59" s="1"/>
  <c r="AS934" i="59" s="1"/>
  <c r="AV934" i="59" s="1"/>
  <c r="AW934" i="59" s="1"/>
  <c r="AX934" i="59" s="1"/>
  <c r="AF789" i="59"/>
  <c r="AF685" i="59"/>
  <c r="V127" i="59"/>
  <c r="AT127" i="59" s="1"/>
  <c r="AS127" i="59" s="1"/>
  <c r="AV127" i="59" s="1"/>
  <c r="AW127" i="59" s="1"/>
  <c r="AX127" i="59" s="1"/>
  <c r="AF790" i="59"/>
  <c r="AF401" i="59"/>
  <c r="AF197" i="59"/>
  <c r="V628" i="59"/>
  <c r="AT628" i="59" s="1"/>
  <c r="AS628" i="59" s="1"/>
  <c r="AV628" i="59" s="1"/>
  <c r="AW628" i="59" s="1"/>
  <c r="AX628" i="59" s="1"/>
  <c r="V111" i="59"/>
  <c r="AT111" i="59" s="1"/>
  <c r="AS111" i="59" s="1"/>
  <c r="AV111" i="59" s="1"/>
  <c r="AW111" i="59" s="1"/>
  <c r="AX111" i="59" s="1"/>
  <c r="V273" i="59"/>
  <c r="AT273" i="59" s="1"/>
  <c r="AS273" i="59" s="1"/>
  <c r="AV273" i="59" s="1"/>
  <c r="AW273" i="59" s="1"/>
  <c r="AX273" i="59" s="1"/>
  <c r="AF769" i="59"/>
  <c r="AF693" i="59"/>
  <c r="AF514" i="59"/>
  <c r="AF122" i="59"/>
  <c r="AF613" i="59"/>
  <c r="AF87" i="59"/>
  <c r="V785" i="59"/>
  <c r="AT785" i="59" s="1"/>
  <c r="AS785" i="59" s="1"/>
  <c r="AV785" i="59" s="1"/>
  <c r="AF916" i="59"/>
  <c r="V358" i="59"/>
  <c r="AF125" i="59"/>
  <c r="V959" i="59"/>
  <c r="AT959" i="59" s="1"/>
  <c r="AS959" i="59" s="1"/>
  <c r="AV959" i="59" s="1"/>
  <c r="V208" i="59"/>
  <c r="AT208" i="59" s="1"/>
  <c r="AS208" i="59" s="1"/>
  <c r="AV208" i="59" s="1"/>
  <c r="AW208" i="59" s="1"/>
  <c r="AX208" i="59" s="1"/>
  <c r="AF583" i="59"/>
  <c r="V337" i="59"/>
  <c r="AT337" i="59" s="1"/>
  <c r="AS337" i="59" s="1"/>
  <c r="AV337" i="59" s="1"/>
  <c r="AW337" i="59" s="1"/>
  <c r="AX337" i="59" s="1"/>
  <c r="AF817" i="59"/>
  <c r="V768" i="59"/>
  <c r="AT768" i="59" s="1"/>
  <c r="AS768" i="59" s="1"/>
  <c r="AV768" i="59" s="1"/>
  <c r="AW768" i="59" s="1"/>
  <c r="AX768" i="59" s="1"/>
  <c r="AF442" i="59"/>
  <c r="V436" i="59"/>
  <c r="AT436" i="59" s="1"/>
  <c r="AS436" i="59" s="1"/>
  <c r="AV436" i="59" s="1"/>
  <c r="AW436" i="59" s="1"/>
  <c r="AX436" i="59" s="1"/>
  <c r="AF95" i="59"/>
  <c r="V908" i="59"/>
  <c r="AT908" i="59" s="1"/>
  <c r="AS908" i="59" s="1"/>
  <c r="AV908" i="59" s="1"/>
  <c r="AF945" i="59"/>
  <c r="V923" i="59"/>
  <c r="AT923" i="59" s="1"/>
  <c r="AS923" i="59" s="1"/>
  <c r="AV923" i="59" s="1"/>
  <c r="V606" i="59"/>
  <c r="AT606" i="59" s="1"/>
  <c r="AS606" i="59" s="1"/>
  <c r="AV606" i="59" s="1"/>
  <c r="AW606" i="59" s="1"/>
  <c r="AX606" i="59" s="1"/>
  <c r="V220" i="59"/>
  <c r="AT220" i="59" s="1"/>
  <c r="AS220" i="59" s="1"/>
  <c r="AV220" i="59" s="1"/>
  <c r="AW220" i="59" s="1"/>
  <c r="AX220" i="59" s="1"/>
  <c r="V272" i="59"/>
  <c r="AT272" i="59" s="1"/>
  <c r="AS272" i="59" s="1"/>
  <c r="AV272" i="59" s="1"/>
  <c r="AW272" i="59" s="1"/>
  <c r="AX272" i="59" s="1"/>
  <c r="V989" i="59"/>
  <c r="AT989" i="59" s="1"/>
  <c r="AS989" i="59" s="1"/>
  <c r="AV989" i="59" s="1"/>
  <c r="AW989" i="59" s="1"/>
  <c r="AX989" i="59" s="1"/>
  <c r="AF402" i="59"/>
  <c r="AF961" i="59"/>
  <c r="AF79" i="59"/>
  <c r="AF287" i="59"/>
  <c r="AF615" i="59"/>
  <c r="AF324" i="59"/>
  <c r="V233" i="59"/>
  <c r="AT233" i="59" s="1"/>
  <c r="AS233" i="59" s="1"/>
  <c r="AV233" i="59" s="1"/>
  <c r="AW233" i="59" s="1"/>
  <c r="AX233" i="59" s="1"/>
  <c r="V248" i="59"/>
  <c r="AT248" i="59" s="1"/>
  <c r="AS248" i="59" s="1"/>
  <c r="AV248" i="59" s="1"/>
  <c r="AW248" i="59" s="1"/>
  <c r="AX248" i="59" s="1"/>
  <c r="V472" i="59"/>
  <c r="AT472" i="59" s="1"/>
  <c r="AS472" i="59" s="1"/>
  <c r="AV472" i="59" s="1"/>
  <c r="AW472" i="59" s="1"/>
  <c r="AX472" i="59" s="1"/>
  <c r="AF699" i="59"/>
  <c r="AF564" i="59"/>
  <c r="AF927" i="59"/>
  <c r="V716" i="59"/>
  <c r="AT716" i="59" s="1"/>
  <c r="AS716" i="59" s="1"/>
  <c r="AV716" i="59" s="1"/>
  <c r="AW716" i="59" s="1"/>
  <c r="AX716" i="59" s="1"/>
  <c r="AF159" i="59"/>
  <c r="AF648" i="59"/>
  <c r="AF804" i="59"/>
  <c r="AF667" i="59"/>
  <c r="AF666" i="59"/>
  <c r="AF355" i="59"/>
  <c r="AF756" i="59"/>
  <c r="AF830" i="59"/>
  <c r="AF686" i="59"/>
  <c r="V969" i="59"/>
  <c r="AT969" i="59" s="1"/>
  <c r="AS969" i="59" s="1"/>
  <c r="AV969" i="59" s="1"/>
  <c r="V470" i="59"/>
  <c r="AT470" i="59" s="1"/>
  <c r="AS470" i="59" s="1"/>
  <c r="AV470" i="59" s="1"/>
  <c r="AW470" i="59" s="1"/>
  <c r="AX470" i="59" s="1"/>
  <c r="AF158" i="59"/>
  <c r="V545" i="59"/>
  <c r="AT545" i="59" s="1"/>
  <c r="AS545" i="59" s="1"/>
  <c r="AV545" i="59" s="1"/>
  <c r="AW545" i="59" s="1"/>
  <c r="AX545" i="59" s="1"/>
  <c r="AF937" i="59"/>
  <c r="AF938" i="59"/>
  <c r="V601" i="59"/>
  <c r="AT601" i="59" s="1"/>
  <c r="AS601" i="59" s="1"/>
  <c r="AV601" i="59" s="1"/>
  <c r="AW601" i="59" s="1"/>
  <c r="AX601" i="59" s="1"/>
  <c r="AF479" i="59"/>
  <c r="V76" i="59"/>
  <c r="AT76" i="59" s="1"/>
  <c r="AS76" i="59" s="1"/>
  <c r="AV76" i="59" s="1"/>
  <c r="AW76" i="59" s="1"/>
  <c r="AX76" i="59" s="1"/>
  <c r="AF930" i="59"/>
  <c r="AF229" i="59"/>
  <c r="AF403" i="59"/>
  <c r="AF838" i="59"/>
  <c r="AF947" i="59"/>
  <c r="AF103" i="59"/>
  <c r="AF404" i="59"/>
  <c r="AF950" i="59"/>
  <c r="AF734" i="59"/>
  <c r="AF700" i="59"/>
  <c r="V364" i="59"/>
  <c r="V797" i="59"/>
  <c r="AT797" i="59" s="1"/>
  <c r="AS797" i="59" s="1"/>
  <c r="AV797" i="59" s="1"/>
  <c r="AW797" i="59" s="1"/>
  <c r="AX797" i="59" s="1"/>
  <c r="V575" i="59"/>
  <c r="AT575" i="59" s="1"/>
  <c r="AS575" i="59" s="1"/>
  <c r="AV575" i="59" s="1"/>
  <c r="AF169" i="59"/>
  <c r="AF867" i="59"/>
  <c r="V694" i="59"/>
  <c r="AT694" i="59" s="1"/>
  <c r="AS694" i="59" s="1"/>
  <c r="AV694" i="59" s="1"/>
  <c r="AW694" i="59" s="1"/>
  <c r="AX694" i="59" s="1"/>
  <c r="AF793" i="59"/>
  <c r="AF849" i="59"/>
  <c r="AF896" i="59"/>
  <c r="AF177" i="59"/>
  <c r="V789" i="59"/>
  <c r="AT789" i="59" s="1"/>
  <c r="AS789" i="59" s="1"/>
  <c r="AV789" i="59" s="1"/>
  <c r="AF473" i="59"/>
  <c r="AF894" i="59"/>
  <c r="V401" i="59"/>
  <c r="V197" i="59"/>
  <c r="AT197" i="59" s="1"/>
  <c r="AS197" i="59" s="1"/>
  <c r="AV197" i="59" s="1"/>
  <c r="AW197" i="59" s="1"/>
  <c r="AX197" i="59" s="1"/>
  <c r="V806" i="59"/>
  <c r="V434" i="59"/>
  <c r="AT434" i="59" s="1"/>
  <c r="AS434" i="59" s="1"/>
  <c r="AV434" i="59" s="1"/>
  <c r="AW434" i="59" s="1"/>
  <c r="AX434" i="59" s="1"/>
  <c r="V693" i="59"/>
  <c r="AT693" i="59" s="1"/>
  <c r="AS693" i="59" s="1"/>
  <c r="AV693" i="59" s="1"/>
  <c r="AW693" i="59" s="1"/>
  <c r="AX693" i="59" s="1"/>
  <c r="V122" i="59"/>
  <c r="AT122" i="59" s="1"/>
  <c r="AS122" i="59" s="1"/>
  <c r="AV122" i="59" s="1"/>
  <c r="AW122" i="59" s="1"/>
  <c r="AX122" i="59" s="1"/>
  <c r="V672" i="59"/>
  <c r="AT672" i="59" s="1"/>
  <c r="AS672" i="59" s="1"/>
  <c r="AV672" i="59" s="1"/>
  <c r="AF307" i="59"/>
  <c r="AF904" i="59"/>
  <c r="V613" i="59"/>
  <c r="AT613" i="59" s="1"/>
  <c r="AS613" i="59" s="1"/>
  <c r="AV613" i="59" s="1"/>
  <c r="AW613" i="59" s="1"/>
  <c r="AX613" i="59" s="1"/>
  <c r="V441" i="59"/>
  <c r="AT441" i="59" s="1"/>
  <c r="AS441" i="59" s="1"/>
  <c r="AV441" i="59" s="1"/>
  <c r="AW441" i="59" s="1"/>
  <c r="AX441" i="59" s="1"/>
  <c r="AF123" i="59"/>
  <c r="V430" i="59"/>
  <c r="AT430" i="59" s="1"/>
  <c r="AS430" i="59" s="1"/>
  <c r="AV430" i="59" s="1"/>
  <c r="AW430" i="59" s="1"/>
  <c r="AX430" i="59" s="1"/>
  <c r="V916" i="59"/>
  <c r="AT916" i="59" s="1"/>
  <c r="AS916" i="59" s="1"/>
  <c r="AV916" i="59" s="1"/>
  <c r="AF367" i="59"/>
  <c r="V992" i="59"/>
  <c r="AT992" i="59" s="1"/>
  <c r="AS992" i="59" s="1"/>
  <c r="AV992" i="59" s="1"/>
  <c r="V125" i="59"/>
  <c r="AT125" i="59" s="1"/>
  <c r="AS125" i="59" s="1"/>
  <c r="AV125" i="59" s="1"/>
  <c r="AW125" i="59" s="1"/>
  <c r="AX125" i="59" s="1"/>
  <c r="AF469" i="59"/>
  <c r="AF518" i="59"/>
  <c r="AF118" i="59"/>
  <c r="V661" i="59"/>
  <c r="AT661" i="59" s="1"/>
  <c r="AS661" i="59" s="1"/>
  <c r="AV661" i="59" s="1"/>
  <c r="V440" i="59"/>
  <c r="AT440" i="59" s="1"/>
  <c r="AS440" i="59" s="1"/>
  <c r="AV440" i="59" s="1"/>
  <c r="AW440" i="59" s="1"/>
  <c r="AX440" i="59" s="1"/>
  <c r="V297" i="59"/>
  <c r="AT297" i="59" s="1"/>
  <c r="AS297" i="59" s="1"/>
  <c r="AV297" i="59" s="1"/>
  <c r="AW297" i="59" s="1"/>
  <c r="AX297" i="59" s="1"/>
  <c r="AF357" i="59"/>
  <c r="AF546" i="59"/>
  <c r="AF995" i="59"/>
  <c r="V442" i="59"/>
  <c r="AT442" i="59" s="1"/>
  <c r="AS442" i="59" s="1"/>
  <c r="AV442" i="59" s="1"/>
  <c r="AW442" i="59" s="1"/>
  <c r="AX442" i="59" s="1"/>
  <c r="AF436" i="59"/>
  <c r="V95" i="59"/>
  <c r="AT95" i="59" s="1"/>
  <c r="AS95" i="59" s="1"/>
  <c r="AV95" i="59" s="1"/>
  <c r="AW95" i="59" s="1"/>
  <c r="AX95" i="59" s="1"/>
  <c r="V945" i="59"/>
  <c r="V298" i="59"/>
  <c r="AT298" i="59" s="1"/>
  <c r="AS298" i="59" s="1"/>
  <c r="AV298" i="59" s="1"/>
  <c r="AW298" i="59" s="1"/>
  <c r="AX298" i="59" s="1"/>
  <c r="AF989" i="59"/>
  <c r="V876" i="59"/>
  <c r="AT876" i="59" s="1"/>
  <c r="AS876" i="59" s="1"/>
  <c r="AV876" i="59" s="1"/>
  <c r="AW876" i="59" s="1"/>
  <c r="AX876" i="59" s="1"/>
  <c r="V128" i="59"/>
  <c r="AT128" i="59" s="1"/>
  <c r="AS128" i="59" s="1"/>
  <c r="AV128" i="59" s="1"/>
  <c r="AW128" i="59" s="1"/>
  <c r="AX128" i="59" s="1"/>
  <c r="V402" i="59"/>
  <c r="V961" i="59"/>
  <c r="AT961" i="59" s="1"/>
  <c r="AS961" i="59" s="1"/>
  <c r="AV961" i="59" s="1"/>
  <c r="AW961" i="59" s="1"/>
  <c r="AX961" i="59" s="1"/>
  <c r="V79" i="59"/>
  <c r="AT79" i="59" s="1"/>
  <c r="AS79" i="59" s="1"/>
  <c r="AV79" i="59" s="1"/>
  <c r="AW79" i="59" s="1"/>
  <c r="AX79" i="59" s="1"/>
  <c r="V287" i="59"/>
  <c r="AT287" i="59" s="1"/>
  <c r="AS287" i="59" s="1"/>
  <c r="AV287" i="59" s="1"/>
  <c r="AW287" i="59" s="1"/>
  <c r="AX287" i="59" s="1"/>
  <c r="AF658" i="59"/>
  <c r="AF212" i="59"/>
  <c r="AF958" i="59"/>
  <c r="AF10" i="59"/>
  <c r="AF519" i="59"/>
  <c r="V927" i="59"/>
  <c r="AT927" i="59" s="1"/>
  <c r="AS927" i="59" s="1"/>
  <c r="AV927" i="59" s="1"/>
  <c r="V124" i="59"/>
  <c r="AT124" i="59" s="1"/>
  <c r="AS124" i="59" s="1"/>
  <c r="AV124" i="59" s="1"/>
  <c r="AW124" i="59" s="1"/>
  <c r="AX124" i="59" s="1"/>
  <c r="AF783" i="59"/>
  <c r="AF856" i="59"/>
  <c r="V996" i="59"/>
  <c r="AT996" i="59" s="1"/>
  <c r="AS996" i="59" s="1"/>
  <c r="AV996" i="59" s="1"/>
  <c r="V914" i="59"/>
  <c r="AT914" i="59" s="1"/>
  <c r="AS914" i="59" s="1"/>
  <c r="AV914" i="59" s="1"/>
  <c r="V667" i="59"/>
  <c r="AT667" i="59" s="1"/>
  <c r="AS667" i="59" s="1"/>
  <c r="AV667" i="59" s="1"/>
  <c r="AW667" i="59" s="1"/>
  <c r="AX667" i="59" s="1"/>
  <c r="AF973" i="59"/>
  <c r="AF813" i="59"/>
  <c r="V988" i="59"/>
  <c r="AT988" i="59" s="1"/>
  <c r="AS988" i="59" s="1"/>
  <c r="AV988" i="59" s="1"/>
  <c r="AW988" i="59" s="1"/>
  <c r="AX988" i="59" s="1"/>
  <c r="AF984" i="59"/>
  <c r="AF997" i="59"/>
  <c r="V830" i="59"/>
  <c r="AT830" i="59" s="1"/>
  <c r="AS830" i="59" s="1"/>
  <c r="AV830" i="59" s="1"/>
  <c r="AW830" i="59" s="1"/>
  <c r="AX830" i="59" s="1"/>
  <c r="AF18" i="59"/>
  <c r="V553" i="59"/>
  <c r="AT553" i="59" s="1"/>
  <c r="AS553" i="59" s="1"/>
  <c r="AV553" i="59" s="1"/>
  <c r="AF339" i="59"/>
  <c r="AF970" i="59"/>
  <c r="V158" i="59"/>
  <c r="AT158" i="59" s="1"/>
  <c r="AS158" i="59" s="1"/>
  <c r="AV158" i="59" s="1"/>
  <c r="AW158" i="59" s="1"/>
  <c r="AX158" i="59" s="1"/>
  <c r="AF614" i="59"/>
  <c r="V937" i="59"/>
  <c r="AF435" i="59"/>
  <c r="V938" i="59"/>
  <c r="AT938" i="59" s="1"/>
  <c r="V792" i="59"/>
  <c r="AT792" i="59" s="1"/>
  <c r="AS792" i="59" s="1"/>
  <c r="AV792" i="59" s="1"/>
  <c r="AF895" i="59"/>
  <c r="AF673" i="59"/>
  <c r="V479" i="59"/>
  <c r="AT479" i="59" s="1"/>
  <c r="AS479" i="59" s="1"/>
  <c r="AV479" i="59" s="1"/>
  <c r="AW479" i="59" s="1"/>
  <c r="AX479" i="59" s="1"/>
  <c r="AF354" i="59"/>
  <c r="V930" i="59"/>
  <c r="AT930" i="59" s="1"/>
  <c r="AS930" i="59" s="1"/>
  <c r="AV930" i="59" s="1"/>
  <c r="AW930" i="59" s="1"/>
  <c r="AX930" i="59" s="1"/>
  <c r="AF166" i="59"/>
  <c r="V998" i="59"/>
  <c r="AT998" i="59" s="1"/>
  <c r="AS998" i="59" s="1"/>
  <c r="AV998" i="59" s="1"/>
  <c r="V229" i="59"/>
  <c r="AT229" i="59" s="1"/>
  <c r="AS229" i="59" s="1"/>
  <c r="AV229" i="59" s="1"/>
  <c r="AW229" i="59" s="1"/>
  <c r="AX229" i="59" s="1"/>
  <c r="AF909" i="59"/>
  <c r="V403" i="59"/>
  <c r="V103" i="59"/>
  <c r="AT103" i="59" s="1"/>
  <c r="AF873" i="59"/>
  <c r="AF28" i="59"/>
  <c r="AF311" i="59"/>
  <c r="AF957" i="59"/>
  <c r="AF862" i="59"/>
  <c r="V793" i="59"/>
  <c r="AT793" i="59" s="1"/>
  <c r="AS793" i="59" s="1"/>
  <c r="AV793" i="59" s="1"/>
  <c r="AW793" i="59" s="1"/>
  <c r="AX793" i="59" s="1"/>
  <c r="V560" i="59"/>
  <c r="AT560" i="59" s="1"/>
  <c r="AS560" i="59" s="1"/>
  <c r="AV560" i="59" s="1"/>
  <c r="AF943" i="59"/>
  <c r="AF975" i="59"/>
  <c r="AF395" i="59"/>
  <c r="AF845" i="59"/>
  <c r="V883" i="59"/>
  <c r="AT883" i="59" s="1"/>
  <c r="AS883" i="59" s="1"/>
  <c r="AV883" i="59" s="1"/>
  <c r="AW883" i="59" s="1"/>
  <c r="AX883" i="59" s="1"/>
  <c r="V639" i="59"/>
  <c r="AT639" i="59" s="1"/>
  <c r="AS639" i="59" s="1"/>
  <c r="AV639" i="59" s="1"/>
  <c r="AW639" i="59" s="1"/>
  <c r="AX639" i="59" s="1"/>
  <c r="AF593" i="59"/>
  <c r="AF517" i="59"/>
  <c r="V254" i="59"/>
  <c r="AT254" i="59" s="1"/>
  <c r="AS254" i="59" s="1"/>
  <c r="AV254" i="59" s="1"/>
  <c r="AW254" i="59" s="1"/>
  <c r="AX254" i="59" s="1"/>
  <c r="AF932" i="59"/>
  <c r="AF948" i="59"/>
  <c r="AF471" i="59"/>
  <c r="V904" i="59"/>
  <c r="AT904" i="59" s="1"/>
  <c r="AS904" i="59" s="1"/>
  <c r="AV904" i="59" s="1"/>
  <c r="AW904" i="59" s="1"/>
  <c r="AX904" i="59" s="1"/>
  <c r="V513" i="59"/>
  <c r="AT513" i="59" s="1"/>
  <c r="AS513" i="59" s="1"/>
  <c r="AV513" i="59" s="1"/>
  <c r="AW513" i="59" s="1"/>
  <c r="AX513" i="59" s="1"/>
  <c r="AF821" i="59"/>
  <c r="V966" i="59"/>
  <c r="AT966" i="59" s="1"/>
  <c r="AS966" i="59" s="1"/>
  <c r="AV966" i="59" s="1"/>
  <c r="V123" i="59"/>
  <c r="AT123" i="59" s="1"/>
  <c r="AS123" i="59" s="1"/>
  <c r="AV123" i="59" s="1"/>
  <c r="AW123" i="59" s="1"/>
  <c r="AX123" i="59" s="1"/>
  <c r="AF834" i="59"/>
  <c r="AF910" i="59"/>
  <c r="AE59" i="30"/>
  <c r="U59" i="30"/>
  <c r="AS59" i="30" s="1"/>
  <c r="AR59" i="30" s="1"/>
  <c r="AU59" i="30" s="1"/>
  <c r="AV59" i="30" s="1"/>
  <c r="AW59" i="30" s="1"/>
  <c r="BA59" i="30"/>
  <c r="BD34" i="30"/>
  <c r="AE51" i="30"/>
  <c r="BA51" i="30"/>
  <c r="U51" i="30"/>
  <c r="AS51" i="30" s="1"/>
  <c r="AR51" i="30" s="1"/>
  <c r="AU51" i="30" s="1"/>
  <c r="BD68" i="30"/>
  <c r="BD63" i="30"/>
  <c r="U52" i="30"/>
  <c r="AS52" i="30" s="1"/>
  <c r="AR52" i="30" s="1"/>
  <c r="AU52" i="30" s="1"/>
  <c r="BA52" i="30"/>
  <c r="AE52" i="30"/>
  <c r="AE14" i="30"/>
  <c r="U14" i="30"/>
  <c r="AS14" i="30" s="1"/>
  <c r="AR14" i="30" s="1"/>
  <c r="AU14" i="30" s="1"/>
  <c r="BA14" i="30"/>
  <c r="BD69" i="30"/>
  <c r="BD65" i="30"/>
  <c r="BD64" i="30"/>
  <c r="BD61" i="30"/>
  <c r="AE68" i="30"/>
  <c r="U67" i="30"/>
  <c r="BA67" i="30"/>
  <c r="U69" i="30"/>
  <c r="BA69" i="30"/>
  <c r="AE67" i="30"/>
  <c r="U62" i="30"/>
  <c r="BA62" i="30"/>
  <c r="U66" i="30"/>
  <c r="BA66" i="30"/>
  <c r="AE62" i="30"/>
  <c r="AE65" i="30"/>
  <c r="AE66" i="30"/>
  <c r="U64" i="30"/>
  <c r="BA64" i="30"/>
  <c r="U65" i="30"/>
  <c r="BA65" i="30"/>
  <c r="U61" i="30"/>
  <c r="BA61" i="30"/>
  <c r="AE64" i="30"/>
  <c r="AE63" i="30"/>
  <c r="AE61" i="30"/>
  <c r="U68" i="30"/>
  <c r="BA68" i="30"/>
  <c r="U63" i="30"/>
  <c r="BA63" i="30"/>
  <c r="AE69" i="30"/>
  <c r="AE60" i="30"/>
  <c r="U60" i="30"/>
  <c r="BA60" i="30"/>
  <c r="U70" i="30"/>
  <c r="AS70" i="30" s="1"/>
  <c r="AR70" i="30" s="1"/>
  <c r="AU70" i="30" s="1"/>
  <c r="AV70" i="30" s="1"/>
  <c r="AW70" i="30" s="1"/>
  <c r="BA70" i="30"/>
  <c r="BB70" i="30"/>
  <c r="AE70" i="30"/>
  <c r="U56" i="30"/>
  <c r="AS56" i="30" s="1"/>
  <c r="AR56" i="30" s="1"/>
  <c r="AU56" i="30" s="1"/>
  <c r="AV56" i="30" s="1"/>
  <c r="AW56" i="30" s="1"/>
  <c r="BA56" i="30"/>
  <c r="BB56" i="30"/>
  <c r="AE56" i="30"/>
  <c r="AE58" i="30"/>
  <c r="U58" i="30"/>
  <c r="AS58" i="30" s="1"/>
  <c r="AR58" i="30" s="1"/>
  <c r="AU58" i="30" s="1"/>
  <c r="AV58" i="30" s="1"/>
  <c r="AW58" i="30" s="1"/>
  <c r="BA58" i="30"/>
  <c r="BD53" i="30"/>
  <c r="AE39" i="30"/>
  <c r="BB39" i="30"/>
  <c r="U39" i="30"/>
  <c r="AS39" i="30" s="1"/>
  <c r="AR39" i="30" s="1"/>
  <c r="AU39" i="30" s="1"/>
  <c r="AV39" i="30" s="1"/>
  <c r="AW39" i="30" s="1"/>
  <c r="BA39" i="30"/>
  <c r="BB57" i="30"/>
  <c r="AE57" i="30"/>
  <c r="U57" i="30"/>
  <c r="AS57" i="30" s="1"/>
  <c r="AR57" i="30" s="1"/>
  <c r="AU57" i="30" s="1"/>
  <c r="AV57" i="30" s="1"/>
  <c r="AW57" i="30" s="1"/>
  <c r="BA57" i="30"/>
  <c r="BD55" i="30"/>
  <c r="BD46" i="30"/>
  <c r="BD45" i="30"/>
  <c r="BC43" i="30"/>
  <c r="BD43" i="30"/>
  <c r="BD42" i="30"/>
  <c r="BC42" i="30"/>
  <c r="U49" i="30"/>
  <c r="BA49" i="30"/>
  <c r="AE54" i="30"/>
  <c r="U41" i="30"/>
  <c r="BA41" i="30"/>
  <c r="AE49" i="30"/>
  <c r="AE50" i="30"/>
  <c r="U54" i="30"/>
  <c r="BA54" i="30"/>
  <c r="AE41" i="30"/>
  <c r="U50" i="30"/>
  <c r="BA50" i="30"/>
  <c r="U48" i="30"/>
  <c r="BA48" i="30"/>
  <c r="AE55" i="30"/>
  <c r="AE45" i="30"/>
  <c r="U47" i="30"/>
  <c r="BA47" i="30"/>
  <c r="U45" i="30"/>
  <c r="BA45" i="30"/>
  <c r="U44" i="30"/>
  <c r="BA44" i="30"/>
  <c r="AE47" i="30"/>
  <c r="U43" i="30"/>
  <c r="BA43" i="30"/>
  <c r="AE53" i="30"/>
  <c r="AE44" i="30"/>
  <c r="AE46" i="30"/>
  <c r="U53" i="30"/>
  <c r="BA53" i="30"/>
  <c r="AE43" i="30"/>
  <c r="U46" i="30"/>
  <c r="BA46" i="30"/>
  <c r="U55" i="30"/>
  <c r="BA55" i="30"/>
  <c r="AE48" i="30"/>
  <c r="U42" i="30"/>
  <c r="BA42" i="30"/>
  <c r="AE42" i="30"/>
  <c r="BD44" i="30"/>
  <c r="U38" i="30"/>
  <c r="AS38" i="30" s="1"/>
  <c r="BA38" i="30"/>
  <c r="AE38" i="30"/>
  <c r="BB38" i="30"/>
  <c r="U57" i="58"/>
  <c r="AS57" i="58" s="1"/>
  <c r="AR57" i="58" s="1"/>
  <c r="AU57" i="58" s="1"/>
  <c r="BA57" i="58"/>
  <c r="BA7" i="58"/>
  <c r="U7" i="58"/>
  <c r="AS7" i="58" s="1"/>
  <c r="AE22" i="58"/>
  <c r="BB22" i="58"/>
  <c r="BA17" i="58"/>
  <c r="U17" i="58"/>
  <c r="AS17" i="58" s="1"/>
  <c r="AR17" i="58" s="1"/>
  <c r="AU17" i="58" s="1"/>
  <c r="U16" i="58"/>
  <c r="AS16" i="58" s="1"/>
  <c r="AR16" i="58" s="1"/>
  <c r="AU16" i="58" s="1"/>
  <c r="BA16" i="58"/>
  <c r="AE70" i="58"/>
  <c r="BB70" i="58"/>
  <c r="U9" i="58"/>
  <c r="AS9" i="58" s="1"/>
  <c r="BA9" i="58"/>
  <c r="AE6" i="58"/>
  <c r="BB6" i="58"/>
  <c r="U53" i="58"/>
  <c r="BA53" i="58"/>
  <c r="U38" i="58"/>
  <c r="BA38" i="58"/>
  <c r="BA34" i="58"/>
  <c r="U34" i="58"/>
  <c r="AS34" i="58" s="1"/>
  <c r="AR34" i="58" s="1"/>
  <c r="AU34" i="58" s="1"/>
  <c r="AV34" i="58" s="1"/>
  <c r="AW34" i="58" s="1"/>
  <c r="AE46" i="58"/>
  <c r="BB46" i="58"/>
  <c r="U41" i="58"/>
  <c r="AS41" i="58" s="1"/>
  <c r="AR41" i="58" s="1"/>
  <c r="AU41" i="58" s="1"/>
  <c r="AV41" i="58" s="1"/>
  <c r="AW41" i="58" s="1"/>
  <c r="BA41" i="58"/>
  <c r="AE26" i="58"/>
  <c r="BB26" i="58"/>
  <c r="AE66" i="58"/>
  <c r="BB66" i="58"/>
  <c r="BA64" i="58"/>
  <c r="U64" i="58"/>
  <c r="AS64" i="58" s="1"/>
  <c r="AR64" i="58" s="1"/>
  <c r="AU64" i="58" s="1"/>
  <c r="AV64" i="58" s="1"/>
  <c r="AW64" i="58" s="1"/>
  <c r="AE31" i="58"/>
  <c r="BB31" i="58"/>
  <c r="AE54" i="58"/>
  <c r="BB54" i="58"/>
  <c r="U42" i="58"/>
  <c r="AS42" i="58" s="1"/>
  <c r="AR42" i="58" s="1"/>
  <c r="AU42" i="58" s="1"/>
  <c r="AV42" i="58" s="1"/>
  <c r="AW42" i="58" s="1"/>
  <c r="BA42" i="58"/>
  <c r="AE56" i="58"/>
  <c r="BB56" i="58"/>
  <c r="U59" i="58"/>
  <c r="AS59" i="58" s="1"/>
  <c r="AR59" i="58" s="1"/>
  <c r="AU59" i="58" s="1"/>
  <c r="BA59" i="58"/>
  <c r="AE7" i="58"/>
  <c r="BB7" i="58"/>
  <c r="AE17" i="58"/>
  <c r="BB17" i="58"/>
  <c r="U21" i="58"/>
  <c r="AS21" i="58" s="1"/>
  <c r="AR21" i="58" s="1"/>
  <c r="AU21" i="58" s="1"/>
  <c r="AV21" i="58" s="1"/>
  <c r="AW21" i="58" s="1"/>
  <c r="BA21" i="58"/>
  <c r="BA47" i="58"/>
  <c r="U47" i="58"/>
  <c r="AS47" i="58" s="1"/>
  <c r="AR47" i="58" s="1"/>
  <c r="AU47" i="58" s="1"/>
  <c r="AE16" i="58"/>
  <c r="BB16" i="58"/>
  <c r="AE65" i="58"/>
  <c r="BB65" i="58"/>
  <c r="AE9" i="58"/>
  <c r="BB9" i="58"/>
  <c r="AE38" i="58"/>
  <c r="BB38" i="58"/>
  <c r="AE41" i="58"/>
  <c r="BB41" i="58"/>
  <c r="U49" i="58"/>
  <c r="AS49" i="58" s="1"/>
  <c r="AR49" i="58" s="1"/>
  <c r="AU49" i="58" s="1"/>
  <c r="BA49" i="58"/>
  <c r="BA60" i="58"/>
  <c r="U60" i="58"/>
  <c r="AS60" i="58" s="1"/>
  <c r="AR60" i="58" s="1"/>
  <c r="AU60" i="58" s="1"/>
  <c r="AE42" i="58"/>
  <c r="BB42" i="58"/>
  <c r="U11" i="58"/>
  <c r="AS11" i="58" s="1"/>
  <c r="AR11" i="58" s="1"/>
  <c r="AU11" i="58" s="1"/>
  <c r="AV11" i="58" s="1"/>
  <c r="AW11" i="58" s="1"/>
  <c r="BA11" i="58"/>
  <c r="BA52" i="58"/>
  <c r="U52" i="58"/>
  <c r="AS52" i="58" s="1"/>
  <c r="AE43" i="58"/>
  <c r="BB43" i="58"/>
  <c r="AE21" i="58"/>
  <c r="BB21" i="58"/>
  <c r="AE36" i="58"/>
  <c r="BB36" i="58"/>
  <c r="U19" i="58"/>
  <c r="AS19" i="58" s="1"/>
  <c r="BA19" i="58"/>
  <c r="AE61" i="58"/>
  <c r="BB61" i="58"/>
  <c r="U10" i="58"/>
  <c r="AS10" i="58" s="1"/>
  <c r="BA10" i="58"/>
  <c r="AE44" i="58"/>
  <c r="BB44" i="58"/>
  <c r="AE49" i="58"/>
  <c r="BB49" i="58"/>
  <c r="AE60" i="58"/>
  <c r="BB60" i="58"/>
  <c r="AE30" i="58"/>
  <c r="BB30" i="58"/>
  <c r="U69" i="58"/>
  <c r="AS69" i="58" s="1"/>
  <c r="AR69" i="58" s="1"/>
  <c r="AU69" i="58" s="1"/>
  <c r="AV69" i="58" s="1"/>
  <c r="AW69" i="58" s="1"/>
  <c r="BA69" i="58"/>
  <c r="AE40" i="58"/>
  <c r="BB40" i="58"/>
  <c r="BA8" i="58"/>
  <c r="U8" i="58"/>
  <c r="AS8" i="58" s="1"/>
  <c r="AR8" i="58" s="1"/>
  <c r="AU8" i="58" s="1"/>
  <c r="AE63" i="58"/>
  <c r="BB63" i="58"/>
  <c r="AE28" i="58"/>
  <c r="BB28" i="58"/>
  <c r="U18" i="58"/>
  <c r="AS18" i="58" s="1"/>
  <c r="BA18" i="58"/>
  <c r="U35" i="58"/>
  <c r="AS35" i="58" s="1"/>
  <c r="AR35" i="58" s="1"/>
  <c r="AU35" i="58" s="1"/>
  <c r="AV35" i="58" s="1"/>
  <c r="AW35" i="58" s="1"/>
  <c r="BA35" i="58"/>
  <c r="BA62" i="58"/>
  <c r="U62" i="58"/>
  <c r="AS62" i="58" s="1"/>
  <c r="AR62" i="58" s="1"/>
  <c r="AU62" i="58" s="1"/>
  <c r="BA15" i="58"/>
  <c r="U15" i="58"/>
  <c r="AS15" i="58" s="1"/>
  <c r="AR15" i="58" s="1"/>
  <c r="AU15" i="58" s="1"/>
  <c r="AV15" i="58" s="1"/>
  <c r="AW15" i="58" s="1"/>
  <c r="U68" i="58"/>
  <c r="BA68" i="58"/>
  <c r="AE58" i="58"/>
  <c r="BB58" i="58"/>
  <c r="U24" i="58"/>
  <c r="AS24" i="58" s="1"/>
  <c r="BA24" i="58"/>
  <c r="U25" i="58"/>
  <c r="AS25" i="58" s="1"/>
  <c r="BA25" i="58"/>
  <c r="AE67" i="58"/>
  <c r="BB67" i="58"/>
  <c r="BA27" i="58"/>
  <c r="U27" i="58"/>
  <c r="AS27" i="58" s="1"/>
  <c r="AR27" i="58" s="1"/>
  <c r="AU27" i="58" s="1"/>
  <c r="AE12" i="58"/>
  <c r="BB12" i="58"/>
  <c r="AE69" i="58"/>
  <c r="BB69" i="58"/>
  <c r="AE29" i="58"/>
  <c r="BB29" i="58"/>
  <c r="AE39" i="58"/>
  <c r="BB39" i="58"/>
  <c r="BA20" i="58"/>
  <c r="U20" i="58"/>
  <c r="AS20" i="58" s="1"/>
  <c r="U54" i="58"/>
  <c r="BA54" i="58"/>
  <c r="BA63" i="58"/>
  <c r="U63" i="58"/>
  <c r="AS63" i="58" s="1"/>
  <c r="BA55" i="58"/>
  <c r="U55" i="58"/>
  <c r="AS55" i="58" s="1"/>
  <c r="AE57" i="58"/>
  <c r="BB57" i="58"/>
  <c r="AE35" i="58"/>
  <c r="BB35" i="58"/>
  <c r="AE62" i="58"/>
  <c r="BB62" i="58"/>
  <c r="AE51" i="58"/>
  <c r="BB51" i="58"/>
  <c r="BA37" i="58"/>
  <c r="U37" i="58"/>
  <c r="U33" i="58"/>
  <c r="AS33" i="58" s="1"/>
  <c r="AR33" i="58" s="1"/>
  <c r="AU33" i="58" s="1"/>
  <c r="AV33" i="58" s="1"/>
  <c r="AW33" i="58" s="1"/>
  <c r="BA33" i="58"/>
  <c r="BA70" i="58"/>
  <c r="U70" i="58"/>
  <c r="AS70" i="58" s="1"/>
  <c r="AR70" i="58" s="1"/>
  <c r="AU70" i="58" s="1"/>
  <c r="AV70" i="58" s="1"/>
  <c r="AW70" i="58" s="1"/>
  <c r="U65" i="58"/>
  <c r="AS65" i="58" s="1"/>
  <c r="AR65" i="58" s="1"/>
  <c r="AU65" i="58" s="1"/>
  <c r="AV65" i="58" s="1"/>
  <c r="AW65" i="58" s="1"/>
  <c r="BA65" i="58"/>
  <c r="U36" i="58"/>
  <c r="BA36" i="58"/>
  <c r="AE19" i="58"/>
  <c r="BB19" i="58"/>
  <c r="AE50" i="58"/>
  <c r="BB50" i="58"/>
  <c r="AE24" i="58"/>
  <c r="BB24" i="58"/>
  <c r="AE34" i="58"/>
  <c r="BB34" i="58"/>
  <c r="BA46" i="58"/>
  <c r="U46" i="58"/>
  <c r="AS46" i="58" s="1"/>
  <c r="BA32" i="58"/>
  <c r="U32" i="58"/>
  <c r="AE25" i="58"/>
  <c r="BB25" i="58"/>
  <c r="BA26" i="58"/>
  <c r="U26" i="58"/>
  <c r="AS26" i="58" s="1"/>
  <c r="BA13" i="58"/>
  <c r="U13" i="58"/>
  <c r="AS13" i="58" s="1"/>
  <c r="AR13" i="58" s="1"/>
  <c r="AU13" i="58" s="1"/>
  <c r="AV13" i="58" s="1"/>
  <c r="AW13" i="58" s="1"/>
  <c r="AE64" i="58"/>
  <c r="BB64" i="58"/>
  <c r="AE20" i="58"/>
  <c r="BB20" i="58"/>
  <c r="AE55" i="58"/>
  <c r="BB55" i="58"/>
  <c r="AE23" i="58"/>
  <c r="BB23" i="58"/>
  <c r="BA48" i="58"/>
  <c r="U48" i="58"/>
  <c r="AS48" i="58" s="1"/>
  <c r="AR48" i="58" s="1"/>
  <c r="AU48" i="58" s="1"/>
  <c r="AV48" i="58" s="1"/>
  <c r="AW48" i="58" s="1"/>
  <c r="BA45" i="58"/>
  <c r="U45" i="58"/>
  <c r="AS45" i="58" s="1"/>
  <c r="AR45" i="58" s="1"/>
  <c r="AU45" i="58" s="1"/>
  <c r="AV45" i="58" s="1"/>
  <c r="AW45" i="58" s="1"/>
  <c r="BA43" i="58"/>
  <c r="U43" i="58"/>
  <c r="AS43" i="58" s="1"/>
  <c r="AR43" i="58" s="1"/>
  <c r="AU43" i="58" s="1"/>
  <c r="AV43" i="58" s="1"/>
  <c r="AW43" i="58" s="1"/>
  <c r="AE47" i="58"/>
  <c r="BB47" i="58"/>
  <c r="AE33" i="58"/>
  <c r="BB33" i="58"/>
  <c r="AE68" i="58"/>
  <c r="BB68" i="58"/>
  <c r="AE53" i="58"/>
  <c r="BB53" i="58"/>
  <c r="AE32" i="58"/>
  <c r="BB32" i="58"/>
  <c r="AE13" i="58"/>
  <c r="BB13" i="58"/>
  <c r="U29" i="58"/>
  <c r="BA29" i="58"/>
  <c r="U40" i="58"/>
  <c r="AS40" i="58" s="1"/>
  <c r="AR40" i="58" s="1"/>
  <c r="AU40" i="58" s="1"/>
  <c r="AV40" i="58" s="1"/>
  <c r="AW40" i="58" s="1"/>
  <c r="BA40" i="58"/>
  <c r="AE59" i="58"/>
  <c r="BB59" i="58"/>
  <c r="AE48" i="58"/>
  <c r="BB48" i="58"/>
  <c r="AE52" i="58"/>
  <c r="BB52" i="58"/>
  <c r="U5" i="58"/>
  <c r="AS5" i="58" s="1"/>
  <c r="AR5" i="58" s="1"/>
  <c r="AU5" i="58" s="1"/>
  <c r="BA5" i="58"/>
  <c r="AE45" i="58"/>
  <c r="BB45" i="58"/>
  <c r="AE37" i="58"/>
  <c r="BB37" i="58"/>
  <c r="U61" i="58"/>
  <c r="AS61" i="58" s="1"/>
  <c r="BA61" i="58"/>
  <c r="AE10" i="58"/>
  <c r="BB10" i="58"/>
  <c r="BA44" i="58"/>
  <c r="U44" i="58"/>
  <c r="AS44" i="58" s="1"/>
  <c r="AR44" i="58" s="1"/>
  <c r="AU44" i="58" s="1"/>
  <c r="AV44" i="58" s="1"/>
  <c r="AW44" i="58" s="1"/>
  <c r="BA30" i="58"/>
  <c r="U30" i="58"/>
  <c r="AS30" i="58" s="1"/>
  <c r="AR30" i="58" s="1"/>
  <c r="AU30" i="58" s="1"/>
  <c r="BA67" i="58"/>
  <c r="U67" i="58"/>
  <c r="AS67" i="58" s="1"/>
  <c r="BA31" i="58"/>
  <c r="U31" i="58"/>
  <c r="AS31" i="58" s="1"/>
  <c r="AR31" i="58" s="1"/>
  <c r="AU31" i="58" s="1"/>
  <c r="AV31" i="58" s="1"/>
  <c r="AW31" i="58" s="1"/>
  <c r="AE8" i="58"/>
  <c r="BB8" i="58"/>
  <c r="AE11" i="58"/>
  <c r="BB11" i="58"/>
  <c r="U28" i="58"/>
  <c r="BA28" i="58"/>
  <c r="AE18" i="58"/>
  <c r="BB18" i="58"/>
  <c r="BA22" i="58"/>
  <c r="U22" i="58"/>
  <c r="AS22" i="58" s="1"/>
  <c r="AR22" i="58" s="1"/>
  <c r="AU22" i="58" s="1"/>
  <c r="AE5" i="58"/>
  <c r="BB5" i="58"/>
  <c r="BA51" i="58"/>
  <c r="U51" i="58"/>
  <c r="AS51" i="58" s="1"/>
  <c r="AR51" i="58" s="1"/>
  <c r="AU51" i="58" s="1"/>
  <c r="AE15" i="58"/>
  <c r="BB15" i="58"/>
  <c r="BA6" i="58"/>
  <c r="U6" i="58"/>
  <c r="AS6" i="58" s="1"/>
  <c r="BA58" i="58"/>
  <c r="U58" i="58"/>
  <c r="AS58" i="58" s="1"/>
  <c r="U50" i="58"/>
  <c r="AS50" i="58" s="1"/>
  <c r="AR50" i="58" s="1"/>
  <c r="AU50" i="58" s="1"/>
  <c r="AV50" i="58" s="1"/>
  <c r="AW50" i="58" s="1"/>
  <c r="BA50" i="58"/>
  <c r="BA66" i="58"/>
  <c r="U66" i="58"/>
  <c r="AS66" i="58" s="1"/>
  <c r="AR66" i="58" s="1"/>
  <c r="AU66" i="58" s="1"/>
  <c r="AE27" i="58"/>
  <c r="BB27" i="58"/>
  <c r="BA12" i="58"/>
  <c r="U12" i="58"/>
  <c r="AS12" i="58" s="1"/>
  <c r="AR12" i="58" s="1"/>
  <c r="AU12" i="58" s="1"/>
  <c r="AV12" i="58" s="1"/>
  <c r="AW12" i="58" s="1"/>
  <c r="BA39" i="58"/>
  <c r="U39" i="58"/>
  <c r="AS39" i="58" s="1"/>
  <c r="AR39" i="58" s="1"/>
  <c r="AU39" i="58" s="1"/>
  <c r="AV39" i="58" s="1"/>
  <c r="AW39" i="58" s="1"/>
  <c r="BA56" i="58"/>
  <c r="U56" i="58"/>
  <c r="AS56" i="58" s="1"/>
  <c r="U23" i="58"/>
  <c r="AS23" i="58" s="1"/>
  <c r="BA23" i="58"/>
  <c r="DO10" i="49"/>
  <c r="CO10" i="49"/>
  <c r="CZ10" i="49"/>
  <c r="AA10" i="49"/>
  <c r="DR10" i="49"/>
  <c r="CV10" i="49"/>
  <c r="CI10" i="49"/>
  <c r="AK10" i="49"/>
  <c r="AO10" i="49"/>
  <c r="DC10" i="49"/>
  <c r="BA10" i="49"/>
  <c r="BI10" i="49"/>
  <c r="BN10" i="49"/>
  <c r="CK10" i="49"/>
  <c r="BY10" i="49"/>
  <c r="AC10" i="49"/>
  <c r="BE10" i="49"/>
  <c r="AH10" i="49"/>
  <c r="BU10" i="49"/>
  <c r="N10" i="49"/>
  <c r="H10" i="49"/>
  <c r="DK10" i="49"/>
  <c r="AW10" i="49"/>
  <c r="I10" i="49"/>
  <c r="BZ10" i="49"/>
  <c r="DH10" i="49"/>
  <c r="CT10" i="49"/>
  <c r="Z10" i="49"/>
  <c r="AX10" i="49"/>
  <c r="BT10" i="49"/>
  <c r="BG10" i="49"/>
  <c r="M10" i="49"/>
  <c r="AL10" i="49"/>
  <c r="BB10" i="49"/>
  <c r="DS10" i="49"/>
  <c r="P10" i="49"/>
  <c r="BH10" i="49"/>
  <c r="CA10" i="49"/>
  <c r="AM10" i="49"/>
  <c r="CE10" i="49"/>
  <c r="BQ10" i="49"/>
  <c r="CR10" i="49"/>
  <c r="AP10" i="49"/>
  <c r="DE10" i="49"/>
  <c r="AZ10" i="49"/>
  <c r="F10" i="49"/>
  <c r="AR10" i="49"/>
  <c r="DJ10" i="49"/>
  <c r="BF10" i="49"/>
  <c r="CG10" i="49"/>
  <c r="AS10" i="49"/>
  <c r="J10" i="49"/>
  <c r="AY10" i="49"/>
  <c r="DB10" i="49"/>
  <c r="AD10" i="49"/>
  <c r="T10" i="49"/>
  <c r="CY10" i="49"/>
  <c r="DI10" i="49"/>
  <c r="AN10" i="49"/>
  <c r="BM10" i="49"/>
  <c r="AI10" i="49"/>
  <c r="DL10" i="49"/>
  <c r="CM10" i="49"/>
  <c r="BS10" i="49"/>
  <c r="DF10" i="49"/>
  <c r="AF10" i="49"/>
  <c r="U10" i="49"/>
  <c r="BJ10" i="49"/>
  <c r="BD10" i="49"/>
  <c r="AJ10" i="49"/>
  <c r="CH10" i="49"/>
  <c r="K10" i="49"/>
  <c r="AE10" i="49"/>
  <c r="BC10" i="49"/>
  <c r="G10" i="49"/>
  <c r="V10" i="49"/>
  <c r="BK10" i="49"/>
  <c r="BO10" i="49"/>
  <c r="L10" i="49"/>
  <c r="AB10" i="49"/>
  <c r="O10" i="49"/>
  <c r="CQ10" i="49"/>
  <c r="AG10" i="49"/>
  <c r="CW10" i="49"/>
  <c r="S10" i="49"/>
  <c r="CF10" i="49"/>
  <c r="Y10" i="49"/>
  <c r="DD10" i="49"/>
  <c r="DM10" i="49"/>
  <c r="BP10" i="49"/>
  <c r="AT10" i="49"/>
  <c r="W10" i="49"/>
  <c r="CC10" i="49"/>
  <c r="CU10" i="49"/>
  <c r="CX10" i="49"/>
  <c r="CB10" i="49"/>
  <c r="BX10" i="49"/>
  <c r="CJ10" i="49"/>
  <c r="CP10" i="49"/>
  <c r="AQ10" i="49"/>
  <c r="Q10" i="49"/>
  <c r="BL10" i="49"/>
  <c r="BD25" i="30"/>
  <c r="BC29" i="30"/>
  <c r="BC37" i="30"/>
  <c r="BC11" i="30"/>
  <c r="BC7" i="30"/>
  <c r="BC31" i="30"/>
  <c r="BC19" i="30"/>
  <c r="BC9" i="30"/>
  <c r="BC36" i="30"/>
  <c r="BC21" i="30"/>
  <c r="BC40" i="30"/>
  <c r="BC20" i="30"/>
  <c r="BC5" i="30"/>
  <c r="DQ10" i="49"/>
  <c r="AU10" i="49"/>
  <c r="DG10" i="49"/>
  <c r="X10" i="49"/>
  <c r="DA10" i="49"/>
  <c r="CN10" i="49"/>
  <c r="DT10" i="49"/>
  <c r="BR10" i="49"/>
  <c r="R10" i="49"/>
  <c r="BW10" i="49"/>
  <c r="AV10" i="49"/>
  <c r="CL10" i="49"/>
  <c r="BV10" i="49"/>
  <c r="CS10" i="49"/>
  <c r="DN10" i="49"/>
  <c r="DP10" i="49"/>
  <c r="EA9" i="56"/>
  <c r="AB9" i="56"/>
  <c r="BC9" i="56"/>
  <c r="DK9" i="56"/>
  <c r="AP9" i="56"/>
  <c r="AL9" i="56"/>
  <c r="L9" i="56"/>
  <c r="DL9" i="56"/>
  <c r="AX9" i="56"/>
  <c r="DG9" i="56"/>
  <c r="CP9" i="56"/>
  <c r="BJ9" i="56"/>
  <c r="EQ9" i="56"/>
  <c r="Z9" i="56"/>
  <c r="EK9" i="56"/>
  <c r="BB33" i="30"/>
  <c r="AE33" i="30"/>
  <c r="BZ9" i="56"/>
  <c r="AI9" i="56"/>
  <c r="U33" i="30"/>
  <c r="AS33" i="30" s="1"/>
  <c r="BA33" i="30"/>
  <c r="AC9" i="56"/>
  <c r="CF9" i="56"/>
  <c r="BR9" i="56"/>
  <c r="BY9" i="56"/>
  <c r="DU9" i="56"/>
  <c r="CQ9" i="56"/>
  <c r="CY9" i="56"/>
  <c r="EN9" i="56"/>
  <c r="FC9" i="56"/>
  <c r="CC9" i="56"/>
  <c r="I9" i="56"/>
  <c r="ES9" i="56"/>
  <c r="BW9" i="56"/>
  <c r="BK9" i="56"/>
  <c r="DQ9" i="56"/>
  <c r="CZ9" i="56"/>
  <c r="CU9" i="56"/>
  <c r="DR9" i="56"/>
  <c r="BE9" i="56"/>
  <c r="AR9" i="56"/>
  <c r="CA9" i="56"/>
  <c r="BB9" i="56"/>
  <c r="H9" i="56"/>
  <c r="CN9" i="56"/>
  <c r="AK9" i="56"/>
  <c r="CB9" i="56"/>
  <c r="AS9" i="56"/>
  <c r="AQ9" i="56"/>
  <c r="EB9" i="56"/>
  <c r="CV9" i="56"/>
  <c r="BO9" i="56"/>
  <c r="CS9" i="56"/>
  <c r="EC9" i="56"/>
  <c r="DS9" i="56"/>
  <c r="AA9" i="56"/>
  <c r="AT9" i="56"/>
  <c r="BF9" i="56"/>
  <c r="Y9" i="56"/>
  <c r="EF9" i="56"/>
  <c r="EG9" i="56"/>
  <c r="ER9" i="56"/>
  <c r="DC9" i="56"/>
  <c r="EJ9" i="56"/>
  <c r="DI9" i="56"/>
  <c r="AV9" i="56"/>
  <c r="BV9" i="56"/>
  <c r="T9" i="56"/>
  <c r="DB9" i="56"/>
  <c r="CL9" i="56"/>
  <c r="O9" i="56"/>
  <c r="DP9" i="56"/>
  <c r="CW9" i="56"/>
  <c r="BL9" i="56"/>
  <c r="BM9" i="56"/>
  <c r="ED9" i="56"/>
  <c r="CG9" i="56"/>
  <c r="EE9" i="56"/>
  <c r="BS9" i="56"/>
  <c r="AH9" i="56"/>
  <c r="CJ9" i="56"/>
  <c r="BQ9" i="56"/>
  <c r="EM9" i="56"/>
  <c r="AM9" i="56"/>
  <c r="BX9" i="56"/>
  <c r="DW9" i="56"/>
  <c r="BI9" i="56"/>
  <c r="EI9" i="56"/>
  <c r="AG9" i="56"/>
  <c r="CM9" i="56"/>
  <c r="EO9" i="56"/>
  <c r="EP9" i="56"/>
  <c r="K9" i="56"/>
  <c r="EY9" i="56"/>
  <c r="BU9" i="56"/>
  <c r="DX9" i="56"/>
  <c r="DM9" i="56"/>
  <c r="EV9" i="56"/>
  <c r="AY9" i="56"/>
  <c r="AD9" i="56"/>
  <c r="DA9" i="56"/>
  <c r="DY9" i="56"/>
  <c r="BP9" i="56"/>
  <c r="AJ9" i="56"/>
  <c r="BT9" i="56"/>
  <c r="EZ9" i="56"/>
  <c r="CE9" i="56"/>
  <c r="DE9" i="56"/>
  <c r="S9" i="56"/>
  <c r="AU9" i="56"/>
  <c r="M9" i="56"/>
  <c r="DJ9" i="56"/>
  <c r="FB9" i="56"/>
  <c r="BA9" i="56"/>
  <c r="AZ9" i="56"/>
  <c r="FA9" i="56"/>
  <c r="U9" i="56"/>
  <c r="Q9" i="56"/>
  <c r="CD9" i="56"/>
  <c r="CH9" i="56"/>
  <c r="DO9" i="56"/>
  <c r="DZ9" i="56"/>
  <c r="X9" i="56"/>
  <c r="BH9" i="56"/>
  <c r="CK9" i="56"/>
  <c r="DD9" i="56"/>
  <c r="EL9" i="56"/>
  <c r="CT9" i="56"/>
  <c r="AW9" i="56"/>
  <c r="CO9" i="56"/>
  <c r="DF9" i="56"/>
  <c r="BN9" i="56"/>
  <c r="CR9" i="56"/>
  <c r="CX9" i="56"/>
  <c r="DV9" i="56"/>
  <c r="P9" i="56"/>
  <c r="EU9" i="56"/>
  <c r="DT9" i="56"/>
  <c r="EW9" i="56"/>
  <c r="R9" i="56"/>
  <c r="BD9" i="56"/>
  <c r="DN9" i="56"/>
  <c r="J9" i="56"/>
  <c r="W9" i="56"/>
  <c r="CI9" i="56"/>
  <c r="F9" i="56"/>
  <c r="DH9" i="56"/>
  <c r="V9" i="56"/>
  <c r="G9" i="56"/>
  <c r="AF9" i="56"/>
  <c r="N9" i="56"/>
  <c r="AE9" i="56"/>
  <c r="AO9" i="56"/>
  <c r="AN9" i="56"/>
  <c r="EH9" i="56"/>
  <c r="BG9" i="56"/>
  <c r="EX9" i="56"/>
  <c r="CW9" i="54"/>
  <c r="DZ9" i="54"/>
  <c r="BO9" i="54"/>
  <c r="BM9" i="54"/>
  <c r="N9" i="54"/>
  <c r="CT9" i="54"/>
  <c r="BK9" i="54"/>
  <c r="AB9" i="54"/>
  <c r="AQ9" i="54"/>
  <c r="DK9" i="54"/>
  <c r="DA9" i="54"/>
  <c r="L9" i="54"/>
  <c r="BR9" i="54"/>
  <c r="EG9" i="54"/>
  <c r="DU9" i="54"/>
  <c r="W9" i="54"/>
  <c r="AV9" i="54"/>
  <c r="T9" i="54"/>
  <c r="DY9" i="54"/>
  <c r="AM9" i="54"/>
  <c r="DV9" i="54"/>
  <c r="AJ9" i="54"/>
  <c r="ED9" i="54"/>
  <c r="CD9" i="54"/>
  <c r="J9" i="54"/>
  <c r="AO9" i="54"/>
  <c r="BU9" i="54"/>
  <c r="AR9" i="54"/>
  <c r="BZ9" i="54"/>
  <c r="DB9" i="54"/>
  <c r="F9" i="54"/>
  <c r="DJ9" i="54"/>
  <c r="DX9" i="54"/>
  <c r="Y9" i="54"/>
  <c r="BQ9" i="54"/>
  <c r="CX9" i="54"/>
  <c r="DP9" i="54"/>
  <c r="EC9" i="54"/>
  <c r="BW9" i="54"/>
  <c r="CM9" i="54"/>
  <c r="AE9" i="54"/>
  <c r="S9" i="54"/>
  <c r="BN9" i="54"/>
  <c r="BT9" i="54"/>
  <c r="CP9" i="54"/>
  <c r="BC9" i="54"/>
  <c r="H9" i="54"/>
  <c r="O9" i="54"/>
  <c r="DG9" i="54"/>
  <c r="DM9" i="54"/>
  <c r="DD9" i="54"/>
  <c r="DS9" i="54"/>
  <c r="EF9" i="54"/>
  <c r="AH9" i="54"/>
  <c r="BP9" i="54"/>
  <c r="CQ9" i="54"/>
  <c r="DN9" i="54"/>
  <c r="AY9" i="54"/>
  <c r="AS9" i="54"/>
  <c r="CA9" i="54"/>
  <c r="DI9" i="54"/>
  <c r="CO9" i="54"/>
  <c r="EB9" i="54"/>
  <c r="U9" i="54"/>
  <c r="AU9" i="54"/>
  <c r="CU9" i="54"/>
  <c r="CZ9" i="54"/>
  <c r="G9" i="54"/>
  <c r="AN9" i="54"/>
  <c r="BL9" i="54"/>
  <c r="DH9" i="54"/>
  <c r="AA9" i="54"/>
  <c r="Q9" i="54"/>
  <c r="AX9" i="54"/>
  <c r="BY9" i="54"/>
  <c r="AZ9" i="54"/>
  <c r="X9" i="54"/>
  <c r="CK9" i="54"/>
  <c r="BJ9" i="54"/>
  <c r="CV9" i="54"/>
  <c r="DW9" i="54"/>
  <c r="CB9" i="54"/>
  <c r="K9" i="54"/>
  <c r="EE9" i="54"/>
  <c r="CJ9" i="54"/>
  <c r="AK9" i="54"/>
  <c r="AD9" i="54"/>
  <c r="BG9" i="54"/>
  <c r="BB9" i="54"/>
  <c r="CL9" i="54"/>
  <c r="DO9" i="54"/>
  <c r="R9" i="54"/>
  <c r="AC9" i="54"/>
  <c r="DQ9" i="54"/>
  <c r="CY9" i="54"/>
  <c r="DC9" i="54"/>
  <c r="DL9" i="54"/>
  <c r="P9" i="54"/>
  <c r="AW9" i="54"/>
  <c r="BV9" i="54"/>
  <c r="AL9" i="54"/>
  <c r="AI9" i="54"/>
  <c r="Z9" i="54"/>
  <c r="BH9" i="54"/>
  <c r="CI9" i="54"/>
  <c r="CN9" i="54"/>
  <c r="BI9" i="54"/>
  <c r="CS9" i="54"/>
  <c r="BS9" i="54"/>
  <c r="DF9" i="54"/>
  <c r="EH9" i="54"/>
  <c r="DT9" i="54"/>
  <c r="CE9" i="54"/>
  <c r="CF9" i="54"/>
  <c r="DR9" i="54"/>
  <c r="V9" i="54"/>
  <c r="AT9" i="54"/>
  <c r="AG9" i="54"/>
  <c r="CC9" i="54"/>
  <c r="BA9" i="54"/>
  <c r="M9" i="54"/>
  <c r="AP9" i="54"/>
  <c r="DE9" i="54"/>
  <c r="AF9" i="54"/>
  <c r="BE9" i="54"/>
  <c r="CR9" i="54"/>
  <c r="BX9" i="54"/>
  <c r="CG9" i="54"/>
  <c r="CH9" i="54"/>
  <c r="BF9" i="54"/>
  <c r="I9" i="54"/>
  <c r="BD9" i="54"/>
  <c r="CM6" i="54"/>
  <c r="CN6" i="54" s="1"/>
  <c r="CO6" i="54" s="1"/>
  <c r="CP6" i="54" s="1"/>
  <c r="CQ6" i="54" s="1"/>
  <c r="CR6" i="54" s="1"/>
  <c r="CS6" i="54" s="1"/>
  <c r="CL1" i="54"/>
  <c r="BC10" i="30"/>
  <c r="BC34" i="30"/>
  <c r="BC8" i="30"/>
  <c r="BC13" i="30"/>
  <c r="BB24" i="30"/>
  <c r="BC16" i="30"/>
  <c r="BC17" i="30"/>
  <c r="BC35" i="30"/>
  <c r="BC28" i="30"/>
  <c r="BC25" i="30"/>
  <c r="CX12" i="49"/>
  <c r="AA12" i="49"/>
  <c r="BT12" i="49"/>
  <c r="DI12" i="49"/>
  <c r="DM12" i="49"/>
  <c r="BW12" i="49"/>
  <c r="CF12" i="49"/>
  <c r="AH12" i="49"/>
  <c r="P12" i="49"/>
  <c r="AE12" i="49"/>
  <c r="CM12" i="49"/>
  <c r="BE12" i="49"/>
  <c r="X12" i="49"/>
  <c r="S12" i="49"/>
  <c r="Q12" i="49"/>
  <c r="BI12" i="49"/>
  <c r="AJ12" i="49"/>
  <c r="CB12" i="49"/>
  <c r="BY12" i="49"/>
  <c r="BB12" i="49"/>
  <c r="BG12" i="49"/>
  <c r="L12" i="49"/>
  <c r="BZ12" i="49"/>
  <c r="BQ12" i="49"/>
  <c r="K12" i="49"/>
  <c r="AI12" i="49"/>
  <c r="BN12" i="49"/>
  <c r="M12" i="49"/>
  <c r="V12" i="49"/>
  <c r="CH12" i="49"/>
  <c r="AO12" i="49"/>
  <c r="BR12" i="49"/>
  <c r="AE24" i="30"/>
  <c r="AE30" i="30"/>
  <c r="BD11" i="30"/>
  <c r="AS12" i="49"/>
  <c r="AV12" i="49"/>
  <c r="DN12" i="49"/>
  <c r="CO12" i="49"/>
  <c r="CZ12" i="49"/>
  <c r="AN12" i="49"/>
  <c r="CI12" i="49"/>
  <c r="J12" i="49"/>
  <c r="DE12" i="49"/>
  <c r="T12" i="49"/>
  <c r="AB12" i="49"/>
  <c r="DT12" i="49"/>
  <c r="CT12" i="49"/>
  <c r="DO12" i="49"/>
  <c r="CA12" i="49"/>
  <c r="BM12" i="49"/>
  <c r="DG12" i="49"/>
  <c r="BJ12" i="49"/>
  <c r="CU12" i="49"/>
  <c r="CV12" i="49"/>
  <c r="CC12" i="49"/>
  <c r="AF12" i="49"/>
  <c r="DL12" i="49"/>
  <c r="BP12" i="49"/>
  <c r="CQ12" i="49"/>
  <c r="BK12" i="49"/>
  <c r="DK12" i="49"/>
  <c r="DJ12" i="49"/>
  <c r="CE12" i="49"/>
  <c r="DH12" i="49"/>
  <c r="Y12" i="49"/>
  <c r="BF12" i="49"/>
  <c r="AM12" i="49"/>
  <c r="AQ12" i="49"/>
  <c r="AG12" i="49"/>
  <c r="AR12" i="49"/>
  <c r="AT12" i="49"/>
  <c r="BA12" i="49"/>
  <c r="BD12" i="49"/>
  <c r="BD28" i="30"/>
  <c r="AE8" i="30"/>
  <c r="AE23" i="30"/>
  <c r="AE17" i="30"/>
  <c r="AE40" i="30"/>
  <c r="AE18" i="30"/>
  <c r="AE29" i="30"/>
  <c r="AE7" i="30"/>
  <c r="AE21" i="30"/>
  <c r="AE26" i="30"/>
  <c r="AE22" i="30"/>
  <c r="AE11" i="30"/>
  <c r="AE28" i="30"/>
  <c r="AE5" i="30"/>
  <c r="AE37" i="30"/>
  <c r="AE32" i="30"/>
  <c r="AE15" i="30"/>
  <c r="AE12" i="30"/>
  <c r="AE34" i="30"/>
  <c r="AE19" i="30"/>
  <c r="AE10" i="30"/>
  <c r="AE35" i="30"/>
  <c r="AE36" i="30"/>
  <c r="AE9" i="30"/>
  <c r="AE20" i="30"/>
  <c r="AE25" i="30"/>
  <c r="AE16" i="30"/>
  <c r="AE13" i="30"/>
  <c r="AE27" i="30"/>
  <c r="AE31" i="30"/>
  <c r="BB30" i="30"/>
  <c r="AH1" i="46"/>
  <c r="AI6" i="46"/>
  <c r="AJ6" i="46" s="1"/>
  <c r="AK6" i="46" s="1"/>
  <c r="AL6" i="46" s="1"/>
  <c r="AM6" i="46" s="1"/>
  <c r="AN6" i="46" s="1"/>
  <c r="AO6" i="46" s="1"/>
  <c r="CJ12" i="49"/>
  <c r="DR12" i="49"/>
  <c r="DS12" i="49"/>
  <c r="DD12" i="49"/>
  <c r="BU12" i="49"/>
  <c r="CG12" i="49"/>
  <c r="AL12" i="49"/>
  <c r="BV12" i="49"/>
  <c r="BS12" i="49"/>
  <c r="BL12" i="49"/>
  <c r="CN12" i="49"/>
  <c r="E13" i="49"/>
  <c r="C14" i="49" s="1"/>
  <c r="CW12" i="49"/>
  <c r="DQ12" i="49"/>
  <c r="W12" i="49"/>
  <c r="R12" i="49"/>
  <c r="CS12" i="49"/>
  <c r="BO12" i="49"/>
  <c r="AU12" i="49"/>
  <c r="DB12" i="49"/>
  <c r="Z12" i="49"/>
  <c r="AK12" i="49"/>
  <c r="U12" i="49"/>
  <c r="I12" i="49"/>
  <c r="AX12" i="49"/>
  <c r="G12" i="49"/>
  <c r="AW12" i="49"/>
  <c r="N12" i="49"/>
  <c r="F12" i="49"/>
  <c r="BX12" i="49"/>
  <c r="BH12" i="49"/>
  <c r="AD12" i="49"/>
  <c r="CR12" i="49"/>
  <c r="CL12" i="49"/>
  <c r="DA12" i="49"/>
  <c r="BC12" i="49"/>
  <c r="DP12" i="49"/>
  <c r="DF12" i="49"/>
  <c r="CD12" i="49"/>
  <c r="DC12" i="49"/>
  <c r="CK12" i="49"/>
  <c r="AZ12" i="49"/>
  <c r="CY12" i="49"/>
  <c r="AY12" i="49"/>
  <c r="CP12" i="49"/>
  <c r="H12" i="49"/>
  <c r="AC12" i="49"/>
  <c r="AP12" i="49"/>
  <c r="O12" i="49"/>
  <c r="BD20" i="30"/>
  <c r="BD40" i="30"/>
  <c r="BC24" i="30"/>
  <c r="U24" i="30"/>
  <c r="BB37" i="30"/>
  <c r="BB27" i="30"/>
  <c r="BB11" i="30"/>
  <c r="BB13" i="30"/>
  <c r="BB5" i="30"/>
  <c r="BB34" i="30"/>
  <c r="BD19" i="30"/>
  <c r="BB35" i="30"/>
  <c r="BB26" i="30"/>
  <c r="U34" i="30"/>
  <c r="BD21" i="30"/>
  <c r="BB40" i="30"/>
  <c r="BA13" i="30"/>
  <c r="AZ26" i="53"/>
  <c r="AZ28" i="53"/>
  <c r="U32" i="53"/>
  <c r="AR32" i="53" s="1"/>
  <c r="AQ32" i="53" s="1"/>
  <c r="AT32" i="53" s="1"/>
  <c r="AU32" i="53" s="1"/>
  <c r="AV32" i="53" s="1"/>
  <c r="BA30" i="30"/>
  <c r="U30" i="30"/>
  <c r="AS30" i="30" s="1"/>
  <c r="U8" i="53"/>
  <c r="AR8" i="53" s="1"/>
  <c r="AQ8" i="53" s="1"/>
  <c r="AT8" i="53" s="1"/>
  <c r="AU8" i="53" s="1"/>
  <c r="AV8" i="53" s="1"/>
  <c r="AZ30" i="53"/>
  <c r="U20" i="53"/>
  <c r="AR20" i="53" s="1"/>
  <c r="AQ20" i="53" s="1"/>
  <c r="AT20" i="53" s="1"/>
  <c r="AU20" i="53" s="1"/>
  <c r="AV20" i="53" s="1"/>
  <c r="AZ27" i="53"/>
  <c r="AZ13" i="53"/>
  <c r="AR27" i="53"/>
  <c r="AQ27" i="53" s="1"/>
  <c r="AT27" i="53" s="1"/>
  <c r="AU27" i="53" s="1"/>
  <c r="AV27" i="53" s="1"/>
  <c r="U13" i="30"/>
  <c r="AS13" i="30" s="1"/>
  <c r="AR16" i="53"/>
  <c r="AQ16" i="53" s="1"/>
  <c r="AT16" i="53" s="1"/>
  <c r="AU16" i="53" s="1"/>
  <c r="AV16" i="53" s="1"/>
  <c r="AZ16" i="53"/>
  <c r="AZ35" i="53"/>
  <c r="AZ21" i="53"/>
  <c r="AR35" i="53"/>
  <c r="AM35" i="53" s="1"/>
  <c r="AN35" i="53" s="1"/>
  <c r="AQ35" i="53" s="1"/>
  <c r="AT35" i="53" s="1"/>
  <c r="AU35" i="53" s="1"/>
  <c r="AV35" i="53" s="1"/>
  <c r="AR6" i="53"/>
  <c r="AM6" i="53" s="1"/>
  <c r="AN6" i="53" s="1"/>
  <c r="AR28" i="53"/>
  <c r="AQ28" i="53" s="1"/>
  <c r="AT28" i="53" s="1"/>
  <c r="AU28" i="53" s="1"/>
  <c r="AV28" i="53" s="1"/>
  <c r="U7" i="53"/>
  <c r="AR7" i="53" s="1"/>
  <c r="AM7" i="53" s="1"/>
  <c r="AN7" i="53" s="1"/>
  <c r="AQ7" i="53" s="1"/>
  <c r="AT7" i="53" s="1"/>
  <c r="AU7" i="53" s="1"/>
  <c r="AV7" i="53" s="1"/>
  <c r="U36" i="53"/>
  <c r="AR36" i="53" s="1"/>
  <c r="AQ36" i="53" s="1"/>
  <c r="AT36" i="53" s="1"/>
  <c r="AU36" i="53" s="1"/>
  <c r="AV36" i="53" s="1"/>
  <c r="BA34" i="30"/>
  <c r="AR30" i="53"/>
  <c r="AQ30" i="53" s="1"/>
  <c r="AT30" i="53" s="1"/>
  <c r="AU30" i="53" s="1"/>
  <c r="AV30" i="53" s="1"/>
  <c r="AZ18" i="53"/>
  <c r="BA24" i="30"/>
  <c r="U29" i="53"/>
  <c r="AR29" i="53" s="1"/>
  <c r="AQ29" i="53" s="1"/>
  <c r="AT29" i="53" s="1"/>
  <c r="AU29" i="53" s="1"/>
  <c r="AV29" i="53" s="1"/>
  <c r="AZ23" i="53"/>
  <c r="AP6" i="48"/>
  <c r="AQ6" i="48" s="1"/>
  <c r="AR6" i="48" s="1"/>
  <c r="AS6" i="48" s="1"/>
  <c r="AT6" i="48" s="1"/>
  <c r="AU6" i="48" s="1"/>
  <c r="AV6" i="48" s="1"/>
  <c r="AO1" i="48"/>
  <c r="AR13" i="53"/>
  <c r="AQ13" i="53" s="1"/>
  <c r="AT13" i="53" s="1"/>
  <c r="AU13" i="53" s="1"/>
  <c r="AV13" i="53" s="1"/>
  <c r="AR21" i="53"/>
  <c r="AQ21" i="53" s="1"/>
  <c r="AT21" i="53" s="1"/>
  <c r="AU21" i="53" s="1"/>
  <c r="AV21" i="53" s="1"/>
  <c r="AR22" i="53"/>
  <c r="AQ22" i="53" s="1"/>
  <c r="AT22" i="53" s="1"/>
  <c r="AU22" i="53" s="1"/>
  <c r="AV22" i="53" s="1"/>
  <c r="AZ33" i="53"/>
  <c r="AZ22" i="53"/>
  <c r="AR23" i="53"/>
  <c r="AM23" i="53" s="1"/>
  <c r="AN23" i="53" s="1"/>
  <c r="AQ23" i="53" s="1"/>
  <c r="AT23" i="53" s="1"/>
  <c r="AU23" i="53" s="1"/>
  <c r="AV23" i="53" s="1"/>
  <c r="AR33" i="53"/>
  <c r="AQ33" i="53" s="1"/>
  <c r="AT33" i="53" s="1"/>
  <c r="AU33" i="53" s="1"/>
  <c r="AV33" i="53" s="1"/>
  <c r="AR18" i="53"/>
  <c r="AQ18" i="53" s="1"/>
  <c r="AT18" i="53" s="1"/>
  <c r="AU18" i="53" s="1"/>
  <c r="AV18" i="53" s="1"/>
  <c r="BB36" i="30"/>
  <c r="U36" i="30"/>
  <c r="BA36" i="30"/>
  <c r="U5" i="53"/>
  <c r="AR5" i="53" s="1"/>
  <c r="AQ5" i="53" s="1"/>
  <c r="AT5" i="53" s="1"/>
  <c r="AU5" i="53" s="1"/>
  <c r="AV5" i="53" s="1"/>
  <c r="AZ5" i="53"/>
  <c r="AZ34" i="53"/>
  <c r="U34" i="53"/>
  <c r="AR34" i="53" s="1"/>
  <c r="AQ34" i="53" s="1"/>
  <c r="AT34" i="53" s="1"/>
  <c r="AU34" i="53" s="1"/>
  <c r="AV34" i="53" s="1"/>
  <c r="U14" i="53"/>
  <c r="AR14" i="53" s="1"/>
  <c r="AQ14" i="53" s="1"/>
  <c r="AT14" i="53" s="1"/>
  <c r="AU14" i="53" s="1"/>
  <c r="AV14" i="53" s="1"/>
  <c r="AZ14" i="53"/>
  <c r="U10" i="53"/>
  <c r="AR10" i="53" s="1"/>
  <c r="AQ10" i="53" s="1"/>
  <c r="AT10" i="53" s="1"/>
  <c r="AU10" i="53" s="1"/>
  <c r="AV10" i="53" s="1"/>
  <c r="AZ10" i="53"/>
  <c r="U11" i="30"/>
  <c r="BA11" i="30"/>
  <c r="AZ25" i="53"/>
  <c r="U25" i="53"/>
  <c r="AR25" i="53" s="1"/>
  <c r="AM25" i="53" s="1"/>
  <c r="AN25" i="53" s="1"/>
  <c r="AQ25" i="53" s="1"/>
  <c r="AT25" i="53" s="1"/>
  <c r="AU25" i="53" s="1"/>
  <c r="AV25" i="53" s="1"/>
  <c r="AZ19" i="53"/>
  <c r="U19" i="53"/>
  <c r="AR19" i="53" s="1"/>
  <c r="AQ19" i="53" s="1"/>
  <c r="AT19" i="53" s="1"/>
  <c r="AU19" i="53" s="1"/>
  <c r="AV19" i="53" s="1"/>
  <c r="U11" i="53"/>
  <c r="AR11" i="53" s="1"/>
  <c r="AQ11" i="53" s="1"/>
  <c r="AT11" i="53" s="1"/>
  <c r="AU11" i="53" s="1"/>
  <c r="AV11" i="53" s="1"/>
  <c r="AZ11" i="53"/>
  <c r="AZ37" i="53"/>
  <c r="U37" i="53"/>
  <c r="AR37" i="53" s="1"/>
  <c r="AQ37" i="53" s="1"/>
  <c r="AT37" i="53" s="1"/>
  <c r="U9" i="53"/>
  <c r="AR9" i="53" s="1"/>
  <c r="AQ9" i="53" s="1"/>
  <c r="AT9" i="53" s="1"/>
  <c r="AU9" i="53" s="1"/>
  <c r="AV9" i="53" s="1"/>
  <c r="AZ9" i="53"/>
  <c r="AZ15" i="53"/>
  <c r="U15" i="53"/>
  <c r="C11" i="48" s="1"/>
  <c r="C10" i="48"/>
  <c r="U17" i="53"/>
  <c r="AR17" i="53" s="1"/>
  <c r="AQ17" i="53" s="1"/>
  <c r="AT17" i="53" s="1"/>
  <c r="AU17" i="53" s="1"/>
  <c r="AV17" i="53" s="1"/>
  <c r="AZ17" i="53"/>
  <c r="U31" i="53"/>
  <c r="AR31" i="53" s="1"/>
  <c r="AQ31" i="53" s="1"/>
  <c r="AT31" i="53" s="1"/>
  <c r="AU31" i="53" s="1"/>
  <c r="AV31" i="53" s="1"/>
  <c r="AZ31" i="53"/>
  <c r="AZ12" i="53"/>
  <c r="U12" i="53"/>
  <c r="AR12" i="53" s="1"/>
  <c r="AQ12" i="53" s="1"/>
  <c r="AT12" i="53" s="1"/>
  <c r="AU12" i="53" s="1"/>
  <c r="AV12" i="53" s="1"/>
  <c r="AR26" i="53"/>
  <c r="AM26" i="53" s="1"/>
  <c r="AN26" i="53" s="1"/>
  <c r="AQ26" i="53" s="1"/>
  <c r="AT26" i="53" s="1"/>
  <c r="AU26" i="53" s="1"/>
  <c r="AV26" i="53" s="1"/>
  <c r="BA12" i="30"/>
  <c r="U12" i="30"/>
  <c r="AS12" i="30" s="1"/>
  <c r="AR12" i="30" s="1"/>
  <c r="AU12" i="30" s="1"/>
  <c r="BB12" i="30"/>
  <c r="AZ24" i="53"/>
  <c r="U24" i="53"/>
  <c r="AR24" i="53" s="1"/>
  <c r="BA26" i="30"/>
  <c r="U26" i="30"/>
  <c r="BB9" i="30"/>
  <c r="U21" i="30"/>
  <c r="BA21" i="30"/>
  <c r="U19" i="30"/>
  <c r="AS19" i="30" s="1"/>
  <c r="AR19" i="30" s="1"/>
  <c r="BA19" i="30"/>
  <c r="BA23" i="30"/>
  <c r="U23" i="30"/>
  <c r="AS23" i="30" s="1"/>
  <c r="AR23" i="30" s="1"/>
  <c r="AU23" i="30" s="1"/>
  <c r="BB25" i="30"/>
  <c r="BA15" i="30"/>
  <c r="U15" i="30"/>
  <c r="AS15" i="30" s="1"/>
  <c r="AR15" i="30" s="1"/>
  <c r="AU15" i="30" s="1"/>
  <c r="BB16" i="30"/>
  <c r="BB15" i="30"/>
  <c r="U16" i="30"/>
  <c r="AS16" i="30" s="1"/>
  <c r="BA16" i="30"/>
  <c r="BA10" i="30"/>
  <c r="U10" i="30"/>
  <c r="AS10" i="30" s="1"/>
  <c r="BA9" i="30"/>
  <c r="U9" i="30"/>
  <c r="AS9" i="30" s="1"/>
  <c r="BB10" i="30"/>
  <c r="BB20" i="30"/>
  <c r="BB7" i="30"/>
  <c r="U20" i="30"/>
  <c r="AS20" i="30" s="1"/>
  <c r="BA20" i="30"/>
  <c r="BA31" i="30"/>
  <c r="U31" i="30"/>
  <c r="AS31" i="30" s="1"/>
  <c r="BB21" i="30"/>
  <c r="BB23" i="30"/>
  <c r="BA5" i="30"/>
  <c r="U5" i="30"/>
  <c r="AS5" i="30" s="1"/>
  <c r="BB19" i="30"/>
  <c r="BA7" i="30"/>
  <c r="U7" i="30"/>
  <c r="AS7" i="30" s="1"/>
  <c r="BB31" i="30"/>
  <c r="BA25" i="30"/>
  <c r="U25" i="30"/>
  <c r="BB22" i="30"/>
  <c r="U22" i="30"/>
  <c r="AS22" i="30" s="1"/>
  <c r="AR22" i="30" s="1"/>
  <c r="AU22" i="30" s="1"/>
  <c r="BA22" i="30"/>
  <c r="BA35" i="30"/>
  <c r="U35" i="30"/>
  <c r="AS35" i="30" s="1"/>
  <c r="BA27" i="30"/>
  <c r="U27" i="30"/>
  <c r="BA32" i="30"/>
  <c r="U32" i="30"/>
  <c r="AS32" i="30" s="1"/>
  <c r="AR32" i="30" s="1"/>
  <c r="AU32" i="30" s="1"/>
  <c r="BB8" i="30"/>
  <c r="BB32" i="30"/>
  <c r="BB29" i="30"/>
  <c r="U8" i="30"/>
  <c r="AS8" i="30" s="1"/>
  <c r="BA8" i="30"/>
  <c r="BA29" i="30"/>
  <c r="U29" i="30"/>
  <c r="BB17" i="30"/>
  <c r="BC15" i="30"/>
  <c r="AI6" i="49"/>
  <c r="AJ6" i="49" s="1"/>
  <c r="AK6" i="49" s="1"/>
  <c r="AL6" i="49" s="1"/>
  <c r="AM6" i="49" s="1"/>
  <c r="AN6" i="49" s="1"/>
  <c r="AO6" i="49" s="1"/>
  <c r="AH1" i="49"/>
  <c r="BC27" i="30"/>
  <c r="BC22" i="30"/>
  <c r="BA37" i="30"/>
  <c r="U37" i="30"/>
  <c r="BA18" i="30"/>
  <c r="U18" i="30"/>
  <c r="AS18" i="30" s="1"/>
  <c r="AR18" i="30" s="1"/>
  <c r="AU18" i="30" s="1"/>
  <c r="BC26" i="30"/>
  <c r="U40" i="30"/>
  <c r="BA40" i="30"/>
  <c r="BA17" i="30"/>
  <c r="U17" i="30"/>
  <c r="AS17" i="30" s="1"/>
  <c r="BB18" i="30"/>
  <c r="BC18" i="30"/>
  <c r="BA28" i="30"/>
  <c r="U28" i="30"/>
  <c r="BB28" i="30"/>
  <c r="BC23" i="30"/>
  <c r="BC32" i="30"/>
  <c r="BC12" i="30"/>
  <c r="AS54" i="58" l="1"/>
  <c r="AN54" i="58" s="1"/>
  <c r="AO54" i="58" s="1"/>
  <c r="AS37" i="58"/>
  <c r="AN37" i="58" s="1"/>
  <c r="AO37" i="58" s="1"/>
  <c r="AR37" i="58" s="1"/>
  <c r="AS36" i="58"/>
  <c r="AN36" i="58" s="1"/>
  <c r="AO36" i="58" s="1"/>
  <c r="AS28" i="58"/>
  <c r="AN28" i="58" s="1"/>
  <c r="AO28" i="58" s="1"/>
  <c r="AS29" i="58"/>
  <c r="AN29" i="58" s="1"/>
  <c r="AO29" i="58" s="1"/>
  <c r="AS38" i="58"/>
  <c r="AN38" i="58" s="1"/>
  <c r="AO38" i="58" s="1"/>
  <c r="AS68" i="58"/>
  <c r="AN68" i="58" s="1"/>
  <c r="AO68" i="58" s="1"/>
  <c r="AS53" i="58"/>
  <c r="AN53" i="58" s="1"/>
  <c r="AO53" i="58" s="1"/>
  <c r="AR53" i="58" s="1"/>
  <c r="C11" i="56"/>
  <c r="AS21" i="30"/>
  <c r="AR21" i="30" s="1"/>
  <c r="E10" i="61"/>
  <c r="DT10" i="61" s="1"/>
  <c r="AW6" i="30"/>
  <c r="AV6" i="30"/>
  <c r="AS32" i="58"/>
  <c r="AR32" i="58" s="1"/>
  <c r="C11" i="61"/>
  <c r="AW397" i="59"/>
  <c r="AV30" i="58"/>
  <c r="AR23" i="58"/>
  <c r="AR67" i="58"/>
  <c r="AR61" i="58"/>
  <c r="AV66" i="58"/>
  <c r="AR6" i="58"/>
  <c r="AR19" i="58"/>
  <c r="AR46" i="58"/>
  <c r="AR63" i="58"/>
  <c r="AV60" i="58"/>
  <c r="AR56" i="58"/>
  <c r="AR7" i="58"/>
  <c r="AR55" i="58"/>
  <c r="AV59" i="58"/>
  <c r="AR20" i="58"/>
  <c r="AV62" i="58"/>
  <c r="AR10" i="58"/>
  <c r="AV22" i="58"/>
  <c r="AV47" i="58"/>
  <c r="AV16" i="58"/>
  <c r="AV5" i="58"/>
  <c r="AV27" i="58"/>
  <c r="AV57" i="58"/>
  <c r="AR58" i="58"/>
  <c r="AR18" i="58"/>
  <c r="AV8" i="58"/>
  <c r="AR52" i="58"/>
  <c r="AV49" i="58"/>
  <c r="AR9" i="58"/>
  <c r="AX577" i="59"/>
  <c r="AX558" i="59"/>
  <c r="AV965" i="59"/>
  <c r="AW965" i="59" s="1"/>
  <c r="AX965" i="59" s="1"/>
  <c r="AV964" i="59"/>
  <c r="AW964" i="59" s="1"/>
  <c r="AX964" i="59" s="1"/>
  <c r="AW999" i="59"/>
  <c r="AX999" i="59" s="1"/>
  <c r="AX581" i="59"/>
  <c r="AX679" i="59"/>
  <c r="AX953" i="59"/>
  <c r="AX192" i="59"/>
  <c r="AW191" i="59"/>
  <c r="AW759" i="59"/>
  <c r="AX579" i="59"/>
  <c r="AX980" i="59"/>
  <c r="AX557" i="59"/>
  <c r="AW757" i="59"/>
  <c r="AX744" i="59"/>
  <c r="AX559" i="59"/>
  <c r="AX746" i="59"/>
  <c r="AX919" i="59"/>
  <c r="AX921" i="59"/>
  <c r="AX193" i="59"/>
  <c r="AX677" i="59"/>
  <c r="AX747" i="59"/>
  <c r="AX758" i="59"/>
  <c r="AX745" i="59"/>
  <c r="AX554" i="59"/>
  <c r="AX555" i="59"/>
  <c r="AW788" i="59"/>
  <c r="AW967" i="59"/>
  <c r="AX971" i="59"/>
  <c r="AX675" i="59"/>
  <c r="AX194" i="59"/>
  <c r="AW399" i="59"/>
  <c r="AX972" i="59"/>
  <c r="AX922" i="59"/>
  <c r="AX792" i="59"/>
  <c r="AW792" i="59"/>
  <c r="AW787" i="59"/>
  <c r="AX787" i="59"/>
  <c r="AX713" i="59"/>
  <c r="AW713" i="59"/>
  <c r="AX978" i="59"/>
  <c r="AW978" i="59"/>
  <c r="AX947" i="59"/>
  <c r="AW947" i="59"/>
  <c r="AX909" i="59"/>
  <c r="AW909" i="59"/>
  <c r="AX966" i="59"/>
  <c r="AW966" i="59"/>
  <c r="AX979" i="59"/>
  <c r="AW979" i="59"/>
  <c r="AW912" i="59"/>
  <c r="AX912" i="59"/>
  <c r="AW923" i="59"/>
  <c r="AX923" i="59"/>
  <c r="AX789" i="59"/>
  <c r="AW789" i="59"/>
  <c r="AX915" i="59"/>
  <c r="AW915" i="59"/>
  <c r="AX913" i="59"/>
  <c r="AW913" i="59"/>
  <c r="AX927" i="59"/>
  <c r="AW927" i="59"/>
  <c r="AW553" i="59"/>
  <c r="AX553" i="59"/>
  <c r="AX914" i="59"/>
  <c r="AW914" i="59"/>
  <c r="AW190" i="59"/>
  <c r="AX190" i="59"/>
  <c r="AW560" i="59"/>
  <c r="AX560" i="59"/>
  <c r="AX969" i="59"/>
  <c r="AW969" i="59"/>
  <c r="AW572" i="59"/>
  <c r="AX572" i="59"/>
  <c r="AW743" i="59"/>
  <c r="AX743" i="59"/>
  <c r="AW994" i="59"/>
  <c r="AX994" i="59"/>
  <c r="AX982" i="59"/>
  <c r="AW982" i="59"/>
  <c r="AX780" i="59"/>
  <c r="AW780" i="59"/>
  <c r="AX996" i="59"/>
  <c r="AW996" i="59"/>
  <c r="AW661" i="59"/>
  <c r="AX661" i="59"/>
  <c r="AX995" i="59"/>
  <c r="AW995" i="59"/>
  <c r="AX977" i="59"/>
  <c r="AW977" i="59"/>
  <c r="AW575" i="59"/>
  <c r="AX575" i="59"/>
  <c r="AW998" i="59"/>
  <c r="AX998" i="59"/>
  <c r="AW916" i="59"/>
  <c r="AX916" i="59"/>
  <c r="AX672" i="59"/>
  <c r="AW672" i="59"/>
  <c r="AX785" i="59"/>
  <c r="AW785" i="59"/>
  <c r="AX680" i="59"/>
  <c r="AW680" i="59"/>
  <c r="AX920" i="59"/>
  <c r="AW920" i="59"/>
  <c r="AX918" i="59"/>
  <c r="AW918" i="59"/>
  <c r="AX992" i="59"/>
  <c r="AW992" i="59"/>
  <c r="AW658" i="59"/>
  <c r="AX658" i="59"/>
  <c r="AT367" i="59"/>
  <c r="AO367" i="59" s="1"/>
  <c r="AP367" i="59" s="1"/>
  <c r="AO360" i="59"/>
  <c r="AP360" i="59" s="1"/>
  <c r="AS360" i="59" s="1"/>
  <c r="AV360" i="59" s="1"/>
  <c r="AW360" i="59" s="1"/>
  <c r="AX360" i="59" s="1"/>
  <c r="AX924" i="59"/>
  <c r="AW924" i="59"/>
  <c r="AX956" i="59"/>
  <c r="AW956" i="59"/>
  <c r="AX991" i="59"/>
  <c r="AW991" i="59"/>
  <c r="AX908" i="59"/>
  <c r="AW908" i="59"/>
  <c r="AO862" i="59"/>
  <c r="AP862" i="59" s="1"/>
  <c r="AS862" i="59" s="1"/>
  <c r="AV862" i="59" s="1"/>
  <c r="AW862" i="59" s="1"/>
  <c r="AX862" i="59" s="1"/>
  <c r="AX959" i="59"/>
  <c r="AW959" i="59"/>
  <c r="AX970" i="59"/>
  <c r="AW970" i="59"/>
  <c r="AX973" i="59"/>
  <c r="AW973" i="59"/>
  <c r="AO362" i="59"/>
  <c r="AP362" i="59" s="1"/>
  <c r="AS362" i="59" s="1"/>
  <c r="AV362" i="59" s="1"/>
  <c r="AW362" i="59" s="1"/>
  <c r="AX362" i="59" s="1"/>
  <c r="AT861" i="59"/>
  <c r="AO861" i="59" s="1"/>
  <c r="AP861" i="59" s="1"/>
  <c r="AX975" i="59"/>
  <c r="AW975" i="59"/>
  <c r="AX565" i="59"/>
  <c r="AW565" i="59"/>
  <c r="AX910" i="59"/>
  <c r="AW910" i="59"/>
  <c r="AT403" i="59"/>
  <c r="AO403" i="59" s="1"/>
  <c r="AP403" i="59" s="1"/>
  <c r="AT804" i="59"/>
  <c r="AO804" i="59" s="1"/>
  <c r="AP804" i="59" s="1"/>
  <c r="AO357" i="59"/>
  <c r="AP357" i="59" s="1"/>
  <c r="AS357" i="59" s="1"/>
  <c r="AV357" i="59" s="1"/>
  <c r="AW357" i="59" s="1"/>
  <c r="AX357" i="59" s="1"/>
  <c r="AO895" i="59"/>
  <c r="AP895" i="59" s="1"/>
  <c r="AS895" i="59" s="1"/>
  <c r="AV895" i="59" s="1"/>
  <c r="AW895" i="59" s="1"/>
  <c r="AX895" i="59" s="1"/>
  <c r="AX928" i="59"/>
  <c r="AW928" i="59"/>
  <c r="AT364" i="59"/>
  <c r="AO364" i="59" s="1"/>
  <c r="AP364" i="59" s="1"/>
  <c r="AO363" i="59"/>
  <c r="AP363" i="59" s="1"/>
  <c r="AS363" i="59" s="1"/>
  <c r="AV363" i="59" s="1"/>
  <c r="AW363" i="59" s="1"/>
  <c r="AX363" i="59" s="1"/>
  <c r="AW985" i="59"/>
  <c r="AX985" i="59"/>
  <c r="AT954" i="59"/>
  <c r="AO954" i="59" s="1"/>
  <c r="AP954" i="59" s="1"/>
  <c r="AO101" i="59"/>
  <c r="AP101" i="59" s="1"/>
  <c r="AS101" i="59" s="1"/>
  <c r="AV101" i="59" s="1"/>
  <c r="AW101" i="59" s="1"/>
  <c r="AX101" i="59" s="1"/>
  <c r="AO805" i="59"/>
  <c r="AP805" i="59" s="1"/>
  <c r="AS805" i="59" s="1"/>
  <c r="AV805" i="59" s="1"/>
  <c r="AW805" i="59" s="1"/>
  <c r="AX805" i="59" s="1"/>
  <c r="AO856" i="59"/>
  <c r="AP856" i="59" s="1"/>
  <c r="AS856" i="59" s="1"/>
  <c r="AV856" i="59" s="1"/>
  <c r="AW856" i="59" s="1"/>
  <c r="AX856" i="59" s="1"/>
  <c r="AW948" i="59"/>
  <c r="AX948" i="59"/>
  <c r="AX926" i="59"/>
  <c r="AW926" i="59"/>
  <c r="AO938" i="59"/>
  <c r="AP938" i="59" s="1"/>
  <c r="AS938" i="59" s="1"/>
  <c r="AV938" i="59" s="1"/>
  <c r="AW938" i="59" s="1"/>
  <c r="AX938" i="59" s="1"/>
  <c r="AX950" i="59"/>
  <c r="AW950" i="59"/>
  <c r="AT945" i="59"/>
  <c r="AO945" i="59" s="1"/>
  <c r="AP945" i="59" s="1"/>
  <c r="AT401" i="59"/>
  <c r="AX556" i="59"/>
  <c r="AW556" i="59"/>
  <c r="AO355" i="59"/>
  <c r="AP355" i="59" s="1"/>
  <c r="AS355" i="59" s="1"/>
  <c r="AV355" i="59" s="1"/>
  <c r="AW355" i="59" s="1"/>
  <c r="AX355" i="59" s="1"/>
  <c r="AO944" i="59"/>
  <c r="AP944" i="59" s="1"/>
  <c r="AS944" i="59" s="1"/>
  <c r="AV944" i="59" s="1"/>
  <c r="AW944" i="59" s="1"/>
  <c r="AX944" i="59" s="1"/>
  <c r="AO896" i="59"/>
  <c r="AP896" i="59" s="1"/>
  <c r="AS896" i="59" s="1"/>
  <c r="AV896" i="59" s="1"/>
  <c r="AW896" i="59" s="1"/>
  <c r="AX896" i="59" s="1"/>
  <c r="AX740" i="59"/>
  <c r="AW740" i="59"/>
  <c r="AX949" i="59"/>
  <c r="AW949" i="59"/>
  <c r="AX976" i="59"/>
  <c r="AW976" i="59"/>
  <c r="AW673" i="59"/>
  <c r="AX673" i="59"/>
  <c r="AX783" i="59"/>
  <c r="AW783" i="59"/>
  <c r="AT937" i="59"/>
  <c r="AO937" i="59" s="1"/>
  <c r="AP937" i="59" s="1"/>
  <c r="AO845" i="59"/>
  <c r="AP845" i="59" s="1"/>
  <c r="AS845" i="59" s="1"/>
  <c r="AV845" i="59" s="1"/>
  <c r="AW845" i="59" s="1"/>
  <c r="AX845" i="59" s="1"/>
  <c r="AO952" i="59"/>
  <c r="AP952" i="59" s="1"/>
  <c r="AS952" i="59" s="1"/>
  <c r="AV952" i="59" s="1"/>
  <c r="AT942" i="59"/>
  <c r="AO942" i="59" s="1"/>
  <c r="AP942" i="59" s="1"/>
  <c r="AT911" i="59"/>
  <c r="AO943" i="59"/>
  <c r="AP943" i="59" s="1"/>
  <c r="AS943" i="59" s="1"/>
  <c r="AV943" i="59" s="1"/>
  <c r="AW943" i="59" s="1"/>
  <c r="AX943" i="59" s="1"/>
  <c r="AO941" i="59"/>
  <c r="AP941" i="59" s="1"/>
  <c r="AS941" i="59" s="1"/>
  <c r="AV941" i="59" s="1"/>
  <c r="AW941" i="59" s="1"/>
  <c r="AX941" i="59" s="1"/>
  <c r="AO394" i="59"/>
  <c r="AP394" i="59" s="1"/>
  <c r="AS394" i="59" s="1"/>
  <c r="AV394" i="59" s="1"/>
  <c r="AX997" i="59"/>
  <c r="AW997" i="59"/>
  <c r="AX790" i="59"/>
  <c r="AW790" i="59"/>
  <c r="AO395" i="59"/>
  <c r="AP395" i="59" s="1"/>
  <c r="AS395" i="59" s="1"/>
  <c r="AV395" i="59" s="1"/>
  <c r="AX981" i="59"/>
  <c r="AW981" i="59"/>
  <c r="AO894" i="59"/>
  <c r="AP894" i="59" s="1"/>
  <c r="AS894" i="59" s="1"/>
  <c r="AV894" i="59" s="1"/>
  <c r="AW894" i="59" s="1"/>
  <c r="AX894" i="59" s="1"/>
  <c r="AW993" i="59"/>
  <c r="AX993" i="59"/>
  <c r="AO400" i="59"/>
  <c r="AP400" i="59" s="1"/>
  <c r="AS400" i="59" s="1"/>
  <c r="AV400" i="59" s="1"/>
  <c r="AW400" i="59" s="1"/>
  <c r="AX400" i="59" s="1"/>
  <c r="AO102" i="59"/>
  <c r="AP102" i="59" s="1"/>
  <c r="AS102" i="59" s="1"/>
  <c r="AV102" i="59" s="1"/>
  <c r="AW102" i="59" s="1"/>
  <c r="AX102" i="59" s="1"/>
  <c r="AT939" i="59"/>
  <c r="AO939" i="59" s="1"/>
  <c r="AP939" i="59" s="1"/>
  <c r="AO365" i="59"/>
  <c r="AP365" i="59" s="1"/>
  <c r="AS365" i="59" s="1"/>
  <c r="AV365" i="59" s="1"/>
  <c r="AW365" i="59" s="1"/>
  <c r="AX365" i="59" s="1"/>
  <c r="AT358" i="59"/>
  <c r="AT855" i="59"/>
  <c r="AO855" i="59" s="1"/>
  <c r="AP855" i="59" s="1"/>
  <c r="AO936" i="59"/>
  <c r="AP936" i="59" s="1"/>
  <c r="AS936" i="59" s="1"/>
  <c r="AV936" i="59" s="1"/>
  <c r="AW936" i="59" s="1"/>
  <c r="AX936" i="59" s="1"/>
  <c r="AX756" i="59"/>
  <c r="AW756" i="59"/>
  <c r="AX350" i="59"/>
  <c r="AW350" i="59"/>
  <c r="AO103" i="59"/>
  <c r="AP103" i="59" s="1"/>
  <c r="AS103" i="59" s="1"/>
  <c r="AV103" i="59" s="1"/>
  <c r="AW103" i="59" s="1"/>
  <c r="AX103" i="59" s="1"/>
  <c r="AT402" i="59"/>
  <c r="AO760" i="59"/>
  <c r="AP760" i="59" s="1"/>
  <c r="AS760" i="59" s="1"/>
  <c r="AV760" i="59" s="1"/>
  <c r="AW760" i="59" s="1"/>
  <c r="AX760" i="59" s="1"/>
  <c r="AT359" i="59"/>
  <c r="AO359" i="59" s="1"/>
  <c r="AP359" i="59" s="1"/>
  <c r="AO361" i="59"/>
  <c r="AP361" i="59" s="1"/>
  <c r="AS361" i="59" s="1"/>
  <c r="AV361" i="59" s="1"/>
  <c r="AW361" i="59" s="1"/>
  <c r="AX361" i="59" s="1"/>
  <c r="AT806" i="59"/>
  <c r="AT366" i="59"/>
  <c r="AW576" i="59"/>
  <c r="AX576" i="59"/>
  <c r="AO356" i="59"/>
  <c r="AP356" i="59" s="1"/>
  <c r="AS356" i="59" s="1"/>
  <c r="AV356" i="59" s="1"/>
  <c r="AW356" i="59" s="1"/>
  <c r="AX356" i="59" s="1"/>
  <c r="AO984" i="59"/>
  <c r="AP984" i="59" s="1"/>
  <c r="AS984" i="59" s="1"/>
  <c r="AV984" i="59" s="1"/>
  <c r="AV51" i="30"/>
  <c r="AW51" i="30"/>
  <c r="AW52" i="30"/>
  <c r="AV52" i="30"/>
  <c r="AV14" i="30"/>
  <c r="AW14" i="30"/>
  <c r="AS61" i="30"/>
  <c r="AR61" i="30" s="1"/>
  <c r="AS60" i="30"/>
  <c r="AR60" i="30" s="1"/>
  <c r="AS69" i="30"/>
  <c r="AR69" i="30" s="1"/>
  <c r="AS68" i="30"/>
  <c r="AS67" i="30"/>
  <c r="AR67" i="30" s="1"/>
  <c r="AS66" i="30"/>
  <c r="AR66" i="30" s="1"/>
  <c r="AS65" i="30"/>
  <c r="AR65" i="30" s="1"/>
  <c r="AS64" i="30"/>
  <c r="AR64" i="30" s="1"/>
  <c r="AS63" i="30"/>
  <c r="AR63" i="30" s="1"/>
  <c r="AS62" i="30"/>
  <c r="AR62" i="30" s="1"/>
  <c r="AS50" i="30"/>
  <c r="AR50" i="30" s="1"/>
  <c r="AS49" i="30"/>
  <c r="AR49" i="30" s="1"/>
  <c r="AS41" i="30"/>
  <c r="AR41" i="30" s="1"/>
  <c r="AS55" i="30"/>
  <c r="AR55" i="30" s="1"/>
  <c r="AS48" i="30"/>
  <c r="AR48" i="30" s="1"/>
  <c r="AS47" i="30"/>
  <c r="AR47" i="30" s="1"/>
  <c r="AS46" i="30"/>
  <c r="AR46" i="30" s="1"/>
  <c r="AS45" i="30"/>
  <c r="AR45" i="30" s="1"/>
  <c r="AS44" i="30"/>
  <c r="AR44" i="30" s="1"/>
  <c r="AS43" i="30"/>
  <c r="AR43" i="30" s="1"/>
  <c r="AS42" i="30"/>
  <c r="AR42" i="30" s="1"/>
  <c r="AS54" i="30"/>
  <c r="AN54" i="30" s="1"/>
  <c r="AO54" i="30" s="1"/>
  <c r="AS53" i="30"/>
  <c r="AN53" i="30" s="1"/>
  <c r="AO53" i="30" s="1"/>
  <c r="AR33" i="30"/>
  <c r="AN38" i="30"/>
  <c r="AO38" i="30" s="1"/>
  <c r="AR38" i="30" s="1"/>
  <c r="AU38" i="30" s="1"/>
  <c r="AV38" i="30" s="1"/>
  <c r="AW38" i="30" s="1"/>
  <c r="AV51" i="58"/>
  <c r="AW51" i="58"/>
  <c r="AV17" i="58"/>
  <c r="AW17" i="58" s="1"/>
  <c r="AN25" i="58"/>
  <c r="AO25" i="58" s="1"/>
  <c r="AR25" i="58" s="1"/>
  <c r="AU25" i="58" s="1"/>
  <c r="AV25" i="58" s="1"/>
  <c r="AW25" i="58" s="1"/>
  <c r="AN24" i="58"/>
  <c r="AO24" i="58" s="1"/>
  <c r="AR24" i="58" s="1"/>
  <c r="AU24" i="58" s="1"/>
  <c r="AV24" i="58" s="1"/>
  <c r="AW24" i="58" s="1"/>
  <c r="AN26" i="58"/>
  <c r="AO26" i="58" s="1"/>
  <c r="AR26" i="58" s="1"/>
  <c r="AU26" i="58" s="1"/>
  <c r="AV26" i="58" s="1"/>
  <c r="AW26" i="58" s="1"/>
  <c r="AS11" i="30"/>
  <c r="AS25" i="30"/>
  <c r="CT6" i="54"/>
  <c r="CU6" i="54" s="1"/>
  <c r="CV6" i="54" s="1"/>
  <c r="CW6" i="54" s="1"/>
  <c r="CX6" i="54" s="1"/>
  <c r="CY6" i="54" s="1"/>
  <c r="CZ6" i="54" s="1"/>
  <c r="CS1" i="54"/>
  <c r="J13" i="49"/>
  <c r="CE13" i="49"/>
  <c r="H13" i="49"/>
  <c r="CW13" i="49"/>
  <c r="AO13" i="49"/>
  <c r="BZ13" i="49"/>
  <c r="AA13" i="49"/>
  <c r="DD13" i="49"/>
  <c r="BR13" i="49"/>
  <c r="AE13" i="49"/>
  <c r="M13" i="49"/>
  <c r="BL13" i="49"/>
  <c r="AC13" i="49"/>
  <c r="DG13" i="49"/>
  <c r="BC13" i="49"/>
  <c r="AN13" i="49"/>
  <c r="AI13" i="49"/>
  <c r="BP13" i="49"/>
  <c r="W13" i="49"/>
  <c r="BF13" i="49"/>
  <c r="T13" i="49"/>
  <c r="DQ13" i="49"/>
  <c r="G13" i="49"/>
  <c r="K13" i="49"/>
  <c r="CU13" i="49"/>
  <c r="L13" i="49"/>
  <c r="AM13" i="49"/>
  <c r="CS13" i="49"/>
  <c r="AR13" i="49"/>
  <c r="DM13" i="49"/>
  <c r="AQ13" i="49"/>
  <c r="P13" i="49"/>
  <c r="CK13" i="49"/>
  <c r="DS13" i="49"/>
  <c r="CA13" i="49"/>
  <c r="CR13" i="49"/>
  <c r="BB13" i="49"/>
  <c r="CI13" i="49"/>
  <c r="AF13" i="49"/>
  <c r="BO13" i="49"/>
  <c r="S13" i="49"/>
  <c r="BQ13" i="49"/>
  <c r="DP13" i="49"/>
  <c r="X13" i="49"/>
  <c r="DA13" i="49"/>
  <c r="AT13" i="49"/>
  <c r="CQ13" i="49"/>
  <c r="R13" i="49"/>
  <c r="DH13" i="49"/>
  <c r="CN13" i="49"/>
  <c r="CT13" i="49"/>
  <c r="DL13" i="49"/>
  <c r="AZ13" i="49"/>
  <c r="BY13" i="49"/>
  <c r="DI13" i="49"/>
  <c r="CF13" i="49"/>
  <c r="DR13" i="49"/>
  <c r="DN13" i="49"/>
  <c r="BA13" i="49"/>
  <c r="AH13" i="49"/>
  <c r="CH13" i="49"/>
  <c r="F13" i="49"/>
  <c r="DC13" i="49"/>
  <c r="AR30" i="30"/>
  <c r="AW13" i="49"/>
  <c r="O13" i="49"/>
  <c r="AL13" i="49"/>
  <c r="AS13" i="49"/>
  <c r="DJ13" i="49"/>
  <c r="AV13" i="49"/>
  <c r="BJ13" i="49"/>
  <c r="BK13" i="49"/>
  <c r="CZ13" i="49"/>
  <c r="CL13" i="49"/>
  <c r="CC13" i="49"/>
  <c r="BW13" i="49"/>
  <c r="BD13" i="49"/>
  <c r="AG13" i="49"/>
  <c r="I13" i="49"/>
  <c r="AY13" i="49"/>
  <c r="BM13" i="49"/>
  <c r="DB13" i="49"/>
  <c r="CG13" i="49"/>
  <c r="AP13" i="49"/>
  <c r="DK13" i="49"/>
  <c r="AB13" i="49"/>
  <c r="BI13" i="49"/>
  <c r="Q13" i="49"/>
  <c r="DO13" i="49"/>
  <c r="DE13" i="49"/>
  <c r="U13" i="49"/>
  <c r="AO1" i="46"/>
  <c r="AP6" i="46"/>
  <c r="AQ6" i="46" s="1"/>
  <c r="AR6" i="46" s="1"/>
  <c r="AS6" i="46" s="1"/>
  <c r="AT6" i="46" s="1"/>
  <c r="AU6" i="46" s="1"/>
  <c r="AV6" i="46" s="1"/>
  <c r="AU13" i="49"/>
  <c r="BG13" i="49"/>
  <c r="CM13" i="49"/>
  <c r="AD13" i="49"/>
  <c r="Z13" i="49"/>
  <c r="DT13" i="49"/>
  <c r="BE13" i="49"/>
  <c r="CO13" i="49"/>
  <c r="CY13" i="49"/>
  <c r="BU13" i="49"/>
  <c r="AK13" i="49"/>
  <c r="BX13" i="49"/>
  <c r="CD13" i="49"/>
  <c r="BH13" i="49"/>
  <c r="BV13" i="49"/>
  <c r="BS13" i="49"/>
  <c r="CP13" i="49"/>
  <c r="DF13" i="49"/>
  <c r="Y13" i="49"/>
  <c r="BN13" i="49"/>
  <c r="N13" i="49"/>
  <c r="CJ13" i="49"/>
  <c r="E14" i="49"/>
  <c r="C15" i="49" s="1"/>
  <c r="CX13" i="49"/>
  <c r="AX13" i="49"/>
  <c r="CV13" i="49"/>
  <c r="V13" i="49"/>
  <c r="CB13" i="49"/>
  <c r="AJ13" i="49"/>
  <c r="BT13" i="49"/>
  <c r="AS24" i="30"/>
  <c r="AU19" i="30"/>
  <c r="AS40" i="30"/>
  <c r="AS34" i="30"/>
  <c r="AR20" i="30"/>
  <c r="AV22" i="30"/>
  <c r="AR31" i="30"/>
  <c r="AS26" i="30"/>
  <c r="AR13" i="30"/>
  <c r="AV23" i="30"/>
  <c r="AR10" i="30"/>
  <c r="AV32" i="30"/>
  <c r="AR5" i="30"/>
  <c r="AR16" i="30"/>
  <c r="AR9" i="30"/>
  <c r="AS29" i="30"/>
  <c r="AV12" i="30"/>
  <c r="AR35" i="30"/>
  <c r="AR7" i="30"/>
  <c r="AV15" i="30"/>
  <c r="AS27" i="30"/>
  <c r="AR17" i="30"/>
  <c r="AV18" i="30"/>
  <c r="AS37" i="30"/>
  <c r="AR8" i="30"/>
  <c r="AQ6" i="53"/>
  <c r="AT6" i="53" s="1"/>
  <c r="AU6" i="53" s="1"/>
  <c r="AV6" i="53" s="1"/>
  <c r="AV1" i="48"/>
  <c r="AW6" i="48"/>
  <c r="AX6" i="48" s="1"/>
  <c r="AY6" i="48" s="1"/>
  <c r="AZ6" i="48" s="1"/>
  <c r="BA6" i="48" s="1"/>
  <c r="BB6" i="48" s="1"/>
  <c r="BC6" i="48" s="1"/>
  <c r="AS36" i="30"/>
  <c r="E10" i="48"/>
  <c r="DO10" i="48" s="1"/>
  <c r="AU37" i="53"/>
  <c r="AV37" i="53"/>
  <c r="AR15" i="53"/>
  <c r="AQ15" i="53" s="1"/>
  <c r="E11" i="48"/>
  <c r="C12" i="48" s="1"/>
  <c r="AM24" i="53"/>
  <c r="AN24" i="53" s="1"/>
  <c r="AQ24" i="53" s="1"/>
  <c r="AT24" i="53" s="1"/>
  <c r="AU24" i="53" s="1"/>
  <c r="AV24" i="53" s="1"/>
  <c r="AO1" i="49"/>
  <c r="AP6" i="49"/>
  <c r="AQ6" i="49" s="1"/>
  <c r="AR6" i="49" s="1"/>
  <c r="AS6" i="49" s="1"/>
  <c r="AT6" i="49" s="1"/>
  <c r="AU6" i="49" s="1"/>
  <c r="AV6" i="49" s="1"/>
  <c r="AS28" i="30"/>
  <c r="AR28" i="58" l="1"/>
  <c r="AU28" i="58" s="1"/>
  <c r="AV28" i="58" s="1"/>
  <c r="AW28" i="58" s="1"/>
  <c r="AR68" i="58"/>
  <c r="AU68" i="58" s="1"/>
  <c r="AV68" i="58" s="1"/>
  <c r="AW68" i="58" s="1"/>
  <c r="AR36" i="58"/>
  <c r="AU36" i="58" s="1"/>
  <c r="AV36" i="58" s="1"/>
  <c r="AW36" i="58" s="1"/>
  <c r="AR38" i="58"/>
  <c r="AU38" i="58" s="1"/>
  <c r="AV38" i="58" s="1"/>
  <c r="AW38" i="58" s="1"/>
  <c r="AR29" i="58"/>
  <c r="AU29" i="58" s="1"/>
  <c r="AV29" i="58" s="1"/>
  <c r="AR54" i="58"/>
  <c r="AU54" i="58" s="1"/>
  <c r="AV54" i="58" s="1"/>
  <c r="AW54" i="58" s="1"/>
  <c r="D20" i="56"/>
  <c r="BV10" i="61"/>
  <c r="AW10" i="61"/>
  <c r="BZ10" i="61"/>
  <c r="CO10" i="61"/>
  <c r="AG10" i="61"/>
  <c r="BT10" i="61"/>
  <c r="T10" i="61"/>
  <c r="BO10" i="61"/>
  <c r="DM10" i="61"/>
  <c r="DJ10" i="61"/>
  <c r="AM10" i="61"/>
  <c r="CK10" i="61"/>
  <c r="DF10" i="61"/>
  <c r="BG10" i="61"/>
  <c r="CS10" i="61"/>
  <c r="CM10" i="61"/>
  <c r="AJ10" i="61"/>
  <c r="CZ10" i="61"/>
  <c r="AK10" i="61"/>
  <c r="BE10" i="61"/>
  <c r="X10" i="61"/>
  <c r="BK10" i="61"/>
  <c r="CR10" i="61"/>
  <c r="CC10" i="61"/>
  <c r="AZ10" i="61"/>
  <c r="G10" i="61"/>
  <c r="DC10" i="61"/>
  <c r="CD10" i="61"/>
  <c r="J10" i="61"/>
  <c r="CE10" i="61"/>
  <c r="DQ10" i="61"/>
  <c r="AH10" i="61"/>
  <c r="CT10" i="61"/>
  <c r="BA10" i="61"/>
  <c r="L10" i="61"/>
  <c r="AV10" i="61"/>
  <c r="P10" i="61"/>
  <c r="Y10" i="61"/>
  <c r="BH10" i="61"/>
  <c r="DB10" i="61"/>
  <c r="AA10" i="61"/>
  <c r="DD10" i="61"/>
  <c r="DR10" i="61"/>
  <c r="CA10" i="61"/>
  <c r="CN10" i="61"/>
  <c r="AB10" i="61"/>
  <c r="AE10" i="61"/>
  <c r="AX10" i="61"/>
  <c r="BL10" i="61"/>
  <c r="CV10" i="61"/>
  <c r="K10" i="61"/>
  <c r="DI10" i="61"/>
  <c r="BU10" i="61"/>
  <c r="CP10" i="61"/>
  <c r="DA10" i="61"/>
  <c r="AL10" i="61"/>
  <c r="AO10" i="61"/>
  <c r="DL10" i="61"/>
  <c r="CW10" i="61"/>
  <c r="AQ10" i="61"/>
  <c r="BF10" i="61"/>
  <c r="AR10" i="61"/>
  <c r="S10" i="61"/>
  <c r="CJ10" i="61"/>
  <c r="DH10" i="61"/>
  <c r="BM10" i="61"/>
  <c r="BB10" i="61"/>
  <c r="H10" i="61"/>
  <c r="BD10" i="61"/>
  <c r="Q10" i="61"/>
  <c r="U10" i="61"/>
  <c r="I10" i="61"/>
  <c r="O10" i="61"/>
  <c r="BI10" i="61"/>
  <c r="CH10" i="61"/>
  <c r="CI10" i="61"/>
  <c r="N10" i="61"/>
  <c r="CB10" i="61"/>
  <c r="AP10" i="61"/>
  <c r="CQ10" i="61"/>
  <c r="DO10" i="61"/>
  <c r="CF10" i="61"/>
  <c r="V10" i="61"/>
  <c r="AT10" i="61"/>
  <c r="DN10" i="61"/>
  <c r="DP10" i="61"/>
  <c r="CG10" i="61"/>
  <c r="AD10" i="61"/>
  <c r="AS10" i="61"/>
  <c r="AU10" i="61"/>
  <c r="M10" i="61"/>
  <c r="AF10" i="61"/>
  <c r="BR10" i="61"/>
  <c r="DE10" i="61"/>
  <c r="Z10" i="61"/>
  <c r="DS10" i="61"/>
  <c r="AI10" i="61"/>
  <c r="BS10" i="61"/>
  <c r="R10" i="61"/>
  <c r="BJ10" i="61"/>
  <c r="BW10" i="61"/>
  <c r="DK10" i="61"/>
  <c r="BX10" i="61"/>
  <c r="BP10" i="61"/>
  <c r="AN10" i="61"/>
  <c r="DG10" i="61"/>
  <c r="CX10" i="61"/>
  <c r="CY10" i="61"/>
  <c r="BC10" i="61"/>
  <c r="BY10" i="61"/>
  <c r="CU10" i="61"/>
  <c r="CL10" i="61"/>
  <c r="W10" i="61"/>
  <c r="F10" i="61"/>
  <c r="AY10" i="61"/>
  <c r="AC10" i="61"/>
  <c r="BQ10" i="61"/>
  <c r="BN10" i="61"/>
  <c r="D20" i="61"/>
  <c r="AU32" i="58"/>
  <c r="AV32" i="58" s="1"/>
  <c r="AW32" i="58" s="1"/>
  <c r="E11" i="61"/>
  <c r="BV11" i="61" s="1"/>
  <c r="AU53" i="58"/>
  <c r="AW66" i="58"/>
  <c r="AW57" i="58"/>
  <c r="AW27" i="58"/>
  <c r="AW5" i="58"/>
  <c r="AU55" i="58"/>
  <c r="AU7" i="58"/>
  <c r="AU56" i="58"/>
  <c r="AU46" i="58"/>
  <c r="AU23" i="58"/>
  <c r="AU9" i="58"/>
  <c r="AU52" i="58"/>
  <c r="AW47" i="58"/>
  <c r="AU6" i="58"/>
  <c r="AU10" i="58"/>
  <c r="AU61" i="58"/>
  <c r="AW8" i="58"/>
  <c r="AU20" i="58"/>
  <c r="AW59" i="58"/>
  <c r="AW60" i="58"/>
  <c r="AU67" i="58"/>
  <c r="AU37" i="58"/>
  <c r="AW49" i="58"/>
  <c r="AU18" i="58"/>
  <c r="AU58" i="58"/>
  <c r="AW16" i="58"/>
  <c r="AW22" i="58"/>
  <c r="AU19" i="58"/>
  <c r="AW62" i="58"/>
  <c r="AW29" i="58"/>
  <c r="AU63" i="58"/>
  <c r="AW30" i="58"/>
  <c r="AX952" i="59"/>
  <c r="AW952" i="59"/>
  <c r="AX984" i="59"/>
  <c r="AW984" i="59"/>
  <c r="AX394" i="59"/>
  <c r="AW394" i="59"/>
  <c r="AW395" i="59"/>
  <c r="AX395" i="59"/>
  <c r="AO911" i="59"/>
  <c r="AP911" i="59" s="1"/>
  <c r="AS911" i="59" s="1"/>
  <c r="AV911" i="59" s="1"/>
  <c r="AS861" i="59"/>
  <c r="AV861" i="59" s="1"/>
  <c r="AW861" i="59" s="1"/>
  <c r="AX861" i="59" s="1"/>
  <c r="AS855" i="59"/>
  <c r="AV855" i="59" s="1"/>
  <c r="AW855" i="59" s="1"/>
  <c r="AX855" i="59" s="1"/>
  <c r="AS942" i="59"/>
  <c r="AV942" i="59" s="1"/>
  <c r="AW942" i="59" s="1"/>
  <c r="AX942" i="59" s="1"/>
  <c r="AS945" i="59"/>
  <c r="AV945" i="59" s="1"/>
  <c r="AW945" i="59" s="1"/>
  <c r="AX945" i="59" s="1"/>
  <c r="AS364" i="59"/>
  <c r="AV364" i="59" s="1"/>
  <c r="AW364" i="59" s="1"/>
  <c r="AX364" i="59" s="1"/>
  <c r="AO366" i="59"/>
  <c r="AP366" i="59" s="1"/>
  <c r="AS366" i="59" s="1"/>
  <c r="AV366" i="59" s="1"/>
  <c r="AW366" i="59" s="1"/>
  <c r="AX366" i="59" s="1"/>
  <c r="AS954" i="59"/>
  <c r="AV954" i="59" s="1"/>
  <c r="AO358" i="59"/>
  <c r="AP358" i="59" s="1"/>
  <c r="AS358" i="59" s="1"/>
  <c r="AV358" i="59" s="1"/>
  <c r="AW358" i="59" s="1"/>
  <c r="AX358" i="59" s="1"/>
  <c r="AS939" i="59"/>
  <c r="AV939" i="59" s="1"/>
  <c r="AW939" i="59" s="1"/>
  <c r="AX939" i="59" s="1"/>
  <c r="AS937" i="59"/>
  <c r="AV937" i="59" s="1"/>
  <c r="AW937" i="59" s="1"/>
  <c r="AX937" i="59" s="1"/>
  <c r="AS804" i="59"/>
  <c r="AV804" i="59" s="1"/>
  <c r="AW804" i="59" s="1"/>
  <c r="AX804" i="59" s="1"/>
  <c r="AO401" i="59"/>
  <c r="AP401" i="59" s="1"/>
  <c r="AS401" i="59" s="1"/>
  <c r="AV401" i="59" s="1"/>
  <c r="AW401" i="59" s="1"/>
  <c r="AX401" i="59" s="1"/>
  <c r="AS359" i="59"/>
  <c r="AV359" i="59" s="1"/>
  <c r="AW359" i="59" s="1"/>
  <c r="AX359" i="59" s="1"/>
  <c r="AO806" i="59"/>
  <c r="AP806" i="59" s="1"/>
  <c r="AS806" i="59" s="1"/>
  <c r="AV806" i="59" s="1"/>
  <c r="AW806" i="59" s="1"/>
  <c r="AX806" i="59" s="1"/>
  <c r="AS403" i="59"/>
  <c r="AV403" i="59" s="1"/>
  <c r="AW403" i="59" s="1"/>
  <c r="AX403" i="59" s="1"/>
  <c r="AS367" i="59"/>
  <c r="AV367" i="59" s="1"/>
  <c r="AW367" i="59" s="1"/>
  <c r="AX367" i="59" s="1"/>
  <c r="AO402" i="59"/>
  <c r="AP402" i="59" s="1"/>
  <c r="AS402" i="59" s="1"/>
  <c r="AV402" i="59" s="1"/>
  <c r="AW402" i="59" s="1"/>
  <c r="AX402" i="59" s="1"/>
  <c r="AU61" i="30"/>
  <c r="AV61" i="30" s="1"/>
  <c r="AW61" i="30" s="1"/>
  <c r="AU60" i="30"/>
  <c r="AV60" i="30" s="1"/>
  <c r="AW60" i="30" s="1"/>
  <c r="AN68" i="30"/>
  <c r="AO68" i="30" s="1"/>
  <c r="AU69" i="30"/>
  <c r="AV69" i="30" s="1"/>
  <c r="AW69" i="30" s="1"/>
  <c r="AU67" i="30"/>
  <c r="AV67" i="30" s="1"/>
  <c r="AW67" i="30" s="1"/>
  <c r="AU66" i="30"/>
  <c r="AV66" i="30" s="1"/>
  <c r="AW66" i="30" s="1"/>
  <c r="AU65" i="30"/>
  <c r="AV65" i="30" s="1"/>
  <c r="AW65" i="30" s="1"/>
  <c r="AU64" i="30"/>
  <c r="AV64" i="30" s="1"/>
  <c r="AW64" i="30" s="1"/>
  <c r="AU63" i="30"/>
  <c r="AV63" i="30" s="1"/>
  <c r="AW63" i="30" s="1"/>
  <c r="AU62" i="30"/>
  <c r="AV62" i="30" s="1"/>
  <c r="AW62" i="30" s="1"/>
  <c r="AU50" i="30"/>
  <c r="AV50" i="30" s="1"/>
  <c r="AW50" i="30" s="1"/>
  <c r="AU49" i="30"/>
  <c r="AV49" i="30" s="1"/>
  <c r="AW49" i="30" s="1"/>
  <c r="AU41" i="30"/>
  <c r="AV41" i="30" s="1"/>
  <c r="AW41" i="30" s="1"/>
  <c r="AU55" i="30"/>
  <c r="AV55" i="30" s="1"/>
  <c r="AW55" i="30" s="1"/>
  <c r="AU48" i="30"/>
  <c r="AV48" i="30" s="1"/>
  <c r="AW48" i="30" s="1"/>
  <c r="AU47" i="30"/>
  <c r="AV47" i="30" s="1"/>
  <c r="AW47" i="30" s="1"/>
  <c r="AU46" i="30"/>
  <c r="AV46" i="30" s="1"/>
  <c r="AW46" i="30" s="1"/>
  <c r="AU45" i="30"/>
  <c r="AV45" i="30" s="1"/>
  <c r="AW45" i="30" s="1"/>
  <c r="AU44" i="30"/>
  <c r="AU43" i="30"/>
  <c r="AV43" i="30" s="1"/>
  <c r="AU42" i="30"/>
  <c r="AV42" i="30" s="1"/>
  <c r="AW42" i="30" s="1"/>
  <c r="AR54" i="30"/>
  <c r="AR53" i="30"/>
  <c r="AU33" i="30"/>
  <c r="AN11" i="30"/>
  <c r="AO11" i="30" s="1"/>
  <c r="AR11" i="30" s="1"/>
  <c r="AR25" i="30"/>
  <c r="CZ1" i="54"/>
  <c r="DA6" i="54"/>
  <c r="DB6" i="54" s="1"/>
  <c r="DC6" i="54" s="1"/>
  <c r="DD6" i="54" s="1"/>
  <c r="DE6" i="54" s="1"/>
  <c r="DF6" i="54" s="1"/>
  <c r="DG6" i="54" s="1"/>
  <c r="AB14" i="49"/>
  <c r="CA14" i="49"/>
  <c r="M14" i="49"/>
  <c r="CF14" i="49"/>
  <c r="W14" i="49"/>
  <c r="DD14" i="49"/>
  <c r="CP14" i="49"/>
  <c r="DI14" i="49"/>
  <c r="BI14" i="49"/>
  <c r="DR14" i="49"/>
  <c r="CM14" i="49"/>
  <c r="CU14" i="49"/>
  <c r="CZ14" i="49"/>
  <c r="BG14" i="49"/>
  <c r="AU30" i="30"/>
  <c r="DL14" i="49"/>
  <c r="AD14" i="49"/>
  <c r="I14" i="49"/>
  <c r="AO14" i="49"/>
  <c r="AY14" i="49"/>
  <c r="DT14" i="49"/>
  <c r="DB14" i="49"/>
  <c r="DM14" i="49"/>
  <c r="BU14" i="49"/>
  <c r="DK14" i="49"/>
  <c r="AP14" i="49"/>
  <c r="O14" i="49"/>
  <c r="X14" i="49"/>
  <c r="P14" i="49"/>
  <c r="AU21" i="30"/>
  <c r="AV1" i="46"/>
  <c r="AW6" i="46"/>
  <c r="AX6" i="46" s="1"/>
  <c r="AY6" i="46" s="1"/>
  <c r="AZ6" i="46" s="1"/>
  <c r="BA6" i="46" s="1"/>
  <c r="BB6" i="46" s="1"/>
  <c r="BC6" i="46" s="1"/>
  <c r="AA14" i="49"/>
  <c r="S14" i="49"/>
  <c r="CK14" i="49"/>
  <c r="DS14" i="49"/>
  <c r="BQ14" i="49"/>
  <c r="DF14" i="49"/>
  <c r="BT14" i="49"/>
  <c r="Q14" i="49"/>
  <c r="Z14" i="49"/>
  <c r="CY14" i="49"/>
  <c r="U14" i="49"/>
  <c r="DJ14" i="49"/>
  <c r="DA14" i="49"/>
  <c r="BJ14" i="49"/>
  <c r="BZ14" i="49"/>
  <c r="BN14" i="49"/>
  <c r="DO14" i="49"/>
  <c r="DN14" i="49"/>
  <c r="K14" i="49"/>
  <c r="DP14" i="49"/>
  <c r="AF14" i="49"/>
  <c r="DH14" i="49"/>
  <c r="CX14" i="49"/>
  <c r="CJ14" i="49"/>
  <c r="CV14" i="49"/>
  <c r="BF14" i="49"/>
  <c r="T14" i="49"/>
  <c r="AQ14" i="49"/>
  <c r="AZ14" i="49"/>
  <c r="CT14" i="49"/>
  <c r="CO14" i="49"/>
  <c r="C27" i="49"/>
  <c r="C29" i="49"/>
  <c r="E15" i="49"/>
  <c r="AV15" i="49" s="1"/>
  <c r="CG14" i="49"/>
  <c r="AL14" i="49"/>
  <c r="DE14" i="49"/>
  <c r="AT14" i="49"/>
  <c r="AE14" i="49"/>
  <c r="CB14" i="49"/>
  <c r="BY14" i="49"/>
  <c r="G14" i="49"/>
  <c r="CW14" i="49"/>
  <c r="AR14" i="49"/>
  <c r="AK14" i="49"/>
  <c r="L14" i="49"/>
  <c r="BC14" i="49"/>
  <c r="CC14" i="49"/>
  <c r="AV14" i="49"/>
  <c r="CQ14" i="49"/>
  <c r="BV14" i="49"/>
  <c r="DG14" i="49"/>
  <c r="R14" i="49"/>
  <c r="Y14" i="49"/>
  <c r="AI14" i="49"/>
  <c r="BW14" i="49"/>
  <c r="AJ14" i="49"/>
  <c r="CI14" i="49"/>
  <c r="AS14" i="49"/>
  <c r="H14" i="49"/>
  <c r="N14" i="49"/>
  <c r="F14" i="49"/>
  <c r="CH14" i="49"/>
  <c r="DQ14" i="49"/>
  <c r="AN14" i="49"/>
  <c r="BB14" i="49"/>
  <c r="BO14" i="49"/>
  <c r="CR14" i="49"/>
  <c r="CS14" i="49"/>
  <c r="BA14" i="49"/>
  <c r="AC14" i="49"/>
  <c r="BK14" i="49"/>
  <c r="BS14" i="49"/>
  <c r="AW14" i="49"/>
  <c r="BX14" i="49"/>
  <c r="BP14" i="49"/>
  <c r="AU14" i="49"/>
  <c r="J14" i="49"/>
  <c r="CD14" i="49"/>
  <c r="CE14" i="49"/>
  <c r="BM14" i="49"/>
  <c r="BL14" i="49"/>
  <c r="DC14" i="49"/>
  <c r="BD14" i="49"/>
  <c r="V14" i="49"/>
  <c r="AH14" i="49"/>
  <c r="BH14" i="49"/>
  <c r="AX14" i="49"/>
  <c r="BE14" i="49"/>
  <c r="BR14" i="49"/>
  <c r="CN14" i="49"/>
  <c r="AG14" i="49"/>
  <c r="CL14" i="49"/>
  <c r="AM14" i="49"/>
  <c r="AV19" i="30"/>
  <c r="AN24" i="30"/>
  <c r="AR34" i="30"/>
  <c r="AN29" i="30"/>
  <c r="AR40" i="30"/>
  <c r="AN26" i="30"/>
  <c r="AN37" i="30"/>
  <c r="AU7" i="30"/>
  <c r="AN28" i="30"/>
  <c r="AW18" i="30"/>
  <c r="AU17" i="30"/>
  <c r="AU35" i="30"/>
  <c r="AW12" i="30"/>
  <c r="AU9" i="30"/>
  <c r="AW15" i="30"/>
  <c r="AN27" i="30"/>
  <c r="AW32" i="30"/>
  <c r="AU13" i="30"/>
  <c r="AW22" i="30"/>
  <c r="AU8" i="30"/>
  <c r="AU20" i="30"/>
  <c r="AU10" i="30"/>
  <c r="AU5" i="30"/>
  <c r="AW23" i="30"/>
  <c r="AU16" i="30"/>
  <c r="AU31" i="30"/>
  <c r="BD6" i="48"/>
  <c r="BE6" i="48" s="1"/>
  <c r="BF6" i="48" s="1"/>
  <c r="BG6" i="48" s="1"/>
  <c r="BH6" i="48" s="1"/>
  <c r="BI6" i="48" s="1"/>
  <c r="BJ6" i="48" s="1"/>
  <c r="BC1" i="48"/>
  <c r="AO10" i="48"/>
  <c r="DE11" i="48"/>
  <c r="CE11" i="48"/>
  <c r="AC11" i="48"/>
  <c r="CK11" i="48"/>
  <c r="BQ10" i="48"/>
  <c r="CR10" i="48"/>
  <c r="O11" i="48"/>
  <c r="AE11" i="48"/>
  <c r="AN11" i="48"/>
  <c r="DS11" i="48"/>
  <c r="AS11" i="48"/>
  <c r="BN11" i="48"/>
  <c r="AY11" i="48"/>
  <c r="Z11" i="48"/>
  <c r="DG11" i="48"/>
  <c r="BK11" i="48"/>
  <c r="CN11" i="48"/>
  <c r="DM11" i="48"/>
  <c r="AO11" i="48"/>
  <c r="I11" i="48"/>
  <c r="BZ11" i="48"/>
  <c r="CP11" i="48"/>
  <c r="AH11" i="48"/>
  <c r="BT11" i="48"/>
  <c r="CQ11" i="48"/>
  <c r="AZ11" i="48"/>
  <c r="AQ11" i="48"/>
  <c r="BO11" i="48"/>
  <c r="BW11" i="48"/>
  <c r="CA11" i="48"/>
  <c r="G11" i="48"/>
  <c r="U11" i="48"/>
  <c r="DP11" i="48"/>
  <c r="AA11" i="48"/>
  <c r="CR11" i="48"/>
  <c r="AG11" i="48"/>
  <c r="AX11" i="48"/>
  <c r="AG10" i="48"/>
  <c r="DI11" i="48"/>
  <c r="CD11" i="48"/>
  <c r="DL11" i="48"/>
  <c r="CI11" i="48"/>
  <c r="BB11" i="48"/>
  <c r="Q11" i="48"/>
  <c r="DJ11" i="48"/>
  <c r="BA11" i="48"/>
  <c r="CG11" i="48"/>
  <c r="BY11" i="48"/>
  <c r="T11" i="48"/>
  <c r="DH11" i="48"/>
  <c r="H11" i="48"/>
  <c r="S11" i="48"/>
  <c r="AW11" i="48"/>
  <c r="CC11" i="48"/>
  <c r="BO10" i="48"/>
  <c r="BD11" i="48"/>
  <c r="AU11" i="48"/>
  <c r="DR11" i="48"/>
  <c r="CO11" i="48"/>
  <c r="BS11" i="48"/>
  <c r="CL11" i="48"/>
  <c r="CY11" i="48"/>
  <c r="K11" i="48"/>
  <c r="CS10" i="48"/>
  <c r="BF10" i="48"/>
  <c r="AR10" i="48"/>
  <c r="CW10" i="48"/>
  <c r="AT10" i="48"/>
  <c r="DJ10" i="48"/>
  <c r="BK10" i="48"/>
  <c r="V10" i="48"/>
  <c r="AL10" i="48"/>
  <c r="AP10" i="48"/>
  <c r="BJ10" i="48"/>
  <c r="AM10" i="48"/>
  <c r="CO10" i="48"/>
  <c r="DN10" i="48"/>
  <c r="S10" i="48"/>
  <c r="BC10" i="48"/>
  <c r="CL10" i="48"/>
  <c r="T10" i="48"/>
  <c r="BB10" i="48"/>
  <c r="BH10" i="48"/>
  <c r="AQ10" i="48"/>
  <c r="DB10" i="48"/>
  <c r="R10" i="48"/>
  <c r="AA10" i="48"/>
  <c r="DA10" i="48"/>
  <c r="DR10" i="48"/>
  <c r="CT10" i="48"/>
  <c r="CD10" i="48"/>
  <c r="DK10" i="48"/>
  <c r="CP10" i="48"/>
  <c r="CI10" i="48"/>
  <c r="AK10" i="48"/>
  <c r="DI10" i="48"/>
  <c r="W10" i="48"/>
  <c r="AN36" i="30"/>
  <c r="BL10" i="48"/>
  <c r="AW10" i="48"/>
  <c r="BE10" i="48"/>
  <c r="BS10" i="48"/>
  <c r="Z10" i="48"/>
  <c r="BV10" i="48"/>
  <c r="AZ10" i="48"/>
  <c r="BU10" i="48"/>
  <c r="BY10" i="48"/>
  <c r="AI10" i="48"/>
  <c r="AB10" i="48"/>
  <c r="CQ10" i="48"/>
  <c r="G10" i="48"/>
  <c r="BA10" i="48"/>
  <c r="CU10" i="48"/>
  <c r="DL10" i="48"/>
  <c r="AV10" i="48"/>
  <c r="DM10" i="48"/>
  <c r="BR10" i="48"/>
  <c r="BN10" i="48"/>
  <c r="E12" i="48"/>
  <c r="C13" i="48" s="1"/>
  <c r="CA10" i="48"/>
  <c r="D23" i="48"/>
  <c r="AT15" i="53"/>
  <c r="AU15" i="53" s="1"/>
  <c r="AV15" i="53" s="1"/>
  <c r="X10" i="48"/>
  <c r="CF11" i="48"/>
  <c r="Y11" i="48"/>
  <c r="AB11" i="48"/>
  <c r="BC11" i="48"/>
  <c r="CU11" i="48"/>
  <c r="AD11" i="48"/>
  <c r="CV11" i="48"/>
  <c r="DA11" i="48"/>
  <c r="V11" i="48"/>
  <c r="DD11" i="48"/>
  <c r="BL11" i="48"/>
  <c r="BF11" i="48"/>
  <c r="AM11" i="48"/>
  <c r="BH11" i="48"/>
  <c r="BR11" i="48"/>
  <c r="CE10" i="48"/>
  <c r="BX10" i="48"/>
  <c r="O10" i="48"/>
  <c r="DQ10" i="48"/>
  <c r="DG10" i="48"/>
  <c r="U10" i="48"/>
  <c r="DT10" i="48"/>
  <c r="K10" i="48"/>
  <c r="Q10" i="48"/>
  <c r="AH10" i="48"/>
  <c r="AY10" i="48"/>
  <c r="AF10" i="48"/>
  <c r="BU11" i="48"/>
  <c r="DB11" i="48"/>
  <c r="AT11" i="48"/>
  <c r="CS11" i="48"/>
  <c r="X11" i="48"/>
  <c r="BX11" i="48"/>
  <c r="BQ11" i="48"/>
  <c r="DK11" i="48"/>
  <c r="BG11" i="48"/>
  <c r="AV11" i="48"/>
  <c r="N11" i="48"/>
  <c r="M11" i="48"/>
  <c r="AI11" i="48"/>
  <c r="BJ11" i="48"/>
  <c r="L11" i="48"/>
  <c r="CC10" i="48"/>
  <c r="J10" i="48"/>
  <c r="AJ10" i="48"/>
  <c r="P10" i="48"/>
  <c r="DS10" i="48"/>
  <c r="AN10" i="48"/>
  <c r="BD10" i="48"/>
  <c r="N10" i="48"/>
  <c r="CV10" i="48"/>
  <c r="CH10" i="48"/>
  <c r="DH10" i="48"/>
  <c r="F10" i="48"/>
  <c r="CN10" i="48"/>
  <c r="BP10" i="48"/>
  <c r="CB10" i="48"/>
  <c r="BM11" i="48"/>
  <c r="BI11" i="48"/>
  <c r="AP11" i="48"/>
  <c r="AF11" i="48"/>
  <c r="DC11" i="48"/>
  <c r="CW11" i="48"/>
  <c r="DT11" i="48"/>
  <c r="BP11" i="48"/>
  <c r="CJ11" i="48"/>
  <c r="CH11" i="48"/>
  <c r="CM11" i="48"/>
  <c r="CZ11" i="48"/>
  <c r="J11" i="48"/>
  <c r="CX11" i="48"/>
  <c r="DN11" i="48"/>
  <c r="BT10" i="48"/>
  <c r="AE10" i="48"/>
  <c r="H10" i="48"/>
  <c r="DC10" i="48"/>
  <c r="DE10" i="48"/>
  <c r="I10" i="48"/>
  <c r="DD10" i="48"/>
  <c r="L10" i="48"/>
  <c r="BW10" i="48"/>
  <c r="AC10" i="48"/>
  <c r="AU10" i="48"/>
  <c r="AX10" i="48"/>
  <c r="BM10" i="48"/>
  <c r="AD10" i="48"/>
  <c r="CK10" i="48"/>
  <c r="AJ11" i="48"/>
  <c r="AK11" i="48"/>
  <c r="AL11" i="48"/>
  <c r="P11" i="48"/>
  <c r="DO11" i="48"/>
  <c r="CB11" i="48"/>
  <c r="W11" i="48"/>
  <c r="BV11" i="48"/>
  <c r="DF11" i="48"/>
  <c r="R11" i="48"/>
  <c r="AR11" i="48"/>
  <c r="F11" i="48"/>
  <c r="CT11" i="48"/>
  <c r="DQ11" i="48"/>
  <c r="BE11" i="48"/>
  <c r="DP10" i="48"/>
  <c r="CJ10" i="48"/>
  <c r="BG10" i="48"/>
  <c r="CX10" i="48"/>
  <c r="CG10" i="48"/>
  <c r="DF10" i="48"/>
  <c r="Y10" i="48"/>
  <c r="M10" i="48"/>
  <c r="CZ10" i="48"/>
  <c r="CF10" i="48"/>
  <c r="CY10" i="48"/>
  <c r="CM10" i="48"/>
  <c r="BI10" i="48"/>
  <c r="BZ10" i="48"/>
  <c r="AS10" i="48"/>
  <c r="AV1" i="49"/>
  <c r="AW6" i="49"/>
  <c r="AX6" i="49" s="1"/>
  <c r="AY6" i="49" s="1"/>
  <c r="AZ6" i="49" s="1"/>
  <c r="BA6" i="49" s="1"/>
  <c r="BB6" i="49" s="1"/>
  <c r="BC6" i="49" s="1"/>
  <c r="D23" i="61" l="1"/>
  <c r="BT11" i="61"/>
  <c r="BL11" i="61"/>
  <c r="L11" i="61"/>
  <c r="M11" i="61"/>
  <c r="AY11" i="61"/>
  <c r="K11" i="61"/>
  <c r="BK11" i="61"/>
  <c r="AK11" i="61"/>
  <c r="DP11" i="61"/>
  <c r="DH11" i="61"/>
  <c r="DL11" i="61"/>
  <c r="CC11" i="61"/>
  <c r="CE11" i="61"/>
  <c r="U11" i="61"/>
  <c r="V11" i="61"/>
  <c r="BQ11" i="61"/>
  <c r="CO11" i="61"/>
  <c r="DE11" i="61"/>
  <c r="CN11" i="61"/>
  <c r="AD11" i="61"/>
  <c r="BG11" i="61"/>
  <c r="DA11" i="61"/>
  <c r="CU11" i="61"/>
  <c r="DN11" i="61"/>
  <c r="CW11" i="61"/>
  <c r="AM11" i="61"/>
  <c r="CH11" i="61"/>
  <c r="DK11" i="61"/>
  <c r="DD11" i="61"/>
  <c r="AA11" i="61"/>
  <c r="I11" i="61"/>
  <c r="DF11" i="61"/>
  <c r="BX11" i="61"/>
  <c r="CQ11" i="61"/>
  <c r="DT11" i="61"/>
  <c r="R11" i="61"/>
  <c r="AJ11" i="61"/>
  <c r="S11" i="61"/>
  <c r="DO11" i="61"/>
  <c r="CG11" i="61"/>
  <c r="CZ11" i="61"/>
  <c r="BI11" i="61"/>
  <c r="AX11" i="61"/>
  <c r="AS11" i="61"/>
  <c r="AB11" i="61"/>
  <c r="CX11" i="61"/>
  <c r="CY11" i="61"/>
  <c r="DS11" i="61"/>
  <c r="CA11" i="61"/>
  <c r="BF11" i="61"/>
  <c r="F11" i="61"/>
  <c r="Y11" i="61"/>
  <c r="CD11" i="61"/>
  <c r="H11" i="61"/>
  <c r="CM11" i="61"/>
  <c r="AT11" i="61"/>
  <c r="AL11" i="61"/>
  <c r="AV11" i="61"/>
  <c r="AE11" i="61"/>
  <c r="AF11" i="61"/>
  <c r="AQ11" i="61"/>
  <c r="AI11" i="61"/>
  <c r="DJ11" i="61"/>
  <c r="Q11" i="61"/>
  <c r="CV11" i="61"/>
  <c r="BC11" i="61"/>
  <c r="BD11" i="61"/>
  <c r="BO11" i="61"/>
  <c r="AW11" i="61"/>
  <c r="AO11" i="61"/>
  <c r="AZ11" i="61"/>
  <c r="BJ11" i="61"/>
  <c r="DR11" i="61"/>
  <c r="AU11" i="61"/>
  <c r="AR11" i="61"/>
  <c r="DM11" i="61"/>
  <c r="BN11" i="61"/>
  <c r="CP11" i="61"/>
  <c r="AN11" i="61"/>
  <c r="DI11" i="61"/>
  <c r="BH11" i="61"/>
  <c r="AC11" i="61"/>
  <c r="BR11" i="61"/>
  <c r="BW11" i="61"/>
  <c r="BA11" i="61"/>
  <c r="J11" i="61"/>
  <c r="C12" i="61"/>
  <c r="BZ11" i="61"/>
  <c r="O11" i="61"/>
  <c r="CJ11" i="61"/>
  <c r="DG11" i="61"/>
  <c r="BS11" i="61"/>
  <c r="Z11" i="61"/>
  <c r="CL11" i="61"/>
  <c r="DQ11" i="61"/>
  <c r="BP11" i="61"/>
  <c r="N11" i="61"/>
  <c r="CI11" i="61"/>
  <c r="X11" i="61"/>
  <c r="CS11" i="61"/>
  <c r="G11" i="61"/>
  <c r="CB11" i="61"/>
  <c r="AH11" i="61"/>
  <c r="CT11" i="61"/>
  <c r="BB11" i="61"/>
  <c r="T11" i="61"/>
  <c r="BU11" i="61"/>
  <c r="CF11" i="61"/>
  <c r="BE11" i="61"/>
  <c r="BM11" i="61"/>
  <c r="BY11" i="61"/>
  <c r="W11" i="61"/>
  <c r="CR11" i="61"/>
  <c r="AG11" i="61"/>
  <c r="DC11" i="61"/>
  <c r="P11" i="61"/>
  <c r="CK11" i="61"/>
  <c r="AP11" i="61"/>
  <c r="DB11" i="61"/>
  <c r="AV18" i="58"/>
  <c r="AV23" i="58"/>
  <c r="AV56" i="58"/>
  <c r="AV63" i="58"/>
  <c r="AV10" i="58"/>
  <c r="AV19" i="58"/>
  <c r="AV58" i="58"/>
  <c r="AV37" i="58"/>
  <c r="AV61" i="58"/>
  <c r="AV6" i="58"/>
  <c r="AV52" i="58"/>
  <c r="AV7" i="58"/>
  <c r="AV67" i="58"/>
  <c r="AV20" i="58"/>
  <c r="AV9" i="58"/>
  <c r="AV46" i="58"/>
  <c r="AV55" i="58"/>
  <c r="AV53" i="58"/>
  <c r="AX911" i="59"/>
  <c r="AW911" i="59"/>
  <c r="AW954" i="59"/>
  <c r="AX954" i="59"/>
  <c r="AR68" i="30"/>
  <c r="AU54" i="30"/>
  <c r="AV54" i="30" s="1"/>
  <c r="AW54" i="30" s="1"/>
  <c r="AW43" i="30"/>
  <c r="AU53" i="30"/>
  <c r="AV53" i="30" s="1"/>
  <c r="AW53" i="30" s="1"/>
  <c r="AV44" i="30"/>
  <c r="AW44" i="30"/>
  <c r="AV33" i="30"/>
  <c r="AU25" i="30"/>
  <c r="AV25" i="30" s="1"/>
  <c r="AU11" i="30"/>
  <c r="AV11" i="30" s="1"/>
  <c r="DH6" i="54"/>
  <c r="DI6" i="54" s="1"/>
  <c r="DJ6" i="54" s="1"/>
  <c r="DK6" i="54" s="1"/>
  <c r="DL6" i="54" s="1"/>
  <c r="DM6" i="54" s="1"/>
  <c r="DN6" i="54" s="1"/>
  <c r="DG1" i="54"/>
  <c r="BA15" i="49"/>
  <c r="AO15" i="49"/>
  <c r="DT15" i="49"/>
  <c r="W15" i="49"/>
  <c r="CS15" i="49"/>
  <c r="AV30" i="30"/>
  <c r="Y15" i="49"/>
  <c r="AV21" i="30"/>
  <c r="AW19" i="30"/>
  <c r="AU34" i="30"/>
  <c r="AO29" i="30"/>
  <c r="BC1" i="46"/>
  <c r="BD6" i="46"/>
  <c r="BE6" i="46" s="1"/>
  <c r="BF6" i="46" s="1"/>
  <c r="BG6" i="46" s="1"/>
  <c r="BH6" i="46" s="1"/>
  <c r="BI6" i="46" s="1"/>
  <c r="BJ6" i="46" s="1"/>
  <c r="S15" i="49"/>
  <c r="DI15" i="49"/>
  <c r="BI15" i="49"/>
  <c r="CT15" i="49"/>
  <c r="DR15" i="49"/>
  <c r="BX15" i="49"/>
  <c r="J15" i="49"/>
  <c r="CD15" i="49"/>
  <c r="DL15" i="49"/>
  <c r="AB15" i="49"/>
  <c r="BZ15" i="49"/>
  <c r="AU15" i="49"/>
  <c r="AN15" i="49"/>
  <c r="G15" i="49"/>
  <c r="DH15" i="49"/>
  <c r="CW15" i="49"/>
  <c r="DK15" i="49"/>
  <c r="U15" i="49"/>
  <c r="BB15" i="49"/>
  <c r="DM15" i="49"/>
  <c r="DB15" i="49"/>
  <c r="CJ15" i="49"/>
  <c r="BU15" i="49"/>
  <c r="DC15" i="49"/>
  <c r="BM15" i="49"/>
  <c r="CI15" i="49"/>
  <c r="CE15" i="49"/>
  <c r="DA15" i="49"/>
  <c r="AI15" i="49"/>
  <c r="K15" i="49"/>
  <c r="AR15" i="49"/>
  <c r="H15" i="49"/>
  <c r="CL15" i="49"/>
  <c r="AT15" i="49"/>
  <c r="AP15" i="49"/>
  <c r="BW15" i="49"/>
  <c r="AZ15" i="49"/>
  <c r="BL15" i="49"/>
  <c r="CV15" i="49"/>
  <c r="DN15" i="49"/>
  <c r="BD15" i="49"/>
  <c r="AD15" i="49"/>
  <c r="BE15" i="49"/>
  <c r="DE15" i="49"/>
  <c r="CR15" i="49"/>
  <c r="CP15" i="49"/>
  <c r="R15" i="49"/>
  <c r="CB15" i="49"/>
  <c r="P15" i="49"/>
  <c r="BQ15" i="49"/>
  <c r="DJ15" i="49"/>
  <c r="CH15" i="49"/>
  <c r="BK15" i="49"/>
  <c r="AE15" i="49"/>
  <c r="L15" i="49"/>
  <c r="BF15" i="49"/>
  <c r="AL15" i="49"/>
  <c r="DO15" i="49"/>
  <c r="BS15" i="49"/>
  <c r="BY15" i="49"/>
  <c r="T15" i="49"/>
  <c r="M15" i="49"/>
  <c r="V15" i="49"/>
  <c r="CX15" i="49"/>
  <c r="Q15" i="49"/>
  <c r="AK15" i="49"/>
  <c r="AQ15" i="49"/>
  <c r="CY15" i="49"/>
  <c r="AC15" i="49"/>
  <c r="BP15" i="49"/>
  <c r="CF15" i="49"/>
  <c r="BJ15" i="49"/>
  <c r="CZ15" i="49"/>
  <c r="F15" i="49"/>
  <c r="DP15" i="49"/>
  <c r="AJ15" i="49"/>
  <c r="DQ15" i="49"/>
  <c r="BO15" i="49"/>
  <c r="BN15" i="49"/>
  <c r="BR15" i="49"/>
  <c r="BC15" i="49"/>
  <c r="CN15" i="49"/>
  <c r="DG15" i="49"/>
  <c r="AX15" i="49"/>
  <c r="AH15" i="49"/>
  <c r="DS15" i="49"/>
  <c r="CA15" i="49"/>
  <c r="CQ15" i="49"/>
  <c r="N15" i="49"/>
  <c r="CC15" i="49"/>
  <c r="AS15" i="49"/>
  <c r="X15" i="49"/>
  <c r="AF15" i="49"/>
  <c r="I15" i="49"/>
  <c r="CG15" i="49"/>
  <c r="AM15" i="49"/>
  <c r="CU15" i="49"/>
  <c r="O15" i="49"/>
  <c r="Y27" i="49"/>
  <c r="AJ27" i="49"/>
  <c r="AM29" i="49"/>
  <c r="O29" i="49"/>
  <c r="BF27" i="49"/>
  <c r="CJ27" i="49"/>
  <c r="CW29" i="49"/>
  <c r="S29" i="49"/>
  <c r="BY27" i="49"/>
  <c r="AW27" i="49"/>
  <c r="CB29" i="49"/>
  <c r="H27" i="49"/>
  <c r="AR27" i="49"/>
  <c r="DL29" i="49"/>
  <c r="DI27" i="49"/>
  <c r="BH29" i="49"/>
  <c r="AN27" i="49"/>
  <c r="DD29" i="49"/>
  <c r="U27" i="49"/>
  <c r="DC29" i="49"/>
  <c r="CI29" i="49"/>
  <c r="I27" i="49"/>
  <c r="AN29" i="49"/>
  <c r="AE27" i="49"/>
  <c r="AI29" i="49"/>
  <c r="BG27" i="49"/>
  <c r="BX27" i="49"/>
  <c r="N29" i="49"/>
  <c r="CR27" i="49"/>
  <c r="BW29" i="49"/>
  <c r="AC27" i="49"/>
  <c r="AK27" i="49"/>
  <c r="CP29" i="49"/>
  <c r="CT29" i="49"/>
  <c r="DF27" i="49"/>
  <c r="CV27" i="49"/>
  <c r="AD29" i="49"/>
  <c r="BR29" i="49"/>
  <c r="BU27" i="49"/>
  <c r="AX29" i="49"/>
  <c r="AO29" i="49"/>
  <c r="BV27" i="49"/>
  <c r="BD29" i="49"/>
  <c r="DF29" i="49"/>
  <c r="AX27" i="49"/>
  <c r="Q29" i="49"/>
  <c r="BA27" i="49"/>
  <c r="CS29" i="49"/>
  <c r="CN27" i="49"/>
  <c r="DM29" i="49"/>
  <c r="Q27" i="49"/>
  <c r="CD27" i="49"/>
  <c r="AG29" i="49"/>
  <c r="BQ27" i="49"/>
  <c r="CK29" i="49"/>
  <c r="AV27" i="49"/>
  <c r="DO29" i="49"/>
  <c r="CQ29" i="49"/>
  <c r="BF29" i="49"/>
  <c r="AU27" i="49"/>
  <c r="DM27" i="49"/>
  <c r="V27" i="49"/>
  <c r="BG29" i="49"/>
  <c r="DR29" i="49"/>
  <c r="BD27" i="49"/>
  <c r="DO27" i="49"/>
  <c r="AY29" i="49"/>
  <c r="L27" i="49"/>
  <c r="CO27" i="49"/>
  <c r="R29" i="49"/>
  <c r="BQ29" i="49"/>
  <c r="AQ27" i="49"/>
  <c r="DJ29" i="49"/>
  <c r="CF29" i="49"/>
  <c r="F27" i="49"/>
  <c r="Z29" i="49"/>
  <c r="Z27" i="49"/>
  <c r="BC29" i="49"/>
  <c r="AF27" i="49"/>
  <c r="BS29" i="49"/>
  <c r="BJ27" i="49"/>
  <c r="DL27" i="49"/>
  <c r="J29" i="49"/>
  <c r="DC27" i="49"/>
  <c r="CX29" i="49"/>
  <c r="AO27" i="49"/>
  <c r="BI29" i="49"/>
  <c r="O27" i="49"/>
  <c r="DN27" i="49"/>
  <c r="CF27" i="49"/>
  <c r="CT27" i="49"/>
  <c r="AH27" i="49"/>
  <c r="AZ29" i="49"/>
  <c r="AQ29" i="49"/>
  <c r="G27" i="49"/>
  <c r="H29" i="49"/>
  <c r="DI29" i="49"/>
  <c r="CA27" i="49"/>
  <c r="BO27" i="49"/>
  <c r="BU29" i="49"/>
  <c r="BP29" i="49"/>
  <c r="BK27" i="49"/>
  <c r="AT29" i="49"/>
  <c r="CH27" i="49"/>
  <c r="M27" i="49"/>
  <c r="BZ29" i="49"/>
  <c r="CQ27" i="49"/>
  <c r="BX29" i="49"/>
  <c r="AS27" i="49"/>
  <c r="AP29" i="49"/>
  <c r="CZ27" i="49"/>
  <c r="CJ29" i="49"/>
  <c r="K29" i="49"/>
  <c r="BT27" i="49"/>
  <c r="AW29" i="49"/>
  <c r="BP27" i="49"/>
  <c r="V29" i="49"/>
  <c r="BN29" i="49"/>
  <c r="CY29" i="49"/>
  <c r="CN29" i="49"/>
  <c r="BW27" i="49"/>
  <c r="DB27" i="49"/>
  <c r="AS29" i="49"/>
  <c r="CX27" i="49"/>
  <c r="CB27" i="49"/>
  <c r="DQ29" i="49"/>
  <c r="CD29" i="49"/>
  <c r="P27" i="49"/>
  <c r="AA27" i="49"/>
  <c r="DS29" i="49"/>
  <c r="CE29" i="49"/>
  <c r="J27" i="49"/>
  <c r="DA29" i="49"/>
  <c r="T27" i="49"/>
  <c r="M29" i="49"/>
  <c r="BK29" i="49"/>
  <c r="DT27" i="49"/>
  <c r="CV29" i="49"/>
  <c r="N27" i="49"/>
  <c r="CZ29" i="49"/>
  <c r="DS27" i="49"/>
  <c r="BY29" i="49"/>
  <c r="AM27" i="49"/>
  <c r="X27" i="49"/>
  <c r="BB29" i="49"/>
  <c r="DK27" i="49"/>
  <c r="AC29" i="49"/>
  <c r="Y29" i="49"/>
  <c r="CR29" i="49"/>
  <c r="DR27" i="49"/>
  <c r="AY27" i="49"/>
  <c r="W29" i="49"/>
  <c r="CO29" i="49"/>
  <c r="AZ27" i="49"/>
  <c r="DE27" i="49"/>
  <c r="BA29" i="49"/>
  <c r="BL29" i="49"/>
  <c r="BR27" i="49"/>
  <c r="DP27" i="49"/>
  <c r="BM29" i="49"/>
  <c r="G29" i="49"/>
  <c r="W27" i="49"/>
  <c r="DE29" i="49"/>
  <c r="BM27" i="49"/>
  <c r="CU29" i="49"/>
  <c r="AP27" i="49"/>
  <c r="R27" i="49"/>
  <c r="T29" i="49"/>
  <c r="BC27" i="49"/>
  <c r="P29" i="49"/>
  <c r="CM27" i="49"/>
  <c r="BT29" i="49"/>
  <c r="CE27" i="49"/>
  <c r="AB27" i="49"/>
  <c r="AB29" i="49"/>
  <c r="CW27" i="49"/>
  <c r="CL29" i="49"/>
  <c r="CL27" i="49"/>
  <c r="DA27" i="49"/>
  <c r="C16" i="49"/>
  <c r="DG27" i="49"/>
  <c r="I29" i="49"/>
  <c r="BE29" i="49"/>
  <c r="DQ27" i="49"/>
  <c r="DH27" i="49"/>
  <c r="AU29" i="49"/>
  <c r="DK29" i="49"/>
  <c r="AT27" i="49"/>
  <c r="CG27" i="49"/>
  <c r="BJ29" i="49"/>
  <c r="AL29" i="49"/>
  <c r="DD27" i="49"/>
  <c r="AJ29" i="49"/>
  <c r="AD27" i="49"/>
  <c r="AF29" i="49"/>
  <c r="CP27" i="49"/>
  <c r="CG29" i="49"/>
  <c r="CA29" i="49"/>
  <c r="BN27" i="49"/>
  <c r="CC29" i="49"/>
  <c r="CK27" i="49"/>
  <c r="X29" i="49"/>
  <c r="CC27" i="49"/>
  <c r="U29" i="49"/>
  <c r="AE29" i="49"/>
  <c r="BH27" i="49"/>
  <c r="DG29" i="49"/>
  <c r="DT29" i="49"/>
  <c r="CH29" i="49"/>
  <c r="BZ27" i="49"/>
  <c r="AI27" i="49"/>
  <c r="F29" i="49"/>
  <c r="BO29" i="49"/>
  <c r="BB27" i="49"/>
  <c r="BE27" i="49"/>
  <c r="DP29" i="49"/>
  <c r="DB29" i="49"/>
  <c r="CU27" i="49"/>
  <c r="S27" i="49"/>
  <c r="AA29" i="49"/>
  <c r="L29" i="49"/>
  <c r="AG27" i="49"/>
  <c r="DN29" i="49"/>
  <c r="CS27" i="49"/>
  <c r="CM29" i="49"/>
  <c r="BI27" i="49"/>
  <c r="AH29" i="49"/>
  <c r="CI27" i="49"/>
  <c r="CY27" i="49"/>
  <c r="AK29" i="49"/>
  <c r="K27" i="49"/>
  <c r="AR29" i="49"/>
  <c r="AL27" i="49"/>
  <c r="DH29" i="49"/>
  <c r="DJ27" i="49"/>
  <c r="BS27" i="49"/>
  <c r="AV29" i="49"/>
  <c r="BV29" i="49"/>
  <c r="BL27" i="49"/>
  <c r="CK15" i="49"/>
  <c r="AW15" i="49"/>
  <c r="Z15" i="49"/>
  <c r="BG15" i="49"/>
  <c r="BH15" i="49"/>
  <c r="BT15" i="49"/>
  <c r="AY15" i="49"/>
  <c r="AG15" i="49"/>
  <c r="AA15" i="49"/>
  <c r="CM15" i="49"/>
  <c r="DF15" i="49"/>
  <c r="CO15" i="49"/>
  <c r="DD15" i="49"/>
  <c r="BV15" i="49"/>
  <c r="AU40" i="30"/>
  <c r="AO37" i="30"/>
  <c r="AO24" i="30"/>
  <c r="AO26" i="30"/>
  <c r="AV7" i="30"/>
  <c r="AV17" i="30"/>
  <c r="AO36" i="30"/>
  <c r="AV8" i="30"/>
  <c r="AW13" i="30"/>
  <c r="AV13" i="30"/>
  <c r="AV9" i="30"/>
  <c r="AO28" i="30"/>
  <c r="AV16" i="30"/>
  <c r="AV5" i="30"/>
  <c r="AV31" i="30"/>
  <c r="AV10" i="30"/>
  <c r="AW10" i="30"/>
  <c r="AV20" i="30"/>
  <c r="AO27" i="30"/>
  <c r="AV35" i="30"/>
  <c r="BW12" i="48"/>
  <c r="BK6" i="48"/>
  <c r="BL6" i="48" s="1"/>
  <c r="BM6" i="48" s="1"/>
  <c r="BN6" i="48" s="1"/>
  <c r="BO6" i="48" s="1"/>
  <c r="BP6" i="48" s="1"/>
  <c r="BQ6" i="48" s="1"/>
  <c r="BJ1" i="48"/>
  <c r="DG12" i="48"/>
  <c r="DR12" i="48"/>
  <c r="AA12" i="48"/>
  <c r="L12" i="48"/>
  <c r="CI12" i="48"/>
  <c r="DT12" i="48"/>
  <c r="AS12" i="48"/>
  <c r="R12" i="48"/>
  <c r="Z12" i="48"/>
  <c r="BM12" i="48"/>
  <c r="CX12" i="48"/>
  <c r="AB12" i="48"/>
  <c r="F12" i="48"/>
  <c r="CJ12" i="48"/>
  <c r="AT12" i="48"/>
  <c r="DQ12" i="48"/>
  <c r="AG12" i="48"/>
  <c r="BB12" i="48"/>
  <c r="CZ12" i="48"/>
  <c r="M12" i="48"/>
  <c r="BY12" i="48"/>
  <c r="AO12" i="48"/>
  <c r="DS12" i="48"/>
  <c r="P12" i="48"/>
  <c r="S12" i="48"/>
  <c r="CP12" i="48"/>
  <c r="K12" i="48"/>
  <c r="DH12" i="48"/>
  <c r="DD12" i="48"/>
  <c r="CM12" i="48"/>
  <c r="BH12" i="48"/>
  <c r="DB12" i="48"/>
  <c r="CD12" i="48"/>
  <c r="CK12" i="48"/>
  <c r="AI12" i="48"/>
  <c r="AM12" i="48"/>
  <c r="Y12" i="48"/>
  <c r="W12" i="48"/>
  <c r="CA12" i="48"/>
  <c r="BI12" i="48"/>
  <c r="CL12" i="48"/>
  <c r="CB12" i="48"/>
  <c r="CS12" i="48"/>
  <c r="BS12" i="48"/>
  <c r="BK12" i="48"/>
  <c r="AF12" i="48"/>
  <c r="AZ12" i="48"/>
  <c r="CU12" i="48"/>
  <c r="AK12" i="48"/>
  <c r="AV12" i="48"/>
  <c r="BC12" i="48"/>
  <c r="BZ12" i="48"/>
  <c r="CR12" i="48"/>
  <c r="CE12" i="48"/>
  <c r="X12" i="48"/>
  <c r="CY12" i="48"/>
  <c r="DO12" i="48"/>
  <c r="AW12" i="48"/>
  <c r="BN12" i="48"/>
  <c r="BR12" i="48"/>
  <c r="CF12" i="48"/>
  <c r="DP12" i="48"/>
  <c r="DI12" i="48"/>
  <c r="AH12" i="48"/>
  <c r="Q12" i="48"/>
  <c r="AQ12" i="48"/>
  <c r="CQ12" i="48"/>
  <c r="DN12" i="48"/>
  <c r="DF12" i="48"/>
  <c r="CG12" i="48"/>
  <c r="AP12" i="48"/>
  <c r="AY12" i="48"/>
  <c r="N12" i="48"/>
  <c r="BV12" i="48"/>
  <c r="BE12" i="48"/>
  <c r="BJ12" i="48"/>
  <c r="G12" i="48"/>
  <c r="BQ12" i="48"/>
  <c r="BU12" i="48"/>
  <c r="AU12" i="48"/>
  <c r="BA12" i="48"/>
  <c r="BF12" i="48"/>
  <c r="DK12" i="48"/>
  <c r="BG12" i="48"/>
  <c r="DJ12" i="48"/>
  <c r="AR12" i="48"/>
  <c r="CO12" i="48"/>
  <c r="DL12" i="48"/>
  <c r="AC12" i="48"/>
  <c r="AL12" i="48"/>
  <c r="DE12" i="48"/>
  <c r="CC12" i="48"/>
  <c r="O12" i="48"/>
  <c r="BT12" i="48"/>
  <c r="BX12" i="48"/>
  <c r="H12" i="48"/>
  <c r="U12" i="48"/>
  <c r="DM12" i="48"/>
  <c r="V12" i="48"/>
  <c r="BP12" i="48"/>
  <c r="AD12" i="48"/>
  <c r="CW12" i="48"/>
  <c r="AN12" i="48"/>
  <c r="CV12" i="48"/>
  <c r="E13" i="48"/>
  <c r="C14" i="48" s="1"/>
  <c r="DC12" i="48"/>
  <c r="DA12" i="48"/>
  <c r="AX12" i="48"/>
  <c r="AE12" i="48"/>
  <c r="BO12" i="48"/>
  <c r="CN12" i="48"/>
  <c r="I12" i="48"/>
  <c r="BL12" i="48"/>
  <c r="CT12" i="48"/>
  <c r="J12" i="48"/>
  <c r="BD12" i="48"/>
  <c r="CH12" i="48"/>
  <c r="T12" i="48"/>
  <c r="AJ12" i="48"/>
  <c r="BC1" i="49"/>
  <c r="BD6" i="49"/>
  <c r="BE6" i="49" s="1"/>
  <c r="BF6" i="49" s="1"/>
  <c r="BG6" i="49" s="1"/>
  <c r="BH6" i="49" s="1"/>
  <c r="BI6" i="49" s="1"/>
  <c r="BJ6" i="49" s="1"/>
  <c r="E12" i="61" l="1"/>
  <c r="C13" i="61" s="1"/>
  <c r="AW53" i="58"/>
  <c r="AW7" i="58"/>
  <c r="AW19" i="58"/>
  <c r="AW10" i="58"/>
  <c r="AW63" i="58"/>
  <c r="AW56" i="58"/>
  <c r="AW18" i="58"/>
  <c r="AW55" i="58"/>
  <c r="AW20" i="58"/>
  <c r="AW52" i="58"/>
  <c r="AW61" i="58"/>
  <c r="AW23" i="58"/>
  <c r="AW46" i="58"/>
  <c r="AW6" i="58"/>
  <c r="AW37" i="58"/>
  <c r="AW9" i="58"/>
  <c r="AW67" i="58"/>
  <c r="AW58" i="58"/>
  <c r="AU68" i="30"/>
  <c r="AV68" i="30" s="1"/>
  <c r="AW68" i="30" s="1"/>
  <c r="AW33" i="30"/>
  <c r="AW11" i="30"/>
  <c r="D20" i="54"/>
  <c r="DO6" i="54"/>
  <c r="DP6" i="54" s="1"/>
  <c r="DQ6" i="54" s="1"/>
  <c r="DR6" i="54" s="1"/>
  <c r="DS6" i="54" s="1"/>
  <c r="DT6" i="54" s="1"/>
  <c r="DU6" i="54" s="1"/>
  <c r="DN1" i="54"/>
  <c r="AW30" i="30"/>
  <c r="AW21" i="30"/>
  <c r="AV34" i="30"/>
  <c r="AR29" i="30"/>
  <c r="BJ1" i="46"/>
  <c r="BK6" i="46"/>
  <c r="BL6" i="46" s="1"/>
  <c r="BM6" i="46" s="1"/>
  <c r="BN6" i="46" s="1"/>
  <c r="BO6" i="46" s="1"/>
  <c r="BP6" i="46" s="1"/>
  <c r="BQ6" i="46" s="1"/>
  <c r="E16" i="49"/>
  <c r="C17" i="49" s="1"/>
  <c r="AR37" i="30"/>
  <c r="AV40" i="30"/>
  <c r="AR24" i="30"/>
  <c r="AR26" i="30"/>
  <c r="AW16" i="30"/>
  <c r="AW8" i="30"/>
  <c r="AW20" i="30"/>
  <c r="AR36" i="30"/>
  <c r="AW35" i="30"/>
  <c r="AW31" i="30"/>
  <c r="AW9" i="30"/>
  <c r="AW25" i="30"/>
  <c r="AW17" i="30"/>
  <c r="AW7" i="30"/>
  <c r="AR27" i="30"/>
  <c r="AW5" i="30"/>
  <c r="AR28" i="30"/>
  <c r="P13" i="48"/>
  <c r="CY13" i="48"/>
  <c r="X13" i="48"/>
  <c r="DK13" i="48"/>
  <c r="BP13" i="48"/>
  <c r="K13" i="48"/>
  <c r="BR6" i="48"/>
  <c r="BS6" i="48" s="1"/>
  <c r="BT6" i="48" s="1"/>
  <c r="BU6" i="48" s="1"/>
  <c r="BV6" i="48" s="1"/>
  <c r="BW6" i="48" s="1"/>
  <c r="BX6" i="48" s="1"/>
  <c r="BQ1" i="48"/>
  <c r="CQ13" i="48"/>
  <c r="AN13" i="48"/>
  <c r="CF13" i="48"/>
  <c r="CW13" i="48"/>
  <c r="DN13" i="48"/>
  <c r="DQ13" i="48"/>
  <c r="BW13" i="48"/>
  <c r="Y13" i="48"/>
  <c r="BE13" i="48"/>
  <c r="DF13" i="48"/>
  <c r="CV13" i="48"/>
  <c r="AM13" i="48"/>
  <c r="DS13" i="48"/>
  <c r="AC13" i="48"/>
  <c r="AB13" i="48"/>
  <c r="BN13" i="48"/>
  <c r="BJ13" i="48"/>
  <c r="O13" i="48"/>
  <c r="AS13" i="48"/>
  <c r="M13" i="48"/>
  <c r="BD13" i="48"/>
  <c r="J13" i="48"/>
  <c r="DH13" i="48"/>
  <c r="BL13" i="48"/>
  <c r="AX13" i="48"/>
  <c r="DL13" i="48"/>
  <c r="DO13" i="48"/>
  <c r="DM13" i="48"/>
  <c r="BZ13" i="48"/>
  <c r="BK13" i="48"/>
  <c r="AV13" i="48"/>
  <c r="AU13" i="48"/>
  <c r="AG13" i="48"/>
  <c r="DR13" i="48"/>
  <c r="F13" i="48"/>
  <c r="CN13" i="48"/>
  <c r="BG13" i="48"/>
  <c r="BQ13" i="48"/>
  <c r="BU13" i="48"/>
  <c r="CJ13" i="48"/>
  <c r="AT13" i="48"/>
  <c r="CZ13" i="48"/>
  <c r="AJ13" i="48"/>
  <c r="DC13" i="48"/>
  <c r="CA13" i="48"/>
  <c r="AW13" i="48"/>
  <c r="CE13" i="48"/>
  <c r="AD13" i="48"/>
  <c r="BO13" i="48"/>
  <c r="AI13" i="48"/>
  <c r="AZ13" i="48"/>
  <c r="BV13" i="48"/>
  <c r="AH13" i="48"/>
  <c r="BT13" i="48"/>
  <c r="CM13" i="48"/>
  <c r="BM13" i="48"/>
  <c r="DG13" i="48"/>
  <c r="BR13" i="48"/>
  <c r="Q13" i="48"/>
  <c r="CU13" i="48"/>
  <c r="AO13" i="48"/>
  <c r="N13" i="48"/>
  <c r="AK13" i="48"/>
  <c r="R13" i="48"/>
  <c r="CL13" i="48"/>
  <c r="AR13" i="48"/>
  <c r="DE13" i="48"/>
  <c r="BB13" i="48"/>
  <c r="T13" i="48"/>
  <c r="CP13" i="48"/>
  <c r="BY13" i="48"/>
  <c r="BS13" i="48"/>
  <c r="G13" i="48"/>
  <c r="CR13" i="48"/>
  <c r="DB13" i="48"/>
  <c r="BH13" i="48"/>
  <c r="BC13" i="48"/>
  <c r="DJ13" i="48"/>
  <c r="CH13" i="48"/>
  <c r="BI13" i="48"/>
  <c r="U13" i="48"/>
  <c r="DP13" i="48"/>
  <c r="AP13" i="48"/>
  <c r="H13" i="48"/>
  <c r="V13" i="48"/>
  <c r="AF13" i="48"/>
  <c r="AA13" i="48"/>
  <c r="DT13" i="48"/>
  <c r="BF13" i="48"/>
  <c r="DD13" i="48"/>
  <c r="CS13" i="48"/>
  <c r="CK13" i="48"/>
  <c r="CO13" i="48"/>
  <c r="CT13" i="48"/>
  <c r="AL13" i="48"/>
  <c r="I13" i="48"/>
  <c r="Z13" i="48"/>
  <c r="W13" i="48"/>
  <c r="AE13" i="48"/>
  <c r="CC13" i="48"/>
  <c r="CD13" i="48"/>
  <c r="DA13" i="48"/>
  <c r="CX13" i="48"/>
  <c r="BA13" i="48"/>
  <c r="CB13" i="48"/>
  <c r="CI13" i="48"/>
  <c r="BX13" i="48"/>
  <c r="AQ13" i="48"/>
  <c r="CG13" i="48"/>
  <c r="S13" i="48"/>
  <c r="AY13" i="48"/>
  <c r="DI13" i="48"/>
  <c r="L13" i="48"/>
  <c r="E14" i="48"/>
  <c r="C15" i="48" s="1"/>
  <c r="BK6" i="49"/>
  <c r="BL6" i="49" s="1"/>
  <c r="BM6" i="49" s="1"/>
  <c r="BN6" i="49" s="1"/>
  <c r="BO6" i="49" s="1"/>
  <c r="BP6" i="49" s="1"/>
  <c r="BQ6" i="49" s="1"/>
  <c r="BJ1" i="49"/>
  <c r="F12" i="61" l="1"/>
  <c r="CQ12" i="61"/>
  <c r="BS12" i="61"/>
  <c r="CH12" i="61"/>
  <c r="CI12" i="61"/>
  <c r="BC12" i="61"/>
  <c r="BI12" i="61"/>
  <c r="BV12" i="61"/>
  <c r="AS12" i="61"/>
  <c r="I12" i="61"/>
  <c r="Q12" i="61"/>
  <c r="CE12" i="61"/>
  <c r="CU12" i="61"/>
  <c r="DK12" i="61"/>
  <c r="Z12" i="61"/>
  <c r="AA12" i="61"/>
  <c r="CS12" i="61"/>
  <c r="AQ12" i="61"/>
  <c r="N12" i="61"/>
  <c r="AK12" i="61"/>
  <c r="AL12" i="61"/>
  <c r="BJ12" i="61"/>
  <c r="BB12" i="61"/>
  <c r="Y12" i="61"/>
  <c r="P12" i="61"/>
  <c r="BM12" i="61"/>
  <c r="CM12" i="61"/>
  <c r="X12" i="61"/>
  <c r="DC12" i="61"/>
  <c r="CT12" i="61"/>
  <c r="W12" i="61"/>
  <c r="DA12" i="61"/>
  <c r="CB12" i="61"/>
  <c r="DQ12" i="61"/>
  <c r="BK12" i="61"/>
  <c r="AH12" i="61"/>
  <c r="DN12" i="61"/>
  <c r="T12" i="61"/>
  <c r="CJ12" i="61"/>
  <c r="AB12" i="61"/>
  <c r="G12" i="61"/>
  <c r="J12" i="61"/>
  <c r="BW12" i="61"/>
  <c r="AI12" i="61"/>
  <c r="DO12" i="61"/>
  <c r="CF12" i="61"/>
  <c r="BY12" i="61"/>
  <c r="CN12" i="61"/>
  <c r="E13" i="61"/>
  <c r="C14" i="61" s="1"/>
  <c r="CP12" i="61"/>
  <c r="DM12" i="61"/>
  <c r="BL12" i="61"/>
  <c r="DS12" i="61"/>
  <c r="BP12" i="61"/>
  <c r="O12" i="61"/>
  <c r="DB12" i="61"/>
  <c r="H12" i="61"/>
  <c r="BT12" i="61"/>
  <c r="L12" i="61"/>
  <c r="BX12" i="61"/>
  <c r="AW12" i="61"/>
  <c r="R12" i="61"/>
  <c r="DF12" i="61"/>
  <c r="U12" i="61"/>
  <c r="DI12" i="61"/>
  <c r="CK12" i="61"/>
  <c r="BN12" i="61"/>
  <c r="AT12" i="61"/>
  <c r="AD12" i="61"/>
  <c r="AU12" i="61"/>
  <c r="CG12" i="61"/>
  <c r="AF12" i="61"/>
  <c r="CR12" i="61"/>
  <c r="AJ12" i="61"/>
  <c r="CV12" i="61"/>
  <c r="BG12" i="61"/>
  <c r="AC12" i="61"/>
  <c r="DR12" i="61"/>
  <c r="AE12" i="61"/>
  <c r="K12" i="61"/>
  <c r="CX12" i="61"/>
  <c r="BZ12" i="61"/>
  <c r="BE12" i="61"/>
  <c r="AY12" i="61"/>
  <c r="BF12" i="61"/>
  <c r="CO12" i="61"/>
  <c r="AN12" i="61"/>
  <c r="CZ12" i="61"/>
  <c r="AR12" i="61"/>
  <c r="DD12" i="61"/>
  <c r="BR12" i="61"/>
  <c r="AM12" i="61"/>
  <c r="S12" i="61"/>
  <c r="AP12" i="61"/>
  <c r="V12" i="61"/>
  <c r="DJ12" i="61"/>
  <c r="CL12" i="61"/>
  <c r="BO12" i="61"/>
  <c r="BU12" i="61"/>
  <c r="BQ12" i="61"/>
  <c r="CW12" i="61"/>
  <c r="AV12" i="61"/>
  <c r="DH12" i="61"/>
  <c r="AZ12" i="61"/>
  <c r="DL12" i="61"/>
  <c r="CD12" i="61"/>
  <c r="AX12" i="61"/>
  <c r="AO12" i="61"/>
  <c r="BA12" i="61"/>
  <c r="AG12" i="61"/>
  <c r="M12" i="61"/>
  <c r="CY12" i="61"/>
  <c r="CA12" i="61"/>
  <c r="DG12" i="61"/>
  <c r="CC12" i="61"/>
  <c r="DE12" i="61"/>
  <c r="BD12" i="61"/>
  <c r="DP12" i="61"/>
  <c r="BH12" i="61"/>
  <c r="DT12" i="61"/>
  <c r="DV6" i="54"/>
  <c r="DW6" i="54" s="1"/>
  <c r="DX6" i="54" s="1"/>
  <c r="DY6" i="54" s="1"/>
  <c r="DZ6" i="54" s="1"/>
  <c r="EA6" i="54" s="1"/>
  <c r="EB6" i="54" s="1"/>
  <c r="DU1" i="54"/>
  <c r="CQ16" i="49"/>
  <c r="CR16" i="49"/>
  <c r="DF16" i="49"/>
  <c r="AR16" i="49"/>
  <c r="BT16" i="49"/>
  <c r="DC16" i="49"/>
  <c r="BD16" i="49"/>
  <c r="AP16" i="49"/>
  <c r="AU16" i="49"/>
  <c r="CI16" i="49"/>
  <c r="BS16" i="49"/>
  <c r="K16" i="49"/>
  <c r="DB16" i="49"/>
  <c r="DA16" i="49"/>
  <c r="AV16" i="49"/>
  <c r="BC16" i="49"/>
  <c r="BK16" i="49"/>
  <c r="BI16" i="49"/>
  <c r="BY16" i="49"/>
  <c r="BQ16" i="49"/>
  <c r="CT16" i="49"/>
  <c r="CE16" i="49"/>
  <c r="AD16" i="49"/>
  <c r="CV16" i="49"/>
  <c r="CP16" i="49"/>
  <c r="DQ16" i="49"/>
  <c r="AW16" i="49"/>
  <c r="BJ16" i="49"/>
  <c r="CB16" i="49"/>
  <c r="DJ16" i="49"/>
  <c r="AG16" i="49"/>
  <c r="AQ16" i="49"/>
  <c r="I16" i="49"/>
  <c r="CJ16" i="49"/>
  <c r="Q16" i="49"/>
  <c r="DI16" i="49"/>
  <c r="V16" i="49"/>
  <c r="AI16" i="49"/>
  <c r="S16" i="49"/>
  <c r="AZ16" i="49"/>
  <c r="BU16" i="49"/>
  <c r="AK16" i="49"/>
  <c r="O16" i="49"/>
  <c r="CF16" i="49"/>
  <c r="AA16" i="49"/>
  <c r="CX16" i="49"/>
  <c r="DN16" i="49"/>
  <c r="CO16" i="49"/>
  <c r="CG16" i="49"/>
  <c r="BA16" i="49"/>
  <c r="BX16" i="49"/>
  <c r="DP16" i="49"/>
  <c r="X16" i="49"/>
  <c r="CC16" i="49"/>
  <c r="P16" i="49"/>
  <c r="J16" i="49"/>
  <c r="DG16" i="49"/>
  <c r="AC16" i="49"/>
  <c r="BR16" i="49"/>
  <c r="T16" i="49"/>
  <c r="N16" i="49"/>
  <c r="AY16" i="49"/>
  <c r="R16" i="49"/>
  <c r="DO16" i="49"/>
  <c r="AL16" i="49"/>
  <c r="CU16" i="49"/>
  <c r="AB16" i="49"/>
  <c r="BG16" i="49"/>
  <c r="BL16" i="49"/>
  <c r="BV16" i="49"/>
  <c r="BW16" i="49"/>
  <c r="CY16" i="49"/>
  <c r="AX16" i="49"/>
  <c r="M16" i="49"/>
  <c r="BO16" i="49"/>
  <c r="BF16" i="49"/>
  <c r="CS16" i="49"/>
  <c r="CL16" i="49"/>
  <c r="CZ16" i="49"/>
  <c r="BH16" i="49"/>
  <c r="AN16" i="49"/>
  <c r="DR16" i="49"/>
  <c r="AE16" i="49"/>
  <c r="AT16" i="49"/>
  <c r="H16" i="49"/>
  <c r="CA16" i="49"/>
  <c r="AM16" i="49"/>
  <c r="BN16" i="49"/>
  <c r="AS16" i="49"/>
  <c r="U16" i="49"/>
  <c r="AH16" i="49"/>
  <c r="Y16" i="49"/>
  <c r="BZ16" i="49"/>
  <c r="DH16" i="49"/>
  <c r="G16" i="49"/>
  <c r="W16" i="49"/>
  <c r="DT16" i="49"/>
  <c r="DD16" i="49"/>
  <c r="DK16" i="49"/>
  <c r="CW16" i="49"/>
  <c r="CD16" i="49"/>
  <c r="F16" i="49"/>
  <c r="L16" i="49"/>
  <c r="BM16" i="49"/>
  <c r="CK16" i="49"/>
  <c r="BB16" i="49"/>
  <c r="BE16" i="49"/>
  <c r="CH16" i="49"/>
  <c r="DS16" i="49"/>
  <c r="DM16" i="49"/>
  <c r="CN16" i="49"/>
  <c r="CM16" i="49"/>
  <c r="Z16" i="49"/>
  <c r="AJ16" i="49"/>
  <c r="BP16" i="49"/>
  <c r="DE16" i="49"/>
  <c r="DL16" i="49"/>
  <c r="AO16" i="49"/>
  <c r="AF16" i="49"/>
  <c r="AW34" i="30"/>
  <c r="AU37" i="30"/>
  <c r="AU29" i="30"/>
  <c r="BQ1" i="46"/>
  <c r="BR6" i="46"/>
  <c r="BS6" i="46" s="1"/>
  <c r="BT6" i="46" s="1"/>
  <c r="BU6" i="46" s="1"/>
  <c r="BV6" i="46" s="1"/>
  <c r="BW6" i="46" s="1"/>
  <c r="BX6" i="46" s="1"/>
  <c r="E17" i="49"/>
  <c r="G17" i="49" s="1"/>
  <c r="AU24" i="30"/>
  <c r="AW40" i="30"/>
  <c r="AU26" i="30"/>
  <c r="AU28" i="30"/>
  <c r="AU27" i="30"/>
  <c r="AU36" i="30"/>
  <c r="BX1" i="48"/>
  <c r="BY6" i="48"/>
  <c r="BZ6" i="48" s="1"/>
  <c r="CA6" i="48" s="1"/>
  <c r="CB6" i="48" s="1"/>
  <c r="CC6" i="48" s="1"/>
  <c r="CD6" i="48" s="1"/>
  <c r="CE6" i="48" s="1"/>
  <c r="X14" i="48"/>
  <c r="DG14" i="48"/>
  <c r="AS14" i="48"/>
  <c r="AV14" i="48"/>
  <c r="BC14" i="48"/>
  <c r="H14" i="48"/>
  <c r="P14" i="48"/>
  <c r="DP14" i="48"/>
  <c r="AL14" i="48"/>
  <c r="DE14" i="48"/>
  <c r="AB14" i="48"/>
  <c r="BY14" i="48"/>
  <c r="CK14" i="48"/>
  <c r="BO14" i="48"/>
  <c r="CL14" i="48"/>
  <c r="BD14" i="48"/>
  <c r="CI14" i="48"/>
  <c r="AO14" i="48"/>
  <c r="DD14" i="48"/>
  <c r="DQ14" i="48"/>
  <c r="L14" i="48"/>
  <c r="V14" i="48"/>
  <c r="CM14" i="48"/>
  <c r="BS14" i="48"/>
  <c r="AQ14" i="48"/>
  <c r="Q14" i="48"/>
  <c r="BG14" i="48"/>
  <c r="U14" i="48"/>
  <c r="J14" i="48"/>
  <c r="BT14" i="48"/>
  <c r="CR14" i="48"/>
  <c r="AM14" i="48"/>
  <c r="BA14" i="48"/>
  <c r="M14" i="48"/>
  <c r="CZ14" i="48"/>
  <c r="Z14" i="48"/>
  <c r="W14" i="48"/>
  <c r="AY14" i="48"/>
  <c r="CE14" i="48"/>
  <c r="AP14" i="48"/>
  <c r="AK14" i="48"/>
  <c r="CA14" i="48"/>
  <c r="CN14" i="48"/>
  <c r="CQ14" i="48"/>
  <c r="BQ14" i="48"/>
  <c r="DN14" i="48"/>
  <c r="BZ14" i="48"/>
  <c r="BU14" i="48"/>
  <c r="DM14" i="48"/>
  <c r="F14" i="48"/>
  <c r="AX14" i="48"/>
  <c r="AG14" i="48"/>
  <c r="DJ14" i="48"/>
  <c r="BP14" i="48"/>
  <c r="S14" i="48"/>
  <c r="CW14" i="48"/>
  <c r="CD14" i="48"/>
  <c r="BE14" i="48"/>
  <c r="CB14" i="48"/>
  <c r="BF14" i="48"/>
  <c r="N14" i="48"/>
  <c r="K14" i="48"/>
  <c r="AW14" i="48"/>
  <c r="AJ14" i="48"/>
  <c r="BK14" i="48"/>
  <c r="DB14" i="48"/>
  <c r="BJ14" i="48"/>
  <c r="CT14" i="48"/>
  <c r="AZ14" i="48"/>
  <c r="AA14" i="48"/>
  <c r="AH14" i="48"/>
  <c r="CJ14" i="48"/>
  <c r="BW14" i="48"/>
  <c r="CF14" i="48"/>
  <c r="DL14" i="48"/>
  <c r="CS14" i="48"/>
  <c r="BM14" i="48"/>
  <c r="AF14" i="48"/>
  <c r="AT14" i="48"/>
  <c r="R14" i="48"/>
  <c r="BN14" i="48"/>
  <c r="BR14" i="48"/>
  <c r="BI14" i="48"/>
  <c r="DT14" i="48"/>
  <c r="T14" i="48"/>
  <c r="DA14" i="48"/>
  <c r="G14" i="48"/>
  <c r="DF14" i="48"/>
  <c r="CC14" i="48"/>
  <c r="DO14" i="48"/>
  <c r="CH14" i="48"/>
  <c r="DS14" i="48"/>
  <c r="AI14" i="48"/>
  <c r="AN14" i="48"/>
  <c r="CX14" i="48"/>
  <c r="CY14" i="48"/>
  <c r="BL14" i="48"/>
  <c r="DK14" i="48"/>
  <c r="AE14" i="48"/>
  <c r="CP14" i="48"/>
  <c r="DI14" i="48"/>
  <c r="BH14" i="48"/>
  <c r="CO14" i="48"/>
  <c r="CU14" i="48"/>
  <c r="AR14" i="48"/>
  <c r="Y14" i="48"/>
  <c r="AU14" i="48"/>
  <c r="BB14" i="48"/>
  <c r="CG14" i="48"/>
  <c r="O14" i="48"/>
  <c r="DR14" i="48"/>
  <c r="AC14" i="48"/>
  <c r="DH14" i="48"/>
  <c r="CV14" i="48"/>
  <c r="BV14" i="48"/>
  <c r="AD14" i="48"/>
  <c r="I14" i="48"/>
  <c r="DC14" i="48"/>
  <c r="C27" i="48"/>
  <c r="C29" i="48"/>
  <c r="E15" i="48"/>
  <c r="BM15" i="48" s="1"/>
  <c r="BX14" i="48"/>
  <c r="BR6" i="49"/>
  <c r="BS6" i="49" s="1"/>
  <c r="BT6" i="49" s="1"/>
  <c r="BU6" i="49" s="1"/>
  <c r="BV6" i="49" s="1"/>
  <c r="BW6" i="49" s="1"/>
  <c r="BX6" i="49" s="1"/>
  <c r="BQ1" i="49"/>
  <c r="CH13" i="61" l="1"/>
  <c r="CZ13" i="61"/>
  <c r="BC13" i="61"/>
  <c r="R13" i="61"/>
  <c r="CR13" i="61"/>
  <c r="CW13" i="61"/>
  <c r="AW13" i="61"/>
  <c r="I13" i="61"/>
  <c r="CL13" i="61"/>
  <c r="BM13" i="61"/>
  <c r="CO13" i="61"/>
  <c r="CT13" i="61"/>
  <c r="L13" i="61"/>
  <c r="CM13" i="61"/>
  <c r="U13" i="61"/>
  <c r="T13" i="61"/>
  <c r="AF13" i="61"/>
  <c r="BQ13" i="61"/>
  <c r="CV13" i="61"/>
  <c r="AV13" i="61"/>
  <c r="CG13" i="61"/>
  <c r="AU13" i="61"/>
  <c r="BL13" i="61"/>
  <c r="CC13" i="61"/>
  <c r="DP13" i="61"/>
  <c r="CK13" i="61"/>
  <c r="BH13" i="61"/>
  <c r="CA13" i="61"/>
  <c r="S13" i="61"/>
  <c r="CB13" i="61"/>
  <c r="CS13" i="61"/>
  <c r="AL13" i="61"/>
  <c r="DA13" i="61"/>
  <c r="BP13" i="61"/>
  <c r="CI13" i="61"/>
  <c r="AA13" i="61"/>
  <c r="BR13" i="61"/>
  <c r="BY13" i="61"/>
  <c r="CN13" i="61"/>
  <c r="J13" i="61"/>
  <c r="CE13" i="61"/>
  <c r="Q13" i="61"/>
  <c r="AK13" i="61"/>
  <c r="AN13" i="61"/>
  <c r="AD13" i="61"/>
  <c r="DM13" i="61"/>
  <c r="BF13" i="61"/>
  <c r="P13" i="61"/>
  <c r="AG13" i="61"/>
  <c r="BA13" i="61"/>
  <c r="BD13" i="61"/>
  <c r="AT13" i="61"/>
  <c r="G13" i="61"/>
  <c r="BN13" i="61"/>
  <c r="BT13" i="61"/>
  <c r="M13" i="61"/>
  <c r="CP13" i="61"/>
  <c r="BX13" i="61"/>
  <c r="O13" i="61"/>
  <c r="DG13" i="61"/>
  <c r="BV13" i="61"/>
  <c r="BO13" i="61"/>
  <c r="BB13" i="61"/>
  <c r="CJ13" i="61"/>
  <c r="AC13" i="61"/>
  <c r="DH13" i="61"/>
  <c r="CF13" i="61"/>
  <c r="W13" i="61"/>
  <c r="DO13" i="61"/>
  <c r="CD13" i="61"/>
  <c r="BW13" i="61"/>
  <c r="CX13" i="61"/>
  <c r="BE13" i="61"/>
  <c r="DF13" i="61"/>
  <c r="AB13" i="61"/>
  <c r="DT13" i="61"/>
  <c r="BK13" i="61"/>
  <c r="Z13" i="61"/>
  <c r="DR13" i="61"/>
  <c r="DQ13" i="61"/>
  <c r="BU13" i="61"/>
  <c r="N13" i="61"/>
  <c r="AJ13" i="61"/>
  <c r="DE13" i="61"/>
  <c r="BS13" i="61"/>
  <c r="AH13" i="61"/>
  <c r="K13" i="61"/>
  <c r="AI13" i="61"/>
  <c r="CU13" i="61"/>
  <c r="AQ13" i="61"/>
  <c r="DC13" i="61"/>
  <c r="DI13" i="61"/>
  <c r="DN13" i="61"/>
  <c r="F13" i="61"/>
  <c r="H13" i="61"/>
  <c r="Y13" i="61"/>
  <c r="AS13" i="61"/>
  <c r="BJ13" i="61"/>
  <c r="AR13" i="61"/>
  <c r="DD13" i="61"/>
  <c r="AE13" i="61"/>
  <c r="CQ13" i="61"/>
  <c r="AP13" i="61"/>
  <c r="DB13" i="61"/>
  <c r="AY13" i="61"/>
  <c r="DK13" i="61"/>
  <c r="E14" i="61"/>
  <c r="C15" i="61" s="1"/>
  <c r="V13" i="61"/>
  <c r="X13" i="61"/>
  <c r="AO13" i="61"/>
  <c r="BI13" i="61"/>
  <c r="BZ13" i="61"/>
  <c r="AZ13" i="61"/>
  <c r="DL13" i="61"/>
  <c r="AM13" i="61"/>
  <c r="CY13" i="61"/>
  <c r="AX13" i="61"/>
  <c r="DJ13" i="61"/>
  <c r="BG13" i="61"/>
  <c r="DS13" i="61"/>
  <c r="EB1" i="54"/>
  <c r="EC6" i="54"/>
  <c r="ED6" i="54" s="1"/>
  <c r="EE6" i="54" s="1"/>
  <c r="EF6" i="54" s="1"/>
  <c r="EG6" i="54" s="1"/>
  <c r="EH6" i="54" s="1"/>
  <c r="DC17" i="49"/>
  <c r="BU17" i="49"/>
  <c r="AD17" i="49"/>
  <c r="BT17" i="49"/>
  <c r="BD17" i="49"/>
  <c r="AS17" i="49"/>
  <c r="CE17" i="49"/>
  <c r="Y17" i="49"/>
  <c r="DB17" i="49"/>
  <c r="AV37" i="30"/>
  <c r="AV29" i="30"/>
  <c r="BX1" i="46"/>
  <c r="BY6" i="46"/>
  <c r="BZ6" i="46" s="1"/>
  <c r="CA6" i="46" s="1"/>
  <c r="CB6" i="46" s="1"/>
  <c r="CC6" i="46" s="1"/>
  <c r="CD6" i="46" s="1"/>
  <c r="CE6" i="46" s="1"/>
  <c r="BK17" i="49"/>
  <c r="W17" i="49"/>
  <c r="DE17" i="49"/>
  <c r="Q17" i="49"/>
  <c r="CK17" i="49"/>
  <c r="AM17" i="49"/>
  <c r="CO17" i="49"/>
  <c r="BV17" i="49"/>
  <c r="CV17" i="49"/>
  <c r="AW17" i="49"/>
  <c r="AB17" i="49"/>
  <c r="O17" i="49"/>
  <c r="AR17" i="49"/>
  <c r="BH17" i="49"/>
  <c r="BZ17" i="49"/>
  <c r="CF17" i="49"/>
  <c r="DH17" i="49"/>
  <c r="DP17" i="49"/>
  <c r="C18" i="49"/>
  <c r="C31" i="49"/>
  <c r="AV31" i="49"/>
  <c r="BK31" i="49"/>
  <c r="DC31" i="49"/>
  <c r="DI31" i="49"/>
  <c r="CY31" i="49"/>
  <c r="AB31" i="49"/>
  <c r="BN31" i="49"/>
  <c r="J31" i="49"/>
  <c r="DD31" i="49"/>
  <c r="M31" i="49"/>
  <c r="AC31" i="49"/>
  <c r="CU31" i="49"/>
  <c r="DN31" i="49"/>
  <c r="DO31" i="49"/>
  <c r="BZ31" i="49"/>
  <c r="H31" i="49"/>
  <c r="BC31" i="49"/>
  <c r="S31" i="49"/>
  <c r="DA31" i="49"/>
  <c r="DQ31" i="49"/>
  <c r="BV31" i="49"/>
  <c r="CR31" i="49"/>
  <c r="P31" i="49"/>
  <c r="BL31" i="49"/>
  <c r="DF31" i="49"/>
  <c r="CK31" i="49"/>
  <c r="AR31" i="49"/>
  <c r="CH31" i="49"/>
  <c r="CI31" i="49"/>
  <c r="AZ31" i="49"/>
  <c r="AD31" i="49"/>
  <c r="AP31" i="49"/>
  <c r="BB31" i="49"/>
  <c r="DT31" i="49"/>
  <c r="DK31" i="49"/>
  <c r="DS31" i="49"/>
  <c r="CL31" i="49"/>
  <c r="CC31" i="49"/>
  <c r="BM31" i="49"/>
  <c r="W31" i="49"/>
  <c r="AW31" i="49"/>
  <c r="BU31" i="49"/>
  <c r="CP31" i="49"/>
  <c r="BX31" i="49"/>
  <c r="AJ31" i="49"/>
  <c r="AG31" i="49"/>
  <c r="K31" i="49"/>
  <c r="AA31" i="49"/>
  <c r="R31" i="49"/>
  <c r="DP31" i="49"/>
  <c r="CW31" i="49"/>
  <c r="CG31" i="49"/>
  <c r="BE31" i="49"/>
  <c r="BH31" i="49"/>
  <c r="O31" i="49"/>
  <c r="AH31" i="49"/>
  <c r="DR31" i="49"/>
  <c r="CF31" i="49"/>
  <c r="AO31" i="49"/>
  <c r="DG31" i="49"/>
  <c r="BR31" i="49"/>
  <c r="BG31" i="49"/>
  <c r="CA31" i="49"/>
  <c r="BA31" i="49"/>
  <c r="BI31" i="49"/>
  <c r="BY31" i="49"/>
  <c r="DH31" i="49"/>
  <c r="CQ31" i="49"/>
  <c r="CX31" i="49"/>
  <c r="I31" i="49"/>
  <c r="BS31" i="49"/>
  <c r="F31" i="49"/>
  <c r="BW31" i="49"/>
  <c r="CM31" i="49"/>
  <c r="AU31" i="49"/>
  <c r="AN31" i="49"/>
  <c r="AQ31" i="49"/>
  <c r="DE31" i="49"/>
  <c r="DB31" i="49"/>
  <c r="BP31" i="49"/>
  <c r="AM31" i="49"/>
  <c r="DJ31" i="49"/>
  <c r="L31" i="49"/>
  <c r="Y31" i="49"/>
  <c r="N31" i="49"/>
  <c r="V31" i="49"/>
  <c r="G31" i="49"/>
  <c r="AX31" i="49"/>
  <c r="AF31" i="49"/>
  <c r="AK31" i="49"/>
  <c r="CV31" i="49"/>
  <c r="Z31" i="49"/>
  <c r="CS31" i="49"/>
  <c r="AT31" i="49"/>
  <c r="Q31" i="49"/>
  <c r="AS31" i="49"/>
  <c r="CN31" i="49"/>
  <c r="BD31" i="49"/>
  <c r="AI31" i="49"/>
  <c r="CE31" i="49"/>
  <c r="AL31" i="49"/>
  <c r="BF31" i="49"/>
  <c r="U31" i="49"/>
  <c r="AY31" i="49"/>
  <c r="T31" i="49"/>
  <c r="BJ31" i="49"/>
  <c r="BQ31" i="49"/>
  <c r="CD31" i="49"/>
  <c r="BT31" i="49"/>
  <c r="CJ31" i="49"/>
  <c r="AE31" i="49"/>
  <c r="CB31" i="49"/>
  <c r="CO31" i="49"/>
  <c r="X31" i="49"/>
  <c r="BO31" i="49"/>
  <c r="CT31" i="49"/>
  <c r="DM31" i="49"/>
  <c r="DL31" i="49"/>
  <c r="CZ31" i="49"/>
  <c r="BG17" i="49"/>
  <c r="DF17" i="49"/>
  <c r="M17" i="49"/>
  <c r="CU17" i="49"/>
  <c r="AY17" i="49"/>
  <c r="CB17" i="49"/>
  <c r="BF17" i="49"/>
  <c r="V17" i="49"/>
  <c r="AI17" i="49"/>
  <c r="DK17" i="49"/>
  <c r="AA17" i="49"/>
  <c r="BP17" i="49"/>
  <c r="BM17" i="49"/>
  <c r="CP17" i="49"/>
  <c r="BC17" i="49"/>
  <c r="AF17" i="49"/>
  <c r="AG17" i="49"/>
  <c r="I17" i="49"/>
  <c r="DD17" i="49"/>
  <c r="T17" i="49"/>
  <c r="AL17" i="49"/>
  <c r="BW17" i="49"/>
  <c r="DQ17" i="49"/>
  <c r="CX17" i="49"/>
  <c r="BL17" i="49"/>
  <c r="CZ17" i="49"/>
  <c r="CH17" i="49"/>
  <c r="AJ17" i="49"/>
  <c r="DJ17" i="49"/>
  <c r="AO17" i="49"/>
  <c r="L17" i="49"/>
  <c r="CS17" i="49"/>
  <c r="DG17" i="49"/>
  <c r="BE17" i="49"/>
  <c r="X17" i="49"/>
  <c r="DM17" i="49"/>
  <c r="CW17" i="49"/>
  <c r="BQ17" i="49"/>
  <c r="BJ17" i="49"/>
  <c r="CJ17" i="49"/>
  <c r="BB17" i="49"/>
  <c r="P17" i="49"/>
  <c r="CI17" i="49"/>
  <c r="DA17" i="49"/>
  <c r="CC17" i="49"/>
  <c r="CM17" i="49"/>
  <c r="CN17" i="49"/>
  <c r="F17" i="49"/>
  <c r="AT17" i="49"/>
  <c r="DO17" i="49"/>
  <c r="AU17" i="49"/>
  <c r="DN17" i="49"/>
  <c r="CR17" i="49"/>
  <c r="H17" i="49"/>
  <c r="AV17" i="49"/>
  <c r="J17" i="49"/>
  <c r="U17" i="49"/>
  <c r="CL17" i="49"/>
  <c r="BA17" i="49"/>
  <c r="BY17" i="49"/>
  <c r="CQ17" i="49"/>
  <c r="N17" i="49"/>
  <c r="S17" i="49"/>
  <c r="CA17" i="49"/>
  <c r="DI17" i="49"/>
  <c r="AK17" i="49"/>
  <c r="BS17" i="49"/>
  <c r="K17" i="49"/>
  <c r="Z17" i="49"/>
  <c r="BO17" i="49"/>
  <c r="CD17" i="49"/>
  <c r="AN17" i="49"/>
  <c r="DL17" i="49"/>
  <c r="CG17" i="49"/>
  <c r="AX17" i="49"/>
  <c r="AZ17" i="49"/>
  <c r="DR17" i="49"/>
  <c r="AE17" i="49"/>
  <c r="BX17" i="49"/>
  <c r="AH17" i="49"/>
  <c r="CY17" i="49"/>
  <c r="AP17" i="49"/>
  <c r="AQ17" i="49"/>
  <c r="BN17" i="49"/>
  <c r="BR17" i="49"/>
  <c r="R17" i="49"/>
  <c r="AC17" i="49"/>
  <c r="BI17" i="49"/>
  <c r="CT17" i="49"/>
  <c r="AV26" i="30"/>
  <c r="AV24" i="30"/>
  <c r="AV28" i="30"/>
  <c r="AV36" i="30"/>
  <c r="AV27" i="30"/>
  <c r="BA15" i="48"/>
  <c r="CE1" i="48"/>
  <c r="CF6" i="48"/>
  <c r="CG6" i="48" s="1"/>
  <c r="CH6" i="48" s="1"/>
  <c r="CI6" i="48" s="1"/>
  <c r="CJ6" i="48" s="1"/>
  <c r="CK6" i="48" s="1"/>
  <c r="CL6" i="48" s="1"/>
  <c r="BC15" i="48"/>
  <c r="DD15" i="48"/>
  <c r="DB15" i="48"/>
  <c r="AF15" i="48"/>
  <c r="BO15" i="48"/>
  <c r="AD15" i="48"/>
  <c r="W15" i="48"/>
  <c r="CE15" i="48"/>
  <c r="AE15" i="48"/>
  <c r="BH15" i="48"/>
  <c r="DP15" i="48"/>
  <c r="F15" i="48"/>
  <c r="AG15" i="48"/>
  <c r="DR15" i="48"/>
  <c r="DO15" i="48"/>
  <c r="AO15" i="48"/>
  <c r="L15" i="48"/>
  <c r="AQ15" i="48"/>
  <c r="CJ15" i="48"/>
  <c r="DI15" i="48"/>
  <c r="DF15" i="48"/>
  <c r="AK15" i="48"/>
  <c r="N15" i="48"/>
  <c r="BZ15" i="48"/>
  <c r="DM15" i="48"/>
  <c r="BG15" i="48"/>
  <c r="BB15" i="48"/>
  <c r="J15" i="48"/>
  <c r="BK15" i="48"/>
  <c r="K15" i="48"/>
  <c r="CY15" i="48"/>
  <c r="R15" i="48"/>
  <c r="AP15" i="48"/>
  <c r="CK15" i="48"/>
  <c r="CM15" i="48"/>
  <c r="U15" i="48"/>
  <c r="CX15" i="48"/>
  <c r="AA15" i="48"/>
  <c r="AV15" i="48"/>
  <c r="S15" i="48"/>
  <c r="AH15" i="48"/>
  <c r="I15" i="48"/>
  <c r="CL15" i="48"/>
  <c r="AU15" i="48"/>
  <c r="CC15" i="48"/>
  <c r="AT15" i="48"/>
  <c r="CU15" i="48"/>
  <c r="BV15" i="48"/>
  <c r="BS15" i="48"/>
  <c r="T15" i="48"/>
  <c r="DC15" i="48"/>
  <c r="DL15" i="48"/>
  <c r="H15" i="48"/>
  <c r="AX15" i="48"/>
  <c r="BI15" i="48"/>
  <c r="BJ15" i="48"/>
  <c r="DS15" i="48"/>
  <c r="BD15" i="48"/>
  <c r="DH15" i="48"/>
  <c r="DT15" i="48"/>
  <c r="CI15" i="48"/>
  <c r="Z15" i="48"/>
  <c r="AB15" i="48"/>
  <c r="AN15" i="48"/>
  <c r="BE15" i="48"/>
  <c r="CV15" i="48"/>
  <c r="DG15" i="48"/>
  <c r="CG15" i="48"/>
  <c r="AL15" i="48"/>
  <c r="DQ15" i="48"/>
  <c r="CR15" i="48"/>
  <c r="DN15" i="48"/>
  <c r="BU15" i="48"/>
  <c r="AS15" i="48"/>
  <c r="Y15" i="48"/>
  <c r="BW15" i="48"/>
  <c r="DA15" i="48"/>
  <c r="M15" i="48"/>
  <c r="BN15" i="48"/>
  <c r="AZ15" i="48"/>
  <c r="BL15" i="48"/>
  <c r="CD15" i="48"/>
  <c r="O15" i="48"/>
  <c r="CO15" i="48"/>
  <c r="DJ15" i="48"/>
  <c r="DK15" i="48"/>
  <c r="AI15" i="48"/>
  <c r="CB15" i="48"/>
  <c r="CF15" i="48"/>
  <c r="CA15" i="48"/>
  <c r="AW15" i="48"/>
  <c r="BQ15" i="48"/>
  <c r="BX15" i="48"/>
  <c r="BT15" i="48"/>
  <c r="AR15" i="48"/>
  <c r="BT27" i="48"/>
  <c r="BN27" i="48"/>
  <c r="BV27" i="48"/>
  <c r="CC27" i="48"/>
  <c r="T27" i="48"/>
  <c r="AJ27" i="48"/>
  <c r="AW27" i="48"/>
  <c r="DS27" i="48"/>
  <c r="BJ27" i="48"/>
  <c r="DL27" i="48"/>
  <c r="AS27" i="48"/>
  <c r="DG27" i="48"/>
  <c r="CH27" i="48"/>
  <c r="M27" i="48"/>
  <c r="U27" i="48"/>
  <c r="AK27" i="48"/>
  <c r="H27" i="48"/>
  <c r="AB27" i="48"/>
  <c r="BP27" i="48"/>
  <c r="BR27" i="48"/>
  <c r="AR29" i="48"/>
  <c r="BA29" i="48"/>
  <c r="K29" i="48"/>
  <c r="BU29" i="48"/>
  <c r="W29" i="48"/>
  <c r="R29" i="48"/>
  <c r="AB29" i="48"/>
  <c r="DA29" i="48"/>
  <c r="CP29" i="48"/>
  <c r="M29" i="48"/>
  <c r="DN29" i="48"/>
  <c r="BQ29" i="48"/>
  <c r="DB29" i="48"/>
  <c r="CD29" i="48"/>
  <c r="C16" i="48"/>
  <c r="BD27" i="48"/>
  <c r="CN27" i="48"/>
  <c r="CO27" i="48"/>
  <c r="DF27" i="48"/>
  <c r="AY27" i="48"/>
  <c r="I27" i="48"/>
  <c r="DP27" i="48"/>
  <c r="AC27" i="48"/>
  <c r="BW27" i="48"/>
  <c r="BE29" i="48"/>
  <c r="BT29" i="48"/>
  <c r="G29" i="48"/>
  <c r="CX27" i="48"/>
  <c r="BA27" i="48"/>
  <c r="AT27" i="48"/>
  <c r="DC27" i="48"/>
  <c r="CV27" i="48"/>
  <c r="AI29" i="48"/>
  <c r="F27" i="48"/>
  <c r="AI27" i="48"/>
  <c r="CK27" i="48"/>
  <c r="AH27" i="48"/>
  <c r="L27" i="48"/>
  <c r="CT27" i="48"/>
  <c r="AF27" i="48"/>
  <c r="BC27" i="48"/>
  <c r="DB27" i="48"/>
  <c r="K27" i="48"/>
  <c r="DR27" i="48"/>
  <c r="AX27" i="48"/>
  <c r="AE27" i="48"/>
  <c r="BU27" i="48"/>
  <c r="CE27" i="48"/>
  <c r="BY29" i="48"/>
  <c r="AO29" i="48"/>
  <c r="DM29" i="48"/>
  <c r="AT29" i="48"/>
  <c r="DK29" i="48"/>
  <c r="CK29" i="48"/>
  <c r="DP29" i="48"/>
  <c r="CE29" i="48"/>
  <c r="AD29" i="48"/>
  <c r="BZ29" i="48"/>
  <c r="AN29" i="48"/>
  <c r="BO29" i="48"/>
  <c r="AC29" i="48"/>
  <c r="CC29" i="48"/>
  <c r="BV29" i="48"/>
  <c r="CU27" i="48"/>
  <c r="CB27" i="48"/>
  <c r="AA27" i="48"/>
  <c r="BE27" i="48"/>
  <c r="DN27" i="48"/>
  <c r="BM27" i="48"/>
  <c r="N27" i="48"/>
  <c r="DD27" i="48"/>
  <c r="CW27" i="48"/>
  <c r="BW29" i="48"/>
  <c r="V29" i="48"/>
  <c r="AQ29" i="48"/>
  <c r="F29" i="48"/>
  <c r="Q29" i="48"/>
  <c r="G27" i="48"/>
  <c r="AQ27" i="48"/>
  <c r="BH27" i="48"/>
  <c r="CR27" i="48"/>
  <c r="X27" i="48"/>
  <c r="AR27" i="48"/>
  <c r="DH29" i="48"/>
  <c r="BS29" i="48"/>
  <c r="Z27" i="48"/>
  <c r="CM27" i="48"/>
  <c r="AD27" i="48"/>
  <c r="CD27" i="48"/>
  <c r="O27" i="48"/>
  <c r="S27" i="48"/>
  <c r="BX27" i="48"/>
  <c r="BG29" i="48"/>
  <c r="DD29" i="48"/>
  <c r="H29" i="48"/>
  <c r="CZ29" i="48"/>
  <c r="BL29" i="48"/>
  <c r="DO29" i="48"/>
  <c r="DS29" i="48"/>
  <c r="CU29" i="48"/>
  <c r="DQ29" i="48"/>
  <c r="CT29" i="48"/>
  <c r="BI29" i="48"/>
  <c r="AG29" i="48"/>
  <c r="AK29" i="48"/>
  <c r="BX29" i="48"/>
  <c r="DL29" i="48"/>
  <c r="DT29" i="48"/>
  <c r="BR29" i="48"/>
  <c r="CY29" i="48"/>
  <c r="CV29" i="48"/>
  <c r="R27" i="48"/>
  <c r="DE29" i="48"/>
  <c r="BF27" i="48"/>
  <c r="P29" i="48"/>
  <c r="S29" i="48"/>
  <c r="BL27" i="48"/>
  <c r="CA27" i="48"/>
  <c r="W27" i="48"/>
  <c r="BK27" i="48"/>
  <c r="CJ27" i="48"/>
  <c r="DO27" i="48"/>
  <c r="P27" i="48"/>
  <c r="O29" i="48"/>
  <c r="T29" i="48"/>
  <c r="BK29" i="48"/>
  <c r="BC29" i="48"/>
  <c r="DR29" i="48"/>
  <c r="L29" i="48"/>
  <c r="CG29" i="48"/>
  <c r="AE29" i="48"/>
  <c r="AL29" i="48"/>
  <c r="X29" i="48"/>
  <c r="CP27" i="48"/>
  <c r="CY27" i="48"/>
  <c r="DH27" i="48"/>
  <c r="BI27" i="48"/>
  <c r="BZ27" i="48"/>
  <c r="AV29" i="48"/>
  <c r="U29" i="48"/>
  <c r="CX29" i="48"/>
  <c r="CL29" i="48"/>
  <c r="AL27" i="48"/>
  <c r="AY29" i="48"/>
  <c r="BB29" i="48"/>
  <c r="AH29" i="48"/>
  <c r="CM29" i="48"/>
  <c r="DE27" i="48"/>
  <c r="BH29" i="48"/>
  <c r="AM29" i="48"/>
  <c r="AP29" i="48"/>
  <c r="AU29" i="48"/>
  <c r="CO29" i="48"/>
  <c r="BF29" i="48"/>
  <c r="BO27" i="48"/>
  <c r="Y27" i="48"/>
  <c r="CF29" i="48"/>
  <c r="N29" i="48"/>
  <c r="CL27" i="48"/>
  <c r="V27" i="48"/>
  <c r="AF29" i="48"/>
  <c r="CR29" i="48"/>
  <c r="BN29" i="48"/>
  <c r="CB29" i="48"/>
  <c r="CH29" i="48"/>
  <c r="AX29" i="48"/>
  <c r="AA29" i="48"/>
  <c r="J29" i="48"/>
  <c r="CW29" i="48"/>
  <c r="CZ27" i="48"/>
  <c r="AM27" i="48"/>
  <c r="DQ27" i="48"/>
  <c r="BG27" i="48"/>
  <c r="CS27" i="48"/>
  <c r="DA27" i="48"/>
  <c r="BY27" i="48"/>
  <c r="BS27" i="48"/>
  <c r="DI27" i="48"/>
  <c r="J27" i="48"/>
  <c r="BB27" i="48"/>
  <c r="AJ29" i="48"/>
  <c r="AW29" i="48"/>
  <c r="AZ27" i="48"/>
  <c r="CA29" i="48"/>
  <c r="DK27" i="48"/>
  <c r="BD29" i="48"/>
  <c r="DG29" i="48"/>
  <c r="CG27" i="48"/>
  <c r="AG27" i="48"/>
  <c r="AO27" i="48"/>
  <c r="CQ27" i="48"/>
  <c r="DM27" i="48"/>
  <c r="DJ27" i="48"/>
  <c r="AV27" i="48"/>
  <c r="DF29" i="48"/>
  <c r="BP29" i="48"/>
  <c r="CI29" i="48"/>
  <c r="AZ29" i="48"/>
  <c r="AS29" i="48"/>
  <c r="BJ29" i="48"/>
  <c r="CJ29" i="48"/>
  <c r="DJ29" i="48"/>
  <c r="CN29" i="48"/>
  <c r="BM29" i="48"/>
  <c r="AP27" i="48"/>
  <c r="BQ27" i="48"/>
  <c r="CF27" i="48"/>
  <c r="Y29" i="48"/>
  <c r="I29" i="48"/>
  <c r="DT27" i="48"/>
  <c r="CI27" i="48"/>
  <c r="Z29" i="48"/>
  <c r="CQ29" i="48"/>
  <c r="DI29" i="48"/>
  <c r="Q27" i="48"/>
  <c r="AU27" i="48"/>
  <c r="CS29" i="48"/>
  <c r="AN27" i="48"/>
  <c r="DC29" i="48"/>
  <c r="G15" i="48"/>
  <c r="AJ15" i="48"/>
  <c r="BR15" i="48"/>
  <c r="BP15" i="48"/>
  <c r="BF15" i="48"/>
  <c r="AM15" i="48"/>
  <c r="CP15" i="48"/>
  <c r="AC15" i="48"/>
  <c r="CN15" i="48"/>
  <c r="CQ15" i="48"/>
  <c r="CZ15" i="48"/>
  <c r="AY15" i="48"/>
  <c r="V15" i="48"/>
  <c r="Q15" i="48"/>
  <c r="P15" i="48"/>
  <c r="X15" i="48"/>
  <c r="DE15" i="48"/>
  <c r="BY15" i="48"/>
  <c r="CH15" i="48"/>
  <c r="CS15" i="48"/>
  <c r="CT15" i="48"/>
  <c r="CW15" i="48"/>
  <c r="BX1" i="49"/>
  <c r="BY6" i="49"/>
  <c r="BZ6" i="49" s="1"/>
  <c r="CA6" i="49" s="1"/>
  <c r="CB6" i="49" s="1"/>
  <c r="CC6" i="49" s="1"/>
  <c r="CD6" i="49" s="1"/>
  <c r="CE6" i="49" s="1"/>
  <c r="BQ14" i="61" l="1"/>
  <c r="AG14" i="61"/>
  <c r="CS14" i="61"/>
  <c r="CW14" i="61"/>
  <c r="AP14" i="61"/>
  <c r="BO14" i="61"/>
  <c r="DB14" i="61"/>
  <c r="L14" i="61"/>
  <c r="BX14" i="61"/>
  <c r="N14" i="61"/>
  <c r="AM14" i="61"/>
  <c r="BZ14" i="61"/>
  <c r="CA14" i="61"/>
  <c r="CG14" i="61"/>
  <c r="CJ14" i="61"/>
  <c r="BI14" i="61"/>
  <c r="K14" i="61"/>
  <c r="T14" i="61"/>
  <c r="V14" i="61"/>
  <c r="CH14" i="61"/>
  <c r="CI14" i="61"/>
  <c r="CR14" i="61"/>
  <c r="AX14" i="61"/>
  <c r="DE14" i="61"/>
  <c r="W14" i="61"/>
  <c r="AC14" i="61"/>
  <c r="AF14" i="61"/>
  <c r="AY14" i="61"/>
  <c r="DK14" i="61"/>
  <c r="BH14" i="61"/>
  <c r="DT14" i="61"/>
  <c r="BJ14" i="61"/>
  <c r="BK14" i="61"/>
  <c r="BT14" i="61"/>
  <c r="Q14" i="61"/>
  <c r="CC14" i="61"/>
  <c r="Z14" i="61"/>
  <c r="CL14" i="61"/>
  <c r="H14" i="61"/>
  <c r="CF14" i="61"/>
  <c r="DJ14" i="61"/>
  <c r="P14" i="61"/>
  <c r="AS14" i="61"/>
  <c r="AV14" i="61"/>
  <c r="BC14" i="61"/>
  <c r="BG14" i="61"/>
  <c r="DS14" i="61"/>
  <c r="BP14" i="61"/>
  <c r="F14" i="61"/>
  <c r="BR14" i="61"/>
  <c r="BS14" i="61"/>
  <c r="CB14" i="61"/>
  <c r="Y14" i="61"/>
  <c r="CK14" i="61"/>
  <c r="AH14" i="61"/>
  <c r="CT14" i="61"/>
  <c r="BW14" i="61"/>
  <c r="DM14" i="61"/>
  <c r="X14" i="61"/>
  <c r="AE14" i="61"/>
  <c r="S14" i="61"/>
  <c r="CE14" i="61"/>
  <c r="AB14" i="61"/>
  <c r="CN14" i="61"/>
  <c r="AD14" i="61"/>
  <c r="CP14" i="61"/>
  <c r="CQ14" i="61"/>
  <c r="CZ14" i="61"/>
  <c r="AW14" i="61"/>
  <c r="DI14" i="61"/>
  <c r="BF14" i="61"/>
  <c r="DR14" i="61"/>
  <c r="O14" i="61"/>
  <c r="U14" i="61"/>
  <c r="AU14" i="61"/>
  <c r="BA14" i="61"/>
  <c r="AA14" i="61"/>
  <c r="CM14" i="61"/>
  <c r="AJ14" i="61"/>
  <c r="CV14" i="61"/>
  <c r="AL14" i="61"/>
  <c r="CX14" i="61"/>
  <c r="CY14" i="61"/>
  <c r="DH14" i="61"/>
  <c r="BE14" i="61"/>
  <c r="DQ14" i="61"/>
  <c r="BN14" i="61"/>
  <c r="C27" i="61"/>
  <c r="C29" i="61"/>
  <c r="E15" i="61"/>
  <c r="X15" i="61" s="1"/>
  <c r="DA14" i="61"/>
  <c r="AK14" i="61"/>
  <c r="AN14" i="61"/>
  <c r="BY14" i="61"/>
  <c r="CO14" i="61"/>
  <c r="AI14" i="61"/>
  <c r="CU14" i="61"/>
  <c r="AR14" i="61"/>
  <c r="DD14" i="61"/>
  <c r="AT14" i="61"/>
  <c r="DF14" i="61"/>
  <c r="DG14" i="61"/>
  <c r="DP14" i="61"/>
  <c r="BM14" i="61"/>
  <c r="J14" i="61"/>
  <c r="BV14" i="61"/>
  <c r="AO14" i="61"/>
  <c r="BD14" i="61"/>
  <c r="BL14" i="61"/>
  <c r="G14" i="61"/>
  <c r="M14" i="61"/>
  <c r="AQ14" i="61"/>
  <c r="DC14" i="61"/>
  <c r="AZ14" i="61"/>
  <c r="DL14" i="61"/>
  <c r="BB14" i="61"/>
  <c r="DN14" i="61"/>
  <c r="DO14" i="61"/>
  <c r="I14" i="61"/>
  <c r="BU14" i="61"/>
  <c r="R14" i="61"/>
  <c r="CD14" i="61"/>
  <c r="AW37" i="30"/>
  <c r="AW29" i="30"/>
  <c r="CF6" i="46"/>
  <c r="CG6" i="46" s="1"/>
  <c r="CH6" i="46" s="1"/>
  <c r="CI6" i="46" s="1"/>
  <c r="CJ6" i="46" s="1"/>
  <c r="CK6" i="46" s="1"/>
  <c r="CL6" i="46" s="1"/>
  <c r="CE1" i="46"/>
  <c r="E18" i="49"/>
  <c r="C19" i="49" s="1"/>
  <c r="AW24" i="30"/>
  <c r="AW26" i="30"/>
  <c r="AW28" i="30"/>
  <c r="AW36" i="30"/>
  <c r="AW27" i="30"/>
  <c r="CM6" i="48"/>
  <c r="CN6" i="48" s="1"/>
  <c r="CO6" i="48" s="1"/>
  <c r="CP6" i="48" s="1"/>
  <c r="CQ6" i="48" s="1"/>
  <c r="CR6" i="48" s="1"/>
  <c r="CS6" i="48" s="1"/>
  <c r="CL1" i="48"/>
  <c r="E16" i="48"/>
  <c r="C17" i="48" s="1"/>
  <c r="CE1" i="49"/>
  <c r="CF6" i="49"/>
  <c r="CG6" i="49" s="1"/>
  <c r="CH6" i="49" s="1"/>
  <c r="CI6" i="49" s="1"/>
  <c r="CJ6" i="49" s="1"/>
  <c r="CK6" i="49" s="1"/>
  <c r="CL6" i="49" s="1"/>
  <c r="CJ15" i="61" l="1"/>
  <c r="BI15" i="61"/>
  <c r="F15" i="61"/>
  <c r="BR15" i="61"/>
  <c r="DJ15" i="61"/>
  <c r="O15" i="61"/>
  <c r="AG15" i="61"/>
  <c r="BP15" i="61"/>
  <c r="AX15" i="61"/>
  <c r="BG15" i="61"/>
  <c r="CA15" i="61"/>
  <c r="BQ15" i="61"/>
  <c r="CS15" i="61"/>
  <c r="CV15" i="61"/>
  <c r="DS15" i="61"/>
  <c r="C16" i="61"/>
  <c r="DK27" i="61"/>
  <c r="AY27" i="61"/>
  <c r="DR27" i="61"/>
  <c r="BF27" i="61"/>
  <c r="BL27" i="61"/>
  <c r="BS27" i="61"/>
  <c r="BZ27" i="61"/>
  <c r="AG27" i="61"/>
  <c r="X27" i="61"/>
  <c r="O27" i="61"/>
  <c r="DI27" i="61"/>
  <c r="F27" i="61"/>
  <c r="BP27" i="61"/>
  <c r="AA27" i="61"/>
  <c r="DT27" i="61"/>
  <c r="J27" i="61"/>
  <c r="CK27" i="61"/>
  <c r="DC27" i="61"/>
  <c r="DJ27" i="61"/>
  <c r="AX27" i="61"/>
  <c r="DP27" i="61"/>
  <c r="BD27" i="61"/>
  <c r="BK27" i="61"/>
  <c r="BR27" i="61"/>
  <c r="Y27" i="61"/>
  <c r="P27" i="61"/>
  <c r="DL27" i="61"/>
  <c r="G27" i="61"/>
  <c r="CN27" i="61"/>
  <c r="AS27" i="61"/>
  <c r="S27" i="61"/>
  <c r="CW27" i="61"/>
  <c r="AJ27" i="61"/>
  <c r="BM27" i="61"/>
  <c r="CH27" i="61"/>
  <c r="W27" i="61"/>
  <c r="AI27" i="61"/>
  <c r="CU27" i="61"/>
  <c r="DB27" i="61"/>
  <c r="DH27" i="61"/>
  <c r="AV27" i="61"/>
  <c r="DO27" i="61"/>
  <c r="BC27" i="61"/>
  <c r="BJ27" i="61"/>
  <c r="Q27" i="61"/>
  <c r="DM27" i="61"/>
  <c r="H27" i="61"/>
  <c r="CO27" i="61"/>
  <c r="BQ27" i="61"/>
  <c r="AK27" i="61"/>
  <c r="K27" i="61"/>
  <c r="CC27" i="61"/>
  <c r="AB27" i="61"/>
  <c r="DS27" i="61"/>
  <c r="CM27" i="61"/>
  <c r="CT27" i="61"/>
  <c r="CZ27" i="61"/>
  <c r="DG27" i="61"/>
  <c r="AU27" i="61"/>
  <c r="DN27" i="61"/>
  <c r="BB27" i="61"/>
  <c r="DQ27" i="61"/>
  <c r="I27" i="61"/>
  <c r="CS27" i="61"/>
  <c r="BU27" i="61"/>
  <c r="AW27" i="61"/>
  <c r="AC27" i="61"/>
  <c r="DA27" i="61"/>
  <c r="BH27" i="61"/>
  <c r="T27" i="61"/>
  <c r="AR27" i="61"/>
  <c r="BN27" i="61"/>
  <c r="CE27" i="61"/>
  <c r="CL27" i="61"/>
  <c r="CR27" i="61"/>
  <c r="CY27" i="61"/>
  <c r="DF27" i="61"/>
  <c r="AT27" i="61"/>
  <c r="CV27" i="61"/>
  <c r="BX27" i="61"/>
  <c r="AZ27" i="61"/>
  <c r="AL27" i="61"/>
  <c r="U27" i="61"/>
  <c r="CF27" i="61"/>
  <c r="AP27" i="61"/>
  <c r="CB27" i="61"/>
  <c r="CP27" i="61"/>
  <c r="BE27" i="61"/>
  <c r="AN27" i="61"/>
  <c r="DE27" i="61"/>
  <c r="AQ27" i="61"/>
  <c r="Z27" i="61"/>
  <c r="BG27" i="61"/>
  <c r="BT27" i="61"/>
  <c r="CA27" i="61"/>
  <c r="AF27" i="61"/>
  <c r="DD27" i="61"/>
  <c r="BW27" i="61"/>
  <c r="CD27" i="61"/>
  <c r="CJ27" i="61"/>
  <c r="CQ27" i="61"/>
  <c r="CX27" i="61"/>
  <c r="BY27" i="61"/>
  <c r="BA27" i="61"/>
  <c r="AM27" i="61"/>
  <c r="AD27" i="61"/>
  <c r="M27" i="61"/>
  <c r="BI27" i="61"/>
  <c r="AH27" i="61"/>
  <c r="L27" i="61"/>
  <c r="CG27" i="61"/>
  <c r="BO27" i="61"/>
  <c r="BV27" i="61"/>
  <c r="CI27" i="61"/>
  <c r="AE27" i="61"/>
  <c r="V27" i="61"/>
  <c r="AO27" i="61"/>
  <c r="N27" i="61"/>
  <c r="R27" i="61"/>
  <c r="CU29" i="61"/>
  <c r="AI29" i="61"/>
  <c r="CL29" i="61"/>
  <c r="Z29" i="61"/>
  <c r="CB29" i="61"/>
  <c r="P29" i="61"/>
  <c r="BS29" i="61"/>
  <c r="G29" i="61"/>
  <c r="BJ29" i="61"/>
  <c r="DD29" i="61"/>
  <c r="AO29" i="61"/>
  <c r="DQ29" i="61"/>
  <c r="BX29" i="61"/>
  <c r="AB29" i="61"/>
  <c r="AC29" i="61"/>
  <c r="CM29" i="61"/>
  <c r="AA29" i="61"/>
  <c r="CD29" i="61"/>
  <c r="R29" i="61"/>
  <c r="BT29" i="61"/>
  <c r="H29" i="61"/>
  <c r="BK29" i="61"/>
  <c r="DN29" i="61"/>
  <c r="BB29" i="61"/>
  <c r="CG29" i="61"/>
  <c r="T29" i="61"/>
  <c r="CV29" i="61"/>
  <c r="BA29" i="61"/>
  <c r="DE29" i="61"/>
  <c r="I29" i="61"/>
  <c r="CE29" i="61"/>
  <c r="S29" i="61"/>
  <c r="BV29" i="61"/>
  <c r="J29" i="61"/>
  <c r="BL29" i="61"/>
  <c r="DO29" i="61"/>
  <c r="BC29" i="61"/>
  <c r="DF29" i="61"/>
  <c r="AT29" i="61"/>
  <c r="BM29" i="61"/>
  <c r="DT29" i="61"/>
  <c r="BY29" i="61"/>
  <c r="AG29" i="61"/>
  <c r="CK29" i="61"/>
  <c r="DL29" i="61"/>
  <c r="BW29" i="61"/>
  <c r="K29" i="61"/>
  <c r="BN29" i="61"/>
  <c r="DP29" i="61"/>
  <c r="BD29" i="61"/>
  <c r="DG29" i="61"/>
  <c r="AU29" i="61"/>
  <c r="CX29" i="61"/>
  <c r="AL29" i="61"/>
  <c r="AR29" i="61"/>
  <c r="CW29" i="61"/>
  <c r="BE29" i="61"/>
  <c r="L29" i="61"/>
  <c r="BP29" i="61"/>
  <c r="CO29" i="61"/>
  <c r="BG29" i="61"/>
  <c r="DJ29" i="61"/>
  <c r="AX29" i="61"/>
  <c r="CZ29" i="61"/>
  <c r="AN29" i="61"/>
  <c r="CQ29" i="61"/>
  <c r="AE29" i="61"/>
  <c r="CH29" i="61"/>
  <c r="V29" i="61"/>
  <c r="BH29" i="61"/>
  <c r="M29" i="61"/>
  <c r="Y29" i="61"/>
  <c r="BO29" i="61"/>
  <c r="DR29" i="61"/>
  <c r="BF29" i="61"/>
  <c r="DH29" i="61"/>
  <c r="AV29" i="61"/>
  <c r="CY29" i="61"/>
  <c r="AM29" i="61"/>
  <c r="CP29" i="61"/>
  <c r="AD29" i="61"/>
  <c r="U29" i="61"/>
  <c r="CC29" i="61"/>
  <c r="AJ29" i="61"/>
  <c r="DI29" i="61"/>
  <c r="AS29" i="61"/>
  <c r="DS29" i="61"/>
  <c r="DA29" i="61"/>
  <c r="CN29" i="61"/>
  <c r="DK29" i="61"/>
  <c r="AY29" i="61"/>
  <c r="DB29" i="61"/>
  <c r="AP29" i="61"/>
  <c r="CR29" i="61"/>
  <c r="AF29" i="61"/>
  <c r="CI29" i="61"/>
  <c r="W29" i="61"/>
  <c r="BZ29" i="61"/>
  <c r="N29" i="61"/>
  <c r="CF29" i="61"/>
  <c r="AK29" i="61"/>
  <c r="DM29" i="61"/>
  <c r="BQ29" i="61"/>
  <c r="BU29" i="61"/>
  <c r="DC29" i="61"/>
  <c r="AQ29" i="61"/>
  <c r="CT29" i="61"/>
  <c r="AH29" i="61"/>
  <c r="CJ29" i="61"/>
  <c r="X29" i="61"/>
  <c r="CA29" i="61"/>
  <c r="O29" i="61"/>
  <c r="BR29" i="61"/>
  <c r="F29" i="61"/>
  <c r="BI29" i="61"/>
  <c r="Q29" i="61"/>
  <c r="CS29" i="61"/>
  <c r="AW29" i="61"/>
  <c r="AZ29" i="61"/>
  <c r="BH15" i="61"/>
  <c r="CN15" i="61"/>
  <c r="AH15" i="61"/>
  <c r="CT15" i="61"/>
  <c r="AQ15" i="61"/>
  <c r="DC15" i="61"/>
  <c r="AS15" i="61"/>
  <c r="DE15" i="61"/>
  <c r="BB15" i="61"/>
  <c r="DN15" i="61"/>
  <c r="BK15" i="61"/>
  <c r="H15" i="61"/>
  <c r="BT15" i="61"/>
  <c r="Q15" i="61"/>
  <c r="CC15" i="61"/>
  <c r="DT15" i="61"/>
  <c r="AJ15" i="61"/>
  <c r="AP15" i="61"/>
  <c r="DB15" i="61"/>
  <c r="AY15" i="61"/>
  <c r="DK15" i="61"/>
  <c r="BA15" i="61"/>
  <c r="DM15" i="61"/>
  <c r="BJ15" i="61"/>
  <c r="G15" i="61"/>
  <c r="BS15" i="61"/>
  <c r="P15" i="61"/>
  <c r="CB15" i="61"/>
  <c r="Y15" i="61"/>
  <c r="CK15" i="61"/>
  <c r="BF15" i="61"/>
  <c r="BZ15" i="61"/>
  <c r="CR15" i="61"/>
  <c r="DA15" i="61"/>
  <c r="BX15" i="61"/>
  <c r="DD15" i="61"/>
  <c r="BN15" i="61"/>
  <c r="K15" i="61"/>
  <c r="BW15" i="61"/>
  <c r="M15" i="61"/>
  <c r="BY15" i="61"/>
  <c r="V15" i="61"/>
  <c r="CH15" i="61"/>
  <c r="AE15" i="61"/>
  <c r="CQ15" i="61"/>
  <c r="AN15" i="61"/>
  <c r="CZ15" i="61"/>
  <c r="AW15" i="61"/>
  <c r="DI15" i="61"/>
  <c r="AR15" i="61"/>
  <c r="N15" i="61"/>
  <c r="AF15" i="61"/>
  <c r="AO15" i="61"/>
  <c r="T15" i="61"/>
  <c r="J15" i="61"/>
  <c r="BV15" i="61"/>
  <c r="S15" i="61"/>
  <c r="CE15" i="61"/>
  <c r="U15" i="61"/>
  <c r="CG15" i="61"/>
  <c r="AD15" i="61"/>
  <c r="CP15" i="61"/>
  <c r="AM15" i="61"/>
  <c r="CY15" i="61"/>
  <c r="AV15" i="61"/>
  <c r="DH15" i="61"/>
  <c r="BE15" i="61"/>
  <c r="DQ15" i="61"/>
  <c r="L15" i="61"/>
  <c r="BO15" i="61"/>
  <c r="CI15" i="61"/>
  <c r="AZ15" i="61"/>
  <c r="CF15" i="61"/>
  <c r="R15" i="61"/>
  <c r="CD15" i="61"/>
  <c r="AA15" i="61"/>
  <c r="CM15" i="61"/>
  <c r="AC15" i="61"/>
  <c r="CO15" i="61"/>
  <c r="AL15" i="61"/>
  <c r="CX15" i="61"/>
  <c r="AU15" i="61"/>
  <c r="DG15" i="61"/>
  <c r="BD15" i="61"/>
  <c r="DP15" i="61"/>
  <c r="BM15" i="61"/>
  <c r="DR15" i="61"/>
  <c r="W15" i="61"/>
  <c r="DL15" i="61"/>
  <c r="AB15" i="61"/>
  <c r="Z15" i="61"/>
  <c r="CL15" i="61"/>
  <c r="AI15" i="61"/>
  <c r="CU15" i="61"/>
  <c r="AK15" i="61"/>
  <c r="CW15" i="61"/>
  <c r="AT15" i="61"/>
  <c r="DF15" i="61"/>
  <c r="BC15" i="61"/>
  <c r="DO15" i="61"/>
  <c r="BL15" i="61"/>
  <c r="I15" i="61"/>
  <c r="BU15" i="61"/>
  <c r="BH18" i="49"/>
  <c r="AE18" i="49"/>
  <c r="DN18" i="49"/>
  <c r="CH18" i="49"/>
  <c r="BY18" i="49"/>
  <c r="Q18" i="49"/>
  <c r="DH18" i="49"/>
  <c r="P18" i="49"/>
  <c r="V18" i="49"/>
  <c r="DG18" i="49"/>
  <c r="CW18" i="49"/>
  <c r="AM18" i="49"/>
  <c r="AN18" i="49"/>
  <c r="BN18" i="49"/>
  <c r="AO18" i="49"/>
  <c r="Y18" i="49"/>
  <c r="O18" i="49"/>
  <c r="AB18" i="49"/>
  <c r="CM18" i="49"/>
  <c r="AY18" i="49"/>
  <c r="DT18" i="49"/>
  <c r="BW18" i="49"/>
  <c r="DP18" i="49"/>
  <c r="AI18" i="49"/>
  <c r="BM18" i="49"/>
  <c r="R18" i="49"/>
  <c r="F18" i="49"/>
  <c r="BS18" i="49"/>
  <c r="AH18" i="49"/>
  <c r="AR18" i="49"/>
  <c r="DL18" i="49"/>
  <c r="CG18" i="49"/>
  <c r="DI18" i="49"/>
  <c r="CB18" i="49"/>
  <c r="AG18" i="49"/>
  <c r="CY18" i="49"/>
  <c r="K18" i="49"/>
  <c r="CD18" i="49"/>
  <c r="CO18" i="49"/>
  <c r="BF18" i="49"/>
  <c r="BX18" i="49"/>
  <c r="CT18" i="49"/>
  <c r="AW18" i="49"/>
  <c r="CZ18" i="49"/>
  <c r="G18" i="49"/>
  <c r="CX18" i="49"/>
  <c r="CV18" i="49"/>
  <c r="J18" i="49"/>
  <c r="CL18" i="49"/>
  <c r="S18" i="49"/>
  <c r="DE18" i="49"/>
  <c r="AK18" i="49"/>
  <c r="AL18" i="49"/>
  <c r="BB18" i="49"/>
  <c r="CS18" i="49"/>
  <c r="BP18" i="49"/>
  <c r="CM6" i="46"/>
  <c r="CN6" i="46" s="1"/>
  <c r="CO6" i="46" s="1"/>
  <c r="CP6" i="46" s="1"/>
  <c r="CQ6" i="46" s="1"/>
  <c r="CR6" i="46" s="1"/>
  <c r="CS6" i="46" s="1"/>
  <c r="CL1" i="46"/>
  <c r="BO18" i="49"/>
  <c r="CF18" i="49"/>
  <c r="AA18" i="49"/>
  <c r="BQ18" i="49"/>
  <c r="AS18" i="49"/>
  <c r="CI18" i="49"/>
  <c r="BG18" i="49"/>
  <c r="CR18" i="49"/>
  <c r="X18" i="49"/>
  <c r="BC18" i="49"/>
  <c r="BD18" i="49"/>
  <c r="DO18" i="49"/>
  <c r="BK18" i="49"/>
  <c r="DM18" i="49"/>
  <c r="T18" i="49"/>
  <c r="DA18" i="49"/>
  <c r="AX18" i="49"/>
  <c r="BU18" i="49"/>
  <c r="L18" i="49"/>
  <c r="BE18" i="49"/>
  <c r="Z18" i="49"/>
  <c r="CU18" i="49"/>
  <c r="AT18" i="49"/>
  <c r="AQ18" i="49"/>
  <c r="DC18" i="49"/>
  <c r="DD18" i="49"/>
  <c r="CQ18" i="49"/>
  <c r="AF18" i="49"/>
  <c r="AU18" i="49"/>
  <c r="AP18" i="49"/>
  <c r="CC18" i="49"/>
  <c r="DQ18" i="49"/>
  <c r="CK18" i="49"/>
  <c r="DF18" i="49"/>
  <c r="U18" i="49"/>
  <c r="M18" i="49"/>
  <c r="AD18" i="49"/>
  <c r="BV18" i="49"/>
  <c r="DB18" i="49"/>
  <c r="AC18" i="49"/>
  <c r="BA18" i="49"/>
  <c r="CP18" i="49"/>
  <c r="CN18" i="49"/>
  <c r="DS18" i="49"/>
  <c r="DR18" i="49"/>
  <c r="AV18" i="49"/>
  <c r="DJ18" i="49"/>
  <c r="CJ18" i="49"/>
  <c r="E19" i="49"/>
  <c r="C20" i="49" s="1"/>
  <c r="BR18" i="49"/>
  <c r="AJ18" i="49"/>
  <c r="BT18" i="49"/>
  <c r="AZ18" i="49"/>
  <c r="H18" i="49"/>
  <c r="BJ18" i="49"/>
  <c r="BI18" i="49"/>
  <c r="N18" i="49"/>
  <c r="CA18" i="49"/>
  <c r="W18" i="49"/>
  <c r="BZ18" i="49"/>
  <c r="DK18" i="49"/>
  <c r="CE18" i="49"/>
  <c r="I18" i="49"/>
  <c r="BL18" i="49"/>
  <c r="CT6" i="48"/>
  <c r="CU6" i="48" s="1"/>
  <c r="CV6" i="48" s="1"/>
  <c r="CW6" i="48" s="1"/>
  <c r="CX6" i="48" s="1"/>
  <c r="CY6" i="48" s="1"/>
  <c r="CZ6" i="48" s="1"/>
  <c r="CS1" i="48"/>
  <c r="BV16" i="48"/>
  <c r="CL16" i="48"/>
  <c r="DO16" i="48"/>
  <c r="AK16" i="48"/>
  <c r="CB16" i="48"/>
  <c r="S16" i="48"/>
  <c r="CA16" i="48"/>
  <c r="CK16" i="48"/>
  <c r="CH16" i="48"/>
  <c r="BJ16" i="48"/>
  <c r="Y16" i="48"/>
  <c r="CU16" i="48"/>
  <c r="BA16" i="48"/>
  <c r="AV16" i="48"/>
  <c r="AD16" i="48"/>
  <c r="CV16" i="48"/>
  <c r="DI16" i="48"/>
  <c r="AN16" i="48"/>
  <c r="DA16" i="48"/>
  <c r="DL16" i="48"/>
  <c r="L16" i="48"/>
  <c r="BW16" i="48"/>
  <c r="P16" i="48"/>
  <c r="N16" i="48"/>
  <c r="DP16" i="48"/>
  <c r="DB16" i="48"/>
  <c r="CG16" i="48"/>
  <c r="AB16" i="48"/>
  <c r="CZ16" i="48"/>
  <c r="W16" i="48"/>
  <c r="AI16" i="48"/>
  <c r="CE16" i="48"/>
  <c r="AH16" i="48"/>
  <c r="DM16" i="48"/>
  <c r="AZ16" i="48"/>
  <c r="CJ16" i="48"/>
  <c r="BT16" i="48"/>
  <c r="BG16" i="48"/>
  <c r="T16" i="48"/>
  <c r="CX16" i="48"/>
  <c r="BU16" i="48"/>
  <c r="DE16" i="48"/>
  <c r="AO16" i="48"/>
  <c r="BF16" i="48"/>
  <c r="DS16" i="48"/>
  <c r="AE16" i="48"/>
  <c r="BL16" i="48"/>
  <c r="CR16" i="48"/>
  <c r="CD16" i="48"/>
  <c r="Z16" i="48"/>
  <c r="DF16" i="48"/>
  <c r="AA16" i="48"/>
  <c r="DN16" i="48"/>
  <c r="CY16" i="48"/>
  <c r="F16" i="48"/>
  <c r="H16" i="48"/>
  <c r="AR16" i="48"/>
  <c r="BY16" i="48"/>
  <c r="DT16" i="48"/>
  <c r="CT16" i="48"/>
  <c r="I16" i="48"/>
  <c r="BE16" i="48"/>
  <c r="BO16" i="48"/>
  <c r="BI16" i="48"/>
  <c r="CM16" i="48"/>
  <c r="BD16" i="48"/>
  <c r="BK16" i="48"/>
  <c r="CO16" i="48"/>
  <c r="AS16" i="48"/>
  <c r="J16" i="48"/>
  <c r="AM16" i="48"/>
  <c r="E17" i="48"/>
  <c r="CZ17" i="48" s="1"/>
  <c r="X16" i="48"/>
  <c r="O16" i="48"/>
  <c r="DC16" i="48"/>
  <c r="V16" i="48"/>
  <c r="AU16" i="48"/>
  <c r="CQ16" i="48"/>
  <c r="BR16" i="48"/>
  <c r="BX16" i="48"/>
  <c r="BC16" i="48"/>
  <c r="K16" i="48"/>
  <c r="BP16" i="48"/>
  <c r="BN16" i="48"/>
  <c r="CN16" i="48"/>
  <c r="CF16" i="48"/>
  <c r="BS16" i="48"/>
  <c r="DQ16" i="48"/>
  <c r="BH16" i="48"/>
  <c r="DG16" i="48"/>
  <c r="DH16" i="48"/>
  <c r="R16" i="48"/>
  <c r="AX16" i="48"/>
  <c r="DJ16" i="48"/>
  <c r="AQ16" i="48"/>
  <c r="BQ16" i="48"/>
  <c r="AW16" i="48"/>
  <c r="AC16" i="48"/>
  <c r="AT16" i="48"/>
  <c r="CI16" i="48"/>
  <c r="BZ16" i="48"/>
  <c r="CP16" i="48"/>
  <c r="AG16" i="48"/>
  <c r="DD16" i="48"/>
  <c r="AP16" i="48"/>
  <c r="AY16" i="48"/>
  <c r="AL16" i="48"/>
  <c r="BM16" i="48"/>
  <c r="DR16" i="48"/>
  <c r="CS16" i="48"/>
  <c r="CW16" i="48"/>
  <c r="AF16" i="48"/>
  <c r="G16" i="48"/>
  <c r="M16" i="48"/>
  <c r="BB16" i="48"/>
  <c r="DK16" i="48"/>
  <c r="U16" i="48"/>
  <c r="CC16" i="48"/>
  <c r="Q16" i="48"/>
  <c r="AJ16" i="48"/>
  <c r="CL1" i="49"/>
  <c r="CM6" i="49"/>
  <c r="CN6" i="49" s="1"/>
  <c r="CO6" i="49" s="1"/>
  <c r="CP6" i="49" s="1"/>
  <c r="CQ6" i="49" s="1"/>
  <c r="CR6" i="49" s="1"/>
  <c r="CS6" i="49" s="1"/>
  <c r="E16" i="61" l="1"/>
  <c r="C17" i="61" s="1"/>
  <c r="DG19" i="49"/>
  <c r="CY19" i="49"/>
  <c r="P19" i="49"/>
  <c r="CT19" i="49"/>
  <c r="BP19" i="49"/>
  <c r="BT19" i="49"/>
  <c r="AU19" i="49"/>
  <c r="U19" i="49"/>
  <c r="DL19" i="49"/>
  <c r="CV19" i="49"/>
  <c r="CF19" i="49"/>
  <c r="CK19" i="49"/>
  <c r="AG19" i="49"/>
  <c r="CG19" i="49"/>
  <c r="DI19" i="49"/>
  <c r="CS19" i="49"/>
  <c r="CZ19" i="49"/>
  <c r="AK19" i="49"/>
  <c r="CP19" i="49"/>
  <c r="S19" i="49"/>
  <c r="M19" i="49"/>
  <c r="DH19" i="49"/>
  <c r="Q19" i="49"/>
  <c r="BD19" i="49"/>
  <c r="W19" i="49"/>
  <c r="H19" i="49"/>
  <c r="CC19" i="49"/>
  <c r="I19" i="49"/>
  <c r="DA19" i="49"/>
  <c r="AV19" i="49"/>
  <c r="BB19" i="49"/>
  <c r="BO19" i="49"/>
  <c r="CN19" i="49"/>
  <c r="AA19" i="49"/>
  <c r="AD19" i="49"/>
  <c r="AC19" i="49"/>
  <c r="AB19" i="49"/>
  <c r="AI19" i="49"/>
  <c r="BI19" i="49"/>
  <c r="BR19" i="49"/>
  <c r="AT19" i="49"/>
  <c r="BZ19" i="49"/>
  <c r="J19" i="49"/>
  <c r="DN19" i="49"/>
  <c r="BW19" i="49"/>
  <c r="Z19" i="49"/>
  <c r="O19" i="49"/>
  <c r="DR19" i="49"/>
  <c r="Y19" i="49"/>
  <c r="K19" i="49"/>
  <c r="AZ19" i="49"/>
  <c r="R19" i="49"/>
  <c r="BX19" i="49"/>
  <c r="DJ19" i="49"/>
  <c r="N19" i="49"/>
  <c r="AH19" i="49"/>
  <c r="BS19" i="49"/>
  <c r="CS1" i="46"/>
  <c r="CT6" i="46"/>
  <c r="CU6" i="46" s="1"/>
  <c r="CV6" i="46" s="1"/>
  <c r="CW6" i="46" s="1"/>
  <c r="CX6" i="46" s="1"/>
  <c r="CY6" i="46" s="1"/>
  <c r="CZ6" i="46" s="1"/>
  <c r="BQ19" i="49"/>
  <c r="DE19" i="49"/>
  <c r="BU19" i="49"/>
  <c r="AM19" i="49"/>
  <c r="CB19" i="49"/>
  <c r="DT19" i="49"/>
  <c r="DF19" i="49"/>
  <c r="CM19" i="49"/>
  <c r="AR19" i="49"/>
  <c r="BN19" i="49"/>
  <c r="CI19" i="49"/>
  <c r="DB19" i="49"/>
  <c r="BA19" i="49"/>
  <c r="AN19" i="49"/>
  <c r="CW19" i="49"/>
  <c r="CQ19" i="49"/>
  <c r="X19" i="49"/>
  <c r="CO19" i="49"/>
  <c r="CA19" i="49"/>
  <c r="AS19" i="49"/>
  <c r="AX19" i="49"/>
  <c r="V19" i="49"/>
  <c r="DO19" i="49"/>
  <c r="G19" i="49"/>
  <c r="AL19" i="49"/>
  <c r="BV19" i="49"/>
  <c r="L19" i="49"/>
  <c r="AF19" i="49"/>
  <c r="BE19" i="49"/>
  <c r="CR19" i="49"/>
  <c r="DS19" i="49"/>
  <c r="AP19" i="49"/>
  <c r="AE19" i="49"/>
  <c r="CD19" i="49"/>
  <c r="BJ19" i="49"/>
  <c r="AO19" i="49"/>
  <c r="DK19" i="49"/>
  <c r="CE19" i="49"/>
  <c r="BK19" i="49"/>
  <c r="DD19" i="49"/>
  <c r="CX19" i="49"/>
  <c r="CH19" i="49"/>
  <c r="BY19" i="49"/>
  <c r="AJ19" i="49"/>
  <c r="DQ19" i="49"/>
  <c r="BG19" i="49"/>
  <c r="E20" i="49"/>
  <c r="CU20" i="49" s="1"/>
  <c r="AY19" i="49"/>
  <c r="BL19" i="49"/>
  <c r="DM19" i="49"/>
  <c r="F19" i="49"/>
  <c r="CL19" i="49"/>
  <c r="CU19" i="49"/>
  <c r="AW19" i="49"/>
  <c r="DP19" i="49"/>
  <c r="BF19" i="49"/>
  <c r="T19" i="49"/>
  <c r="DC19" i="49"/>
  <c r="BM19" i="49"/>
  <c r="BC19" i="49"/>
  <c r="BH19" i="49"/>
  <c r="AQ19" i="49"/>
  <c r="CJ19" i="49"/>
  <c r="DH17" i="48"/>
  <c r="X17" i="48"/>
  <c r="AU17" i="48"/>
  <c r="CN17" i="48"/>
  <c r="J17" i="48"/>
  <c r="AJ17" i="48"/>
  <c r="DD17" i="48"/>
  <c r="AM17" i="48"/>
  <c r="CY17" i="48"/>
  <c r="BG17" i="48"/>
  <c r="CL17" i="48"/>
  <c r="AH17" i="48"/>
  <c r="DA6" i="48"/>
  <c r="DB6" i="48" s="1"/>
  <c r="DC6" i="48" s="1"/>
  <c r="DD6" i="48" s="1"/>
  <c r="DE6" i="48" s="1"/>
  <c r="DF6" i="48" s="1"/>
  <c r="DG6" i="48" s="1"/>
  <c r="CZ1" i="48"/>
  <c r="BY17" i="48"/>
  <c r="BP17" i="48"/>
  <c r="CM17" i="48"/>
  <c r="CW17" i="48"/>
  <c r="L17" i="48"/>
  <c r="P17" i="48"/>
  <c r="DK17" i="48"/>
  <c r="DQ17" i="48"/>
  <c r="CQ17" i="48"/>
  <c r="DJ17" i="48"/>
  <c r="T17" i="48"/>
  <c r="BA17" i="48"/>
  <c r="AZ17" i="48"/>
  <c r="DC17" i="48"/>
  <c r="CI17" i="48"/>
  <c r="CF17" i="48"/>
  <c r="BM17" i="48"/>
  <c r="AL17" i="48"/>
  <c r="BW17" i="48"/>
  <c r="BN17" i="48"/>
  <c r="CS17" i="48"/>
  <c r="CE17" i="48"/>
  <c r="V17" i="48"/>
  <c r="AP17" i="48"/>
  <c r="BE17" i="48"/>
  <c r="BR17" i="48"/>
  <c r="BS17" i="48"/>
  <c r="O17" i="48"/>
  <c r="S17" i="48"/>
  <c r="AQ17" i="48"/>
  <c r="DR17" i="48"/>
  <c r="BB17" i="48"/>
  <c r="CJ17" i="48"/>
  <c r="BJ17" i="48"/>
  <c r="W17" i="48"/>
  <c r="CT17" i="48"/>
  <c r="AK17" i="48"/>
  <c r="BT17" i="48"/>
  <c r="AT17" i="48"/>
  <c r="AC17" i="48"/>
  <c r="DO17" i="48"/>
  <c r="I17" i="48"/>
  <c r="N17" i="48"/>
  <c r="BV17" i="48"/>
  <c r="R17" i="48"/>
  <c r="DB17" i="48"/>
  <c r="DF17" i="48"/>
  <c r="DM17" i="48"/>
  <c r="CB17" i="48"/>
  <c r="AR17" i="48"/>
  <c r="BI17" i="48"/>
  <c r="Y17" i="48"/>
  <c r="AV17" i="48"/>
  <c r="AA17" i="48"/>
  <c r="DN17" i="48"/>
  <c r="CC17" i="48"/>
  <c r="AO17" i="48"/>
  <c r="BC17" i="48"/>
  <c r="BD17" i="48"/>
  <c r="AF17" i="48"/>
  <c r="DA17" i="48"/>
  <c r="CU17" i="48"/>
  <c r="AE17" i="48"/>
  <c r="AG17" i="48"/>
  <c r="BL17" i="48"/>
  <c r="CP17" i="48"/>
  <c r="CK17" i="48"/>
  <c r="AB17" i="48"/>
  <c r="CH17" i="48"/>
  <c r="CR17" i="48"/>
  <c r="AY17" i="48"/>
  <c r="F17" i="48"/>
  <c r="U17" i="48"/>
  <c r="DE17" i="48"/>
  <c r="BH17" i="48"/>
  <c r="AS17" i="48"/>
  <c r="AX17" i="48"/>
  <c r="DS17" i="48"/>
  <c r="CG17" i="48"/>
  <c r="Z17" i="48"/>
  <c r="CD17" i="48"/>
  <c r="AD17" i="48"/>
  <c r="CV17" i="48"/>
  <c r="DL17" i="48"/>
  <c r="DP17" i="48"/>
  <c r="M17" i="48"/>
  <c r="BZ17" i="48"/>
  <c r="BO17" i="48"/>
  <c r="AI17" i="48"/>
  <c r="BK17" i="48"/>
  <c r="K17" i="48"/>
  <c r="H17" i="48"/>
  <c r="CX17" i="48"/>
  <c r="BF17" i="48"/>
  <c r="G17" i="48"/>
  <c r="DG17" i="48"/>
  <c r="BX17" i="48"/>
  <c r="Q17" i="48"/>
  <c r="AN17" i="48"/>
  <c r="BQ17" i="48"/>
  <c r="BU17" i="48"/>
  <c r="CA17" i="48"/>
  <c r="CO17" i="48"/>
  <c r="DT17" i="48"/>
  <c r="AW17" i="48"/>
  <c r="DI17" i="48"/>
  <c r="C18" i="48"/>
  <c r="AT31" i="48"/>
  <c r="CT31" i="48"/>
  <c r="AQ31" i="48"/>
  <c r="AA31" i="48"/>
  <c r="AI31" i="48"/>
  <c r="BA31" i="48"/>
  <c r="BL31" i="48"/>
  <c r="DN31" i="48"/>
  <c r="BS31" i="48"/>
  <c r="AF31" i="48"/>
  <c r="AW31" i="48"/>
  <c r="DA31" i="48"/>
  <c r="BN31" i="48"/>
  <c r="BH31" i="48"/>
  <c r="BO31" i="48"/>
  <c r="CP31" i="48"/>
  <c r="DS31" i="48"/>
  <c r="AV31" i="48"/>
  <c r="AC31" i="48"/>
  <c r="BZ31" i="48"/>
  <c r="BJ31" i="48"/>
  <c r="AM31" i="48"/>
  <c r="BC31" i="48"/>
  <c r="C31" i="48"/>
  <c r="AU31" i="48"/>
  <c r="AG31" i="48"/>
  <c r="AS31" i="48"/>
  <c r="CN31" i="48"/>
  <c r="DK31" i="48"/>
  <c r="AL31" i="48"/>
  <c r="V31" i="48"/>
  <c r="S31" i="48"/>
  <c r="AO31" i="48"/>
  <c r="DF31" i="48"/>
  <c r="P31" i="48"/>
  <c r="W31" i="48"/>
  <c r="CJ31" i="48"/>
  <c r="BQ31" i="48"/>
  <c r="AY31" i="48"/>
  <c r="T31" i="48"/>
  <c r="BB31" i="48"/>
  <c r="DE31" i="48"/>
  <c r="BF31" i="48"/>
  <c r="BY31" i="48"/>
  <c r="CH31" i="48"/>
  <c r="BE31" i="48"/>
  <c r="J31" i="48"/>
  <c r="CR31" i="48"/>
  <c r="CG31" i="48"/>
  <c r="R31" i="48"/>
  <c r="BV31" i="48"/>
  <c r="CX31" i="48"/>
  <c r="AX31" i="48"/>
  <c r="DH31" i="48"/>
  <c r="AR31" i="48"/>
  <c r="L31" i="48"/>
  <c r="Q31" i="48"/>
  <c r="CQ31" i="48"/>
  <c r="M31" i="48"/>
  <c r="DI31" i="48"/>
  <c r="BU31" i="48"/>
  <c r="CI31" i="48"/>
  <c r="BX31" i="48"/>
  <c r="CW31" i="48"/>
  <c r="BR31" i="48"/>
  <c r="DB31" i="48"/>
  <c r="CO31" i="48"/>
  <c r="DO31" i="48"/>
  <c r="CV31" i="48"/>
  <c r="AB31" i="48"/>
  <c r="N31" i="48"/>
  <c r="CB31" i="48"/>
  <c r="CK31" i="48"/>
  <c r="CZ31" i="48"/>
  <c r="BW31" i="48"/>
  <c r="BK31" i="48"/>
  <c r="DP31" i="48"/>
  <c r="BD31" i="48"/>
  <c r="AD31" i="48"/>
  <c r="BG31" i="48"/>
  <c r="CS31" i="48"/>
  <c r="CL31" i="48"/>
  <c r="G31" i="48"/>
  <c r="AJ31" i="48"/>
  <c r="DQ31" i="48"/>
  <c r="I31" i="48"/>
  <c r="U31" i="48"/>
  <c r="CU31" i="48"/>
  <c r="O31" i="48"/>
  <c r="AP31" i="48"/>
  <c r="BP31" i="48"/>
  <c r="BM31" i="48"/>
  <c r="DL31" i="48"/>
  <c r="AE31" i="48"/>
  <c r="F31" i="48"/>
  <c r="Z31" i="48"/>
  <c r="CY31" i="48"/>
  <c r="AK31" i="48"/>
  <c r="CA31" i="48"/>
  <c r="BI31" i="48"/>
  <c r="DM31" i="48"/>
  <c r="AN31" i="48"/>
  <c r="AZ31" i="48"/>
  <c r="CM31" i="48"/>
  <c r="Y31" i="48"/>
  <c r="K31" i="48"/>
  <c r="X31" i="48"/>
  <c r="DJ31" i="48"/>
  <c r="DR31" i="48"/>
  <c r="CD31" i="48"/>
  <c r="BT31" i="48"/>
  <c r="CE31" i="48"/>
  <c r="CF31" i="48"/>
  <c r="DC31" i="48"/>
  <c r="CC31" i="48"/>
  <c r="DT31" i="48"/>
  <c r="AH31" i="48"/>
  <c r="H31" i="48"/>
  <c r="DD31" i="48"/>
  <c r="DG31" i="48"/>
  <c r="CS1" i="49"/>
  <c r="CT6" i="49"/>
  <c r="CU6" i="49" s="1"/>
  <c r="CV6" i="49" s="1"/>
  <c r="CW6" i="49" s="1"/>
  <c r="CX6" i="49" s="1"/>
  <c r="CY6" i="49" s="1"/>
  <c r="CZ6" i="49" s="1"/>
  <c r="CT16" i="61" l="1"/>
  <c r="Q16" i="61"/>
  <c r="DB16" i="61"/>
  <c r="AF16" i="61"/>
  <c r="AN16" i="61"/>
  <c r="BF16" i="61"/>
  <c r="Y16" i="61"/>
  <c r="BN16" i="61"/>
  <c r="AG16" i="61"/>
  <c r="AH16" i="61"/>
  <c r="AI16" i="61"/>
  <c r="X16" i="61"/>
  <c r="AO16" i="61"/>
  <c r="DI16" i="61"/>
  <c r="Z16" i="61"/>
  <c r="BT16" i="61"/>
  <c r="DC16" i="61"/>
  <c r="CL16" i="61"/>
  <c r="CJ16" i="61"/>
  <c r="DL16" i="61"/>
  <c r="AY16" i="61"/>
  <c r="DT16" i="61"/>
  <c r="DK16" i="61"/>
  <c r="BA16" i="61"/>
  <c r="CC16" i="61"/>
  <c r="DS16" i="61"/>
  <c r="DE16" i="61"/>
  <c r="DA16" i="61"/>
  <c r="AJ16" i="61"/>
  <c r="DM16" i="61"/>
  <c r="BH16" i="61"/>
  <c r="BB16" i="61"/>
  <c r="AA16" i="61"/>
  <c r="DD16" i="61"/>
  <c r="DN16" i="61"/>
  <c r="BJ16" i="61"/>
  <c r="DR16" i="61"/>
  <c r="AP16" i="61"/>
  <c r="CB16" i="61"/>
  <c r="AW16" i="61"/>
  <c r="AQ16" i="61"/>
  <c r="AR16" i="61"/>
  <c r="AS16" i="61"/>
  <c r="CX16" i="61"/>
  <c r="J16" i="61"/>
  <c r="H16" i="61"/>
  <c r="CR16" i="61"/>
  <c r="CK16" i="61"/>
  <c r="CM16" i="61"/>
  <c r="BP16" i="61"/>
  <c r="BI16" i="61"/>
  <c r="G16" i="61"/>
  <c r="BV16" i="61"/>
  <c r="P16" i="61"/>
  <c r="CZ16" i="61"/>
  <c r="CS16" i="61"/>
  <c r="CU16" i="61"/>
  <c r="CV16" i="61"/>
  <c r="CW16" i="61"/>
  <c r="AU16" i="61"/>
  <c r="AL16" i="61"/>
  <c r="BK16" i="61"/>
  <c r="BG16" i="61"/>
  <c r="AZ16" i="61"/>
  <c r="AK16" i="61"/>
  <c r="AT16" i="61"/>
  <c r="BS16" i="61"/>
  <c r="DG16" i="61"/>
  <c r="DF16" i="61"/>
  <c r="BC16" i="61"/>
  <c r="DO16" i="61"/>
  <c r="E17" i="61"/>
  <c r="DS17" i="61" s="1"/>
  <c r="BQ16" i="61"/>
  <c r="F16" i="61"/>
  <c r="BR16" i="61"/>
  <c r="O16" i="61"/>
  <c r="CA16" i="61"/>
  <c r="AV16" i="61"/>
  <c r="DH16" i="61"/>
  <c r="BE16" i="61"/>
  <c r="DQ16" i="61"/>
  <c r="BO16" i="61"/>
  <c r="L16" i="61"/>
  <c r="BX16" i="61"/>
  <c r="M16" i="61"/>
  <c r="BY16" i="61"/>
  <c r="N16" i="61"/>
  <c r="BZ16" i="61"/>
  <c r="W16" i="61"/>
  <c r="CI16" i="61"/>
  <c r="R16" i="61"/>
  <c r="AX16" i="61"/>
  <c r="BD16" i="61"/>
  <c r="DP16" i="61"/>
  <c r="BM16" i="61"/>
  <c r="K16" i="61"/>
  <c r="BW16" i="61"/>
  <c r="T16" i="61"/>
  <c r="CF16" i="61"/>
  <c r="U16" i="61"/>
  <c r="CG16" i="61"/>
  <c r="V16" i="61"/>
  <c r="CH16" i="61"/>
  <c r="AE16" i="61"/>
  <c r="CQ16" i="61"/>
  <c r="CD16" i="61"/>
  <c r="DJ16" i="61"/>
  <c r="BL16" i="61"/>
  <c r="I16" i="61"/>
  <c r="BU16" i="61"/>
  <c r="S16" i="61"/>
  <c r="CE16" i="61"/>
  <c r="AB16" i="61"/>
  <c r="CN16" i="61"/>
  <c r="AC16" i="61"/>
  <c r="CO16" i="61"/>
  <c r="AD16" i="61"/>
  <c r="CP16" i="61"/>
  <c r="AM16" i="61"/>
  <c r="CY16" i="61"/>
  <c r="CV20" i="49"/>
  <c r="DN20" i="49"/>
  <c r="CZ1" i="46"/>
  <c r="DA6" i="46"/>
  <c r="DB6" i="46" s="1"/>
  <c r="DC6" i="46" s="1"/>
  <c r="DD6" i="46" s="1"/>
  <c r="DE6" i="46" s="1"/>
  <c r="DF6" i="46" s="1"/>
  <c r="DG6" i="46" s="1"/>
  <c r="BQ20" i="49"/>
  <c r="DP20" i="49"/>
  <c r="BM20" i="49"/>
  <c r="AH20" i="49"/>
  <c r="DM20" i="49"/>
  <c r="BR20" i="49"/>
  <c r="AJ20" i="49"/>
  <c r="DH20" i="49"/>
  <c r="AQ20" i="49"/>
  <c r="CL20" i="49"/>
  <c r="DD20" i="49"/>
  <c r="BU20" i="49"/>
  <c r="R20" i="49"/>
  <c r="CE20" i="49"/>
  <c r="AN20" i="49"/>
  <c r="BV20" i="49"/>
  <c r="CG20" i="49"/>
  <c r="AO20" i="49"/>
  <c r="AA20" i="49"/>
  <c r="BN20" i="49"/>
  <c r="CC20" i="49"/>
  <c r="DG20" i="49"/>
  <c r="CI20" i="49"/>
  <c r="DE20" i="49"/>
  <c r="BB20" i="49"/>
  <c r="K20" i="49"/>
  <c r="P20" i="49"/>
  <c r="Q20" i="49"/>
  <c r="AI20" i="49"/>
  <c r="AL20" i="49"/>
  <c r="BZ20" i="49"/>
  <c r="DF20" i="49"/>
  <c r="BF20" i="49"/>
  <c r="BO20" i="49"/>
  <c r="T20" i="49"/>
  <c r="AB20" i="49"/>
  <c r="CZ20" i="49"/>
  <c r="AZ20" i="49"/>
  <c r="H20" i="49"/>
  <c r="BH20" i="49"/>
  <c r="BK20" i="49"/>
  <c r="DQ20" i="49"/>
  <c r="CJ20" i="49"/>
  <c r="CK20" i="49"/>
  <c r="X20" i="49"/>
  <c r="AU20" i="49"/>
  <c r="CW20" i="49"/>
  <c r="BI20" i="49"/>
  <c r="CS20" i="49"/>
  <c r="CN20" i="49"/>
  <c r="C21" i="49"/>
  <c r="DL20" i="49"/>
  <c r="CF20" i="49"/>
  <c r="AP20" i="49"/>
  <c r="CD20" i="49"/>
  <c r="AC20" i="49"/>
  <c r="BW20" i="49"/>
  <c r="Z20" i="49"/>
  <c r="AD20" i="49"/>
  <c r="L20" i="49"/>
  <c r="CB20" i="49"/>
  <c r="M20" i="49"/>
  <c r="BC20" i="49"/>
  <c r="CY20" i="49"/>
  <c r="DK20" i="49"/>
  <c r="F20" i="49"/>
  <c r="BP20" i="49"/>
  <c r="CH20" i="49"/>
  <c r="BE20" i="49"/>
  <c r="AM20" i="49"/>
  <c r="CM20" i="49"/>
  <c r="CQ20" i="49"/>
  <c r="AY20" i="49"/>
  <c r="DS20" i="49"/>
  <c r="DJ20" i="49"/>
  <c r="DO20" i="49"/>
  <c r="CA20" i="49"/>
  <c r="U20" i="49"/>
  <c r="DC20" i="49"/>
  <c r="O20" i="49"/>
  <c r="S20" i="49"/>
  <c r="BS20" i="49"/>
  <c r="CP20" i="49"/>
  <c r="BD20" i="49"/>
  <c r="AE20" i="49"/>
  <c r="AW20" i="49"/>
  <c r="AK20" i="49"/>
  <c r="G20" i="49"/>
  <c r="BT20" i="49"/>
  <c r="DI20" i="49"/>
  <c r="AX20" i="49"/>
  <c r="AF20" i="49"/>
  <c r="I20" i="49"/>
  <c r="AG20" i="49"/>
  <c r="AR20" i="49"/>
  <c r="CR20" i="49"/>
  <c r="BX20" i="49"/>
  <c r="BA20" i="49"/>
  <c r="DR20" i="49"/>
  <c r="AS20" i="49"/>
  <c r="Y20" i="49"/>
  <c r="CO20" i="49"/>
  <c r="N20" i="49"/>
  <c r="DA20" i="49"/>
  <c r="CT20" i="49"/>
  <c r="BL20" i="49"/>
  <c r="BY20" i="49"/>
  <c r="BJ20" i="49"/>
  <c r="AV20" i="49"/>
  <c r="J20" i="49"/>
  <c r="DB20" i="49"/>
  <c r="W20" i="49"/>
  <c r="BG20" i="49"/>
  <c r="V20" i="49"/>
  <c r="DT20" i="49"/>
  <c r="CX20" i="49"/>
  <c r="AT20" i="49"/>
  <c r="DG1" i="48"/>
  <c r="DH6" i="48"/>
  <c r="DI6" i="48" s="1"/>
  <c r="DJ6" i="48" s="1"/>
  <c r="DK6" i="48" s="1"/>
  <c r="DL6" i="48" s="1"/>
  <c r="DM6" i="48" s="1"/>
  <c r="DN6" i="48" s="1"/>
  <c r="E18" i="48"/>
  <c r="C19" i="48" s="1"/>
  <c r="DA6" i="49"/>
  <c r="DB6" i="49" s="1"/>
  <c r="DC6" i="49" s="1"/>
  <c r="DD6" i="49" s="1"/>
  <c r="DE6" i="49" s="1"/>
  <c r="DF6" i="49" s="1"/>
  <c r="DG6" i="49" s="1"/>
  <c r="CZ1" i="49"/>
  <c r="K17" i="61" l="1"/>
  <c r="CE17" i="61"/>
  <c r="AY17" i="61"/>
  <c r="CJ17" i="61"/>
  <c r="CA17" i="61"/>
  <c r="BD17" i="61"/>
  <c r="AD17" i="61"/>
  <c r="BJ17" i="61"/>
  <c r="AR17" i="61"/>
  <c r="DK17" i="61"/>
  <c r="AG17" i="61"/>
  <c r="BM17" i="61"/>
  <c r="DA17" i="61"/>
  <c r="CS17" i="61"/>
  <c r="CP17" i="61"/>
  <c r="R17" i="61"/>
  <c r="O17" i="61"/>
  <c r="AX17" i="61"/>
  <c r="H17" i="61"/>
  <c r="AU17" i="61"/>
  <c r="CL17" i="61"/>
  <c r="X17" i="61"/>
  <c r="CB17" i="61"/>
  <c r="BB17" i="61"/>
  <c r="G17" i="61"/>
  <c r="BS17" i="61"/>
  <c r="Y17" i="61"/>
  <c r="CK17" i="61"/>
  <c r="AP17" i="61"/>
  <c r="DN17" i="61"/>
  <c r="BW17" i="61"/>
  <c r="AJ17" i="61"/>
  <c r="DF17" i="61"/>
  <c r="CW17" i="61"/>
  <c r="AF17" i="61"/>
  <c r="F17" i="61"/>
  <c r="BR17" i="61"/>
  <c r="W17" i="61"/>
  <c r="CI17" i="61"/>
  <c r="AO17" i="61"/>
  <c r="DC17" i="61"/>
  <c r="BF17" i="61"/>
  <c r="S17" i="61"/>
  <c r="CM17" i="61"/>
  <c r="BH17" i="61"/>
  <c r="M17" i="61"/>
  <c r="DP17" i="61"/>
  <c r="DH17" i="61"/>
  <c r="CR17" i="61"/>
  <c r="N17" i="61"/>
  <c r="BZ17" i="61"/>
  <c r="AE17" i="61"/>
  <c r="CQ17" i="61"/>
  <c r="AW17" i="61"/>
  <c r="DM17" i="61"/>
  <c r="BN17" i="61"/>
  <c r="AA17" i="61"/>
  <c r="DE17" i="61"/>
  <c r="BP17" i="61"/>
  <c r="U17" i="61"/>
  <c r="DR17" i="61"/>
  <c r="BL17" i="61"/>
  <c r="AN17" i="61"/>
  <c r="V17" i="61"/>
  <c r="CH17" i="61"/>
  <c r="AM17" i="61"/>
  <c r="CY17" i="61"/>
  <c r="BE17" i="61"/>
  <c r="J17" i="61"/>
  <c r="BV17" i="61"/>
  <c r="AQ17" i="61"/>
  <c r="DO17" i="61"/>
  <c r="BX17" i="61"/>
  <c r="AS17" i="61"/>
  <c r="CF17" i="61"/>
  <c r="BT17" i="61"/>
  <c r="AV17" i="61"/>
  <c r="AL17" i="61"/>
  <c r="CX17" i="61"/>
  <c r="BC17" i="61"/>
  <c r="I17" i="61"/>
  <c r="BU17" i="61"/>
  <c r="Z17" i="61"/>
  <c r="CT17" i="61"/>
  <c r="BG17" i="61"/>
  <c r="T17" i="61"/>
  <c r="CN17" i="61"/>
  <c r="BY17" i="61"/>
  <c r="L17" i="61"/>
  <c r="BA17" i="61"/>
  <c r="P17" i="61"/>
  <c r="DL17" i="61"/>
  <c r="AT17" i="61"/>
  <c r="DI17" i="61"/>
  <c r="BK17" i="61"/>
  <c r="Q17" i="61"/>
  <c r="CC17" i="61"/>
  <c r="AH17" i="61"/>
  <c r="DD17" i="61"/>
  <c r="BO17" i="61"/>
  <c r="AB17" i="61"/>
  <c r="CV17" i="61"/>
  <c r="CO17" i="61"/>
  <c r="DB17" i="61"/>
  <c r="CG17" i="61"/>
  <c r="DJ17" i="61"/>
  <c r="AC17" i="61"/>
  <c r="DG17" i="61"/>
  <c r="AK17" i="61"/>
  <c r="DT17" i="61"/>
  <c r="CD17" i="61"/>
  <c r="AI17" i="61"/>
  <c r="CU17" i="61"/>
  <c r="AZ17" i="61"/>
  <c r="DQ17" i="61"/>
  <c r="BI17" i="61"/>
  <c r="C31" i="61"/>
  <c r="C18" i="61"/>
  <c r="DS31" i="61"/>
  <c r="BG31" i="61"/>
  <c r="DJ31" i="61"/>
  <c r="AX31" i="61"/>
  <c r="CZ31" i="61"/>
  <c r="AN31" i="61"/>
  <c r="CQ31" i="61"/>
  <c r="AE31" i="61"/>
  <c r="CH31" i="61"/>
  <c r="V31" i="61"/>
  <c r="I31" i="61"/>
  <c r="BP31" i="61"/>
  <c r="DA31" i="61"/>
  <c r="BE31" i="61"/>
  <c r="L31" i="61"/>
  <c r="CE31" i="61"/>
  <c r="DQ31" i="61"/>
  <c r="DK31" i="61"/>
  <c r="AY31" i="61"/>
  <c r="DB31" i="61"/>
  <c r="AP31" i="61"/>
  <c r="CR31" i="61"/>
  <c r="AF31" i="61"/>
  <c r="CI31" i="61"/>
  <c r="W31" i="61"/>
  <c r="BZ31" i="61"/>
  <c r="N31" i="61"/>
  <c r="DI31" i="61"/>
  <c r="AS31" i="61"/>
  <c r="CF31" i="61"/>
  <c r="AJ31" i="61"/>
  <c r="DT31" i="61"/>
  <c r="S31" i="61"/>
  <c r="DC31" i="61"/>
  <c r="AQ31" i="61"/>
  <c r="CT31" i="61"/>
  <c r="AH31" i="61"/>
  <c r="CJ31" i="61"/>
  <c r="X31" i="61"/>
  <c r="CA31" i="61"/>
  <c r="O31" i="61"/>
  <c r="BR31" i="61"/>
  <c r="F31" i="61"/>
  <c r="CN31" i="61"/>
  <c r="Y31" i="61"/>
  <c r="BI31" i="61"/>
  <c r="M31" i="61"/>
  <c r="CW31" i="61"/>
  <c r="BV31" i="61"/>
  <c r="CU31" i="61"/>
  <c r="AI31" i="61"/>
  <c r="CL31" i="61"/>
  <c r="Z31" i="61"/>
  <c r="CB31" i="61"/>
  <c r="P31" i="61"/>
  <c r="BS31" i="61"/>
  <c r="G31" i="61"/>
  <c r="BJ31" i="61"/>
  <c r="DL31" i="61"/>
  <c r="BQ31" i="61"/>
  <c r="DD31" i="61"/>
  <c r="AO31" i="61"/>
  <c r="DM31" i="61"/>
  <c r="CC31" i="61"/>
  <c r="BL31" i="61"/>
  <c r="DO31" i="61"/>
  <c r="BC31" i="61"/>
  <c r="DF31" i="61"/>
  <c r="AT31" i="61"/>
  <c r="BU31" i="61"/>
  <c r="AB31" i="61"/>
  <c r="BX31" i="61"/>
  <c r="CM31" i="61"/>
  <c r="AA31" i="61"/>
  <c r="CD31" i="61"/>
  <c r="R31" i="61"/>
  <c r="BT31" i="61"/>
  <c r="H31" i="61"/>
  <c r="BK31" i="61"/>
  <c r="DN31" i="61"/>
  <c r="BB31" i="61"/>
  <c r="CO31" i="61"/>
  <c r="AW31" i="61"/>
  <c r="CG31" i="61"/>
  <c r="T31" i="61"/>
  <c r="CS31" i="61"/>
  <c r="BH31" i="61"/>
  <c r="Q31" i="61"/>
  <c r="J31" i="61"/>
  <c r="BM31" i="61"/>
  <c r="BW31" i="61"/>
  <c r="K31" i="61"/>
  <c r="BN31" i="61"/>
  <c r="DP31" i="61"/>
  <c r="BD31" i="61"/>
  <c r="DG31" i="61"/>
  <c r="AU31" i="61"/>
  <c r="CX31" i="61"/>
  <c r="AL31" i="61"/>
  <c r="AZ31" i="61"/>
  <c r="DE31" i="61"/>
  <c r="AR31" i="61"/>
  <c r="CV31" i="61"/>
  <c r="BA31" i="61"/>
  <c r="AK31" i="61"/>
  <c r="BO31" i="61"/>
  <c r="DR31" i="61"/>
  <c r="BF31" i="61"/>
  <c r="DH31" i="61"/>
  <c r="AV31" i="61"/>
  <c r="CY31" i="61"/>
  <c r="AM31" i="61"/>
  <c r="CP31" i="61"/>
  <c r="AD31" i="61"/>
  <c r="AC31" i="61"/>
  <c r="CK31" i="61"/>
  <c r="U31" i="61"/>
  <c r="BY31" i="61"/>
  <c r="AG31" i="61"/>
  <c r="BQ17" i="61"/>
  <c r="CZ17" i="61"/>
  <c r="DG1" i="46"/>
  <c r="DH6" i="46"/>
  <c r="DI6" i="46" s="1"/>
  <c r="DJ6" i="46" s="1"/>
  <c r="DK6" i="46" s="1"/>
  <c r="DL6" i="46" s="1"/>
  <c r="DM6" i="46" s="1"/>
  <c r="DN6" i="46" s="1"/>
  <c r="E21" i="49"/>
  <c r="C22" i="49" s="1"/>
  <c r="AY18" i="48"/>
  <c r="BI18" i="48"/>
  <c r="DG18" i="48"/>
  <c r="DT18" i="48"/>
  <c r="CS18" i="48"/>
  <c r="BK18" i="48"/>
  <c r="BN18" i="48"/>
  <c r="AF18" i="48"/>
  <c r="F18" i="48"/>
  <c r="AN18" i="48"/>
  <c r="BE18" i="48"/>
  <c r="DA18" i="48"/>
  <c r="DS18" i="48"/>
  <c r="CO18" i="48"/>
  <c r="BZ18" i="48"/>
  <c r="DO18" i="48"/>
  <c r="BD18" i="48"/>
  <c r="AU18" i="48"/>
  <c r="BQ18" i="48"/>
  <c r="AO18" i="48"/>
  <c r="DH18" i="48"/>
  <c r="CD18" i="48"/>
  <c r="DK18" i="48"/>
  <c r="DN18" i="48"/>
  <c r="BM18" i="48"/>
  <c r="AT18" i="48"/>
  <c r="CC18" i="48"/>
  <c r="U18" i="48"/>
  <c r="AK18" i="48"/>
  <c r="BP18" i="48"/>
  <c r="CW18" i="48"/>
  <c r="AH18" i="48"/>
  <c r="BF18" i="48"/>
  <c r="CF18" i="48"/>
  <c r="CN18" i="48"/>
  <c r="AZ18" i="48"/>
  <c r="L18" i="48"/>
  <c r="BY18" i="48"/>
  <c r="AV18" i="48"/>
  <c r="BG18" i="48"/>
  <c r="AS18" i="48"/>
  <c r="DE18" i="48"/>
  <c r="CZ18" i="48"/>
  <c r="CU18" i="48"/>
  <c r="DF18" i="48"/>
  <c r="H18" i="48"/>
  <c r="X18" i="48"/>
  <c r="BH18" i="48"/>
  <c r="CT18" i="48"/>
  <c r="I18" i="48"/>
  <c r="K18" i="48"/>
  <c r="AI18" i="48"/>
  <c r="AJ18" i="48"/>
  <c r="CY18" i="48"/>
  <c r="AE18" i="48"/>
  <c r="DR18" i="48"/>
  <c r="AD18" i="48"/>
  <c r="CR18" i="48"/>
  <c r="DN1" i="48"/>
  <c r="DO6" i="48"/>
  <c r="DP6" i="48" s="1"/>
  <c r="DQ6" i="48" s="1"/>
  <c r="DR6" i="48" s="1"/>
  <c r="DS6" i="48" s="1"/>
  <c r="DT6" i="48" s="1"/>
  <c r="AR18" i="48"/>
  <c r="T18" i="48"/>
  <c r="CE18" i="48"/>
  <c r="BV18" i="48"/>
  <c r="CK18" i="48"/>
  <c r="CA18" i="48"/>
  <c r="R18" i="48"/>
  <c r="BB18" i="48"/>
  <c r="DD18" i="48"/>
  <c r="CH18" i="48"/>
  <c r="CB18" i="48"/>
  <c r="Z18" i="48"/>
  <c r="BO18" i="48"/>
  <c r="G18" i="48"/>
  <c r="BS18" i="48"/>
  <c r="S18" i="48"/>
  <c r="M18" i="48"/>
  <c r="Y18" i="48"/>
  <c r="AA18" i="48"/>
  <c r="DQ18" i="48"/>
  <c r="J18" i="48"/>
  <c r="AM18" i="48"/>
  <c r="AC18" i="48"/>
  <c r="AG18" i="48"/>
  <c r="O18" i="48"/>
  <c r="BU18" i="48"/>
  <c r="CP18" i="48"/>
  <c r="CJ18" i="48"/>
  <c r="CG18" i="48"/>
  <c r="CI18" i="48"/>
  <c r="BW18" i="48"/>
  <c r="DJ18" i="48"/>
  <c r="P18" i="48"/>
  <c r="CX18" i="48"/>
  <c r="AB18" i="48"/>
  <c r="BX18" i="48"/>
  <c r="DL18" i="48"/>
  <c r="DP18" i="48"/>
  <c r="N18" i="48"/>
  <c r="BT18" i="48"/>
  <c r="CL18" i="48"/>
  <c r="AQ18" i="48"/>
  <c r="CV18" i="48"/>
  <c r="V18" i="48"/>
  <c r="AP18" i="48"/>
  <c r="W18" i="48"/>
  <c r="DI18" i="48"/>
  <c r="BL18" i="48"/>
  <c r="DB18" i="48"/>
  <c r="BJ18" i="48"/>
  <c r="BC18" i="48"/>
  <c r="BR18" i="48"/>
  <c r="CQ18" i="48"/>
  <c r="Q18" i="48"/>
  <c r="AL18" i="48"/>
  <c r="CM18" i="48"/>
  <c r="AW18" i="48"/>
  <c r="DM18" i="48"/>
  <c r="AX18" i="48"/>
  <c r="DC18" i="48"/>
  <c r="BA18" i="48"/>
  <c r="E19" i="48"/>
  <c r="C20" i="48" s="1"/>
  <c r="DG1" i="49"/>
  <c r="DH6" i="49"/>
  <c r="DI6" i="49" s="1"/>
  <c r="DJ6" i="49" s="1"/>
  <c r="DK6" i="49" s="1"/>
  <c r="DL6" i="49" s="1"/>
  <c r="DM6" i="49" s="1"/>
  <c r="DN6" i="49" s="1"/>
  <c r="E18" i="61" l="1"/>
  <c r="C19" i="61" s="1"/>
  <c r="CH21" i="49"/>
  <c r="AX21" i="49"/>
  <c r="DI21" i="49"/>
  <c r="V21" i="49"/>
  <c r="CU21" i="49"/>
  <c r="CS21" i="49"/>
  <c r="AS21" i="49"/>
  <c r="DO21" i="49"/>
  <c r="BW21" i="49"/>
  <c r="L21" i="49"/>
  <c r="O21" i="49"/>
  <c r="DC21" i="49"/>
  <c r="G21" i="49"/>
  <c r="DJ21" i="49"/>
  <c r="DE21" i="49"/>
  <c r="AH21" i="49"/>
  <c r="AK21" i="49"/>
  <c r="BM21" i="49"/>
  <c r="AL21" i="49"/>
  <c r="N21" i="49"/>
  <c r="R21" i="49"/>
  <c r="BH21" i="49"/>
  <c r="Z21" i="49"/>
  <c r="DN21" i="49"/>
  <c r="DS21" i="49"/>
  <c r="BY21" i="49"/>
  <c r="DB21" i="49"/>
  <c r="AO21" i="49"/>
  <c r="CY21" i="49"/>
  <c r="DA21" i="49"/>
  <c r="BR21" i="49"/>
  <c r="BB21" i="49"/>
  <c r="DL21" i="49"/>
  <c r="BK21" i="49"/>
  <c r="X21" i="49"/>
  <c r="P21" i="49"/>
  <c r="Q21" i="49"/>
  <c r="BT21" i="49"/>
  <c r="CP21" i="49"/>
  <c r="CW21" i="49"/>
  <c r="CD21" i="49"/>
  <c r="AN21" i="49"/>
  <c r="BJ21" i="49"/>
  <c r="DQ21" i="49"/>
  <c r="CX21" i="49"/>
  <c r="DN1" i="46"/>
  <c r="DO6" i="46"/>
  <c r="DP6" i="46" s="1"/>
  <c r="DQ6" i="46" s="1"/>
  <c r="DR6" i="46" s="1"/>
  <c r="DS6" i="46" s="1"/>
  <c r="DT6" i="46" s="1"/>
  <c r="BC21" i="49"/>
  <c r="BV21" i="49"/>
  <c r="CG21" i="49"/>
  <c r="BU21" i="49"/>
  <c r="AC21" i="49"/>
  <c r="CL21" i="49"/>
  <c r="CO21" i="49"/>
  <c r="BG21" i="49"/>
  <c r="DT21" i="49"/>
  <c r="AV21" i="49"/>
  <c r="DP21" i="49"/>
  <c r="AQ21" i="49"/>
  <c r="BL21" i="49"/>
  <c r="BN21" i="49"/>
  <c r="CJ21" i="49"/>
  <c r="CN21" i="49"/>
  <c r="Y21" i="49"/>
  <c r="BA21" i="49"/>
  <c r="K21" i="49"/>
  <c r="U21" i="49"/>
  <c r="BF21" i="49"/>
  <c r="CC21" i="49"/>
  <c r="AM21" i="49"/>
  <c r="AF21" i="49"/>
  <c r="DH21" i="49"/>
  <c r="BE21" i="49"/>
  <c r="AJ21" i="49"/>
  <c r="CB21" i="49"/>
  <c r="CV21" i="49"/>
  <c r="CQ21" i="49"/>
  <c r="CK21" i="49"/>
  <c r="DG21" i="49"/>
  <c r="DK21" i="49"/>
  <c r="CT21" i="49"/>
  <c r="T21" i="49"/>
  <c r="I21" i="49"/>
  <c r="BX21" i="49"/>
  <c r="AW21" i="49"/>
  <c r="H21" i="49"/>
  <c r="CM21" i="49"/>
  <c r="J21" i="49"/>
  <c r="W21" i="49"/>
  <c r="DF21" i="49"/>
  <c r="CF21" i="49"/>
  <c r="AA21" i="49"/>
  <c r="DD21" i="49"/>
  <c r="AI21" i="49"/>
  <c r="DR21" i="49"/>
  <c r="AB21" i="49"/>
  <c r="CE21" i="49"/>
  <c r="AE21" i="49"/>
  <c r="DM21" i="49"/>
  <c r="M21" i="49"/>
  <c r="AT21" i="49"/>
  <c r="BI21" i="49"/>
  <c r="AD21" i="49"/>
  <c r="BD21" i="49"/>
  <c r="BP21" i="49"/>
  <c r="E22" i="49"/>
  <c r="C23" i="49" s="1"/>
  <c r="CA21" i="49"/>
  <c r="AY21" i="49"/>
  <c r="F21" i="49"/>
  <c r="AZ21" i="49"/>
  <c r="CR21" i="49"/>
  <c r="CZ21" i="49"/>
  <c r="AG21" i="49"/>
  <c r="BS21" i="49"/>
  <c r="BZ21" i="49"/>
  <c r="S21" i="49"/>
  <c r="BQ21" i="49"/>
  <c r="CI21" i="49"/>
  <c r="AU21" i="49"/>
  <c r="BO21" i="49"/>
  <c r="AR21" i="49"/>
  <c r="AP21" i="49"/>
  <c r="CB19" i="48"/>
  <c r="AS19" i="48"/>
  <c r="W19" i="48"/>
  <c r="CQ19" i="48"/>
  <c r="AB19" i="48"/>
  <c r="Z19" i="48"/>
  <c r="DE19" i="48"/>
  <c r="DG19" i="48"/>
  <c r="AV19" i="48"/>
  <c r="BP19" i="48"/>
  <c r="T19" i="48"/>
  <c r="DR19" i="48"/>
  <c r="BV19" i="48"/>
  <c r="DD19" i="48"/>
  <c r="V19" i="48"/>
  <c r="CO19" i="48"/>
  <c r="N19" i="48"/>
  <c r="DS19" i="48"/>
  <c r="AQ19" i="48"/>
  <c r="S19" i="48"/>
  <c r="AI19" i="48"/>
  <c r="H19" i="48"/>
  <c r="BA19" i="48"/>
  <c r="R19" i="48"/>
  <c r="Q19" i="48"/>
  <c r="CT19" i="48"/>
  <c r="BF19" i="48"/>
  <c r="BN19" i="48"/>
  <c r="DF19" i="48"/>
  <c r="AN19" i="48"/>
  <c r="AK19" i="48"/>
  <c r="AT19" i="48"/>
  <c r="DL19" i="48"/>
  <c r="BX19" i="48"/>
  <c r="BS19" i="48"/>
  <c r="AU19" i="48"/>
  <c r="CJ19" i="48"/>
  <c r="DQ19" i="48"/>
  <c r="AD19" i="48"/>
  <c r="U19" i="48"/>
  <c r="M19" i="48"/>
  <c r="BK19" i="48"/>
  <c r="BO19" i="48"/>
  <c r="BW19" i="48"/>
  <c r="AC19" i="48"/>
  <c r="DB19" i="48"/>
  <c r="BR19" i="48"/>
  <c r="I19" i="48"/>
  <c r="DO19" i="48"/>
  <c r="AA19" i="48"/>
  <c r="F19" i="48"/>
  <c r="AZ19" i="48"/>
  <c r="CD19" i="48"/>
  <c r="CF19" i="48"/>
  <c r="DN19" i="48"/>
  <c r="CE19" i="48"/>
  <c r="BC19" i="48"/>
  <c r="E20" i="48"/>
  <c r="C21" i="48" s="1"/>
  <c r="G19" i="48"/>
  <c r="BB19" i="48"/>
  <c r="AR19" i="48"/>
  <c r="AJ19" i="48"/>
  <c r="CK19" i="48"/>
  <c r="J19" i="48"/>
  <c r="X19" i="48"/>
  <c r="CH19" i="48"/>
  <c r="DT19" i="48"/>
  <c r="O19" i="48"/>
  <c r="BT19" i="48"/>
  <c r="DM19" i="48"/>
  <c r="BD19" i="48"/>
  <c r="BZ19" i="48"/>
  <c r="CN19" i="48"/>
  <c r="P19" i="48"/>
  <c r="CG19" i="48"/>
  <c r="AL19" i="48"/>
  <c r="AO19" i="48"/>
  <c r="CY19" i="48"/>
  <c r="CS19" i="48"/>
  <c r="BL19" i="48"/>
  <c r="BQ19" i="48"/>
  <c r="BE19" i="48"/>
  <c r="K19" i="48"/>
  <c r="AX19" i="48"/>
  <c r="DJ19" i="48"/>
  <c r="L19" i="48"/>
  <c r="CR19" i="48"/>
  <c r="AF19" i="48"/>
  <c r="AM19" i="48"/>
  <c r="CM19" i="48"/>
  <c r="BU19" i="48"/>
  <c r="CC19" i="48"/>
  <c r="CP19" i="48"/>
  <c r="DP19" i="48"/>
  <c r="DI19" i="48"/>
  <c r="BM19" i="48"/>
  <c r="AP19" i="48"/>
  <c r="AG19" i="48"/>
  <c r="BI19" i="48"/>
  <c r="CV19" i="48"/>
  <c r="CL19" i="48"/>
  <c r="DH19" i="48"/>
  <c r="CX19" i="48"/>
  <c r="CA19" i="48"/>
  <c r="DK19" i="48"/>
  <c r="CI19" i="48"/>
  <c r="DA19" i="48"/>
  <c r="AW19" i="48"/>
  <c r="CZ19" i="48"/>
  <c r="CW19" i="48"/>
  <c r="AH19" i="48"/>
  <c r="AY19" i="48"/>
  <c r="BG19" i="48"/>
  <c r="Y19" i="48"/>
  <c r="DC19" i="48"/>
  <c r="BH19" i="48"/>
  <c r="BY19" i="48"/>
  <c r="AE19" i="48"/>
  <c r="CU19" i="48"/>
  <c r="BJ19" i="48"/>
  <c r="DO6" i="49"/>
  <c r="DP6" i="49" s="1"/>
  <c r="DQ6" i="49" s="1"/>
  <c r="DR6" i="49" s="1"/>
  <c r="DS6" i="49" s="1"/>
  <c r="DT6" i="49" s="1"/>
  <c r="DN1" i="49"/>
  <c r="DR18" i="61" l="1"/>
  <c r="AE18" i="61"/>
  <c r="DB18" i="61"/>
  <c r="DC18" i="61"/>
  <c r="BS18" i="61"/>
  <c r="BH18" i="61"/>
  <c r="S18" i="61"/>
  <c r="DL18" i="61"/>
  <c r="Z18" i="61"/>
  <c r="DD18" i="61"/>
  <c r="M18" i="61"/>
  <c r="DM18" i="61"/>
  <c r="BM18" i="61"/>
  <c r="CO18" i="61"/>
  <c r="F18" i="61"/>
  <c r="CF18" i="61"/>
  <c r="BR18" i="61"/>
  <c r="P18" i="61"/>
  <c r="O18" i="61"/>
  <c r="AJ18" i="61"/>
  <c r="CB18" i="61"/>
  <c r="E19" i="61"/>
  <c r="C20" i="61" s="1"/>
  <c r="CN18" i="61"/>
  <c r="CD18" i="61"/>
  <c r="BG18" i="61"/>
  <c r="AI18" i="61"/>
  <c r="K18" i="61"/>
  <c r="DJ18" i="61"/>
  <c r="CW18" i="61"/>
  <c r="CM18" i="61"/>
  <c r="AW18" i="61"/>
  <c r="DI18" i="61"/>
  <c r="BB18" i="61"/>
  <c r="DN18" i="61"/>
  <c r="BL18" i="61"/>
  <c r="AU18" i="61"/>
  <c r="W18" i="61"/>
  <c r="L18" i="61"/>
  <c r="DK18" i="61"/>
  <c r="CY18" i="61"/>
  <c r="BE18" i="61"/>
  <c r="DQ18" i="61"/>
  <c r="BJ18" i="61"/>
  <c r="H18" i="61"/>
  <c r="BT18" i="61"/>
  <c r="AR18" i="61"/>
  <c r="AB18" i="61"/>
  <c r="R18" i="61"/>
  <c r="DO18" i="61"/>
  <c r="CT18" i="61"/>
  <c r="BV18" i="61"/>
  <c r="AX18" i="61"/>
  <c r="AK18" i="61"/>
  <c r="AA18" i="61"/>
  <c r="I18" i="61"/>
  <c r="BU18" i="61"/>
  <c r="N18" i="61"/>
  <c r="BZ18" i="61"/>
  <c r="X18" i="61"/>
  <c r="CJ18" i="61"/>
  <c r="BF18" i="61"/>
  <c r="AP18" i="61"/>
  <c r="AC18" i="61"/>
  <c r="G18" i="61"/>
  <c r="DE18" i="61"/>
  <c r="CG18" i="61"/>
  <c r="BI18" i="61"/>
  <c r="AY18" i="61"/>
  <c r="AM18" i="61"/>
  <c r="Q18" i="61"/>
  <c r="CC18" i="61"/>
  <c r="V18" i="61"/>
  <c r="CH18" i="61"/>
  <c r="AF18" i="61"/>
  <c r="CR18" i="61"/>
  <c r="BQ18" i="61"/>
  <c r="BA18" i="61"/>
  <c r="AQ18" i="61"/>
  <c r="T18" i="61"/>
  <c r="DS18" i="61"/>
  <c r="CU18" i="61"/>
  <c r="BW18" i="61"/>
  <c r="BK18" i="61"/>
  <c r="AZ18" i="61"/>
  <c r="Y18" i="61"/>
  <c r="CK18" i="61"/>
  <c r="AD18" i="61"/>
  <c r="CP18" i="61"/>
  <c r="AN18" i="61"/>
  <c r="CZ18" i="61"/>
  <c r="CE18" i="61"/>
  <c r="BO18" i="61"/>
  <c r="BC18" i="61"/>
  <c r="AH18" i="61"/>
  <c r="J18" i="61"/>
  <c r="DG18" i="61"/>
  <c r="CI18" i="61"/>
  <c r="BX18" i="61"/>
  <c r="BN18" i="61"/>
  <c r="AG18" i="61"/>
  <c r="CS18" i="61"/>
  <c r="AL18" i="61"/>
  <c r="CX18" i="61"/>
  <c r="AV18" i="61"/>
  <c r="DH18" i="61"/>
  <c r="CQ18" i="61"/>
  <c r="CA18" i="61"/>
  <c r="BP18" i="61"/>
  <c r="AS18" i="61"/>
  <c r="U18" i="61"/>
  <c r="DT18" i="61"/>
  <c r="CV18" i="61"/>
  <c r="CL18" i="61"/>
  <c r="BY18" i="61"/>
  <c r="AO18" i="61"/>
  <c r="DA18" i="61"/>
  <c r="AT18" i="61"/>
  <c r="DF18" i="61"/>
  <c r="BD18" i="61"/>
  <c r="DP18" i="61"/>
  <c r="DB22" i="49"/>
  <c r="CQ22" i="49"/>
  <c r="CR22" i="49"/>
  <c r="CO22" i="49"/>
  <c r="DI22" i="49"/>
  <c r="N22" i="49"/>
  <c r="AI22" i="49"/>
  <c r="AR22" i="49"/>
  <c r="CN22" i="49"/>
  <c r="BI22" i="49"/>
  <c r="BX22" i="49"/>
  <c r="AV22" i="49"/>
  <c r="BS22" i="49"/>
  <c r="AA22" i="49"/>
  <c r="BF22" i="49"/>
  <c r="AN22" i="49"/>
  <c r="BE22" i="49"/>
  <c r="CX22" i="49"/>
  <c r="AH22" i="49"/>
  <c r="CY22" i="49"/>
  <c r="G22" i="49"/>
  <c r="BQ22" i="49"/>
  <c r="CG22" i="49"/>
  <c r="CJ22" i="49"/>
  <c r="BA22" i="49"/>
  <c r="DK22" i="49"/>
  <c r="AB22" i="49"/>
  <c r="CS22" i="49"/>
  <c r="BD22" i="49"/>
  <c r="DM22" i="49"/>
  <c r="DS22" i="49"/>
  <c r="DH22" i="49"/>
  <c r="M22" i="49"/>
  <c r="H22" i="49"/>
  <c r="CK22" i="49"/>
  <c r="CT22" i="49"/>
  <c r="CM22" i="49"/>
  <c r="DG22" i="49"/>
  <c r="CL22" i="49"/>
  <c r="AX22" i="49"/>
  <c r="AD22" i="49"/>
  <c r="X22" i="49"/>
  <c r="BR22" i="49"/>
  <c r="R22" i="49"/>
  <c r="BP22" i="49"/>
  <c r="T22" i="49"/>
  <c r="BY22" i="49"/>
  <c r="CP22" i="49"/>
  <c r="DL22" i="49"/>
  <c r="BN22" i="49"/>
  <c r="CD22" i="49"/>
  <c r="BC22" i="49"/>
  <c r="DT22" i="49"/>
  <c r="O22" i="49"/>
  <c r="AG22" i="49"/>
  <c r="CW22" i="49"/>
  <c r="AE22" i="49"/>
  <c r="DR22" i="49"/>
  <c r="DJ22" i="49"/>
  <c r="BT22" i="49"/>
  <c r="DA22" i="49"/>
  <c r="BW22" i="49"/>
  <c r="F22" i="49"/>
  <c r="BH22" i="49"/>
  <c r="U22" i="49"/>
  <c r="BG22" i="49"/>
  <c r="CI22" i="49"/>
  <c r="P22" i="49"/>
  <c r="AF22" i="49"/>
  <c r="Y22" i="49"/>
  <c r="AT22" i="49"/>
  <c r="BB22" i="49"/>
  <c r="CU22" i="49"/>
  <c r="CF22" i="49"/>
  <c r="CA22" i="49"/>
  <c r="AP22" i="49"/>
  <c r="BM22" i="49"/>
  <c r="AK22" i="49"/>
  <c r="W22" i="49"/>
  <c r="AJ22" i="49"/>
  <c r="BK22" i="49"/>
  <c r="L22" i="49"/>
  <c r="DO22" i="49"/>
  <c r="AL22" i="49"/>
  <c r="DP22" i="49"/>
  <c r="BJ22" i="49"/>
  <c r="J22" i="49"/>
  <c r="CB22" i="49"/>
  <c r="S22" i="49"/>
  <c r="AS22" i="49"/>
  <c r="I22" i="49"/>
  <c r="Q22" i="49"/>
  <c r="DF22" i="49"/>
  <c r="AU22" i="49"/>
  <c r="AM22" i="49"/>
  <c r="BU22" i="49"/>
  <c r="K22" i="49"/>
  <c r="V22" i="49"/>
  <c r="DN22" i="49"/>
  <c r="AW22" i="49"/>
  <c r="CZ22" i="49"/>
  <c r="BZ22" i="49"/>
  <c r="CV22" i="49"/>
  <c r="BL22" i="49"/>
  <c r="DE22" i="49"/>
  <c r="DC22" i="49"/>
  <c r="CE22" i="49"/>
  <c r="AY22" i="49"/>
  <c r="BO22" i="49"/>
  <c r="DD22" i="49"/>
  <c r="AC22" i="49"/>
  <c r="Z22" i="49"/>
  <c r="BV22" i="49"/>
  <c r="AZ22" i="49"/>
  <c r="CC22" i="49"/>
  <c r="DQ22" i="49"/>
  <c r="CH22" i="49"/>
  <c r="AO22" i="49"/>
  <c r="AQ22" i="49"/>
  <c r="E23" i="49"/>
  <c r="AH23" i="49" s="1"/>
  <c r="AY20" i="48"/>
  <c r="AW20" i="48"/>
  <c r="Q20" i="48"/>
  <c r="BH20" i="48"/>
  <c r="J20" i="48"/>
  <c r="AT20" i="48"/>
  <c r="DF20" i="48"/>
  <c r="DS20" i="48"/>
  <c r="BQ20" i="48"/>
  <c r="AU20" i="48"/>
  <c r="AL20" i="48"/>
  <c r="M20" i="48"/>
  <c r="CG20" i="48"/>
  <c r="AC20" i="48"/>
  <c r="F20" i="48"/>
  <c r="V20" i="48"/>
  <c r="T20" i="48"/>
  <c r="CE20" i="48"/>
  <c r="DE20" i="48"/>
  <c r="CO20" i="48"/>
  <c r="CN20" i="48"/>
  <c r="CK20" i="48"/>
  <c r="DJ20" i="48"/>
  <c r="S20" i="48"/>
  <c r="DQ20" i="48"/>
  <c r="BG20" i="48"/>
  <c r="BP20" i="48"/>
  <c r="BN20" i="48"/>
  <c r="AV20" i="48"/>
  <c r="W20" i="48"/>
  <c r="AX20" i="48"/>
  <c r="CD20" i="48"/>
  <c r="DP20" i="48"/>
  <c r="G20" i="48"/>
  <c r="CI20" i="48"/>
  <c r="DD20" i="48"/>
  <c r="AN20" i="48"/>
  <c r="AP20" i="48"/>
  <c r="BW20" i="48"/>
  <c r="BT20" i="48"/>
  <c r="L20" i="48"/>
  <c r="BL20" i="48"/>
  <c r="DT20" i="48"/>
  <c r="DA20" i="48"/>
  <c r="AF20" i="48"/>
  <c r="R20" i="48"/>
  <c r="AG20" i="48"/>
  <c r="BD20" i="48"/>
  <c r="BJ20" i="48"/>
  <c r="CT20" i="48"/>
  <c r="AZ20" i="48"/>
  <c r="CY20" i="48"/>
  <c r="CP20" i="48"/>
  <c r="AA20" i="48"/>
  <c r="CW20" i="48"/>
  <c r="CL20" i="48"/>
  <c r="U20" i="48"/>
  <c r="E21" i="48"/>
  <c r="C22" i="48" s="1"/>
  <c r="P20" i="48"/>
  <c r="CA20" i="48"/>
  <c r="BF20" i="48"/>
  <c r="BX20" i="48"/>
  <c r="BR20" i="48"/>
  <c r="AD20" i="48"/>
  <c r="CH20" i="48"/>
  <c r="X20" i="48"/>
  <c r="BB20" i="48"/>
  <c r="AR20" i="48"/>
  <c r="K20" i="48"/>
  <c r="CX20" i="48"/>
  <c r="AJ20" i="48"/>
  <c r="BM20" i="48"/>
  <c r="DM20" i="48"/>
  <c r="CU20" i="48"/>
  <c r="Z20" i="48"/>
  <c r="BC20" i="48"/>
  <c r="AS20" i="48"/>
  <c r="AI20" i="48"/>
  <c r="Y20" i="48"/>
  <c r="BO20" i="48"/>
  <c r="AK20" i="48"/>
  <c r="DR20" i="48"/>
  <c r="CC20" i="48"/>
  <c r="DN20" i="48"/>
  <c r="CV20" i="48"/>
  <c r="CF20" i="48"/>
  <c r="H20" i="48"/>
  <c r="DK20" i="48"/>
  <c r="CS20" i="48"/>
  <c r="CZ20" i="48"/>
  <c r="DI20" i="48"/>
  <c r="AM20" i="48"/>
  <c r="AO20" i="48"/>
  <c r="BU20" i="48"/>
  <c r="DL20" i="48"/>
  <c r="BI20" i="48"/>
  <c r="AB20" i="48"/>
  <c r="DG20" i="48"/>
  <c r="O20" i="48"/>
  <c r="CB20" i="48"/>
  <c r="CQ20" i="48"/>
  <c r="BK20" i="48"/>
  <c r="CJ20" i="48"/>
  <c r="DC20" i="48"/>
  <c r="N20" i="48"/>
  <c r="AQ20" i="48"/>
  <c r="BY20" i="48"/>
  <c r="BV20" i="48"/>
  <c r="AE20" i="48"/>
  <c r="I20" i="48"/>
  <c r="DO20" i="48"/>
  <c r="DH20" i="48"/>
  <c r="BA20" i="48"/>
  <c r="BZ20" i="48"/>
  <c r="CR20" i="48"/>
  <c r="DB20" i="48"/>
  <c r="CM20" i="48"/>
  <c r="AH20" i="48"/>
  <c r="BS20" i="48"/>
  <c r="BE20" i="48"/>
  <c r="BT19" i="61" l="1"/>
  <c r="DN19" i="61"/>
  <c r="CA19" i="61"/>
  <c r="BV19" i="61"/>
  <c r="CS19" i="61"/>
  <c r="Y19" i="61"/>
  <c r="BN19" i="61"/>
  <c r="BI19" i="61"/>
  <c r="CZ19" i="61"/>
  <c r="BE19" i="61"/>
  <c r="AL19" i="61"/>
  <c r="AT19" i="61"/>
  <c r="O19" i="61"/>
  <c r="Z19" i="61"/>
  <c r="AW19" i="61"/>
  <c r="BS19" i="61"/>
  <c r="BB19" i="61"/>
  <c r="BH19" i="61"/>
  <c r="AF19" i="61"/>
  <c r="AY19" i="61"/>
  <c r="AO19" i="61"/>
  <c r="CD19" i="61"/>
  <c r="CT19" i="61"/>
  <c r="DK19" i="61"/>
  <c r="CB19" i="61"/>
  <c r="AU19" i="61"/>
  <c r="AP19" i="61"/>
  <c r="BM19" i="61"/>
  <c r="CI19" i="61"/>
  <c r="CX19" i="61"/>
  <c r="BP19" i="61"/>
  <c r="CJ19" i="61"/>
  <c r="AV19" i="61"/>
  <c r="BG19" i="61"/>
  <c r="BL19" i="61"/>
  <c r="BU19" i="61"/>
  <c r="DJ19" i="61"/>
  <c r="DS19" i="61"/>
  <c r="BK19" i="61"/>
  <c r="BF19" i="61"/>
  <c r="CC19" i="61"/>
  <c r="CY19" i="61"/>
  <c r="DF19" i="61"/>
  <c r="DT19" i="61"/>
  <c r="E20" i="61"/>
  <c r="C21" i="61" s="1"/>
  <c r="BQ19" i="61"/>
  <c r="BO19" i="61"/>
  <c r="L19" i="61"/>
  <c r="BX19" i="61"/>
  <c r="M19" i="61"/>
  <c r="BY19" i="61"/>
  <c r="DO19" i="61"/>
  <c r="DP19" i="61"/>
  <c r="BJ19" i="61"/>
  <c r="K19" i="61"/>
  <c r="BW19" i="61"/>
  <c r="T19" i="61"/>
  <c r="CF19" i="61"/>
  <c r="U19" i="61"/>
  <c r="CG19" i="61"/>
  <c r="AE19" i="61"/>
  <c r="CK19" i="61"/>
  <c r="CL19" i="61"/>
  <c r="CR19" i="61"/>
  <c r="DI19" i="61"/>
  <c r="G19" i="61"/>
  <c r="H19" i="61"/>
  <c r="F19" i="61"/>
  <c r="BR19" i="61"/>
  <c r="S19" i="61"/>
  <c r="CE19" i="61"/>
  <c r="AB19" i="61"/>
  <c r="CN19" i="61"/>
  <c r="AC19" i="61"/>
  <c r="CO19" i="61"/>
  <c r="CQ19" i="61"/>
  <c r="DA19" i="61"/>
  <c r="DB19" i="61"/>
  <c r="DH19" i="61"/>
  <c r="R19" i="61"/>
  <c r="W19" i="61"/>
  <c r="X19" i="61"/>
  <c r="N19" i="61"/>
  <c r="BZ19" i="61"/>
  <c r="AA19" i="61"/>
  <c r="CM19" i="61"/>
  <c r="AJ19" i="61"/>
  <c r="CV19" i="61"/>
  <c r="AK19" i="61"/>
  <c r="CW19" i="61"/>
  <c r="DG19" i="61"/>
  <c r="DQ19" i="61"/>
  <c r="DR19" i="61"/>
  <c r="Q19" i="61"/>
  <c r="AH19" i="61"/>
  <c r="AM19" i="61"/>
  <c r="AN19" i="61"/>
  <c r="V19" i="61"/>
  <c r="CH19" i="61"/>
  <c r="AI19" i="61"/>
  <c r="CU19" i="61"/>
  <c r="AR19" i="61"/>
  <c r="DD19" i="61"/>
  <c r="AS19" i="61"/>
  <c r="DE19" i="61"/>
  <c r="I19" i="61"/>
  <c r="J19" i="61"/>
  <c r="P19" i="61"/>
  <c r="AG19" i="61"/>
  <c r="AX19" i="61"/>
  <c r="BC19" i="61"/>
  <c r="BD19" i="61"/>
  <c r="AD19" i="61"/>
  <c r="CP19" i="61"/>
  <c r="AQ19" i="61"/>
  <c r="DC19" i="61"/>
  <c r="AZ19" i="61"/>
  <c r="DL19" i="61"/>
  <c r="BA19" i="61"/>
  <c r="DM19" i="61"/>
  <c r="BZ23" i="49"/>
  <c r="AE23" i="49"/>
  <c r="AB23" i="49"/>
  <c r="DI23" i="49"/>
  <c r="CL23" i="49"/>
  <c r="S23" i="49"/>
  <c r="DN23" i="49"/>
  <c r="AR23" i="49"/>
  <c r="BS23" i="49"/>
  <c r="AC23" i="49"/>
  <c r="BT23" i="49"/>
  <c r="AN23" i="49"/>
  <c r="CB23" i="49"/>
  <c r="DJ23" i="49"/>
  <c r="L23" i="49"/>
  <c r="DM23" i="49"/>
  <c r="BX23" i="49"/>
  <c r="V23" i="49"/>
  <c r="K23" i="49"/>
  <c r="DR23" i="49"/>
  <c r="CI23" i="49"/>
  <c r="BF23" i="49"/>
  <c r="AT23" i="49"/>
  <c r="CG23" i="49"/>
  <c r="N23" i="49"/>
  <c r="DQ23" i="49"/>
  <c r="BG23" i="49"/>
  <c r="AP23" i="49"/>
  <c r="P23" i="49"/>
  <c r="Q23" i="49"/>
  <c r="CM23" i="49"/>
  <c r="CU23" i="49"/>
  <c r="AI23" i="49"/>
  <c r="G23" i="49"/>
  <c r="Y23" i="49"/>
  <c r="BJ23" i="49"/>
  <c r="H23" i="49"/>
  <c r="DD23" i="49"/>
  <c r="BV23" i="49"/>
  <c r="AA23" i="49"/>
  <c r="AV23" i="49"/>
  <c r="T23" i="49"/>
  <c r="CJ23" i="49"/>
  <c r="BN23" i="49"/>
  <c r="W23" i="49"/>
  <c r="U23" i="49"/>
  <c r="DS23" i="49"/>
  <c r="DL23" i="49"/>
  <c r="BP23" i="49"/>
  <c r="AS23" i="49"/>
  <c r="DK23" i="49"/>
  <c r="CQ23" i="49"/>
  <c r="AX23" i="49"/>
  <c r="AJ23" i="49"/>
  <c r="J23" i="49"/>
  <c r="CS23" i="49"/>
  <c r="AL23" i="49"/>
  <c r="BO23" i="49"/>
  <c r="F23" i="49"/>
  <c r="CE23" i="49"/>
  <c r="DP23" i="49"/>
  <c r="CK23" i="49"/>
  <c r="DC23" i="49"/>
  <c r="CO23" i="49"/>
  <c r="BR23" i="49"/>
  <c r="CY23" i="49"/>
  <c r="AF23" i="49"/>
  <c r="CH23" i="49"/>
  <c r="CX23" i="49"/>
  <c r="BQ23" i="49"/>
  <c r="DB23" i="49"/>
  <c r="CV23" i="49"/>
  <c r="BY23" i="49"/>
  <c r="CZ23" i="49"/>
  <c r="CA23" i="49"/>
  <c r="BA23" i="49"/>
  <c r="AW23" i="49"/>
  <c r="CW23" i="49"/>
  <c r="CP23" i="49"/>
  <c r="AQ23" i="49"/>
  <c r="X23" i="49"/>
  <c r="DE23" i="49"/>
  <c r="DF23" i="49"/>
  <c r="BW23" i="49"/>
  <c r="CF23" i="49"/>
  <c r="BD23" i="49"/>
  <c r="CT23" i="49"/>
  <c r="CN23" i="49"/>
  <c r="DH23" i="49"/>
  <c r="AM23" i="49"/>
  <c r="BB23" i="49"/>
  <c r="AZ23" i="49"/>
  <c r="M23" i="49"/>
  <c r="Z23" i="49"/>
  <c r="BM23" i="49"/>
  <c r="AO23" i="49"/>
  <c r="BL23" i="49"/>
  <c r="AG23" i="49"/>
  <c r="BU23" i="49"/>
  <c r="AY23" i="49"/>
  <c r="BI23" i="49"/>
  <c r="CR23" i="49"/>
  <c r="AU33" i="49"/>
  <c r="C33" i="49"/>
  <c r="DR37" i="49"/>
  <c r="J37" i="49"/>
  <c r="BV35" i="49"/>
  <c r="CO37" i="49"/>
  <c r="BK33" i="49"/>
  <c r="BF33" i="49"/>
  <c r="BB37" i="49"/>
  <c r="CC37" i="49"/>
  <c r="U35" i="49"/>
  <c r="BF35" i="49"/>
  <c r="CP33" i="49"/>
  <c r="BF37" i="49"/>
  <c r="BI37" i="49"/>
  <c r="AS37" i="49"/>
  <c r="CO35" i="49"/>
  <c r="AN33" i="49"/>
  <c r="BJ33" i="49"/>
  <c r="CS35" i="49"/>
  <c r="F35" i="49"/>
  <c r="C35" i="49"/>
  <c r="BT35" i="49"/>
  <c r="L33" i="49"/>
  <c r="BQ33" i="49"/>
  <c r="AX37" i="49"/>
  <c r="DI35" i="49"/>
  <c r="DA35" i="49"/>
  <c r="X33" i="49"/>
  <c r="Z33" i="49"/>
  <c r="AZ35" i="49"/>
  <c r="I35" i="49"/>
  <c r="W37" i="49"/>
  <c r="DS37" i="49"/>
  <c r="BX33" i="49"/>
  <c r="DC33" i="49"/>
  <c r="DG37" i="49"/>
  <c r="CJ35" i="49"/>
  <c r="CM37" i="49"/>
  <c r="BQ35" i="49"/>
  <c r="M33" i="49"/>
  <c r="N33" i="49"/>
  <c r="CA37" i="49"/>
  <c r="I37" i="49"/>
  <c r="DJ37" i="49"/>
  <c r="BU33" i="49"/>
  <c r="AQ35" i="49"/>
  <c r="L37" i="49"/>
  <c r="BL37" i="49"/>
  <c r="M35" i="49"/>
  <c r="CT35" i="49"/>
  <c r="K33" i="49"/>
  <c r="AF35" i="49"/>
  <c r="BH35" i="49"/>
  <c r="BP33" i="49"/>
  <c r="AO35" i="49"/>
  <c r="BZ35" i="49"/>
  <c r="DL33" i="49"/>
  <c r="F37" i="49"/>
  <c r="CJ37" i="49"/>
  <c r="N37" i="49"/>
  <c r="AY33" i="49"/>
  <c r="CX37" i="49"/>
  <c r="BB35" i="49"/>
  <c r="AB33" i="49"/>
  <c r="DT35" i="49"/>
  <c r="CX35" i="49"/>
  <c r="CZ33" i="49"/>
  <c r="BZ33" i="49"/>
  <c r="AL37" i="49"/>
  <c r="H37" i="49"/>
  <c r="BR33" i="49"/>
  <c r="AF33" i="49"/>
  <c r="CK35" i="49"/>
  <c r="AM33" i="49"/>
  <c r="CD35" i="49"/>
  <c r="BH33" i="49"/>
  <c r="BK37" i="49"/>
  <c r="DA37" i="49"/>
  <c r="DD37" i="49"/>
  <c r="BA33" i="49"/>
  <c r="AR33" i="49"/>
  <c r="AH37" i="49"/>
  <c r="I33" i="49"/>
  <c r="BN33" i="49"/>
  <c r="DN35" i="49"/>
  <c r="Y37" i="49"/>
  <c r="DO35" i="49"/>
  <c r="BG33" i="49"/>
  <c r="BO33" i="49"/>
  <c r="AB35" i="49"/>
  <c r="AH35" i="49"/>
  <c r="DB35" i="49"/>
  <c r="BG37" i="49"/>
  <c r="P33" i="49"/>
  <c r="AI33" i="49"/>
  <c r="CI35" i="49"/>
  <c r="DS35" i="49"/>
  <c r="BQ37" i="49"/>
  <c r="DN37" i="49"/>
  <c r="CA33" i="49"/>
  <c r="CO33" i="49"/>
  <c r="R35" i="49"/>
  <c r="CV35" i="49"/>
  <c r="BJ37" i="49"/>
  <c r="CD33" i="49"/>
  <c r="AZ33" i="49"/>
  <c r="CL37" i="49"/>
  <c r="AK35" i="49"/>
  <c r="S35" i="49"/>
  <c r="BD35" i="49"/>
  <c r="AK33" i="49"/>
  <c r="AQ33" i="49"/>
  <c r="BT37" i="49"/>
  <c r="DD35" i="49"/>
  <c r="AT37" i="49"/>
  <c r="AM37" i="49"/>
  <c r="DM33" i="49"/>
  <c r="CV33" i="49"/>
  <c r="CL35" i="49"/>
  <c r="BW35" i="49"/>
  <c r="DC37" i="49"/>
  <c r="CC33" i="49"/>
  <c r="CX33" i="49"/>
  <c r="N35" i="49"/>
  <c r="AC35" i="49"/>
  <c r="DL35" i="49"/>
  <c r="Q37" i="49"/>
  <c r="CN33" i="49"/>
  <c r="AP35" i="49"/>
  <c r="BC37" i="49"/>
  <c r="S33" i="49"/>
  <c r="AH33" i="49"/>
  <c r="DK37" i="49"/>
  <c r="BN35" i="49"/>
  <c r="S37" i="49"/>
  <c r="V33" i="49"/>
  <c r="DA33" i="49"/>
  <c r="M37" i="49"/>
  <c r="AD37" i="49"/>
  <c r="DB33" i="49"/>
  <c r="AJ37" i="49"/>
  <c r="BY35" i="49"/>
  <c r="CL33" i="49"/>
  <c r="AA37" i="49"/>
  <c r="CV37" i="49"/>
  <c r="CG35" i="49"/>
  <c r="G33" i="49"/>
  <c r="AC33" i="49"/>
  <c r="O37" i="49"/>
  <c r="T37" i="49"/>
  <c r="DK33" i="49"/>
  <c r="CZ35" i="49"/>
  <c r="DE37" i="49"/>
  <c r="J33" i="49"/>
  <c r="R37" i="49"/>
  <c r="BY37" i="49"/>
  <c r="DM37" i="49"/>
  <c r="AW37" i="49"/>
  <c r="G35" i="49"/>
  <c r="CF35" i="49"/>
  <c r="CF33" i="49"/>
  <c r="DJ35" i="49"/>
  <c r="BS35" i="49"/>
  <c r="BV33" i="49"/>
  <c r="BW33" i="49"/>
  <c r="BR35" i="49"/>
  <c r="BA37" i="49"/>
  <c r="G37" i="49"/>
  <c r="K35" i="49"/>
  <c r="AL33" i="49"/>
  <c r="Y35" i="49"/>
  <c r="BO35" i="49"/>
  <c r="CU33" i="49"/>
  <c r="P35" i="49"/>
  <c r="AX35" i="49"/>
  <c r="DE35" i="49"/>
  <c r="AJ35" i="49"/>
  <c r="BE33" i="49"/>
  <c r="U33" i="49"/>
  <c r="BV37" i="49"/>
  <c r="X35" i="49"/>
  <c r="AG35" i="49"/>
  <c r="AF37" i="49"/>
  <c r="CQ33" i="49"/>
  <c r="DF33" i="49"/>
  <c r="CZ37" i="49"/>
  <c r="AD35" i="49"/>
  <c r="DM35" i="49"/>
  <c r="R33" i="49"/>
  <c r="CY33" i="49"/>
  <c r="AO37" i="49"/>
  <c r="L35" i="49"/>
  <c r="CB35" i="49"/>
  <c r="AG37" i="49"/>
  <c r="CK33" i="49"/>
  <c r="CT33" i="49"/>
  <c r="CH35" i="49"/>
  <c r="CW35" i="49"/>
  <c r="AW35" i="49"/>
  <c r="Q35" i="49"/>
  <c r="AT33" i="49"/>
  <c r="Q33" i="49"/>
  <c r="AA35" i="49"/>
  <c r="BL35" i="49"/>
  <c r="BJ35" i="49"/>
  <c r="CM33" i="49"/>
  <c r="AV33" i="49"/>
  <c r="AV37" i="49"/>
  <c r="CY37" i="49"/>
  <c r="CA35" i="49"/>
  <c r="CR37" i="49"/>
  <c r="BI33" i="49"/>
  <c r="AW33" i="49"/>
  <c r="AP37" i="49"/>
  <c r="AU35" i="49"/>
  <c r="CG37" i="49"/>
  <c r="DB37" i="49"/>
  <c r="AR35" i="49"/>
  <c r="AY37" i="49"/>
  <c r="DN33" i="49"/>
  <c r="DG33" i="49"/>
  <c r="DK35" i="49"/>
  <c r="BC33" i="49"/>
  <c r="DP33" i="49"/>
  <c r="DH35" i="49"/>
  <c r="O33" i="49"/>
  <c r="C37" i="49"/>
  <c r="CW37" i="49"/>
  <c r="BU37" i="49"/>
  <c r="CE37" i="49"/>
  <c r="CI33" i="49"/>
  <c r="AN37" i="49"/>
  <c r="K37" i="49"/>
  <c r="DF37" i="49"/>
  <c r="AN35" i="49"/>
  <c r="H35" i="49"/>
  <c r="BB33" i="49"/>
  <c r="BP37" i="49"/>
  <c r="DE33" i="49"/>
  <c r="CM35" i="49"/>
  <c r="AX33" i="49"/>
  <c r="C24" i="49"/>
  <c r="CY35" i="49"/>
  <c r="CI37" i="49"/>
  <c r="AV35" i="49"/>
  <c r="AZ37" i="49"/>
  <c r="CG33" i="49"/>
  <c r="AP33" i="49"/>
  <c r="AB37" i="49"/>
  <c r="DP37" i="49"/>
  <c r="DP35" i="49"/>
  <c r="AI37" i="49"/>
  <c r="CJ33" i="49"/>
  <c r="DS33" i="49"/>
  <c r="Z35" i="49"/>
  <c r="AE35" i="49"/>
  <c r="AL35" i="49"/>
  <c r="DD33" i="49"/>
  <c r="CE33" i="49"/>
  <c r="AR37" i="49"/>
  <c r="CF37" i="49"/>
  <c r="DL37" i="49"/>
  <c r="W35" i="49"/>
  <c r="DT33" i="49"/>
  <c r="AO33" i="49"/>
  <c r="CN37" i="49"/>
  <c r="CN35" i="49"/>
  <c r="AS35" i="49"/>
  <c r="BN37" i="49"/>
  <c r="AS33" i="49"/>
  <c r="CB37" i="49"/>
  <c r="BC35" i="49"/>
  <c r="X37" i="49"/>
  <c r="AK37" i="49"/>
  <c r="BM33" i="49"/>
  <c r="CB33" i="49"/>
  <c r="DT37" i="49"/>
  <c r="DH37" i="49"/>
  <c r="T35" i="49"/>
  <c r="AC37" i="49"/>
  <c r="CW33" i="49"/>
  <c r="AE33" i="49"/>
  <c r="AI35" i="49"/>
  <c r="AT35" i="49"/>
  <c r="CP37" i="49"/>
  <c r="BM37" i="49"/>
  <c r="W33" i="49"/>
  <c r="AY35" i="49"/>
  <c r="BL33" i="49"/>
  <c r="CC35" i="49"/>
  <c r="CT37" i="49"/>
  <c r="BH37" i="49"/>
  <c r="BA35" i="49"/>
  <c r="H33" i="49"/>
  <c r="BK35" i="49"/>
  <c r="O35" i="49"/>
  <c r="DG35" i="49"/>
  <c r="AD33" i="49"/>
  <c r="CR35" i="49"/>
  <c r="DJ33" i="49"/>
  <c r="J35" i="49"/>
  <c r="DQ33" i="49"/>
  <c r="CU37" i="49"/>
  <c r="CK37" i="49"/>
  <c r="AM35" i="49"/>
  <c r="BW37" i="49"/>
  <c r="BD37" i="49"/>
  <c r="CE35" i="49"/>
  <c r="BY33" i="49"/>
  <c r="BP35" i="49"/>
  <c r="AJ33" i="49"/>
  <c r="BG35" i="49"/>
  <c r="DR33" i="49"/>
  <c r="CQ37" i="49"/>
  <c r="CP35" i="49"/>
  <c r="DI33" i="49"/>
  <c r="P37" i="49"/>
  <c r="DR35" i="49"/>
  <c r="DQ35" i="49"/>
  <c r="BD33" i="49"/>
  <c r="BM35" i="49"/>
  <c r="CR33" i="49"/>
  <c r="BE35" i="49"/>
  <c r="CS37" i="49"/>
  <c r="BS33" i="49"/>
  <c r="Z37" i="49"/>
  <c r="BE37" i="49"/>
  <c r="DH33" i="49"/>
  <c r="DC35" i="49"/>
  <c r="V37" i="49"/>
  <c r="CH33" i="49"/>
  <c r="DF35" i="49"/>
  <c r="BO37" i="49"/>
  <c r="CU35" i="49"/>
  <c r="BI35" i="49"/>
  <c r="DQ37" i="49"/>
  <c r="AU37" i="49"/>
  <c r="DO37" i="49"/>
  <c r="T33" i="49"/>
  <c r="BZ37" i="49"/>
  <c r="BU35" i="49"/>
  <c r="DO33" i="49"/>
  <c r="AE37" i="49"/>
  <c r="DI37" i="49"/>
  <c r="Y33" i="49"/>
  <c r="BS37" i="49"/>
  <c r="BT33" i="49"/>
  <c r="BX35" i="49"/>
  <c r="U37" i="49"/>
  <c r="F33" i="49"/>
  <c r="CD37" i="49"/>
  <c r="CS33" i="49"/>
  <c r="CQ35" i="49"/>
  <c r="AQ37" i="49"/>
  <c r="V35" i="49"/>
  <c r="BX37" i="49"/>
  <c r="AG33" i="49"/>
  <c r="CH37" i="49"/>
  <c r="AA33" i="49"/>
  <c r="BR37" i="49"/>
  <c r="AU23" i="49"/>
  <c r="DG23" i="49"/>
  <c r="CC23" i="49"/>
  <c r="AD23" i="49"/>
  <c r="AK23" i="49"/>
  <c r="R23" i="49"/>
  <c r="BC23" i="49"/>
  <c r="DO23" i="49"/>
  <c r="O23" i="49"/>
  <c r="BK23" i="49"/>
  <c r="BE23" i="49"/>
  <c r="DT23" i="49"/>
  <c r="CD23" i="49"/>
  <c r="BH23" i="49"/>
  <c r="DA23" i="49"/>
  <c r="I23" i="49"/>
  <c r="BF21" i="48"/>
  <c r="K21" i="48"/>
  <c r="BH21" i="48"/>
  <c r="CB21" i="48"/>
  <c r="CS21" i="48"/>
  <c r="AS21" i="48"/>
  <c r="CW21" i="48"/>
  <c r="AK21" i="48"/>
  <c r="CP21" i="48"/>
  <c r="BJ21" i="48"/>
  <c r="AE21" i="48"/>
  <c r="AZ21" i="48"/>
  <c r="BO21" i="48"/>
  <c r="BE21" i="48"/>
  <c r="S21" i="48"/>
  <c r="I21" i="48"/>
  <c r="DR21" i="48"/>
  <c r="BN21" i="48"/>
  <c r="AX21" i="48"/>
  <c r="AI21" i="48"/>
  <c r="P21" i="48"/>
  <c r="CH21" i="48"/>
  <c r="X21" i="48"/>
  <c r="AT21" i="48"/>
  <c r="AN21" i="48"/>
  <c r="AW21" i="48"/>
  <c r="CK21" i="48"/>
  <c r="BV21" i="48"/>
  <c r="AC21" i="48"/>
  <c r="BL21" i="48"/>
  <c r="AH21" i="48"/>
  <c r="M21" i="48"/>
  <c r="CO21" i="48"/>
  <c r="AV21" i="48"/>
  <c r="DD21" i="48"/>
  <c r="BM21" i="48"/>
  <c r="BU21" i="48"/>
  <c r="AB21" i="48"/>
  <c r="BK21" i="48"/>
  <c r="CJ21" i="48"/>
  <c r="BR21" i="48"/>
  <c r="CY21" i="48"/>
  <c r="L21" i="48"/>
  <c r="DG21" i="48"/>
  <c r="AU21" i="48"/>
  <c r="AG21" i="48"/>
  <c r="BD21" i="48"/>
  <c r="F21" i="48"/>
  <c r="CE21" i="48"/>
  <c r="BZ21" i="48"/>
  <c r="CD21" i="48"/>
  <c r="CV21" i="48"/>
  <c r="DP21" i="48"/>
  <c r="CT21" i="48"/>
  <c r="DE21" i="48"/>
  <c r="CA21" i="48"/>
  <c r="AY21" i="48"/>
  <c r="CZ21" i="48"/>
  <c r="CQ21" i="48"/>
  <c r="V21" i="48"/>
  <c r="DO21" i="48"/>
  <c r="BA21" i="48"/>
  <c r="AJ21" i="48"/>
  <c r="AF21" i="48"/>
  <c r="BS21" i="48"/>
  <c r="DM21" i="48"/>
  <c r="J21" i="48"/>
  <c r="BP21" i="48"/>
  <c r="DS21" i="48"/>
  <c r="CR21" i="48"/>
  <c r="BI21" i="48"/>
  <c r="DN21" i="48"/>
  <c r="CM21" i="48"/>
  <c r="BW21" i="48"/>
  <c r="E22" i="48"/>
  <c r="C23" i="48" s="1"/>
  <c r="CL21" i="48"/>
  <c r="CF21" i="48"/>
  <c r="DJ21" i="48"/>
  <c r="BC21" i="48"/>
  <c r="W21" i="48"/>
  <c r="AL21" i="48"/>
  <c r="DI21" i="48"/>
  <c r="CU21" i="48"/>
  <c r="AP21" i="48"/>
  <c r="Y21" i="48"/>
  <c r="CN21" i="48"/>
  <c r="AA21" i="48"/>
  <c r="AD21" i="48"/>
  <c r="DT21" i="48"/>
  <c r="CI21" i="48"/>
  <c r="CG21" i="48"/>
  <c r="DH21" i="48"/>
  <c r="U21" i="48"/>
  <c r="AM21" i="48"/>
  <c r="DL21" i="48"/>
  <c r="CX21" i="48"/>
  <c r="G21" i="48"/>
  <c r="BQ21" i="48"/>
  <c r="BB21" i="48"/>
  <c r="R21" i="48"/>
  <c r="BT21" i="48"/>
  <c r="N21" i="48"/>
  <c r="DB21" i="48"/>
  <c r="Z21" i="48"/>
  <c r="H21" i="48"/>
  <c r="AR21" i="48"/>
  <c r="DQ21" i="48"/>
  <c r="Q21" i="48"/>
  <c r="AQ21" i="48"/>
  <c r="DA21" i="48"/>
  <c r="BX21" i="48"/>
  <c r="DK21" i="48"/>
  <c r="BG21" i="48"/>
  <c r="T21" i="48"/>
  <c r="BY21" i="48"/>
  <c r="DC21" i="48"/>
  <c r="CC21" i="48"/>
  <c r="AO21" i="48"/>
  <c r="DF21" i="48"/>
  <c r="O21" i="48"/>
  <c r="CI20" i="61" l="1"/>
  <c r="BR20" i="61"/>
  <c r="AI20" i="61"/>
  <c r="CU20" i="61"/>
  <c r="BK20" i="61"/>
  <c r="BD20" i="61"/>
  <c r="DE20" i="61"/>
  <c r="Y20" i="61"/>
  <c r="O20" i="61"/>
  <c r="DF20" i="61"/>
  <c r="BO20" i="61"/>
  <c r="Q20" i="61"/>
  <c r="CX20" i="61"/>
  <c r="AD20" i="61"/>
  <c r="BH20" i="61"/>
  <c r="BU20" i="61"/>
  <c r="U20" i="61"/>
  <c r="BA20" i="61"/>
  <c r="BP20" i="61"/>
  <c r="J20" i="61"/>
  <c r="AM20" i="61"/>
  <c r="BC20" i="61"/>
  <c r="BX20" i="61"/>
  <c r="R20" i="61"/>
  <c r="BZ20" i="61"/>
  <c r="DL20" i="61"/>
  <c r="BN20" i="61"/>
  <c r="AS20" i="61"/>
  <c r="BQ20" i="61"/>
  <c r="CW20" i="61"/>
  <c r="AV20" i="61"/>
  <c r="V20" i="61"/>
  <c r="CG20" i="61"/>
  <c r="DM20" i="61"/>
  <c r="DC20" i="61"/>
  <c r="BL20" i="61"/>
  <c r="CT20" i="61"/>
  <c r="AE20" i="61"/>
  <c r="DS20" i="61"/>
  <c r="CB20" i="61"/>
  <c r="BE20" i="61"/>
  <c r="Z20" i="61"/>
  <c r="CH20" i="61"/>
  <c r="BJ20" i="61"/>
  <c r="F20" i="61"/>
  <c r="M20" i="61"/>
  <c r="DO20" i="61"/>
  <c r="DK20" i="61"/>
  <c r="DD20" i="61"/>
  <c r="BT20" i="61"/>
  <c r="BM20" i="61"/>
  <c r="AH20" i="61"/>
  <c r="CO20" i="61"/>
  <c r="BB20" i="61"/>
  <c r="AQ20" i="61"/>
  <c r="L20" i="61"/>
  <c r="DT20" i="61"/>
  <c r="DH20" i="61"/>
  <c r="CC20" i="61"/>
  <c r="BV20" i="61"/>
  <c r="BI20" i="61"/>
  <c r="W20" i="61"/>
  <c r="DG20" i="61"/>
  <c r="BY20" i="61"/>
  <c r="AY20" i="61"/>
  <c r="AR20" i="61"/>
  <c r="H20" i="61"/>
  <c r="DP20" i="61"/>
  <c r="CK20" i="61"/>
  <c r="CD20" i="61"/>
  <c r="CA20" i="61"/>
  <c r="AT20" i="61"/>
  <c r="G20" i="61"/>
  <c r="AK20" i="61"/>
  <c r="BG20" i="61"/>
  <c r="AZ20" i="61"/>
  <c r="P20" i="61"/>
  <c r="I20" i="61"/>
  <c r="DQ20" i="61"/>
  <c r="CL20" i="61"/>
  <c r="CQ20" i="61"/>
  <c r="K20" i="61"/>
  <c r="BW20" i="61"/>
  <c r="T20" i="61"/>
  <c r="CF20" i="61"/>
  <c r="X20" i="61"/>
  <c r="CJ20" i="61"/>
  <c r="AG20" i="61"/>
  <c r="CS20" i="61"/>
  <c r="AP20" i="61"/>
  <c r="DB20" i="61"/>
  <c r="AL20" i="61"/>
  <c r="CY20" i="61"/>
  <c r="AC20" i="61"/>
  <c r="BS20" i="61"/>
  <c r="DN20" i="61"/>
  <c r="S20" i="61"/>
  <c r="CE20" i="61"/>
  <c r="AB20" i="61"/>
  <c r="CN20" i="61"/>
  <c r="AF20" i="61"/>
  <c r="CR20" i="61"/>
  <c r="AO20" i="61"/>
  <c r="DA20" i="61"/>
  <c r="AX20" i="61"/>
  <c r="DJ20" i="61"/>
  <c r="E21" i="61"/>
  <c r="C22" i="61" s="1"/>
  <c r="AU20" i="61"/>
  <c r="CP20" i="61"/>
  <c r="N20" i="61"/>
  <c r="AA20" i="61"/>
  <c r="CM20" i="61"/>
  <c r="AJ20" i="61"/>
  <c r="CV20" i="61"/>
  <c r="AN20" i="61"/>
  <c r="CZ20" i="61"/>
  <c r="AW20" i="61"/>
  <c r="DI20" i="61"/>
  <c r="BF20" i="61"/>
  <c r="DR20" i="61"/>
  <c r="E24" i="49"/>
  <c r="C25" i="49" s="1"/>
  <c r="BN22" i="48"/>
  <c r="M22" i="48"/>
  <c r="BW22" i="48"/>
  <c r="AT22" i="48"/>
  <c r="DP22" i="48"/>
  <c r="AS22" i="48"/>
  <c r="X22" i="48"/>
  <c r="F22" i="48"/>
  <c r="BM22" i="48"/>
  <c r="CV22" i="48"/>
  <c r="DR22" i="48"/>
  <c r="BS22" i="48"/>
  <c r="BP22" i="48"/>
  <c r="DJ22" i="48"/>
  <c r="R22" i="48"/>
  <c r="BV22" i="48"/>
  <c r="BL22" i="48"/>
  <c r="K22" i="48"/>
  <c r="W22" i="48"/>
  <c r="AP22" i="48"/>
  <c r="DN22" i="48"/>
  <c r="AY22" i="48"/>
  <c r="BZ22" i="48"/>
  <c r="BT22" i="48"/>
  <c r="CM22" i="48"/>
  <c r="DQ22" i="48"/>
  <c r="AF22" i="48"/>
  <c r="AB22" i="48"/>
  <c r="V22" i="48"/>
  <c r="AO22" i="48"/>
  <c r="CE22" i="48"/>
  <c r="L22" i="48"/>
  <c r="CD22" i="48"/>
  <c r="O22" i="48"/>
  <c r="CR22" i="48"/>
  <c r="CC22" i="48"/>
  <c r="DO22" i="48"/>
  <c r="J22" i="48"/>
  <c r="AW22" i="48"/>
  <c r="CY22" i="48"/>
  <c r="BB22" i="48"/>
  <c r="CK22" i="48"/>
  <c r="BG22" i="48"/>
  <c r="BQ22" i="48"/>
  <c r="H22" i="48"/>
  <c r="CZ22" i="48"/>
  <c r="DF22" i="48"/>
  <c r="BA22" i="48"/>
  <c r="AV22" i="48"/>
  <c r="DL22" i="48"/>
  <c r="CX22" i="48"/>
  <c r="CL22" i="48"/>
  <c r="AJ22" i="48"/>
  <c r="CS22" i="48"/>
  <c r="BC22" i="48"/>
  <c r="DA22" i="48"/>
  <c r="Y22" i="48"/>
  <c r="AC22" i="48"/>
  <c r="AQ22" i="48"/>
  <c r="CO22" i="48"/>
  <c r="BO22" i="48"/>
  <c r="AI22" i="48"/>
  <c r="AZ22" i="48"/>
  <c r="AA22" i="48"/>
  <c r="AK22" i="48"/>
  <c r="AX22" i="48"/>
  <c r="CU22" i="48"/>
  <c r="N22" i="48"/>
  <c r="AR22" i="48"/>
  <c r="DM22" i="48"/>
  <c r="DE22" i="48"/>
  <c r="CB22" i="48"/>
  <c r="DS22" i="48"/>
  <c r="DC22" i="48"/>
  <c r="CP22" i="48"/>
  <c r="BK22" i="48"/>
  <c r="AD22" i="48"/>
  <c r="CF22" i="48"/>
  <c r="BU22" i="48"/>
  <c r="BF22" i="48"/>
  <c r="CQ22" i="48"/>
  <c r="AG22" i="48"/>
  <c r="AU22" i="48"/>
  <c r="CH22" i="48"/>
  <c r="I22" i="48"/>
  <c r="BE22" i="48"/>
  <c r="DI22" i="48"/>
  <c r="DG22" i="48"/>
  <c r="AN22" i="48"/>
  <c r="CI22" i="48"/>
  <c r="AM22" i="48"/>
  <c r="DK22" i="48"/>
  <c r="CG22" i="48"/>
  <c r="U22" i="48"/>
  <c r="BI22" i="48"/>
  <c r="BY22" i="48"/>
  <c r="CN22" i="48"/>
  <c r="Q22" i="48"/>
  <c r="AH22" i="48"/>
  <c r="G22" i="48"/>
  <c r="CW22" i="48"/>
  <c r="DT22" i="48"/>
  <c r="CA22" i="48"/>
  <c r="CJ22" i="48"/>
  <c r="DD22" i="48"/>
  <c r="CT22" i="48"/>
  <c r="Z22" i="48"/>
  <c r="DB22" i="48"/>
  <c r="P22" i="48"/>
  <c r="AE22" i="48"/>
  <c r="S22" i="48"/>
  <c r="BX22" i="48"/>
  <c r="DH22" i="48"/>
  <c r="T22" i="48"/>
  <c r="BR22" i="48"/>
  <c r="BD22" i="48"/>
  <c r="AL22" i="48"/>
  <c r="BJ22" i="48"/>
  <c r="BH22" i="48"/>
  <c r="E23" i="48"/>
  <c r="BM23" i="48" s="1"/>
  <c r="P21" i="61" l="1"/>
  <c r="CI21" i="61"/>
  <c r="AG21" i="61"/>
  <c r="BC21" i="61"/>
  <c r="AQ21" i="61"/>
  <c r="DB21" i="61"/>
  <c r="AR21" i="61"/>
  <c r="CL21" i="61"/>
  <c r="J21" i="61"/>
  <c r="K21" i="61"/>
  <c r="BA21" i="61"/>
  <c r="H21" i="61"/>
  <c r="BY21" i="61"/>
  <c r="Y21" i="61"/>
  <c r="CS21" i="61"/>
  <c r="AS21" i="61"/>
  <c r="DO21" i="61"/>
  <c r="BM21" i="61"/>
  <c r="N21" i="61"/>
  <c r="CF21" i="61"/>
  <c r="AE21" i="61"/>
  <c r="CZ21" i="61"/>
  <c r="BZ21" i="61"/>
  <c r="E22" i="61"/>
  <c r="C23" i="61" s="1"/>
  <c r="BV21" i="61"/>
  <c r="V21" i="61"/>
  <c r="CO21" i="61"/>
  <c r="AN21" i="61"/>
  <c r="DI21" i="61"/>
  <c r="CH21" i="61"/>
  <c r="AH21" i="61"/>
  <c r="CC21" i="61"/>
  <c r="Z21" i="61"/>
  <c r="X21" i="61"/>
  <c r="CR21" i="61"/>
  <c r="AP21" i="61"/>
  <c r="DK21" i="61"/>
  <c r="BL21" i="61"/>
  <c r="M21" i="61"/>
  <c r="CE21" i="61"/>
  <c r="AD21" i="61"/>
  <c r="CY21" i="61"/>
  <c r="AW21" i="61"/>
  <c r="DR21" i="61"/>
  <c r="CP21" i="61"/>
  <c r="BS21" i="61"/>
  <c r="DM21" i="61"/>
  <c r="BI21" i="61"/>
  <c r="AF21" i="61"/>
  <c r="DA21" i="61"/>
  <c r="AY21" i="61"/>
  <c r="DT21" i="61"/>
  <c r="BU21" i="61"/>
  <c r="U21" i="61"/>
  <c r="CN21" i="61"/>
  <c r="AM21" i="61"/>
  <c r="DH21" i="61"/>
  <c r="BF21" i="61"/>
  <c r="AL21" i="61"/>
  <c r="CX21" i="61"/>
  <c r="DC21" i="61"/>
  <c r="R21" i="61"/>
  <c r="CT21" i="61"/>
  <c r="AO21" i="61"/>
  <c r="DJ21" i="61"/>
  <c r="BH21" i="61"/>
  <c r="L21" i="61"/>
  <c r="CD21" i="61"/>
  <c r="AC21" i="61"/>
  <c r="CW21" i="61"/>
  <c r="AV21" i="61"/>
  <c r="DQ21" i="61"/>
  <c r="BO21" i="61"/>
  <c r="AT21" i="61"/>
  <c r="DF21" i="61"/>
  <c r="AI21" i="61"/>
  <c r="AZ21" i="61"/>
  <c r="AA21" i="61"/>
  <c r="AX21" i="61"/>
  <c r="DS21" i="61"/>
  <c r="BQ21" i="61"/>
  <c r="T21" i="61"/>
  <c r="CM21" i="61"/>
  <c r="AK21" i="61"/>
  <c r="DG21" i="61"/>
  <c r="BE21" i="61"/>
  <c r="G21" i="61"/>
  <c r="BX21" i="61"/>
  <c r="BB21" i="61"/>
  <c r="DN21" i="61"/>
  <c r="CB21" i="61"/>
  <c r="BT21" i="61"/>
  <c r="CK21" i="61"/>
  <c r="BK21" i="61"/>
  <c r="BG21" i="61"/>
  <c r="I21" i="61"/>
  <c r="CA21" i="61"/>
  <c r="AB21" i="61"/>
  <c r="CV21" i="61"/>
  <c r="AU21" i="61"/>
  <c r="DP21" i="61"/>
  <c r="BN21" i="61"/>
  <c r="O21" i="61"/>
  <c r="CG21" i="61"/>
  <c r="BJ21" i="61"/>
  <c r="DL21" i="61"/>
  <c r="DD21" i="61"/>
  <c r="S21" i="61"/>
  <c r="CU21" i="61"/>
  <c r="BP21" i="61"/>
  <c r="Q21" i="61"/>
  <c r="CJ21" i="61"/>
  <c r="AJ21" i="61"/>
  <c r="DE21" i="61"/>
  <c r="BD21" i="61"/>
  <c r="F21" i="61"/>
  <c r="BW21" i="61"/>
  <c r="W21" i="61"/>
  <c r="CQ21" i="61"/>
  <c r="BR21" i="61"/>
  <c r="BB24" i="49"/>
  <c r="X24" i="49"/>
  <c r="DT24" i="49"/>
  <c r="DE24" i="49"/>
  <c r="AM24" i="49"/>
  <c r="BA24" i="49"/>
  <c r="H24" i="49"/>
  <c r="Q24" i="49"/>
  <c r="CW24" i="49"/>
  <c r="F24" i="49"/>
  <c r="AW24" i="49"/>
  <c r="AO24" i="49"/>
  <c r="BT24" i="49"/>
  <c r="BU24" i="49"/>
  <c r="BV24" i="49"/>
  <c r="AE24" i="49"/>
  <c r="CK24" i="49"/>
  <c r="AB24" i="49"/>
  <c r="CG24" i="49"/>
  <c r="AY24" i="49"/>
  <c r="CR24" i="49"/>
  <c r="AP24" i="49"/>
  <c r="U24" i="49"/>
  <c r="DS24" i="49"/>
  <c r="CY24" i="49"/>
  <c r="V24" i="49"/>
  <c r="CF24" i="49"/>
  <c r="CT24" i="49"/>
  <c r="BN24" i="49"/>
  <c r="J24" i="49"/>
  <c r="CQ24" i="49"/>
  <c r="CA24" i="49"/>
  <c r="BF24" i="49"/>
  <c r="M24" i="49"/>
  <c r="CE24" i="49"/>
  <c r="AI24" i="49"/>
  <c r="BJ24" i="49"/>
  <c r="BM24" i="49"/>
  <c r="T24" i="49"/>
  <c r="DK24" i="49"/>
  <c r="BW24" i="49"/>
  <c r="CX24" i="49"/>
  <c r="CZ24" i="49"/>
  <c r="I24" i="49"/>
  <c r="AF24" i="49"/>
  <c r="AG24" i="49"/>
  <c r="W24" i="49"/>
  <c r="BH24" i="49"/>
  <c r="DL24" i="49"/>
  <c r="DC24" i="49"/>
  <c r="BO24" i="49"/>
  <c r="AC24" i="49"/>
  <c r="CS24" i="49"/>
  <c r="CI24" i="49"/>
  <c r="AZ24" i="49"/>
  <c r="BD24" i="49"/>
  <c r="O24" i="49"/>
  <c r="CJ24" i="49"/>
  <c r="CH24" i="49"/>
  <c r="CV24" i="49"/>
  <c r="AA24" i="49"/>
  <c r="CU24" i="49"/>
  <c r="AL24" i="49"/>
  <c r="CO24" i="49"/>
  <c r="BQ24" i="49"/>
  <c r="BR24" i="49"/>
  <c r="AR24" i="49"/>
  <c r="Z24" i="49"/>
  <c r="AH24" i="49"/>
  <c r="DO24" i="49"/>
  <c r="BI24" i="49"/>
  <c r="CM24" i="49"/>
  <c r="BY24" i="49"/>
  <c r="AU24" i="49"/>
  <c r="BE24" i="49"/>
  <c r="L24" i="49"/>
  <c r="AJ24" i="49"/>
  <c r="DD24" i="49"/>
  <c r="AX24" i="49"/>
  <c r="DM24" i="49"/>
  <c r="DF24" i="49"/>
  <c r="BG24" i="49"/>
  <c r="CD24" i="49"/>
  <c r="S24" i="49"/>
  <c r="CC24" i="49"/>
  <c r="N24" i="49"/>
  <c r="BZ24" i="49"/>
  <c r="DN24" i="49"/>
  <c r="DA24" i="49"/>
  <c r="DG24" i="49"/>
  <c r="DB24" i="49"/>
  <c r="CB24" i="49"/>
  <c r="R24" i="49"/>
  <c r="Y24" i="49"/>
  <c r="AV24" i="49"/>
  <c r="BK24" i="49"/>
  <c r="BP24" i="49"/>
  <c r="CP24" i="49"/>
  <c r="BL24" i="49"/>
  <c r="BS24" i="49"/>
  <c r="DH24" i="49"/>
  <c r="AQ24" i="49"/>
  <c r="AN24" i="49"/>
  <c r="DR24" i="49"/>
  <c r="BC24" i="49"/>
  <c r="CN24" i="49"/>
  <c r="AD24" i="49"/>
  <c r="DI24" i="49"/>
  <c r="AK24" i="49"/>
  <c r="G24" i="49"/>
  <c r="AS24" i="49"/>
  <c r="CL24" i="49"/>
  <c r="DQ24" i="49"/>
  <c r="DJ24" i="49"/>
  <c r="P24" i="49"/>
  <c r="K24" i="49"/>
  <c r="BX24" i="49"/>
  <c r="AT24" i="49"/>
  <c r="DP24" i="49"/>
  <c r="E25" i="49"/>
  <c r="CK25" i="49" s="1"/>
  <c r="AF23" i="48"/>
  <c r="AD23" i="48"/>
  <c r="BO23" i="48"/>
  <c r="CB23" i="48"/>
  <c r="S23" i="48"/>
  <c r="BI23" i="48"/>
  <c r="BX23" i="48"/>
  <c r="V23" i="48"/>
  <c r="CQ23" i="48"/>
  <c r="CS23" i="48"/>
  <c r="T23" i="48"/>
  <c r="DL23" i="48"/>
  <c r="CI23" i="48"/>
  <c r="BY23" i="48"/>
  <c r="BQ23" i="48"/>
  <c r="DT23" i="48"/>
  <c r="G23" i="48"/>
  <c r="AH23" i="48"/>
  <c r="BW23" i="48"/>
  <c r="AR23" i="48"/>
  <c r="O23" i="48"/>
  <c r="BZ23" i="48"/>
  <c r="DC23" i="48"/>
  <c r="CH23" i="48"/>
  <c r="K23" i="48"/>
  <c r="DP23" i="48"/>
  <c r="DQ23" i="48"/>
  <c r="BL23" i="48"/>
  <c r="BV23" i="48"/>
  <c r="R23" i="48"/>
  <c r="CK23" i="48"/>
  <c r="BB23" i="48"/>
  <c r="CE23" i="48"/>
  <c r="DM23" i="48"/>
  <c r="BD23" i="48"/>
  <c r="P23" i="48"/>
  <c r="Z23" i="48"/>
  <c r="AL23" i="48"/>
  <c r="N23" i="48"/>
  <c r="BF23" i="48"/>
  <c r="F23" i="48"/>
  <c r="CC23" i="48"/>
  <c r="L23" i="48"/>
  <c r="BH23" i="48"/>
  <c r="DB23" i="48"/>
  <c r="DF23" i="48"/>
  <c r="U23" i="48"/>
  <c r="AE23" i="48"/>
  <c r="DE23" i="48"/>
  <c r="CL23" i="48"/>
  <c r="DS23" i="48"/>
  <c r="AM23" i="48"/>
  <c r="AZ23" i="48"/>
  <c r="BP23" i="48"/>
  <c r="BS23" i="48"/>
  <c r="CZ23" i="48"/>
  <c r="AQ23" i="48"/>
  <c r="AN23" i="48"/>
  <c r="DN23" i="48"/>
  <c r="BG23" i="48"/>
  <c r="AA23" i="48"/>
  <c r="AT23" i="48"/>
  <c r="H23" i="48"/>
  <c r="BN23" i="48"/>
  <c r="DK23" i="48"/>
  <c r="DO23" i="48"/>
  <c r="AV23" i="48"/>
  <c r="CG23" i="48"/>
  <c r="BU23" i="48"/>
  <c r="AO23" i="48"/>
  <c r="BA23" i="48"/>
  <c r="DR35" i="48"/>
  <c r="AQ37" i="48"/>
  <c r="DM35" i="48"/>
  <c r="DS37" i="48"/>
  <c r="BL33" i="48"/>
  <c r="AF37" i="48"/>
  <c r="BA37" i="48"/>
  <c r="CJ37" i="48"/>
  <c r="DK37" i="48"/>
  <c r="CI33" i="48"/>
  <c r="BD33" i="48"/>
  <c r="CO35" i="48"/>
  <c r="F35" i="48"/>
  <c r="K35" i="48"/>
  <c r="AS35" i="48"/>
  <c r="AQ33" i="48"/>
  <c r="F33" i="48"/>
  <c r="BQ37" i="48"/>
  <c r="I35" i="48"/>
  <c r="AU37" i="48"/>
  <c r="DN33" i="48"/>
  <c r="N33" i="48"/>
  <c r="DG37" i="48"/>
  <c r="AH35" i="48"/>
  <c r="DB35" i="48"/>
  <c r="AG37" i="48"/>
  <c r="DO33" i="48"/>
  <c r="BP33" i="48"/>
  <c r="AO37" i="48"/>
  <c r="R37" i="48"/>
  <c r="CN35" i="48"/>
  <c r="Z37" i="48"/>
  <c r="CV33" i="48"/>
  <c r="AJ37" i="48"/>
  <c r="CR37" i="48"/>
  <c r="CR35" i="48"/>
  <c r="BT35" i="48"/>
  <c r="AC33" i="48"/>
  <c r="AA33" i="48"/>
  <c r="BS37" i="48"/>
  <c r="BN37" i="48"/>
  <c r="BO37" i="48"/>
  <c r="BS35" i="48"/>
  <c r="DH33" i="48"/>
  <c r="I33" i="48"/>
  <c r="AO35" i="48"/>
  <c r="BQ35" i="48"/>
  <c r="BE37" i="48"/>
  <c r="BN33" i="48"/>
  <c r="AW33" i="48"/>
  <c r="CH37" i="48"/>
  <c r="AQ35" i="48"/>
  <c r="BI35" i="48"/>
  <c r="AL37" i="48"/>
  <c r="BG33" i="48"/>
  <c r="CN33" i="48"/>
  <c r="BP35" i="48"/>
  <c r="CZ37" i="48"/>
  <c r="O35" i="48"/>
  <c r="AY37" i="48"/>
  <c r="Q33" i="48"/>
  <c r="CA35" i="48"/>
  <c r="BE35" i="48"/>
  <c r="I37" i="48"/>
  <c r="DJ35" i="48"/>
  <c r="S33" i="48"/>
  <c r="AS33" i="48"/>
  <c r="CJ35" i="48"/>
  <c r="DH37" i="48"/>
  <c r="DC35" i="48"/>
  <c r="AJ35" i="48"/>
  <c r="CI35" i="48"/>
  <c r="F37" i="48"/>
  <c r="L35" i="48"/>
  <c r="CW37" i="48"/>
  <c r="C33" i="48"/>
  <c r="DI33" i="48"/>
  <c r="DM33" i="48"/>
  <c r="BW37" i="48"/>
  <c r="AZ37" i="48"/>
  <c r="X37" i="48"/>
  <c r="V37" i="48"/>
  <c r="CU33" i="48"/>
  <c r="CD33" i="48"/>
  <c r="AT37" i="48"/>
  <c r="DA37" i="48"/>
  <c r="AP37" i="48"/>
  <c r="AT35" i="48"/>
  <c r="BU33" i="48"/>
  <c r="DB37" i="48"/>
  <c r="CV37" i="48"/>
  <c r="DD37" i="48"/>
  <c r="AI35" i="48"/>
  <c r="DJ33" i="48"/>
  <c r="AH33" i="48"/>
  <c r="BW35" i="48"/>
  <c r="Q35" i="48"/>
  <c r="BC35" i="48"/>
  <c r="AK37" i="48"/>
  <c r="T33" i="48"/>
  <c r="AZ33" i="48"/>
  <c r="CO37" i="48"/>
  <c r="BR35" i="48"/>
  <c r="AS37" i="48"/>
  <c r="BE33" i="48"/>
  <c r="BO33" i="48"/>
  <c r="CB37" i="48"/>
  <c r="AE35" i="48"/>
  <c r="CY35" i="48"/>
  <c r="AA35" i="48"/>
  <c r="AM33" i="48"/>
  <c r="CA33" i="48"/>
  <c r="AT33" i="48"/>
  <c r="CM35" i="48"/>
  <c r="AC37" i="48"/>
  <c r="DA33" i="48"/>
  <c r="CQ35" i="48"/>
  <c r="N37" i="48"/>
  <c r="BL37" i="48"/>
  <c r="CG37" i="48"/>
  <c r="BR37" i="48"/>
  <c r="CD37" i="48"/>
  <c r="BJ33" i="48"/>
  <c r="BY33" i="48"/>
  <c r="BF37" i="48"/>
  <c r="AI37" i="48"/>
  <c r="BK37" i="48"/>
  <c r="C37" i="48"/>
  <c r="CK33" i="48"/>
  <c r="AW37" i="48"/>
  <c r="CF37" i="48"/>
  <c r="V33" i="48"/>
  <c r="AF35" i="48"/>
  <c r="Q37" i="48"/>
  <c r="BS33" i="48"/>
  <c r="DO37" i="48"/>
  <c r="DN37" i="48"/>
  <c r="BF35" i="48"/>
  <c r="AN33" i="48"/>
  <c r="C35" i="48"/>
  <c r="AM37" i="48"/>
  <c r="J33" i="48"/>
  <c r="W35" i="48"/>
  <c r="AU35" i="48"/>
  <c r="CC35" i="48"/>
  <c r="AE33" i="48"/>
  <c r="Z33" i="48"/>
  <c r="DA35" i="48"/>
  <c r="BB35" i="48"/>
  <c r="P33" i="48"/>
  <c r="AL33" i="48"/>
  <c r="BX37" i="48"/>
  <c r="BF33" i="48"/>
  <c r="CJ33" i="48"/>
  <c r="G33" i="48"/>
  <c r="T37" i="48"/>
  <c r="BI37" i="48"/>
  <c r="M33" i="48"/>
  <c r="CQ37" i="48"/>
  <c r="DT35" i="48"/>
  <c r="AX35" i="48"/>
  <c r="AF33" i="48"/>
  <c r="CI37" i="48"/>
  <c r="Y37" i="48"/>
  <c r="CO33" i="48"/>
  <c r="AR37" i="48"/>
  <c r="CL37" i="48"/>
  <c r="CC33" i="48"/>
  <c r="AR35" i="48"/>
  <c r="AB35" i="48"/>
  <c r="H37" i="48"/>
  <c r="O33" i="48"/>
  <c r="BG35" i="48"/>
  <c r="BZ37" i="48"/>
  <c r="DC33" i="48"/>
  <c r="CS35" i="48"/>
  <c r="V35" i="48"/>
  <c r="CZ35" i="48"/>
  <c r="DQ33" i="48"/>
  <c r="DL33" i="48"/>
  <c r="N35" i="48"/>
  <c r="M37" i="48"/>
  <c r="R33" i="48"/>
  <c r="CF33" i="48"/>
  <c r="P35" i="48"/>
  <c r="BN35" i="48"/>
  <c r="DN35" i="48"/>
  <c r="BY35" i="48"/>
  <c r="CT35" i="48"/>
  <c r="X35" i="48"/>
  <c r="CX33" i="48"/>
  <c r="DG33" i="48"/>
  <c r="CL35" i="48"/>
  <c r="AV37" i="48"/>
  <c r="M35" i="48"/>
  <c r="P37" i="48"/>
  <c r="AE37" i="48"/>
  <c r="BK33" i="48"/>
  <c r="DP37" i="48"/>
  <c r="CU37" i="48"/>
  <c r="W33" i="48"/>
  <c r="AB33" i="48"/>
  <c r="CE37" i="48"/>
  <c r="CX35" i="48"/>
  <c r="AJ33" i="48"/>
  <c r="CX37" i="48"/>
  <c r="BA35" i="48"/>
  <c r="AZ35" i="48"/>
  <c r="CT33" i="48"/>
  <c r="DF37" i="48"/>
  <c r="BO35" i="48"/>
  <c r="AR33" i="48"/>
  <c r="C24" i="48"/>
  <c r="DS35" i="48"/>
  <c r="G37" i="48"/>
  <c r="K33" i="48"/>
  <c r="DF35" i="48"/>
  <c r="DE37" i="48"/>
  <c r="BD35" i="48"/>
  <c r="AI33" i="48"/>
  <c r="AO33" i="48"/>
  <c r="CW33" i="48"/>
  <c r="DT37" i="48"/>
  <c r="DQ35" i="48"/>
  <c r="DK33" i="48"/>
  <c r="BZ35" i="48"/>
  <c r="X33" i="48"/>
  <c r="AG35" i="48"/>
  <c r="CZ33" i="48"/>
  <c r="BV35" i="48"/>
  <c r="DL35" i="48"/>
  <c r="CV35" i="48"/>
  <c r="G35" i="48"/>
  <c r="DD33" i="48"/>
  <c r="CA37" i="48"/>
  <c r="BV37" i="48"/>
  <c r="Y33" i="48"/>
  <c r="CN37" i="48"/>
  <c r="AP35" i="48"/>
  <c r="CM37" i="48"/>
  <c r="BX33" i="48"/>
  <c r="CB35" i="48"/>
  <c r="CK35" i="48"/>
  <c r="U33" i="48"/>
  <c r="DE33" i="48"/>
  <c r="AD35" i="48"/>
  <c r="BC37" i="48"/>
  <c r="CP33" i="48"/>
  <c r="BY37" i="48"/>
  <c r="AN35" i="48"/>
  <c r="AD33" i="48"/>
  <c r="DG35" i="48"/>
  <c r="DE35" i="48"/>
  <c r="AY33" i="48"/>
  <c r="DM37" i="48"/>
  <c r="DF33" i="48"/>
  <c r="DP35" i="48"/>
  <c r="BP37" i="48"/>
  <c r="DR33" i="48"/>
  <c r="BB37" i="48"/>
  <c r="AB37" i="48"/>
  <c r="AP33" i="48"/>
  <c r="DJ37" i="48"/>
  <c r="BD37" i="48"/>
  <c r="CG35" i="48"/>
  <c r="BQ33" i="48"/>
  <c r="T35" i="48"/>
  <c r="AH37" i="48"/>
  <c r="CS33" i="48"/>
  <c r="R35" i="48"/>
  <c r="AM35" i="48"/>
  <c r="DK35" i="48"/>
  <c r="DT33" i="48"/>
  <c r="AY35" i="48"/>
  <c r="BU35" i="48"/>
  <c r="K37" i="48"/>
  <c r="AX33" i="48"/>
  <c r="BH35" i="48"/>
  <c r="BJ37" i="48"/>
  <c r="DI37" i="48"/>
  <c r="CM33" i="48"/>
  <c r="CS37" i="48"/>
  <c r="L37" i="48"/>
  <c r="AW35" i="48"/>
  <c r="CE33" i="48"/>
  <c r="BB33" i="48"/>
  <c r="CP35" i="48"/>
  <c r="DP33" i="48"/>
  <c r="H33" i="48"/>
  <c r="CE35" i="48"/>
  <c r="DC37" i="48"/>
  <c r="BH33" i="48"/>
  <c r="CT37" i="48"/>
  <c r="AX37" i="48"/>
  <c r="BV33" i="48"/>
  <c r="CK37" i="48"/>
  <c r="BL35" i="48"/>
  <c r="DB33" i="48"/>
  <c r="L33" i="48"/>
  <c r="BX35" i="48"/>
  <c r="BU37" i="48"/>
  <c r="CG33" i="48"/>
  <c r="AV35" i="48"/>
  <c r="U35" i="48"/>
  <c r="BK35" i="48"/>
  <c r="BR33" i="48"/>
  <c r="Z35" i="48"/>
  <c r="BH37" i="48"/>
  <c r="H35" i="48"/>
  <c r="CU35" i="48"/>
  <c r="CW35" i="48"/>
  <c r="CD35" i="48"/>
  <c r="AG33" i="48"/>
  <c r="W37" i="48"/>
  <c r="S35" i="48"/>
  <c r="BM33" i="48"/>
  <c r="CP37" i="48"/>
  <c r="BG37" i="48"/>
  <c r="AU33" i="48"/>
  <c r="DH35" i="48"/>
  <c r="DL37" i="48"/>
  <c r="BA33" i="48"/>
  <c r="CL33" i="48"/>
  <c r="DR37" i="48"/>
  <c r="DI35" i="48"/>
  <c r="CR33" i="48"/>
  <c r="BT37" i="48"/>
  <c r="CF35" i="48"/>
  <c r="BI33" i="48"/>
  <c r="BZ33" i="48"/>
  <c r="BM35" i="48"/>
  <c r="CH35" i="48"/>
  <c r="CH33" i="48"/>
  <c r="BT33" i="48"/>
  <c r="DD35" i="48"/>
  <c r="AA37" i="48"/>
  <c r="AN37" i="48"/>
  <c r="AK33" i="48"/>
  <c r="AV33" i="48"/>
  <c r="O37" i="48"/>
  <c r="S37" i="48"/>
  <c r="BW33" i="48"/>
  <c r="U37" i="48"/>
  <c r="AC35" i="48"/>
  <c r="DQ37" i="48"/>
  <c r="CY33" i="48"/>
  <c r="J37" i="48"/>
  <c r="AD37" i="48"/>
  <c r="BC33" i="48"/>
  <c r="J35" i="48"/>
  <c r="AK35" i="48"/>
  <c r="CQ33" i="48"/>
  <c r="CC37" i="48"/>
  <c r="Y35" i="48"/>
  <c r="DO35" i="48"/>
  <c r="CB33" i="48"/>
  <c r="BJ35" i="48"/>
  <c r="BM37" i="48"/>
  <c r="DS33" i="48"/>
  <c r="CY37" i="48"/>
  <c r="AL35" i="48"/>
  <c r="CT23" i="48"/>
  <c r="CV23" i="48"/>
  <c r="CF23" i="48"/>
  <c r="W23" i="48"/>
  <c r="AX23" i="48"/>
  <c r="AI23" i="48"/>
  <c r="BT23" i="48"/>
  <c r="BC23" i="48"/>
  <c r="AC23" i="48"/>
  <c r="CN23" i="48"/>
  <c r="CP23" i="48"/>
  <c r="AB23" i="48"/>
  <c r="CO23" i="48"/>
  <c r="CX23" i="48"/>
  <c r="DA23" i="48"/>
  <c r="AW23" i="48"/>
  <c r="Q23" i="48"/>
  <c r="AP23" i="48"/>
  <c r="CD23" i="48"/>
  <c r="CA23" i="48"/>
  <c r="M23" i="48"/>
  <c r="X23" i="48"/>
  <c r="J23" i="48"/>
  <c r="CU23" i="48"/>
  <c r="AY23" i="48"/>
  <c r="AG23" i="48"/>
  <c r="AK23" i="48"/>
  <c r="BK23" i="48"/>
  <c r="AS23" i="48"/>
  <c r="DH23" i="48"/>
  <c r="CJ23" i="48"/>
  <c r="AU23" i="48"/>
  <c r="DD23" i="48"/>
  <c r="CW23" i="48"/>
  <c r="Y23" i="48"/>
  <c r="AJ23" i="48"/>
  <c r="BR23" i="48"/>
  <c r="I23" i="48"/>
  <c r="CY23" i="48"/>
  <c r="DJ23" i="48"/>
  <c r="DR23" i="48"/>
  <c r="DG23" i="48"/>
  <c r="DI23" i="48"/>
  <c r="BJ23" i="48"/>
  <c r="CR23" i="48"/>
  <c r="BE23" i="48"/>
  <c r="CM23" i="48"/>
  <c r="AT22" i="61" l="1"/>
  <c r="CD22" i="61"/>
  <c r="DI22" i="61"/>
  <c r="BL22" i="61"/>
  <c r="CR22" i="61"/>
  <c r="BF22" i="61"/>
  <c r="AP22" i="61"/>
  <c r="BD22" i="61"/>
  <c r="DC22" i="61"/>
  <c r="O22" i="61"/>
  <c r="L22" i="61"/>
  <c r="AN22" i="61"/>
  <c r="AF22" i="61"/>
  <c r="N22" i="61"/>
  <c r="X22" i="61"/>
  <c r="BX22" i="61"/>
  <c r="V22" i="61"/>
  <c r="BA22" i="61"/>
  <c r="G22" i="61"/>
  <c r="DF22" i="61"/>
  <c r="CE22" i="61"/>
  <c r="BN22" i="61"/>
  <c r="CJ22" i="61"/>
  <c r="AQ22" i="61"/>
  <c r="CB22" i="61"/>
  <c r="CU22" i="61"/>
  <c r="AD22" i="61"/>
  <c r="F22" i="61"/>
  <c r="CT22" i="61"/>
  <c r="BV22" i="61"/>
  <c r="AX22" i="61"/>
  <c r="AA22" i="61"/>
  <c r="DQ22" i="61"/>
  <c r="BP22" i="61"/>
  <c r="AL22" i="61"/>
  <c r="CX22" i="61"/>
  <c r="BS22" i="61"/>
  <c r="DP22" i="61"/>
  <c r="CA22" i="61"/>
  <c r="BW22" i="61"/>
  <c r="AY22" i="61"/>
  <c r="T22" i="61"/>
  <c r="CF22" i="61"/>
  <c r="BB22" i="61"/>
  <c r="DN22" i="61"/>
  <c r="CI22" i="61"/>
  <c r="E23" i="61"/>
  <c r="BI23" i="61" s="1"/>
  <c r="DE22" i="61"/>
  <c r="CM22" i="61"/>
  <c r="BO22" i="61"/>
  <c r="AH22" i="61"/>
  <c r="P22" i="61"/>
  <c r="DJ22" i="61"/>
  <c r="CK22" i="61"/>
  <c r="BM22" i="61"/>
  <c r="AB22" i="61"/>
  <c r="CN22" i="61"/>
  <c r="BJ22" i="61"/>
  <c r="AE22" i="61"/>
  <c r="CQ22" i="61"/>
  <c r="BQ22" i="61"/>
  <c r="AS22" i="61"/>
  <c r="J22" i="61"/>
  <c r="DA22" i="61"/>
  <c r="CC22" i="61"/>
  <c r="AV22" i="61"/>
  <c r="Y22" i="61"/>
  <c r="H22" i="61"/>
  <c r="CW22" i="61"/>
  <c r="BY22" i="61"/>
  <c r="AJ22" i="61"/>
  <c r="CV22" i="61"/>
  <c r="BR22" i="61"/>
  <c r="AM22" i="61"/>
  <c r="CY22" i="61"/>
  <c r="W22" i="61"/>
  <c r="CS22" i="61"/>
  <c r="S22" i="61"/>
  <c r="DR22" i="61"/>
  <c r="CO22" i="61"/>
  <c r="BG22" i="61"/>
  <c r="AI22" i="61"/>
  <c r="Q22" i="61"/>
  <c r="DK22" i="61"/>
  <c r="CL22" i="61"/>
  <c r="AR22" i="61"/>
  <c r="DD22" i="61"/>
  <c r="BZ22" i="61"/>
  <c r="AU22" i="61"/>
  <c r="DG22" i="61"/>
  <c r="BT22" i="61"/>
  <c r="M22" i="61"/>
  <c r="AC22" i="61"/>
  <c r="K22" i="61"/>
  <c r="DB22" i="61"/>
  <c r="BU22" i="61"/>
  <c r="AW22" i="61"/>
  <c r="Z22" i="61"/>
  <c r="I22" i="61"/>
  <c r="CZ22" i="61"/>
  <c r="AZ22" i="61"/>
  <c r="DL22" i="61"/>
  <c r="CH22" i="61"/>
  <c r="BC22" i="61"/>
  <c r="DO22" i="61"/>
  <c r="AG22" i="61"/>
  <c r="BE22" i="61"/>
  <c r="AO22" i="61"/>
  <c r="U22" i="61"/>
  <c r="DS22" i="61"/>
  <c r="CG22" i="61"/>
  <c r="BI22" i="61"/>
  <c r="AK22" i="61"/>
  <c r="R22" i="61"/>
  <c r="DM22" i="61"/>
  <c r="BH22" i="61"/>
  <c r="DT22" i="61"/>
  <c r="CP22" i="61"/>
  <c r="BK22" i="61"/>
  <c r="DH22" i="61"/>
  <c r="DE25" i="49"/>
  <c r="BI25" i="49"/>
  <c r="BO25" i="49"/>
  <c r="Y25" i="49"/>
  <c r="T25" i="49"/>
  <c r="AY25" i="49"/>
  <c r="BQ25" i="49"/>
  <c r="CN25" i="49"/>
  <c r="O25" i="49"/>
  <c r="DF25" i="49"/>
  <c r="CM25" i="49"/>
  <c r="CF25" i="49"/>
  <c r="BM25" i="49"/>
  <c r="F25" i="49"/>
  <c r="M25" i="49"/>
  <c r="AC25" i="49"/>
  <c r="CA25" i="49"/>
  <c r="AL25" i="49"/>
  <c r="BF25" i="49"/>
  <c r="BX25" i="49"/>
  <c r="Z25" i="49"/>
  <c r="BJ25" i="49"/>
  <c r="CV25" i="49"/>
  <c r="DA25" i="49"/>
  <c r="CR25" i="49"/>
  <c r="CW25" i="49"/>
  <c r="BN25" i="49"/>
  <c r="AG25" i="49"/>
  <c r="CT25" i="49"/>
  <c r="DT25" i="49"/>
  <c r="CP25" i="49"/>
  <c r="CC25" i="49"/>
  <c r="AN25" i="49"/>
  <c r="DC25" i="49"/>
  <c r="S25" i="49"/>
  <c r="AU25" i="49"/>
  <c r="BP25" i="49"/>
  <c r="DP25" i="49"/>
  <c r="BT25" i="49"/>
  <c r="DJ25" i="49"/>
  <c r="AF25" i="49"/>
  <c r="AV25" i="49"/>
  <c r="AO25" i="49"/>
  <c r="AB25" i="49"/>
  <c r="CI25" i="49"/>
  <c r="CJ25" i="49"/>
  <c r="N25" i="49"/>
  <c r="CH25" i="49"/>
  <c r="BR25" i="49"/>
  <c r="V25" i="49"/>
  <c r="BD25" i="49"/>
  <c r="DH25" i="49"/>
  <c r="AJ25" i="49"/>
  <c r="L25" i="49"/>
  <c r="DO25" i="49"/>
  <c r="AS25" i="49"/>
  <c r="W25" i="49"/>
  <c r="X25" i="49"/>
  <c r="CX25" i="49"/>
  <c r="AP25" i="49"/>
  <c r="J25" i="49"/>
  <c r="BU25" i="49"/>
  <c r="BZ25" i="49"/>
  <c r="AA25" i="49"/>
  <c r="AE25" i="49"/>
  <c r="DI25" i="49"/>
  <c r="DR25" i="49"/>
  <c r="BY25" i="49"/>
  <c r="P25" i="49"/>
  <c r="DL25" i="49"/>
  <c r="AD25" i="49"/>
  <c r="K25" i="49"/>
  <c r="BC25" i="49"/>
  <c r="BE25" i="49"/>
  <c r="BB25" i="49"/>
  <c r="DN25" i="49"/>
  <c r="DD25" i="49"/>
  <c r="Q25" i="49"/>
  <c r="CE25" i="49"/>
  <c r="BL25" i="49"/>
  <c r="AM25" i="49"/>
  <c r="BA25" i="49"/>
  <c r="DM25" i="49"/>
  <c r="AK25" i="49"/>
  <c r="CU25" i="49"/>
  <c r="H25" i="49"/>
  <c r="CG25" i="49"/>
  <c r="DB25" i="49"/>
  <c r="CD25" i="49"/>
  <c r="CO25" i="49"/>
  <c r="AI25" i="49"/>
  <c r="BV25" i="49"/>
  <c r="DK25" i="49"/>
  <c r="AW25" i="49"/>
  <c r="U25" i="49"/>
  <c r="CL25" i="49"/>
  <c r="R25" i="49"/>
  <c r="AQ25" i="49"/>
  <c r="BW25" i="49"/>
  <c r="DS25" i="49"/>
  <c r="I25" i="49"/>
  <c r="CQ25" i="49"/>
  <c r="CY25" i="49"/>
  <c r="G25" i="49"/>
  <c r="CZ25" i="49"/>
  <c r="AZ25" i="49"/>
  <c r="AT25" i="49"/>
  <c r="AR25" i="49"/>
  <c r="BK25" i="49"/>
  <c r="DG25" i="49"/>
  <c r="AX25" i="49"/>
  <c r="BS25" i="49"/>
  <c r="CB25" i="49"/>
  <c r="DQ25" i="49"/>
  <c r="AH25" i="49"/>
  <c r="BH25" i="49"/>
  <c r="BG25" i="49"/>
  <c r="CS25" i="49"/>
  <c r="E24" i="48"/>
  <c r="C25" i="48" s="1"/>
  <c r="CS23" i="61" l="1"/>
  <c r="DJ23" i="61"/>
  <c r="CZ23" i="61"/>
  <c r="DP23" i="61"/>
  <c r="J23" i="61"/>
  <c r="P23" i="61"/>
  <c r="F23" i="61"/>
  <c r="CH23" i="61"/>
  <c r="DN23" i="61"/>
  <c r="Z23" i="61"/>
  <c r="AO23" i="61"/>
  <c r="AY23" i="61"/>
  <c r="AJ23" i="61"/>
  <c r="CB23" i="61"/>
  <c r="AM23" i="61"/>
  <c r="BU23" i="61"/>
  <c r="DL23" i="61"/>
  <c r="W23" i="61"/>
  <c r="AT23" i="61"/>
  <c r="DQ23" i="61"/>
  <c r="DG23" i="61"/>
  <c r="BB23" i="61"/>
  <c r="CD23" i="61"/>
  <c r="G23" i="61"/>
  <c r="CQ23" i="61"/>
  <c r="I23" i="61"/>
  <c r="AB23" i="61"/>
  <c r="CL23" i="61"/>
  <c r="DE23" i="61"/>
  <c r="AQ23" i="61"/>
  <c r="AV23" i="61"/>
  <c r="AU23" i="61"/>
  <c r="AF23" i="61"/>
  <c r="BS23" i="61"/>
  <c r="BJ23" i="61"/>
  <c r="Q23" i="61"/>
  <c r="DA23" i="61"/>
  <c r="CT23" i="61"/>
  <c r="BG23" i="61"/>
  <c r="AR23" i="61"/>
  <c r="AC23" i="61"/>
  <c r="BC23" i="61"/>
  <c r="CA23" i="61"/>
  <c r="BK23" i="61"/>
  <c r="CY23" i="61"/>
  <c r="BR23" i="61"/>
  <c r="AG23" i="61"/>
  <c r="DI23" i="61"/>
  <c r="DB23" i="61"/>
  <c r="CE23" i="61"/>
  <c r="AZ23" i="61"/>
  <c r="AK23" i="61"/>
  <c r="CM23" i="61"/>
  <c r="AS23" i="61"/>
  <c r="CI23" i="61"/>
  <c r="H23" i="61"/>
  <c r="O23" i="61"/>
  <c r="V23" i="61"/>
  <c r="CP23" i="61"/>
  <c r="AW23" i="61"/>
  <c r="AP23" i="61"/>
  <c r="S23" i="61"/>
  <c r="CU23" i="61"/>
  <c r="CN23" i="61"/>
  <c r="BA23" i="61"/>
  <c r="X23" i="61"/>
  <c r="R23" i="61"/>
  <c r="AE23" i="61"/>
  <c r="BL23" i="61"/>
  <c r="AD23" i="61"/>
  <c r="CX23" i="61"/>
  <c r="BE23" i="61"/>
  <c r="AX23" i="61"/>
  <c r="AA23" i="61"/>
  <c r="DC23" i="61"/>
  <c r="CV23" i="61"/>
  <c r="CO23" i="61"/>
  <c r="BP23" i="61"/>
  <c r="DH23" i="61"/>
  <c r="AN23" i="61"/>
  <c r="CJ23" i="61"/>
  <c r="CR23" i="61"/>
  <c r="AL23" i="61"/>
  <c r="DF23" i="61"/>
  <c r="BM23" i="61"/>
  <c r="BV23" i="61"/>
  <c r="AI23" i="61"/>
  <c r="DS23" i="61"/>
  <c r="DD23" i="61"/>
  <c r="CW23" i="61"/>
  <c r="DM23" i="61"/>
  <c r="DK23" i="61"/>
  <c r="BH23" i="61"/>
  <c r="DT23" i="61"/>
  <c r="C37" i="61"/>
  <c r="C33" i="61"/>
  <c r="C35" i="61"/>
  <c r="C24" i="61"/>
  <c r="DK37" i="61"/>
  <c r="AY37" i="61"/>
  <c r="DC35" i="61"/>
  <c r="AQ35" i="61"/>
  <c r="CT37" i="61"/>
  <c r="AH37" i="61"/>
  <c r="CL35" i="61"/>
  <c r="Z35" i="61"/>
  <c r="CJ37" i="61"/>
  <c r="X37" i="61"/>
  <c r="CB35" i="61"/>
  <c r="P35" i="61"/>
  <c r="BS37" i="61"/>
  <c r="G37" i="61"/>
  <c r="BB37" i="61"/>
  <c r="BX37" i="61"/>
  <c r="AB37" i="61"/>
  <c r="DC37" i="61"/>
  <c r="AQ37" i="61"/>
  <c r="CU35" i="61"/>
  <c r="AI35" i="61"/>
  <c r="CL37" i="61"/>
  <c r="Z37" i="61"/>
  <c r="CD35" i="61"/>
  <c r="R35" i="61"/>
  <c r="CB37" i="61"/>
  <c r="P37" i="61"/>
  <c r="BT35" i="61"/>
  <c r="H35" i="61"/>
  <c r="BK37" i="61"/>
  <c r="DO35" i="61"/>
  <c r="BC35" i="61"/>
  <c r="DF37" i="61"/>
  <c r="AT37" i="61"/>
  <c r="CX35" i="61"/>
  <c r="AL35" i="61"/>
  <c r="BA37" i="61"/>
  <c r="DL37" i="61"/>
  <c r="BM35" i="61"/>
  <c r="DA35" i="61"/>
  <c r="AS37" i="61"/>
  <c r="DD37" i="61"/>
  <c r="BE35" i="61"/>
  <c r="DL35" i="61"/>
  <c r="BE37" i="61"/>
  <c r="DA37" i="61"/>
  <c r="CS35" i="61"/>
  <c r="CU37" i="61"/>
  <c r="AI37" i="61"/>
  <c r="CM35" i="61"/>
  <c r="AA35" i="61"/>
  <c r="CD37" i="61"/>
  <c r="R37" i="61"/>
  <c r="BV35" i="61"/>
  <c r="J35" i="61"/>
  <c r="BT37" i="61"/>
  <c r="H37" i="61"/>
  <c r="BL35" i="61"/>
  <c r="DO37" i="61"/>
  <c r="BC37" i="61"/>
  <c r="DG35" i="61"/>
  <c r="AU35" i="61"/>
  <c r="CX37" i="61"/>
  <c r="AL37" i="61"/>
  <c r="CP35" i="61"/>
  <c r="AD35" i="61"/>
  <c r="AG37" i="61"/>
  <c r="CO37" i="61"/>
  <c r="AR35" i="61"/>
  <c r="CF35" i="61"/>
  <c r="Y37" i="61"/>
  <c r="CG37" i="61"/>
  <c r="AJ35" i="61"/>
  <c r="CO35" i="61"/>
  <c r="AJ37" i="61"/>
  <c r="BA35" i="61"/>
  <c r="BX35" i="61"/>
  <c r="DF35" i="61"/>
  <c r="BP37" i="61"/>
  <c r="CM37" i="61"/>
  <c r="AA37" i="61"/>
  <c r="CE35" i="61"/>
  <c r="S35" i="61"/>
  <c r="BV37" i="61"/>
  <c r="J37" i="61"/>
  <c r="BN35" i="61"/>
  <c r="DQ37" i="61"/>
  <c r="BL37" i="61"/>
  <c r="DP35" i="61"/>
  <c r="BD35" i="61"/>
  <c r="DG37" i="61"/>
  <c r="AU37" i="61"/>
  <c r="CY35" i="61"/>
  <c r="AM35" i="61"/>
  <c r="CP37" i="61"/>
  <c r="AD37" i="61"/>
  <c r="CH35" i="61"/>
  <c r="V35" i="61"/>
  <c r="L37" i="61"/>
  <c r="BU37" i="61"/>
  <c r="U35" i="61"/>
  <c r="BI35" i="61"/>
  <c r="DT35" i="61"/>
  <c r="BM37" i="61"/>
  <c r="M35" i="61"/>
  <c r="BU35" i="61"/>
  <c r="M37" i="61"/>
  <c r="CF37" i="61"/>
  <c r="DM35" i="61"/>
  <c r="G35" i="61"/>
  <c r="CS37" i="61"/>
  <c r="CK37" i="61"/>
  <c r="AK37" i="61"/>
  <c r="AW35" i="61"/>
  <c r="DN37" i="61"/>
  <c r="BY37" i="61"/>
  <c r="CE37" i="61"/>
  <c r="S37" i="61"/>
  <c r="BW35" i="61"/>
  <c r="K35" i="61"/>
  <c r="BN37" i="61"/>
  <c r="DR35" i="61"/>
  <c r="BF35" i="61"/>
  <c r="DP37" i="61"/>
  <c r="BD37" i="61"/>
  <c r="DH35" i="61"/>
  <c r="AV35" i="61"/>
  <c r="CY37" i="61"/>
  <c r="AM37" i="61"/>
  <c r="CQ35" i="61"/>
  <c r="AE35" i="61"/>
  <c r="CH37" i="61"/>
  <c r="V37" i="61"/>
  <c r="BZ35" i="61"/>
  <c r="N35" i="61"/>
  <c r="DE35" i="61"/>
  <c r="AZ37" i="61"/>
  <c r="DI37" i="61"/>
  <c r="AO35" i="61"/>
  <c r="CW35" i="61"/>
  <c r="AR37" i="61"/>
  <c r="CW37" i="61"/>
  <c r="AZ35" i="61"/>
  <c r="DI35" i="61"/>
  <c r="AG35" i="61"/>
  <c r="DS37" i="61"/>
  <c r="BG37" i="61"/>
  <c r="DK35" i="61"/>
  <c r="AY35" i="61"/>
  <c r="DB37" i="61"/>
  <c r="AP37" i="61"/>
  <c r="CT35" i="61"/>
  <c r="AH35" i="61"/>
  <c r="CR37" i="61"/>
  <c r="AF37" i="61"/>
  <c r="CJ35" i="61"/>
  <c r="X35" i="61"/>
  <c r="CA37" i="61"/>
  <c r="O37" i="61"/>
  <c r="BS35" i="61"/>
  <c r="BJ37" i="61"/>
  <c r="DN35" i="61"/>
  <c r="BB35" i="61"/>
  <c r="AS35" i="61"/>
  <c r="DD35" i="61"/>
  <c r="AW37" i="61"/>
  <c r="CV35" i="61"/>
  <c r="CV37" i="61"/>
  <c r="AO37" i="61"/>
  <c r="Y35" i="61"/>
  <c r="BW37" i="61"/>
  <c r="K37" i="61"/>
  <c r="BO35" i="61"/>
  <c r="DR37" i="61"/>
  <c r="BF37" i="61"/>
  <c r="DJ35" i="61"/>
  <c r="AX35" i="61"/>
  <c r="DH37" i="61"/>
  <c r="AV37" i="61"/>
  <c r="CZ35" i="61"/>
  <c r="AN35" i="61"/>
  <c r="CQ37" i="61"/>
  <c r="AE37" i="61"/>
  <c r="CI35" i="61"/>
  <c r="W35" i="61"/>
  <c r="BZ37" i="61"/>
  <c r="N37" i="61"/>
  <c r="BR35" i="61"/>
  <c r="F35" i="61"/>
  <c r="CK35" i="61"/>
  <c r="AC37" i="61"/>
  <c r="CN37" i="61"/>
  <c r="T35" i="61"/>
  <c r="CC35" i="61"/>
  <c r="U37" i="61"/>
  <c r="CC37" i="61"/>
  <c r="AC35" i="61"/>
  <c r="CN35" i="61"/>
  <c r="BI37" i="61"/>
  <c r="AK35" i="61"/>
  <c r="AT35" i="61"/>
  <c r="CG35" i="61"/>
  <c r="BY35" i="61"/>
  <c r="AB35" i="61"/>
  <c r="T37" i="61"/>
  <c r="DT37" i="61"/>
  <c r="BO37" i="61"/>
  <c r="DS35" i="61"/>
  <c r="BG35" i="61"/>
  <c r="DJ37" i="61"/>
  <c r="AX37" i="61"/>
  <c r="DB35" i="61"/>
  <c r="AP35" i="61"/>
  <c r="CZ37" i="61"/>
  <c r="AN37" i="61"/>
  <c r="CR35" i="61"/>
  <c r="AF35" i="61"/>
  <c r="CI37" i="61"/>
  <c r="W37" i="61"/>
  <c r="CA35" i="61"/>
  <c r="O35" i="61"/>
  <c r="BR37" i="61"/>
  <c r="F37" i="61"/>
  <c r="BJ35" i="61"/>
  <c r="DM37" i="61"/>
  <c r="BP35" i="61"/>
  <c r="I37" i="61"/>
  <c r="BQ37" i="61"/>
  <c r="DE37" i="61"/>
  <c r="BH35" i="61"/>
  <c r="DQ35" i="61"/>
  <c r="BH37" i="61"/>
  <c r="I35" i="61"/>
  <c r="BQ35" i="61"/>
  <c r="L35" i="61"/>
  <c r="BK35" i="61"/>
  <c r="Q35" i="61"/>
  <c r="Q37" i="61"/>
  <c r="DS33" i="61"/>
  <c r="BG33" i="61"/>
  <c r="BN33" i="61"/>
  <c r="BT33" i="61"/>
  <c r="H33" i="61"/>
  <c r="CA33" i="61"/>
  <c r="O33" i="61"/>
  <c r="CH33" i="61"/>
  <c r="V33" i="61"/>
  <c r="BH33" i="61"/>
  <c r="AJ33" i="61"/>
  <c r="L33" i="61"/>
  <c r="BM33" i="61"/>
  <c r="AS33" i="61"/>
  <c r="BO33" i="61"/>
  <c r="DK33" i="61"/>
  <c r="AY33" i="61"/>
  <c r="DR33" i="61"/>
  <c r="BF33" i="61"/>
  <c r="BL33" i="61"/>
  <c r="BS33" i="61"/>
  <c r="G33" i="61"/>
  <c r="BZ33" i="61"/>
  <c r="N33" i="61"/>
  <c r="AK33" i="61"/>
  <c r="M33" i="61"/>
  <c r="DI33" i="61"/>
  <c r="AR33" i="61"/>
  <c r="BV33" i="61"/>
  <c r="DC33" i="61"/>
  <c r="AQ33" i="61"/>
  <c r="DJ33" i="61"/>
  <c r="AX33" i="61"/>
  <c r="DP33" i="61"/>
  <c r="BD33" i="61"/>
  <c r="BK33" i="61"/>
  <c r="BR33" i="61"/>
  <c r="F33" i="61"/>
  <c r="Q33" i="61"/>
  <c r="DL33" i="61"/>
  <c r="CN33" i="61"/>
  <c r="U33" i="61"/>
  <c r="Y33" i="61"/>
  <c r="BE33" i="61"/>
  <c r="T33" i="61"/>
  <c r="CU33" i="61"/>
  <c r="AI33" i="61"/>
  <c r="DB33" i="61"/>
  <c r="AP33" i="61"/>
  <c r="DH33" i="61"/>
  <c r="AV33" i="61"/>
  <c r="DO33" i="61"/>
  <c r="BC33" i="61"/>
  <c r="BJ33" i="61"/>
  <c r="DM33" i="61"/>
  <c r="CO33" i="61"/>
  <c r="BQ33" i="61"/>
  <c r="DA33" i="61"/>
  <c r="CM33" i="61"/>
  <c r="AA33" i="61"/>
  <c r="CT33" i="61"/>
  <c r="AH33" i="61"/>
  <c r="CZ33" i="61"/>
  <c r="AN33" i="61"/>
  <c r="DG33" i="61"/>
  <c r="AU33" i="61"/>
  <c r="DN33" i="61"/>
  <c r="BB33" i="61"/>
  <c r="DQ33" i="61"/>
  <c r="CS33" i="61"/>
  <c r="BU33" i="61"/>
  <c r="AW33" i="61"/>
  <c r="CF33" i="61"/>
  <c r="DE33" i="61"/>
  <c r="BP33" i="61"/>
  <c r="K33" i="61"/>
  <c r="CX33" i="61"/>
  <c r="BA33" i="61"/>
  <c r="AC33" i="61"/>
  <c r="CB33" i="61"/>
  <c r="P33" i="61"/>
  <c r="W33" i="61"/>
  <c r="AD33" i="61"/>
  <c r="CC33" i="61"/>
  <c r="I33" i="61"/>
  <c r="CG33" i="61"/>
  <c r="CE33" i="61"/>
  <c r="S33" i="61"/>
  <c r="CL33" i="61"/>
  <c r="Z33" i="61"/>
  <c r="CR33" i="61"/>
  <c r="AF33" i="61"/>
  <c r="CY33" i="61"/>
  <c r="AM33" i="61"/>
  <c r="DF33" i="61"/>
  <c r="AT33" i="61"/>
  <c r="DT33" i="61"/>
  <c r="CV33" i="61"/>
  <c r="BX33" i="61"/>
  <c r="AZ33" i="61"/>
  <c r="AB33" i="61"/>
  <c r="BI33" i="61"/>
  <c r="BW33" i="61"/>
  <c r="CD33" i="61"/>
  <c r="R33" i="61"/>
  <c r="CJ33" i="61"/>
  <c r="X33" i="61"/>
  <c r="CQ33" i="61"/>
  <c r="AE33" i="61"/>
  <c r="AL33" i="61"/>
  <c r="CW33" i="61"/>
  <c r="BY33" i="61"/>
  <c r="DD33" i="61"/>
  <c r="AO33" i="61"/>
  <c r="CK33" i="61"/>
  <c r="J33" i="61"/>
  <c r="CI33" i="61"/>
  <c r="CP33" i="61"/>
  <c r="AG33" i="61"/>
  <c r="BQ23" i="61"/>
  <c r="CC23" i="61"/>
  <c r="BF23" i="61"/>
  <c r="DR23" i="61"/>
  <c r="BO23" i="61"/>
  <c r="L23" i="61"/>
  <c r="BX23" i="61"/>
  <c r="M23" i="61"/>
  <c r="BY23" i="61"/>
  <c r="DO23" i="61"/>
  <c r="BT23" i="61"/>
  <c r="BD23" i="61"/>
  <c r="AH23" i="61"/>
  <c r="N23" i="61"/>
  <c r="BZ23" i="61"/>
  <c r="Y23" i="61"/>
  <c r="CK23" i="61"/>
  <c r="BN23" i="61"/>
  <c r="K23" i="61"/>
  <c r="BW23" i="61"/>
  <c r="T23" i="61"/>
  <c r="CF23" i="61"/>
  <c r="U23" i="61"/>
  <c r="CG23" i="61"/>
  <c r="S24" i="48"/>
  <c r="AU24" i="48"/>
  <c r="BC24" i="48"/>
  <c r="CS24" i="48"/>
  <c r="AP24" i="48"/>
  <c r="AF24" i="48"/>
  <c r="M24" i="48"/>
  <c r="CP24" i="48"/>
  <c r="BO24" i="48"/>
  <c r="DR24" i="48"/>
  <c r="W24" i="48"/>
  <c r="AY24" i="48"/>
  <c r="BA24" i="48"/>
  <c r="DL24" i="48"/>
  <c r="DG24" i="48"/>
  <c r="K24" i="48"/>
  <c r="CM24" i="48"/>
  <c r="BM24" i="48"/>
  <c r="N24" i="48"/>
  <c r="DQ24" i="48"/>
  <c r="BB24" i="48"/>
  <c r="Y24" i="48"/>
  <c r="BS24" i="48"/>
  <c r="Z24" i="48"/>
  <c r="BZ24" i="48"/>
  <c r="BR24" i="48"/>
  <c r="BV24" i="48"/>
  <c r="AZ24" i="48"/>
  <c r="CG24" i="48"/>
  <c r="BT24" i="48"/>
  <c r="DE24" i="48"/>
  <c r="AK24" i="48"/>
  <c r="DM24" i="48"/>
  <c r="BU24" i="48"/>
  <c r="AH24" i="48"/>
  <c r="U24" i="48"/>
  <c r="CZ24" i="48"/>
  <c r="CV24" i="48"/>
  <c r="AM24" i="48"/>
  <c r="AR24" i="48"/>
  <c r="DT24" i="48"/>
  <c r="AS24" i="48"/>
  <c r="AO24" i="48"/>
  <c r="DO24" i="48"/>
  <c r="CW24" i="48"/>
  <c r="BH24" i="48"/>
  <c r="BQ24" i="48"/>
  <c r="L24" i="48"/>
  <c r="AN24" i="48"/>
  <c r="F24" i="48"/>
  <c r="BW24" i="48"/>
  <c r="DK24" i="48"/>
  <c r="BL24" i="48"/>
  <c r="CD24" i="48"/>
  <c r="CT24" i="48"/>
  <c r="DA24" i="48"/>
  <c r="AD24" i="48"/>
  <c r="DS24" i="48"/>
  <c r="CI24" i="48"/>
  <c r="CH24" i="48"/>
  <c r="BF24" i="48"/>
  <c r="P24" i="48"/>
  <c r="BI24" i="48"/>
  <c r="CE24" i="48"/>
  <c r="CF24" i="48"/>
  <c r="AV24" i="48"/>
  <c r="BN24" i="48"/>
  <c r="BY24" i="48"/>
  <c r="AT24" i="48"/>
  <c r="CB24" i="48"/>
  <c r="CX24" i="48"/>
  <c r="BJ24" i="48"/>
  <c r="T24" i="48"/>
  <c r="CU24" i="48"/>
  <c r="X24" i="48"/>
  <c r="CO24" i="48"/>
  <c r="AE24" i="48"/>
  <c r="BK24" i="48"/>
  <c r="BX24" i="48"/>
  <c r="DB24" i="48"/>
  <c r="DJ24" i="48"/>
  <c r="V24" i="48"/>
  <c r="DI24" i="48"/>
  <c r="AI24" i="48"/>
  <c r="AC24" i="48"/>
  <c r="BG24" i="48"/>
  <c r="R24" i="48"/>
  <c r="CC24" i="48"/>
  <c r="AJ24" i="48"/>
  <c r="AL24" i="48"/>
  <c r="CR24" i="48"/>
  <c r="AA24" i="48"/>
  <c r="BE24" i="48"/>
  <c r="DH24" i="48"/>
  <c r="J24" i="48"/>
  <c r="Q24" i="48"/>
  <c r="H24" i="48"/>
  <c r="AQ24" i="48"/>
  <c r="G24" i="48"/>
  <c r="CL24" i="48"/>
  <c r="DD24" i="48"/>
  <c r="CQ24" i="48"/>
  <c r="DP24" i="48"/>
  <c r="AG24" i="48"/>
  <c r="O24" i="48"/>
  <c r="CA24" i="48"/>
  <c r="AB24" i="48"/>
  <c r="I24" i="48"/>
  <c r="BP24" i="48"/>
  <c r="CK24" i="48"/>
  <c r="DN24" i="48"/>
  <c r="AX24" i="48"/>
  <c r="BD24" i="48"/>
  <c r="DF24" i="48"/>
  <c r="AW24" i="48"/>
  <c r="CY24" i="48"/>
  <c r="DC24" i="48"/>
  <c r="CN24" i="48"/>
  <c r="CJ24" i="48"/>
  <c r="E25" i="48"/>
  <c r="AS25" i="48" s="1"/>
  <c r="E24" i="61" l="1"/>
  <c r="C25" i="61" s="1"/>
  <c r="AP25" i="48"/>
  <c r="BE25" i="48"/>
  <c r="BF25" i="48"/>
  <c r="Z25" i="48"/>
  <c r="AQ25" i="48"/>
  <c r="AF25" i="48"/>
  <c r="BQ25" i="48"/>
  <c r="CJ25" i="48"/>
  <c r="AJ25" i="48"/>
  <c r="BJ25" i="48"/>
  <c r="BL25" i="48"/>
  <c r="CG25" i="48"/>
  <c r="AK25" i="48"/>
  <c r="CQ25" i="48"/>
  <c r="R25" i="48"/>
  <c r="AY25" i="48"/>
  <c r="CZ25" i="48"/>
  <c r="CW25" i="48"/>
  <c r="BZ25" i="48"/>
  <c r="BS25" i="48"/>
  <c r="DM25" i="48"/>
  <c r="AR25" i="48"/>
  <c r="O25" i="48"/>
  <c r="H25" i="48"/>
  <c r="CM25" i="48"/>
  <c r="BX25" i="48"/>
  <c r="DB25" i="48"/>
  <c r="V25" i="48"/>
  <c r="DL25" i="48"/>
  <c r="CN25" i="48"/>
  <c r="CS25" i="48"/>
  <c r="I25" i="48"/>
  <c r="CD25" i="48"/>
  <c r="T25" i="48"/>
  <c r="BR25" i="48"/>
  <c r="AH25" i="48"/>
  <c r="BB25" i="48"/>
  <c r="CU25" i="48"/>
  <c r="CX25" i="48"/>
  <c r="BD25" i="48"/>
  <c r="AO25" i="48"/>
  <c r="AV25" i="48"/>
  <c r="AX25" i="48"/>
  <c r="AU25" i="48"/>
  <c r="X25" i="48"/>
  <c r="CT25" i="48"/>
  <c r="BP25" i="48"/>
  <c r="DO25" i="48"/>
  <c r="L25" i="48"/>
  <c r="DH25" i="48"/>
  <c r="DG25" i="48"/>
  <c r="U25" i="48"/>
  <c r="BN25" i="48"/>
  <c r="CK25" i="48"/>
  <c r="CA25" i="48"/>
  <c r="BA25" i="48"/>
  <c r="CO25" i="48"/>
  <c r="F25" i="48"/>
  <c r="AA25" i="48"/>
  <c r="DK25" i="48"/>
  <c r="P25" i="48"/>
  <c r="DI25" i="48"/>
  <c r="DQ25" i="48"/>
  <c r="S25" i="48"/>
  <c r="BH25" i="48"/>
  <c r="AZ25" i="48"/>
  <c r="BI25" i="48"/>
  <c r="BG25" i="48"/>
  <c r="DJ25" i="48"/>
  <c r="J25" i="48"/>
  <c r="BC25" i="48"/>
  <c r="G25" i="48"/>
  <c r="DN25" i="48"/>
  <c r="DC25" i="48"/>
  <c r="M25" i="48"/>
  <c r="AD25" i="48"/>
  <c r="BO25" i="48"/>
  <c r="AM25" i="48"/>
  <c r="BV25" i="48"/>
  <c r="DF25" i="48"/>
  <c r="AN25" i="48"/>
  <c r="BU25" i="48"/>
  <c r="CC25" i="48"/>
  <c r="CI25" i="48"/>
  <c r="W25" i="48"/>
  <c r="BT25" i="48"/>
  <c r="BK25" i="48"/>
  <c r="K25" i="48"/>
  <c r="AL25" i="48"/>
  <c r="CY25" i="48"/>
  <c r="CB25" i="48"/>
  <c r="CF25" i="48"/>
  <c r="CR25" i="48"/>
  <c r="CL25" i="48"/>
  <c r="DP25" i="48"/>
  <c r="DS25" i="48"/>
  <c r="AE25" i="48"/>
  <c r="Q25" i="48"/>
  <c r="DR25" i="48"/>
  <c r="CV25" i="48"/>
  <c r="DA25" i="48"/>
  <c r="CH25" i="48"/>
  <c r="AB25" i="48"/>
  <c r="BM25" i="48"/>
  <c r="AW25" i="48"/>
  <c r="AG25" i="48"/>
  <c r="AT25" i="48"/>
  <c r="Y25" i="48"/>
  <c r="CP25" i="48"/>
  <c r="AI25" i="48"/>
  <c r="CE25" i="48"/>
  <c r="N25" i="48"/>
  <c r="DE25" i="48"/>
  <c r="BY25" i="48"/>
  <c r="DT25" i="48"/>
  <c r="AC25" i="48"/>
  <c r="BW25" i="48"/>
  <c r="DD25" i="48"/>
  <c r="BM24" i="61" l="1"/>
  <c r="S24" i="61"/>
  <c r="DF24" i="61"/>
  <c r="DP24" i="61"/>
  <c r="V24" i="61"/>
  <c r="AT24" i="61"/>
  <c r="BJ24" i="61"/>
  <c r="BR24" i="61"/>
  <c r="AB24" i="61"/>
  <c r="CN24" i="61"/>
  <c r="AE24" i="61"/>
  <c r="CQ24" i="61"/>
  <c r="AN24" i="61"/>
  <c r="CZ24" i="61"/>
  <c r="AW24" i="61"/>
  <c r="DI24" i="61"/>
  <c r="BF24" i="61"/>
  <c r="DR24" i="61"/>
  <c r="BO24" i="61"/>
  <c r="BD24" i="61"/>
  <c r="DN24" i="61"/>
  <c r="BZ24" i="61"/>
  <c r="CP24" i="61"/>
  <c r="CX24" i="61"/>
  <c r="AJ24" i="61"/>
  <c r="CV24" i="61"/>
  <c r="AM24" i="61"/>
  <c r="CY24" i="61"/>
  <c r="AV24" i="61"/>
  <c r="DH24" i="61"/>
  <c r="BE24" i="61"/>
  <c r="DQ24" i="61"/>
  <c r="BN24" i="61"/>
  <c r="K24" i="61"/>
  <c r="BW24" i="61"/>
  <c r="BB24" i="61"/>
  <c r="U24" i="61"/>
  <c r="AK24" i="61"/>
  <c r="AS24" i="61"/>
  <c r="AZ24" i="61"/>
  <c r="DL24" i="61"/>
  <c r="BC24" i="61"/>
  <c r="DO24" i="61"/>
  <c r="BL24" i="61"/>
  <c r="I24" i="61"/>
  <c r="BU24" i="61"/>
  <c r="R24" i="61"/>
  <c r="CD24" i="61"/>
  <c r="AA24" i="61"/>
  <c r="CM24" i="61"/>
  <c r="E25" i="61"/>
  <c r="DQ25" i="61" s="1"/>
  <c r="M24" i="61"/>
  <c r="AU24" i="61"/>
  <c r="DG24" i="61"/>
  <c r="J24" i="61"/>
  <c r="BI24" i="61"/>
  <c r="BA24" i="61"/>
  <c r="BQ24" i="61"/>
  <c r="BY24" i="61"/>
  <c r="BH24" i="61"/>
  <c r="DT24" i="61"/>
  <c r="BK24" i="61"/>
  <c r="H24" i="61"/>
  <c r="BT24" i="61"/>
  <c r="Q24" i="61"/>
  <c r="CC24" i="61"/>
  <c r="Z24" i="61"/>
  <c r="CL24" i="61"/>
  <c r="AI24" i="61"/>
  <c r="CU24" i="61"/>
  <c r="AR24" i="61"/>
  <c r="CE24" i="61"/>
  <c r="CH24" i="61"/>
  <c r="CG24" i="61"/>
  <c r="CW24" i="61"/>
  <c r="DE24" i="61"/>
  <c r="BP24" i="61"/>
  <c r="G24" i="61"/>
  <c r="BS24" i="61"/>
  <c r="P24" i="61"/>
  <c r="CB24" i="61"/>
  <c r="Y24" i="61"/>
  <c r="CK24" i="61"/>
  <c r="AH24" i="61"/>
  <c r="CT24" i="61"/>
  <c r="AQ24" i="61"/>
  <c r="DC24" i="61"/>
  <c r="AC24" i="61"/>
  <c r="DD24" i="61"/>
  <c r="BV24" i="61"/>
  <c r="CO24" i="61"/>
  <c r="DM24" i="61"/>
  <c r="F24" i="61"/>
  <c r="L24" i="61"/>
  <c r="BX24" i="61"/>
  <c r="O24" i="61"/>
  <c r="CA24" i="61"/>
  <c r="X24" i="61"/>
  <c r="CJ24" i="61"/>
  <c r="AG24" i="61"/>
  <c r="CS24" i="61"/>
  <c r="AP24" i="61"/>
  <c r="DB24" i="61"/>
  <c r="AY24" i="61"/>
  <c r="DK24" i="61"/>
  <c r="N24" i="61"/>
  <c r="AD24" i="61"/>
  <c r="AL24" i="61"/>
  <c r="T24" i="61"/>
  <c r="CF24" i="61"/>
  <c r="W24" i="61"/>
  <c r="CI24" i="61"/>
  <c r="AF24" i="61"/>
  <c r="CR24" i="61"/>
  <c r="AO24" i="61"/>
  <c r="DA24" i="61"/>
  <c r="AX24" i="61"/>
  <c r="DJ24" i="61"/>
  <c r="BG24" i="61"/>
  <c r="DS24" i="61"/>
  <c r="C6" i="54" l="1"/>
  <c r="DD25" i="61"/>
  <c r="DT25" i="61"/>
  <c r="CF25" i="61"/>
  <c r="AB25" i="61"/>
  <c r="AI25" i="61"/>
  <c r="CG25" i="61"/>
  <c r="CM25" i="61"/>
  <c r="J25" i="61"/>
  <c r="O25" i="61"/>
  <c r="AX25" i="61"/>
  <c r="CJ25" i="61"/>
  <c r="BV25" i="61"/>
  <c r="AR25" i="61"/>
  <c r="K25" i="61"/>
  <c r="BF25" i="61"/>
  <c r="S25" i="61"/>
  <c r="CU25" i="61"/>
  <c r="CO25" i="61"/>
  <c r="BK25" i="61"/>
  <c r="DP25" i="61"/>
  <c r="BH25" i="61"/>
  <c r="CN25" i="61"/>
  <c r="BN25" i="61"/>
  <c r="AA25" i="61"/>
  <c r="DS25" i="61"/>
  <c r="V25" i="61"/>
  <c r="BS25" i="61"/>
  <c r="Y25" i="61"/>
  <c r="AL25" i="61"/>
  <c r="CA25" i="61"/>
  <c r="BM25" i="61"/>
  <c r="AZ25" i="61"/>
  <c r="BP25" i="61"/>
  <c r="R25" i="61"/>
  <c r="CD25" i="61"/>
  <c r="BG25" i="61"/>
  <c r="U25" i="61"/>
  <c r="BB25" i="61"/>
  <c r="P25" i="61"/>
  <c r="BU25" i="61"/>
  <c r="DL25" i="61"/>
  <c r="L25" i="61"/>
  <c r="Z25" i="61"/>
  <c r="CL25" i="61"/>
  <c r="BO25" i="61"/>
  <c r="AC25" i="61"/>
  <c r="BJ25" i="61"/>
  <c r="X25" i="61"/>
  <c r="CC25" i="61"/>
  <c r="AJ25" i="61"/>
  <c r="BX25" i="61"/>
  <c r="AH25" i="61"/>
  <c r="DJ25" i="61"/>
  <c r="BW25" i="61"/>
  <c r="AK25" i="61"/>
  <c r="CP25" i="61"/>
  <c r="AV25" i="61"/>
  <c r="CV25" i="61"/>
  <c r="T25" i="61"/>
  <c r="AP25" i="61"/>
  <c r="DR25" i="61"/>
  <c r="CE25" i="61"/>
  <c r="BI25" i="61"/>
  <c r="G25" i="61"/>
  <c r="BT25" i="61"/>
  <c r="AT25" i="61"/>
  <c r="AU25" i="61"/>
  <c r="AN25" i="61"/>
  <c r="BE25" i="61"/>
  <c r="CW25" i="61"/>
  <c r="DF25" i="61"/>
  <c r="CQ25" i="61"/>
  <c r="CZ25" i="61"/>
  <c r="M25" i="61"/>
  <c r="DE25" i="61"/>
  <c r="DN25" i="61"/>
  <c r="DO25" i="61"/>
  <c r="DH25" i="61"/>
  <c r="CT25" i="61"/>
  <c r="AQ25" i="61"/>
  <c r="DC25" i="61"/>
  <c r="AS25" i="61"/>
  <c r="DM25" i="61"/>
  <c r="BR25" i="61"/>
  <c r="AE25" i="61"/>
  <c r="CY25" i="61"/>
  <c r="BD25" i="61"/>
  <c r="I25" i="61"/>
  <c r="CK25" i="61"/>
  <c r="DB25" i="61"/>
  <c r="AY25" i="61"/>
  <c r="DK25" i="61"/>
  <c r="BA25" i="61"/>
  <c r="F25" i="61"/>
  <c r="CH25" i="61"/>
  <c r="AM25" i="61"/>
  <c r="DG25" i="61"/>
  <c r="BL25" i="61"/>
  <c r="Q25" i="61"/>
  <c r="CS25" i="61"/>
  <c r="BY25" i="61"/>
  <c r="AD25" i="61"/>
  <c r="CX25" i="61"/>
  <c r="BC25" i="61"/>
  <c r="H25" i="61"/>
  <c r="CB25" i="61"/>
  <c r="AG25" i="61"/>
  <c r="BQ25" i="61"/>
  <c r="N25" i="61"/>
  <c r="BZ25" i="61"/>
  <c r="W25" i="61"/>
  <c r="CI25" i="61"/>
  <c r="AF25" i="61"/>
  <c r="CR25" i="61"/>
  <c r="AO25" i="61"/>
  <c r="DA25" i="61"/>
  <c r="AW25" i="61"/>
  <c r="DI25" i="61"/>
  <c r="D22" i="54"/>
  <c r="C8" i="54" l="1"/>
  <c r="D19" i="54"/>
  <c r="D21" i="54"/>
  <c r="E8" i="56" l="1"/>
  <c r="CV8" i="56" s="1"/>
  <c r="E8" i="54"/>
  <c r="BI8" i="54" s="1"/>
  <c r="C10" i="54"/>
  <c r="D12" i="54"/>
  <c r="D10" i="54"/>
  <c r="D11" i="54"/>
  <c r="D23" i="46"/>
  <c r="J6" i="30" l="1"/>
  <c r="DD8" i="56"/>
  <c r="BN8" i="56"/>
  <c r="FA8" i="56"/>
  <c r="Q8" i="56"/>
  <c r="P8" i="56"/>
  <c r="M8" i="56"/>
  <c r="CJ8" i="56"/>
  <c r="CS8" i="56"/>
  <c r="AD8" i="56"/>
  <c r="EO8" i="56"/>
  <c r="EF8" i="56"/>
  <c r="BA8" i="56"/>
  <c r="F8" i="56"/>
  <c r="DG8" i="56"/>
  <c r="EY8" i="56"/>
  <c r="T8" i="56"/>
  <c r="DM8" i="56"/>
  <c r="EA8" i="56"/>
  <c r="CB8" i="56"/>
  <c r="BT8" i="56"/>
  <c r="BF8" i="56"/>
  <c r="AT8" i="56"/>
  <c r="I8" i="56"/>
  <c r="AJ8" i="56"/>
  <c r="EB8" i="56"/>
  <c r="ED8" i="56"/>
  <c r="BK8" i="56"/>
  <c r="AZ8" i="56"/>
  <c r="DL8" i="56"/>
  <c r="CF8" i="56"/>
  <c r="BC8" i="56"/>
  <c r="EQ8" i="56"/>
  <c r="CI8" i="56"/>
  <c r="AE8" i="56"/>
  <c r="AG8" i="56"/>
  <c r="BU8" i="56"/>
  <c r="CE8" i="56"/>
  <c r="BZ8" i="56"/>
  <c r="DQ8" i="56"/>
  <c r="CM8" i="56"/>
  <c r="AV8" i="56"/>
  <c r="L8" i="56"/>
  <c r="DF8" i="56"/>
  <c r="S8" i="56"/>
  <c r="ES8" i="56"/>
  <c r="BP8" i="56"/>
  <c r="BS8" i="56"/>
  <c r="CA8" i="56"/>
  <c r="BE8" i="56"/>
  <c r="DW8" i="56"/>
  <c r="BD8" i="56"/>
  <c r="CW8" i="56"/>
  <c r="AH8" i="56"/>
  <c r="EW8" i="56"/>
  <c r="CO8" i="56"/>
  <c r="BM8" i="56"/>
  <c r="DM8" i="54"/>
  <c r="G8" i="54"/>
  <c r="DX8" i="54"/>
  <c r="DZ8" i="54"/>
  <c r="DW8" i="54"/>
  <c r="EG8" i="54"/>
  <c r="DG8" i="54"/>
  <c r="CA8" i="54"/>
  <c r="CN8" i="54"/>
  <c r="EF8" i="54"/>
  <c r="AY8" i="54"/>
  <c r="EA8" i="54"/>
  <c r="CC8" i="54"/>
  <c r="BV8" i="54"/>
  <c r="AF8" i="54"/>
  <c r="I8" i="54"/>
  <c r="BQ8" i="54"/>
  <c r="CT8" i="54"/>
  <c r="CS8" i="54"/>
  <c r="BY8" i="54"/>
  <c r="P8" i="54"/>
  <c r="Y8" i="54"/>
  <c r="DI8" i="54"/>
  <c r="J8" i="54"/>
  <c r="AG8" i="54"/>
  <c r="CE8" i="54"/>
  <c r="L8" i="54"/>
  <c r="DV8" i="54"/>
  <c r="CB8" i="54"/>
  <c r="BH8" i="54"/>
  <c r="CX8" i="54"/>
  <c r="EB8" i="54"/>
  <c r="BW8" i="54"/>
  <c r="CR8" i="54"/>
  <c r="EE8" i="54"/>
  <c r="O8" i="54"/>
  <c r="AA8" i="54"/>
  <c r="BG8" i="54"/>
  <c r="CD8" i="54"/>
  <c r="BN8" i="54"/>
  <c r="AV8" i="54"/>
  <c r="AJ8" i="54"/>
  <c r="BL8" i="54"/>
  <c r="BT8" i="54"/>
  <c r="AZ8" i="54"/>
  <c r="CM8" i="54"/>
  <c r="CK8" i="54"/>
  <c r="BX8" i="54"/>
  <c r="DE8" i="54"/>
  <c r="M8" i="54"/>
  <c r="ED8" i="54"/>
  <c r="BK8" i="54"/>
  <c r="AW8" i="54"/>
  <c r="DS8" i="54"/>
  <c r="CZ8" i="54"/>
  <c r="T8" i="54"/>
  <c r="DH8" i="54"/>
  <c r="DN8" i="54"/>
  <c r="AM8" i="54"/>
  <c r="CI8" i="54"/>
  <c r="AS8" i="54"/>
  <c r="AO8" i="54"/>
  <c r="DK8" i="54"/>
  <c r="BO8" i="54"/>
  <c r="DP8" i="56"/>
  <c r="AY8" i="56"/>
  <c r="U8" i="56"/>
  <c r="ET8" i="56"/>
  <c r="DK8" i="56"/>
  <c r="EE8" i="56"/>
  <c r="DC8" i="56"/>
  <c r="BX8" i="56"/>
  <c r="DT8" i="56"/>
  <c r="BL8" i="56"/>
  <c r="EH8" i="56"/>
  <c r="DH8" i="56"/>
  <c r="G8" i="56"/>
  <c r="BV8" i="56"/>
  <c r="AF8" i="56"/>
  <c r="CX8" i="56"/>
  <c r="AM8" i="56"/>
  <c r="BJ8" i="56"/>
  <c r="ER8" i="56"/>
  <c r="BD8" i="54"/>
  <c r="CU8" i="54"/>
  <c r="AP8" i="54"/>
  <c r="EH8" i="54"/>
  <c r="X8" i="54"/>
  <c r="AR8" i="54"/>
  <c r="DR8" i="54"/>
  <c r="EC8" i="54"/>
  <c r="CV8" i="54"/>
  <c r="AE8" i="54"/>
  <c r="AI8" i="54"/>
  <c r="DA8" i="54"/>
  <c r="BJ8" i="54"/>
  <c r="Z8" i="54"/>
  <c r="BR8" i="54"/>
  <c r="BA8" i="54"/>
  <c r="AQ8" i="54"/>
  <c r="BH8" i="56"/>
  <c r="EX8" i="56"/>
  <c r="AA8" i="56"/>
  <c r="EL8" i="56"/>
  <c r="O8" i="56"/>
  <c r="R8" i="56"/>
  <c r="EC8" i="56"/>
  <c r="CU8" i="56"/>
  <c r="BI8" i="56"/>
  <c r="EK8" i="56"/>
  <c r="CD8" i="56"/>
  <c r="DX8" i="56"/>
  <c r="EU8" i="56"/>
  <c r="CQ8" i="56"/>
  <c r="CR8" i="56"/>
  <c r="BG8" i="56"/>
  <c r="CL8" i="56"/>
  <c r="AP8" i="56"/>
  <c r="BB8" i="56"/>
  <c r="N8" i="54"/>
  <c r="AN8" i="54"/>
  <c r="W8" i="54"/>
  <c r="DO8" i="54"/>
  <c r="AU8" i="54"/>
  <c r="CY8" i="54"/>
  <c r="DL8" i="54"/>
  <c r="CQ8" i="54"/>
  <c r="Q8" i="54"/>
  <c r="CG8" i="54"/>
  <c r="DU8" i="54"/>
  <c r="AC8" i="54"/>
  <c r="BM8" i="54"/>
  <c r="AH8" i="54"/>
  <c r="CH8" i="54"/>
  <c r="DB8" i="54"/>
  <c r="S8" i="54"/>
  <c r="CN8" i="56"/>
  <c r="Y8" i="56"/>
  <c r="BQ8" i="56"/>
  <c r="DZ8" i="56"/>
  <c r="DJ8" i="56"/>
  <c r="BW8" i="56"/>
  <c r="CT8" i="56"/>
  <c r="AX8" i="56"/>
  <c r="EV8" i="56"/>
  <c r="V8" i="56"/>
  <c r="CK8" i="56"/>
  <c r="CZ8" i="56"/>
  <c r="EN8" i="56"/>
  <c r="DV8" i="56"/>
  <c r="BY8" i="56"/>
  <c r="CY8" i="56"/>
  <c r="AR8" i="56"/>
  <c r="AI8" i="56"/>
  <c r="DU8" i="56"/>
  <c r="V8" i="54"/>
  <c r="BP8" i="54"/>
  <c r="BS8" i="54"/>
  <c r="BB8" i="54"/>
  <c r="DQ8" i="54"/>
  <c r="CJ8" i="54"/>
  <c r="CP8" i="54"/>
  <c r="AL8" i="54"/>
  <c r="BF8" i="54"/>
  <c r="BE8" i="54"/>
  <c r="AX8" i="54"/>
  <c r="H8" i="54"/>
  <c r="DY8" i="54"/>
  <c r="DJ8" i="54"/>
  <c r="R8" i="54"/>
  <c r="DT8" i="54"/>
  <c r="U8" i="54"/>
  <c r="N8" i="56"/>
  <c r="CG8" i="56"/>
  <c r="X8" i="56"/>
  <c r="EZ8" i="56"/>
  <c r="DI8" i="56"/>
  <c r="DB8" i="56"/>
  <c r="AB8" i="56"/>
  <c r="CH8" i="56"/>
  <c r="EJ8" i="56"/>
  <c r="AN8" i="56"/>
  <c r="J8" i="56"/>
  <c r="H8" i="56"/>
  <c r="BR8" i="56"/>
  <c r="EI8" i="56"/>
  <c r="DA8" i="56"/>
  <c r="BO8" i="56"/>
  <c r="DS8" i="56"/>
  <c r="AU8" i="56"/>
  <c r="DR8" i="56"/>
  <c r="CP8" i="56"/>
  <c r="AT8" i="54"/>
  <c r="CW8" i="54"/>
  <c r="BZ8" i="54"/>
  <c r="AD8" i="54"/>
  <c r="DP8" i="54"/>
  <c r="F8" i="54"/>
  <c r="AK8" i="54"/>
  <c r="DF8" i="54"/>
  <c r="CO8" i="54"/>
  <c r="DC8" i="54"/>
  <c r="CF8" i="54"/>
  <c r="CL8" i="54"/>
  <c r="BU8" i="54"/>
  <c r="DD8" i="54"/>
  <c r="AB8" i="54"/>
  <c r="BC8" i="54"/>
  <c r="AL8" i="56"/>
  <c r="AW8" i="56"/>
  <c r="DN8" i="56"/>
  <c r="AS8" i="56"/>
  <c r="W8" i="56"/>
  <c r="DY8" i="56"/>
  <c r="EM8" i="56"/>
  <c r="EG8" i="56"/>
  <c r="EP8" i="56"/>
  <c r="AK8" i="56"/>
  <c r="Z8" i="56"/>
  <c r="DE8" i="56"/>
  <c r="DO8" i="56"/>
  <c r="AO8" i="56"/>
  <c r="CC8" i="56"/>
  <c r="AC8" i="56"/>
  <c r="K8" i="56"/>
  <c r="FB8" i="56"/>
  <c r="FC8" i="56"/>
  <c r="AQ8" i="56"/>
  <c r="C8" i="46"/>
  <c r="E8" i="46" s="1"/>
  <c r="E10" i="54"/>
  <c r="EH10" i="54" s="1"/>
  <c r="E10" i="56"/>
  <c r="DS10" i="56" s="1"/>
  <c r="C11" i="54"/>
  <c r="J49" i="30"/>
  <c r="J21" i="30"/>
  <c r="J58" i="30"/>
  <c r="J10" i="30"/>
  <c r="J63" i="30"/>
  <c r="J43" i="30"/>
  <c r="J60" i="30"/>
  <c r="J8" i="30"/>
  <c r="J42" i="30"/>
  <c r="J41" i="30"/>
  <c r="J11" i="30"/>
  <c r="J53" i="30"/>
  <c r="J7" i="30"/>
  <c r="J36" i="30"/>
  <c r="J22" i="30"/>
  <c r="J39" i="30"/>
  <c r="J69" i="30"/>
  <c r="J31" i="30"/>
  <c r="J17" i="30"/>
  <c r="J66" i="30"/>
  <c r="J62" i="30"/>
  <c r="J68" i="30"/>
  <c r="J38" i="30"/>
  <c r="J24" i="30"/>
  <c r="J54" i="30"/>
  <c r="J45" i="30"/>
  <c r="J35" i="30"/>
  <c r="J29" i="30"/>
  <c r="J48" i="30"/>
  <c r="J59" i="30"/>
  <c r="J55" i="30"/>
  <c r="J46" i="30"/>
  <c r="J25" i="30"/>
  <c r="J64" i="30"/>
  <c r="J23" i="30"/>
  <c r="J61" i="30"/>
  <c r="J34" i="30"/>
  <c r="J13" i="30"/>
  <c r="J9" i="30"/>
  <c r="J28" i="30"/>
  <c r="J56" i="30"/>
  <c r="J70" i="30"/>
  <c r="J26" i="30"/>
  <c r="J30" i="30"/>
  <c r="J67" i="30"/>
  <c r="J52" i="30"/>
  <c r="J5" i="30"/>
  <c r="J14" i="30"/>
  <c r="J65" i="30"/>
  <c r="J47" i="30"/>
  <c r="J37" i="30"/>
  <c r="J20" i="30"/>
  <c r="J12" i="30"/>
  <c r="J57" i="30"/>
  <c r="J27" i="30"/>
  <c r="J18" i="30"/>
  <c r="J15" i="30"/>
  <c r="J40" i="30"/>
  <c r="J44" i="30"/>
  <c r="J51" i="30"/>
  <c r="J32" i="30"/>
  <c r="J16" i="30"/>
  <c r="B5" i="46"/>
  <c r="C9" i="46"/>
  <c r="C1" i="46"/>
  <c r="D20" i="46"/>
  <c r="D17" i="46"/>
  <c r="D22" i="46"/>
  <c r="D19" i="46"/>
  <c r="C6" i="46"/>
  <c r="A19" i="46"/>
  <c r="A8" i="46"/>
  <c r="D12" i="46"/>
  <c r="C5" i="46"/>
  <c r="D10" i="46"/>
  <c r="D16" i="46"/>
  <c r="C11" i="46"/>
  <c r="C3" i="46"/>
  <c r="D18" i="46"/>
  <c r="D21" i="46"/>
  <c r="D11" i="46"/>
  <c r="B7" i="46"/>
  <c r="J19" i="30"/>
  <c r="J33" i="30"/>
  <c r="J50" i="30"/>
  <c r="AV8" i="46" l="1"/>
  <c r="CE8" i="46"/>
  <c r="AX8" i="46"/>
  <c r="F8" i="46"/>
  <c r="DF8" i="46"/>
  <c r="AK8" i="46"/>
  <c r="I8" i="46"/>
  <c r="CX8" i="46"/>
  <c r="AP8" i="46"/>
  <c r="BX8" i="46"/>
  <c r="DM8" i="46"/>
  <c r="CC8" i="46"/>
  <c r="L8" i="46"/>
  <c r="BF8" i="46"/>
  <c r="BK8" i="46"/>
  <c r="BV8" i="46"/>
  <c r="AG8" i="46"/>
  <c r="AW8" i="46"/>
  <c r="BE8" i="46"/>
  <c r="BS8" i="46"/>
  <c r="S8" i="46"/>
  <c r="DN8" i="46"/>
  <c r="BA8" i="46"/>
  <c r="DA8" i="46"/>
  <c r="BT8" i="46"/>
  <c r="CK8" i="46"/>
  <c r="AC8" i="46"/>
  <c r="AD8" i="46"/>
  <c r="DI8" i="46"/>
  <c r="DS8" i="46"/>
  <c r="Q8" i="46"/>
  <c r="CJ8" i="46"/>
  <c r="BP8" i="46"/>
  <c r="DC8" i="46"/>
  <c r="DL8" i="46"/>
  <c r="BY8" i="46"/>
  <c r="CF8" i="46"/>
  <c r="V10" i="54"/>
  <c r="BB10" i="54"/>
  <c r="BR10" i="54"/>
  <c r="CJ10" i="54"/>
  <c r="BH10" i="54"/>
  <c r="BI10" i="54"/>
  <c r="DL10" i="54"/>
  <c r="DO10" i="54"/>
  <c r="DC10" i="54"/>
  <c r="AE10" i="54"/>
  <c r="DJ10" i="54"/>
  <c r="AC10" i="54"/>
  <c r="DX10" i="54"/>
  <c r="O10" i="54"/>
  <c r="DN10" i="54"/>
  <c r="X10" i="54"/>
  <c r="AN10" i="54"/>
  <c r="DH10" i="54"/>
  <c r="BD10" i="54"/>
  <c r="Y10" i="54"/>
  <c r="AM10" i="54"/>
  <c r="BG10" i="54"/>
  <c r="CU10" i="54"/>
  <c r="BO10" i="54"/>
  <c r="M10" i="54"/>
  <c r="AS10" i="54"/>
  <c r="BA10" i="54"/>
  <c r="CI10" i="54"/>
  <c r="AO10" i="54"/>
  <c r="CC10" i="54"/>
  <c r="BF10" i="54"/>
  <c r="EG10" i="54"/>
  <c r="CT10" i="54"/>
  <c r="G10" i="54"/>
  <c r="ED10" i="54"/>
  <c r="BK10" i="54"/>
  <c r="CW10" i="54"/>
  <c r="CZ10" i="54"/>
  <c r="CX10" i="54"/>
  <c r="CO10" i="54"/>
  <c r="CR10" i="54"/>
  <c r="AP10" i="54"/>
  <c r="BW10" i="54"/>
  <c r="CM10" i="54"/>
  <c r="BY10" i="54"/>
  <c r="CD10" i="54"/>
  <c r="DI10" i="54"/>
  <c r="BM10" i="54"/>
  <c r="T10" i="54"/>
  <c r="S10" i="54"/>
  <c r="DP10" i="54"/>
  <c r="DR10" i="54"/>
  <c r="EB10" i="54"/>
  <c r="CP10" i="54"/>
  <c r="F10" i="54"/>
  <c r="BZ10" i="54"/>
  <c r="CY10" i="54"/>
  <c r="CS10" i="54"/>
  <c r="CV10" i="54"/>
  <c r="U10" i="54"/>
  <c r="BT10" i="54"/>
  <c r="CL10" i="54"/>
  <c r="K10" i="54"/>
  <c r="AI10" i="54"/>
  <c r="DQ10" i="54"/>
  <c r="DF10" i="54"/>
  <c r="CG10" i="54"/>
  <c r="DT10" i="54"/>
  <c r="AL10" i="54"/>
  <c r="AF10" i="54"/>
  <c r="BC10" i="54"/>
  <c r="AZ10" i="54"/>
  <c r="AT10" i="54"/>
  <c r="AG10" i="54"/>
  <c r="AQ10" i="54"/>
  <c r="BU10" i="54"/>
  <c r="DK10" i="54"/>
  <c r="AK10" i="54"/>
  <c r="CH10" i="54"/>
  <c r="DM10" i="54"/>
  <c r="CQ10" i="54"/>
  <c r="DV10" i="56"/>
  <c r="CT10" i="56"/>
  <c r="EX10" i="56"/>
  <c r="P10" i="56"/>
  <c r="EB10" i="56"/>
  <c r="DI10" i="56"/>
  <c r="EQ10" i="56"/>
  <c r="DP10" i="56"/>
  <c r="DA10" i="56"/>
  <c r="CJ10" i="56"/>
  <c r="CB10" i="56"/>
  <c r="DY10" i="56"/>
  <c r="DQ10" i="56"/>
  <c r="FB10" i="56"/>
  <c r="DD10" i="54"/>
  <c r="J10" i="54"/>
  <c r="R10" i="54"/>
  <c r="BN10" i="54"/>
  <c r="EC10" i="54"/>
  <c r="AR10" i="54"/>
  <c r="DU10" i="54"/>
  <c r="AH10" i="54"/>
  <c r="BX10" i="54"/>
  <c r="AU10" i="54"/>
  <c r="DA10" i="54"/>
  <c r="BQ10" i="54"/>
  <c r="P10" i="54"/>
  <c r="I10" i="54"/>
  <c r="EF10" i="54"/>
  <c r="DS10" i="54"/>
  <c r="CU10" i="56"/>
  <c r="DH10" i="56"/>
  <c r="CX10" i="56"/>
  <c r="CK10" i="54"/>
  <c r="DB10" i="54"/>
  <c r="BJ10" i="54"/>
  <c r="AX10" i="54"/>
  <c r="AW10" i="54"/>
  <c r="CB10" i="54"/>
  <c r="BV10" i="54"/>
  <c r="Q10" i="54"/>
  <c r="BP10" i="54"/>
  <c r="Z10" i="54"/>
  <c r="AJ10" i="54"/>
  <c r="CF10" i="54"/>
  <c r="CE10" i="54"/>
  <c r="AY10" i="54"/>
  <c r="AV10" i="54"/>
  <c r="N10" i="54"/>
  <c r="DG10" i="54"/>
  <c r="AV10" i="56"/>
  <c r="AN10" i="56"/>
  <c r="DW10" i="54"/>
  <c r="AD10" i="54"/>
  <c r="W10" i="54"/>
  <c r="BE10" i="54"/>
  <c r="AB10" i="54"/>
  <c r="EE10" i="54"/>
  <c r="BL10" i="54"/>
  <c r="EA10" i="54"/>
  <c r="H10" i="54"/>
  <c r="DZ10" i="54"/>
  <c r="AA10" i="54"/>
  <c r="CN10" i="54"/>
  <c r="CA10" i="54"/>
  <c r="DY10" i="54"/>
  <c r="DE10" i="54"/>
  <c r="L10" i="54"/>
  <c r="DV10" i="54"/>
  <c r="BS10" i="54"/>
  <c r="CQ10" i="56"/>
  <c r="CG10" i="56"/>
  <c r="AF10" i="56"/>
  <c r="DO10" i="56"/>
  <c r="AY10" i="56"/>
  <c r="T10" i="56"/>
  <c r="E11" i="56"/>
  <c r="DB11" i="56" s="1"/>
  <c r="EL10" i="56"/>
  <c r="AB10" i="56"/>
  <c r="EO10" i="56"/>
  <c r="S10" i="56"/>
  <c r="AP10" i="56"/>
  <c r="DC10" i="56"/>
  <c r="DJ10" i="56"/>
  <c r="AG10" i="56"/>
  <c r="DU10" i="56"/>
  <c r="AX10" i="56"/>
  <c r="BV10" i="56"/>
  <c r="BR10" i="56"/>
  <c r="EK10" i="56"/>
  <c r="CY10" i="56"/>
  <c r="BX10" i="56"/>
  <c r="BF10" i="56"/>
  <c r="FA10" i="56"/>
  <c r="ER10" i="56"/>
  <c r="CR10" i="56"/>
  <c r="Y10" i="56"/>
  <c r="BK10" i="56"/>
  <c r="DR10" i="56"/>
  <c r="CK10" i="56"/>
  <c r="DB10" i="56"/>
  <c r="J10" i="56"/>
  <c r="K10" i="56"/>
  <c r="I10" i="56"/>
  <c r="EG10" i="56"/>
  <c r="EM10" i="56"/>
  <c r="AS10" i="56"/>
  <c r="H10" i="56"/>
  <c r="BB10" i="56"/>
  <c r="M10" i="56"/>
  <c r="W10" i="56"/>
  <c r="AW10" i="56"/>
  <c r="AU10" i="56"/>
  <c r="BT10" i="56"/>
  <c r="EA10" i="56"/>
  <c r="BE10" i="56"/>
  <c r="G10" i="56"/>
  <c r="AA10" i="56"/>
  <c r="AL10" i="56"/>
  <c r="FC10" i="56"/>
  <c r="AR10" i="56"/>
  <c r="L10" i="56"/>
  <c r="BG10" i="56"/>
  <c r="EC10" i="56"/>
  <c r="BW10" i="56"/>
  <c r="AK10" i="56"/>
  <c r="CM10" i="56"/>
  <c r="BH10" i="56"/>
  <c r="BC10" i="56"/>
  <c r="Z10" i="56"/>
  <c r="DD10" i="56"/>
  <c r="EU10" i="56"/>
  <c r="CS10" i="56"/>
  <c r="R10" i="56"/>
  <c r="N10" i="56"/>
  <c r="BZ10" i="56"/>
  <c r="ED10" i="56"/>
  <c r="AZ10" i="56"/>
  <c r="EP10" i="56"/>
  <c r="CV10" i="56"/>
  <c r="BJ10" i="56"/>
  <c r="CE10" i="56"/>
  <c r="DZ10" i="56"/>
  <c r="DW10" i="56"/>
  <c r="EN10" i="56"/>
  <c r="CI10" i="56"/>
  <c r="AD10" i="56"/>
  <c r="DG10" i="56"/>
  <c r="CC10" i="56"/>
  <c r="AC10" i="56"/>
  <c r="BQ10" i="56"/>
  <c r="EV10" i="56"/>
  <c r="DN10" i="56"/>
  <c r="CD10" i="56"/>
  <c r="CF10" i="56"/>
  <c r="BS10" i="56"/>
  <c r="CH10" i="56"/>
  <c r="O10" i="56"/>
  <c r="ET10" i="56"/>
  <c r="AM10" i="56"/>
  <c r="DK10" i="56"/>
  <c r="F10" i="56"/>
  <c r="DL10" i="56"/>
  <c r="AI10" i="56"/>
  <c r="EE10" i="56"/>
  <c r="EW10" i="56"/>
  <c r="EF10" i="56"/>
  <c r="CO10" i="56"/>
  <c r="Q10" i="56"/>
  <c r="BY10" i="56"/>
  <c r="ES10" i="56"/>
  <c r="DM10" i="56"/>
  <c r="BA10" i="56"/>
  <c r="BI10" i="56"/>
  <c r="V10" i="56"/>
  <c r="BU10" i="56"/>
  <c r="DF10" i="56"/>
  <c r="EI10" i="56"/>
  <c r="CZ10" i="56"/>
  <c r="BM10" i="56"/>
  <c r="DE10" i="56"/>
  <c r="CN10" i="56"/>
  <c r="EH10" i="56"/>
  <c r="AJ10" i="56"/>
  <c r="EJ10" i="56"/>
  <c r="U10" i="56"/>
  <c r="DX10" i="56"/>
  <c r="AQ10" i="56"/>
  <c r="BL10" i="56"/>
  <c r="AE10" i="56"/>
  <c r="CP10" i="56"/>
  <c r="AO10" i="56"/>
  <c r="AT10" i="56"/>
  <c r="BN10" i="56"/>
  <c r="BD10" i="56"/>
  <c r="BP10" i="56"/>
  <c r="X10" i="56"/>
  <c r="CW10" i="56"/>
  <c r="CL10" i="56"/>
  <c r="EY10" i="56"/>
  <c r="AH10" i="56"/>
  <c r="CA10" i="56"/>
  <c r="DT10" i="56"/>
  <c r="BO10" i="56"/>
  <c r="EZ10" i="56"/>
  <c r="CR8" i="46"/>
  <c r="DH8" i="46"/>
  <c r="AR8" i="46"/>
  <c r="DJ8" i="46"/>
  <c r="CM8" i="46"/>
  <c r="AI8" i="46"/>
  <c r="CI8" i="46"/>
  <c r="AE8" i="46"/>
  <c r="BL8" i="46"/>
  <c r="CZ8" i="46"/>
  <c r="N8" i="46"/>
  <c r="BR8" i="46"/>
  <c r="CP8" i="46"/>
  <c r="BG8" i="46"/>
  <c r="AS8" i="46"/>
  <c r="AT8" i="46"/>
  <c r="AO8" i="46"/>
  <c r="CY8" i="46"/>
  <c r="BZ8" i="46"/>
  <c r="V8" i="46"/>
  <c r="CU8" i="46"/>
  <c r="DE8" i="46"/>
  <c r="AQ8" i="46"/>
  <c r="BC8" i="46"/>
  <c r="CO8" i="46"/>
  <c r="U8" i="46"/>
  <c r="CQ8" i="46"/>
  <c r="BN8" i="46"/>
  <c r="CT8" i="46"/>
  <c r="AZ8" i="46"/>
  <c r="O8" i="46"/>
  <c r="J8" i="46"/>
  <c r="DP8" i="46"/>
  <c r="CA8" i="46"/>
  <c r="CB8" i="46"/>
  <c r="DQ8" i="46"/>
  <c r="G8" i="46"/>
  <c r="BO8" i="46"/>
  <c r="CH8" i="46"/>
  <c r="DB8" i="46"/>
  <c r="K8" i="46"/>
  <c r="W8" i="46"/>
  <c r="CG8" i="46"/>
  <c r="E11" i="54"/>
  <c r="DQ11" i="54" s="1"/>
  <c r="D23" i="54"/>
  <c r="BH8" i="46"/>
  <c r="BI8" i="46"/>
  <c r="AB8" i="46"/>
  <c r="AM8" i="46"/>
  <c r="AA8" i="46"/>
  <c r="DR8" i="46"/>
  <c r="CS8" i="46"/>
  <c r="CD8" i="46"/>
  <c r="DG8" i="46"/>
  <c r="AJ8" i="46"/>
  <c r="BQ8" i="46"/>
  <c r="DK8" i="46"/>
  <c r="T8" i="46"/>
  <c r="X8" i="46"/>
  <c r="CL8" i="46"/>
  <c r="AH8" i="46"/>
  <c r="CW8" i="46"/>
  <c r="AF8" i="46"/>
  <c r="A24" i="46"/>
  <c r="A23" i="46"/>
  <c r="AU8" i="46"/>
  <c r="DT8" i="46"/>
  <c r="DO8" i="46"/>
  <c r="BM8" i="46"/>
  <c r="R8" i="46"/>
  <c r="BW8" i="46"/>
  <c r="BJ8" i="46"/>
  <c r="CV8" i="46"/>
  <c r="H8" i="46"/>
  <c r="CN8" i="46"/>
  <c r="M8" i="46"/>
  <c r="AY8" i="46"/>
  <c r="BB8" i="46"/>
  <c r="Z8" i="46"/>
  <c r="AL8" i="46"/>
  <c r="E9" i="46"/>
  <c r="C10" i="46" s="1"/>
  <c r="DD8" i="46"/>
  <c r="B20" i="46"/>
  <c r="B21" i="46"/>
  <c r="Y8" i="46"/>
  <c r="BU8" i="46"/>
  <c r="P8" i="46"/>
  <c r="AN8" i="46"/>
  <c r="E11" i="46"/>
  <c r="BI11" i="46" s="1"/>
  <c r="BD8" i="46"/>
  <c r="H9" i="46" l="1"/>
  <c r="CH9" i="46"/>
  <c r="DQ11" i="56"/>
  <c r="M11" i="56"/>
  <c r="EI11" i="56"/>
  <c r="EL11" i="56"/>
  <c r="AZ11" i="56"/>
  <c r="DO11" i="56"/>
  <c r="DH11" i="56"/>
  <c r="BO11" i="56"/>
  <c r="FB11" i="56"/>
  <c r="C12" i="56"/>
  <c r="E12" i="56" s="1"/>
  <c r="C13" i="56" s="1"/>
  <c r="BF11" i="56"/>
  <c r="AV11" i="56"/>
  <c r="V11" i="56"/>
  <c r="AO11" i="56"/>
  <c r="AN11" i="56"/>
  <c r="CP11" i="56"/>
  <c r="AR11" i="56"/>
  <c r="BM11" i="56"/>
  <c r="DS11" i="56"/>
  <c r="X11" i="56"/>
  <c r="N11" i="56"/>
  <c r="CZ11" i="56"/>
  <c r="EK11" i="56"/>
  <c r="AL11" i="56"/>
  <c r="DN11" i="56"/>
  <c r="DY11" i="56"/>
  <c r="CV11" i="56"/>
  <c r="CG11" i="56"/>
  <c r="BQ11" i="56"/>
  <c r="DE11" i="56"/>
  <c r="CB11" i="56"/>
  <c r="EH11" i="56"/>
  <c r="DF11" i="56"/>
  <c r="BX11" i="56"/>
  <c r="Y11" i="56"/>
  <c r="BR11" i="56"/>
  <c r="AG11" i="56"/>
  <c r="ER11" i="56"/>
  <c r="CJ11" i="56"/>
  <c r="CN11" i="56"/>
  <c r="BY11" i="56"/>
  <c r="CD11" i="56"/>
  <c r="EJ11" i="56"/>
  <c r="CO11" i="56"/>
  <c r="BC11" i="56"/>
  <c r="EG11" i="56"/>
  <c r="I11" i="56"/>
  <c r="DG11" i="56"/>
  <c r="AS11" i="56"/>
  <c r="DM11" i="56"/>
  <c r="DC11" i="56"/>
  <c r="CY11" i="56"/>
  <c r="ES11" i="56"/>
  <c r="DR11" i="56"/>
  <c r="CT11" i="56"/>
  <c r="BA11" i="56"/>
  <c r="BK11" i="56"/>
  <c r="CW11" i="56"/>
  <c r="CF11" i="56"/>
  <c r="EO11" i="56"/>
  <c r="J11" i="56"/>
  <c r="BN11" i="56"/>
  <c r="DZ11" i="56"/>
  <c r="FC11" i="56"/>
  <c r="EA11" i="56"/>
  <c r="T11" i="56"/>
  <c r="AJ11" i="56"/>
  <c r="AT11" i="56"/>
  <c r="AI11" i="56"/>
  <c r="AB11" i="56"/>
  <c r="AU11" i="56"/>
  <c r="CC11" i="56"/>
  <c r="EC11" i="56"/>
  <c r="K11" i="56"/>
  <c r="P11" i="56"/>
  <c r="CI11" i="56"/>
  <c r="CA11" i="56"/>
  <c r="CX11" i="56"/>
  <c r="EX11" i="56"/>
  <c r="BL11" i="56"/>
  <c r="CM11" i="56"/>
  <c r="BB11" i="56"/>
  <c r="EZ11" i="56"/>
  <c r="U11" i="56"/>
  <c r="AQ11" i="56"/>
  <c r="EU11" i="56"/>
  <c r="ED11" i="56"/>
  <c r="DK11" i="56"/>
  <c r="CR11" i="56"/>
  <c r="CL11" i="56"/>
  <c r="AA11" i="56"/>
  <c r="AP11" i="56"/>
  <c r="EQ11" i="56"/>
  <c r="G11" i="56"/>
  <c r="BH11" i="56"/>
  <c r="DX11" i="56"/>
  <c r="DW11" i="56"/>
  <c r="W11" i="56"/>
  <c r="DJ11" i="56"/>
  <c r="Z11" i="56"/>
  <c r="CS11" i="56"/>
  <c r="EW11" i="56"/>
  <c r="EF11" i="56"/>
  <c r="BS11" i="56"/>
  <c r="EV11" i="56"/>
  <c r="AY11" i="56"/>
  <c r="BV11" i="56"/>
  <c r="O11" i="56"/>
  <c r="AC11" i="56"/>
  <c r="R11" i="56"/>
  <c r="AM11" i="56"/>
  <c r="DI11" i="56"/>
  <c r="BW11" i="56"/>
  <c r="AD11" i="56"/>
  <c r="BI11" i="56"/>
  <c r="DD11" i="56"/>
  <c r="BG11" i="56"/>
  <c r="AX11" i="56"/>
  <c r="F11" i="56"/>
  <c r="DA11" i="56"/>
  <c r="AF11" i="56"/>
  <c r="EE11" i="56"/>
  <c r="CQ11" i="56"/>
  <c r="EN11" i="56"/>
  <c r="CE11" i="56"/>
  <c r="EM11" i="56"/>
  <c r="CK11" i="56"/>
  <c r="L11" i="56"/>
  <c r="AH11" i="56"/>
  <c r="BP11" i="56"/>
  <c r="BT11" i="56"/>
  <c r="CU11" i="56"/>
  <c r="ET11" i="56"/>
  <c r="DV11" i="56"/>
  <c r="BU11" i="56"/>
  <c r="DP11" i="56"/>
  <c r="S11" i="56"/>
  <c r="DT11" i="56"/>
  <c r="AE11" i="56"/>
  <c r="H11" i="56"/>
  <c r="Q11" i="56"/>
  <c r="DU11" i="56"/>
  <c r="CH11" i="56"/>
  <c r="EY11" i="56"/>
  <c r="FA11" i="56"/>
  <c r="BD11" i="56"/>
  <c r="AW11" i="56"/>
  <c r="BE11" i="56"/>
  <c r="EP11" i="56"/>
  <c r="DL11" i="56"/>
  <c r="AK11" i="56"/>
  <c r="BJ11" i="56"/>
  <c r="BZ11" i="56"/>
  <c r="EB11" i="56"/>
  <c r="DH11" i="54"/>
  <c r="AA11" i="54"/>
  <c r="CB11" i="54"/>
  <c r="AL11" i="54"/>
  <c r="Q11" i="54"/>
  <c r="K11" i="54"/>
  <c r="CD11" i="54"/>
  <c r="EE11" i="54"/>
  <c r="AM9" i="46"/>
  <c r="R11" i="54"/>
  <c r="G11" i="54"/>
  <c r="AC11" i="54"/>
  <c r="BJ11" i="54"/>
  <c r="EC11" i="54"/>
  <c r="M11" i="54"/>
  <c r="Z11" i="54"/>
  <c r="AX11" i="54"/>
  <c r="CO11" i="54"/>
  <c r="DG11" i="54"/>
  <c r="N11" i="54"/>
  <c r="DO11" i="54"/>
  <c r="BB11" i="54"/>
  <c r="AY11" i="54"/>
  <c r="AM11" i="54"/>
  <c r="Y11" i="54"/>
  <c r="CE11" i="54"/>
  <c r="AU11" i="54"/>
  <c r="CH11" i="54"/>
  <c r="CN11" i="54"/>
  <c r="CT9" i="46"/>
  <c r="AV11" i="54"/>
  <c r="BQ11" i="54"/>
  <c r="EG11" i="54"/>
  <c r="DL11" i="54"/>
  <c r="CF11" i="54"/>
  <c r="CG11" i="54"/>
  <c r="DV11" i="54"/>
  <c r="BE11" i="54"/>
  <c r="CM11" i="54"/>
  <c r="AS11" i="54"/>
  <c r="DE11" i="54"/>
  <c r="DT11" i="54"/>
  <c r="DI11" i="54"/>
  <c r="DY11" i="54"/>
  <c r="BO11" i="54"/>
  <c r="AO11" i="54"/>
  <c r="P11" i="54"/>
  <c r="AQ11" i="54"/>
  <c r="BN11" i="54"/>
  <c r="CV11" i="54"/>
  <c r="AH11" i="54"/>
  <c r="BC11" i="54"/>
  <c r="BV11" i="54"/>
  <c r="DU11" i="54"/>
  <c r="CA11" i="54"/>
  <c r="DN11" i="54"/>
  <c r="DS11" i="54"/>
  <c r="BY11" i="54"/>
  <c r="W11" i="54"/>
  <c r="CT11" i="54"/>
  <c r="DJ9" i="46"/>
  <c r="AA9" i="46"/>
  <c r="ED11" i="54"/>
  <c r="CZ11" i="54"/>
  <c r="CP11" i="54"/>
  <c r="CL11" i="54"/>
  <c r="AW11" i="54"/>
  <c r="BP11" i="54"/>
  <c r="CX11" i="54"/>
  <c r="CY11" i="54"/>
  <c r="F11" i="54"/>
  <c r="I11" i="54"/>
  <c r="O11" i="54"/>
  <c r="EH11" i="54"/>
  <c r="CU11" i="54"/>
  <c r="AB11" i="54"/>
  <c r="S11" i="54"/>
  <c r="CI11" i="54"/>
  <c r="AK11" i="54"/>
  <c r="V11" i="54"/>
  <c r="BX9" i="46"/>
  <c r="CB9" i="46"/>
  <c r="AN9" i="46"/>
  <c r="CV9" i="46"/>
  <c r="DF9" i="46"/>
  <c r="DB9" i="46"/>
  <c r="EA11" i="54"/>
  <c r="BR11" i="54"/>
  <c r="DB11" i="54"/>
  <c r="BG11" i="54"/>
  <c r="EB11" i="54"/>
  <c r="DZ11" i="54"/>
  <c r="BD11" i="54"/>
  <c r="AZ11" i="54"/>
  <c r="CW11" i="54"/>
  <c r="EF11" i="54"/>
  <c r="BM11" i="54"/>
  <c r="BU11" i="54"/>
  <c r="H11" i="54"/>
  <c r="CC11" i="54"/>
  <c r="CJ11" i="54"/>
  <c r="BZ11" i="54"/>
  <c r="DM11" i="54"/>
  <c r="DR11" i="54"/>
  <c r="BS11" i="54"/>
  <c r="CR11" i="54"/>
  <c r="DF11" i="54"/>
  <c r="BF11" i="54"/>
  <c r="DW11" i="54"/>
  <c r="DX11" i="54"/>
  <c r="AT11" i="54"/>
  <c r="CS11" i="54"/>
  <c r="AF11" i="54"/>
  <c r="L11" i="54"/>
  <c r="BA11" i="54"/>
  <c r="BI11" i="54"/>
  <c r="DC11" i="54"/>
  <c r="X11" i="54"/>
  <c r="U11" i="54"/>
  <c r="BX11" i="54"/>
  <c r="CK11" i="54"/>
  <c r="DJ11" i="54"/>
  <c r="AJ11" i="54"/>
  <c r="AE11" i="54"/>
  <c r="AD11" i="54"/>
  <c r="BL11" i="54"/>
  <c r="DA11" i="54"/>
  <c r="T11" i="54"/>
  <c r="AN11" i="54"/>
  <c r="BH11" i="54"/>
  <c r="DK11" i="54"/>
  <c r="BK11" i="54"/>
  <c r="J11" i="54"/>
  <c r="AI11" i="54"/>
  <c r="AR11" i="54"/>
  <c r="DP11" i="54"/>
  <c r="DD11" i="54"/>
  <c r="BT11" i="54"/>
  <c r="CQ11" i="54"/>
  <c r="AP11" i="54"/>
  <c r="AG11" i="54"/>
  <c r="BW11" i="54"/>
  <c r="C12" i="54"/>
  <c r="Z9" i="46"/>
  <c r="AQ9" i="46"/>
  <c r="DI9" i="46"/>
  <c r="BR9" i="46"/>
  <c r="AF9" i="46"/>
  <c r="S9" i="46"/>
  <c r="BG9" i="46"/>
  <c r="AD9" i="46"/>
  <c r="AS9" i="46"/>
  <c r="AZ9" i="46"/>
  <c r="AV9" i="46"/>
  <c r="R9" i="46"/>
  <c r="BW9" i="46"/>
  <c r="BO9" i="46"/>
  <c r="AO9" i="46"/>
  <c r="CC9" i="46"/>
  <c r="BT9" i="46"/>
  <c r="F9" i="46"/>
  <c r="AC9" i="46"/>
  <c r="DT9" i="46"/>
  <c r="DN9" i="46"/>
  <c r="AT9" i="46"/>
  <c r="AP9" i="46"/>
  <c r="DC9" i="46"/>
  <c r="CN9" i="46"/>
  <c r="DR9" i="46"/>
  <c r="BH9" i="46"/>
  <c r="AY9" i="46"/>
  <c r="DD9" i="46"/>
  <c r="J9" i="46"/>
  <c r="BP9" i="46"/>
  <c r="DQ9" i="46"/>
  <c r="CA9" i="46"/>
  <c r="BK9" i="46"/>
  <c r="BZ9" i="46"/>
  <c r="AE9" i="46"/>
  <c r="O9" i="46"/>
  <c r="DH9" i="46"/>
  <c r="Q9" i="46"/>
  <c r="AU9" i="46"/>
  <c r="BQ9" i="46"/>
  <c r="DK9" i="46"/>
  <c r="DL9" i="46"/>
  <c r="CD9" i="46"/>
  <c r="BD9" i="46"/>
  <c r="DS9" i="46"/>
  <c r="BB9" i="46"/>
  <c r="DM9" i="46"/>
  <c r="CJ9" i="46"/>
  <c r="CI9" i="46"/>
  <c r="K9" i="46"/>
  <c r="CU9" i="46"/>
  <c r="BF9" i="46"/>
  <c r="CP9" i="46"/>
  <c r="AL9" i="46"/>
  <c r="CY9" i="46"/>
  <c r="L9" i="46"/>
  <c r="DE9" i="46"/>
  <c r="CZ9" i="46"/>
  <c r="U9" i="46"/>
  <c r="AB9" i="46"/>
  <c r="W9" i="46"/>
  <c r="BL9" i="46"/>
  <c r="CM9" i="46"/>
  <c r="CK9" i="46"/>
  <c r="X9" i="46"/>
  <c r="BS9" i="46"/>
  <c r="BV9" i="46"/>
  <c r="N9" i="46"/>
  <c r="CS9" i="46"/>
  <c r="G9" i="46"/>
  <c r="BE9" i="46"/>
  <c r="DI11" i="46"/>
  <c r="BG11" i="46"/>
  <c r="AW11" i="46"/>
  <c r="DL11" i="46"/>
  <c r="BZ11" i="46"/>
  <c r="CF9" i="46"/>
  <c r="BF11" i="46"/>
  <c r="X11" i="46"/>
  <c r="AQ11" i="46"/>
  <c r="DR11" i="46"/>
  <c r="AM11" i="46"/>
  <c r="AU11" i="46"/>
  <c r="I11" i="46"/>
  <c r="AT11" i="46"/>
  <c r="AO11" i="46"/>
  <c r="K11" i="46"/>
  <c r="CE11" i="46"/>
  <c r="CD11" i="46"/>
  <c r="DN11" i="46"/>
  <c r="BR11" i="46"/>
  <c r="BQ11" i="46"/>
  <c r="F11" i="46"/>
  <c r="DF11" i="46"/>
  <c r="AV11" i="46"/>
  <c r="BW11" i="46"/>
  <c r="DD11" i="46"/>
  <c r="R11" i="46"/>
  <c r="BM11" i="46"/>
  <c r="BE11" i="46"/>
  <c r="CC11" i="46"/>
  <c r="J11" i="46"/>
  <c r="CI11" i="46"/>
  <c r="BB11" i="46"/>
  <c r="BT11" i="46"/>
  <c r="U11" i="46"/>
  <c r="DB11" i="46"/>
  <c r="AB11" i="46"/>
  <c r="DQ11" i="46"/>
  <c r="Q11" i="46"/>
  <c r="C12" i="46"/>
  <c r="CA11" i="46"/>
  <c r="DK11" i="46"/>
  <c r="CK11" i="46"/>
  <c r="DH11" i="46"/>
  <c r="BV11" i="46"/>
  <c r="DA11" i="46"/>
  <c r="BJ11" i="46"/>
  <c r="P11" i="46"/>
  <c r="AN11" i="46"/>
  <c r="DP11" i="46"/>
  <c r="CP11" i="46"/>
  <c r="DM11" i="46"/>
  <c r="CU11" i="46"/>
  <c r="CX11" i="46"/>
  <c r="O11" i="46"/>
  <c r="S11" i="46"/>
  <c r="AJ11" i="46"/>
  <c r="AR11" i="46"/>
  <c r="CB11" i="46"/>
  <c r="BU11" i="46"/>
  <c r="BP11" i="46"/>
  <c r="CQ11" i="46"/>
  <c r="AI11" i="46"/>
  <c r="CJ11" i="46"/>
  <c r="CH11" i="46"/>
  <c r="CG11" i="46"/>
  <c r="BY11" i="46"/>
  <c r="BH11" i="46"/>
  <c r="DG9" i="46"/>
  <c r="T9" i="46"/>
  <c r="BC9" i="46"/>
  <c r="M9" i="46"/>
  <c r="AI9" i="46"/>
  <c r="AW9" i="46"/>
  <c r="BU9" i="46"/>
  <c r="BJ9" i="46"/>
  <c r="CE9" i="46"/>
  <c r="CW9" i="46"/>
  <c r="BA9" i="46"/>
  <c r="I9" i="46"/>
  <c r="BY9" i="46"/>
  <c r="DO9" i="46"/>
  <c r="AR9" i="46"/>
  <c r="G11" i="46"/>
  <c r="CF11" i="46"/>
  <c r="CL11" i="46"/>
  <c r="AG9" i="46"/>
  <c r="P9" i="46"/>
  <c r="AZ11" i="46"/>
  <c r="AS11" i="46"/>
  <c r="BL11" i="46"/>
  <c r="BX11" i="46"/>
  <c r="CO11" i="46"/>
  <c r="DE11" i="46"/>
  <c r="CT11" i="46"/>
  <c r="CZ11" i="46"/>
  <c r="AP11" i="46"/>
  <c r="BK11" i="46"/>
  <c r="AH11" i="46"/>
  <c r="M11" i="46"/>
  <c r="BO11" i="46"/>
  <c r="N11" i="46"/>
  <c r="BA11" i="46"/>
  <c r="DO11" i="46"/>
  <c r="DS11" i="46"/>
  <c r="L11" i="46"/>
  <c r="BD11" i="46"/>
  <c r="AF11" i="46"/>
  <c r="V11" i="46"/>
  <c r="AE11" i="46"/>
  <c r="BC11" i="46"/>
  <c r="H11" i="46"/>
  <c r="W11" i="46"/>
  <c r="CR11" i="46"/>
  <c r="AK11" i="46"/>
  <c r="T11" i="46"/>
  <c r="Z11" i="46"/>
  <c r="AC11" i="46"/>
  <c r="DC11" i="46"/>
  <c r="DG11" i="46"/>
  <c r="BN11" i="46"/>
  <c r="DT11" i="46"/>
  <c r="AL11" i="46"/>
  <c r="CV11" i="46"/>
  <c r="CM11" i="46"/>
  <c r="E10" i="46"/>
  <c r="BB10" i="46" s="1"/>
  <c r="BM9" i="46"/>
  <c r="CL9" i="46"/>
  <c r="AG11" i="46"/>
  <c r="AD11" i="46"/>
  <c r="DJ11" i="46"/>
  <c r="CN11" i="46"/>
  <c r="AA11" i="46"/>
  <c r="AX11" i="46"/>
  <c r="BS11" i="46"/>
  <c r="Y11" i="46"/>
  <c r="CY11" i="46"/>
  <c r="CS11" i="46"/>
  <c r="CW11" i="46"/>
  <c r="AY11" i="46"/>
  <c r="BI9" i="46"/>
  <c r="AK9" i="46"/>
  <c r="Y9" i="46"/>
  <c r="AH9" i="46"/>
  <c r="DA9" i="46"/>
  <c r="BN9" i="46"/>
  <c r="CG9" i="46"/>
  <c r="CQ9" i="46"/>
  <c r="CO9" i="46"/>
  <c r="CX9" i="46"/>
  <c r="CR9" i="46"/>
  <c r="V9" i="46"/>
  <c r="AJ9" i="46"/>
  <c r="AX9" i="46"/>
  <c r="DP9" i="46"/>
  <c r="DP12" i="56" l="1"/>
  <c r="CK12" i="56"/>
  <c r="AJ12" i="56"/>
  <c r="DQ12" i="56"/>
  <c r="CM12" i="56"/>
  <c r="AC12" i="56"/>
  <c r="FC12" i="56"/>
  <c r="BL12" i="56"/>
  <c r="EH12" i="56"/>
  <c r="EP12" i="56"/>
  <c r="DV12" i="56"/>
  <c r="AW12" i="56"/>
  <c r="AU12" i="56"/>
  <c r="DR12" i="56"/>
  <c r="BF12" i="56"/>
  <c r="BY12" i="56"/>
  <c r="EQ12" i="56"/>
  <c r="EG12" i="56"/>
  <c r="CO12" i="56"/>
  <c r="EV12" i="56"/>
  <c r="BQ12" i="56"/>
  <c r="EE12" i="56"/>
  <c r="ES12" i="56"/>
  <c r="DH12" i="56"/>
  <c r="BP12" i="56"/>
  <c r="AM12" i="56"/>
  <c r="CZ12" i="56"/>
  <c r="X12" i="56"/>
  <c r="DA12" i="56"/>
  <c r="L12" i="56"/>
  <c r="DX12" i="56"/>
  <c r="EC12" i="56"/>
  <c r="DT12" i="56"/>
  <c r="AO12" i="56"/>
  <c r="DO12" i="56"/>
  <c r="EF12" i="56"/>
  <c r="V12" i="56"/>
  <c r="AI12" i="56"/>
  <c r="AG12" i="56"/>
  <c r="CQ12" i="56"/>
  <c r="I12" i="56"/>
  <c r="CY12" i="56"/>
  <c r="FA12" i="56"/>
  <c r="AR12" i="56"/>
  <c r="DI12" i="56"/>
  <c r="CT12" i="56"/>
  <c r="AQ12" i="56"/>
  <c r="AK12" i="56"/>
  <c r="DL12" i="56"/>
  <c r="EW12" i="56"/>
  <c r="Y12" i="56"/>
  <c r="AZ12" i="56"/>
  <c r="AT12" i="56"/>
  <c r="AH12" i="56"/>
  <c r="EU12" i="56"/>
  <c r="CG12" i="56"/>
  <c r="H12" i="56"/>
  <c r="CH12" i="56"/>
  <c r="G12" i="56"/>
  <c r="EB12" i="56"/>
  <c r="DB12" i="56"/>
  <c r="CS12" i="56"/>
  <c r="K12" i="56"/>
  <c r="EM12" i="56"/>
  <c r="AS12" i="56"/>
  <c r="O12" i="56"/>
  <c r="DY12" i="56"/>
  <c r="BK12" i="56"/>
  <c r="ER12" i="56"/>
  <c r="ED12" i="56"/>
  <c r="AX12" i="56"/>
  <c r="BA12" i="56"/>
  <c r="S12" i="56"/>
  <c r="EK12" i="56"/>
  <c r="J12" i="56"/>
  <c r="EJ12" i="56"/>
  <c r="BS12" i="56"/>
  <c r="BH12" i="56"/>
  <c r="CB12" i="56"/>
  <c r="BO12" i="56"/>
  <c r="R12" i="56"/>
  <c r="AY12" i="56"/>
  <c r="EZ12" i="56"/>
  <c r="Z12" i="56"/>
  <c r="BR12" i="56"/>
  <c r="Q12" i="56"/>
  <c r="DG12" i="56"/>
  <c r="BX12" i="56"/>
  <c r="CJ12" i="56"/>
  <c r="F12" i="56"/>
  <c r="BB12" i="56"/>
  <c r="DE12" i="56"/>
  <c r="CW12" i="56"/>
  <c r="CA12" i="56"/>
  <c r="EN12" i="56"/>
  <c r="CD12" i="56"/>
  <c r="CF12" i="56"/>
  <c r="DK12" i="56"/>
  <c r="W12" i="56"/>
  <c r="AF12" i="56"/>
  <c r="AL12" i="56"/>
  <c r="BU12" i="56"/>
  <c r="EY12" i="56"/>
  <c r="AE12" i="56"/>
  <c r="BT12" i="56"/>
  <c r="CL12" i="56"/>
  <c r="BG12" i="56"/>
  <c r="BN12" i="56"/>
  <c r="CE12" i="56"/>
  <c r="EI12" i="56"/>
  <c r="DM12" i="56"/>
  <c r="BV12" i="56"/>
  <c r="DC12" i="56"/>
  <c r="BI12" i="56"/>
  <c r="ET12" i="56"/>
  <c r="EA12" i="56"/>
  <c r="BZ12" i="56"/>
  <c r="FB12" i="56"/>
  <c r="AD12" i="56"/>
  <c r="CX12" i="56"/>
  <c r="BJ12" i="56"/>
  <c r="N12" i="56"/>
  <c r="DN12" i="56"/>
  <c r="AA12" i="56"/>
  <c r="EL12" i="56"/>
  <c r="CU12" i="56"/>
  <c r="AP12" i="56"/>
  <c r="CC12" i="56"/>
  <c r="CV12" i="56"/>
  <c r="EO12" i="56"/>
  <c r="BC12" i="56"/>
  <c r="AV12" i="56"/>
  <c r="BW12" i="56"/>
  <c r="AN12" i="56"/>
  <c r="DJ12" i="56"/>
  <c r="T12" i="56"/>
  <c r="CP12" i="56"/>
  <c r="DZ12" i="56"/>
  <c r="M12" i="56"/>
  <c r="AB12" i="56"/>
  <c r="DS12" i="56"/>
  <c r="DF12" i="56"/>
  <c r="U12" i="56"/>
  <c r="EX12" i="56"/>
  <c r="DD12" i="56"/>
  <c r="DW12" i="56"/>
  <c r="P12" i="56"/>
  <c r="CI12" i="56"/>
  <c r="BE12" i="56"/>
  <c r="BM12" i="56"/>
  <c r="CN12" i="56"/>
  <c r="DU12" i="56"/>
  <c r="CR12" i="56"/>
  <c r="BD12" i="56"/>
  <c r="E13" i="56"/>
  <c r="C14" i="56" s="1"/>
  <c r="E12" i="54"/>
  <c r="C13" i="54" s="1"/>
  <c r="Q10" i="46"/>
  <c r="AR10" i="46"/>
  <c r="AK10" i="46"/>
  <c r="AL10" i="46"/>
  <c r="CZ10" i="46"/>
  <c r="Z10" i="46"/>
  <c r="AD10" i="46"/>
  <c r="BK10" i="46"/>
  <c r="AY10" i="46"/>
  <c r="G10" i="46"/>
  <c r="CQ10" i="46"/>
  <c r="DS10" i="46"/>
  <c r="CA10" i="46"/>
  <c r="BU10" i="46"/>
  <c r="CL10" i="46"/>
  <c r="AC10" i="46"/>
  <c r="DG10" i="46"/>
  <c r="DQ10" i="46"/>
  <c r="K10" i="46"/>
  <c r="L10" i="46"/>
  <c r="CT10" i="46"/>
  <c r="AO10" i="46"/>
  <c r="BD10" i="46"/>
  <c r="DP10" i="46"/>
  <c r="V10" i="46"/>
  <c r="AV10" i="46"/>
  <c r="BH10" i="46"/>
  <c r="CX10" i="46"/>
  <c r="BR10" i="46"/>
  <c r="AA10" i="46"/>
  <c r="Y10" i="46"/>
  <c r="R10" i="46"/>
  <c r="CI10" i="46"/>
  <c r="N10" i="46"/>
  <c r="BA10" i="46"/>
  <c r="AE10" i="46"/>
  <c r="BY10" i="46"/>
  <c r="BC10" i="46"/>
  <c r="AQ10" i="46"/>
  <c r="CP10" i="46"/>
  <c r="CR10" i="46"/>
  <c r="CW10" i="46"/>
  <c r="DB10" i="46"/>
  <c r="F10" i="46"/>
  <c r="AW10" i="46"/>
  <c r="P10" i="46"/>
  <c r="CN10" i="46"/>
  <c r="DN10" i="46"/>
  <c r="DH10" i="46"/>
  <c r="M10" i="46"/>
  <c r="DD10" i="46"/>
  <c r="BI10" i="46"/>
  <c r="DT10" i="46"/>
  <c r="AB10" i="46"/>
  <c r="AN10" i="46"/>
  <c r="BS10" i="46"/>
  <c r="AT10" i="46"/>
  <c r="I10" i="46"/>
  <c r="W10" i="46"/>
  <c r="DM10" i="46"/>
  <c r="E12" i="46"/>
  <c r="C13" i="46" s="1"/>
  <c r="BP10" i="46"/>
  <c r="AZ10" i="46"/>
  <c r="CK10" i="46"/>
  <c r="J10" i="46"/>
  <c r="AU10" i="46"/>
  <c r="AG10" i="46"/>
  <c r="BE10" i="46"/>
  <c r="AI10" i="46"/>
  <c r="BT10" i="46"/>
  <c r="CE10" i="46"/>
  <c r="BW10" i="46"/>
  <c r="CJ10" i="46"/>
  <c r="AJ10" i="46"/>
  <c r="BF10" i="46"/>
  <c r="DA10" i="46"/>
  <c r="AX10" i="46"/>
  <c r="DR10" i="46"/>
  <c r="AS10" i="46"/>
  <c r="DI10" i="46"/>
  <c r="CS10" i="46"/>
  <c r="T10" i="46"/>
  <c r="BQ10" i="46"/>
  <c r="DK10" i="46"/>
  <c r="DC10" i="46"/>
  <c r="DE10" i="46"/>
  <c r="O10" i="46"/>
  <c r="AH10" i="46"/>
  <c r="CF10" i="46"/>
  <c r="CH10" i="46"/>
  <c r="DF10" i="46"/>
  <c r="BM10" i="46"/>
  <c r="BJ10" i="46"/>
  <c r="CM10" i="46"/>
  <c r="BN10" i="46"/>
  <c r="BX10" i="46"/>
  <c r="CO10" i="46"/>
  <c r="DJ10" i="46"/>
  <c r="BZ10" i="46"/>
  <c r="CY10" i="46"/>
  <c r="CB10" i="46"/>
  <c r="H10" i="46"/>
  <c r="CD10" i="46"/>
  <c r="AF10" i="46"/>
  <c r="CV10" i="46"/>
  <c r="AP10" i="46"/>
  <c r="DL10" i="46"/>
  <c r="BL10" i="46"/>
  <c r="CU10" i="46"/>
  <c r="X10" i="46"/>
  <c r="CG10" i="46"/>
  <c r="BG10" i="46"/>
  <c r="U10" i="46"/>
  <c r="BO10" i="46"/>
  <c r="S10" i="46"/>
  <c r="DO10" i="46"/>
  <c r="BV10" i="46"/>
  <c r="AM10" i="46"/>
  <c r="CC10" i="46"/>
  <c r="DZ12" i="54" l="1"/>
  <c r="DX12" i="54"/>
  <c r="AG12" i="54"/>
  <c r="Y12" i="54"/>
  <c r="EB12" i="54"/>
  <c r="EF13" i="56"/>
  <c r="CS13" i="56"/>
  <c r="AT13" i="56"/>
  <c r="L13" i="56"/>
  <c r="BL13" i="56"/>
  <c r="CJ13" i="56"/>
  <c r="U13" i="56"/>
  <c r="O13" i="56"/>
  <c r="CP13" i="56"/>
  <c r="DY13" i="56"/>
  <c r="AF13" i="56"/>
  <c r="CB13" i="56"/>
  <c r="CX12" i="54"/>
  <c r="FB13" i="56"/>
  <c r="BN13" i="56"/>
  <c r="BP13" i="56"/>
  <c r="CL13" i="56"/>
  <c r="AO13" i="56"/>
  <c r="DI13" i="56"/>
  <c r="ES13" i="56"/>
  <c r="CK13" i="56"/>
  <c r="CA13" i="56"/>
  <c r="EI13" i="56"/>
  <c r="CU13" i="56"/>
  <c r="BR13" i="56"/>
  <c r="BO13" i="56"/>
  <c r="CX13" i="56"/>
  <c r="BI12" i="54"/>
  <c r="BF12" i="54"/>
  <c r="G13" i="56"/>
  <c r="BZ13" i="56"/>
  <c r="EW13" i="56"/>
  <c r="DL13" i="56"/>
  <c r="AM13" i="56"/>
  <c r="BW13" i="56"/>
  <c r="DU13" i="56"/>
  <c r="DV13" i="56"/>
  <c r="EJ13" i="56"/>
  <c r="CO13" i="56"/>
  <c r="CM13" i="56"/>
  <c r="EL13" i="56"/>
  <c r="Z13" i="56"/>
  <c r="DN13" i="56"/>
  <c r="BU13" i="56"/>
  <c r="DP13" i="56"/>
  <c r="EY13" i="56"/>
  <c r="Q13" i="56"/>
  <c r="AS13" i="56"/>
  <c r="EO13" i="56"/>
  <c r="R13" i="56"/>
  <c r="CD13" i="56"/>
  <c r="ET13" i="56"/>
  <c r="CQ13" i="56"/>
  <c r="DR13" i="56"/>
  <c r="S13" i="56"/>
  <c r="BI13" i="56"/>
  <c r="EK13" i="56"/>
  <c r="BF13" i="56"/>
  <c r="AJ13" i="56"/>
  <c r="AW13" i="56"/>
  <c r="EE13" i="56"/>
  <c r="BQ13" i="56"/>
  <c r="ED13" i="56"/>
  <c r="EB13" i="56"/>
  <c r="BS13" i="56"/>
  <c r="DW13" i="56"/>
  <c r="EP13" i="56"/>
  <c r="BB13" i="56"/>
  <c r="AK13" i="56"/>
  <c r="AE13" i="56"/>
  <c r="EQ13" i="56"/>
  <c r="CE13" i="56"/>
  <c r="AY13" i="56"/>
  <c r="CN13" i="56"/>
  <c r="EG13" i="56"/>
  <c r="AD13" i="56"/>
  <c r="BE13" i="56"/>
  <c r="CJ12" i="54"/>
  <c r="DG13" i="56"/>
  <c r="AB13" i="56"/>
  <c r="X13" i="56"/>
  <c r="DJ13" i="56"/>
  <c r="P13" i="56"/>
  <c r="AA13" i="56"/>
  <c r="AC13" i="56"/>
  <c r="J13" i="56"/>
  <c r="BY13" i="56"/>
  <c r="BC13" i="56"/>
  <c r="AR13" i="56"/>
  <c r="AU13" i="56"/>
  <c r="DA13" i="56"/>
  <c r="EA13" i="56"/>
  <c r="EU13" i="56"/>
  <c r="AI13" i="56"/>
  <c r="DS13" i="56"/>
  <c r="AP13" i="56"/>
  <c r="DE13" i="56"/>
  <c r="FC13" i="56"/>
  <c r="CI13" i="56"/>
  <c r="DQ13" i="56"/>
  <c r="BH13" i="56"/>
  <c r="BT13" i="56"/>
  <c r="DZ13" i="56"/>
  <c r="CF13" i="56"/>
  <c r="I13" i="56"/>
  <c r="K13" i="56"/>
  <c r="DB13" i="56"/>
  <c r="CI12" i="54"/>
  <c r="CH13" i="56"/>
  <c r="CT13" i="56"/>
  <c r="CC13" i="56"/>
  <c r="DH13" i="56"/>
  <c r="CW13" i="56"/>
  <c r="AZ13" i="56"/>
  <c r="EX13" i="56"/>
  <c r="AQ13" i="56"/>
  <c r="BJ13" i="56"/>
  <c r="CG13" i="56"/>
  <c r="BX13" i="56"/>
  <c r="CY13" i="56"/>
  <c r="DM13" i="56"/>
  <c r="AX13" i="56"/>
  <c r="EN13" i="56"/>
  <c r="AV13" i="56"/>
  <c r="BA13" i="56"/>
  <c r="AG13" i="56"/>
  <c r="AH13" i="56"/>
  <c r="EM13" i="56"/>
  <c r="T13" i="56"/>
  <c r="CV13" i="56"/>
  <c r="AL13" i="56"/>
  <c r="BG13" i="56"/>
  <c r="M13" i="56"/>
  <c r="EV13" i="56"/>
  <c r="EC13" i="56"/>
  <c r="DC13" i="56"/>
  <c r="CZ13" i="56"/>
  <c r="V13" i="56"/>
  <c r="CR13" i="56"/>
  <c r="BM13" i="56"/>
  <c r="CD12" i="54"/>
  <c r="CV12" i="54"/>
  <c r="EH13" i="56"/>
  <c r="BV13" i="56"/>
  <c r="EZ13" i="56"/>
  <c r="W13" i="56"/>
  <c r="DK13" i="56"/>
  <c r="H13" i="56"/>
  <c r="DT13" i="56"/>
  <c r="BD13" i="56"/>
  <c r="Y13" i="56"/>
  <c r="N13" i="56"/>
  <c r="F13" i="56"/>
  <c r="FA13" i="56"/>
  <c r="AN13" i="56"/>
  <c r="DD13" i="56"/>
  <c r="DF13" i="56"/>
  <c r="DO13" i="56"/>
  <c r="ER13" i="56"/>
  <c r="BK13" i="56"/>
  <c r="DX13" i="56"/>
  <c r="V12" i="54"/>
  <c r="BZ12" i="54"/>
  <c r="DS12" i="54"/>
  <c r="BM12" i="54"/>
  <c r="DL12" i="54"/>
  <c r="CL12" i="54"/>
  <c r="EA12" i="54"/>
  <c r="CE12" i="54"/>
  <c r="DH12" i="54"/>
  <c r="DI12" i="54"/>
  <c r="CH12" i="54"/>
  <c r="DT12" i="54"/>
  <c r="BK12" i="54"/>
  <c r="DB12" i="54"/>
  <c r="CZ12" i="54"/>
  <c r="E14" i="56"/>
  <c r="C15" i="56" s="1"/>
  <c r="H12" i="54"/>
  <c r="AR12" i="54"/>
  <c r="DA12" i="54"/>
  <c r="BE12" i="54"/>
  <c r="AI12" i="54"/>
  <c r="BN12" i="54"/>
  <c r="N12" i="54"/>
  <c r="CQ12" i="54"/>
  <c r="BV12" i="54"/>
  <c r="BU12" i="54"/>
  <c r="R12" i="54"/>
  <c r="DK12" i="54"/>
  <c r="CU12" i="54"/>
  <c r="AW12" i="54"/>
  <c r="DE12" i="54"/>
  <c r="DD12" i="54"/>
  <c r="CW12" i="54"/>
  <c r="DY12" i="54"/>
  <c r="BT12" i="54"/>
  <c r="DM12" i="54"/>
  <c r="DJ12" i="54"/>
  <c r="BO12" i="54"/>
  <c r="BL12" i="54"/>
  <c r="AV12" i="54"/>
  <c r="BD12" i="54"/>
  <c r="W12" i="54"/>
  <c r="M12" i="54"/>
  <c r="CT12" i="54"/>
  <c r="CO12" i="54"/>
  <c r="AY12" i="54"/>
  <c r="AC12" i="54"/>
  <c r="AX12" i="54"/>
  <c r="DG12" i="54"/>
  <c r="DF12" i="54"/>
  <c r="P12" i="54"/>
  <c r="CN12" i="54"/>
  <c r="CF12" i="54"/>
  <c r="AF12" i="54"/>
  <c r="AL12" i="54"/>
  <c r="DP12" i="54"/>
  <c r="AM12" i="54"/>
  <c r="BP12" i="54"/>
  <c r="BA12" i="54"/>
  <c r="BC12" i="54"/>
  <c r="EE12" i="54"/>
  <c r="Q12" i="54"/>
  <c r="DC12" i="54"/>
  <c r="CS12" i="54"/>
  <c r="CA12" i="54"/>
  <c r="DR12" i="54"/>
  <c r="EG12" i="54"/>
  <c r="BG12" i="54"/>
  <c r="BR12" i="54"/>
  <c r="F12" i="54"/>
  <c r="AZ12" i="54"/>
  <c r="AT12" i="54"/>
  <c r="AS12" i="54"/>
  <c r="EH12" i="54"/>
  <c r="CG12" i="54"/>
  <c r="DW12" i="54"/>
  <c r="DU12" i="54"/>
  <c r="EC12" i="54"/>
  <c r="T12" i="54"/>
  <c r="ED12" i="54"/>
  <c r="CR12" i="54"/>
  <c r="AO12" i="54"/>
  <c r="AQ12" i="54"/>
  <c r="AJ12" i="54"/>
  <c r="G12" i="54"/>
  <c r="CM12" i="54"/>
  <c r="AA12" i="54"/>
  <c r="DO12" i="54"/>
  <c r="S12" i="54"/>
  <c r="AH12" i="54"/>
  <c r="BQ12" i="54"/>
  <c r="BX12" i="54"/>
  <c r="L12" i="54"/>
  <c r="BJ12" i="54"/>
  <c r="J12" i="54"/>
  <c r="CY12" i="54"/>
  <c r="CC12" i="54"/>
  <c r="CK12" i="54"/>
  <c r="AB12" i="54"/>
  <c r="DN12" i="54"/>
  <c r="BY12" i="54"/>
  <c r="DQ12" i="54"/>
  <c r="AE12" i="54"/>
  <c r="BB12" i="54"/>
  <c r="Z12" i="54"/>
  <c r="I12" i="54"/>
  <c r="BH12" i="54"/>
  <c r="CB12" i="54"/>
  <c r="DV12" i="54"/>
  <c r="AN12" i="54"/>
  <c r="AP12" i="54"/>
  <c r="BS12" i="54"/>
  <c r="CP12" i="54"/>
  <c r="AU12" i="54"/>
  <c r="AD12" i="54"/>
  <c r="O12" i="54"/>
  <c r="U12" i="54"/>
  <c r="K12" i="54"/>
  <c r="X12" i="54"/>
  <c r="EF12" i="54"/>
  <c r="BW12" i="54"/>
  <c r="AK12" i="54"/>
  <c r="E13" i="54"/>
  <c r="C14" i="54" s="1"/>
  <c r="AZ12" i="46"/>
  <c r="Z12" i="46"/>
  <c r="CU12" i="46"/>
  <c r="DK12" i="46"/>
  <c r="AH12" i="46"/>
  <c r="AC12" i="46"/>
  <c r="CA12" i="46"/>
  <c r="BR12" i="46"/>
  <c r="AP12" i="46"/>
  <c r="L12" i="46"/>
  <c r="DC12" i="46"/>
  <c r="CY12" i="46"/>
  <c r="K12" i="46"/>
  <c r="CQ12" i="46"/>
  <c r="CI12" i="46"/>
  <c r="CZ12" i="46"/>
  <c r="Q12" i="46"/>
  <c r="DB12" i="46"/>
  <c r="AN12" i="46"/>
  <c r="BL12" i="46"/>
  <c r="CE12" i="46"/>
  <c r="AD12" i="46"/>
  <c r="X12" i="46"/>
  <c r="CN12" i="46"/>
  <c r="J12" i="46"/>
  <c r="BV12" i="46"/>
  <c r="AA12" i="46"/>
  <c r="BO12" i="46"/>
  <c r="AG12" i="46"/>
  <c r="DQ12" i="46"/>
  <c r="R12" i="46"/>
  <c r="CO12" i="46"/>
  <c r="AY12" i="46"/>
  <c r="T12" i="46"/>
  <c r="CV12" i="46"/>
  <c r="AM12" i="46"/>
  <c r="DT12" i="46"/>
  <c r="CK12" i="46"/>
  <c r="BI12" i="46"/>
  <c r="DN12" i="46"/>
  <c r="CD12" i="46"/>
  <c r="DJ12" i="46"/>
  <c r="DE12" i="46"/>
  <c r="BZ12" i="46"/>
  <c r="BS12" i="46"/>
  <c r="O12" i="46"/>
  <c r="BT12" i="46"/>
  <c r="DG12" i="46"/>
  <c r="S12" i="46"/>
  <c r="CG12" i="46"/>
  <c r="CW12" i="46"/>
  <c r="P12" i="46"/>
  <c r="I12" i="46"/>
  <c r="AK12" i="46"/>
  <c r="BW12" i="46"/>
  <c r="DP12" i="46"/>
  <c r="AV12" i="46"/>
  <c r="CC12" i="46"/>
  <c r="G12" i="46"/>
  <c r="DD12" i="46"/>
  <c r="N12" i="46"/>
  <c r="AL12" i="46"/>
  <c r="M12" i="46"/>
  <c r="CH12" i="46"/>
  <c r="W12" i="46"/>
  <c r="CP12" i="46"/>
  <c r="U12" i="46"/>
  <c r="DS12" i="46"/>
  <c r="V12" i="46"/>
  <c r="BM12" i="46"/>
  <c r="AJ12" i="46"/>
  <c r="BN12" i="46"/>
  <c r="AU12" i="46"/>
  <c r="BC12" i="46"/>
  <c r="CR12" i="46"/>
  <c r="AR12" i="46"/>
  <c r="AO12" i="46"/>
  <c r="AT12" i="46"/>
  <c r="CL12" i="46"/>
  <c r="DI12" i="46"/>
  <c r="BU12" i="46"/>
  <c r="AF12" i="46"/>
  <c r="BP12" i="46"/>
  <c r="CM12" i="46"/>
  <c r="BE12" i="46"/>
  <c r="BY12" i="46"/>
  <c r="BG12" i="46"/>
  <c r="BX12" i="46"/>
  <c r="BQ12" i="46"/>
  <c r="CS12" i="46"/>
  <c r="CF12" i="46"/>
  <c r="AS12" i="46"/>
  <c r="BF12" i="46"/>
  <c r="DO12" i="46"/>
  <c r="AB12" i="46"/>
  <c r="DR12" i="46"/>
  <c r="AE12" i="46"/>
  <c r="H12" i="46"/>
  <c r="CB12" i="46"/>
  <c r="BH12" i="46"/>
  <c r="BD12" i="46"/>
  <c r="Y12" i="46"/>
  <c r="AQ12" i="46"/>
  <c r="DM12" i="46"/>
  <c r="AI12" i="46"/>
  <c r="CT12" i="46"/>
  <c r="AX12" i="46"/>
  <c r="BB12" i="46"/>
  <c r="CJ12" i="46"/>
  <c r="E13" i="46"/>
  <c r="C14" i="46" s="1"/>
  <c r="BK12" i="46"/>
  <c r="DL12" i="46"/>
  <c r="DF12" i="46"/>
  <c r="DH12" i="46"/>
  <c r="CX12" i="46"/>
  <c r="BJ12" i="46"/>
  <c r="BA12" i="46"/>
  <c r="AW12" i="46"/>
  <c r="DA12" i="46"/>
  <c r="F12" i="46"/>
  <c r="AJ13" i="54" l="1"/>
  <c r="DB14" i="56"/>
  <c r="EV14" i="56"/>
  <c r="AS14" i="56"/>
  <c r="BA14" i="56"/>
  <c r="Q14" i="56"/>
  <c r="AC14" i="56"/>
  <c r="S14" i="56"/>
  <c r="G14" i="56"/>
  <c r="BD14" i="56"/>
  <c r="DE14" i="56"/>
  <c r="BN14" i="56"/>
  <c r="EQ14" i="56"/>
  <c r="T14" i="56"/>
  <c r="CW14" i="56"/>
  <c r="DM14" i="56"/>
  <c r="CR14" i="56"/>
  <c r="CP14" i="56"/>
  <c r="Y14" i="56"/>
  <c r="AV14" i="56"/>
  <c r="FA14" i="56"/>
  <c r="DG14" i="56"/>
  <c r="CA14" i="56"/>
  <c r="EG14" i="56"/>
  <c r="CJ14" i="56"/>
  <c r="EK14" i="56"/>
  <c r="L14" i="56"/>
  <c r="BB14" i="56"/>
  <c r="AF14" i="56"/>
  <c r="BR14" i="56"/>
  <c r="H14" i="56"/>
  <c r="AH14" i="56"/>
  <c r="EF14" i="56"/>
  <c r="F14" i="56"/>
  <c r="CI14" i="56"/>
  <c r="DW14" i="56"/>
  <c r="EO14" i="56"/>
  <c r="DN14" i="56"/>
  <c r="BE14" i="56"/>
  <c r="CH14" i="56"/>
  <c r="CL14" i="56"/>
  <c r="BF14" i="56"/>
  <c r="BW14" i="56"/>
  <c r="AM14" i="56"/>
  <c r="CG14" i="56"/>
  <c r="AX14" i="56"/>
  <c r="O14" i="56"/>
  <c r="BM14" i="56"/>
  <c r="V14" i="56"/>
  <c r="CC14" i="56"/>
  <c r="AW14" i="56"/>
  <c r="BY14" i="56"/>
  <c r="AT14" i="56"/>
  <c r="CM14" i="56"/>
  <c r="P14" i="56"/>
  <c r="BQ14" i="56"/>
  <c r="BP14" i="56"/>
  <c r="I14" i="56"/>
  <c r="DQ14" i="56"/>
  <c r="EX14" i="56"/>
  <c r="CD14" i="56"/>
  <c r="AI14" i="56"/>
  <c r="BC14" i="56"/>
  <c r="EL14" i="56"/>
  <c r="BH14" i="56"/>
  <c r="DJ14" i="56"/>
  <c r="BX14" i="56"/>
  <c r="ES14" i="56"/>
  <c r="EU14" i="56"/>
  <c r="U14" i="56"/>
  <c r="EE14" i="56"/>
  <c r="AB14" i="56"/>
  <c r="DR14" i="56"/>
  <c r="EJ14" i="56"/>
  <c r="CY14" i="56"/>
  <c r="BL14" i="56"/>
  <c r="BU14" i="56"/>
  <c r="DY14" i="56"/>
  <c r="AZ14" i="56"/>
  <c r="W14" i="56"/>
  <c r="CN14" i="56"/>
  <c r="DL14" i="56"/>
  <c r="CQ14" i="56"/>
  <c r="EH14" i="56"/>
  <c r="CZ14" i="56"/>
  <c r="DV14" i="56"/>
  <c r="AQ14" i="56"/>
  <c r="EW14" i="56"/>
  <c r="AN14" i="56"/>
  <c r="M14" i="56"/>
  <c r="DK14" i="56"/>
  <c r="DC14" i="56"/>
  <c r="DP14" i="56"/>
  <c r="BV14" i="56"/>
  <c r="EP14" i="56"/>
  <c r="CF14" i="56"/>
  <c r="CO14" i="56"/>
  <c r="EZ14" i="56"/>
  <c r="BO14" i="56"/>
  <c r="EC14" i="56"/>
  <c r="DD14" i="56"/>
  <c r="AK14" i="56"/>
  <c r="Z14" i="56"/>
  <c r="FB14" i="56"/>
  <c r="EA14" i="56"/>
  <c r="DT14" i="56"/>
  <c r="CK14" i="56"/>
  <c r="AR14" i="56"/>
  <c r="EN14" i="56"/>
  <c r="AL14" i="56"/>
  <c r="DO14" i="56"/>
  <c r="DG13" i="54"/>
  <c r="BI14" i="56"/>
  <c r="ED14" i="56"/>
  <c r="EY14" i="56"/>
  <c r="CS14" i="56"/>
  <c r="AU14" i="56"/>
  <c r="DH14" i="56"/>
  <c r="J14" i="56"/>
  <c r="K14" i="56"/>
  <c r="DX14" i="56"/>
  <c r="CB14" i="56"/>
  <c r="X14" i="56"/>
  <c r="EB14" i="56"/>
  <c r="AD14" i="56"/>
  <c r="AA14" i="56"/>
  <c r="DZ14" i="56"/>
  <c r="CV14" i="56"/>
  <c r="FC14" i="56"/>
  <c r="BS14" i="56"/>
  <c r="AG14" i="56"/>
  <c r="BK14" i="56"/>
  <c r="AY14" i="56"/>
  <c r="AO14" i="56"/>
  <c r="DI14" i="56"/>
  <c r="DS14" i="56"/>
  <c r="BT14" i="56"/>
  <c r="BJ14" i="56"/>
  <c r="EM14" i="56"/>
  <c r="DU14" i="56"/>
  <c r="BG14" i="56"/>
  <c r="CE14" i="56"/>
  <c r="N14" i="56"/>
  <c r="CX14" i="56"/>
  <c r="ET14" i="56"/>
  <c r="DF14" i="56"/>
  <c r="DA14" i="56"/>
  <c r="EI14" i="56"/>
  <c r="CU14" i="56"/>
  <c r="AE14" i="56"/>
  <c r="ER14" i="56"/>
  <c r="AJ14" i="56"/>
  <c r="CT14" i="56"/>
  <c r="BZ14" i="56"/>
  <c r="AP14" i="56"/>
  <c r="R14" i="56"/>
  <c r="E15" i="56"/>
  <c r="ET15" i="56" s="1"/>
  <c r="C29" i="56"/>
  <c r="C27" i="56"/>
  <c r="D23" i="56" s="1"/>
  <c r="BP13" i="54"/>
  <c r="AB13" i="54"/>
  <c r="CK13" i="54"/>
  <c r="CB13" i="54"/>
  <c r="CT13" i="54"/>
  <c r="BG13" i="54"/>
  <c r="AO13" i="54"/>
  <c r="AA13" i="54"/>
  <c r="CE13" i="54"/>
  <c r="EA13" i="54"/>
  <c r="AY13" i="54"/>
  <c r="K13" i="54"/>
  <c r="T13" i="54"/>
  <c r="F13" i="54"/>
  <c r="CF13" i="54"/>
  <c r="DW13" i="54"/>
  <c r="CV13" i="54"/>
  <c r="AP13" i="54"/>
  <c r="EF13" i="54"/>
  <c r="EE13" i="54"/>
  <c r="DB13" i="54"/>
  <c r="BW13" i="54"/>
  <c r="EH13" i="54"/>
  <c r="H13" i="54"/>
  <c r="BY13" i="54"/>
  <c r="X13" i="54"/>
  <c r="W13" i="54"/>
  <c r="DN13" i="54"/>
  <c r="CN13" i="54"/>
  <c r="CR13" i="54"/>
  <c r="N13" i="54"/>
  <c r="ED13" i="54"/>
  <c r="AM13" i="54"/>
  <c r="AN13" i="54"/>
  <c r="AU13" i="54"/>
  <c r="BD13" i="54"/>
  <c r="DY13" i="54"/>
  <c r="BQ13" i="54"/>
  <c r="O13" i="54"/>
  <c r="CJ13" i="54"/>
  <c r="BI13" i="54"/>
  <c r="Y13" i="54"/>
  <c r="CZ13" i="54"/>
  <c r="CA13" i="54"/>
  <c r="BJ13" i="54"/>
  <c r="CX13" i="54"/>
  <c r="L13" i="54"/>
  <c r="U13" i="54"/>
  <c r="I13" i="54"/>
  <c r="BK13" i="54"/>
  <c r="BH13" i="54"/>
  <c r="S13" i="54"/>
  <c r="BU13" i="54"/>
  <c r="EG13" i="54"/>
  <c r="DO13" i="54"/>
  <c r="BS13" i="54"/>
  <c r="DV13" i="54"/>
  <c r="DT13" i="54"/>
  <c r="CY13" i="54"/>
  <c r="DH13" i="54"/>
  <c r="BV13" i="54"/>
  <c r="AD13" i="54"/>
  <c r="AW13" i="54"/>
  <c r="BX13" i="54"/>
  <c r="BZ13" i="54"/>
  <c r="BC13" i="54"/>
  <c r="CU13" i="54"/>
  <c r="DU13" i="54"/>
  <c r="R13" i="54"/>
  <c r="BA13" i="54"/>
  <c r="AR13" i="54"/>
  <c r="DX13" i="54"/>
  <c r="BO13" i="54"/>
  <c r="DK13" i="54"/>
  <c r="M13" i="54"/>
  <c r="BN13" i="54"/>
  <c r="AH13" i="54"/>
  <c r="DA13" i="54"/>
  <c r="Q13" i="54"/>
  <c r="BM13" i="54"/>
  <c r="P13" i="54"/>
  <c r="CG13" i="54"/>
  <c r="DS13" i="54"/>
  <c r="BR13" i="54"/>
  <c r="AT13" i="54"/>
  <c r="DZ13" i="54"/>
  <c r="CQ13" i="54"/>
  <c r="DR13" i="54"/>
  <c r="CC13" i="54"/>
  <c r="AZ13" i="54"/>
  <c r="Z13" i="54"/>
  <c r="DF13" i="54"/>
  <c r="DL13" i="54"/>
  <c r="BT13" i="54"/>
  <c r="DI13" i="54"/>
  <c r="BE13" i="54"/>
  <c r="DQ13" i="54"/>
  <c r="CO13" i="54"/>
  <c r="DJ13" i="54"/>
  <c r="CD13" i="54"/>
  <c r="DD13" i="54"/>
  <c r="AX13" i="54"/>
  <c r="CS13" i="54"/>
  <c r="DE13" i="54"/>
  <c r="EC13" i="54"/>
  <c r="AL13" i="54"/>
  <c r="AS13" i="54"/>
  <c r="G13" i="54"/>
  <c r="AK13" i="54"/>
  <c r="AI13" i="54"/>
  <c r="CH13" i="54"/>
  <c r="DC13" i="54"/>
  <c r="CW13" i="54"/>
  <c r="CM13" i="54"/>
  <c r="AE13" i="54"/>
  <c r="AV13" i="54"/>
  <c r="AG13" i="54"/>
  <c r="V13" i="54"/>
  <c r="CP13" i="54"/>
  <c r="CI13" i="54"/>
  <c r="BL13" i="54"/>
  <c r="AF13" i="54"/>
  <c r="DP13" i="54"/>
  <c r="CL13" i="54"/>
  <c r="BF13" i="54"/>
  <c r="DM13" i="54"/>
  <c r="AQ13" i="54"/>
  <c r="EB13" i="54"/>
  <c r="BB13" i="54"/>
  <c r="AC13" i="54"/>
  <c r="J13" i="54"/>
  <c r="E14" i="54"/>
  <c r="C15" i="54" s="1"/>
  <c r="DJ13" i="46"/>
  <c r="BB13" i="46"/>
  <c r="AS13" i="46"/>
  <c r="AI13" i="46"/>
  <c r="K13" i="46"/>
  <c r="BC13" i="46"/>
  <c r="DI13" i="46"/>
  <c r="CB13" i="46"/>
  <c r="CS13" i="46"/>
  <c r="DK13" i="46"/>
  <c r="DB13" i="46"/>
  <c r="DR13" i="46"/>
  <c r="BY13" i="46"/>
  <c r="BI13" i="46"/>
  <c r="AN13" i="46"/>
  <c r="BM13" i="46"/>
  <c r="DT13" i="46"/>
  <c r="CJ13" i="46"/>
  <c r="S13" i="46"/>
  <c r="P13" i="46"/>
  <c r="AJ13" i="46"/>
  <c r="BG13" i="46"/>
  <c r="CV13" i="46"/>
  <c r="AE13" i="46"/>
  <c r="CF13" i="46"/>
  <c r="V13" i="46"/>
  <c r="BE13" i="46"/>
  <c r="AY13" i="46"/>
  <c r="Z13" i="46"/>
  <c r="CU13" i="46"/>
  <c r="BF13" i="46"/>
  <c r="DS13" i="46"/>
  <c r="BQ13" i="46"/>
  <c r="CI13" i="46"/>
  <c r="BX13" i="46"/>
  <c r="J13" i="46"/>
  <c r="BN13" i="46"/>
  <c r="AR13" i="46"/>
  <c r="CA13" i="46"/>
  <c r="CE13" i="46"/>
  <c r="AW13" i="46"/>
  <c r="AP13" i="46"/>
  <c r="BJ13" i="46"/>
  <c r="DG13" i="46"/>
  <c r="CY13" i="46"/>
  <c r="AM13" i="46"/>
  <c r="DC13" i="46"/>
  <c r="BR13" i="46"/>
  <c r="CK13" i="46"/>
  <c r="BU13" i="46"/>
  <c r="CP13" i="46"/>
  <c r="F13" i="46"/>
  <c r="BA13" i="46"/>
  <c r="L13" i="46"/>
  <c r="CX13" i="46"/>
  <c r="DF13" i="46"/>
  <c r="AO13" i="46"/>
  <c r="X13" i="46"/>
  <c r="CL13" i="46"/>
  <c r="CT13" i="46"/>
  <c r="AU13" i="46"/>
  <c r="BD13" i="46"/>
  <c r="AL13" i="46"/>
  <c r="DL13" i="46"/>
  <c r="BK13" i="46"/>
  <c r="CQ13" i="46"/>
  <c r="O13" i="46"/>
  <c r="AA13" i="46"/>
  <c r="CG13" i="46"/>
  <c r="CM13" i="46"/>
  <c r="CD13" i="46"/>
  <c r="BS13" i="46"/>
  <c r="M13" i="46"/>
  <c r="G13" i="46"/>
  <c r="DH13" i="46"/>
  <c r="AF13" i="46"/>
  <c r="CN13" i="46"/>
  <c r="DQ13" i="46"/>
  <c r="AD13" i="46"/>
  <c r="DA13" i="46"/>
  <c r="BT13" i="46"/>
  <c r="AB13" i="46"/>
  <c r="Q13" i="46"/>
  <c r="AV13" i="46"/>
  <c r="BV13" i="46"/>
  <c r="N13" i="46"/>
  <c r="AZ13" i="46"/>
  <c r="BZ13" i="46"/>
  <c r="CZ13" i="46"/>
  <c r="BW13" i="46"/>
  <c r="DN13" i="46"/>
  <c r="CR13" i="46"/>
  <c r="AK13" i="46"/>
  <c r="AG13" i="46"/>
  <c r="DM13" i="46"/>
  <c r="AH13" i="46"/>
  <c r="CO13" i="46"/>
  <c r="BO13" i="46"/>
  <c r="AT13" i="46"/>
  <c r="T13" i="46"/>
  <c r="AX13" i="46"/>
  <c r="DO13" i="46"/>
  <c r="H13" i="46"/>
  <c r="BH13" i="46"/>
  <c r="AQ13" i="46"/>
  <c r="BL13" i="46"/>
  <c r="U13" i="46"/>
  <c r="CW13" i="46"/>
  <c r="Y13" i="46"/>
  <c r="AC13" i="46"/>
  <c r="W13" i="46"/>
  <c r="DE13" i="46"/>
  <c r="R13" i="46"/>
  <c r="DP13" i="46"/>
  <c r="E14" i="46"/>
  <c r="C15" i="46" s="1"/>
  <c r="CH13" i="46"/>
  <c r="CC13" i="46"/>
  <c r="BP13" i="46"/>
  <c r="DD13" i="46"/>
  <c r="I13" i="46"/>
  <c r="C29" i="54" l="1"/>
  <c r="C27" i="54"/>
  <c r="BA15" i="56"/>
  <c r="F15" i="56"/>
  <c r="CL15" i="56"/>
  <c r="EI15" i="56"/>
  <c r="BO15" i="56"/>
  <c r="AU15" i="56"/>
  <c r="CC15" i="56"/>
  <c r="DS15" i="56"/>
  <c r="DC15" i="56"/>
  <c r="DH15" i="56"/>
  <c r="DR15" i="56"/>
  <c r="CG15" i="56"/>
  <c r="BW15" i="56"/>
  <c r="DB15" i="56"/>
  <c r="AY15" i="56"/>
  <c r="EF15" i="56"/>
  <c r="P15" i="56"/>
  <c r="CM15" i="56"/>
  <c r="R15" i="56"/>
  <c r="DG15" i="56"/>
  <c r="CS15" i="56"/>
  <c r="AK15" i="56"/>
  <c r="W15" i="56"/>
  <c r="AZ15" i="56"/>
  <c r="CH15" i="56"/>
  <c r="CQ15" i="56"/>
  <c r="DJ15" i="56"/>
  <c r="AI15" i="56"/>
  <c r="K15" i="56"/>
  <c r="L15" i="56"/>
  <c r="FA15" i="56"/>
  <c r="AV15" i="56"/>
  <c r="BR15" i="56"/>
  <c r="EJ15" i="56"/>
  <c r="ED15" i="56"/>
  <c r="BM15" i="56"/>
  <c r="AA15" i="56"/>
  <c r="CJ15" i="56"/>
  <c r="BB15" i="56"/>
  <c r="DY15" i="56"/>
  <c r="AS15" i="56"/>
  <c r="EY15" i="56"/>
  <c r="EB15" i="56"/>
  <c r="EC15" i="56"/>
  <c r="BK15" i="56"/>
  <c r="AR15" i="56"/>
  <c r="EP15" i="56"/>
  <c r="O15" i="56"/>
  <c r="BN15" i="56"/>
  <c r="EQ15" i="56"/>
  <c r="DV15" i="56"/>
  <c r="DQ15" i="56"/>
  <c r="BD15" i="56"/>
  <c r="CR15" i="56"/>
  <c r="FB15" i="56"/>
  <c r="AJ15" i="56"/>
  <c r="H15" i="56"/>
  <c r="DL15" i="56"/>
  <c r="DN15" i="56"/>
  <c r="BQ15" i="56"/>
  <c r="FC15" i="56"/>
  <c r="DF15" i="56"/>
  <c r="DE15" i="56"/>
  <c r="EU15" i="56"/>
  <c r="DT15" i="56"/>
  <c r="J15" i="56"/>
  <c r="BZ15" i="56"/>
  <c r="AB15" i="56"/>
  <c r="BC15" i="56"/>
  <c r="BI15" i="56"/>
  <c r="DP15" i="56"/>
  <c r="AF15" i="56"/>
  <c r="M15" i="56"/>
  <c r="DO15" i="56"/>
  <c r="EL15" i="56"/>
  <c r="CZ15" i="56"/>
  <c r="X15" i="56"/>
  <c r="Q15" i="56"/>
  <c r="AQ15" i="56"/>
  <c r="V15" i="56"/>
  <c r="CY15" i="56"/>
  <c r="CN15" i="56"/>
  <c r="G15" i="56"/>
  <c r="Z15" i="56"/>
  <c r="CK15" i="56"/>
  <c r="AG15" i="56"/>
  <c r="EH15" i="56"/>
  <c r="U15" i="56"/>
  <c r="BJ15" i="56"/>
  <c r="Y15" i="56"/>
  <c r="EE15" i="56"/>
  <c r="BX15" i="56"/>
  <c r="BF15" i="56"/>
  <c r="EN15" i="56"/>
  <c r="CI15" i="56"/>
  <c r="DD15" i="56"/>
  <c r="EA15" i="56"/>
  <c r="BP15" i="56"/>
  <c r="BG15" i="56"/>
  <c r="ER15" i="56"/>
  <c r="BT15" i="56"/>
  <c r="S15" i="56"/>
  <c r="AL15" i="56"/>
  <c r="CU15" i="56"/>
  <c r="AN15" i="56"/>
  <c r="AM15" i="56"/>
  <c r="BH15" i="56"/>
  <c r="EO15" i="56"/>
  <c r="I15" i="56"/>
  <c r="EW15" i="56"/>
  <c r="BL15" i="56"/>
  <c r="CF15" i="56"/>
  <c r="CX15" i="56"/>
  <c r="ES15" i="56"/>
  <c r="T15" i="56"/>
  <c r="BS15" i="56"/>
  <c r="EX15" i="56"/>
  <c r="AP15" i="56"/>
  <c r="EK15" i="56"/>
  <c r="DA15" i="56"/>
  <c r="BY15" i="56"/>
  <c r="AE15" i="56"/>
  <c r="AO15" i="56"/>
  <c r="BU15" i="56"/>
  <c r="DZ15" i="56"/>
  <c r="CW15" i="56"/>
  <c r="CD15" i="56"/>
  <c r="CE15" i="56"/>
  <c r="DU15" i="56"/>
  <c r="EG15" i="56"/>
  <c r="CV15" i="56"/>
  <c r="AD15" i="56"/>
  <c r="CO15" i="56"/>
  <c r="DW15" i="56"/>
  <c r="CP15" i="56"/>
  <c r="CB15" i="56"/>
  <c r="DI15" i="56"/>
  <c r="CT15" i="56"/>
  <c r="AC15" i="56"/>
  <c r="N15" i="56"/>
  <c r="EM15" i="56"/>
  <c r="CA15" i="56"/>
  <c r="EV15" i="56"/>
  <c r="DM15" i="56"/>
  <c r="DK15" i="56"/>
  <c r="DX15" i="56"/>
  <c r="AW15" i="56"/>
  <c r="BE15" i="56"/>
  <c r="BV15" i="56"/>
  <c r="AX15" i="56"/>
  <c r="AT15" i="56"/>
  <c r="AH15" i="56"/>
  <c r="EZ15" i="56"/>
  <c r="C16" i="56"/>
  <c r="DO27" i="56"/>
  <c r="BZ27" i="56"/>
  <c r="F27" i="56"/>
  <c r="BG27" i="56"/>
  <c r="DX27" i="56"/>
  <c r="AU27" i="56"/>
  <c r="R27" i="56"/>
  <c r="AX27" i="56"/>
  <c r="EM27" i="56"/>
  <c r="DQ27" i="56"/>
  <c r="AQ27" i="56"/>
  <c r="DF27" i="56"/>
  <c r="CO27" i="56"/>
  <c r="AN27" i="56"/>
  <c r="T27" i="56"/>
  <c r="BU27" i="56"/>
  <c r="AD27" i="56"/>
  <c r="BJ27" i="56"/>
  <c r="BI27" i="56"/>
  <c r="J27" i="56"/>
  <c r="DD27" i="56"/>
  <c r="CS27" i="56"/>
  <c r="DT27" i="56"/>
  <c r="CE27" i="56"/>
  <c r="EY27" i="56"/>
  <c r="EH27" i="56"/>
  <c r="BH27" i="56"/>
  <c r="EO27" i="56"/>
  <c r="AZ27" i="56"/>
  <c r="DI27" i="56"/>
  <c r="CQ27" i="56"/>
  <c r="BC27" i="56"/>
  <c r="EF27" i="56"/>
  <c r="DU27" i="56"/>
  <c r="CY27" i="56"/>
  <c r="AV27" i="56"/>
  <c r="BN27" i="56"/>
  <c r="DK27" i="56"/>
  <c r="AH27" i="56"/>
  <c r="CR27" i="56"/>
  <c r="AR27" i="56"/>
  <c r="L27" i="56"/>
  <c r="V27" i="56"/>
  <c r="EK27" i="56"/>
  <c r="DA27" i="56"/>
  <c r="AJ27" i="56"/>
  <c r="EV27" i="56"/>
  <c r="K27" i="56"/>
  <c r="DL27" i="56"/>
  <c r="EC27" i="56"/>
  <c r="BY27" i="56"/>
  <c r="BF27" i="56"/>
  <c r="AS27" i="56"/>
  <c r="CV27" i="56"/>
  <c r="ET27" i="56"/>
  <c r="EE27" i="56"/>
  <c r="DW27" i="56"/>
  <c r="CZ27" i="56"/>
  <c r="AI27" i="56"/>
  <c r="EQ27" i="56"/>
  <c r="CH27" i="56"/>
  <c r="X27" i="56"/>
  <c r="DN27" i="56"/>
  <c r="CA27" i="56"/>
  <c r="CI27" i="56"/>
  <c r="FA27" i="56"/>
  <c r="DE27" i="56"/>
  <c r="BP27" i="56"/>
  <c r="CT27" i="56"/>
  <c r="P27" i="56"/>
  <c r="EL27" i="56"/>
  <c r="DR27" i="56"/>
  <c r="CF27" i="56"/>
  <c r="EJ27" i="56"/>
  <c r="BV27" i="56"/>
  <c r="M27" i="56"/>
  <c r="EI27" i="56"/>
  <c r="AC27" i="56"/>
  <c r="AY27" i="56"/>
  <c r="ES27" i="56"/>
  <c r="BO27" i="56"/>
  <c r="DM27" i="56"/>
  <c r="CK27" i="56"/>
  <c r="DP27" i="56"/>
  <c r="AA27" i="56"/>
  <c r="CB27" i="56"/>
  <c r="CW27" i="56"/>
  <c r="CP27" i="56"/>
  <c r="CG27" i="56"/>
  <c r="AE27" i="56"/>
  <c r="ER27" i="56"/>
  <c r="BX27" i="56"/>
  <c r="W27" i="56"/>
  <c r="DV27" i="56"/>
  <c r="DC27" i="56"/>
  <c r="ED27" i="56"/>
  <c r="FB27" i="56"/>
  <c r="AB27" i="56"/>
  <c r="DG27" i="56"/>
  <c r="BB27" i="56"/>
  <c r="EA27" i="56"/>
  <c r="BM27" i="56"/>
  <c r="CN27" i="56"/>
  <c r="AG27" i="56"/>
  <c r="AK27" i="56"/>
  <c r="O27" i="56"/>
  <c r="BR27" i="56"/>
  <c r="AP27" i="56"/>
  <c r="U27" i="56"/>
  <c r="DB27" i="56"/>
  <c r="CC27" i="56"/>
  <c r="CU27" i="56"/>
  <c r="DH27" i="56"/>
  <c r="Z27" i="56"/>
  <c r="I27" i="56"/>
  <c r="BT27" i="56"/>
  <c r="EN27" i="56"/>
  <c r="BE27" i="56"/>
  <c r="AF27" i="56"/>
  <c r="S27" i="56"/>
  <c r="CL27" i="56"/>
  <c r="EW27" i="56"/>
  <c r="AL27" i="56"/>
  <c r="DY27" i="56"/>
  <c r="AW27" i="56"/>
  <c r="BQ27" i="56"/>
  <c r="DJ27" i="56"/>
  <c r="EX27" i="56"/>
  <c r="BW27" i="56"/>
  <c r="DS27" i="56"/>
  <c r="CX27" i="56"/>
  <c r="G27" i="56"/>
  <c r="FC27" i="56"/>
  <c r="EB27" i="56"/>
  <c r="Y27" i="56"/>
  <c r="EZ27" i="56"/>
  <c r="BK27" i="56"/>
  <c r="BA27" i="56"/>
  <c r="BL27" i="56"/>
  <c r="AO27" i="56"/>
  <c r="Q27" i="56"/>
  <c r="N27" i="56"/>
  <c r="CD27" i="56"/>
  <c r="EP27" i="56"/>
  <c r="AM27" i="56"/>
  <c r="BD27" i="56"/>
  <c r="EU27" i="56"/>
  <c r="BS27" i="56"/>
  <c r="DZ27" i="56"/>
  <c r="AT27" i="56"/>
  <c r="EG27" i="56"/>
  <c r="H27" i="56"/>
  <c r="CM27" i="56"/>
  <c r="CJ27" i="56"/>
  <c r="W29" i="56"/>
  <c r="DR29" i="56"/>
  <c r="AM29" i="56"/>
  <c r="AT29" i="56"/>
  <c r="AX29" i="56"/>
  <c r="EW29" i="56"/>
  <c r="EF29" i="56"/>
  <c r="DT29" i="56"/>
  <c r="BZ29" i="56"/>
  <c r="DF29" i="56"/>
  <c r="FB29" i="56"/>
  <c r="EV29" i="56"/>
  <c r="CZ29" i="56"/>
  <c r="CS29" i="56"/>
  <c r="T29" i="56"/>
  <c r="S29" i="56"/>
  <c r="CE29" i="56"/>
  <c r="BF29" i="56"/>
  <c r="CG29" i="56"/>
  <c r="BT29" i="56"/>
  <c r="AN29" i="56"/>
  <c r="DH29" i="56"/>
  <c r="EO29" i="56"/>
  <c r="J29" i="56"/>
  <c r="AC29" i="56"/>
  <c r="EY29" i="56"/>
  <c r="DV29" i="56"/>
  <c r="BC29" i="56"/>
  <c r="CV29" i="56"/>
  <c r="N29" i="56"/>
  <c r="CP29" i="56"/>
  <c r="CR29" i="56"/>
  <c r="AL29" i="56"/>
  <c r="BO29" i="56"/>
  <c r="DO29" i="56"/>
  <c r="CK29" i="56"/>
  <c r="AS29" i="56"/>
  <c r="AJ29" i="56"/>
  <c r="EH29" i="56"/>
  <c r="BQ29" i="56"/>
  <c r="CO29" i="56"/>
  <c r="EI29" i="56"/>
  <c r="BS29" i="56"/>
  <c r="DE29" i="56"/>
  <c r="EN29" i="56"/>
  <c r="AE29" i="56"/>
  <c r="DS29" i="56"/>
  <c r="AD29" i="56"/>
  <c r="CQ29" i="56"/>
  <c r="G29" i="56"/>
  <c r="CT29" i="56"/>
  <c r="CD29" i="56"/>
  <c r="BY29" i="56"/>
  <c r="BV29" i="56"/>
  <c r="BI29" i="56"/>
  <c r="FA29" i="56"/>
  <c r="BR29" i="56"/>
  <c r="CL29" i="56"/>
  <c r="EG29" i="56"/>
  <c r="AQ29" i="56"/>
  <c r="AB29" i="56"/>
  <c r="DK29" i="56"/>
  <c r="DN29" i="56"/>
  <c r="DM29" i="56"/>
  <c r="DJ29" i="56"/>
  <c r="Z29" i="56"/>
  <c r="EU29" i="56"/>
  <c r="ED29" i="56"/>
  <c r="CH29" i="56"/>
  <c r="BL29" i="56"/>
  <c r="CF29" i="56"/>
  <c r="CJ29" i="56"/>
  <c r="CN29" i="56"/>
  <c r="AO29" i="56"/>
  <c r="BH29" i="56"/>
  <c r="DQ29" i="56"/>
  <c r="F29" i="56"/>
  <c r="BK29" i="56"/>
  <c r="P29" i="56"/>
  <c r="AG29" i="56"/>
  <c r="EX29" i="56"/>
  <c r="AZ29" i="56"/>
  <c r="DL29" i="56"/>
  <c r="BE29" i="56"/>
  <c r="DZ29" i="56"/>
  <c r="EB29" i="56"/>
  <c r="DY29" i="56"/>
  <c r="DG29" i="56"/>
  <c r="FC29" i="56"/>
  <c r="H29" i="56"/>
  <c r="AU29" i="56"/>
  <c r="DI29" i="56"/>
  <c r="BJ29" i="56"/>
  <c r="EK29" i="56"/>
  <c r="BA29" i="56"/>
  <c r="V29" i="56"/>
  <c r="CW29" i="56"/>
  <c r="DB29" i="56"/>
  <c r="Q29" i="56"/>
  <c r="K29" i="56"/>
  <c r="AI29" i="56"/>
  <c r="DW29" i="56"/>
  <c r="ES29" i="56"/>
  <c r="BM29" i="56"/>
  <c r="EM29" i="56"/>
  <c r="AV29" i="56"/>
  <c r="DC29" i="56"/>
  <c r="BU29" i="56"/>
  <c r="AF29" i="56"/>
  <c r="O29" i="56"/>
  <c r="AK29" i="56"/>
  <c r="CY29" i="56"/>
  <c r="U29" i="56"/>
  <c r="EZ29" i="56"/>
  <c r="BG29" i="56"/>
  <c r="BN29" i="56"/>
  <c r="BX29" i="56"/>
  <c r="AR29" i="56"/>
  <c r="CA29" i="56"/>
  <c r="AP29" i="56"/>
  <c r="DX29" i="56"/>
  <c r="BD29" i="56"/>
  <c r="ET29" i="56"/>
  <c r="CX29" i="56"/>
  <c r="EE29" i="56"/>
  <c r="EP29" i="56"/>
  <c r="BP29" i="56"/>
  <c r="Y29" i="56"/>
  <c r="DD29" i="56"/>
  <c r="DA29" i="56"/>
  <c r="M29" i="56"/>
  <c r="BB29" i="56"/>
  <c r="CC29" i="56"/>
  <c r="BW29" i="56"/>
  <c r="DU29" i="56"/>
  <c r="R29" i="56"/>
  <c r="DP29" i="56"/>
  <c r="AH29" i="56"/>
  <c r="AY29" i="56"/>
  <c r="EL29" i="56"/>
  <c r="CM29" i="56"/>
  <c r="L29" i="56"/>
  <c r="EJ29" i="56"/>
  <c r="CB29" i="56"/>
  <c r="X29" i="56"/>
  <c r="ER29" i="56"/>
  <c r="AA29" i="56"/>
  <c r="I29" i="56"/>
  <c r="EC29" i="56"/>
  <c r="CI29" i="56"/>
  <c r="AW29" i="56"/>
  <c r="EA29" i="56"/>
  <c r="EQ29" i="56"/>
  <c r="CU29" i="56"/>
  <c r="AE14" i="54"/>
  <c r="BG14" i="54"/>
  <c r="BN14" i="54"/>
  <c r="CA14" i="54"/>
  <c r="AQ14" i="54"/>
  <c r="BF14" i="54"/>
  <c r="AY14" i="54"/>
  <c r="DX14" i="54"/>
  <c r="CK14" i="54"/>
  <c r="DH14" i="54"/>
  <c r="CJ14" i="54"/>
  <c r="DE14" i="54"/>
  <c r="BV14" i="54"/>
  <c r="BM14" i="54"/>
  <c r="CC14" i="54"/>
  <c r="AZ14" i="54"/>
  <c r="DA14" i="54"/>
  <c r="EA14" i="54"/>
  <c r="DL14" i="54"/>
  <c r="BU14" i="54"/>
  <c r="BT14" i="54"/>
  <c r="CP14" i="54"/>
  <c r="BJ14" i="54"/>
  <c r="AC14" i="54"/>
  <c r="DJ14" i="54"/>
  <c r="I14" i="54"/>
  <c r="BX14" i="54"/>
  <c r="AD14" i="54"/>
  <c r="DD14" i="54"/>
  <c r="K14" i="54"/>
  <c r="CG14" i="54"/>
  <c r="CR14" i="54"/>
  <c r="DF14" i="54"/>
  <c r="DT14" i="54"/>
  <c r="BS14" i="54"/>
  <c r="BW14" i="54"/>
  <c r="DK14" i="54"/>
  <c r="AJ14" i="54"/>
  <c r="BP14" i="54"/>
  <c r="EB14" i="54"/>
  <c r="CM14" i="54"/>
  <c r="AW14" i="54"/>
  <c r="AN14" i="54"/>
  <c r="G14" i="54"/>
  <c r="CW14" i="54"/>
  <c r="AF14" i="54"/>
  <c r="EH14" i="54"/>
  <c r="BE14" i="54"/>
  <c r="BQ14" i="54"/>
  <c r="BR14" i="54"/>
  <c r="DY14" i="54"/>
  <c r="N14" i="54"/>
  <c r="CQ14" i="54"/>
  <c r="L14" i="54"/>
  <c r="BB14" i="54"/>
  <c r="CY14" i="54"/>
  <c r="BA14" i="54"/>
  <c r="AK14" i="54"/>
  <c r="BZ14" i="54"/>
  <c r="DV14" i="54"/>
  <c r="AA14" i="54"/>
  <c r="BD14" i="54"/>
  <c r="DB14" i="54"/>
  <c r="CH14" i="54"/>
  <c r="CS14" i="54"/>
  <c r="DS14" i="54"/>
  <c r="BO14" i="54"/>
  <c r="CZ14" i="54"/>
  <c r="J14" i="54"/>
  <c r="AL14" i="54"/>
  <c r="Y14" i="54"/>
  <c r="P14" i="54"/>
  <c r="F14" i="54"/>
  <c r="AR14" i="54"/>
  <c r="CE14" i="54"/>
  <c r="AB14" i="54"/>
  <c r="X14" i="54"/>
  <c r="CF14" i="54"/>
  <c r="R14" i="54"/>
  <c r="AU14" i="54"/>
  <c r="DG14" i="54"/>
  <c r="DW14" i="54"/>
  <c r="DN14" i="54"/>
  <c r="AP14" i="54"/>
  <c r="DP14" i="54"/>
  <c r="DU14" i="54"/>
  <c r="AS14" i="54"/>
  <c r="CN14" i="54"/>
  <c r="Q14" i="54"/>
  <c r="T14" i="54"/>
  <c r="AM14" i="54"/>
  <c r="CB14" i="54"/>
  <c r="AO14" i="54"/>
  <c r="DQ14" i="54"/>
  <c r="V14" i="54"/>
  <c r="CX14" i="54"/>
  <c r="CU14" i="54"/>
  <c r="S14" i="54"/>
  <c r="BH14" i="54"/>
  <c r="BY14" i="54"/>
  <c r="H14" i="54"/>
  <c r="DM14" i="54"/>
  <c r="EC14" i="54"/>
  <c r="M14" i="54"/>
  <c r="BI14" i="54"/>
  <c r="AG14" i="54"/>
  <c r="EE14" i="54"/>
  <c r="AX14" i="54"/>
  <c r="CD14" i="54"/>
  <c r="O14" i="54"/>
  <c r="EF14" i="54"/>
  <c r="DZ14" i="54"/>
  <c r="W14" i="54"/>
  <c r="EG14" i="54"/>
  <c r="BL14" i="54"/>
  <c r="AT14" i="54"/>
  <c r="BK14" i="54"/>
  <c r="U14" i="54"/>
  <c r="CT14" i="54"/>
  <c r="BC14" i="54"/>
  <c r="DO14" i="54"/>
  <c r="CV14" i="54"/>
  <c r="AV14" i="54"/>
  <c r="DI14" i="54"/>
  <c r="CL14" i="54"/>
  <c r="AH14" i="54"/>
  <c r="ED14" i="54"/>
  <c r="AI14" i="54"/>
  <c r="DR14" i="54"/>
  <c r="CI14" i="54"/>
  <c r="Z14" i="54"/>
  <c r="CO14" i="54"/>
  <c r="DC14" i="54"/>
  <c r="E15" i="54"/>
  <c r="DY15" i="54" s="1"/>
  <c r="DG14" i="46"/>
  <c r="AX14" i="46"/>
  <c r="DC14" i="46"/>
  <c r="BB14" i="46"/>
  <c r="T14" i="46"/>
  <c r="AK14" i="46"/>
  <c r="CR14" i="46"/>
  <c r="BY14" i="46"/>
  <c r="BV14" i="46"/>
  <c r="BR14" i="46"/>
  <c r="AN14" i="46"/>
  <c r="DT14" i="46"/>
  <c r="BW14" i="46"/>
  <c r="CF14" i="46"/>
  <c r="BN14" i="46"/>
  <c r="DH14" i="46"/>
  <c r="DD14" i="46"/>
  <c r="Q14" i="46"/>
  <c r="CD14" i="46"/>
  <c r="DJ14" i="46"/>
  <c r="BQ14" i="46"/>
  <c r="CB14" i="46"/>
  <c r="BO14" i="46"/>
  <c r="AF14" i="46"/>
  <c r="DQ14" i="46"/>
  <c r="CL14" i="46"/>
  <c r="BJ14" i="46"/>
  <c r="BM14" i="46"/>
  <c r="CX14" i="46"/>
  <c r="Z14" i="46"/>
  <c r="K14" i="46"/>
  <c r="CI14" i="46"/>
  <c r="AO14" i="46"/>
  <c r="G14" i="46"/>
  <c r="DS14" i="46"/>
  <c r="AC14" i="46"/>
  <c r="CC14" i="46"/>
  <c r="AT14" i="46"/>
  <c r="CK14" i="46"/>
  <c r="AQ14" i="46"/>
  <c r="BH14" i="46"/>
  <c r="BS14" i="46"/>
  <c r="CO14" i="46"/>
  <c r="BL14" i="46"/>
  <c r="AU14" i="46"/>
  <c r="AM14" i="46"/>
  <c r="DI14" i="46"/>
  <c r="BX14" i="46"/>
  <c r="DP14" i="46"/>
  <c r="W14" i="46"/>
  <c r="BT14" i="46"/>
  <c r="E15" i="46"/>
  <c r="V15" i="46" s="1"/>
  <c r="C27" i="46"/>
  <c r="C29" i="46"/>
  <c r="CH14" i="46"/>
  <c r="CA14" i="46"/>
  <c r="P14" i="46"/>
  <c r="CZ14" i="46"/>
  <c r="BA14" i="46"/>
  <c r="AP14" i="46"/>
  <c r="U14" i="46"/>
  <c r="AB14" i="46"/>
  <c r="CN14" i="46"/>
  <c r="CV14" i="46"/>
  <c r="AL14" i="46"/>
  <c r="L14" i="46"/>
  <c r="AD14" i="46"/>
  <c r="DE14" i="46"/>
  <c r="CW14" i="46"/>
  <c r="CQ14" i="46"/>
  <c r="CJ14" i="46"/>
  <c r="BZ14" i="46"/>
  <c r="AG14" i="46"/>
  <c r="AW14" i="46"/>
  <c r="DA14" i="46"/>
  <c r="DF14" i="46"/>
  <c r="CT14" i="46"/>
  <c r="DM14" i="46"/>
  <c r="DL14" i="46"/>
  <c r="J14" i="46"/>
  <c r="AE14" i="46"/>
  <c r="DB14" i="46"/>
  <c r="AR14" i="46"/>
  <c r="X14" i="46"/>
  <c r="BC14" i="46"/>
  <c r="BU14" i="46"/>
  <c r="CP14" i="46"/>
  <c r="DN14" i="46"/>
  <c r="Y14" i="46"/>
  <c r="M14" i="46"/>
  <c r="BP14" i="46"/>
  <c r="BG14" i="46"/>
  <c r="AS14" i="46"/>
  <c r="CG14" i="46"/>
  <c r="DR14" i="46"/>
  <c r="AV14" i="46"/>
  <c r="R14" i="46"/>
  <c r="BF14" i="46"/>
  <c r="V14" i="46"/>
  <c r="AY14" i="46"/>
  <c r="CU14" i="46"/>
  <c r="AJ14" i="46"/>
  <c r="BK14" i="46"/>
  <c r="BI14" i="46"/>
  <c r="DO14" i="46"/>
  <c r="CM14" i="46"/>
  <c r="H14" i="46"/>
  <c r="BD14" i="46"/>
  <c r="AI14" i="46"/>
  <c r="AH14" i="46"/>
  <c r="AZ14" i="46"/>
  <c r="CE14" i="46"/>
  <c r="CY14" i="46"/>
  <c r="CS14" i="46"/>
  <c r="BE14" i="46"/>
  <c r="O14" i="46"/>
  <c r="N14" i="46"/>
  <c r="F14" i="46"/>
  <c r="S14" i="46"/>
  <c r="DK14" i="46"/>
  <c r="AA14" i="46"/>
  <c r="I14" i="46"/>
  <c r="K15" i="54" l="1"/>
  <c r="E16" i="56"/>
  <c r="C17" i="56" s="1"/>
  <c r="BX15" i="54"/>
  <c r="Q15" i="54"/>
  <c r="BR15" i="54"/>
  <c r="BM15" i="54"/>
  <c r="CH15" i="54"/>
  <c r="DO15" i="54"/>
  <c r="CV15" i="54"/>
  <c r="O15" i="54"/>
  <c r="CJ15" i="54"/>
  <c r="BI15" i="54"/>
  <c r="DF15" i="54"/>
  <c r="BF15" i="54"/>
  <c r="AP15" i="54"/>
  <c r="CW15" i="54"/>
  <c r="AQ15" i="54"/>
  <c r="EG15" i="54"/>
  <c r="BN15" i="54"/>
  <c r="BH15" i="54"/>
  <c r="DM15" i="54"/>
  <c r="DE15" i="54"/>
  <c r="I15" i="54"/>
  <c r="BA15" i="54"/>
  <c r="BG15" i="54"/>
  <c r="CT15" i="54"/>
  <c r="F15" i="54"/>
  <c r="CN15" i="54"/>
  <c r="CM15" i="54"/>
  <c r="CI15" i="54"/>
  <c r="AG15" i="54"/>
  <c r="AZ15" i="54"/>
  <c r="BO15" i="54"/>
  <c r="Z15" i="54"/>
  <c r="BK15" i="54"/>
  <c r="BQ15" i="54"/>
  <c r="DJ15" i="54"/>
  <c r="DG15" i="54"/>
  <c r="EE15" i="54"/>
  <c r="DD15" i="54"/>
  <c r="AK15" i="54"/>
  <c r="DS15" i="54"/>
  <c r="AC15" i="54"/>
  <c r="BV15" i="54"/>
  <c r="AX15" i="54"/>
  <c r="BS15" i="54"/>
  <c r="V15" i="54"/>
  <c r="BL15" i="54"/>
  <c r="CB15" i="54"/>
  <c r="P15" i="54"/>
  <c r="BJ15" i="54"/>
  <c r="DX15" i="54"/>
  <c r="EB15" i="54"/>
  <c r="DV15" i="54"/>
  <c r="AL15" i="54"/>
  <c r="DL15" i="54"/>
  <c r="DT15" i="54"/>
  <c r="DB15" i="54"/>
  <c r="CO15" i="54"/>
  <c r="CA15" i="54"/>
  <c r="CX15" i="54"/>
  <c r="AM15" i="54"/>
  <c r="Y15" i="54"/>
  <c r="AF15" i="54"/>
  <c r="CQ15" i="54"/>
  <c r="AV15" i="54"/>
  <c r="DI15" i="54"/>
  <c r="CK15" i="54"/>
  <c r="CS15" i="54"/>
  <c r="BY15" i="54"/>
  <c r="AT15" i="54"/>
  <c r="CL15" i="54"/>
  <c r="AY15" i="54"/>
  <c r="CE15" i="54"/>
  <c r="BZ15" i="54"/>
  <c r="R15" i="54"/>
  <c r="CD15" i="54"/>
  <c r="AO15" i="54"/>
  <c r="J15" i="54"/>
  <c r="CP15" i="54"/>
  <c r="CC15" i="54"/>
  <c r="BT15" i="54"/>
  <c r="BC15" i="54"/>
  <c r="CU15" i="54"/>
  <c r="BU15" i="54"/>
  <c r="BB15" i="54"/>
  <c r="AI15" i="54"/>
  <c r="X15" i="54"/>
  <c r="DA15" i="54"/>
  <c r="DN15" i="54"/>
  <c r="BD15" i="54"/>
  <c r="AB15" i="54"/>
  <c r="EC15" i="54"/>
  <c r="DZ15" i="54"/>
  <c r="N15" i="54"/>
  <c r="AH15" i="54"/>
  <c r="AA15" i="54"/>
  <c r="DW15" i="54"/>
  <c r="AU15" i="54"/>
  <c r="AE15" i="54"/>
  <c r="AR15" i="54"/>
  <c r="DC15" i="54"/>
  <c r="EF15" i="54"/>
  <c r="DQ15" i="54"/>
  <c r="M15" i="54"/>
  <c r="CZ15" i="54"/>
  <c r="EH15" i="54"/>
  <c r="AN15" i="54"/>
  <c r="T15" i="54"/>
  <c r="ED15" i="54"/>
  <c r="DK15" i="54"/>
  <c r="W15" i="54"/>
  <c r="AS15" i="54"/>
  <c r="DU15" i="54"/>
  <c r="C16" i="54"/>
  <c r="AB27" i="54"/>
  <c r="CD27" i="54"/>
  <c r="BX27" i="54"/>
  <c r="BT27" i="54"/>
  <c r="CK27" i="54"/>
  <c r="BS27" i="54"/>
  <c r="CT27" i="54"/>
  <c r="DU27" i="54"/>
  <c r="CQ27" i="54"/>
  <c r="BW27" i="54"/>
  <c r="CZ27" i="54"/>
  <c r="AX27" i="54"/>
  <c r="DA27" i="54"/>
  <c r="DY27" i="54"/>
  <c r="DX27" i="54"/>
  <c r="CP27" i="54"/>
  <c r="DK27" i="54"/>
  <c r="W27" i="54"/>
  <c r="AN27" i="54"/>
  <c r="AL27" i="54"/>
  <c r="Y27" i="54"/>
  <c r="BG27" i="54"/>
  <c r="DC27" i="54"/>
  <c r="G27" i="54"/>
  <c r="M27" i="54"/>
  <c r="DJ27" i="54"/>
  <c r="AS27" i="54"/>
  <c r="BY27" i="54"/>
  <c r="CO27" i="54"/>
  <c r="BP27" i="54"/>
  <c r="O27" i="54"/>
  <c r="CA27" i="54"/>
  <c r="BH27" i="54"/>
  <c r="AY27" i="54"/>
  <c r="ED27" i="54"/>
  <c r="DS27" i="54"/>
  <c r="EH27" i="54"/>
  <c r="CE27" i="54"/>
  <c r="V27" i="54"/>
  <c r="AT27" i="54"/>
  <c r="L27" i="54"/>
  <c r="AM27" i="54"/>
  <c r="AO27" i="54"/>
  <c r="EB27" i="54"/>
  <c r="BK27" i="54"/>
  <c r="DQ27" i="54"/>
  <c r="CG27" i="54"/>
  <c r="BB27" i="54"/>
  <c r="CF27" i="54"/>
  <c r="BU27" i="54"/>
  <c r="T27" i="54"/>
  <c r="DW27" i="54"/>
  <c r="DD27" i="54"/>
  <c r="BI27" i="54"/>
  <c r="DL27" i="54"/>
  <c r="AI27" i="54"/>
  <c r="CR27" i="54"/>
  <c r="AD27" i="54"/>
  <c r="AP27" i="54"/>
  <c r="AG27" i="54"/>
  <c r="CL27" i="54"/>
  <c r="EF27" i="54"/>
  <c r="DO27" i="54"/>
  <c r="DT27" i="54"/>
  <c r="DH27" i="54"/>
  <c r="AC27" i="54"/>
  <c r="I27" i="54"/>
  <c r="BZ27" i="54"/>
  <c r="AV27" i="54"/>
  <c r="N27" i="54"/>
  <c r="CU27" i="54"/>
  <c r="CC27" i="54"/>
  <c r="BL27" i="54"/>
  <c r="P27" i="54"/>
  <c r="BR27" i="54"/>
  <c r="H27" i="54"/>
  <c r="AE27" i="54"/>
  <c r="DE27" i="54"/>
  <c r="EC27" i="54"/>
  <c r="EG27" i="54"/>
  <c r="BM27" i="54"/>
  <c r="CS27" i="54"/>
  <c r="CX27" i="54"/>
  <c r="DN27" i="54"/>
  <c r="AR27" i="54"/>
  <c r="AJ27" i="54"/>
  <c r="CW27" i="54"/>
  <c r="DV27" i="54"/>
  <c r="DB27" i="54"/>
  <c r="CI27" i="54"/>
  <c r="EA27" i="54"/>
  <c r="BJ27" i="54"/>
  <c r="J27" i="54"/>
  <c r="EE27" i="54"/>
  <c r="DI27" i="54"/>
  <c r="CB27" i="54"/>
  <c r="BA27" i="54"/>
  <c r="Z27" i="54"/>
  <c r="AA27" i="54"/>
  <c r="CV27" i="54"/>
  <c r="AW27" i="54"/>
  <c r="AF27" i="54"/>
  <c r="CH27" i="54"/>
  <c r="DG27" i="54"/>
  <c r="DF27" i="54"/>
  <c r="U27" i="54"/>
  <c r="BN27" i="54"/>
  <c r="X27" i="54"/>
  <c r="AH27" i="54"/>
  <c r="Q27" i="54"/>
  <c r="DR27" i="54"/>
  <c r="DP27" i="54"/>
  <c r="BQ27" i="54"/>
  <c r="CJ27" i="54"/>
  <c r="CY27" i="54"/>
  <c r="S27" i="54"/>
  <c r="AK27" i="54"/>
  <c r="DZ27" i="54"/>
  <c r="AZ27" i="54"/>
  <c r="CM27" i="54"/>
  <c r="R27" i="54"/>
  <c r="F27" i="54"/>
  <c r="DM27" i="54"/>
  <c r="BV27" i="54"/>
  <c r="AQ27" i="54"/>
  <c r="BD27" i="54"/>
  <c r="BE27" i="54"/>
  <c r="BC27" i="54"/>
  <c r="K27" i="54"/>
  <c r="BF27" i="54"/>
  <c r="CN27" i="54"/>
  <c r="BO27" i="54"/>
  <c r="AU27" i="54"/>
  <c r="BM29" i="54"/>
  <c r="DU29" i="54"/>
  <c r="DI29" i="54"/>
  <c r="CE29" i="54"/>
  <c r="Y29" i="54"/>
  <c r="DD29" i="54"/>
  <c r="EG29" i="54"/>
  <c r="AQ29" i="54"/>
  <c r="CV29" i="54"/>
  <c r="DV29" i="54"/>
  <c r="BT29" i="54"/>
  <c r="CJ29" i="54"/>
  <c r="CR29" i="54"/>
  <c r="DM29" i="54"/>
  <c r="CF29" i="54"/>
  <c r="AE29" i="54"/>
  <c r="T29" i="54"/>
  <c r="Z29" i="54"/>
  <c r="DE29" i="54"/>
  <c r="AW29" i="54"/>
  <c r="I29" i="54"/>
  <c r="DP29" i="54"/>
  <c r="K29" i="54"/>
  <c r="CC29" i="54"/>
  <c r="CY29" i="54"/>
  <c r="EA29" i="54"/>
  <c r="EF29" i="54"/>
  <c r="CG29" i="54"/>
  <c r="BG29" i="54"/>
  <c r="CX29" i="54"/>
  <c r="BS29" i="54"/>
  <c r="AZ29" i="54"/>
  <c r="AL29" i="54"/>
  <c r="BN29" i="54"/>
  <c r="DJ29" i="54"/>
  <c r="DW29" i="54"/>
  <c r="L29" i="54"/>
  <c r="DQ29" i="54"/>
  <c r="AK29" i="54"/>
  <c r="P29" i="54"/>
  <c r="U29" i="54"/>
  <c r="CO29" i="54"/>
  <c r="DF29" i="54"/>
  <c r="DN29" i="54"/>
  <c r="BU29" i="54"/>
  <c r="DH29" i="54"/>
  <c r="DY29" i="54"/>
  <c r="M29" i="54"/>
  <c r="CW29" i="54"/>
  <c r="DX29" i="54"/>
  <c r="BX29" i="54"/>
  <c r="AS29" i="54"/>
  <c r="AD29" i="54"/>
  <c r="AX29" i="54"/>
  <c r="CH29" i="54"/>
  <c r="CZ29" i="54"/>
  <c r="BO29" i="54"/>
  <c r="BY29" i="54"/>
  <c r="CK29" i="54"/>
  <c r="G29" i="54"/>
  <c r="DC29" i="54"/>
  <c r="F29" i="54"/>
  <c r="EE29" i="54"/>
  <c r="ED29" i="54"/>
  <c r="BD29" i="54"/>
  <c r="CQ29" i="54"/>
  <c r="CP29" i="54"/>
  <c r="BC29" i="54"/>
  <c r="DA29" i="54"/>
  <c r="DB29" i="54"/>
  <c r="BP29" i="54"/>
  <c r="S29" i="54"/>
  <c r="V29" i="54"/>
  <c r="Q29" i="54"/>
  <c r="AP29" i="54"/>
  <c r="N29" i="54"/>
  <c r="DS29" i="54"/>
  <c r="CS29" i="54"/>
  <c r="BF29" i="54"/>
  <c r="CU29" i="54"/>
  <c r="AI29" i="54"/>
  <c r="BQ29" i="54"/>
  <c r="AF29" i="54"/>
  <c r="DG29" i="54"/>
  <c r="EC29" i="54"/>
  <c r="DZ29" i="54"/>
  <c r="EH29" i="54"/>
  <c r="AM29" i="54"/>
  <c r="BW29" i="54"/>
  <c r="CL29" i="54"/>
  <c r="H29" i="54"/>
  <c r="DR29" i="54"/>
  <c r="BV29" i="54"/>
  <c r="R29" i="54"/>
  <c r="AJ29" i="54"/>
  <c r="BJ29" i="54"/>
  <c r="CI29" i="54"/>
  <c r="BL29" i="54"/>
  <c r="AO29" i="54"/>
  <c r="EB29" i="54"/>
  <c r="AT29" i="54"/>
  <c r="AN29" i="54"/>
  <c r="AG29" i="54"/>
  <c r="AA29" i="54"/>
  <c r="O29" i="54"/>
  <c r="AH29" i="54"/>
  <c r="BZ29" i="54"/>
  <c r="BH29" i="54"/>
  <c r="AR29" i="54"/>
  <c r="BR29" i="54"/>
  <c r="CB29" i="54"/>
  <c r="CT29" i="54"/>
  <c r="AU29" i="54"/>
  <c r="BE29" i="54"/>
  <c r="AB29" i="54"/>
  <c r="DK29" i="54"/>
  <c r="DT29" i="54"/>
  <c r="CM29" i="54"/>
  <c r="AY29" i="54"/>
  <c r="J29" i="54"/>
  <c r="AV29" i="54"/>
  <c r="BI29" i="54"/>
  <c r="X29" i="54"/>
  <c r="CA29" i="54"/>
  <c r="W29" i="54"/>
  <c r="DO29" i="54"/>
  <c r="BK29" i="54"/>
  <c r="CN29" i="54"/>
  <c r="AC29" i="54"/>
  <c r="BA29" i="54"/>
  <c r="DL29" i="54"/>
  <c r="CD29" i="54"/>
  <c r="BB29" i="54"/>
  <c r="U15" i="54"/>
  <c r="CR15" i="54"/>
  <c r="CY15" i="54"/>
  <c r="L15" i="54"/>
  <c r="AD15" i="54"/>
  <c r="AJ15" i="54"/>
  <c r="BE15" i="54"/>
  <c r="CF15" i="54"/>
  <c r="AW15" i="54"/>
  <c r="CG15" i="54"/>
  <c r="BP15" i="54"/>
  <c r="EA15" i="54"/>
  <c r="DH15" i="54"/>
  <c r="DR15" i="54"/>
  <c r="DP15" i="54"/>
  <c r="S15" i="54"/>
  <c r="BW15" i="54"/>
  <c r="H15" i="54"/>
  <c r="G15" i="54"/>
  <c r="S15" i="46"/>
  <c r="DF15" i="46"/>
  <c r="BC15" i="46"/>
  <c r="AZ15" i="46"/>
  <c r="BG15" i="46"/>
  <c r="CT15" i="46"/>
  <c r="DL15" i="46"/>
  <c r="CH15" i="46"/>
  <c r="CA15" i="46"/>
  <c r="BI15" i="46"/>
  <c r="DO15" i="46"/>
  <c r="DE15" i="46"/>
  <c r="DQ15" i="46"/>
  <c r="Y15" i="46"/>
  <c r="BU15" i="46"/>
  <c r="DC15" i="46"/>
  <c r="Q15" i="46"/>
  <c r="AI15" i="46"/>
  <c r="X15" i="46"/>
  <c r="T15" i="46"/>
  <c r="CX15" i="46"/>
  <c r="L15" i="46"/>
  <c r="CM15" i="46"/>
  <c r="CE15" i="46"/>
  <c r="Z15" i="46"/>
  <c r="AU15" i="46"/>
  <c r="CZ15" i="46"/>
  <c r="J15" i="46"/>
  <c r="AF15" i="46"/>
  <c r="BE15" i="46"/>
  <c r="DP15" i="46"/>
  <c r="BA15" i="46"/>
  <c r="CW15" i="46"/>
  <c r="DK15" i="46"/>
  <c r="AO15" i="46"/>
  <c r="AS15" i="46"/>
  <c r="AY15" i="46"/>
  <c r="U15" i="46"/>
  <c r="DJ15" i="46"/>
  <c r="AW15" i="46"/>
  <c r="DH15" i="46"/>
  <c r="AB15" i="46"/>
  <c r="BH15" i="46"/>
  <c r="AR15" i="46"/>
  <c r="CF15" i="46"/>
  <c r="G15" i="46"/>
  <c r="W15" i="46"/>
  <c r="DM15" i="46"/>
  <c r="AQ15" i="46"/>
  <c r="AP15" i="46"/>
  <c r="I15" i="46"/>
  <c r="DI15" i="46"/>
  <c r="DD15" i="46"/>
  <c r="BJ15" i="46"/>
  <c r="BQ15" i="46"/>
  <c r="AN15" i="46"/>
  <c r="DB15" i="46"/>
  <c r="CB15" i="46"/>
  <c r="BW15" i="46"/>
  <c r="N15" i="46"/>
  <c r="CK15" i="46"/>
  <c r="BN15" i="46"/>
  <c r="BX15" i="46"/>
  <c r="O15" i="46"/>
  <c r="AA15" i="46"/>
  <c r="CY15" i="46"/>
  <c r="P15" i="46"/>
  <c r="BP15" i="46"/>
  <c r="AH15" i="46"/>
  <c r="DN15" i="46"/>
  <c r="BK15" i="46"/>
  <c r="AM15" i="46"/>
  <c r="AJ15" i="46"/>
  <c r="CR15" i="46"/>
  <c r="DG15" i="46"/>
  <c r="CV15" i="46"/>
  <c r="AL15" i="46"/>
  <c r="AV15" i="46"/>
  <c r="DT15" i="46"/>
  <c r="BL15" i="46"/>
  <c r="CN15" i="46"/>
  <c r="BY15" i="46"/>
  <c r="CU15" i="46"/>
  <c r="AC15" i="46"/>
  <c r="BZ15" i="46"/>
  <c r="BB15" i="46"/>
  <c r="BS15" i="46"/>
  <c r="BD15" i="46"/>
  <c r="CP15" i="46"/>
  <c r="DS15" i="46"/>
  <c r="AE15" i="46"/>
  <c r="CQ15" i="46"/>
  <c r="K15" i="46"/>
  <c r="AD15" i="46"/>
  <c r="M15" i="46"/>
  <c r="CS15" i="46"/>
  <c r="H15" i="46"/>
  <c r="BV15" i="46"/>
  <c r="CG15" i="46"/>
  <c r="BO15" i="46"/>
  <c r="BR15" i="46"/>
  <c r="CO15" i="46"/>
  <c r="R15" i="46"/>
  <c r="CC15" i="46"/>
  <c r="CD15" i="46"/>
  <c r="C16" i="46"/>
  <c r="CF27" i="46"/>
  <c r="CY27" i="46"/>
  <c r="DT27" i="46"/>
  <c r="DN27" i="46"/>
  <c r="BA27" i="46"/>
  <c r="DF27" i="46"/>
  <c r="AD27" i="46"/>
  <c r="DR27" i="46"/>
  <c r="BS27" i="46"/>
  <c r="DB27" i="46"/>
  <c r="BB27" i="46"/>
  <c r="CD27" i="46"/>
  <c r="BH27" i="46"/>
  <c r="CL27" i="46"/>
  <c r="CG27" i="46"/>
  <c r="CJ27" i="46"/>
  <c r="X27" i="46"/>
  <c r="BM27" i="46"/>
  <c r="DI27" i="46"/>
  <c r="DO27" i="46"/>
  <c r="CS27" i="46"/>
  <c r="BD27" i="46"/>
  <c r="CU27" i="46"/>
  <c r="BX27" i="46"/>
  <c r="BW27" i="46"/>
  <c r="BL27" i="46"/>
  <c r="CA27" i="46"/>
  <c r="BF27" i="46"/>
  <c r="P27" i="46"/>
  <c r="CP27" i="46"/>
  <c r="BO27" i="46"/>
  <c r="AI27" i="46"/>
  <c r="AG27" i="46"/>
  <c r="M27" i="46"/>
  <c r="BN27" i="46"/>
  <c r="CZ27" i="46"/>
  <c r="AV27" i="46"/>
  <c r="BG27" i="46"/>
  <c r="G27" i="46"/>
  <c r="W27" i="46"/>
  <c r="AH27" i="46"/>
  <c r="Y27" i="46"/>
  <c r="CE27" i="46"/>
  <c r="AQ27" i="46"/>
  <c r="V27" i="46"/>
  <c r="BJ27" i="46"/>
  <c r="CB27" i="46"/>
  <c r="CC27" i="46"/>
  <c r="BR27" i="46"/>
  <c r="DG27" i="46"/>
  <c r="AU27" i="46"/>
  <c r="AN27" i="46"/>
  <c r="U27" i="46"/>
  <c r="BC27" i="46"/>
  <c r="AL27" i="46"/>
  <c r="Q27" i="46"/>
  <c r="AE27" i="46"/>
  <c r="AX27" i="46"/>
  <c r="H27" i="46"/>
  <c r="CM27" i="46"/>
  <c r="DP27" i="46"/>
  <c r="F27" i="46"/>
  <c r="BV27" i="46"/>
  <c r="BK27" i="46"/>
  <c r="AB27" i="46"/>
  <c r="AW27" i="46"/>
  <c r="DJ27" i="46"/>
  <c r="CI27" i="46"/>
  <c r="AJ27" i="46"/>
  <c r="AP27" i="46"/>
  <c r="BU27" i="46"/>
  <c r="DE27" i="46"/>
  <c r="AZ27" i="46"/>
  <c r="CX27" i="46"/>
  <c r="O27" i="46"/>
  <c r="CT27" i="46"/>
  <c r="AC27" i="46"/>
  <c r="AA27" i="46"/>
  <c r="I27" i="46"/>
  <c r="S27" i="46"/>
  <c r="CH27" i="46"/>
  <c r="DH27" i="46"/>
  <c r="AO27" i="46"/>
  <c r="AY27" i="46"/>
  <c r="BP27" i="46"/>
  <c r="AF27" i="46"/>
  <c r="R27" i="46"/>
  <c r="BI27" i="46"/>
  <c r="CO27" i="46"/>
  <c r="AR27" i="46"/>
  <c r="CW27" i="46"/>
  <c r="CV27" i="46"/>
  <c r="L27" i="46"/>
  <c r="CK27" i="46"/>
  <c r="DC27" i="46"/>
  <c r="DL27" i="46"/>
  <c r="DM27" i="46"/>
  <c r="Z27" i="46"/>
  <c r="DQ27" i="46"/>
  <c r="DD27" i="46"/>
  <c r="CQ27" i="46"/>
  <c r="J27" i="46"/>
  <c r="BZ27" i="46"/>
  <c r="BT27" i="46"/>
  <c r="N27" i="46"/>
  <c r="DS27" i="46"/>
  <c r="DA27" i="46"/>
  <c r="AS27" i="46"/>
  <c r="AM27" i="46"/>
  <c r="T27" i="46"/>
  <c r="AK27" i="46"/>
  <c r="CN27" i="46"/>
  <c r="K27" i="46"/>
  <c r="BQ27" i="46"/>
  <c r="BE27" i="46"/>
  <c r="AT27" i="46"/>
  <c r="DK27" i="46"/>
  <c r="CR27" i="46"/>
  <c r="BY27" i="46"/>
  <c r="O29" i="46"/>
  <c r="CB29" i="46"/>
  <c r="DJ29" i="46"/>
  <c r="AM29" i="46"/>
  <c r="CS29" i="46"/>
  <c r="AQ29" i="46"/>
  <c r="DF29" i="46"/>
  <c r="CL29" i="46"/>
  <c r="Y29" i="46"/>
  <c r="BH29" i="46"/>
  <c r="BQ29" i="46"/>
  <c r="BY29" i="46"/>
  <c r="DL29" i="46"/>
  <c r="G29" i="46"/>
  <c r="AT29" i="46"/>
  <c r="DQ29" i="46"/>
  <c r="CQ29" i="46"/>
  <c r="AW29" i="46"/>
  <c r="BP29" i="46"/>
  <c r="I29" i="46"/>
  <c r="CH29" i="46"/>
  <c r="CJ29" i="46"/>
  <c r="AO29" i="46"/>
  <c r="AP29" i="46"/>
  <c r="AS29" i="46"/>
  <c r="CA29" i="46"/>
  <c r="DR29" i="46"/>
  <c r="CZ29" i="46"/>
  <c r="AH29" i="46"/>
  <c r="Q29" i="46"/>
  <c r="BS29" i="46"/>
  <c r="BM29" i="46"/>
  <c r="DT29" i="46"/>
  <c r="BF29" i="46"/>
  <c r="DO29" i="46"/>
  <c r="CE29" i="46"/>
  <c r="CR29" i="46"/>
  <c r="CF29" i="46"/>
  <c r="DM29" i="46"/>
  <c r="CO29" i="46"/>
  <c r="DC29" i="46"/>
  <c r="AX29" i="46"/>
  <c r="DP29" i="46"/>
  <c r="L29" i="46"/>
  <c r="BT29" i="46"/>
  <c r="CN29" i="46"/>
  <c r="AK29" i="46"/>
  <c r="R29" i="46"/>
  <c r="AC29" i="46"/>
  <c r="BG29" i="46"/>
  <c r="V29" i="46"/>
  <c r="AF29" i="46"/>
  <c r="BO29" i="46"/>
  <c r="CY29" i="46"/>
  <c r="DE29" i="46"/>
  <c r="H29" i="46"/>
  <c r="CG29" i="46"/>
  <c r="BD29" i="46"/>
  <c r="DB29" i="46"/>
  <c r="DI29" i="46"/>
  <c r="BZ29" i="46"/>
  <c r="BN29" i="46"/>
  <c r="CD29" i="46"/>
  <c r="N29" i="46"/>
  <c r="BJ29" i="46"/>
  <c r="DH29" i="46"/>
  <c r="CC29" i="46"/>
  <c r="CI29" i="46"/>
  <c r="X29" i="46"/>
  <c r="M29" i="46"/>
  <c r="DD29" i="46"/>
  <c r="BB29" i="46"/>
  <c r="BE29" i="46"/>
  <c r="CK29" i="46"/>
  <c r="U29" i="46"/>
  <c r="AA29" i="46"/>
  <c r="DK29" i="46"/>
  <c r="F29" i="46"/>
  <c r="BR29" i="46"/>
  <c r="AU29" i="46"/>
  <c r="CM29" i="46"/>
  <c r="BK29" i="46"/>
  <c r="DA29" i="46"/>
  <c r="BI29" i="46"/>
  <c r="T29" i="46"/>
  <c r="AY29" i="46"/>
  <c r="CV29" i="46"/>
  <c r="BW29" i="46"/>
  <c r="AN29" i="46"/>
  <c r="AZ29" i="46"/>
  <c r="BX29" i="46"/>
  <c r="DS29" i="46"/>
  <c r="AB29" i="46"/>
  <c r="DN29" i="46"/>
  <c r="BA29" i="46"/>
  <c r="AG29" i="46"/>
  <c r="AV29" i="46"/>
  <c r="P29" i="46"/>
  <c r="BV29" i="46"/>
  <c r="K29" i="46"/>
  <c r="AL29" i="46"/>
  <c r="AI29" i="46"/>
  <c r="CP29" i="46"/>
  <c r="CT29" i="46"/>
  <c r="AR29" i="46"/>
  <c r="CX29" i="46"/>
  <c r="BC29" i="46"/>
  <c r="BL29" i="46"/>
  <c r="Z29" i="46"/>
  <c r="BU29" i="46"/>
  <c r="AE29" i="46"/>
  <c r="S29" i="46"/>
  <c r="DG29" i="46"/>
  <c r="W29" i="46"/>
  <c r="AJ29" i="46"/>
  <c r="CU29" i="46"/>
  <c r="AD29" i="46"/>
  <c r="CW29" i="46"/>
  <c r="J29" i="46"/>
  <c r="AK15" i="46"/>
  <c r="CL15" i="46"/>
  <c r="AX15" i="46"/>
  <c r="BF15" i="46"/>
  <c r="BM15" i="46"/>
  <c r="DR15" i="46"/>
  <c r="AG15" i="46"/>
  <c r="CI15" i="46"/>
  <c r="AT15" i="46"/>
  <c r="F15" i="46"/>
  <c r="CJ15" i="46"/>
  <c r="DA15" i="46"/>
  <c r="BT15" i="46"/>
  <c r="V16" i="56" l="1"/>
  <c r="BL16" i="56"/>
  <c r="EQ16" i="56"/>
  <c r="BP16" i="56"/>
  <c r="EM16" i="56"/>
  <c r="FB16" i="56"/>
  <c r="AI16" i="56"/>
  <c r="DV16" i="56"/>
  <c r="BH16" i="56"/>
  <c r="CJ16" i="56"/>
  <c r="CS16" i="56"/>
  <c r="CM16" i="56"/>
  <c r="BZ16" i="56"/>
  <c r="CD16" i="56"/>
  <c r="CL16" i="56"/>
  <c r="DM16" i="56"/>
  <c r="BW16" i="56"/>
  <c r="P16" i="56"/>
  <c r="CH16" i="56"/>
  <c r="CG16" i="56"/>
  <c r="N16" i="56"/>
  <c r="S16" i="56"/>
  <c r="L16" i="56"/>
  <c r="DC16" i="56"/>
  <c r="Q16" i="56"/>
  <c r="DF16" i="56"/>
  <c r="T16" i="56"/>
  <c r="O16" i="56"/>
  <c r="AO16" i="56"/>
  <c r="CU16" i="56"/>
  <c r="AW16" i="56"/>
  <c r="DG16" i="56"/>
  <c r="CA16" i="56"/>
  <c r="EB16" i="56"/>
  <c r="Z16" i="56"/>
  <c r="EJ16" i="56"/>
  <c r="ES16" i="56"/>
  <c r="F16" i="56"/>
  <c r="BD16" i="56"/>
  <c r="CQ16" i="56"/>
  <c r="AU16" i="56"/>
  <c r="BK16" i="56"/>
  <c r="EH16" i="56"/>
  <c r="R16" i="56"/>
  <c r="CB16" i="56"/>
  <c r="U16" i="56"/>
  <c r="AN16" i="56"/>
  <c r="CT16" i="56"/>
  <c r="AY16" i="56"/>
  <c r="BS16" i="56"/>
  <c r="DD16" i="56"/>
  <c r="CY16" i="56"/>
  <c r="AK16" i="56"/>
  <c r="DR16" i="56"/>
  <c r="FC16" i="56"/>
  <c r="CF16" i="56"/>
  <c r="BN16" i="56"/>
  <c r="DT16" i="56"/>
  <c r="AR16" i="56"/>
  <c r="CV16" i="56"/>
  <c r="BY16" i="56"/>
  <c r="ET16" i="56"/>
  <c r="BI16" i="56"/>
  <c r="BJ16" i="56"/>
  <c r="AZ16" i="56"/>
  <c r="EA16" i="56"/>
  <c r="G16" i="56"/>
  <c r="BC16" i="56"/>
  <c r="DS16" i="56"/>
  <c r="BF16" i="56"/>
  <c r="AQ16" i="56"/>
  <c r="BR16" i="56"/>
  <c r="DY16" i="56"/>
  <c r="AA16" i="56"/>
  <c r="DP16" i="56"/>
  <c r="EP16" i="56"/>
  <c r="BB16" i="56"/>
  <c r="DH16" i="56"/>
  <c r="EX16" i="56"/>
  <c r="AP16" i="56"/>
  <c r="AX16" i="56"/>
  <c r="BT16" i="56"/>
  <c r="DA16" i="56"/>
  <c r="CK16" i="56"/>
  <c r="EK16" i="56"/>
  <c r="X16" i="56"/>
  <c r="CN16" i="56"/>
  <c r="DQ16" i="56"/>
  <c r="BA16" i="56"/>
  <c r="DZ16" i="56"/>
  <c r="AV16" i="56"/>
  <c r="AS16" i="56"/>
  <c r="M16" i="56"/>
  <c r="BE16" i="56"/>
  <c r="ER16" i="56"/>
  <c r="K16" i="56"/>
  <c r="I16" i="56"/>
  <c r="EE16" i="56"/>
  <c r="BG16" i="56"/>
  <c r="AE16" i="56"/>
  <c r="EY16" i="56"/>
  <c r="AG16" i="56"/>
  <c r="CI16" i="56"/>
  <c r="AM16" i="56"/>
  <c r="W16" i="56"/>
  <c r="CC16" i="56"/>
  <c r="BU16" i="56"/>
  <c r="DL16" i="56"/>
  <c r="BX16" i="56"/>
  <c r="CO16" i="56"/>
  <c r="AL16" i="56"/>
  <c r="AH16" i="56"/>
  <c r="DW16" i="56"/>
  <c r="CE16" i="56"/>
  <c r="EV16" i="56"/>
  <c r="CX16" i="56"/>
  <c r="BO16" i="56"/>
  <c r="EC16" i="56"/>
  <c r="DN16" i="56"/>
  <c r="EI16" i="56"/>
  <c r="AT16" i="56"/>
  <c r="AJ16" i="56"/>
  <c r="BM16" i="56"/>
  <c r="H16" i="56"/>
  <c r="CP16" i="56"/>
  <c r="EU16" i="56"/>
  <c r="EG16" i="56"/>
  <c r="BQ16" i="56"/>
  <c r="CZ16" i="56"/>
  <c r="AF16" i="56"/>
  <c r="EW16" i="56"/>
  <c r="FA16" i="56"/>
  <c r="DX16" i="56"/>
  <c r="BV16" i="56"/>
  <c r="AD16" i="56"/>
  <c r="EF16" i="56"/>
  <c r="ED16" i="56"/>
  <c r="EN16" i="56"/>
  <c r="DK16" i="56"/>
  <c r="CR16" i="56"/>
  <c r="DU16" i="56"/>
  <c r="DJ16" i="56"/>
  <c r="EO16" i="56"/>
  <c r="AB16" i="56"/>
  <c r="DB16" i="56"/>
  <c r="DO16" i="56"/>
  <c r="EL16" i="56"/>
  <c r="CW16" i="56"/>
  <c r="Y16" i="56"/>
  <c r="AC16" i="56"/>
  <c r="DE16" i="56"/>
  <c r="EZ16" i="56"/>
  <c r="DI16" i="56"/>
  <c r="J16" i="56"/>
  <c r="E17" i="56"/>
  <c r="EW17" i="56" s="1"/>
  <c r="E16" i="54"/>
  <c r="C17" i="54" s="1"/>
  <c r="E16" i="46"/>
  <c r="C17" i="46" s="1"/>
  <c r="AH17" i="56" l="1"/>
  <c r="R17" i="56"/>
  <c r="DJ17" i="56"/>
  <c r="AG17" i="56"/>
  <c r="BQ17" i="56"/>
  <c r="DE17" i="56"/>
  <c r="AK17" i="56"/>
  <c r="BV17" i="56"/>
  <c r="DG17" i="56"/>
  <c r="EP17" i="56"/>
  <c r="BG17" i="56"/>
  <c r="CY17" i="56"/>
  <c r="BA17" i="56"/>
  <c r="AO17" i="56"/>
  <c r="DK17" i="56"/>
  <c r="AT17" i="56"/>
  <c r="BW17" i="56"/>
  <c r="DN17" i="56"/>
  <c r="CF17" i="56"/>
  <c r="EJ17" i="56"/>
  <c r="DV17" i="56"/>
  <c r="G17" i="56"/>
  <c r="DB17" i="56"/>
  <c r="S17" i="56"/>
  <c r="DM17" i="56"/>
  <c r="BZ17" i="56"/>
  <c r="AN17" i="56"/>
  <c r="CI17" i="56"/>
  <c r="BD17" i="56"/>
  <c r="CJ17" i="56"/>
  <c r="EZ17" i="56"/>
  <c r="DL17" i="56"/>
  <c r="BR17" i="56"/>
  <c r="CD17" i="56"/>
  <c r="EC17" i="56"/>
  <c r="BO17" i="56"/>
  <c r="X17" i="56"/>
  <c r="DA17" i="56"/>
  <c r="AM17" i="56"/>
  <c r="V17" i="56"/>
  <c r="EA17" i="56"/>
  <c r="BK17" i="56"/>
  <c r="CX17" i="56"/>
  <c r="BC17" i="56"/>
  <c r="AV17" i="56"/>
  <c r="CO17" i="56"/>
  <c r="CZ17" i="56"/>
  <c r="F17" i="56"/>
  <c r="CH17" i="56"/>
  <c r="CW17" i="56"/>
  <c r="H17" i="56"/>
  <c r="Y17" i="56"/>
  <c r="EB17" i="56"/>
  <c r="T17" i="56"/>
  <c r="BF17" i="56"/>
  <c r="U17" i="56"/>
  <c r="AR17" i="56"/>
  <c r="AD17" i="56"/>
  <c r="ED17" i="56"/>
  <c r="CM17" i="56"/>
  <c r="AC17" i="56"/>
  <c r="J17" i="56"/>
  <c r="DH17" i="56"/>
  <c r="BU17" i="56"/>
  <c r="BI17" i="56"/>
  <c r="AA17" i="56"/>
  <c r="CK17" i="56"/>
  <c r="DP17" i="56"/>
  <c r="AF17" i="56"/>
  <c r="DD17" i="56"/>
  <c r="DQ17" i="56"/>
  <c r="AS17" i="56"/>
  <c r="Z17" i="56"/>
  <c r="BE17" i="56"/>
  <c r="EK17" i="56"/>
  <c r="AJ17" i="56"/>
  <c r="CP17" i="56"/>
  <c r="N17" i="56"/>
  <c r="CR17" i="56"/>
  <c r="FA17" i="56"/>
  <c r="L17" i="56"/>
  <c r="DX17" i="56"/>
  <c r="BN17" i="56"/>
  <c r="O17" i="56"/>
  <c r="CG17" i="56"/>
  <c r="AB17" i="56"/>
  <c r="ET17" i="56"/>
  <c r="BX17" i="56"/>
  <c r="K17" i="56"/>
  <c r="EQ17" i="56"/>
  <c r="DU17" i="56"/>
  <c r="CA17" i="56"/>
  <c r="CU17" i="56"/>
  <c r="CV17" i="56"/>
  <c r="BS17" i="56"/>
  <c r="BB17" i="56"/>
  <c r="Q17" i="56"/>
  <c r="BH17" i="56"/>
  <c r="CE17" i="56"/>
  <c r="AY17" i="56"/>
  <c r="DR17" i="56"/>
  <c r="BP17" i="56"/>
  <c r="EE17" i="56"/>
  <c r="AQ17" i="56"/>
  <c r="CQ17" i="56"/>
  <c r="CT17" i="56"/>
  <c r="DZ17" i="56"/>
  <c r="CS17" i="56"/>
  <c r="EI17" i="56"/>
  <c r="BT17" i="56"/>
  <c r="BM17" i="56"/>
  <c r="EL17" i="56"/>
  <c r="BL17" i="56"/>
  <c r="EM17" i="56"/>
  <c r="AX17" i="56"/>
  <c r="M17" i="56"/>
  <c r="DO17" i="56"/>
  <c r="W17" i="56"/>
  <c r="AP17" i="56"/>
  <c r="DI17" i="56"/>
  <c r="EY17" i="56"/>
  <c r="AI17" i="56"/>
  <c r="CN17" i="56"/>
  <c r="EF17" i="56"/>
  <c r="DY17" i="56"/>
  <c r="ER17" i="56"/>
  <c r="AU17" i="56"/>
  <c r="DF17" i="56"/>
  <c r="BY17" i="56"/>
  <c r="DW17" i="56"/>
  <c r="AL17" i="56"/>
  <c r="CB17" i="56"/>
  <c r="CC17" i="56"/>
  <c r="DC17" i="56"/>
  <c r="P17" i="56"/>
  <c r="AZ17" i="56"/>
  <c r="AW17" i="56"/>
  <c r="ES17" i="56"/>
  <c r="BJ17" i="56"/>
  <c r="I17" i="56"/>
  <c r="CL17" i="56"/>
  <c r="AE17" i="56"/>
  <c r="EX17" i="56"/>
  <c r="C18" i="56"/>
  <c r="C31" i="56"/>
  <c r="BL31" i="56"/>
  <c r="AZ31" i="56"/>
  <c r="EV31" i="56"/>
  <c r="AA31" i="56"/>
  <c r="BN31" i="56"/>
  <c r="EA31" i="56"/>
  <c r="AL31" i="56"/>
  <c r="CK31" i="56"/>
  <c r="CP31" i="56"/>
  <c r="CR31" i="56"/>
  <c r="AI31" i="56"/>
  <c r="DS31" i="56"/>
  <c r="CX31" i="56"/>
  <c r="H31" i="56"/>
  <c r="DD31" i="56"/>
  <c r="AV31" i="56"/>
  <c r="ER31" i="56"/>
  <c r="BT31" i="56"/>
  <c r="O31" i="56"/>
  <c r="DB31" i="56"/>
  <c r="DU31" i="56"/>
  <c r="EK31" i="56"/>
  <c r="CW31" i="56"/>
  <c r="BE31" i="56"/>
  <c r="EP31" i="56"/>
  <c r="EH31" i="56"/>
  <c r="DE31" i="56"/>
  <c r="EF31" i="56"/>
  <c r="BD31" i="56"/>
  <c r="FC31" i="56"/>
  <c r="CV31" i="56"/>
  <c r="K31" i="56"/>
  <c r="AK31" i="56"/>
  <c r="U31" i="56"/>
  <c r="DG31" i="56"/>
  <c r="EQ31" i="56"/>
  <c r="BY31" i="56"/>
  <c r="Y31" i="56"/>
  <c r="EE31" i="56"/>
  <c r="L31" i="56"/>
  <c r="DQ31" i="56"/>
  <c r="AO31" i="56"/>
  <c r="AF31" i="56"/>
  <c r="EZ31" i="56"/>
  <c r="CU31" i="56"/>
  <c r="CY31" i="56"/>
  <c r="DK31" i="56"/>
  <c r="AQ31" i="56"/>
  <c r="EI31" i="56"/>
  <c r="DT31" i="56"/>
  <c r="DV31" i="56"/>
  <c r="EB31" i="56"/>
  <c r="I31" i="56"/>
  <c r="V31" i="56"/>
  <c r="DP31" i="56"/>
  <c r="CF31" i="56"/>
  <c r="BZ31" i="56"/>
  <c r="EY31" i="56"/>
  <c r="CQ31" i="56"/>
  <c r="AG31" i="56"/>
  <c r="T31" i="56"/>
  <c r="N31" i="56"/>
  <c r="BG31" i="56"/>
  <c r="DN31" i="56"/>
  <c r="CC31" i="56"/>
  <c r="EL31" i="56"/>
  <c r="ED31" i="56"/>
  <c r="EX31" i="56"/>
  <c r="CZ31" i="56"/>
  <c r="DM31" i="56"/>
  <c r="AB31" i="56"/>
  <c r="EU31" i="56"/>
  <c r="AP31" i="56"/>
  <c r="BO31" i="56"/>
  <c r="BU31" i="56"/>
  <c r="R31" i="56"/>
  <c r="CD31" i="56"/>
  <c r="EW31" i="56"/>
  <c r="BH31" i="56"/>
  <c r="AS31" i="56"/>
  <c r="DC31" i="56"/>
  <c r="CE31" i="56"/>
  <c r="ES31" i="56"/>
  <c r="BS31" i="56"/>
  <c r="DF31" i="56"/>
  <c r="ET31" i="56"/>
  <c r="AN31" i="56"/>
  <c r="J31" i="56"/>
  <c r="BJ31" i="56"/>
  <c r="DO31" i="56"/>
  <c r="AU31" i="56"/>
  <c r="EN31" i="56"/>
  <c r="CT31" i="56"/>
  <c r="G31" i="56"/>
  <c r="BA31" i="56"/>
  <c r="CG31" i="56"/>
  <c r="BB31" i="56"/>
  <c r="FB31" i="56"/>
  <c r="DW31" i="56"/>
  <c r="AJ31" i="56"/>
  <c r="BR31" i="56"/>
  <c r="CS31" i="56"/>
  <c r="DI31" i="56"/>
  <c r="AE31" i="56"/>
  <c r="Q31" i="56"/>
  <c r="DJ31" i="56"/>
  <c r="CH31" i="56"/>
  <c r="BC31" i="56"/>
  <c r="DZ31" i="56"/>
  <c r="AD31" i="56"/>
  <c r="F31" i="56"/>
  <c r="EM31" i="56"/>
  <c r="EC31" i="56"/>
  <c r="M31" i="56"/>
  <c r="X31" i="56"/>
  <c r="BX31" i="56"/>
  <c r="CA31" i="56"/>
  <c r="AH31" i="56"/>
  <c r="DL31" i="56"/>
  <c r="EG31" i="56"/>
  <c r="DR31" i="56"/>
  <c r="AY31" i="56"/>
  <c r="BW31" i="56"/>
  <c r="CN31" i="56"/>
  <c r="W31" i="56"/>
  <c r="S31" i="56"/>
  <c r="CJ31" i="56"/>
  <c r="CL31" i="56"/>
  <c r="BQ31" i="56"/>
  <c r="FA31" i="56"/>
  <c r="BP31" i="56"/>
  <c r="AM31" i="56"/>
  <c r="CM31" i="56"/>
  <c r="BF31" i="56"/>
  <c r="AT31" i="56"/>
  <c r="BM31" i="56"/>
  <c r="AR31" i="56"/>
  <c r="EJ31" i="56"/>
  <c r="DH31" i="56"/>
  <c r="CO31" i="56"/>
  <c r="BI31" i="56"/>
  <c r="DY31" i="56"/>
  <c r="BK31" i="56"/>
  <c r="AC31" i="56"/>
  <c r="AX31" i="56"/>
  <c r="CI31" i="56"/>
  <c r="AW31" i="56"/>
  <c r="DX31" i="56"/>
  <c r="DA31" i="56"/>
  <c r="Z31" i="56"/>
  <c r="BV31" i="56"/>
  <c r="EO31" i="56"/>
  <c r="CB31" i="56"/>
  <c r="P31" i="56"/>
  <c r="G16" i="54"/>
  <c r="DQ16" i="54"/>
  <c r="CB16" i="54"/>
  <c r="L16" i="54"/>
  <c r="BN16" i="54"/>
  <c r="X16" i="54"/>
  <c r="BB16" i="54"/>
  <c r="CF16" i="54"/>
  <c r="DY16" i="54"/>
  <c r="DK16" i="54"/>
  <c r="M16" i="54"/>
  <c r="CV16" i="54"/>
  <c r="AL16" i="54"/>
  <c r="I16" i="54"/>
  <c r="CC16" i="54"/>
  <c r="DA16" i="54"/>
  <c r="AV16" i="54"/>
  <c r="K16" i="54"/>
  <c r="AA16" i="54"/>
  <c r="CY16" i="54"/>
  <c r="CQ16" i="54"/>
  <c r="V16" i="54"/>
  <c r="AI16" i="54"/>
  <c r="CR16" i="54"/>
  <c r="CN16" i="54"/>
  <c r="DD16" i="54"/>
  <c r="ED16" i="54"/>
  <c r="DO16" i="54"/>
  <c r="AE16" i="54"/>
  <c r="AY16" i="54"/>
  <c r="DU16" i="54"/>
  <c r="BC16" i="54"/>
  <c r="AW16" i="54"/>
  <c r="AG16" i="54"/>
  <c r="P16" i="54"/>
  <c r="DW16" i="54"/>
  <c r="AJ16" i="54"/>
  <c r="BU16" i="54"/>
  <c r="AR16" i="54"/>
  <c r="J16" i="54"/>
  <c r="AH16" i="54"/>
  <c r="AP16" i="54"/>
  <c r="BG16" i="54"/>
  <c r="BV16" i="54"/>
  <c r="BX16" i="54"/>
  <c r="BD16" i="54"/>
  <c r="EB16" i="54"/>
  <c r="BK16" i="54"/>
  <c r="DX16" i="54"/>
  <c r="AK16" i="54"/>
  <c r="AB16" i="54"/>
  <c r="CH16" i="54"/>
  <c r="O16" i="54"/>
  <c r="AZ16" i="54"/>
  <c r="CS16" i="54"/>
  <c r="EE16" i="54"/>
  <c r="CX16" i="54"/>
  <c r="AM16" i="54"/>
  <c r="BZ16" i="54"/>
  <c r="CD16" i="54"/>
  <c r="AT16" i="54"/>
  <c r="DT16" i="54"/>
  <c r="DC16" i="54"/>
  <c r="DM16" i="54"/>
  <c r="CJ16" i="54"/>
  <c r="CT16" i="54"/>
  <c r="U16" i="54"/>
  <c r="AN16" i="54"/>
  <c r="DL16" i="54"/>
  <c r="DH16" i="54"/>
  <c r="Z16" i="54"/>
  <c r="AO16" i="54"/>
  <c r="AX16" i="54"/>
  <c r="H16" i="54"/>
  <c r="EG16" i="54"/>
  <c r="CW16" i="54"/>
  <c r="DN16" i="54"/>
  <c r="AU16" i="54"/>
  <c r="BP16" i="54"/>
  <c r="BQ16" i="54"/>
  <c r="DB16" i="54"/>
  <c r="DR16" i="54"/>
  <c r="DZ16" i="54"/>
  <c r="F16" i="54"/>
  <c r="EF16" i="54"/>
  <c r="AF16" i="54"/>
  <c r="DE16" i="54"/>
  <c r="EC16" i="54"/>
  <c r="Y16" i="54"/>
  <c r="BY16" i="54"/>
  <c r="CO16" i="54"/>
  <c r="BF16" i="54"/>
  <c r="N16" i="54"/>
  <c r="BS16" i="54"/>
  <c r="BI16" i="54"/>
  <c r="EH16" i="54"/>
  <c r="BR16" i="54"/>
  <c r="BJ16" i="54"/>
  <c r="Q16" i="54"/>
  <c r="DV16" i="54"/>
  <c r="BM16" i="54"/>
  <c r="DP16" i="54"/>
  <c r="BT16" i="54"/>
  <c r="BO16" i="54"/>
  <c r="CL16" i="54"/>
  <c r="CA16" i="54"/>
  <c r="CG16" i="54"/>
  <c r="AQ16" i="54"/>
  <c r="W16" i="54"/>
  <c r="CP16" i="54"/>
  <c r="CE16" i="54"/>
  <c r="CU16" i="54"/>
  <c r="AD16" i="54"/>
  <c r="DJ16" i="54"/>
  <c r="BL16" i="54"/>
  <c r="EA16" i="54"/>
  <c r="BE16" i="54"/>
  <c r="CK16" i="54"/>
  <c r="DS16" i="54"/>
  <c r="BW16" i="54"/>
  <c r="DF16" i="54"/>
  <c r="CI16" i="54"/>
  <c r="CM16" i="54"/>
  <c r="R16" i="54"/>
  <c r="T16" i="54"/>
  <c r="CZ16" i="54"/>
  <c r="AS16" i="54"/>
  <c r="AC16" i="54"/>
  <c r="BA16" i="54"/>
  <c r="DI16" i="54"/>
  <c r="DG16" i="54"/>
  <c r="S16" i="54"/>
  <c r="BH16" i="54"/>
  <c r="E17" i="54"/>
  <c r="H16" i="46"/>
  <c r="O16" i="46"/>
  <c r="L16" i="46"/>
  <c r="CB16" i="46"/>
  <c r="AZ16" i="46"/>
  <c r="AW16" i="46"/>
  <c r="DL16" i="46"/>
  <c r="CO16" i="46"/>
  <c r="AK16" i="46"/>
  <c r="CG16" i="46"/>
  <c r="BL16" i="46"/>
  <c r="CQ16" i="46"/>
  <c r="CN16" i="46"/>
  <c r="CC16" i="46"/>
  <c r="DM16" i="46"/>
  <c r="I16" i="46"/>
  <c r="CK16" i="46"/>
  <c r="AP16" i="46"/>
  <c r="U16" i="46"/>
  <c r="CH16" i="46"/>
  <c r="G16" i="46"/>
  <c r="CY16" i="46"/>
  <c r="P16" i="46"/>
  <c r="CX16" i="46"/>
  <c r="CD16" i="46"/>
  <c r="BE16" i="46"/>
  <c r="AB16" i="46"/>
  <c r="CJ16" i="46"/>
  <c r="Y16" i="46"/>
  <c r="DQ16" i="46"/>
  <c r="AO16" i="46"/>
  <c r="AQ16" i="46"/>
  <c r="AF16" i="46"/>
  <c r="CW16" i="46"/>
  <c r="BU16" i="46"/>
  <c r="CU16" i="46"/>
  <c r="AV16" i="46"/>
  <c r="W16" i="46"/>
  <c r="T16" i="46"/>
  <c r="AX16" i="46"/>
  <c r="AY16" i="46"/>
  <c r="S16" i="46"/>
  <c r="X16" i="46"/>
  <c r="DD16" i="46"/>
  <c r="BV16" i="46"/>
  <c r="DB16" i="46"/>
  <c r="CE16" i="46"/>
  <c r="BM16" i="46"/>
  <c r="AR16" i="46"/>
  <c r="BQ16" i="46"/>
  <c r="BJ16" i="46"/>
  <c r="CA16" i="46"/>
  <c r="F16" i="46"/>
  <c r="DA16" i="46"/>
  <c r="DP16" i="46"/>
  <c r="BC16" i="46"/>
  <c r="BS16" i="46"/>
  <c r="BF16" i="46"/>
  <c r="CZ16" i="46"/>
  <c r="DE16" i="46"/>
  <c r="DK16" i="46"/>
  <c r="AA16" i="46"/>
  <c r="BA16" i="46"/>
  <c r="CV16" i="46"/>
  <c r="BK16" i="46"/>
  <c r="CS16" i="46"/>
  <c r="BP16" i="46"/>
  <c r="AC16" i="46"/>
  <c r="AD16" i="46"/>
  <c r="AU16" i="46"/>
  <c r="DJ16" i="46"/>
  <c r="CR16" i="46"/>
  <c r="DT16" i="46"/>
  <c r="DG16" i="46"/>
  <c r="CT16" i="46"/>
  <c r="E17" i="46"/>
  <c r="AE17" i="46" s="1"/>
  <c r="BO16" i="46"/>
  <c r="CL16" i="46"/>
  <c r="K16" i="46"/>
  <c r="CP16" i="46"/>
  <c r="BZ16" i="46"/>
  <c r="AM16" i="46"/>
  <c r="Z16" i="46"/>
  <c r="R16" i="46"/>
  <c r="AI16" i="46"/>
  <c r="DI16" i="46"/>
  <c r="BI16" i="46"/>
  <c r="BN16" i="46"/>
  <c r="BB16" i="46"/>
  <c r="DH16" i="46"/>
  <c r="BD16" i="46"/>
  <c r="N16" i="46"/>
  <c r="AH16" i="46"/>
  <c r="DF16" i="46"/>
  <c r="AE16" i="46"/>
  <c r="CF16" i="46"/>
  <c r="BR16" i="46"/>
  <c r="AL16" i="46"/>
  <c r="AS16" i="46"/>
  <c r="Q16" i="46"/>
  <c r="BY16" i="46"/>
  <c r="AJ16" i="46"/>
  <c r="BT16" i="46"/>
  <c r="DN16" i="46"/>
  <c r="DO16" i="46"/>
  <c r="BH16" i="46"/>
  <c r="AN16" i="46"/>
  <c r="DC16" i="46"/>
  <c r="BG16" i="46"/>
  <c r="DS16" i="46"/>
  <c r="BX16" i="46"/>
  <c r="CM16" i="46"/>
  <c r="CI16" i="46"/>
  <c r="AG16" i="46"/>
  <c r="V16" i="46"/>
  <c r="BW16" i="46"/>
  <c r="M16" i="46"/>
  <c r="J16" i="46"/>
  <c r="DR16" i="46"/>
  <c r="AT16" i="46"/>
  <c r="X17" i="54" l="1"/>
  <c r="C31" i="54"/>
  <c r="E18" i="56"/>
  <c r="C19" i="56" s="1"/>
  <c r="BV17" i="54"/>
  <c r="S17" i="54"/>
  <c r="AG17" i="54"/>
  <c r="CN17" i="54"/>
  <c r="F17" i="54"/>
  <c r="AS17" i="54"/>
  <c r="AK17" i="54"/>
  <c r="EB17" i="54"/>
  <c r="BQ17" i="54"/>
  <c r="DU17" i="54"/>
  <c r="CI17" i="54"/>
  <c r="CF17" i="54"/>
  <c r="DK17" i="54"/>
  <c r="AI17" i="54"/>
  <c r="AE17" i="54"/>
  <c r="AL17" i="54"/>
  <c r="BB17" i="54"/>
  <c r="BM17" i="54"/>
  <c r="AC17" i="54"/>
  <c r="EA17" i="54"/>
  <c r="DX17" i="54"/>
  <c r="CT17" i="54"/>
  <c r="DL17" i="54"/>
  <c r="DF17" i="54"/>
  <c r="K17" i="54"/>
  <c r="BJ17" i="54"/>
  <c r="DI17" i="54"/>
  <c r="DJ17" i="54"/>
  <c r="AH17" i="54"/>
  <c r="BU17" i="54"/>
  <c r="AJ17" i="54"/>
  <c r="BY17" i="54"/>
  <c r="CY17" i="54"/>
  <c r="BW17" i="54"/>
  <c r="G17" i="54"/>
  <c r="DQ17" i="54"/>
  <c r="BO17" i="54"/>
  <c r="DN17" i="54"/>
  <c r="AP17" i="54"/>
  <c r="DV17" i="54"/>
  <c r="AO17" i="54"/>
  <c r="AX17" i="54"/>
  <c r="BI17" i="54"/>
  <c r="EE17" i="54"/>
  <c r="BX17" i="54"/>
  <c r="Q17" i="54"/>
  <c r="BG17" i="54"/>
  <c r="BK17" i="54"/>
  <c r="AA17" i="54"/>
  <c r="W17" i="54"/>
  <c r="CB17" i="54"/>
  <c r="DZ17" i="54"/>
  <c r="R17" i="54"/>
  <c r="BF17" i="54"/>
  <c r="CQ17" i="54"/>
  <c r="AB17" i="54"/>
  <c r="DC17" i="54"/>
  <c r="DB17" i="54"/>
  <c r="BH17" i="54"/>
  <c r="BD17" i="54"/>
  <c r="L17" i="54"/>
  <c r="H17" i="54"/>
  <c r="ED17" i="54"/>
  <c r="V17" i="54"/>
  <c r="CA17" i="54"/>
  <c r="DH17" i="54"/>
  <c r="AW17" i="54"/>
  <c r="AV17" i="54"/>
  <c r="CP17" i="54"/>
  <c r="O17" i="54"/>
  <c r="BR17" i="54"/>
  <c r="CE17" i="54"/>
  <c r="M17" i="54"/>
  <c r="DP17" i="54"/>
  <c r="AF17" i="54"/>
  <c r="DR17" i="54"/>
  <c r="BE17" i="54"/>
  <c r="T17" i="54"/>
  <c r="CJ17" i="54"/>
  <c r="AT17" i="54"/>
  <c r="CS17" i="54"/>
  <c r="CV17" i="54"/>
  <c r="P17" i="54"/>
  <c r="AD17" i="54"/>
  <c r="I17" i="54"/>
  <c r="CR17" i="54"/>
  <c r="N17" i="54"/>
  <c r="EC17" i="54"/>
  <c r="DG17" i="54"/>
  <c r="CL17" i="54"/>
  <c r="BZ17" i="54"/>
  <c r="AN17" i="54"/>
  <c r="CK17" i="54"/>
  <c r="DE17" i="54"/>
  <c r="EF17" i="54"/>
  <c r="CD17" i="54"/>
  <c r="Y17" i="54"/>
  <c r="BL17" i="54"/>
  <c r="U17" i="54"/>
  <c r="DY17" i="54"/>
  <c r="CG17" i="54"/>
  <c r="CX17" i="54"/>
  <c r="J17" i="54"/>
  <c r="CC17" i="54"/>
  <c r="BT17" i="54"/>
  <c r="AQ17" i="54"/>
  <c r="CZ17" i="54"/>
  <c r="BS17" i="54"/>
  <c r="AM17" i="54"/>
  <c r="BN17" i="54"/>
  <c r="BC17" i="54"/>
  <c r="AZ17" i="54"/>
  <c r="DO17" i="54"/>
  <c r="Z17" i="54"/>
  <c r="CW17" i="54"/>
  <c r="CU17" i="54"/>
  <c r="DM17" i="54"/>
  <c r="BP17" i="54"/>
  <c r="AY17" i="54"/>
  <c r="DD17" i="54"/>
  <c r="BA17" i="54"/>
  <c r="AR17" i="54"/>
  <c r="DA17" i="54"/>
  <c r="AU17" i="54"/>
  <c r="CO17" i="54"/>
  <c r="CH17" i="54"/>
  <c r="CM17" i="54"/>
  <c r="DW17" i="54"/>
  <c r="C18" i="54"/>
  <c r="EC31" i="54"/>
  <c r="DC31" i="54"/>
  <c r="AI31" i="54"/>
  <c r="T31" i="54"/>
  <c r="DG31" i="54"/>
  <c r="BP31" i="54"/>
  <c r="BE31" i="54"/>
  <c r="CX31" i="54"/>
  <c r="AG31" i="54"/>
  <c r="AW31" i="54"/>
  <c r="BR31" i="54"/>
  <c r="CD31" i="54"/>
  <c r="DV31" i="54"/>
  <c r="BO31" i="54"/>
  <c r="O31" i="54"/>
  <c r="CZ31" i="54"/>
  <c r="CG31" i="54"/>
  <c r="CA31" i="54"/>
  <c r="CP31" i="54"/>
  <c r="CL31" i="54"/>
  <c r="DK31" i="54"/>
  <c r="DF31" i="54"/>
  <c r="BB31" i="54"/>
  <c r="Y31" i="54"/>
  <c r="BU31" i="54"/>
  <c r="BH31" i="54"/>
  <c r="BN31" i="54"/>
  <c r="AX31" i="54"/>
  <c r="CE31" i="54"/>
  <c r="AK31" i="54"/>
  <c r="CF31" i="54"/>
  <c r="AN31" i="54"/>
  <c r="F31" i="54"/>
  <c r="BQ31" i="54"/>
  <c r="CM31" i="54"/>
  <c r="DT31" i="54"/>
  <c r="S31" i="54"/>
  <c r="DD31" i="54"/>
  <c r="Q31" i="54"/>
  <c r="DZ31" i="54"/>
  <c r="AJ31" i="54"/>
  <c r="CI31" i="54"/>
  <c r="AO31" i="54"/>
  <c r="AP31" i="54"/>
  <c r="AU31" i="54"/>
  <c r="AS31" i="54"/>
  <c r="K31" i="54"/>
  <c r="AA31" i="54"/>
  <c r="DW31" i="54"/>
  <c r="DM31" i="54"/>
  <c r="BL31" i="54"/>
  <c r="BC31" i="54"/>
  <c r="N31" i="54"/>
  <c r="L31" i="54"/>
  <c r="CH31" i="54"/>
  <c r="CO31" i="54"/>
  <c r="BA31" i="54"/>
  <c r="BX31" i="54"/>
  <c r="CY31" i="54"/>
  <c r="DB31" i="54"/>
  <c r="DI31" i="54"/>
  <c r="AL31" i="54"/>
  <c r="P31" i="54"/>
  <c r="DA31" i="54"/>
  <c r="J31" i="54"/>
  <c r="AQ31" i="54"/>
  <c r="DJ31" i="54"/>
  <c r="BD31" i="54"/>
  <c r="BS31" i="54"/>
  <c r="CR31" i="54"/>
  <c r="W31" i="54"/>
  <c r="CS31" i="54"/>
  <c r="AZ31" i="54"/>
  <c r="EE31" i="54"/>
  <c r="AR31" i="54"/>
  <c r="G31" i="54"/>
  <c r="AF31" i="54"/>
  <c r="AM31" i="54"/>
  <c r="V31" i="54"/>
  <c r="BW31" i="54"/>
  <c r="AE31" i="54"/>
  <c r="EA31" i="54"/>
  <c r="CV31" i="54"/>
  <c r="H31" i="54"/>
  <c r="BZ31" i="54"/>
  <c r="AC31" i="54"/>
  <c r="CJ31" i="54"/>
  <c r="AT31" i="54"/>
  <c r="M31" i="54"/>
  <c r="BJ31" i="54"/>
  <c r="ED31" i="54"/>
  <c r="BM31" i="54"/>
  <c r="DP31" i="54"/>
  <c r="Z31" i="54"/>
  <c r="BY31" i="54"/>
  <c r="BV31" i="54"/>
  <c r="EB31" i="54"/>
  <c r="CQ31" i="54"/>
  <c r="CB31" i="54"/>
  <c r="DN31" i="54"/>
  <c r="CW31" i="54"/>
  <c r="BT31" i="54"/>
  <c r="CU31" i="54"/>
  <c r="X31" i="54"/>
  <c r="BF31" i="54"/>
  <c r="CK31" i="54"/>
  <c r="EF31" i="54"/>
  <c r="DH31" i="54"/>
  <c r="CT31" i="54"/>
  <c r="BK31" i="54"/>
  <c r="BG31" i="54"/>
  <c r="AD31" i="54"/>
  <c r="DS31" i="54"/>
  <c r="DX31" i="54"/>
  <c r="CN31" i="54"/>
  <c r="DE31" i="54"/>
  <c r="EG31" i="54"/>
  <c r="EH31" i="54"/>
  <c r="BI31" i="54"/>
  <c r="AY31" i="54"/>
  <c r="U31" i="54"/>
  <c r="AV31" i="54"/>
  <c r="AB31" i="54"/>
  <c r="DO31" i="54"/>
  <c r="I31" i="54"/>
  <c r="DY31" i="54"/>
  <c r="DR31" i="54"/>
  <c r="DQ31" i="54"/>
  <c r="AH31" i="54"/>
  <c r="DL31" i="54"/>
  <c r="DU31" i="54"/>
  <c r="R31" i="54"/>
  <c r="CC31" i="54"/>
  <c r="X17" i="46"/>
  <c r="AC17" i="46"/>
  <c r="BO17" i="46"/>
  <c r="BQ17" i="46"/>
  <c r="AS17" i="46"/>
  <c r="AA17" i="46"/>
  <c r="AY17" i="46"/>
  <c r="DJ17" i="46"/>
  <c r="BP17" i="46"/>
  <c r="P17" i="46"/>
  <c r="AQ17" i="46"/>
  <c r="BT17" i="46"/>
  <c r="AG17" i="46"/>
  <c r="CB17" i="46"/>
  <c r="BL17" i="46"/>
  <c r="CM17" i="46"/>
  <c r="CX17" i="46"/>
  <c r="BK17" i="46"/>
  <c r="CT17" i="46"/>
  <c r="V17" i="46"/>
  <c r="DA17" i="46"/>
  <c r="AB17" i="46"/>
  <c r="G17" i="46"/>
  <c r="BV17" i="46"/>
  <c r="CF17" i="46"/>
  <c r="M17" i="46"/>
  <c r="AU17" i="46"/>
  <c r="CR17" i="46"/>
  <c r="DB17" i="46"/>
  <c r="BE17" i="46"/>
  <c r="CA17" i="46"/>
  <c r="DI17" i="46"/>
  <c r="DO17" i="46"/>
  <c r="CQ17" i="46"/>
  <c r="AX17" i="46"/>
  <c r="DP17" i="46"/>
  <c r="DS17" i="46"/>
  <c r="CI17" i="46"/>
  <c r="BW17" i="46"/>
  <c r="AD17" i="46"/>
  <c r="T17" i="46"/>
  <c r="CO17" i="46"/>
  <c r="BB17" i="46"/>
  <c r="CW17" i="46"/>
  <c r="L17" i="46"/>
  <c r="H17" i="46"/>
  <c r="U17" i="46"/>
  <c r="CU17" i="46"/>
  <c r="CV17" i="46"/>
  <c r="CY17" i="46"/>
  <c r="AN17" i="46"/>
  <c r="CN17" i="46"/>
  <c r="BF17" i="46"/>
  <c r="DL17" i="46"/>
  <c r="Y17" i="46"/>
  <c r="DT17" i="46"/>
  <c r="AJ17" i="46"/>
  <c r="DC17" i="46"/>
  <c r="BS17" i="46"/>
  <c r="AK17" i="46"/>
  <c r="CC17" i="46"/>
  <c r="J17" i="46"/>
  <c r="R17" i="46"/>
  <c r="AW17" i="46"/>
  <c r="AI17" i="46"/>
  <c r="AF17" i="46"/>
  <c r="CK17" i="46"/>
  <c r="AM17" i="46"/>
  <c r="CL17" i="46"/>
  <c r="CJ17" i="46"/>
  <c r="BD17" i="46"/>
  <c r="DK17" i="46"/>
  <c r="AV17" i="46"/>
  <c r="BI17" i="46"/>
  <c r="BM17" i="46"/>
  <c r="BJ17" i="46"/>
  <c r="CP17" i="46"/>
  <c r="BU17" i="46"/>
  <c r="AR17" i="46"/>
  <c r="DH17" i="46"/>
  <c r="Q17" i="46"/>
  <c r="DD17" i="46"/>
  <c r="DF17" i="46"/>
  <c r="CG17" i="46"/>
  <c r="AL17" i="46"/>
  <c r="DR17" i="46"/>
  <c r="DG17" i="46"/>
  <c r="S17" i="46"/>
  <c r="CZ17" i="46"/>
  <c r="CE17" i="46"/>
  <c r="BG17" i="46"/>
  <c r="AT17" i="46"/>
  <c r="CS17" i="46"/>
  <c r="BZ17" i="46"/>
  <c r="O17" i="46"/>
  <c r="N17" i="46"/>
  <c r="BA17" i="46"/>
  <c r="F17" i="46"/>
  <c r="I17" i="46"/>
  <c r="BN17" i="46"/>
  <c r="DE17" i="46"/>
  <c r="AZ17" i="46"/>
  <c r="W17" i="46"/>
  <c r="DQ17" i="46"/>
  <c r="AO17" i="46"/>
  <c r="Z17" i="46"/>
  <c r="AP17" i="46"/>
  <c r="CD17" i="46"/>
  <c r="BY17" i="46"/>
  <c r="BH17" i="46"/>
  <c r="BX17" i="46"/>
  <c r="BC17" i="46"/>
  <c r="AH17" i="46"/>
  <c r="DN17" i="46"/>
  <c r="DM17" i="46"/>
  <c r="C31" i="46"/>
  <c r="C18" i="46"/>
  <c r="DO31" i="46"/>
  <c r="BF31" i="46"/>
  <c r="CJ31" i="46"/>
  <c r="AW31" i="46"/>
  <c r="DD31" i="46"/>
  <c r="CU31" i="46"/>
  <c r="DF31" i="46"/>
  <c r="DS31" i="46"/>
  <c r="M31" i="46"/>
  <c r="CF31" i="46"/>
  <c r="CR31" i="46"/>
  <c r="BE31" i="46"/>
  <c r="BB31" i="46"/>
  <c r="CI31" i="46"/>
  <c r="I31" i="46"/>
  <c r="AL31" i="46"/>
  <c r="CV31" i="46"/>
  <c r="DG31" i="46"/>
  <c r="O31" i="46"/>
  <c r="W31" i="46"/>
  <c r="P31" i="46"/>
  <c r="Y31" i="46"/>
  <c r="AQ31" i="46"/>
  <c r="BN31" i="46"/>
  <c r="CP31" i="46"/>
  <c r="BP31" i="46"/>
  <c r="DM31" i="46"/>
  <c r="AK31" i="46"/>
  <c r="L31" i="46"/>
  <c r="BZ31" i="46"/>
  <c r="DQ31" i="46"/>
  <c r="BH31" i="46"/>
  <c r="BS31" i="46"/>
  <c r="CA31" i="46"/>
  <c r="AZ31" i="46"/>
  <c r="BW31" i="46"/>
  <c r="BG31" i="46"/>
  <c r="AH31" i="46"/>
  <c r="DA31" i="46"/>
  <c r="DJ31" i="46"/>
  <c r="G31" i="46"/>
  <c r="N31" i="46"/>
  <c r="BA31" i="46"/>
  <c r="BX31" i="46"/>
  <c r="DI31" i="46"/>
  <c r="CZ31" i="46"/>
  <c r="BJ31" i="46"/>
  <c r="BV31" i="46"/>
  <c r="AA31" i="46"/>
  <c r="K31" i="46"/>
  <c r="AF31" i="46"/>
  <c r="AG31" i="46"/>
  <c r="DP31" i="46"/>
  <c r="BU31" i="46"/>
  <c r="DL31" i="46"/>
  <c r="U31" i="46"/>
  <c r="Z31" i="46"/>
  <c r="AR31" i="46"/>
  <c r="CM31" i="46"/>
  <c r="BK31" i="46"/>
  <c r="AI31" i="46"/>
  <c r="BM31" i="46"/>
  <c r="CO31" i="46"/>
  <c r="AB31" i="46"/>
  <c r="Q31" i="46"/>
  <c r="DT31" i="46"/>
  <c r="BL31" i="46"/>
  <c r="J31" i="46"/>
  <c r="CE31" i="46"/>
  <c r="H31" i="46"/>
  <c r="CK31" i="46"/>
  <c r="S31" i="46"/>
  <c r="DB31" i="46"/>
  <c r="BO31" i="46"/>
  <c r="AS31" i="46"/>
  <c r="X31" i="46"/>
  <c r="AN31" i="46"/>
  <c r="AV31" i="46"/>
  <c r="BR31" i="46"/>
  <c r="DR31" i="46"/>
  <c r="BI31" i="46"/>
  <c r="DN31" i="46"/>
  <c r="CQ31" i="46"/>
  <c r="AM31" i="46"/>
  <c r="AX31" i="46"/>
  <c r="CC31" i="46"/>
  <c r="BQ31" i="46"/>
  <c r="DE31" i="46"/>
  <c r="AP31" i="46"/>
  <c r="BY31" i="46"/>
  <c r="CN31" i="46"/>
  <c r="AY31" i="46"/>
  <c r="AU31" i="46"/>
  <c r="BT31" i="46"/>
  <c r="AE31" i="46"/>
  <c r="CB31" i="46"/>
  <c r="AD31" i="46"/>
  <c r="BC31" i="46"/>
  <c r="F31" i="46"/>
  <c r="CX31" i="46"/>
  <c r="R31" i="46"/>
  <c r="CG31" i="46"/>
  <c r="CS31" i="46"/>
  <c r="CT31" i="46"/>
  <c r="CW31" i="46"/>
  <c r="AO31" i="46"/>
  <c r="V31" i="46"/>
  <c r="AT31" i="46"/>
  <c r="DK31" i="46"/>
  <c r="DC31" i="46"/>
  <c r="T31" i="46"/>
  <c r="CH31" i="46"/>
  <c r="BD31" i="46"/>
  <c r="DH31" i="46"/>
  <c r="CL31" i="46"/>
  <c r="CD31" i="46"/>
  <c r="CY31" i="46"/>
  <c r="AC31" i="46"/>
  <c r="AJ31" i="46"/>
  <c r="BR17" i="46"/>
  <c r="K17" i="46"/>
  <c r="CH17" i="46"/>
  <c r="BE18" i="56" l="1"/>
  <c r="CV18" i="56"/>
  <c r="AN18" i="56"/>
  <c r="CN18" i="56"/>
  <c r="CW18" i="56"/>
  <c r="BC18" i="56"/>
  <c r="DL18" i="56"/>
  <c r="DN18" i="56"/>
  <c r="DX18" i="56"/>
  <c r="BN18" i="56"/>
  <c r="EF18" i="56"/>
  <c r="T18" i="56"/>
  <c r="H18" i="56"/>
  <c r="AL18" i="56"/>
  <c r="CJ18" i="56"/>
  <c r="EN18" i="56"/>
  <c r="BK18" i="56"/>
  <c r="BR18" i="56"/>
  <c r="CA18" i="56"/>
  <c r="AB18" i="56"/>
  <c r="AI18" i="56"/>
  <c r="BG18" i="56"/>
  <c r="X18" i="56"/>
  <c r="AO18" i="56"/>
  <c r="BU18" i="56"/>
  <c r="CZ18" i="56"/>
  <c r="CT18" i="56"/>
  <c r="CI18" i="56"/>
  <c r="CG18" i="56"/>
  <c r="EI18" i="56"/>
  <c r="CB18" i="56"/>
  <c r="P18" i="56"/>
  <c r="EL18" i="56"/>
  <c r="EB18" i="56"/>
  <c r="AK18" i="56"/>
  <c r="DW18" i="56"/>
  <c r="BT18" i="56"/>
  <c r="BX18" i="56"/>
  <c r="EE18" i="56"/>
  <c r="CL18" i="56"/>
  <c r="AQ18" i="56"/>
  <c r="U18" i="56"/>
  <c r="AR18" i="56"/>
  <c r="CF18" i="56"/>
  <c r="DF18" i="56"/>
  <c r="DG18" i="56"/>
  <c r="DI18" i="56"/>
  <c r="Y18" i="56"/>
  <c r="F18" i="56"/>
  <c r="ET18" i="56"/>
  <c r="AC18" i="56"/>
  <c r="CP18" i="56"/>
  <c r="N18" i="56"/>
  <c r="BZ18" i="56"/>
  <c r="EC18" i="56"/>
  <c r="M18" i="56"/>
  <c r="W18" i="56"/>
  <c r="ES18" i="56"/>
  <c r="EV18" i="56"/>
  <c r="DU18" i="56"/>
  <c r="AX18" i="56"/>
  <c r="CY18" i="56"/>
  <c r="EP18" i="56"/>
  <c r="DJ18" i="56"/>
  <c r="CC18" i="56"/>
  <c r="DD18" i="56"/>
  <c r="AS18" i="56"/>
  <c r="CU18" i="56"/>
  <c r="AH18" i="56"/>
  <c r="ED18" i="56"/>
  <c r="AJ18" i="56"/>
  <c r="BD18" i="56"/>
  <c r="ER18" i="56"/>
  <c r="J18" i="56"/>
  <c r="BB18" i="56"/>
  <c r="AF18" i="56"/>
  <c r="EW18" i="56"/>
  <c r="AA18" i="56"/>
  <c r="CO18" i="56"/>
  <c r="AW18" i="56"/>
  <c r="DP18" i="56"/>
  <c r="R18" i="56"/>
  <c r="DR18" i="56"/>
  <c r="BF18" i="56"/>
  <c r="BI18" i="56"/>
  <c r="DS18" i="56"/>
  <c r="BM18" i="56"/>
  <c r="BO18" i="56"/>
  <c r="BH18" i="56"/>
  <c r="AG18" i="56"/>
  <c r="AY18" i="56"/>
  <c r="CH18" i="56"/>
  <c r="EJ18" i="56"/>
  <c r="K18" i="56"/>
  <c r="O18" i="56"/>
  <c r="CM18" i="56"/>
  <c r="FC18" i="56"/>
  <c r="DA18" i="56"/>
  <c r="EM18" i="56"/>
  <c r="EK18" i="56"/>
  <c r="EA18" i="56"/>
  <c r="AT18" i="56"/>
  <c r="CR18" i="56"/>
  <c r="DQ18" i="56"/>
  <c r="DV18" i="56"/>
  <c r="DM18" i="56"/>
  <c r="EO18" i="56"/>
  <c r="L18" i="56"/>
  <c r="CD18" i="56"/>
  <c r="DY18" i="56"/>
  <c r="FA18" i="56"/>
  <c r="CQ18" i="56"/>
  <c r="G18" i="56"/>
  <c r="DC18" i="56"/>
  <c r="BV18" i="56"/>
  <c r="EG18" i="56"/>
  <c r="S18" i="56"/>
  <c r="DH18" i="56"/>
  <c r="DE18" i="56"/>
  <c r="BS18" i="56"/>
  <c r="BY18" i="56"/>
  <c r="AZ18" i="56"/>
  <c r="BL18" i="56"/>
  <c r="AP18" i="56"/>
  <c r="DB18" i="56"/>
  <c r="EQ18" i="56"/>
  <c r="DO18" i="56"/>
  <c r="DK18" i="56"/>
  <c r="EU18" i="56"/>
  <c r="CK18" i="56"/>
  <c r="Q18" i="56"/>
  <c r="BW18" i="56"/>
  <c r="BA18" i="56"/>
  <c r="BP18" i="56"/>
  <c r="V18" i="56"/>
  <c r="AE18" i="56"/>
  <c r="AV18" i="56"/>
  <c r="BJ18" i="56"/>
  <c r="AM18" i="56"/>
  <c r="DZ18" i="56"/>
  <c r="Z18" i="56"/>
  <c r="AU18" i="56"/>
  <c r="CE18" i="56"/>
  <c r="BQ18" i="56"/>
  <c r="FB18" i="56"/>
  <c r="CS18" i="56"/>
  <c r="EH18" i="56"/>
  <c r="EZ18" i="56"/>
  <c r="DT18" i="56"/>
  <c r="CX18" i="56"/>
  <c r="EX18" i="56"/>
  <c r="I18" i="56"/>
  <c r="AD18" i="56"/>
  <c r="EY18" i="56"/>
  <c r="E19" i="56"/>
  <c r="C20" i="56" s="1"/>
  <c r="E18" i="54"/>
  <c r="C19" i="54" s="1"/>
  <c r="E18" i="46"/>
  <c r="C19" i="46" s="1"/>
  <c r="AH19" i="56" l="1"/>
  <c r="DL19" i="56"/>
  <c r="DI19" i="56"/>
  <c r="BY19" i="56"/>
  <c r="CS19" i="56"/>
  <c r="AS19" i="56"/>
  <c r="CY19" i="56"/>
  <c r="CT19" i="56"/>
  <c r="BR19" i="56"/>
  <c r="BA19" i="56"/>
  <c r="CI19" i="56"/>
  <c r="CH19" i="56"/>
  <c r="X19" i="56"/>
  <c r="DN19" i="56"/>
  <c r="CW19" i="56"/>
  <c r="DY19" i="56"/>
  <c r="CN19" i="56"/>
  <c r="BQ19" i="56"/>
  <c r="CO19" i="56"/>
  <c r="ES19" i="56"/>
  <c r="EP19" i="56"/>
  <c r="FB19" i="56"/>
  <c r="CR19" i="56"/>
  <c r="AQ19" i="56"/>
  <c r="BD19" i="56"/>
  <c r="AV19" i="56"/>
  <c r="CE19" i="56"/>
  <c r="BB19" i="56"/>
  <c r="J19" i="56"/>
  <c r="EK19" i="56"/>
  <c r="ED19" i="56"/>
  <c r="BN19" i="56"/>
  <c r="EN19" i="56"/>
  <c r="AX19" i="56"/>
  <c r="DD19" i="56"/>
  <c r="DT19" i="56"/>
  <c r="EE19" i="56"/>
  <c r="AZ19" i="56"/>
  <c r="EY19" i="56"/>
  <c r="AW19" i="56"/>
  <c r="BT19" i="56"/>
  <c r="DR19" i="56"/>
  <c r="DB19" i="56"/>
  <c r="AD19" i="56"/>
  <c r="DZ19" i="56"/>
  <c r="DP19" i="56"/>
  <c r="EG19" i="56"/>
  <c r="EI19" i="56"/>
  <c r="CV19" i="56"/>
  <c r="BE19" i="56"/>
  <c r="H19" i="56"/>
  <c r="CB19" i="56"/>
  <c r="EA19" i="56"/>
  <c r="U19" i="56"/>
  <c r="BP19" i="56"/>
  <c r="P19" i="56"/>
  <c r="EX19" i="56"/>
  <c r="W19" i="56"/>
  <c r="BG19" i="56"/>
  <c r="BZ19" i="56"/>
  <c r="AP19" i="56"/>
  <c r="EB19" i="56"/>
  <c r="EJ19" i="56"/>
  <c r="AC19" i="56"/>
  <c r="CQ19" i="56"/>
  <c r="DX19" i="56"/>
  <c r="BK19" i="56"/>
  <c r="O19" i="56"/>
  <c r="DV19" i="56"/>
  <c r="CC19" i="56"/>
  <c r="AB19" i="56"/>
  <c r="K19" i="56"/>
  <c r="EM19" i="56"/>
  <c r="BH19" i="56"/>
  <c r="CD19" i="56"/>
  <c r="CK19" i="56"/>
  <c r="V19" i="56"/>
  <c r="AF19" i="56"/>
  <c r="CA19" i="56"/>
  <c r="EF19" i="56"/>
  <c r="BV19" i="56"/>
  <c r="I19" i="56"/>
  <c r="AN19" i="56"/>
  <c r="T19" i="56"/>
  <c r="L19" i="56"/>
  <c r="AT19" i="56"/>
  <c r="DH19" i="56"/>
  <c r="EC19" i="56"/>
  <c r="M19" i="56"/>
  <c r="DS19" i="56"/>
  <c r="BS19" i="56"/>
  <c r="Y19" i="56"/>
  <c r="DJ19" i="56"/>
  <c r="DC19" i="56"/>
  <c r="DE19" i="56"/>
  <c r="CM19" i="56"/>
  <c r="DQ19" i="56"/>
  <c r="FC19" i="56"/>
  <c r="R19" i="56"/>
  <c r="N19" i="56"/>
  <c r="EQ19" i="56"/>
  <c r="AL19" i="56"/>
  <c r="BX19" i="56"/>
  <c r="BL19" i="56"/>
  <c r="CF19" i="56"/>
  <c r="DU19" i="56"/>
  <c r="EL19" i="56"/>
  <c r="AI19" i="56"/>
  <c r="BU19" i="56"/>
  <c r="CG19" i="56"/>
  <c r="AM19" i="56"/>
  <c r="Z19" i="56"/>
  <c r="EU19" i="56"/>
  <c r="CZ19" i="56"/>
  <c r="CP19" i="56"/>
  <c r="FA19" i="56"/>
  <c r="BF19" i="56"/>
  <c r="BW19" i="56"/>
  <c r="DK19" i="56"/>
  <c r="BC19" i="56"/>
  <c r="BI19" i="56"/>
  <c r="DA19" i="56"/>
  <c r="AJ19" i="56"/>
  <c r="F19" i="56"/>
  <c r="CU19" i="56"/>
  <c r="CL19" i="56"/>
  <c r="CX19" i="56"/>
  <c r="EW19" i="56"/>
  <c r="Q19" i="56"/>
  <c r="DO19" i="56"/>
  <c r="BO19" i="56"/>
  <c r="DW19" i="56"/>
  <c r="AR19" i="56"/>
  <c r="BA18" i="54"/>
  <c r="J18" i="54"/>
  <c r="X18" i="54"/>
  <c r="DX18" i="54"/>
  <c r="M18" i="54"/>
  <c r="CH18" i="54"/>
  <c r="EO19" i="56"/>
  <c r="BF18" i="54"/>
  <c r="AK18" i="54"/>
  <c r="AJ18" i="54"/>
  <c r="P18" i="54"/>
  <c r="DM19" i="56"/>
  <c r="ET19" i="56"/>
  <c r="AA19" i="56"/>
  <c r="BT18" i="54"/>
  <c r="AT18" i="54"/>
  <c r="CA18" i="54"/>
  <c r="AU19" i="56"/>
  <c r="DG19" i="56"/>
  <c r="EH19" i="56"/>
  <c r="BM19" i="56"/>
  <c r="AK19" i="56"/>
  <c r="AF18" i="54"/>
  <c r="BE18" i="54"/>
  <c r="AY19" i="56"/>
  <c r="EZ19" i="56"/>
  <c r="G19" i="56"/>
  <c r="AG19" i="56"/>
  <c r="BJ19" i="56"/>
  <c r="EV19" i="56"/>
  <c r="AO19" i="56"/>
  <c r="ER19" i="56"/>
  <c r="S19" i="56"/>
  <c r="EB18" i="54"/>
  <c r="AX18" i="54"/>
  <c r="AW18" i="54"/>
  <c r="AA18" i="54"/>
  <c r="BP18" i="54"/>
  <c r="CB18" i="54"/>
  <c r="DS18" i="54"/>
  <c r="CF18" i="54"/>
  <c r="BI18" i="54"/>
  <c r="DJ18" i="54"/>
  <c r="BQ18" i="54"/>
  <c r="DU18" i="54"/>
  <c r="DL18" i="54"/>
  <c r="BC18" i="54"/>
  <c r="BG18" i="54"/>
  <c r="CJ19" i="56"/>
  <c r="AE19" i="56"/>
  <c r="DF19" i="56"/>
  <c r="BU18" i="54"/>
  <c r="DA18" i="54"/>
  <c r="AM18" i="54"/>
  <c r="DE18" i="54"/>
  <c r="T18" i="54"/>
  <c r="E20" i="56"/>
  <c r="C21" i="56" s="1"/>
  <c r="AS18" i="54"/>
  <c r="DO18" i="54"/>
  <c r="AN18" i="54"/>
  <c r="EH18" i="54"/>
  <c r="BY18" i="54"/>
  <c r="AB18" i="54"/>
  <c r="I18" i="54"/>
  <c r="CZ18" i="54"/>
  <c r="DB18" i="54"/>
  <c r="CC18" i="54"/>
  <c r="DH18" i="54"/>
  <c r="EF18" i="54"/>
  <c r="CY18" i="54"/>
  <c r="BK18" i="54"/>
  <c r="W18" i="54"/>
  <c r="DI18" i="54"/>
  <c r="DG18" i="54"/>
  <c r="CW18" i="54"/>
  <c r="BW18" i="54"/>
  <c r="AG18" i="54"/>
  <c r="BO18" i="54"/>
  <c r="K18" i="54"/>
  <c r="BS18" i="54"/>
  <c r="BL18" i="54"/>
  <c r="EG18" i="54"/>
  <c r="BR18" i="54"/>
  <c r="DM18" i="54"/>
  <c r="AE18" i="54"/>
  <c r="DF18" i="54"/>
  <c r="BX18" i="54"/>
  <c r="Y18" i="54"/>
  <c r="DW18" i="54"/>
  <c r="AO18" i="54"/>
  <c r="BN18" i="54"/>
  <c r="DP18" i="54"/>
  <c r="BZ18" i="54"/>
  <c r="DZ18" i="54"/>
  <c r="CN18" i="54"/>
  <c r="V18" i="54"/>
  <c r="AL18" i="54"/>
  <c r="L18" i="54"/>
  <c r="CO18" i="54"/>
  <c r="DY18" i="54"/>
  <c r="AI18" i="54"/>
  <c r="BB18" i="54"/>
  <c r="EC18" i="54"/>
  <c r="AH18" i="54"/>
  <c r="AR18" i="54"/>
  <c r="N18" i="54"/>
  <c r="R18" i="54"/>
  <c r="AD18" i="54"/>
  <c r="CI18" i="54"/>
  <c r="DD18" i="54"/>
  <c r="CT18" i="54"/>
  <c r="CU18" i="54"/>
  <c r="CM18" i="54"/>
  <c r="AP18" i="54"/>
  <c r="DV18" i="54"/>
  <c r="DT18" i="54"/>
  <c r="BM18" i="54"/>
  <c r="EE18" i="54"/>
  <c r="AY18" i="54"/>
  <c r="ED18" i="54"/>
  <c r="DQ18" i="54"/>
  <c r="BH18" i="54"/>
  <c r="F18" i="54"/>
  <c r="CD18" i="54"/>
  <c r="DC18" i="54"/>
  <c r="CR18" i="54"/>
  <c r="Z18" i="54"/>
  <c r="DR18" i="54"/>
  <c r="CV18" i="54"/>
  <c r="CK18" i="54"/>
  <c r="EA18" i="54"/>
  <c r="AZ18" i="54"/>
  <c r="AC18" i="54"/>
  <c r="AU18" i="54"/>
  <c r="BD18" i="54"/>
  <c r="CX18" i="54"/>
  <c r="CJ18" i="54"/>
  <c r="CG18" i="54"/>
  <c r="S18" i="54"/>
  <c r="DN18" i="54"/>
  <c r="H18" i="54"/>
  <c r="CP18" i="54"/>
  <c r="AQ18" i="54"/>
  <c r="BV18" i="54"/>
  <c r="CQ18" i="54"/>
  <c r="BJ18" i="54"/>
  <c r="U18" i="54"/>
  <c r="Q18" i="54"/>
  <c r="CE18" i="54"/>
  <c r="CS18" i="54"/>
  <c r="O18" i="54"/>
  <c r="DK18" i="54"/>
  <c r="G18" i="54"/>
  <c r="CL18" i="54"/>
  <c r="AV18" i="54"/>
  <c r="E19" i="54"/>
  <c r="C20" i="54" s="1"/>
  <c r="H18" i="46"/>
  <c r="CF18" i="46"/>
  <c r="DR18" i="46"/>
  <c r="J18" i="46"/>
  <c r="CC18" i="46"/>
  <c r="BH18" i="46"/>
  <c r="AA18" i="46"/>
  <c r="BD18" i="46"/>
  <c r="X18" i="46"/>
  <c r="DF18" i="46"/>
  <c r="G18" i="46"/>
  <c r="BN18" i="46"/>
  <c r="CI18" i="46"/>
  <c r="BP18" i="46"/>
  <c r="S18" i="46"/>
  <c r="BS18" i="46"/>
  <c r="AH18" i="46"/>
  <c r="AJ18" i="46"/>
  <c r="AN18" i="46"/>
  <c r="BR18" i="46"/>
  <c r="BX18" i="46"/>
  <c r="AR18" i="46"/>
  <c r="CS18" i="46"/>
  <c r="AP18" i="46"/>
  <c r="L18" i="46"/>
  <c r="CQ18" i="46"/>
  <c r="BC18" i="46"/>
  <c r="DQ18" i="46"/>
  <c r="CN18" i="46"/>
  <c r="T18" i="46"/>
  <c r="CX18" i="46"/>
  <c r="R18" i="46"/>
  <c r="I18" i="46"/>
  <c r="P18" i="46"/>
  <c r="CT18" i="46"/>
  <c r="AG18" i="46"/>
  <c r="AE18" i="46"/>
  <c r="AV18" i="46"/>
  <c r="DJ18" i="46"/>
  <c r="AM18" i="46"/>
  <c r="CK18" i="46"/>
  <c r="DA18" i="46"/>
  <c r="AQ18" i="46"/>
  <c r="BJ18" i="46"/>
  <c r="AB18" i="46"/>
  <c r="AT18" i="46"/>
  <c r="N18" i="46"/>
  <c r="CA18" i="46"/>
  <c r="BF18" i="46"/>
  <c r="DG18" i="46"/>
  <c r="F18" i="46"/>
  <c r="CO18" i="46"/>
  <c r="DK18" i="46"/>
  <c r="AU18" i="46"/>
  <c r="O18" i="46"/>
  <c r="BE18" i="46"/>
  <c r="CZ18" i="46"/>
  <c r="BU18" i="46"/>
  <c r="DH18" i="46"/>
  <c r="AX18" i="46"/>
  <c r="DB18" i="46"/>
  <c r="AF18" i="46"/>
  <c r="BK18" i="46"/>
  <c r="AY18" i="46"/>
  <c r="Y18" i="46"/>
  <c r="DE18" i="46"/>
  <c r="CM18" i="46"/>
  <c r="AD18" i="46"/>
  <c r="CE18" i="46"/>
  <c r="DT18" i="46"/>
  <c r="Q18" i="46"/>
  <c r="V18" i="46"/>
  <c r="W18" i="46"/>
  <c r="DN18" i="46"/>
  <c r="DS18" i="46"/>
  <c r="Z18" i="46"/>
  <c r="CH18" i="46"/>
  <c r="DC18" i="46"/>
  <c r="BY18" i="46"/>
  <c r="BZ18" i="46"/>
  <c r="CR18" i="46"/>
  <c r="BI18" i="46"/>
  <c r="U18" i="46"/>
  <c r="CW18" i="46"/>
  <c r="BQ18" i="46"/>
  <c r="AI18" i="46"/>
  <c r="AL18" i="46"/>
  <c r="BG18" i="46"/>
  <c r="BB18" i="46"/>
  <c r="AS18" i="46"/>
  <c r="BV18" i="46"/>
  <c r="DI18" i="46"/>
  <c r="BL18" i="46"/>
  <c r="AK18" i="46"/>
  <c r="CD18" i="46"/>
  <c r="CG18" i="46"/>
  <c r="AC18" i="46"/>
  <c r="BW18" i="46"/>
  <c r="CP18" i="46"/>
  <c r="AW18" i="46"/>
  <c r="CL18" i="46"/>
  <c r="BA18" i="46"/>
  <c r="DM18" i="46"/>
  <c r="BO18" i="46"/>
  <c r="AO18" i="46"/>
  <c r="BT18" i="46"/>
  <c r="M18" i="46"/>
  <c r="DD18" i="46"/>
  <c r="BM18" i="46"/>
  <c r="CU18" i="46"/>
  <c r="E19" i="46"/>
  <c r="C20" i="46" s="1"/>
  <c r="CB18" i="46"/>
  <c r="CY18" i="46"/>
  <c r="CV18" i="46"/>
  <c r="CJ18" i="46"/>
  <c r="DO18" i="46"/>
  <c r="K18" i="46"/>
  <c r="DL18" i="46"/>
  <c r="AZ18" i="46"/>
  <c r="DP18" i="46"/>
  <c r="DW20" i="56" l="1"/>
  <c r="I20" i="56"/>
  <c r="DT20" i="56"/>
  <c r="AK20" i="56"/>
  <c r="AF20" i="56"/>
  <c r="S20" i="56"/>
  <c r="P20" i="56"/>
  <c r="DA20" i="56"/>
  <c r="CF20" i="56"/>
  <c r="DR20" i="56"/>
  <c r="CE20" i="56"/>
  <c r="EN20" i="56"/>
  <c r="EY20" i="56"/>
  <c r="CU20" i="56"/>
  <c r="BT20" i="56"/>
  <c r="EJ20" i="56"/>
  <c r="AO20" i="56"/>
  <c r="BO20" i="56"/>
  <c r="DI20" i="56"/>
  <c r="AM20" i="56"/>
  <c r="CW20" i="56"/>
  <c r="BE20" i="56"/>
  <c r="CY20" i="56"/>
  <c r="DV20" i="56"/>
  <c r="EA20" i="56"/>
  <c r="DN20" i="56"/>
  <c r="BP20" i="56"/>
  <c r="K20" i="56"/>
  <c r="AJ20" i="56"/>
  <c r="AS20" i="56"/>
  <c r="U20" i="56"/>
  <c r="BN20" i="56"/>
  <c r="BY20" i="56"/>
  <c r="BA20" i="56"/>
  <c r="CI20" i="56"/>
  <c r="CV20" i="56"/>
  <c r="H20" i="56"/>
  <c r="AR20" i="56"/>
  <c r="EE20" i="56"/>
  <c r="DK20" i="56"/>
  <c r="DB20" i="56"/>
  <c r="BV20" i="56"/>
  <c r="N20" i="56"/>
  <c r="W20" i="56"/>
  <c r="EW20" i="56"/>
  <c r="EZ20" i="56"/>
  <c r="DO20" i="56"/>
  <c r="BB20" i="56"/>
  <c r="AI20" i="56"/>
  <c r="AW20" i="56"/>
  <c r="DF20" i="56"/>
  <c r="T20" i="56"/>
  <c r="CN20" i="56"/>
  <c r="AZ20" i="56"/>
  <c r="EL20" i="56"/>
  <c r="AA20" i="56"/>
  <c r="EQ20" i="56"/>
  <c r="BZ20" i="56"/>
  <c r="BR20" i="56"/>
  <c r="CS20" i="56"/>
  <c r="EO20" i="56"/>
  <c r="BG20" i="56"/>
  <c r="Y20" i="56"/>
  <c r="BM20" i="56"/>
  <c r="J20" i="56"/>
  <c r="CR20" i="56"/>
  <c r="CG20" i="56"/>
  <c r="DQ20" i="56"/>
  <c r="BI20" i="56"/>
  <c r="DY20" i="56"/>
  <c r="EI20" i="56"/>
  <c r="EM20" i="56"/>
  <c r="ET20" i="56"/>
  <c r="E21" i="56"/>
  <c r="C22" i="56" s="1"/>
  <c r="DZ20" i="56"/>
  <c r="CM20" i="56"/>
  <c r="AU20" i="56"/>
  <c r="DU20" i="56"/>
  <c r="DL20" i="56"/>
  <c r="AC20" i="56"/>
  <c r="R20" i="56"/>
  <c r="F20" i="56"/>
  <c r="CZ20" i="56"/>
  <c r="BH20" i="56"/>
  <c r="AY20" i="56"/>
  <c r="ES20" i="56"/>
  <c r="BC20" i="56"/>
  <c r="EX20" i="56"/>
  <c r="DG20" i="56"/>
  <c r="AT20" i="56"/>
  <c r="CC20" i="56"/>
  <c r="AG20" i="56"/>
  <c r="EC20" i="56"/>
  <c r="AD20" i="56"/>
  <c r="CO20" i="56"/>
  <c r="L20" i="56"/>
  <c r="BW20" i="56"/>
  <c r="Z20" i="56"/>
  <c r="V20" i="56"/>
  <c r="AV20" i="56"/>
  <c r="AQ20" i="56"/>
  <c r="AN20" i="56"/>
  <c r="BS20" i="56"/>
  <c r="CJ20" i="56"/>
  <c r="BK20" i="56"/>
  <c r="ED20" i="56"/>
  <c r="BU20" i="56"/>
  <c r="DP20" i="56"/>
  <c r="O20" i="56"/>
  <c r="EP20" i="56"/>
  <c r="X20" i="56"/>
  <c r="CQ20" i="56"/>
  <c r="EB20" i="56"/>
  <c r="AH20" i="56"/>
  <c r="BQ20" i="56"/>
  <c r="EG20" i="56"/>
  <c r="CK20" i="56"/>
  <c r="EH20" i="56"/>
  <c r="DS20" i="56"/>
  <c r="CB20" i="56"/>
  <c r="EK20" i="56"/>
  <c r="EF20" i="56"/>
  <c r="G20" i="56"/>
  <c r="CX20" i="56"/>
  <c r="CP20" i="56"/>
  <c r="BL20" i="56"/>
  <c r="EV20" i="56"/>
  <c r="DD20" i="56"/>
  <c r="Q20" i="56"/>
  <c r="CH20" i="56"/>
  <c r="DH20" i="56"/>
  <c r="CL20" i="56"/>
  <c r="DC20" i="56"/>
  <c r="AX20" i="56"/>
  <c r="AE20" i="56"/>
  <c r="AP20" i="56"/>
  <c r="DX20" i="56"/>
  <c r="CT20" i="56"/>
  <c r="DE20" i="56"/>
  <c r="FC20" i="56"/>
  <c r="ER20" i="56"/>
  <c r="M20" i="56"/>
  <c r="BJ20" i="56"/>
  <c r="BX20" i="56"/>
  <c r="AL20" i="56"/>
  <c r="FB20" i="56"/>
  <c r="DJ20" i="56"/>
  <c r="AB20" i="56"/>
  <c r="DM20" i="56"/>
  <c r="EU20" i="56"/>
  <c r="BF20" i="56"/>
  <c r="FA20" i="56"/>
  <c r="CA20" i="56"/>
  <c r="CD20" i="56"/>
  <c r="BD20" i="56"/>
  <c r="T19" i="54"/>
  <c r="BQ19" i="54"/>
  <c r="Q19" i="54"/>
  <c r="V19" i="54"/>
  <c r="AD19" i="54"/>
  <c r="L19" i="54"/>
  <c r="AS19" i="54"/>
  <c r="EC19" i="54"/>
  <c r="U19" i="54"/>
  <c r="BU19" i="54"/>
  <c r="AT19" i="54"/>
  <c r="DR19" i="54"/>
  <c r="CP19" i="54"/>
  <c r="CN19" i="54"/>
  <c r="G19" i="54"/>
  <c r="EF19" i="54"/>
  <c r="AR19" i="54"/>
  <c r="EH19" i="54"/>
  <c r="BE19" i="54"/>
  <c r="AX19" i="54"/>
  <c r="AW19" i="54"/>
  <c r="J19" i="54"/>
  <c r="AG19" i="54"/>
  <c r="BT19" i="54"/>
  <c r="DT19" i="54"/>
  <c r="DX19" i="54"/>
  <c r="BD19" i="54"/>
  <c r="BX19" i="54"/>
  <c r="DB19" i="54"/>
  <c r="DC19" i="54"/>
  <c r="CY19" i="54"/>
  <c r="AO19" i="54"/>
  <c r="EE19" i="54"/>
  <c r="AP19" i="54"/>
  <c r="BA19" i="54"/>
  <c r="EB19" i="54"/>
  <c r="BL19" i="54"/>
  <c r="AC19" i="54"/>
  <c r="CM19" i="54"/>
  <c r="CC19" i="54"/>
  <c r="O19" i="54"/>
  <c r="CD19" i="54"/>
  <c r="EG19" i="54"/>
  <c r="AQ19" i="54"/>
  <c r="CT19" i="54"/>
  <c r="DH19" i="54"/>
  <c r="S19" i="54"/>
  <c r="BK19" i="54"/>
  <c r="CS19" i="54"/>
  <c r="BM19" i="54"/>
  <c r="DJ19" i="54"/>
  <c r="AU19" i="54"/>
  <c r="CV19" i="54"/>
  <c r="DG19" i="54"/>
  <c r="BO19" i="54"/>
  <c r="DZ19" i="54"/>
  <c r="BH19" i="54"/>
  <c r="BB19" i="54"/>
  <c r="CI19" i="54"/>
  <c r="BR19" i="54"/>
  <c r="CB19" i="54"/>
  <c r="AE19" i="54"/>
  <c r="AK19" i="54"/>
  <c r="CL19" i="54"/>
  <c r="BV19" i="54"/>
  <c r="DU19" i="54"/>
  <c r="DS19" i="54"/>
  <c r="BF19" i="54"/>
  <c r="BC19" i="54"/>
  <c r="BP19" i="54"/>
  <c r="AJ19" i="54"/>
  <c r="DL19" i="54"/>
  <c r="CK19" i="54"/>
  <c r="DV19" i="54"/>
  <c r="DE19" i="54"/>
  <c r="Z19" i="54"/>
  <c r="CX19" i="54"/>
  <c r="CO19" i="54"/>
  <c r="BG19" i="54"/>
  <c r="BS19" i="54"/>
  <c r="CG19" i="54"/>
  <c r="DY19" i="54"/>
  <c r="CA19" i="54"/>
  <c r="CU19" i="54"/>
  <c r="BY19" i="54"/>
  <c r="Y19" i="54"/>
  <c r="EA19" i="54"/>
  <c r="CR19" i="54"/>
  <c r="W19" i="54"/>
  <c r="DF19" i="54"/>
  <c r="R19" i="54"/>
  <c r="DM19" i="54"/>
  <c r="CJ19" i="54"/>
  <c r="DK19" i="54"/>
  <c r="CW19" i="54"/>
  <c r="DA19" i="54"/>
  <c r="H19" i="54"/>
  <c r="DD19" i="54"/>
  <c r="AL19" i="54"/>
  <c r="N19" i="54"/>
  <c r="AB19" i="54"/>
  <c r="I19" i="54"/>
  <c r="AF19" i="54"/>
  <c r="DO19" i="54"/>
  <c r="AA19" i="54"/>
  <c r="CQ19" i="54"/>
  <c r="ED19" i="54"/>
  <c r="BW19" i="54"/>
  <c r="AV19" i="54"/>
  <c r="AI19" i="54"/>
  <c r="X19" i="54"/>
  <c r="AY19" i="54"/>
  <c r="F19" i="54"/>
  <c r="AZ19" i="54"/>
  <c r="DN19" i="54"/>
  <c r="AH19" i="54"/>
  <c r="DW19" i="54"/>
  <c r="CH19" i="54"/>
  <c r="M19" i="54"/>
  <c r="BI19" i="54"/>
  <c r="BN19" i="54"/>
  <c r="CF19" i="54"/>
  <c r="DQ19" i="54"/>
  <c r="DP19" i="54"/>
  <c r="P19" i="54"/>
  <c r="BZ19" i="54"/>
  <c r="AM19" i="54"/>
  <c r="AN19" i="54"/>
  <c r="K19" i="54"/>
  <c r="CZ19" i="54"/>
  <c r="BJ19" i="54"/>
  <c r="DI19" i="54"/>
  <c r="CE19" i="54"/>
  <c r="E20" i="54"/>
  <c r="C21" i="54" s="1"/>
  <c r="AH19" i="46"/>
  <c r="BQ19" i="46"/>
  <c r="N19" i="46"/>
  <c r="K19" i="46"/>
  <c r="AY19" i="46"/>
  <c r="BD19" i="46"/>
  <c r="BY19" i="46"/>
  <c r="BW19" i="46"/>
  <c r="H19" i="46"/>
  <c r="BF19" i="46"/>
  <c r="AR19" i="46"/>
  <c r="AI19" i="46"/>
  <c r="AP19" i="46"/>
  <c r="BA19" i="46"/>
  <c r="AZ19" i="46"/>
  <c r="AG19" i="46"/>
  <c r="Q19" i="46"/>
  <c r="DI19" i="46"/>
  <c r="DP19" i="46"/>
  <c r="CJ19" i="46"/>
  <c r="BO19" i="46"/>
  <c r="E20" i="46"/>
  <c r="C21" i="46" s="1"/>
  <c r="AL19" i="46"/>
  <c r="BR19" i="46"/>
  <c r="AW19" i="46"/>
  <c r="O19" i="46"/>
  <c r="AJ19" i="46"/>
  <c r="F19" i="46"/>
  <c r="AC19" i="46"/>
  <c r="R19" i="46"/>
  <c r="DT19" i="46"/>
  <c r="Z19" i="46"/>
  <c r="CX19" i="46"/>
  <c r="BJ19" i="46"/>
  <c r="BC19" i="46"/>
  <c r="BK19" i="46"/>
  <c r="CO19" i="46"/>
  <c r="CE19" i="46"/>
  <c r="CW19" i="46"/>
  <c r="AB19" i="46"/>
  <c r="DC19" i="46"/>
  <c r="DR19" i="46"/>
  <c r="DO19" i="46"/>
  <c r="BX19" i="46"/>
  <c r="AK19" i="46"/>
  <c r="BU19" i="46"/>
  <c r="CZ19" i="46"/>
  <c r="W19" i="46"/>
  <c r="DK19" i="46"/>
  <c r="L19" i="46"/>
  <c r="AS19" i="46"/>
  <c r="CM19" i="46"/>
  <c r="DJ19" i="46"/>
  <c r="AD19" i="46"/>
  <c r="CF19" i="46"/>
  <c r="CI19" i="46"/>
  <c r="I19" i="46"/>
  <c r="U19" i="46"/>
  <c r="BM19" i="46"/>
  <c r="T19" i="46"/>
  <c r="CK19" i="46"/>
  <c r="S19" i="46"/>
  <c r="CP19" i="46"/>
  <c r="CA19" i="46"/>
  <c r="BZ19" i="46"/>
  <c r="AO19" i="46"/>
  <c r="AA19" i="46"/>
  <c r="DS19" i="46"/>
  <c r="DN19" i="46"/>
  <c r="CR19" i="46"/>
  <c r="BP19" i="46"/>
  <c r="CC19" i="46"/>
  <c r="BB19" i="46"/>
  <c r="CT19" i="46"/>
  <c r="DQ19" i="46"/>
  <c r="AM19" i="46"/>
  <c r="DG19" i="46"/>
  <c r="AN19" i="46"/>
  <c r="CG19" i="46"/>
  <c r="V19" i="46"/>
  <c r="BI19" i="46"/>
  <c r="CN19" i="46"/>
  <c r="DF19" i="46"/>
  <c r="DA19" i="46"/>
  <c r="BN19" i="46"/>
  <c r="AU19" i="46"/>
  <c r="P19" i="46"/>
  <c r="CU19" i="46"/>
  <c r="CH19" i="46"/>
  <c r="BS19" i="46"/>
  <c r="BG19" i="46"/>
  <c r="CS19" i="46"/>
  <c r="CL19" i="46"/>
  <c r="CY19" i="46"/>
  <c r="CV19" i="46"/>
  <c r="BH19" i="46"/>
  <c r="AT19" i="46"/>
  <c r="BL19" i="46"/>
  <c r="G19" i="46"/>
  <c r="CB19" i="46"/>
  <c r="AX19" i="46"/>
  <c r="DM19" i="46"/>
  <c r="BE19" i="46"/>
  <c r="M19" i="46"/>
  <c r="DD19" i="46"/>
  <c r="X19" i="46"/>
  <c r="AQ19" i="46"/>
  <c r="Y19" i="46"/>
  <c r="AV19" i="46"/>
  <c r="DE19" i="46"/>
  <c r="CD19" i="46"/>
  <c r="DH19" i="46"/>
  <c r="CQ19" i="46"/>
  <c r="DB19" i="46"/>
  <c r="AF19" i="46"/>
  <c r="BV19" i="46"/>
  <c r="J19" i="46"/>
  <c r="AE19" i="46"/>
  <c r="DL19" i="46"/>
  <c r="BT19" i="46"/>
  <c r="AN21" i="56" l="1"/>
  <c r="F21" i="56"/>
  <c r="J21" i="56"/>
  <c r="FA21" i="56"/>
  <c r="CB21" i="56"/>
  <c r="BP21" i="56"/>
  <c r="T21" i="56"/>
  <c r="N21" i="56"/>
  <c r="BV21" i="56"/>
  <c r="AG21" i="56"/>
  <c r="AK21" i="56"/>
  <c r="BG21" i="56"/>
  <c r="AL21" i="56"/>
  <c r="CP21" i="56"/>
  <c r="CC21" i="56"/>
  <c r="DQ21" i="56"/>
  <c r="AD21" i="56"/>
  <c r="EM21" i="56"/>
  <c r="AC21" i="56"/>
  <c r="EH21" i="56"/>
  <c r="AX21" i="56"/>
  <c r="CY21" i="56"/>
  <c r="EB21" i="56"/>
  <c r="AF21" i="56"/>
  <c r="ES21" i="56"/>
  <c r="BS21" i="56"/>
  <c r="CR21" i="56"/>
  <c r="CM21" i="56"/>
  <c r="DV21" i="56"/>
  <c r="BT21" i="56"/>
  <c r="BJ21" i="56"/>
  <c r="EV21" i="56"/>
  <c r="Y21" i="56"/>
  <c r="BH21" i="56"/>
  <c r="O21" i="56"/>
  <c r="AA21" i="56"/>
  <c r="BZ21" i="56"/>
  <c r="ED21" i="56"/>
  <c r="EQ21" i="56"/>
  <c r="DK21" i="56"/>
  <c r="CK21" i="56"/>
  <c r="CL21" i="56"/>
  <c r="DD21" i="56"/>
  <c r="EI21" i="56"/>
  <c r="BL21" i="56"/>
  <c r="AZ21" i="56"/>
  <c r="EA21" i="56"/>
  <c r="CN21" i="56"/>
  <c r="DM21" i="56"/>
  <c r="DP21" i="56"/>
  <c r="X21" i="56"/>
  <c r="CQ21" i="56"/>
  <c r="AH21" i="56"/>
  <c r="DG21" i="56"/>
  <c r="EJ21" i="56"/>
  <c r="DI21" i="56"/>
  <c r="AV21" i="56"/>
  <c r="CS21" i="56"/>
  <c r="W21" i="56"/>
  <c r="AE21" i="56"/>
  <c r="I21" i="56"/>
  <c r="G21" i="56"/>
  <c r="EU21" i="56"/>
  <c r="DN21" i="56"/>
  <c r="ER21" i="56"/>
  <c r="BC21" i="56"/>
  <c r="CG21" i="56"/>
  <c r="CH21" i="56"/>
  <c r="AY21" i="56"/>
  <c r="EP21" i="56"/>
  <c r="AS21" i="56"/>
  <c r="EG21" i="56"/>
  <c r="DJ21" i="56"/>
  <c r="Q21" i="56"/>
  <c r="AI21" i="56"/>
  <c r="CJ21" i="56"/>
  <c r="EN21" i="56"/>
  <c r="BD21" i="56"/>
  <c r="DB21" i="56"/>
  <c r="CE21" i="56"/>
  <c r="AP21" i="56"/>
  <c r="FC21" i="56"/>
  <c r="BA21" i="56"/>
  <c r="EY21" i="56"/>
  <c r="BN21" i="56"/>
  <c r="EO21" i="56"/>
  <c r="AR21" i="56"/>
  <c r="ET21" i="56"/>
  <c r="DL21" i="56"/>
  <c r="AQ21" i="56"/>
  <c r="EF21" i="56"/>
  <c r="BF21" i="56"/>
  <c r="P21" i="56"/>
  <c r="L21" i="56"/>
  <c r="CZ21" i="56"/>
  <c r="BK21" i="56"/>
  <c r="DR21" i="56"/>
  <c r="CW21" i="56"/>
  <c r="AO21" i="56"/>
  <c r="CX21" i="56"/>
  <c r="M21" i="56"/>
  <c r="H21" i="56"/>
  <c r="DU21" i="56"/>
  <c r="EZ21" i="56"/>
  <c r="AJ21" i="56"/>
  <c r="EC21" i="56"/>
  <c r="AB21" i="56"/>
  <c r="AU21" i="56"/>
  <c r="CI21" i="56"/>
  <c r="CU21" i="56"/>
  <c r="EW21" i="56"/>
  <c r="CA21" i="56"/>
  <c r="U21" i="56"/>
  <c r="CD21" i="56"/>
  <c r="DZ21" i="56"/>
  <c r="CF21" i="56"/>
  <c r="CV21" i="56"/>
  <c r="EX21" i="56"/>
  <c r="CT21" i="56"/>
  <c r="DE21" i="56"/>
  <c r="EE21" i="56"/>
  <c r="BM21" i="56"/>
  <c r="DT21" i="56"/>
  <c r="DY21" i="56"/>
  <c r="CO21" i="56"/>
  <c r="DC21" i="56"/>
  <c r="K21" i="56"/>
  <c r="BW21" i="56"/>
  <c r="DW21" i="56"/>
  <c r="DS21" i="56"/>
  <c r="BE21" i="56"/>
  <c r="Z21" i="56"/>
  <c r="DF21" i="56"/>
  <c r="AM21" i="56"/>
  <c r="R21" i="56"/>
  <c r="BR21" i="56"/>
  <c r="DO21" i="56"/>
  <c r="BQ21" i="56"/>
  <c r="BB21" i="56"/>
  <c r="AT21" i="56"/>
  <c r="V21" i="56"/>
  <c r="S21" i="56"/>
  <c r="BX21" i="56"/>
  <c r="EL21" i="56"/>
  <c r="DX21" i="56"/>
  <c r="BU21" i="56"/>
  <c r="DA21" i="56"/>
  <c r="DH21" i="56"/>
  <c r="BI21" i="56"/>
  <c r="BY21" i="56"/>
  <c r="FB21" i="56"/>
  <c r="E22" i="56"/>
  <c r="C23" i="56" s="1"/>
  <c r="EK21" i="56"/>
  <c r="AW21" i="56"/>
  <c r="BO21" i="56"/>
  <c r="AI20" i="54"/>
  <c r="BX20" i="54"/>
  <c r="BN20" i="54"/>
  <c r="J20" i="54"/>
  <c r="BI20" i="54"/>
  <c r="O20" i="54"/>
  <c r="CT20" i="54"/>
  <c r="AZ20" i="54"/>
  <c r="DS20" i="54"/>
  <c r="DG20" i="54"/>
  <c r="K20" i="54"/>
  <c r="BF20" i="54"/>
  <c r="BZ20" i="54"/>
  <c r="BK20" i="54"/>
  <c r="AJ20" i="54"/>
  <c r="CG20" i="54"/>
  <c r="DY20" i="54"/>
  <c r="R20" i="54"/>
  <c r="AV20" i="54"/>
  <c r="H20" i="54"/>
  <c r="DO20" i="54"/>
  <c r="CS20" i="54"/>
  <c r="BJ20" i="54"/>
  <c r="ED20" i="54"/>
  <c r="BA20" i="54"/>
  <c r="EC20" i="54"/>
  <c r="DQ20" i="54"/>
  <c r="CL20" i="54"/>
  <c r="CA20" i="54"/>
  <c r="CF20" i="54"/>
  <c r="AG20" i="54"/>
  <c r="DI20" i="54"/>
  <c r="DR20" i="54"/>
  <c r="BO20" i="54"/>
  <c r="DV20" i="54"/>
  <c r="DP20" i="54"/>
  <c r="AB20" i="54"/>
  <c r="AS20" i="54"/>
  <c r="DE20" i="54"/>
  <c r="BC20" i="54"/>
  <c r="F20" i="54"/>
  <c r="CB20" i="54"/>
  <c r="CP20" i="54"/>
  <c r="Y20" i="54"/>
  <c r="AD20" i="54"/>
  <c r="BY20" i="54"/>
  <c r="N20" i="54"/>
  <c r="BV20" i="54"/>
  <c r="U20" i="54"/>
  <c r="CY20" i="54"/>
  <c r="AM20" i="54"/>
  <c r="CN20" i="54"/>
  <c r="BQ20" i="54"/>
  <c r="CU20" i="54"/>
  <c r="Q20" i="54"/>
  <c r="BG20" i="54"/>
  <c r="CZ20" i="54"/>
  <c r="BP20" i="54"/>
  <c r="DM20" i="54"/>
  <c r="CV20" i="54"/>
  <c r="DZ20" i="54"/>
  <c r="EA20" i="54"/>
  <c r="CK20" i="54"/>
  <c r="BT20" i="54"/>
  <c r="V20" i="54"/>
  <c r="X20" i="54"/>
  <c r="G20" i="54"/>
  <c r="BS20" i="54"/>
  <c r="DL20" i="54"/>
  <c r="DU20" i="54"/>
  <c r="BE20" i="54"/>
  <c r="CX20" i="54"/>
  <c r="CH20" i="54"/>
  <c r="AC20" i="54"/>
  <c r="DB20" i="54"/>
  <c r="M20" i="54"/>
  <c r="CR20" i="54"/>
  <c r="DJ20" i="54"/>
  <c r="BD20" i="54"/>
  <c r="CQ20" i="54"/>
  <c r="BU20" i="54"/>
  <c r="DD20" i="54"/>
  <c r="EF20" i="54"/>
  <c r="DH20" i="54"/>
  <c r="BR20" i="54"/>
  <c r="DA20" i="54"/>
  <c r="EG20" i="54"/>
  <c r="L20" i="54"/>
  <c r="CM20" i="54"/>
  <c r="CE20" i="54"/>
  <c r="CD20" i="54"/>
  <c r="DX20" i="54"/>
  <c r="BB20" i="54"/>
  <c r="T20" i="54"/>
  <c r="AH20" i="54"/>
  <c r="AF20" i="54"/>
  <c r="AR20" i="54"/>
  <c r="AN20" i="54"/>
  <c r="S20" i="54"/>
  <c r="AU20" i="54"/>
  <c r="AP20" i="54"/>
  <c r="EE20" i="54"/>
  <c r="CJ20" i="54"/>
  <c r="DC20" i="54"/>
  <c r="DN20" i="54"/>
  <c r="AQ20" i="54"/>
  <c r="AL20" i="54"/>
  <c r="CO20" i="54"/>
  <c r="CI20" i="54"/>
  <c r="W20" i="54"/>
  <c r="AX20" i="54"/>
  <c r="AT20" i="54"/>
  <c r="AK20" i="54"/>
  <c r="AA20" i="54"/>
  <c r="I20" i="54"/>
  <c r="AO20" i="54"/>
  <c r="EH20" i="54"/>
  <c r="BW20" i="54"/>
  <c r="CW20" i="54"/>
  <c r="CC20" i="54"/>
  <c r="DW20" i="54"/>
  <c r="DT20" i="54"/>
  <c r="AW20" i="54"/>
  <c r="DF20" i="54"/>
  <c r="DK20" i="54"/>
  <c r="Z20" i="54"/>
  <c r="BL20" i="54"/>
  <c r="EB20" i="54"/>
  <c r="BM20" i="54"/>
  <c r="P20" i="54"/>
  <c r="AE20" i="54"/>
  <c r="AY20" i="54"/>
  <c r="BH20" i="54"/>
  <c r="E21" i="54"/>
  <c r="C22" i="54" s="1"/>
  <c r="BL20" i="46"/>
  <c r="CN20" i="46"/>
  <c r="BY20" i="46"/>
  <c r="CF20" i="46"/>
  <c r="T20" i="46"/>
  <c r="AS20" i="46"/>
  <c r="DC20" i="46"/>
  <c r="CO20" i="46"/>
  <c r="DH20" i="46"/>
  <c r="BI20" i="46"/>
  <c r="DM20" i="46"/>
  <c r="BZ20" i="46"/>
  <c r="CG20" i="46"/>
  <c r="BN20" i="46"/>
  <c r="CI20" i="46"/>
  <c r="BM20" i="46"/>
  <c r="M20" i="46"/>
  <c r="DE20" i="46"/>
  <c r="BF20" i="46"/>
  <c r="J20" i="46"/>
  <c r="CD20" i="46"/>
  <c r="BX20" i="46"/>
  <c r="S20" i="46"/>
  <c r="BA20" i="46"/>
  <c r="AK20" i="46"/>
  <c r="U20" i="46"/>
  <c r="Z20" i="46"/>
  <c r="AU20" i="46"/>
  <c r="AQ20" i="46"/>
  <c r="BS20" i="46"/>
  <c r="DB20" i="46"/>
  <c r="BK20" i="46"/>
  <c r="BP20" i="46"/>
  <c r="CE20" i="46"/>
  <c r="AD20" i="46"/>
  <c r="AZ20" i="46"/>
  <c r="CU20" i="46"/>
  <c r="F20" i="46"/>
  <c r="DD20" i="46"/>
  <c r="CA20" i="46"/>
  <c r="AN20" i="46"/>
  <c r="CV20" i="46"/>
  <c r="AH20" i="46"/>
  <c r="AE20" i="46"/>
  <c r="AV20" i="46"/>
  <c r="BD20" i="46"/>
  <c r="BO20" i="46"/>
  <c r="AX20" i="46"/>
  <c r="I20" i="46"/>
  <c r="DP20" i="46"/>
  <c r="AA20" i="46"/>
  <c r="CZ20" i="46"/>
  <c r="CQ20" i="46"/>
  <c r="BT20" i="46"/>
  <c r="CC20" i="46"/>
  <c r="AO20" i="46"/>
  <c r="BJ20" i="46"/>
  <c r="CX20" i="46"/>
  <c r="V20" i="46"/>
  <c r="AR20" i="46"/>
  <c r="DF20" i="46"/>
  <c r="AB20" i="46"/>
  <c r="BU20" i="46"/>
  <c r="CR20" i="46"/>
  <c r="P20" i="46"/>
  <c r="BE20" i="46"/>
  <c r="AI20" i="46"/>
  <c r="G20" i="46"/>
  <c r="AG20" i="46"/>
  <c r="DL20" i="46"/>
  <c r="BV20" i="46"/>
  <c r="BR20" i="46"/>
  <c r="DI20" i="46"/>
  <c r="E21" i="46"/>
  <c r="C22" i="46" s="1"/>
  <c r="DK20" i="46"/>
  <c r="BB20" i="46"/>
  <c r="CS20" i="46"/>
  <c r="BQ20" i="46"/>
  <c r="CJ20" i="46"/>
  <c r="CY20" i="46"/>
  <c r="N20" i="46"/>
  <c r="DQ20" i="46"/>
  <c r="L20" i="46"/>
  <c r="DA20" i="46"/>
  <c r="W20" i="46"/>
  <c r="BC20" i="46"/>
  <c r="BH20" i="46"/>
  <c r="CK20" i="46"/>
  <c r="DO20" i="46"/>
  <c r="DN20" i="46"/>
  <c r="BW20" i="46"/>
  <c r="O20" i="46"/>
  <c r="CH20" i="46"/>
  <c r="AL20" i="46"/>
  <c r="Y20" i="46"/>
  <c r="DR20" i="46"/>
  <c r="CB20" i="46"/>
  <c r="DJ20" i="46"/>
  <c r="CW20" i="46"/>
  <c r="CM20" i="46"/>
  <c r="CT20" i="46"/>
  <c r="R20" i="46"/>
  <c r="AM20" i="46"/>
  <c r="CP20" i="46"/>
  <c r="DT20" i="46"/>
  <c r="AF20" i="46"/>
  <c r="AT20" i="46"/>
  <c r="AC20" i="46"/>
  <c r="Q20" i="46"/>
  <c r="K20" i="46"/>
  <c r="AP20" i="46"/>
  <c r="AW20" i="46"/>
  <c r="DG20" i="46"/>
  <c r="AJ20" i="46"/>
  <c r="BG20" i="46"/>
  <c r="DS20" i="46"/>
  <c r="CL20" i="46"/>
  <c r="H20" i="46"/>
  <c r="AY20" i="46"/>
  <c r="X20" i="46"/>
  <c r="N22" i="56" l="1"/>
  <c r="AJ22" i="56"/>
  <c r="DA22" i="56"/>
  <c r="AP22" i="56"/>
  <c r="AT22" i="56"/>
  <c r="EW22" i="56"/>
  <c r="X22" i="56"/>
  <c r="BI22" i="56"/>
  <c r="EV22" i="56"/>
  <c r="AY22" i="56"/>
  <c r="BF22" i="56"/>
  <c r="DY22" i="56"/>
  <c r="DK22" i="56"/>
  <c r="DV22" i="56"/>
  <c r="BR22" i="56"/>
  <c r="CH22" i="56"/>
  <c r="AX22" i="56"/>
  <c r="DP22" i="56"/>
  <c r="AM22" i="56"/>
  <c r="P22" i="56"/>
  <c r="AN22" i="56"/>
  <c r="CN22" i="56"/>
  <c r="EZ22" i="56"/>
  <c r="AO22" i="56"/>
  <c r="BY22" i="56"/>
  <c r="DH22" i="56"/>
  <c r="AQ22" i="56"/>
  <c r="CJ22" i="56"/>
  <c r="CF22" i="56"/>
  <c r="AL22" i="56"/>
  <c r="AR22" i="56"/>
  <c r="BA22" i="56"/>
  <c r="FB22" i="56"/>
  <c r="AW22" i="56"/>
  <c r="EG22" i="56"/>
  <c r="DB22" i="56"/>
  <c r="DN22" i="56"/>
  <c r="EL22" i="56"/>
  <c r="DU22" i="56"/>
  <c r="AA22" i="56"/>
  <c r="BL22" i="56"/>
  <c r="CA22" i="56"/>
  <c r="J22" i="56"/>
  <c r="CM22" i="56"/>
  <c r="DT22" i="56"/>
  <c r="R22" i="56"/>
  <c r="BW22" i="56"/>
  <c r="CY22" i="56"/>
  <c r="BQ22" i="56"/>
  <c r="ER22" i="56"/>
  <c r="AD22" i="56"/>
  <c r="CR22" i="56"/>
  <c r="AS22" i="56"/>
  <c r="DC22" i="56"/>
  <c r="BM22" i="56"/>
  <c r="F22" i="56"/>
  <c r="CK22" i="56"/>
  <c r="FA22" i="56"/>
  <c r="Y22" i="56"/>
  <c r="DO22" i="56"/>
  <c r="ET22" i="56"/>
  <c r="CL22" i="56"/>
  <c r="I22" i="56"/>
  <c r="BH22" i="56"/>
  <c r="BS22" i="56"/>
  <c r="BP22" i="56"/>
  <c r="CV22" i="56"/>
  <c r="BZ22" i="56"/>
  <c r="L22" i="56"/>
  <c r="AF22" i="56"/>
  <c r="BO22" i="56"/>
  <c r="U22" i="56"/>
  <c r="EF22" i="56"/>
  <c r="CS22" i="56"/>
  <c r="AV22" i="56"/>
  <c r="EO22" i="56"/>
  <c r="BJ22" i="56"/>
  <c r="AG22" i="56"/>
  <c r="CI22" i="56"/>
  <c r="H22" i="56"/>
  <c r="EX22" i="56"/>
  <c r="ED22" i="56"/>
  <c r="G22" i="56"/>
  <c r="DD22" i="56"/>
  <c r="DR22" i="56"/>
  <c r="CQ22" i="56"/>
  <c r="CX22" i="56"/>
  <c r="CD22" i="56"/>
  <c r="BX22" i="56"/>
  <c r="AE22" i="56"/>
  <c r="EI22" i="56"/>
  <c r="S22" i="56"/>
  <c r="Q22" i="56"/>
  <c r="BG22" i="56"/>
  <c r="EE22" i="56"/>
  <c r="CE22" i="56"/>
  <c r="EH22" i="56"/>
  <c r="EM22" i="56"/>
  <c r="BV22" i="56"/>
  <c r="AK22" i="56"/>
  <c r="BU22" i="56"/>
  <c r="O22" i="56"/>
  <c r="T22" i="56"/>
  <c r="BB22" i="56"/>
  <c r="BT22" i="56"/>
  <c r="EY22" i="56"/>
  <c r="W22" i="56"/>
  <c r="DM22" i="56"/>
  <c r="EB22" i="56"/>
  <c r="CZ22" i="56"/>
  <c r="EK22" i="56"/>
  <c r="EU22" i="56"/>
  <c r="CG22" i="56"/>
  <c r="AB22" i="56"/>
  <c r="CB22" i="56"/>
  <c r="DZ22" i="56"/>
  <c r="BK22" i="56"/>
  <c r="AC22" i="56"/>
  <c r="CO22" i="56"/>
  <c r="AZ22" i="56"/>
  <c r="EP22" i="56"/>
  <c r="AU22" i="56"/>
  <c r="V22" i="56"/>
  <c r="CW22" i="56"/>
  <c r="DJ22" i="56"/>
  <c r="EN22" i="56"/>
  <c r="CU22" i="56"/>
  <c r="EC22" i="56"/>
  <c r="DS22" i="56"/>
  <c r="AH22" i="56"/>
  <c r="DI22" i="56"/>
  <c r="CT22" i="56"/>
  <c r="Z22" i="56"/>
  <c r="EA22" i="56"/>
  <c r="CP22" i="56"/>
  <c r="DF22" i="56"/>
  <c r="BD22" i="56"/>
  <c r="CC22" i="56"/>
  <c r="FC22" i="56"/>
  <c r="BC22" i="56"/>
  <c r="DX22" i="56"/>
  <c r="M22" i="56"/>
  <c r="BE22" i="56"/>
  <c r="EQ22" i="56"/>
  <c r="DG22" i="56"/>
  <c r="DQ22" i="56"/>
  <c r="DL22" i="56"/>
  <c r="AI22" i="56"/>
  <c r="EJ22" i="56"/>
  <c r="DW22" i="56"/>
  <c r="K22" i="56"/>
  <c r="BN22" i="56"/>
  <c r="DE22" i="56"/>
  <c r="ES22" i="56"/>
  <c r="E23" i="56"/>
  <c r="EL23" i="56" s="1"/>
  <c r="CJ21" i="54"/>
  <c r="AQ21" i="54"/>
  <c r="CL21" i="54"/>
  <c r="CK21" i="54"/>
  <c r="O21" i="54"/>
  <c r="AL21" i="54"/>
  <c r="AG21" i="54"/>
  <c r="BO21" i="54"/>
  <c r="CN21" i="54"/>
  <c r="BS21" i="54"/>
  <c r="DX21" i="54"/>
  <c r="BW21" i="54"/>
  <c r="CV21" i="54"/>
  <c r="CX21" i="54"/>
  <c r="CU21" i="54"/>
  <c r="CB21" i="54"/>
  <c r="EE21" i="54"/>
  <c r="AT21" i="54"/>
  <c r="BY21" i="54"/>
  <c r="EB21" i="54"/>
  <c r="AE21" i="54"/>
  <c r="CH21" i="54"/>
  <c r="AB21" i="54"/>
  <c r="BU21" i="54"/>
  <c r="CZ21" i="54"/>
  <c r="BV21" i="54"/>
  <c r="DF21" i="54"/>
  <c r="CQ21" i="54"/>
  <c r="W21" i="54"/>
  <c r="CE21" i="54"/>
  <c r="EF21" i="54"/>
  <c r="CI21" i="54"/>
  <c r="AK21" i="54"/>
  <c r="Y21" i="54"/>
  <c r="AS21" i="54"/>
  <c r="CG21" i="54"/>
  <c r="K21" i="54"/>
  <c r="DO21" i="54"/>
  <c r="EG21" i="54"/>
  <c r="R21" i="54"/>
  <c r="BD21" i="54"/>
  <c r="AP21" i="54"/>
  <c r="DV21" i="54"/>
  <c r="DN21" i="54"/>
  <c r="Z21" i="54"/>
  <c r="BG21" i="54"/>
  <c r="BZ21" i="54"/>
  <c r="DA21" i="54"/>
  <c r="AX21" i="54"/>
  <c r="BR21" i="54"/>
  <c r="CC21" i="54"/>
  <c r="T21" i="54"/>
  <c r="DC21" i="54"/>
  <c r="EA21" i="54"/>
  <c r="AD21" i="54"/>
  <c r="H21" i="54"/>
  <c r="Q21" i="54"/>
  <c r="AJ21" i="54"/>
  <c r="AH21" i="54"/>
  <c r="DY21" i="54"/>
  <c r="DB21" i="54"/>
  <c r="DU21" i="54"/>
  <c r="AR21" i="54"/>
  <c r="M21" i="54"/>
  <c r="BA21" i="54"/>
  <c r="U21" i="54"/>
  <c r="BJ21" i="54"/>
  <c r="DT21" i="54"/>
  <c r="DI21" i="54"/>
  <c r="F21" i="54"/>
  <c r="BI21" i="54"/>
  <c r="BK21" i="54"/>
  <c r="CS21" i="54"/>
  <c r="AV21" i="54"/>
  <c r="DS21" i="54"/>
  <c r="DQ21" i="54"/>
  <c r="AO21" i="54"/>
  <c r="BC21" i="54"/>
  <c r="DR21" i="54"/>
  <c r="P21" i="54"/>
  <c r="N21" i="54"/>
  <c r="AW21" i="54"/>
  <c r="AN21" i="54"/>
  <c r="AF21" i="54"/>
  <c r="G21" i="54"/>
  <c r="BQ21" i="54"/>
  <c r="DL21" i="54"/>
  <c r="AA21" i="54"/>
  <c r="BN21" i="54"/>
  <c r="ED21" i="54"/>
  <c r="BP21" i="54"/>
  <c r="AI21" i="54"/>
  <c r="CD21" i="54"/>
  <c r="BT21" i="54"/>
  <c r="DK21" i="54"/>
  <c r="AY21" i="54"/>
  <c r="DG21" i="54"/>
  <c r="BB21" i="54"/>
  <c r="CM21" i="54"/>
  <c r="BF21" i="54"/>
  <c r="CF21" i="54"/>
  <c r="AU21" i="54"/>
  <c r="J21" i="54"/>
  <c r="AC21" i="54"/>
  <c r="L21" i="54"/>
  <c r="BE21" i="54"/>
  <c r="CP21" i="54"/>
  <c r="CO21" i="54"/>
  <c r="DD21" i="54"/>
  <c r="DJ21" i="54"/>
  <c r="BX21" i="54"/>
  <c r="AM21" i="54"/>
  <c r="CW21" i="54"/>
  <c r="CR21" i="54"/>
  <c r="I21" i="54"/>
  <c r="V21" i="54"/>
  <c r="DE21" i="54"/>
  <c r="DZ21" i="54"/>
  <c r="CY21" i="54"/>
  <c r="EC21" i="54"/>
  <c r="AZ21" i="54"/>
  <c r="DW21" i="54"/>
  <c r="EH21" i="54"/>
  <c r="CT21" i="54"/>
  <c r="BM21" i="54"/>
  <c r="DM21" i="54"/>
  <c r="CA21" i="54"/>
  <c r="X21" i="54"/>
  <c r="DH21" i="54"/>
  <c r="BL21" i="54"/>
  <c r="BH21" i="54"/>
  <c r="S21" i="54"/>
  <c r="DP21" i="54"/>
  <c r="E22" i="54"/>
  <c r="C23" i="54" s="1"/>
  <c r="BB21" i="46"/>
  <c r="CW21" i="46"/>
  <c r="BX21" i="46"/>
  <c r="U21" i="46"/>
  <c r="CM21" i="46"/>
  <c r="BI21" i="46"/>
  <c r="CU21" i="46"/>
  <c r="DT21" i="46"/>
  <c r="BY21" i="46"/>
  <c r="BQ21" i="46"/>
  <c r="DE21" i="46"/>
  <c r="BD21" i="46"/>
  <c r="AV21" i="46"/>
  <c r="BM21" i="46"/>
  <c r="V21" i="46"/>
  <c r="BF21" i="46"/>
  <c r="CO21" i="46"/>
  <c r="N21" i="46"/>
  <c r="BW21" i="46"/>
  <c r="DR21" i="46"/>
  <c r="AT21" i="46"/>
  <c r="BK21" i="46"/>
  <c r="DI21" i="46"/>
  <c r="AQ21" i="46"/>
  <c r="K21" i="46"/>
  <c r="AK21" i="46"/>
  <c r="BP21" i="46"/>
  <c r="F21" i="46"/>
  <c r="AA21" i="46"/>
  <c r="CN21" i="46"/>
  <c r="AY21" i="46"/>
  <c r="DC21" i="46"/>
  <c r="J21" i="46"/>
  <c r="BG21" i="46"/>
  <c r="L21" i="46"/>
  <c r="BL21" i="46"/>
  <c r="AI21" i="46"/>
  <c r="BO21" i="46"/>
  <c r="AW21" i="46"/>
  <c r="DN21" i="46"/>
  <c r="AD21" i="46"/>
  <c r="CV21" i="46"/>
  <c r="DL21" i="46"/>
  <c r="DS21" i="46"/>
  <c r="AU21" i="46"/>
  <c r="AX21" i="46"/>
  <c r="DD21" i="46"/>
  <c r="DH21" i="46"/>
  <c r="AS21" i="46"/>
  <c r="T21" i="46"/>
  <c r="AM21" i="46"/>
  <c r="S21" i="46"/>
  <c r="AC21" i="46"/>
  <c r="AE21" i="46"/>
  <c r="W21" i="46"/>
  <c r="CA21" i="46"/>
  <c r="CF21" i="46"/>
  <c r="CP21" i="46"/>
  <c r="BA21" i="46"/>
  <c r="AL21" i="46"/>
  <c r="DB21" i="46"/>
  <c r="AN21" i="46"/>
  <c r="AJ21" i="46"/>
  <c r="DG21" i="46"/>
  <c r="CH21" i="46"/>
  <c r="X21" i="46"/>
  <c r="DO21" i="46"/>
  <c r="BH21" i="46"/>
  <c r="CJ21" i="46"/>
  <c r="CT21" i="46"/>
  <c r="AH21" i="46"/>
  <c r="BC21" i="46"/>
  <c r="CB21" i="46"/>
  <c r="DQ21" i="46"/>
  <c r="CC21" i="46"/>
  <c r="H21" i="46"/>
  <c r="CQ21" i="46"/>
  <c r="BR21" i="46"/>
  <c r="AF21" i="46"/>
  <c r="DM21" i="46"/>
  <c r="CK21" i="46"/>
  <c r="CE21" i="46"/>
  <c r="DJ21" i="46"/>
  <c r="Q21" i="46"/>
  <c r="CS21" i="46"/>
  <c r="CR21" i="46"/>
  <c r="BN21" i="46"/>
  <c r="BS21" i="46"/>
  <c r="DF21" i="46"/>
  <c r="AZ21" i="46"/>
  <c r="BE21" i="46"/>
  <c r="DP21" i="46"/>
  <c r="DK21" i="46"/>
  <c r="AO21" i="46"/>
  <c r="CL21" i="46"/>
  <c r="Z21" i="46"/>
  <c r="CZ21" i="46"/>
  <c r="AR21" i="46"/>
  <c r="AP21" i="46"/>
  <c r="G21" i="46"/>
  <c r="BJ21" i="46"/>
  <c r="R21" i="46"/>
  <c r="CX21" i="46"/>
  <c r="CD21" i="46"/>
  <c r="BT21" i="46"/>
  <c r="AB21" i="46"/>
  <c r="O21" i="46"/>
  <c r="AG21" i="46"/>
  <c r="P21" i="46"/>
  <c r="I21" i="46"/>
  <c r="CI21" i="46"/>
  <c r="BV21" i="46"/>
  <c r="E22" i="46"/>
  <c r="C23" i="46" s="1"/>
  <c r="BU21" i="46"/>
  <c r="DA21" i="46"/>
  <c r="Y21" i="46"/>
  <c r="CY21" i="46"/>
  <c r="CG21" i="46"/>
  <c r="M21" i="46"/>
  <c r="BZ21" i="46"/>
  <c r="AF23" i="56" l="1"/>
  <c r="T23" i="56"/>
  <c r="AS23" i="56"/>
  <c r="EU23" i="56"/>
  <c r="BZ23" i="56"/>
  <c r="DN23" i="56"/>
  <c r="BL23" i="56"/>
  <c r="AW23" i="56"/>
  <c r="CU23" i="56"/>
  <c r="DZ23" i="56"/>
  <c r="DK23" i="56"/>
  <c r="EG23" i="56"/>
  <c r="CE23" i="56"/>
  <c r="DR23" i="56"/>
  <c r="ES23" i="56"/>
  <c r="EH23" i="56"/>
  <c r="BM23" i="56"/>
  <c r="CA23" i="56"/>
  <c r="BV23" i="56"/>
  <c r="CV23" i="56"/>
  <c r="AD23" i="56"/>
  <c r="CG23" i="56"/>
  <c r="H23" i="56"/>
  <c r="EP23" i="56"/>
  <c r="AT23" i="56"/>
  <c r="P23" i="56"/>
  <c r="DD23" i="56"/>
  <c r="DL23" i="56"/>
  <c r="DX23" i="56"/>
  <c r="DF23" i="56"/>
  <c r="EJ23" i="56"/>
  <c r="K23" i="56"/>
  <c r="BI23" i="56"/>
  <c r="G23" i="56"/>
  <c r="AQ23" i="56"/>
  <c r="CP23" i="56"/>
  <c r="EY23" i="56"/>
  <c r="CK23" i="56"/>
  <c r="ED23" i="56"/>
  <c r="EM23" i="56"/>
  <c r="FA23" i="56"/>
  <c r="V23" i="56"/>
  <c r="BT23" i="56"/>
  <c r="EF23" i="56"/>
  <c r="DT23" i="56"/>
  <c r="AH23" i="56"/>
  <c r="BD23" i="56"/>
  <c r="AP23" i="56"/>
  <c r="BY23" i="56"/>
  <c r="CX23" i="56"/>
  <c r="AG23" i="56"/>
  <c r="AA23" i="56"/>
  <c r="FC23" i="56"/>
  <c r="DE23" i="56"/>
  <c r="BW23" i="56"/>
  <c r="DM23" i="56"/>
  <c r="AX23" i="56"/>
  <c r="BH23" i="56"/>
  <c r="DO23" i="56"/>
  <c r="BR23" i="56"/>
  <c r="AL23" i="56"/>
  <c r="CT23" i="56"/>
  <c r="BQ23" i="56"/>
  <c r="CM23" i="56"/>
  <c r="EB23" i="56"/>
  <c r="DB23" i="56"/>
  <c r="BB23" i="56"/>
  <c r="BG23" i="56"/>
  <c r="CF23" i="56"/>
  <c r="EN23" i="56"/>
  <c r="DJ23" i="56"/>
  <c r="AM23" i="56"/>
  <c r="W23" i="56"/>
  <c r="CS23" i="56"/>
  <c r="AV23" i="56"/>
  <c r="AZ23" i="56"/>
  <c r="BS23" i="56"/>
  <c r="AN23" i="56"/>
  <c r="DC23" i="56"/>
  <c r="BN23" i="56"/>
  <c r="EC23" i="56"/>
  <c r="X23" i="56"/>
  <c r="CQ23" i="56"/>
  <c r="DW23" i="56"/>
  <c r="DY23" i="56"/>
  <c r="CL23" i="56"/>
  <c r="AY23" i="56"/>
  <c r="L23" i="56"/>
  <c r="CB23" i="56"/>
  <c r="DG23" i="56"/>
  <c r="CY23" i="56"/>
  <c r="EW23" i="56"/>
  <c r="EZ23" i="56"/>
  <c r="CN23" i="56"/>
  <c r="AJ23" i="56"/>
  <c r="O23" i="56"/>
  <c r="CW23" i="56"/>
  <c r="AE23" i="56"/>
  <c r="M23" i="56"/>
  <c r="AR23" i="56"/>
  <c r="CH23" i="56"/>
  <c r="ER23" i="56"/>
  <c r="U23" i="56"/>
  <c r="DI23" i="56"/>
  <c r="BE23" i="56"/>
  <c r="CD23" i="56"/>
  <c r="N23" i="56"/>
  <c r="AB23" i="56"/>
  <c r="I23" i="56"/>
  <c r="EV23" i="56"/>
  <c r="DH23" i="56"/>
  <c r="FB23" i="56"/>
  <c r="DU23" i="56"/>
  <c r="BC23" i="56"/>
  <c r="R23" i="56"/>
  <c r="EE23" i="56"/>
  <c r="S23" i="56"/>
  <c r="ET23" i="56"/>
  <c r="DS23" i="56"/>
  <c r="AU23" i="56"/>
  <c r="CO23" i="56"/>
  <c r="BJ23" i="56"/>
  <c r="BU23" i="56"/>
  <c r="BF23" i="56"/>
  <c r="EO23" i="56"/>
  <c r="J23" i="56"/>
  <c r="AO23" i="56"/>
  <c r="BA23" i="56"/>
  <c r="Q23" i="56"/>
  <c r="CI23" i="56"/>
  <c r="DQ23" i="56"/>
  <c r="F23" i="56"/>
  <c r="EK23" i="56"/>
  <c r="CZ23" i="56"/>
  <c r="Y23" i="56"/>
  <c r="Z23" i="56"/>
  <c r="CC23" i="56"/>
  <c r="AK23" i="56"/>
  <c r="EA23" i="56"/>
  <c r="EI23" i="56"/>
  <c r="CR23" i="56"/>
  <c r="AI23" i="56"/>
  <c r="BP23" i="56"/>
  <c r="BX23" i="56"/>
  <c r="CJ23" i="56"/>
  <c r="EQ23" i="56"/>
  <c r="DA23" i="56"/>
  <c r="DV23" i="56"/>
  <c r="BK23" i="56"/>
  <c r="BO23" i="56"/>
  <c r="DP23" i="56"/>
  <c r="AC23" i="56"/>
  <c r="EX23" i="56"/>
  <c r="EQ35" i="56"/>
  <c r="ER37" i="56"/>
  <c r="EV35" i="56"/>
  <c r="EX37" i="56"/>
  <c r="BV37" i="56"/>
  <c r="EE37" i="56"/>
  <c r="EC37" i="56"/>
  <c r="AH35" i="56"/>
  <c r="BH35" i="56"/>
  <c r="J37" i="56"/>
  <c r="DJ37" i="56"/>
  <c r="DF37" i="56"/>
  <c r="DV37" i="56"/>
  <c r="DC35" i="56"/>
  <c r="AF35" i="56"/>
  <c r="BV35" i="56"/>
  <c r="DK37" i="56"/>
  <c r="DO37" i="56"/>
  <c r="DZ35" i="56"/>
  <c r="CY35" i="56"/>
  <c r="DR35" i="56"/>
  <c r="AC37" i="56"/>
  <c r="CA37" i="56"/>
  <c r="AA37" i="56"/>
  <c r="BU37" i="56"/>
  <c r="DT35" i="56"/>
  <c r="M35" i="56"/>
  <c r="DV35" i="56"/>
  <c r="C24" i="56"/>
  <c r="DC37" i="56"/>
  <c r="CN37" i="56"/>
  <c r="AD35" i="56"/>
  <c r="BZ35" i="56"/>
  <c r="BM35" i="56"/>
  <c r="AT37" i="56"/>
  <c r="AP37" i="56"/>
  <c r="CI37" i="56"/>
  <c r="CP35" i="56"/>
  <c r="BY35" i="56"/>
  <c r="EL35" i="56"/>
  <c r="EP35" i="56"/>
  <c r="FA35" i="56"/>
  <c r="FC37" i="56"/>
  <c r="EJ35" i="56"/>
  <c r="EL37" i="56"/>
  <c r="EO35" i="56"/>
  <c r="DT37" i="56"/>
  <c r="BO37" i="56"/>
  <c r="BL35" i="56"/>
  <c r="CL37" i="56"/>
  <c r="W35" i="56"/>
  <c r="CX37" i="56"/>
  <c r="AY37" i="56"/>
  <c r="BA37" i="56"/>
  <c r="AK35" i="56"/>
  <c r="EB35" i="56"/>
  <c r="CD35" i="56"/>
  <c r="AW35" i="56"/>
  <c r="DX37" i="56"/>
  <c r="DO35" i="56"/>
  <c r="DG37" i="56"/>
  <c r="CC35" i="56"/>
  <c r="AO35" i="56"/>
  <c r="BG37" i="56"/>
  <c r="BC35" i="56"/>
  <c r="Y37" i="56"/>
  <c r="BK37" i="56"/>
  <c r="BN35" i="56"/>
  <c r="CM35" i="56"/>
  <c r="BB35" i="56"/>
  <c r="DL37" i="56"/>
  <c r="DP37" i="56"/>
  <c r="DE35" i="56"/>
  <c r="CS35" i="56"/>
  <c r="X35" i="56"/>
  <c r="C35" i="56"/>
  <c r="DM37" i="56"/>
  <c r="BC37" i="56"/>
  <c r="BR37" i="56"/>
  <c r="ET35" i="56"/>
  <c r="EX35" i="56"/>
  <c r="EQ37" i="56"/>
  <c r="EU35" i="56"/>
  <c r="EV37" i="56"/>
  <c r="EZ35" i="56"/>
  <c r="BO35" i="56"/>
  <c r="CA35" i="56"/>
  <c r="DY35" i="56"/>
  <c r="S37" i="56"/>
  <c r="BP35" i="56"/>
  <c r="CR35" i="56"/>
  <c r="DW37" i="56"/>
  <c r="EE35" i="56"/>
  <c r="Z37" i="56"/>
  <c r="CZ37" i="56"/>
  <c r="BN37" i="56"/>
  <c r="S35" i="56"/>
  <c r="CV35" i="56"/>
  <c r="DM35" i="56"/>
  <c r="DD35" i="56"/>
  <c r="EG37" i="56"/>
  <c r="F35" i="56"/>
  <c r="CU35" i="56"/>
  <c r="DI35" i="56"/>
  <c r="CT35" i="56"/>
  <c r="BM37" i="56"/>
  <c r="DU37" i="56"/>
  <c r="G37" i="56"/>
  <c r="BX37" i="56"/>
  <c r="AQ37" i="56"/>
  <c r="BY37" i="56"/>
  <c r="DA37" i="56"/>
  <c r="EA35" i="56"/>
  <c r="AY35" i="56"/>
  <c r="AD37" i="56"/>
  <c r="AJ37" i="56"/>
  <c r="Z35" i="56"/>
  <c r="AR35" i="56"/>
  <c r="DX35" i="56"/>
  <c r="FB35" i="56"/>
  <c r="EK37" i="56"/>
  <c r="FB37" i="56"/>
  <c r="EI35" i="56"/>
  <c r="EJ37" i="56"/>
  <c r="EN35" i="56"/>
  <c r="EP37" i="56"/>
  <c r="DU35" i="56"/>
  <c r="AA35" i="56"/>
  <c r="N37" i="56"/>
  <c r="P37" i="56"/>
  <c r="CF37" i="56"/>
  <c r="CH35" i="56"/>
  <c r="O35" i="56"/>
  <c r="BF35" i="56"/>
  <c r="V37" i="56"/>
  <c r="DI37" i="56"/>
  <c r="DD37" i="56"/>
  <c r="CN35" i="56"/>
  <c r="CX35" i="56"/>
  <c r="DS37" i="56"/>
  <c r="BK35" i="56"/>
  <c r="CG37" i="56"/>
  <c r="Q35" i="56"/>
  <c r="CO35" i="56"/>
  <c r="BB37" i="56"/>
  <c r="C37" i="56"/>
  <c r="AR37" i="56"/>
  <c r="AF37" i="56"/>
  <c r="AU35" i="56"/>
  <c r="DL35" i="56"/>
  <c r="DB35" i="56"/>
  <c r="EF35" i="56"/>
  <c r="F37" i="56"/>
  <c r="EF37" i="56"/>
  <c r="EH37" i="56"/>
  <c r="AI37" i="56"/>
  <c r="CH37" i="56"/>
  <c r="AO37" i="56"/>
  <c r="AZ37" i="56"/>
  <c r="ED35" i="56"/>
  <c r="EO37" i="56"/>
  <c r="ES37" i="56"/>
  <c r="ES35" i="56"/>
  <c r="EU37" i="56"/>
  <c r="EY35" i="56"/>
  <c r="EZ37" i="56"/>
  <c r="T37" i="56"/>
  <c r="L35" i="56"/>
  <c r="M37" i="56"/>
  <c r="DH35" i="56"/>
  <c r="Y35" i="56"/>
  <c r="DZ37" i="56"/>
  <c r="EC35" i="56"/>
  <c r="BJ37" i="56"/>
  <c r="AV35" i="56"/>
  <c r="CV37" i="56"/>
  <c r="BF37" i="56"/>
  <c r="BA35" i="56"/>
  <c r="AN37" i="56"/>
  <c r="CZ35" i="56"/>
  <c r="CQ37" i="56"/>
  <c r="DY37" i="56"/>
  <c r="BT37" i="56"/>
  <c r="CO37" i="56"/>
  <c r="DG35" i="56"/>
  <c r="BP37" i="56"/>
  <c r="BE37" i="56"/>
  <c r="DF35" i="56"/>
  <c r="AJ35" i="56"/>
  <c r="CJ35" i="56"/>
  <c r="N35" i="56"/>
  <c r="AI35" i="56"/>
  <c r="BD35" i="56"/>
  <c r="DH37" i="56"/>
  <c r="U37" i="56"/>
  <c r="T35" i="56"/>
  <c r="BT35" i="56"/>
  <c r="DE37" i="56"/>
  <c r="CU37" i="56"/>
  <c r="CY37" i="56"/>
  <c r="EW37" i="56"/>
  <c r="FA37" i="56"/>
  <c r="EI37" i="56"/>
  <c r="EM35" i="56"/>
  <c r="EN37" i="56"/>
  <c r="ED37" i="56"/>
  <c r="BI35" i="56"/>
  <c r="EH35" i="56"/>
  <c r="DS35" i="56"/>
  <c r="AB37" i="56"/>
  <c r="BS37" i="56"/>
  <c r="I35" i="56"/>
  <c r="K37" i="56"/>
  <c r="DN35" i="56"/>
  <c r="CW35" i="56"/>
  <c r="CM37" i="56"/>
  <c r="X37" i="56"/>
  <c r="U35" i="56"/>
  <c r="AC35" i="56"/>
  <c r="C33" i="56"/>
  <c r="BL37" i="56"/>
  <c r="AK37" i="56"/>
  <c r="AN35" i="56"/>
  <c r="AQ35" i="56"/>
  <c r="AV37" i="56"/>
  <c r="W37" i="56"/>
  <c r="AH37" i="56"/>
  <c r="CI35" i="56"/>
  <c r="BU35" i="56"/>
  <c r="I37" i="56"/>
  <c r="V35" i="56"/>
  <c r="K35" i="56"/>
  <c r="AP35" i="56"/>
  <c r="L37" i="56"/>
  <c r="R35" i="56"/>
  <c r="AL35" i="56"/>
  <c r="DW35" i="56"/>
  <c r="CL35" i="56"/>
  <c r="CB35" i="56"/>
  <c r="ER35" i="56"/>
  <c r="ET37" i="56"/>
  <c r="EW35" i="56"/>
  <c r="EY37" i="56"/>
  <c r="H37" i="56"/>
  <c r="P35" i="56"/>
  <c r="CE35" i="56"/>
  <c r="AX35" i="56"/>
  <c r="CK35" i="56"/>
  <c r="DR37" i="56"/>
  <c r="DK35" i="56"/>
  <c r="AZ35" i="56"/>
  <c r="R37" i="56"/>
  <c r="CC37" i="56"/>
  <c r="AX37" i="56"/>
  <c r="AU37" i="56"/>
  <c r="AE35" i="56"/>
  <c r="AS35" i="56"/>
  <c r="Q37" i="56"/>
  <c r="DQ37" i="56"/>
  <c r="BJ35" i="56"/>
  <c r="BR35" i="56"/>
  <c r="CP37" i="56"/>
  <c r="AM35" i="56"/>
  <c r="DQ35" i="56"/>
  <c r="AL37" i="56"/>
  <c r="CJ37" i="56"/>
  <c r="J35" i="56"/>
  <c r="EA37" i="56"/>
  <c r="DB37" i="56"/>
  <c r="CD37" i="56"/>
  <c r="BW35" i="56"/>
  <c r="H35" i="56"/>
  <c r="BD37" i="56"/>
  <c r="BS35" i="56"/>
  <c r="EG35" i="56"/>
  <c r="BQ35" i="56"/>
  <c r="CR37" i="56"/>
  <c r="AT35" i="56"/>
  <c r="CT37" i="56"/>
  <c r="EB37" i="56"/>
  <c r="DA35" i="56"/>
  <c r="AG37" i="56"/>
  <c r="BZ37" i="56"/>
  <c r="AB35" i="56"/>
  <c r="CW37" i="56"/>
  <c r="DP35" i="56"/>
  <c r="DN37" i="56"/>
  <c r="AW37" i="56"/>
  <c r="CB37" i="56"/>
  <c r="AM37" i="56"/>
  <c r="BW37" i="56"/>
  <c r="BI37" i="56"/>
  <c r="CF35" i="56"/>
  <c r="CQ35" i="56"/>
  <c r="BX35" i="56"/>
  <c r="FC35" i="56"/>
  <c r="CG35" i="56"/>
  <c r="G35" i="56"/>
  <c r="BG35" i="56"/>
  <c r="BH37" i="56"/>
  <c r="EK35" i="56"/>
  <c r="CE37" i="56"/>
  <c r="AE37" i="56"/>
  <c r="AS37" i="56"/>
  <c r="BE35" i="56"/>
  <c r="CS37" i="56"/>
  <c r="AG35" i="56"/>
  <c r="BQ37" i="56"/>
  <c r="O37" i="56"/>
  <c r="EM37" i="56"/>
  <c r="DJ35" i="56"/>
  <c r="CK37" i="56"/>
  <c r="ET33" i="56"/>
  <c r="CX33" i="56"/>
  <c r="M33" i="56"/>
  <c r="DS33" i="56"/>
  <c r="CE33" i="56"/>
  <c r="CI33" i="56"/>
  <c r="CK33" i="56"/>
  <c r="DZ33" i="56"/>
  <c r="BB33" i="56"/>
  <c r="EC33" i="56"/>
  <c r="DV33" i="56"/>
  <c r="FB33" i="56"/>
  <c r="K33" i="56"/>
  <c r="EV33" i="56"/>
  <c r="AX33" i="56"/>
  <c r="BO33" i="56"/>
  <c r="FA33" i="56"/>
  <c r="DA33" i="56"/>
  <c r="DP33" i="56"/>
  <c r="EZ33" i="56"/>
  <c r="BL33" i="56"/>
  <c r="CG33" i="56"/>
  <c r="EN33" i="56"/>
  <c r="EH33" i="56"/>
  <c r="DK33" i="56"/>
  <c r="BT33" i="56"/>
  <c r="EG33" i="56"/>
  <c r="AW33" i="56"/>
  <c r="AS33" i="56"/>
  <c r="DE33" i="56"/>
  <c r="EK33" i="56"/>
  <c r="BI33" i="56"/>
  <c r="AN33" i="56"/>
  <c r="J33" i="56"/>
  <c r="I33" i="56"/>
  <c r="AU33" i="56"/>
  <c r="Y33" i="56"/>
  <c r="BC33" i="56"/>
  <c r="BQ33" i="56"/>
  <c r="EA33" i="56"/>
  <c r="DJ33" i="56"/>
  <c r="DF33" i="56"/>
  <c r="ES33" i="56"/>
  <c r="AA33" i="56"/>
  <c r="CZ33" i="56"/>
  <c r="EL33" i="56"/>
  <c r="AH33" i="56"/>
  <c r="AY33" i="56"/>
  <c r="BJ33" i="56"/>
  <c r="O33" i="56"/>
  <c r="W33" i="56"/>
  <c r="V33" i="56"/>
  <c r="DO33" i="56"/>
  <c r="EQ33" i="56"/>
  <c r="BH33" i="56"/>
  <c r="G33" i="56"/>
  <c r="EO33" i="56"/>
  <c r="DN33" i="56"/>
  <c r="BD33" i="56"/>
  <c r="BV33" i="56"/>
  <c r="R33" i="56"/>
  <c r="EX33" i="56"/>
  <c r="S33" i="56"/>
  <c r="BR33" i="56"/>
  <c r="BK33" i="56"/>
  <c r="AL33" i="56"/>
  <c r="ER33" i="56"/>
  <c r="CA33" i="56"/>
  <c r="AF33" i="56"/>
  <c r="DW33" i="56"/>
  <c r="DR33" i="56"/>
  <c r="AE33" i="56"/>
  <c r="AV33" i="56"/>
  <c r="EU33" i="56"/>
  <c r="AR33" i="56"/>
  <c r="BM33" i="56"/>
  <c r="AM33" i="56"/>
  <c r="CB33" i="56"/>
  <c r="CV33" i="56"/>
  <c r="CJ33" i="56"/>
  <c r="CW33" i="56"/>
  <c r="AD33" i="56"/>
  <c r="DB33" i="56"/>
  <c r="AC33" i="56"/>
  <c r="BA33" i="56"/>
  <c r="EW33" i="56"/>
  <c r="BG33" i="56"/>
  <c r="EE33" i="56"/>
  <c r="AI33" i="56"/>
  <c r="BS33" i="56"/>
  <c r="EB33" i="56"/>
  <c r="H33" i="56"/>
  <c r="CC33" i="56"/>
  <c r="DU33" i="56"/>
  <c r="EJ33" i="56"/>
  <c r="DI33" i="56"/>
  <c r="AK33" i="56"/>
  <c r="DG33" i="56"/>
  <c r="AJ33" i="56"/>
  <c r="DL33" i="56"/>
  <c r="AP33" i="56"/>
  <c r="U33" i="56"/>
  <c r="AZ33" i="56"/>
  <c r="AB33" i="56"/>
  <c r="N33" i="56"/>
  <c r="BY33" i="56"/>
  <c r="Z33" i="56"/>
  <c r="EI33" i="56"/>
  <c r="CP33" i="56"/>
  <c r="L33" i="56"/>
  <c r="CQ33" i="56"/>
  <c r="CO33" i="56"/>
  <c r="AO33" i="56"/>
  <c r="AT33" i="56"/>
  <c r="EY33" i="56"/>
  <c r="CR33" i="56"/>
  <c r="T33" i="56"/>
  <c r="CH33" i="56"/>
  <c r="DX33" i="56"/>
  <c r="DT33" i="56"/>
  <c r="CN33" i="56"/>
  <c r="Q33" i="56"/>
  <c r="AG33" i="56"/>
  <c r="BP33" i="56"/>
  <c r="CD33" i="56"/>
  <c r="CM33" i="56"/>
  <c r="BF33" i="56"/>
  <c r="EM33" i="56"/>
  <c r="BZ33" i="56"/>
  <c r="AQ33" i="56"/>
  <c r="P33" i="56"/>
  <c r="CL33" i="56"/>
  <c r="DQ33" i="56"/>
  <c r="DM33" i="56"/>
  <c r="FC33" i="56"/>
  <c r="F33" i="56"/>
  <c r="CS33" i="56"/>
  <c r="CY33" i="56"/>
  <c r="BN33" i="56"/>
  <c r="CU33" i="56"/>
  <c r="CT33" i="56"/>
  <c r="EF33" i="56"/>
  <c r="ED33" i="56"/>
  <c r="CF33" i="56"/>
  <c r="DC33" i="56"/>
  <c r="BU33" i="56"/>
  <c r="DY33" i="56"/>
  <c r="EP33" i="56"/>
  <c r="X33" i="56"/>
  <c r="BW33" i="56"/>
  <c r="BE33" i="56"/>
  <c r="DH33" i="56"/>
  <c r="DD33" i="56"/>
  <c r="BX33" i="56"/>
  <c r="CO22" i="54"/>
  <c r="DU22" i="54"/>
  <c r="AD22" i="54"/>
  <c r="DQ22" i="54"/>
  <c r="CR22" i="54"/>
  <c r="CS22" i="54"/>
  <c r="AR22" i="54"/>
  <c r="AJ22" i="54"/>
  <c r="AF22" i="54"/>
  <c r="CF22" i="54"/>
  <c r="DB22" i="54"/>
  <c r="BN22" i="54"/>
  <c r="CN22" i="54"/>
  <c r="ED22" i="54"/>
  <c r="DD22" i="54"/>
  <c r="AO22" i="54"/>
  <c r="U22" i="54"/>
  <c r="DT22" i="54"/>
  <c r="BS22" i="54"/>
  <c r="AK22" i="54"/>
  <c r="BW22" i="54"/>
  <c r="DE22" i="54"/>
  <c r="EC22" i="54"/>
  <c r="W22" i="54"/>
  <c r="AZ22" i="54"/>
  <c r="DY22" i="54"/>
  <c r="CV22" i="54"/>
  <c r="BH22" i="54"/>
  <c r="Y22" i="54"/>
  <c r="CT22" i="54"/>
  <c r="BD22" i="54"/>
  <c r="EH22" i="54"/>
  <c r="BO22" i="54"/>
  <c r="J22" i="54"/>
  <c r="AG22" i="54"/>
  <c r="DA22" i="54"/>
  <c r="AS22" i="54"/>
  <c r="DC22" i="54"/>
  <c r="DL22" i="54"/>
  <c r="DN22" i="54"/>
  <c r="BR22" i="54"/>
  <c r="CJ22" i="54"/>
  <c r="DJ22" i="54"/>
  <c r="EF22" i="54"/>
  <c r="BF22" i="54"/>
  <c r="O22" i="54"/>
  <c r="BP22" i="54"/>
  <c r="CP22" i="54"/>
  <c r="BY22" i="54"/>
  <c r="DI22" i="54"/>
  <c r="AY22" i="54"/>
  <c r="CC22" i="54"/>
  <c r="DR22" i="54"/>
  <c r="BA22" i="54"/>
  <c r="DF22" i="54"/>
  <c r="EB22" i="54"/>
  <c r="DV22" i="54"/>
  <c r="EA22" i="54"/>
  <c r="CQ22" i="54"/>
  <c r="L22" i="54"/>
  <c r="CG22" i="54"/>
  <c r="BJ22" i="54"/>
  <c r="DM22" i="54"/>
  <c r="DH22" i="54"/>
  <c r="BT22" i="54"/>
  <c r="DG22" i="54"/>
  <c r="CB22" i="54"/>
  <c r="AB22" i="54"/>
  <c r="CM22" i="54"/>
  <c r="CH22" i="54"/>
  <c r="BG22" i="54"/>
  <c r="BK22" i="54"/>
  <c r="X22" i="54"/>
  <c r="AW22" i="54"/>
  <c r="F22" i="54"/>
  <c r="G22" i="54"/>
  <c r="EG22" i="54"/>
  <c r="AU22" i="54"/>
  <c r="AC22" i="54"/>
  <c r="BX22" i="54"/>
  <c r="DO22" i="54"/>
  <c r="BL22" i="54"/>
  <c r="BE22" i="54"/>
  <c r="CU22" i="54"/>
  <c r="AM22" i="54"/>
  <c r="AH22" i="54"/>
  <c r="BM22" i="54"/>
  <c r="CZ22" i="54"/>
  <c r="BU22" i="54"/>
  <c r="CW22" i="54"/>
  <c r="R22" i="54"/>
  <c r="DK22" i="54"/>
  <c r="H22" i="54"/>
  <c r="CK22" i="54"/>
  <c r="CD22" i="54"/>
  <c r="AN22" i="54"/>
  <c r="AE22" i="54"/>
  <c r="AV22" i="54"/>
  <c r="V22" i="54"/>
  <c r="P22" i="54"/>
  <c r="EE22" i="54"/>
  <c r="AA22" i="54"/>
  <c r="AX22" i="54"/>
  <c r="Q22" i="54"/>
  <c r="Z22" i="54"/>
  <c r="DP22" i="54"/>
  <c r="BV22" i="54"/>
  <c r="BZ22" i="54"/>
  <c r="T22" i="54"/>
  <c r="CE22" i="54"/>
  <c r="CA22" i="54"/>
  <c r="CI22" i="54"/>
  <c r="DS22" i="54"/>
  <c r="DX22" i="54"/>
  <c r="AI22" i="54"/>
  <c r="BB22" i="54"/>
  <c r="AQ22" i="54"/>
  <c r="AT22" i="54"/>
  <c r="BI22" i="54"/>
  <c r="I22" i="54"/>
  <c r="K22" i="54"/>
  <c r="N22" i="54"/>
  <c r="CX22" i="54"/>
  <c r="DZ22" i="54"/>
  <c r="CY22" i="54"/>
  <c r="M22" i="54"/>
  <c r="AL22" i="54"/>
  <c r="AP22" i="54"/>
  <c r="BC22" i="54"/>
  <c r="S22" i="54"/>
  <c r="DW22" i="54"/>
  <c r="CL22" i="54"/>
  <c r="BQ22" i="54"/>
  <c r="E23" i="54"/>
  <c r="CK23" i="54" s="1"/>
  <c r="DM22" i="46"/>
  <c r="AN22" i="46"/>
  <c r="CK22" i="46"/>
  <c r="DN22" i="46"/>
  <c r="BB22" i="46"/>
  <c r="P22" i="46"/>
  <c r="AJ22" i="46"/>
  <c r="BL22" i="46"/>
  <c r="DS22" i="46"/>
  <c r="R22" i="46"/>
  <c r="BC22" i="46"/>
  <c r="F22" i="46"/>
  <c r="AS22" i="46"/>
  <c r="AY22" i="46"/>
  <c r="DD22" i="46"/>
  <c r="BJ22" i="46"/>
  <c r="Q22" i="46"/>
  <c r="AW22" i="46"/>
  <c r="N22" i="46"/>
  <c r="U22" i="46"/>
  <c r="CG22" i="46"/>
  <c r="CB22" i="46"/>
  <c r="BK22" i="46"/>
  <c r="Y22" i="46"/>
  <c r="CM22" i="46"/>
  <c r="DJ22" i="46"/>
  <c r="BE22" i="46"/>
  <c r="CP22" i="46"/>
  <c r="BD22" i="46"/>
  <c r="AE22" i="46"/>
  <c r="AF22" i="46"/>
  <c r="K22" i="46"/>
  <c r="BR22" i="46"/>
  <c r="AK22" i="46"/>
  <c r="AP22" i="46"/>
  <c r="AU22" i="46"/>
  <c r="DG22" i="46"/>
  <c r="DP22" i="46"/>
  <c r="H22" i="46"/>
  <c r="BW22" i="46"/>
  <c r="I22" i="46"/>
  <c r="BN22" i="46"/>
  <c r="AL22" i="46"/>
  <c r="BS22" i="46"/>
  <c r="CW22" i="46"/>
  <c r="CD22" i="46"/>
  <c r="J22" i="46"/>
  <c r="X22" i="46"/>
  <c r="BA22" i="46"/>
  <c r="AX22" i="46"/>
  <c r="CZ22" i="46"/>
  <c r="E23" i="46"/>
  <c r="DK23" i="46" s="1"/>
  <c r="CV22" i="46"/>
  <c r="DR22" i="46"/>
  <c r="CI22" i="46"/>
  <c r="CA22" i="46"/>
  <c r="BG22" i="46"/>
  <c r="AA22" i="46"/>
  <c r="DC22" i="46"/>
  <c r="DT22" i="46"/>
  <c r="BF22" i="46"/>
  <c r="AH22" i="46"/>
  <c r="BY22" i="46"/>
  <c r="CO22" i="46"/>
  <c r="DK22" i="46"/>
  <c r="CL22" i="46"/>
  <c r="L22" i="46"/>
  <c r="T22" i="46"/>
  <c r="M22" i="46"/>
  <c r="CJ22" i="46"/>
  <c r="CX22" i="46"/>
  <c r="BP22" i="46"/>
  <c r="CU22" i="46"/>
  <c r="W22" i="46"/>
  <c r="DQ22" i="46"/>
  <c r="V22" i="46"/>
  <c r="AB22" i="46"/>
  <c r="BU22" i="46"/>
  <c r="DI22" i="46"/>
  <c r="CQ22" i="46"/>
  <c r="CY22" i="46"/>
  <c r="O22" i="46"/>
  <c r="BV22" i="46"/>
  <c r="AM22" i="46"/>
  <c r="AQ22" i="46"/>
  <c r="AG22" i="46"/>
  <c r="DH22" i="46"/>
  <c r="DE22" i="46"/>
  <c r="CS22" i="46"/>
  <c r="AO22" i="46"/>
  <c r="CH22" i="46"/>
  <c r="CN22" i="46"/>
  <c r="DA22" i="46"/>
  <c r="CF22" i="46"/>
  <c r="CR22" i="46"/>
  <c r="CT22" i="46"/>
  <c r="Z22" i="46"/>
  <c r="BZ22" i="46"/>
  <c r="CC22" i="46"/>
  <c r="AT22" i="46"/>
  <c r="BM22" i="46"/>
  <c r="DL22" i="46"/>
  <c r="AC22" i="46"/>
  <c r="AI22" i="46"/>
  <c r="AD22" i="46"/>
  <c r="AV22" i="46"/>
  <c r="G22" i="46"/>
  <c r="BI22" i="46"/>
  <c r="AZ22" i="46"/>
  <c r="DO22" i="46"/>
  <c r="DF22" i="46"/>
  <c r="BO22" i="46"/>
  <c r="DB22" i="46"/>
  <c r="BX22" i="46"/>
  <c r="BQ22" i="46"/>
  <c r="S22" i="46"/>
  <c r="BT22" i="46"/>
  <c r="BH22" i="46"/>
  <c r="AR22" i="46"/>
  <c r="CE22" i="46"/>
  <c r="E24" i="56" l="1"/>
  <c r="C25" i="56" s="1"/>
  <c r="F40" i="56"/>
  <c r="BR40" i="56"/>
  <c r="AE40" i="56"/>
  <c r="CQ40" i="56"/>
  <c r="BP40" i="56"/>
  <c r="P40" i="56"/>
  <c r="CB40" i="56"/>
  <c r="BX40" i="56"/>
  <c r="AO40" i="56"/>
  <c r="J40" i="56"/>
  <c r="BV40" i="56"/>
  <c r="CM40" i="56"/>
  <c r="BY40" i="56"/>
  <c r="EP40" i="56"/>
  <c r="DF40" i="56"/>
  <c r="EV40" i="56"/>
  <c r="EQ40" i="56"/>
  <c r="FA40" i="56"/>
  <c r="DA40" i="56"/>
  <c r="EG40" i="56"/>
  <c r="N40" i="56"/>
  <c r="BZ40" i="56"/>
  <c r="AM40" i="56"/>
  <c r="CY40" i="56"/>
  <c r="CF40" i="56"/>
  <c r="X40" i="56"/>
  <c r="CJ40" i="56"/>
  <c r="U40" i="56"/>
  <c r="AW40" i="56"/>
  <c r="R40" i="56"/>
  <c r="CD40" i="56"/>
  <c r="T40" i="56"/>
  <c r="CO40" i="56"/>
  <c r="EX40" i="56"/>
  <c r="ED40" i="56"/>
  <c r="DQ40" i="56"/>
  <c r="EY40" i="56"/>
  <c r="DN40" i="56"/>
  <c r="DY40" i="56"/>
  <c r="DH40" i="56"/>
  <c r="BT40" i="56"/>
  <c r="EC40" i="56"/>
  <c r="V40" i="56"/>
  <c r="CH40" i="56"/>
  <c r="AU40" i="56"/>
  <c r="AA40" i="56"/>
  <c r="CV40" i="56"/>
  <c r="AF40" i="56"/>
  <c r="CR40" i="56"/>
  <c r="BA40" i="56"/>
  <c r="BE40" i="56"/>
  <c r="Z40" i="56"/>
  <c r="CL40" i="56"/>
  <c r="AJ40" i="56"/>
  <c r="CZ40" i="56"/>
  <c r="DD40" i="56"/>
  <c r="EL40" i="56"/>
  <c r="EO40" i="56"/>
  <c r="DL40" i="56"/>
  <c r="DV40" i="56"/>
  <c r="EW40" i="56"/>
  <c r="AR40" i="56"/>
  <c r="ES40" i="56"/>
  <c r="DI40" i="56"/>
  <c r="AD40" i="56"/>
  <c r="CP40" i="56"/>
  <c r="BC40" i="56"/>
  <c r="AQ40" i="56"/>
  <c r="AC40" i="56"/>
  <c r="AN40" i="56"/>
  <c r="S40" i="56"/>
  <c r="CG40" i="56"/>
  <c r="BM40" i="56"/>
  <c r="AH40" i="56"/>
  <c r="CT40" i="56"/>
  <c r="BH40" i="56"/>
  <c r="DB40" i="56"/>
  <c r="EB40" i="56"/>
  <c r="FB40" i="56"/>
  <c r="DC40" i="56"/>
  <c r="DT40" i="56"/>
  <c r="ET40" i="56"/>
  <c r="DE40" i="56"/>
  <c r="CS40" i="56"/>
  <c r="AL40" i="56"/>
  <c r="CX40" i="56"/>
  <c r="BK40" i="56"/>
  <c r="BO40" i="56"/>
  <c r="AS40" i="56"/>
  <c r="AV40" i="56"/>
  <c r="BG40" i="56"/>
  <c r="I40" i="56"/>
  <c r="BU40" i="56"/>
  <c r="AP40" i="56"/>
  <c r="K40" i="56"/>
  <c r="CN40" i="56"/>
  <c r="DJ40" i="56"/>
  <c r="EZ40" i="56"/>
  <c r="DO40" i="56"/>
  <c r="DK40" i="56"/>
  <c r="EJ40" i="56"/>
  <c r="DW40" i="56"/>
  <c r="DG40" i="56"/>
  <c r="AZ40" i="56"/>
  <c r="AT40" i="56"/>
  <c r="G40" i="56"/>
  <c r="BS40" i="56"/>
  <c r="CE40" i="56"/>
  <c r="BQ40" i="56"/>
  <c r="BD40" i="56"/>
  <c r="CU40" i="56"/>
  <c r="Q40" i="56"/>
  <c r="CC40" i="56"/>
  <c r="AX40" i="56"/>
  <c r="AI40" i="56"/>
  <c r="M40" i="56"/>
  <c r="DR40" i="56"/>
  <c r="DU40" i="56"/>
  <c r="EE40" i="56"/>
  <c r="DS40" i="56"/>
  <c r="ER40" i="56"/>
  <c r="EM40" i="56"/>
  <c r="FC40" i="56"/>
  <c r="W40" i="56"/>
  <c r="CI40" i="56"/>
  <c r="H40" i="56"/>
  <c r="BN40" i="56"/>
  <c r="BW40" i="56"/>
  <c r="EH40" i="56"/>
  <c r="EI40" i="56"/>
  <c r="BB40" i="56"/>
  <c r="O40" i="56"/>
  <c r="CA40" i="56"/>
  <c r="L40" i="56"/>
  <c r="CW40" i="56"/>
  <c r="BL40" i="56"/>
  <c r="AB40" i="56"/>
  <c r="Y40" i="56"/>
  <c r="CK40" i="56"/>
  <c r="BF40" i="56"/>
  <c r="AY40" i="56"/>
  <c r="AK40" i="56"/>
  <c r="DZ40" i="56"/>
  <c r="EK40" i="56"/>
  <c r="EU40" i="56"/>
  <c r="EA40" i="56"/>
  <c r="DM40" i="56"/>
  <c r="DP40" i="56"/>
  <c r="EN40" i="56"/>
  <c r="BJ40" i="56"/>
  <c r="AG40" i="56"/>
  <c r="BI40" i="56"/>
  <c r="DX40" i="56"/>
  <c r="EF40" i="56"/>
  <c r="DV23" i="54"/>
  <c r="AB23" i="54"/>
  <c r="AK23" i="54"/>
  <c r="DN23" i="54"/>
  <c r="AO23" i="54"/>
  <c r="AE23" i="54"/>
  <c r="BZ23" i="54"/>
  <c r="CV23" i="54"/>
  <c r="BL23" i="54"/>
  <c r="BM23" i="54"/>
  <c r="BC23" i="54"/>
  <c r="CN23" i="54"/>
  <c r="N23" i="54"/>
  <c r="EF23" i="54"/>
  <c r="BP23" i="54"/>
  <c r="CQ23" i="54"/>
  <c r="EA23" i="54"/>
  <c r="H23" i="54"/>
  <c r="DG23" i="54"/>
  <c r="CO23" i="54"/>
  <c r="AI23" i="54"/>
  <c r="CA23" i="54"/>
  <c r="CJ23" i="54"/>
  <c r="AG23" i="54"/>
  <c r="BF23" i="54"/>
  <c r="BB23" i="54"/>
  <c r="CZ23" i="54"/>
  <c r="CP23" i="54"/>
  <c r="X23" i="54"/>
  <c r="EB23" i="54"/>
  <c r="BW23" i="54"/>
  <c r="BT23" i="54"/>
  <c r="V23" i="54"/>
  <c r="BN23" i="54"/>
  <c r="DJ23" i="54"/>
  <c r="CX23" i="54"/>
  <c r="W23" i="54"/>
  <c r="AH23" i="54"/>
  <c r="CY23" i="54"/>
  <c r="AJ23" i="54"/>
  <c r="DX23" i="54"/>
  <c r="DW23" i="54"/>
  <c r="DM23" i="54"/>
  <c r="BR23" i="54"/>
  <c r="U23" i="54"/>
  <c r="F23" i="54"/>
  <c r="AC23" i="54"/>
  <c r="DF23" i="54"/>
  <c r="AP23" i="54"/>
  <c r="BY23" i="54"/>
  <c r="Z23" i="54"/>
  <c r="AY23" i="54"/>
  <c r="BA23" i="54"/>
  <c r="CE23" i="54"/>
  <c r="EH23" i="54"/>
  <c r="S23" i="54"/>
  <c r="BU23" i="54"/>
  <c r="P23" i="54"/>
  <c r="DU23" i="54"/>
  <c r="CL23" i="54"/>
  <c r="BI23" i="54"/>
  <c r="AA23" i="54"/>
  <c r="AN23" i="54"/>
  <c r="AV23" i="54"/>
  <c r="EG23" i="54"/>
  <c r="AF23" i="54"/>
  <c r="DY23" i="54"/>
  <c r="L23" i="54"/>
  <c r="AL23" i="54"/>
  <c r="CD23" i="54"/>
  <c r="DO23" i="54"/>
  <c r="ED23" i="54"/>
  <c r="Y23" i="54"/>
  <c r="AU23" i="54"/>
  <c r="M23" i="54"/>
  <c r="AM23" i="54"/>
  <c r="DK23" i="54"/>
  <c r="I23" i="54"/>
  <c r="BO23" i="54"/>
  <c r="O23" i="54"/>
  <c r="BQ23" i="54"/>
  <c r="R23" i="54"/>
  <c r="BV23" i="54"/>
  <c r="BG23" i="54"/>
  <c r="T23" i="54"/>
  <c r="AX23" i="54"/>
  <c r="J23" i="54"/>
  <c r="CR23" i="54"/>
  <c r="DT23" i="54"/>
  <c r="CU23" i="54"/>
  <c r="Q23" i="54"/>
  <c r="AZ23" i="54"/>
  <c r="CW23" i="54"/>
  <c r="BJ23" i="54"/>
  <c r="AD23" i="54"/>
  <c r="DL23" i="54"/>
  <c r="CC23" i="54"/>
  <c r="CT23" i="54"/>
  <c r="BE23" i="54"/>
  <c r="BS23" i="54"/>
  <c r="EE23" i="54"/>
  <c r="DS23" i="54"/>
  <c r="DE23" i="54"/>
  <c r="DA23" i="54"/>
  <c r="CH23" i="54"/>
  <c r="CI23" i="54"/>
  <c r="BH23" i="54"/>
  <c r="CF23" i="54"/>
  <c r="CM23" i="54"/>
  <c r="BD23" i="54"/>
  <c r="G23" i="54"/>
  <c r="CS23" i="54"/>
  <c r="DB23" i="54"/>
  <c r="DH23" i="54"/>
  <c r="DD23" i="54"/>
  <c r="AT23" i="54"/>
  <c r="DI23" i="54"/>
  <c r="DP23" i="54"/>
  <c r="CG23" i="54"/>
  <c r="AS23" i="54"/>
  <c r="CB23" i="54"/>
  <c r="AR23" i="54"/>
  <c r="EC23" i="54"/>
  <c r="DR23" i="54"/>
  <c r="DQ23" i="54"/>
  <c r="K23" i="54"/>
  <c r="BX23" i="54"/>
  <c r="DC23" i="54"/>
  <c r="AW23" i="54"/>
  <c r="AQ23" i="54"/>
  <c r="BK23" i="54"/>
  <c r="DZ23" i="54"/>
  <c r="C37" i="54"/>
  <c r="AY35" i="54"/>
  <c r="CP35" i="54"/>
  <c r="AL37" i="54"/>
  <c r="DD37" i="54"/>
  <c r="CW37" i="54"/>
  <c r="CV35" i="54"/>
  <c r="BN35" i="54"/>
  <c r="AS35" i="54"/>
  <c r="CH35" i="54"/>
  <c r="AK37" i="54"/>
  <c r="CO37" i="54"/>
  <c r="AA35" i="54"/>
  <c r="AT35" i="54"/>
  <c r="BZ37" i="54"/>
  <c r="CM37" i="54"/>
  <c r="O37" i="54"/>
  <c r="CE35" i="54"/>
  <c r="AE35" i="54"/>
  <c r="ED37" i="54"/>
  <c r="CN37" i="54"/>
  <c r="BT35" i="54"/>
  <c r="DZ37" i="54"/>
  <c r="BY35" i="54"/>
  <c r="W35" i="54"/>
  <c r="DH37" i="54"/>
  <c r="EH37" i="54"/>
  <c r="BQ35" i="54"/>
  <c r="EE35" i="54"/>
  <c r="CT37" i="54"/>
  <c r="DX35" i="54"/>
  <c r="DG35" i="54"/>
  <c r="DM37" i="54"/>
  <c r="CF37" i="54"/>
  <c r="AS37" i="54"/>
  <c r="BK35" i="54"/>
  <c r="DN35" i="54"/>
  <c r="CG37" i="54"/>
  <c r="CJ35" i="54"/>
  <c r="Y37" i="54"/>
  <c r="R35" i="54"/>
  <c r="BP35" i="54"/>
  <c r="DW35" i="54"/>
  <c r="H37" i="54"/>
  <c r="C33" i="54"/>
  <c r="DP35" i="54"/>
  <c r="CL35" i="54"/>
  <c r="DE37" i="54"/>
  <c r="BM37" i="54"/>
  <c r="DB37" i="54"/>
  <c r="AJ35" i="54"/>
  <c r="BM35" i="54"/>
  <c r="DD35" i="54"/>
  <c r="CD35" i="54"/>
  <c r="AP37" i="54"/>
  <c r="AI37" i="54"/>
  <c r="CR35" i="54"/>
  <c r="AO35" i="54"/>
  <c r="N37" i="54"/>
  <c r="AR37" i="54"/>
  <c r="AH37" i="54"/>
  <c r="S35" i="54"/>
  <c r="AD35" i="54"/>
  <c r="BR37" i="54"/>
  <c r="BP37" i="54"/>
  <c r="F35" i="54"/>
  <c r="DQ37" i="54"/>
  <c r="M35" i="54"/>
  <c r="V35" i="54"/>
  <c r="AV37" i="54"/>
  <c r="BV37" i="54"/>
  <c r="EB35" i="54"/>
  <c r="Y35" i="54"/>
  <c r="BO37" i="54"/>
  <c r="BL35" i="54"/>
  <c r="DB35" i="54"/>
  <c r="BA37" i="54"/>
  <c r="AO37" i="54"/>
  <c r="BE37" i="54"/>
  <c r="CC35" i="54"/>
  <c r="AF35" i="54"/>
  <c r="DT37" i="54"/>
  <c r="Z35" i="54"/>
  <c r="EG35" i="54"/>
  <c r="BX35" i="54"/>
  <c r="DO37" i="54"/>
  <c r="DU35" i="54"/>
  <c r="DR37" i="54"/>
  <c r="C24" i="54"/>
  <c r="BD35" i="54"/>
  <c r="J35" i="54"/>
  <c r="CU35" i="54"/>
  <c r="K37" i="54"/>
  <c r="DG37" i="54"/>
  <c r="DM35" i="54"/>
  <c r="DA35" i="54"/>
  <c r="CJ37" i="54"/>
  <c r="DJ37" i="54"/>
  <c r="CB37" i="54"/>
  <c r="EB37" i="54"/>
  <c r="AI35" i="54"/>
  <c r="BJ35" i="54"/>
  <c r="DC35" i="54"/>
  <c r="CA35" i="54"/>
  <c r="CK37" i="54"/>
  <c r="CO35" i="54"/>
  <c r="BC35" i="54"/>
  <c r="DX37" i="54"/>
  <c r="U37" i="54"/>
  <c r="CC37" i="54"/>
  <c r="DF35" i="54"/>
  <c r="X35" i="54"/>
  <c r="BE35" i="54"/>
  <c r="BY37" i="54"/>
  <c r="DA37" i="54"/>
  <c r="DZ35" i="54"/>
  <c r="BH37" i="54"/>
  <c r="L35" i="54"/>
  <c r="Q35" i="54"/>
  <c r="BC37" i="54"/>
  <c r="CS37" i="54"/>
  <c r="BO35" i="54"/>
  <c r="DU37" i="54"/>
  <c r="BI35" i="54"/>
  <c r="DR35" i="54"/>
  <c r="AF37" i="54"/>
  <c r="BF37" i="54"/>
  <c r="V37" i="54"/>
  <c r="AE37" i="54"/>
  <c r="BS35" i="54"/>
  <c r="BT37" i="54"/>
  <c r="CF35" i="54"/>
  <c r="DW37" i="54"/>
  <c r="DN37" i="54"/>
  <c r="DY35" i="54"/>
  <c r="G35" i="54"/>
  <c r="DF37" i="54"/>
  <c r="BA35" i="54"/>
  <c r="CY35" i="54"/>
  <c r="X37" i="54"/>
  <c r="AX37" i="54"/>
  <c r="P37" i="54"/>
  <c r="AQ37" i="54"/>
  <c r="CZ35" i="54"/>
  <c r="BF35" i="54"/>
  <c r="AQ35" i="54"/>
  <c r="BZ35" i="54"/>
  <c r="DS37" i="54"/>
  <c r="AC35" i="54"/>
  <c r="BB35" i="54"/>
  <c r="BL37" i="54"/>
  <c r="CL37" i="54"/>
  <c r="AU37" i="54"/>
  <c r="CG35" i="54"/>
  <c r="AM35" i="54"/>
  <c r="DP37" i="54"/>
  <c r="M37" i="54"/>
  <c r="BG37" i="54"/>
  <c r="CZ37" i="54"/>
  <c r="AC37" i="54"/>
  <c r="BW35" i="54"/>
  <c r="O35" i="54"/>
  <c r="DV37" i="54"/>
  <c r="BU37" i="54"/>
  <c r="EF35" i="54"/>
  <c r="BN37" i="54"/>
  <c r="DT35" i="54"/>
  <c r="DQ35" i="54"/>
  <c r="CY37" i="54"/>
  <c r="CU37" i="54"/>
  <c r="EG37" i="54"/>
  <c r="W37" i="54"/>
  <c r="AV35" i="54"/>
  <c r="AW35" i="54"/>
  <c r="BW37" i="54"/>
  <c r="R37" i="54"/>
  <c r="CV37" i="54"/>
  <c r="AJ37" i="54"/>
  <c r="DJ35" i="54"/>
  <c r="DL35" i="54"/>
  <c r="CT35" i="54"/>
  <c r="CQ37" i="54"/>
  <c r="BX37" i="54"/>
  <c r="CI37" i="54"/>
  <c r="DV35" i="54"/>
  <c r="AN35" i="54"/>
  <c r="I35" i="54"/>
  <c r="DH35" i="54"/>
  <c r="BV35" i="54"/>
  <c r="EF37" i="54"/>
  <c r="CN35" i="54"/>
  <c r="AX35" i="54"/>
  <c r="EE37" i="54"/>
  <c r="Z37" i="54"/>
  <c r="BI37" i="54"/>
  <c r="U35" i="54"/>
  <c r="AL35" i="54"/>
  <c r="BD37" i="54"/>
  <c r="CD37" i="54"/>
  <c r="AW37" i="54"/>
  <c r="AN37" i="54"/>
  <c r="DI37" i="54"/>
  <c r="K35" i="54"/>
  <c r="N35" i="54"/>
  <c r="BJ37" i="54"/>
  <c r="DY37" i="54"/>
  <c r="H35" i="54"/>
  <c r="AY37" i="54"/>
  <c r="BH35" i="54"/>
  <c r="DO35" i="54"/>
  <c r="AM37" i="54"/>
  <c r="AZ37" i="54"/>
  <c r="AG37" i="54"/>
  <c r="ED35" i="54"/>
  <c r="AB35" i="54"/>
  <c r="BS37" i="54"/>
  <c r="AH35" i="54"/>
  <c r="CE37" i="54"/>
  <c r="CB35" i="54"/>
  <c r="EC37" i="54"/>
  <c r="DS35" i="54"/>
  <c r="AB37" i="54"/>
  <c r="AZ35" i="54"/>
  <c r="CS35" i="54"/>
  <c r="CW35" i="54"/>
  <c r="CK35" i="54"/>
  <c r="L37" i="54"/>
  <c r="Q37" i="54"/>
  <c r="C35" i="54"/>
  <c r="DK35" i="54"/>
  <c r="CQ35" i="54"/>
  <c r="CX37" i="54"/>
  <c r="I37" i="54"/>
  <c r="AD37" i="54"/>
  <c r="AK35" i="54"/>
  <c r="BR35" i="54"/>
  <c r="DE35" i="54"/>
  <c r="CI35" i="54"/>
  <c r="CP37" i="54"/>
  <c r="CA37" i="54"/>
  <c r="CM35" i="54"/>
  <c r="AU35" i="54"/>
  <c r="G37" i="54"/>
  <c r="DK37" i="54"/>
  <c r="DC37" i="54"/>
  <c r="T35" i="54"/>
  <c r="AG35" i="54"/>
  <c r="BK37" i="54"/>
  <c r="DL37" i="54"/>
  <c r="EA35" i="54"/>
  <c r="BB37" i="54"/>
  <c r="CX35" i="54"/>
  <c r="P35" i="54"/>
  <c r="AP35" i="54"/>
  <c r="BQ37" i="54"/>
  <c r="EC35" i="54"/>
  <c r="EH35" i="54"/>
  <c r="CH37" i="54"/>
  <c r="BG35" i="54"/>
  <c r="DI35" i="54"/>
  <c r="AT37" i="54"/>
  <c r="EA37" i="54"/>
  <c r="S37" i="54"/>
  <c r="AR35" i="54"/>
  <c r="BU35" i="54"/>
  <c r="T37" i="54"/>
  <c r="F37" i="54"/>
  <c r="AA37" i="54"/>
  <c r="J37" i="54"/>
  <c r="CR37" i="54"/>
  <c r="CT33" i="54"/>
  <c r="CU33" i="54"/>
  <c r="CS33" i="54"/>
  <c r="U33" i="54"/>
  <c r="EE33" i="54"/>
  <c r="CK33" i="54"/>
  <c r="CQ33" i="54"/>
  <c r="BF33" i="54"/>
  <c r="BD33" i="54"/>
  <c r="BK33" i="54"/>
  <c r="CO33" i="54"/>
  <c r="BG33" i="54"/>
  <c r="AW33" i="54"/>
  <c r="CL33" i="54"/>
  <c r="AN33" i="54"/>
  <c r="DA33" i="54"/>
  <c r="EG33" i="54"/>
  <c r="DE33" i="54"/>
  <c r="BQ33" i="54"/>
  <c r="ED33" i="54"/>
  <c r="BP33" i="54"/>
  <c r="BA33" i="54"/>
  <c r="AQ33" i="54"/>
  <c r="DQ33" i="54"/>
  <c r="DS33" i="54"/>
  <c r="DI33" i="54"/>
  <c r="CE33" i="54"/>
  <c r="AC33" i="54"/>
  <c r="CV33" i="54"/>
  <c r="CJ33" i="54"/>
  <c r="DY33" i="54"/>
  <c r="AG33" i="54"/>
  <c r="Z33" i="54"/>
  <c r="BS33" i="54"/>
  <c r="AO33" i="54"/>
  <c r="CD33" i="54"/>
  <c r="EB33" i="54"/>
  <c r="AS33" i="54"/>
  <c r="EH33" i="54"/>
  <c r="DT33" i="54"/>
  <c r="CM33" i="54"/>
  <c r="N33" i="54"/>
  <c r="CW33" i="54"/>
  <c r="BY33" i="54"/>
  <c r="DR33" i="54"/>
  <c r="P33" i="54"/>
  <c r="BW33" i="54"/>
  <c r="BC33" i="54"/>
  <c r="BO33" i="54"/>
  <c r="DO33" i="54"/>
  <c r="BM33" i="54"/>
  <c r="CY33" i="54"/>
  <c r="BT33" i="54"/>
  <c r="CG33" i="54"/>
  <c r="T33" i="54"/>
  <c r="AR33" i="54"/>
  <c r="O33" i="54"/>
  <c r="AL33" i="54"/>
  <c r="AY33" i="54"/>
  <c r="S33" i="54"/>
  <c r="DX33" i="54"/>
  <c r="L33" i="54"/>
  <c r="AB33" i="54"/>
  <c r="BI33" i="54"/>
  <c r="AT33" i="54"/>
  <c r="I33" i="54"/>
  <c r="K33" i="54"/>
  <c r="EC33" i="54"/>
  <c r="CZ33" i="54"/>
  <c r="EA33" i="54"/>
  <c r="BJ33" i="54"/>
  <c r="R33" i="54"/>
  <c r="G33" i="54"/>
  <c r="AP33" i="54"/>
  <c r="CB33" i="54"/>
  <c r="M33" i="54"/>
  <c r="BX33" i="54"/>
  <c r="CP33" i="54"/>
  <c r="DW33" i="54"/>
  <c r="AA33" i="54"/>
  <c r="BL33" i="54"/>
  <c r="BE33" i="54"/>
  <c r="DG33" i="54"/>
  <c r="BH33" i="54"/>
  <c r="CN33" i="54"/>
  <c r="BR33" i="54"/>
  <c r="V33" i="54"/>
  <c r="AU33" i="54"/>
  <c r="DC33" i="54"/>
  <c r="BZ33" i="54"/>
  <c r="W33" i="54"/>
  <c r="Y33" i="54"/>
  <c r="CA33" i="54"/>
  <c r="AD33" i="54"/>
  <c r="AF33" i="54"/>
  <c r="AX33" i="54"/>
  <c r="DN33" i="54"/>
  <c r="Q33" i="54"/>
  <c r="DM33" i="54"/>
  <c r="AE33" i="54"/>
  <c r="AV33" i="54"/>
  <c r="DV33" i="54"/>
  <c r="DU33" i="54"/>
  <c r="DF33" i="54"/>
  <c r="AI33" i="54"/>
  <c r="CX33" i="54"/>
  <c r="DK33" i="54"/>
  <c r="DH33" i="54"/>
  <c r="AZ33" i="54"/>
  <c r="DJ33" i="54"/>
  <c r="DZ33" i="54"/>
  <c r="J33" i="54"/>
  <c r="H33" i="54"/>
  <c r="CC33" i="54"/>
  <c r="AJ33" i="54"/>
  <c r="CF33" i="54"/>
  <c r="DP33" i="54"/>
  <c r="CH33" i="54"/>
  <c r="DL33" i="54"/>
  <c r="DB33" i="54"/>
  <c r="BU33" i="54"/>
  <c r="DD33" i="54"/>
  <c r="CR33" i="54"/>
  <c r="F33" i="54"/>
  <c r="AK33" i="54"/>
  <c r="BV33" i="54"/>
  <c r="EF33" i="54"/>
  <c r="X33" i="54"/>
  <c r="CI33" i="54"/>
  <c r="AH33" i="54"/>
  <c r="AM33" i="54"/>
  <c r="BN33" i="54"/>
  <c r="BB33" i="54"/>
  <c r="BG23" i="46"/>
  <c r="BS23" i="46"/>
  <c r="AU23" i="46"/>
  <c r="DA23" i="46"/>
  <c r="F23" i="46"/>
  <c r="AM23" i="46"/>
  <c r="CN23" i="46"/>
  <c r="AC23" i="46"/>
  <c r="AE23" i="46"/>
  <c r="AQ23" i="46"/>
  <c r="W23" i="46"/>
  <c r="DD23" i="46"/>
  <c r="DQ23" i="46"/>
  <c r="CK23" i="46"/>
  <c r="BZ23" i="46"/>
  <c r="CY23" i="46"/>
  <c r="CB23" i="46"/>
  <c r="DG23" i="46"/>
  <c r="AW23" i="46"/>
  <c r="P23" i="46"/>
  <c r="BK23" i="46"/>
  <c r="AL23" i="46"/>
  <c r="BF23" i="46"/>
  <c r="AH23" i="46"/>
  <c r="CW23" i="46"/>
  <c r="AA23" i="46"/>
  <c r="CO23" i="46"/>
  <c r="BJ23" i="46"/>
  <c r="BL23" i="46"/>
  <c r="DO23" i="46"/>
  <c r="M23" i="46"/>
  <c r="BM23" i="46"/>
  <c r="CU23" i="46"/>
  <c r="AV23" i="46"/>
  <c r="CD23" i="46"/>
  <c r="Q23" i="46"/>
  <c r="BU23" i="46"/>
  <c r="DC23" i="46"/>
  <c r="DF23" i="46"/>
  <c r="DP23" i="46"/>
  <c r="I23" i="46"/>
  <c r="BY23" i="46"/>
  <c r="AO23" i="46"/>
  <c r="DH23" i="46"/>
  <c r="CM23" i="46"/>
  <c r="Z23" i="46"/>
  <c r="CI23" i="46"/>
  <c r="CC23" i="46"/>
  <c r="AK23" i="46"/>
  <c r="CQ23" i="46"/>
  <c r="U23" i="46"/>
  <c r="AI23" i="46"/>
  <c r="AZ23" i="46"/>
  <c r="CE23" i="46"/>
  <c r="AX23" i="46"/>
  <c r="CF23" i="46"/>
  <c r="BW23" i="46"/>
  <c r="N23" i="46"/>
  <c r="AF23" i="46"/>
  <c r="AG23" i="46"/>
  <c r="DL23" i="46"/>
  <c r="DS23" i="46"/>
  <c r="DT23" i="46"/>
  <c r="S23" i="46"/>
  <c r="BH23" i="46"/>
  <c r="BD23" i="46"/>
  <c r="DE23" i="46"/>
  <c r="T23" i="46"/>
  <c r="X23" i="46"/>
  <c r="CV23" i="46"/>
  <c r="BT23" i="46"/>
  <c r="CL23" i="46"/>
  <c r="DM23" i="46"/>
  <c r="C24" i="46"/>
  <c r="C35" i="46"/>
  <c r="C33" i="46"/>
  <c r="C37" i="46"/>
  <c r="BS37" i="46"/>
  <c r="DT37" i="46"/>
  <c r="AK37" i="46"/>
  <c r="CF37" i="46"/>
  <c r="X37" i="46"/>
  <c r="AB35" i="46"/>
  <c r="BJ37" i="46"/>
  <c r="CQ37" i="46"/>
  <c r="DE37" i="46"/>
  <c r="CO35" i="46"/>
  <c r="AI37" i="46"/>
  <c r="CD35" i="46"/>
  <c r="AA37" i="46"/>
  <c r="R37" i="46"/>
  <c r="CJ37" i="46"/>
  <c r="AR37" i="46"/>
  <c r="AU37" i="46"/>
  <c r="CX37" i="46"/>
  <c r="AN37" i="46"/>
  <c r="N35" i="46"/>
  <c r="BN37" i="46"/>
  <c r="CG35" i="46"/>
  <c r="AG35" i="46"/>
  <c r="CJ35" i="46"/>
  <c r="CN35" i="46"/>
  <c r="CB35" i="46"/>
  <c r="DT35" i="46"/>
  <c r="CR35" i="46"/>
  <c r="N37" i="46"/>
  <c r="AL35" i="46"/>
  <c r="BT35" i="46"/>
  <c r="DM37" i="46"/>
  <c r="AB37" i="46"/>
  <c r="DG37" i="46"/>
  <c r="DF37" i="46"/>
  <c r="BD37" i="46"/>
  <c r="S35" i="46"/>
  <c r="CB37" i="46"/>
  <c r="AM37" i="46"/>
  <c r="DQ37" i="46"/>
  <c r="BG35" i="46"/>
  <c r="DB35" i="46"/>
  <c r="AH37" i="46"/>
  <c r="CY37" i="46"/>
  <c r="BD35" i="46"/>
  <c r="CV37" i="46"/>
  <c r="DR37" i="46"/>
  <c r="O37" i="46"/>
  <c r="AR35" i="46"/>
  <c r="CP37" i="46"/>
  <c r="DI37" i="46"/>
  <c r="AZ37" i="46"/>
  <c r="BQ35" i="46"/>
  <c r="Z35" i="46"/>
  <c r="CI35" i="46"/>
  <c r="W37" i="46"/>
  <c r="BF35" i="46"/>
  <c r="CU37" i="46"/>
  <c r="DE35" i="46"/>
  <c r="DI35" i="46"/>
  <c r="BA35" i="46"/>
  <c r="V37" i="46"/>
  <c r="Q35" i="46"/>
  <c r="T35" i="46"/>
  <c r="BK37" i="46"/>
  <c r="CF35" i="46"/>
  <c r="CV35" i="46"/>
  <c r="BB35" i="46"/>
  <c r="AD35" i="46"/>
  <c r="AW35" i="46"/>
  <c r="J35" i="46"/>
  <c r="CW37" i="46"/>
  <c r="P37" i="46"/>
  <c r="BO37" i="46"/>
  <c r="K35" i="46"/>
  <c r="BI35" i="46"/>
  <c r="AF37" i="46"/>
  <c r="BO35" i="46"/>
  <c r="AL37" i="46"/>
  <c r="DB37" i="46"/>
  <c r="BL37" i="46"/>
  <c r="CC37" i="46"/>
  <c r="U35" i="46"/>
  <c r="AV35" i="46"/>
  <c r="AM35" i="46"/>
  <c r="AY35" i="46"/>
  <c r="CH35" i="46"/>
  <c r="AG37" i="46"/>
  <c r="G37" i="46"/>
  <c r="DJ35" i="46"/>
  <c r="BW37" i="46"/>
  <c r="L35" i="46"/>
  <c r="DS35" i="46"/>
  <c r="CZ37" i="46"/>
  <c r="CU35" i="46"/>
  <c r="BZ35" i="46"/>
  <c r="CD37" i="46"/>
  <c r="BR37" i="46"/>
  <c r="AT37" i="46"/>
  <c r="CT35" i="46"/>
  <c r="DO37" i="46"/>
  <c r="CS37" i="46"/>
  <c r="AJ35" i="46"/>
  <c r="H35" i="46"/>
  <c r="BP35" i="46"/>
  <c r="BV37" i="46"/>
  <c r="DL37" i="46"/>
  <c r="AY37" i="46"/>
  <c r="AE37" i="46"/>
  <c r="DD35" i="46"/>
  <c r="BR35" i="46"/>
  <c r="CL35" i="46"/>
  <c r="Y37" i="46"/>
  <c r="DQ35" i="46"/>
  <c r="CZ35" i="46"/>
  <c r="DK35" i="46"/>
  <c r="X35" i="46"/>
  <c r="Y35" i="46"/>
  <c r="G35" i="46"/>
  <c r="AC35" i="46"/>
  <c r="AN35" i="46"/>
  <c r="BL35" i="46"/>
  <c r="AK35" i="46"/>
  <c r="BE37" i="46"/>
  <c r="DR35" i="46"/>
  <c r="AJ37" i="46"/>
  <c r="AS35" i="46"/>
  <c r="BW35" i="46"/>
  <c r="BI37" i="46"/>
  <c r="BJ35" i="46"/>
  <c r="BT37" i="46"/>
  <c r="AO37" i="46"/>
  <c r="DK37" i="46"/>
  <c r="BY37" i="46"/>
  <c r="AC37" i="46"/>
  <c r="M35" i="46"/>
  <c r="BA37" i="46"/>
  <c r="AV37" i="46"/>
  <c r="CM35" i="46"/>
  <c r="Z37" i="46"/>
  <c r="AF35" i="46"/>
  <c r="CK35" i="46"/>
  <c r="CI37" i="46"/>
  <c r="AS37" i="46"/>
  <c r="AX37" i="46"/>
  <c r="AQ37" i="46"/>
  <c r="F37" i="46"/>
  <c r="BS35" i="46"/>
  <c r="BU37" i="46"/>
  <c r="DO35" i="46"/>
  <c r="CY35" i="46"/>
  <c r="AH35" i="46"/>
  <c r="U37" i="46"/>
  <c r="AO35" i="46"/>
  <c r="R35" i="46"/>
  <c r="CQ35" i="46"/>
  <c r="DC35" i="46"/>
  <c r="DP35" i="46"/>
  <c r="CC35" i="46"/>
  <c r="CM37" i="46"/>
  <c r="CA35" i="46"/>
  <c r="DA37" i="46"/>
  <c r="DD37" i="46"/>
  <c r="DM35" i="46"/>
  <c r="BY35" i="46"/>
  <c r="BN35" i="46"/>
  <c r="DA35" i="46"/>
  <c r="BX37" i="46"/>
  <c r="DH35" i="46"/>
  <c r="DN37" i="46"/>
  <c r="AA35" i="46"/>
  <c r="W35" i="46"/>
  <c r="CT37" i="46"/>
  <c r="BZ37" i="46"/>
  <c r="AZ35" i="46"/>
  <c r="BF37" i="46"/>
  <c r="CP35" i="46"/>
  <c r="M37" i="46"/>
  <c r="H37" i="46"/>
  <c r="BP37" i="46"/>
  <c r="V35" i="46"/>
  <c r="L37" i="46"/>
  <c r="CR37" i="46"/>
  <c r="AT35" i="46"/>
  <c r="CO37" i="46"/>
  <c r="DH37" i="46"/>
  <c r="DJ37" i="46"/>
  <c r="AP35" i="46"/>
  <c r="BK35" i="46"/>
  <c r="AX35" i="46"/>
  <c r="AW37" i="46"/>
  <c r="BB37" i="46"/>
  <c r="O35" i="46"/>
  <c r="I37" i="46"/>
  <c r="BG37" i="46"/>
  <c r="DF35" i="46"/>
  <c r="J37" i="46"/>
  <c r="BC35" i="46"/>
  <c r="CG37" i="46"/>
  <c r="AP37" i="46"/>
  <c r="DS37" i="46"/>
  <c r="DL35" i="46"/>
  <c r="CX35" i="46"/>
  <c r="AQ35" i="46"/>
  <c r="F35" i="46"/>
  <c r="DP37" i="46"/>
  <c r="AE35" i="46"/>
  <c r="BM37" i="46"/>
  <c r="CW35" i="46"/>
  <c r="BU35" i="46"/>
  <c r="Q37" i="46"/>
  <c r="BC37" i="46"/>
  <c r="T37" i="46"/>
  <c r="K37" i="46"/>
  <c r="CN37" i="46"/>
  <c r="BQ37" i="46"/>
  <c r="DC37" i="46"/>
  <c r="AU35" i="46"/>
  <c r="BE35" i="46"/>
  <c r="CH37" i="46"/>
  <c r="BM35" i="46"/>
  <c r="BH35" i="46"/>
  <c r="AI35" i="46"/>
  <c r="CK37" i="46"/>
  <c r="S37" i="46"/>
  <c r="BX35" i="46"/>
  <c r="BH37" i="46"/>
  <c r="DG35" i="46"/>
  <c r="CA37" i="46"/>
  <c r="BV35" i="46"/>
  <c r="P35" i="46"/>
  <c r="I35" i="46"/>
  <c r="CE37" i="46"/>
  <c r="CL37" i="46"/>
  <c r="AD37" i="46"/>
  <c r="DN35" i="46"/>
  <c r="CS35" i="46"/>
  <c r="CE35" i="46"/>
  <c r="X33" i="46"/>
  <c r="BK33" i="46"/>
  <c r="DE33" i="46"/>
  <c r="AN33" i="46"/>
  <c r="CQ33" i="46"/>
  <c r="DK33" i="46"/>
  <c r="CC33" i="46"/>
  <c r="DG33" i="46"/>
  <c r="BC33" i="46"/>
  <c r="CJ33" i="46"/>
  <c r="BV33" i="46"/>
  <c r="CI33" i="46"/>
  <c r="AD33" i="46"/>
  <c r="BN33" i="46"/>
  <c r="O33" i="46"/>
  <c r="CF33" i="46"/>
  <c r="I33" i="46"/>
  <c r="BR33" i="46"/>
  <c r="CB33" i="46"/>
  <c r="BO33" i="46"/>
  <c r="BQ33" i="46"/>
  <c r="DQ33" i="46"/>
  <c r="DN33" i="46"/>
  <c r="AT33" i="46"/>
  <c r="BJ33" i="46"/>
  <c r="AK33" i="46"/>
  <c r="AQ33" i="46"/>
  <c r="CH33" i="46"/>
  <c r="DO33" i="46"/>
  <c r="AO33" i="46"/>
  <c r="DA33" i="46"/>
  <c r="DF33" i="46"/>
  <c r="BG33" i="46"/>
  <c r="AU33" i="46"/>
  <c r="CX33" i="46"/>
  <c r="V33" i="46"/>
  <c r="BL33" i="46"/>
  <c r="AE33" i="46"/>
  <c r="BP33" i="46"/>
  <c r="H33" i="46"/>
  <c r="AX33" i="46"/>
  <c r="CP33" i="46"/>
  <c r="W33" i="46"/>
  <c r="AC33" i="46"/>
  <c r="AY33" i="46"/>
  <c r="DJ33" i="46"/>
  <c r="BT33" i="46"/>
  <c r="CA33" i="46"/>
  <c r="BX33" i="46"/>
  <c r="L33" i="46"/>
  <c r="BH33" i="46"/>
  <c r="CL33" i="46"/>
  <c r="AJ33" i="46"/>
  <c r="BY33" i="46"/>
  <c r="CO33" i="46"/>
  <c r="F33" i="46"/>
  <c r="CZ33" i="46"/>
  <c r="DM33" i="46"/>
  <c r="CR33" i="46"/>
  <c r="CM33" i="46"/>
  <c r="K33" i="46"/>
  <c r="AP33" i="46"/>
  <c r="U33" i="46"/>
  <c r="N33" i="46"/>
  <c r="CY33" i="46"/>
  <c r="S33" i="46"/>
  <c r="Z33" i="46"/>
  <c r="AM33" i="46"/>
  <c r="DT33" i="46"/>
  <c r="AA33" i="46"/>
  <c r="BZ33" i="46"/>
  <c r="CG33" i="46"/>
  <c r="Y33" i="46"/>
  <c r="J33" i="46"/>
  <c r="CT33" i="46"/>
  <c r="DR33" i="46"/>
  <c r="DP33" i="46"/>
  <c r="BS33" i="46"/>
  <c r="R33" i="46"/>
  <c r="AS33" i="46"/>
  <c r="AF33" i="46"/>
  <c r="T33" i="46"/>
  <c r="BB33" i="46"/>
  <c r="DB33" i="46"/>
  <c r="AR33" i="46"/>
  <c r="CV33" i="46"/>
  <c r="DS33" i="46"/>
  <c r="CE33" i="46"/>
  <c r="CK33" i="46"/>
  <c r="DH33" i="46"/>
  <c r="CW33" i="46"/>
  <c r="CD33" i="46"/>
  <c r="P33" i="46"/>
  <c r="BU33" i="46"/>
  <c r="BE33" i="46"/>
  <c r="AG33" i="46"/>
  <c r="DL33" i="46"/>
  <c r="G33" i="46"/>
  <c r="AZ33" i="46"/>
  <c r="Q33" i="46"/>
  <c r="AW33" i="46"/>
  <c r="CS33" i="46"/>
  <c r="BA33" i="46"/>
  <c r="AV33" i="46"/>
  <c r="M33" i="46"/>
  <c r="CN33" i="46"/>
  <c r="DC33" i="46"/>
  <c r="CU33" i="46"/>
  <c r="AB33" i="46"/>
  <c r="AL33" i="46"/>
  <c r="DI33" i="46"/>
  <c r="DD33" i="46"/>
  <c r="BF33" i="46"/>
  <c r="AI33" i="46"/>
  <c r="BM33" i="46"/>
  <c r="AH33" i="46"/>
  <c r="BI33" i="46"/>
  <c r="BD33" i="46"/>
  <c r="BW33" i="46"/>
  <c r="V23" i="46"/>
  <c r="BR23" i="46"/>
  <c r="CS23" i="46"/>
  <c r="BQ23" i="46"/>
  <c r="DN23" i="46"/>
  <c r="CR23" i="46"/>
  <c r="BB23" i="46"/>
  <c r="CJ23" i="46"/>
  <c r="BP23" i="46"/>
  <c r="O23" i="46"/>
  <c r="BO23" i="46"/>
  <c r="BA23" i="46"/>
  <c r="CT23" i="46"/>
  <c r="AT23" i="46"/>
  <c r="Y23" i="46"/>
  <c r="AR23" i="46"/>
  <c r="CZ23" i="46"/>
  <c r="CP23" i="46"/>
  <c r="DI23" i="46"/>
  <c r="AB23" i="46"/>
  <c r="CG23" i="46"/>
  <c r="K23" i="46"/>
  <c r="CA23" i="46"/>
  <c r="AD23" i="46"/>
  <c r="CH23" i="46"/>
  <c r="CX23" i="46"/>
  <c r="BV23" i="46"/>
  <c r="BN23" i="46"/>
  <c r="AP23" i="46"/>
  <c r="BC23" i="46"/>
  <c r="BI23" i="46"/>
  <c r="R23" i="46"/>
  <c r="J23" i="46"/>
  <c r="L23" i="46"/>
  <c r="AY23" i="46"/>
  <c r="DJ23" i="46"/>
  <c r="AS23" i="46"/>
  <c r="H23" i="46"/>
  <c r="DR23" i="46"/>
  <c r="BE23" i="46"/>
  <c r="G23" i="46"/>
  <c r="DB23" i="46"/>
  <c r="AN23" i="46"/>
  <c r="AJ23" i="46"/>
  <c r="BX23" i="46"/>
  <c r="V24" i="56" l="1"/>
  <c r="DF24" i="56"/>
  <c r="DM24" i="56"/>
  <c r="CC24" i="56"/>
  <c r="BY24" i="56"/>
  <c r="EE24" i="56"/>
  <c r="EI24" i="56"/>
  <c r="F24" i="56"/>
  <c r="AS24" i="56"/>
  <c r="CV24" i="56"/>
  <c r="AG24" i="56"/>
  <c r="BS24" i="56"/>
  <c r="DX24" i="56"/>
  <c r="DK24" i="56"/>
  <c r="AE24" i="56"/>
  <c r="CA24" i="56"/>
  <c r="BL24" i="56"/>
  <c r="M24" i="56"/>
  <c r="BE24" i="56"/>
  <c r="BO24" i="56"/>
  <c r="EZ24" i="56"/>
  <c r="BJ24" i="56"/>
  <c r="O24" i="56"/>
  <c r="FA24" i="56"/>
  <c r="W24" i="56"/>
  <c r="DC24" i="56"/>
  <c r="DB24" i="56"/>
  <c r="EF24" i="56"/>
  <c r="DY24" i="56"/>
  <c r="ED24" i="56"/>
  <c r="AT24" i="56"/>
  <c r="DU24" i="56"/>
  <c r="DQ24" i="56"/>
  <c r="DE24" i="56"/>
  <c r="DG24" i="56"/>
  <c r="CT24" i="56"/>
  <c r="EK24" i="56"/>
  <c r="BU24" i="56"/>
  <c r="EU24" i="56"/>
  <c r="CD24" i="56"/>
  <c r="EN24" i="56"/>
  <c r="AW24" i="56"/>
  <c r="DH24" i="56"/>
  <c r="DT24" i="56"/>
  <c r="DD24" i="56"/>
  <c r="CF24" i="56"/>
  <c r="G24" i="56"/>
  <c r="CW24" i="56"/>
  <c r="DJ24" i="56"/>
  <c r="BP24" i="56"/>
  <c r="BI24" i="56"/>
  <c r="X24" i="56"/>
  <c r="AX24" i="56"/>
  <c r="BZ24" i="56"/>
  <c r="H24" i="56"/>
  <c r="BW24" i="56"/>
  <c r="CH24" i="56"/>
  <c r="AZ24" i="56"/>
  <c r="CE24" i="56"/>
  <c r="FB24" i="56"/>
  <c r="CG24" i="56"/>
  <c r="DZ24" i="56"/>
  <c r="EO24" i="56"/>
  <c r="Q24" i="56"/>
  <c r="EL24" i="56"/>
  <c r="K24" i="56"/>
  <c r="EG24" i="56"/>
  <c r="AO24" i="56"/>
  <c r="BA24" i="56"/>
  <c r="CK24" i="56"/>
  <c r="EW24" i="56"/>
  <c r="CJ24" i="56"/>
  <c r="AC24" i="56"/>
  <c r="AA24" i="56"/>
  <c r="P24" i="56"/>
  <c r="AU24" i="56"/>
  <c r="BG24" i="56"/>
  <c r="AM24" i="56"/>
  <c r="AJ24" i="56"/>
  <c r="AR24" i="56"/>
  <c r="AV24" i="56"/>
  <c r="N24" i="56"/>
  <c r="EH24" i="56"/>
  <c r="EC24" i="56"/>
  <c r="CP24" i="56"/>
  <c r="AP24" i="56"/>
  <c r="DW24" i="56"/>
  <c r="BV24" i="56"/>
  <c r="DI24" i="56"/>
  <c r="BX24" i="56"/>
  <c r="CY24" i="56"/>
  <c r="CM24" i="56"/>
  <c r="S24" i="56"/>
  <c r="BF24" i="56"/>
  <c r="FC24" i="56"/>
  <c r="Y24" i="56"/>
  <c r="BC24" i="56"/>
  <c r="EQ24" i="56"/>
  <c r="I24" i="56"/>
  <c r="CX24" i="56"/>
  <c r="CR24" i="56"/>
  <c r="AL24" i="56"/>
  <c r="BH24" i="56"/>
  <c r="CB24" i="56"/>
  <c r="CS24" i="56"/>
  <c r="AI24" i="56"/>
  <c r="AF24" i="56"/>
  <c r="BQ24" i="56"/>
  <c r="BK24" i="56"/>
  <c r="AB24" i="56"/>
  <c r="AD24" i="56"/>
  <c r="DR24" i="56"/>
  <c r="R24" i="56"/>
  <c r="J24" i="56"/>
  <c r="EX24" i="56"/>
  <c r="DO24" i="56"/>
  <c r="AH24" i="56"/>
  <c r="CN24" i="56"/>
  <c r="DL24" i="56"/>
  <c r="AK24" i="56"/>
  <c r="EA24" i="56"/>
  <c r="L24" i="56"/>
  <c r="T24" i="56"/>
  <c r="CZ24" i="56"/>
  <c r="ER24" i="56"/>
  <c r="CI24" i="56"/>
  <c r="BR24" i="56"/>
  <c r="DS24" i="56"/>
  <c r="DA24" i="56"/>
  <c r="AY24" i="56"/>
  <c r="ES24" i="56"/>
  <c r="EB24" i="56"/>
  <c r="CL24" i="56"/>
  <c r="BN24" i="56"/>
  <c r="DN24" i="56"/>
  <c r="AN24" i="56"/>
  <c r="ET24" i="56"/>
  <c r="EJ24" i="56"/>
  <c r="DV24" i="56"/>
  <c r="CQ24" i="56"/>
  <c r="EM24" i="56"/>
  <c r="CO24" i="56"/>
  <c r="BB24" i="56"/>
  <c r="BM24" i="56"/>
  <c r="CU24" i="56"/>
  <c r="BT24" i="56"/>
  <c r="EV24" i="56"/>
  <c r="AQ24" i="56"/>
  <c r="DP24" i="56"/>
  <c r="U24" i="56"/>
  <c r="EP24" i="56"/>
  <c r="BD24" i="56"/>
  <c r="Z24" i="56"/>
  <c r="EY24" i="56"/>
  <c r="E25" i="56"/>
  <c r="DW25" i="56" s="1"/>
  <c r="CF40" i="54"/>
  <c r="O40" i="54"/>
  <c r="CA40" i="54"/>
  <c r="ED40" i="54"/>
  <c r="J40" i="54"/>
  <c r="DE40" i="54"/>
  <c r="Q40" i="54"/>
  <c r="DH40" i="54"/>
  <c r="AQ40" i="54"/>
  <c r="AJ40" i="54"/>
  <c r="M40" i="54"/>
  <c r="DI40" i="54"/>
  <c r="EH40" i="54"/>
  <c r="EA40" i="54"/>
  <c r="BJ40" i="54"/>
  <c r="I40" i="54"/>
  <c r="AP40" i="54"/>
  <c r="CN40" i="54"/>
  <c r="W40" i="54"/>
  <c r="H40" i="54"/>
  <c r="Y40" i="54"/>
  <c r="AH40" i="54"/>
  <c r="DM40" i="54"/>
  <c r="AW40" i="54"/>
  <c r="DP40" i="54"/>
  <c r="AY40" i="54"/>
  <c r="AZ40" i="54"/>
  <c r="AC40" i="54"/>
  <c r="DQ40" i="54"/>
  <c r="U40" i="54"/>
  <c r="F40" i="54"/>
  <c r="BR40" i="54"/>
  <c r="AG40" i="54"/>
  <c r="BN40" i="54"/>
  <c r="CV40" i="54"/>
  <c r="AE40" i="54"/>
  <c r="X40" i="54"/>
  <c r="AX40" i="54"/>
  <c r="DX40" i="54"/>
  <c r="AK40" i="54"/>
  <c r="BZ40" i="54"/>
  <c r="DD40" i="54"/>
  <c r="AM40" i="54"/>
  <c r="AN40" i="54"/>
  <c r="BM40" i="54"/>
  <c r="BV40" i="54"/>
  <c r="EC40" i="54"/>
  <c r="Z40" i="54"/>
  <c r="EF40" i="54"/>
  <c r="BO40" i="54"/>
  <c r="BX40" i="54"/>
  <c r="BA40" i="54"/>
  <c r="T40" i="54"/>
  <c r="CM40" i="54"/>
  <c r="V40" i="54"/>
  <c r="AV40" i="54"/>
  <c r="BU40" i="54"/>
  <c r="BY40" i="54"/>
  <c r="DL40" i="54"/>
  <c r="AU40" i="54"/>
  <c r="BD40" i="54"/>
  <c r="CC40" i="54"/>
  <c r="BQ40" i="54"/>
  <c r="P40" i="54"/>
  <c r="BF40" i="54"/>
  <c r="K40" i="54"/>
  <c r="BW40" i="54"/>
  <c r="CL40" i="54"/>
  <c r="BI40" i="54"/>
  <c r="AR40" i="54"/>
  <c r="CU40" i="54"/>
  <c r="AD40" i="54"/>
  <c r="BT40" i="54"/>
  <c r="CI40" i="54"/>
  <c r="CE40" i="54"/>
  <c r="AO40" i="54"/>
  <c r="BG40" i="54"/>
  <c r="AS40" i="54"/>
  <c r="CD40" i="54"/>
  <c r="DT40" i="54"/>
  <c r="BC40" i="54"/>
  <c r="CB40" i="54"/>
  <c r="CQ40" i="54"/>
  <c r="CG40" i="54"/>
  <c r="AF40" i="54"/>
  <c r="CJ40" i="54"/>
  <c r="S40" i="54"/>
  <c r="DY40" i="54"/>
  <c r="DB40" i="54"/>
  <c r="CK40" i="54"/>
  <c r="BP40" i="54"/>
  <c r="DC40" i="54"/>
  <c r="AL40" i="54"/>
  <c r="CH40" i="54"/>
  <c r="CY40" i="54"/>
  <c r="CW40" i="54"/>
  <c r="AI40" i="54"/>
  <c r="DZ40" i="54"/>
  <c r="DJ40" i="54"/>
  <c r="BB40" i="54"/>
  <c r="R40" i="54"/>
  <c r="DO40" i="54"/>
  <c r="EG40" i="54"/>
  <c r="BE40" i="54"/>
  <c r="EB40" i="54"/>
  <c r="BK40" i="54"/>
  <c r="CP40" i="54"/>
  <c r="DG40" i="54"/>
  <c r="CO40" i="54"/>
  <c r="BL40" i="54"/>
  <c r="CR40" i="54"/>
  <c r="AA40" i="54"/>
  <c r="L40" i="54"/>
  <c r="DR40" i="54"/>
  <c r="CS40" i="54"/>
  <c r="CT40" i="54"/>
  <c r="DK40" i="54"/>
  <c r="AT40" i="54"/>
  <c r="DF40" i="54"/>
  <c r="EE40" i="54"/>
  <c r="G40" i="54"/>
  <c r="BS40" i="54"/>
  <c r="DN40" i="54"/>
  <c r="DW40" i="54"/>
  <c r="CX40" i="54"/>
  <c r="CZ40" i="54"/>
  <c r="AB40" i="54"/>
  <c r="DA40" i="54"/>
  <c r="DS40" i="54"/>
  <c r="DV40" i="54"/>
  <c r="DU40" i="54"/>
  <c r="BH40" i="54"/>
  <c r="N40" i="54"/>
  <c r="E24" i="54"/>
  <c r="C25" i="54" s="1"/>
  <c r="E24" i="46"/>
  <c r="C25" i="46" s="1"/>
  <c r="EZ25" i="56" l="1"/>
  <c r="CT25" i="56"/>
  <c r="BW25" i="56"/>
  <c r="I25" i="56"/>
  <c r="AE25" i="56"/>
  <c r="AH25" i="56"/>
  <c r="DG25" i="56"/>
  <c r="CY25" i="56"/>
  <c r="DO25" i="56"/>
  <c r="CC25" i="56"/>
  <c r="DH25" i="56"/>
  <c r="AL25" i="56"/>
  <c r="CM25" i="56"/>
  <c r="CL25" i="56"/>
  <c r="EP25" i="56"/>
  <c r="DI25" i="56"/>
  <c r="EG25" i="56"/>
  <c r="BN25" i="56"/>
  <c r="DS25" i="56"/>
  <c r="DZ25" i="56"/>
  <c r="CX25" i="56"/>
  <c r="FA25" i="56"/>
  <c r="CW25" i="56"/>
  <c r="L25" i="56"/>
  <c r="BS25" i="56"/>
  <c r="EI25" i="56"/>
  <c r="CI25" i="56"/>
  <c r="EX25" i="56"/>
  <c r="S25" i="56"/>
  <c r="AF25" i="56"/>
  <c r="U25" i="56"/>
  <c r="BQ25" i="56"/>
  <c r="AU25" i="56"/>
  <c r="AA25" i="56"/>
  <c r="EO25" i="56"/>
  <c r="EQ25" i="56"/>
  <c r="BA25" i="56"/>
  <c r="DR25" i="56"/>
  <c r="DF25" i="56"/>
  <c r="CB25" i="56"/>
  <c r="DM25" i="56"/>
  <c r="AN25" i="56"/>
  <c r="AV25" i="56"/>
  <c r="AQ25" i="56"/>
  <c r="DK25" i="56"/>
  <c r="AM25" i="56"/>
  <c r="CK25" i="56"/>
  <c r="BL25" i="56"/>
  <c r="AJ25" i="56"/>
  <c r="CU25" i="56"/>
  <c r="AB25" i="56"/>
  <c r="Z25" i="56"/>
  <c r="AI25" i="56"/>
  <c r="DT25" i="56"/>
  <c r="DX25" i="56"/>
  <c r="BB25" i="56"/>
  <c r="EB25" i="56"/>
  <c r="AC25" i="56"/>
  <c r="CS25" i="56"/>
  <c r="BG25" i="56"/>
  <c r="EV25" i="56"/>
  <c r="AX25" i="56"/>
  <c r="EK25" i="56"/>
  <c r="CO25" i="56"/>
  <c r="AO25" i="56"/>
  <c r="O25" i="56"/>
  <c r="BK25" i="56"/>
  <c r="X25" i="56"/>
  <c r="BR25" i="56"/>
  <c r="BT25" i="56"/>
  <c r="EY25" i="56"/>
  <c r="DP25" i="56"/>
  <c r="V25" i="56"/>
  <c r="FC25" i="56"/>
  <c r="AP25" i="56"/>
  <c r="EE25" i="56"/>
  <c r="BC25" i="56"/>
  <c r="AT25" i="56"/>
  <c r="EF25" i="56"/>
  <c r="DY25" i="56"/>
  <c r="DV25" i="56"/>
  <c r="AG25" i="56"/>
  <c r="AR25" i="56"/>
  <c r="BF25" i="56"/>
  <c r="AW25" i="56"/>
  <c r="CV25" i="56"/>
  <c r="DN25" i="56"/>
  <c r="DD25" i="56"/>
  <c r="T25" i="56"/>
  <c r="ET25" i="56"/>
  <c r="CH25" i="56"/>
  <c r="DL25" i="56"/>
  <c r="BY25" i="56"/>
  <c r="BV25" i="56"/>
  <c r="EW25" i="56"/>
  <c r="R25" i="56"/>
  <c r="EN25" i="56"/>
  <c r="EJ25" i="56"/>
  <c r="EA25" i="56"/>
  <c r="CN25" i="56"/>
  <c r="F25" i="56"/>
  <c r="Y25" i="56"/>
  <c r="P25" i="56"/>
  <c r="EU25" i="56"/>
  <c r="CJ25" i="56"/>
  <c r="N25" i="56"/>
  <c r="DC25" i="56"/>
  <c r="AD25" i="56"/>
  <c r="AS25" i="56"/>
  <c r="DA25" i="56"/>
  <c r="CP25" i="56"/>
  <c r="BE25" i="56"/>
  <c r="EM25" i="56"/>
  <c r="BX25" i="56"/>
  <c r="BM25" i="56"/>
  <c r="DE25" i="56"/>
  <c r="AZ25" i="56"/>
  <c r="DB25" i="56"/>
  <c r="CE25" i="56"/>
  <c r="G25" i="56"/>
  <c r="CZ25" i="56"/>
  <c r="M25" i="56"/>
  <c r="DU25" i="56"/>
  <c r="EL25" i="56"/>
  <c r="AK25" i="56"/>
  <c r="CF25" i="56"/>
  <c r="BH25" i="56"/>
  <c r="ED25" i="56"/>
  <c r="CR25" i="56"/>
  <c r="BO25" i="56"/>
  <c r="BI25" i="56"/>
  <c r="FB25" i="56"/>
  <c r="DQ25" i="56"/>
  <c r="EH25" i="56"/>
  <c r="K25" i="56"/>
  <c r="DJ25" i="56"/>
  <c r="H25" i="56"/>
  <c r="ER25" i="56"/>
  <c r="Q25" i="56"/>
  <c r="BJ25" i="56"/>
  <c r="BU25" i="56"/>
  <c r="BP25" i="56"/>
  <c r="CG25" i="56"/>
  <c r="BZ25" i="56"/>
  <c r="BD25" i="56"/>
  <c r="W25" i="56"/>
  <c r="CQ25" i="56"/>
  <c r="EC25" i="56"/>
  <c r="AY25" i="56"/>
  <c r="CD25" i="56"/>
  <c r="CA25" i="56"/>
  <c r="J25" i="56"/>
  <c r="ES25" i="56"/>
  <c r="BY24" i="54"/>
  <c r="G24" i="54"/>
  <c r="CZ24" i="54"/>
  <c r="DS24" i="54"/>
  <c r="Z24" i="54"/>
  <c r="BS24" i="54"/>
  <c r="DZ24" i="54"/>
  <c r="AF24" i="54"/>
  <c r="BL24" i="54"/>
  <c r="AB24" i="54"/>
  <c r="DB24" i="54"/>
  <c r="EB24" i="54"/>
  <c r="DN24" i="54"/>
  <c r="EF24" i="54"/>
  <c r="BE24" i="54"/>
  <c r="DL24" i="54"/>
  <c r="DG24" i="54"/>
  <c r="BO24" i="54"/>
  <c r="CV24" i="54"/>
  <c r="BB24" i="54"/>
  <c r="AW24" i="54"/>
  <c r="DT24" i="54"/>
  <c r="DE24" i="54"/>
  <c r="CY24" i="54"/>
  <c r="DK24" i="54"/>
  <c r="U24" i="54"/>
  <c r="AN24" i="54"/>
  <c r="CX24" i="54"/>
  <c r="DO24" i="54"/>
  <c r="R24" i="54"/>
  <c r="DP24" i="54"/>
  <c r="CD24" i="54"/>
  <c r="AH24" i="54"/>
  <c r="AL24" i="54"/>
  <c r="L24" i="54"/>
  <c r="W24" i="54"/>
  <c r="T24" i="54"/>
  <c r="CF24" i="54"/>
  <c r="AA24" i="54"/>
  <c r="AV24" i="54"/>
  <c r="BA24" i="54"/>
  <c r="AK24" i="54"/>
  <c r="BC24" i="54"/>
  <c r="BZ24" i="54"/>
  <c r="EG24" i="54"/>
  <c r="S24" i="54"/>
  <c r="X24" i="54"/>
  <c r="BV24" i="54"/>
  <c r="BH24" i="54"/>
  <c r="AG24" i="54"/>
  <c r="CS24" i="54"/>
  <c r="DU24" i="54"/>
  <c r="AI24" i="54"/>
  <c r="DQ24" i="54"/>
  <c r="EC24" i="54"/>
  <c r="DH24" i="54"/>
  <c r="CO24" i="54"/>
  <c r="BT24" i="54"/>
  <c r="J24" i="54"/>
  <c r="DW24" i="54"/>
  <c r="DD24" i="54"/>
  <c r="CB24" i="54"/>
  <c r="CC24" i="54"/>
  <c r="CT24" i="54"/>
  <c r="CL24" i="54"/>
  <c r="DX24" i="54"/>
  <c r="EA24" i="54"/>
  <c r="K24" i="54"/>
  <c r="BN24" i="54"/>
  <c r="CA24" i="54"/>
  <c r="CP24" i="54"/>
  <c r="CR24" i="54"/>
  <c r="AJ24" i="54"/>
  <c r="AQ24" i="54"/>
  <c r="BR24" i="54"/>
  <c r="CH24" i="54"/>
  <c r="DR24" i="54"/>
  <c r="CG24" i="54"/>
  <c r="Q24" i="54"/>
  <c r="DF24" i="54"/>
  <c r="DM24" i="54"/>
  <c r="AY24" i="54"/>
  <c r="BP24" i="54"/>
  <c r="DA24" i="54"/>
  <c r="AZ24" i="54"/>
  <c r="ED24" i="54"/>
  <c r="H24" i="54"/>
  <c r="AR24" i="54"/>
  <c r="P24" i="54"/>
  <c r="CU24" i="54"/>
  <c r="BF24" i="54"/>
  <c r="AP24" i="54"/>
  <c r="CQ24" i="54"/>
  <c r="EE24" i="54"/>
  <c r="V24" i="54"/>
  <c r="BJ24" i="54"/>
  <c r="O24" i="54"/>
  <c r="AU24" i="54"/>
  <c r="AD24" i="54"/>
  <c r="BU24" i="54"/>
  <c r="AE24" i="54"/>
  <c r="DI24" i="54"/>
  <c r="DY24" i="54"/>
  <c r="AS24" i="54"/>
  <c r="CJ24" i="54"/>
  <c r="CI24" i="54"/>
  <c r="BX24" i="54"/>
  <c r="CM24" i="54"/>
  <c r="I24" i="54"/>
  <c r="CE24" i="54"/>
  <c r="E25" i="54"/>
  <c r="DR25" i="54" s="1"/>
  <c r="DC24" i="54"/>
  <c r="AT24" i="54"/>
  <c r="N24" i="54"/>
  <c r="M24" i="54"/>
  <c r="CW24" i="54"/>
  <c r="AM24" i="54"/>
  <c r="BI24" i="54"/>
  <c r="AC24" i="54"/>
  <c r="AX24" i="54"/>
  <c r="EH24" i="54"/>
  <c r="BD24" i="54"/>
  <c r="BM24" i="54"/>
  <c r="CK24" i="54"/>
  <c r="BW24" i="54"/>
  <c r="DV24" i="54"/>
  <c r="BG24" i="54"/>
  <c r="BK24" i="54"/>
  <c r="DJ24" i="54"/>
  <c r="BQ24" i="54"/>
  <c r="F24" i="54"/>
  <c r="AO24" i="54"/>
  <c r="CN24" i="54"/>
  <c r="Y24" i="54"/>
  <c r="CZ24" i="46"/>
  <c r="BY24" i="46"/>
  <c r="V24" i="46"/>
  <c r="Q24" i="46"/>
  <c r="CL24" i="46"/>
  <c r="X24" i="46"/>
  <c r="AI24" i="46"/>
  <c r="BB24" i="46"/>
  <c r="CK24" i="46"/>
  <c r="S24" i="46"/>
  <c r="DB24" i="46"/>
  <c r="AE24" i="46"/>
  <c r="AY24" i="46"/>
  <c r="BQ24" i="46"/>
  <c r="DN24" i="46"/>
  <c r="AU24" i="46"/>
  <c r="AP24" i="46"/>
  <c r="DA24" i="46"/>
  <c r="M24" i="46"/>
  <c r="Z24" i="46"/>
  <c r="U24" i="46"/>
  <c r="AT24" i="46"/>
  <c r="J24" i="46"/>
  <c r="H24" i="46"/>
  <c r="Y24" i="46"/>
  <c r="AB24" i="46"/>
  <c r="F24" i="46"/>
  <c r="DQ24" i="46"/>
  <c r="CJ24" i="46"/>
  <c r="CG24" i="46"/>
  <c r="AZ24" i="46"/>
  <c r="DG24" i="46"/>
  <c r="BM24" i="46"/>
  <c r="CN24" i="46"/>
  <c r="AJ24" i="46"/>
  <c r="CS24" i="46"/>
  <c r="BF24" i="46"/>
  <c r="BL24" i="46"/>
  <c r="DJ24" i="46"/>
  <c r="CV24" i="46"/>
  <c r="CB24" i="46"/>
  <c r="AA24" i="46"/>
  <c r="BK24" i="46"/>
  <c r="DC24" i="46"/>
  <c r="AC24" i="46"/>
  <c r="K24" i="46"/>
  <c r="CP24" i="46"/>
  <c r="AL24" i="46"/>
  <c r="CA24" i="46"/>
  <c r="AO24" i="46"/>
  <c r="DK24" i="46"/>
  <c r="T24" i="46"/>
  <c r="BP24" i="46"/>
  <c r="AM24" i="46"/>
  <c r="BO24" i="46"/>
  <c r="BU24" i="46"/>
  <c r="G24" i="46"/>
  <c r="DP24" i="46"/>
  <c r="CU24" i="46"/>
  <c r="CC24" i="46"/>
  <c r="N24" i="46"/>
  <c r="BD24" i="46"/>
  <c r="CM24" i="46"/>
  <c r="O24" i="46"/>
  <c r="CO24" i="46"/>
  <c r="BC24" i="46"/>
  <c r="AD24" i="46"/>
  <c r="L24" i="46"/>
  <c r="DT24" i="46"/>
  <c r="CI24" i="46"/>
  <c r="DL24" i="46"/>
  <c r="BT24" i="46"/>
  <c r="BJ24" i="46"/>
  <c r="DS24" i="46"/>
  <c r="DF24" i="46"/>
  <c r="BX24" i="46"/>
  <c r="AS24" i="46"/>
  <c r="P24" i="46"/>
  <c r="CE24" i="46"/>
  <c r="AR24" i="46"/>
  <c r="CT24" i="46"/>
  <c r="AX24" i="46"/>
  <c r="CX24" i="46"/>
  <c r="AQ24" i="46"/>
  <c r="AW24" i="46"/>
  <c r="BN24" i="46"/>
  <c r="R24" i="46"/>
  <c r="DE24" i="46"/>
  <c r="CH24" i="46"/>
  <c r="BH24" i="46"/>
  <c r="BE24" i="46"/>
  <c r="CQ24" i="46"/>
  <c r="BA24" i="46"/>
  <c r="CD24" i="46"/>
  <c r="DM24" i="46"/>
  <c r="CR24" i="46"/>
  <c r="BW24" i="46"/>
  <c r="AF24" i="46"/>
  <c r="BR24" i="46"/>
  <c r="BS24" i="46"/>
  <c r="I24" i="46"/>
  <c r="DD24" i="46"/>
  <c r="DO24" i="46"/>
  <c r="DI24" i="46"/>
  <c r="DH24" i="46"/>
  <c r="W24" i="46"/>
  <c r="E25" i="46"/>
  <c r="DA25" i="46" s="1"/>
  <c r="AG24" i="46"/>
  <c r="CW24" i="46"/>
  <c r="BV24" i="46"/>
  <c r="AN24" i="46"/>
  <c r="AV24" i="46"/>
  <c r="CY24" i="46"/>
  <c r="CF24" i="46"/>
  <c r="BG24" i="46"/>
  <c r="DR24" i="46"/>
  <c r="AH24" i="46"/>
  <c r="BI24" i="46"/>
  <c r="AK24" i="46"/>
  <c r="BZ24" i="46"/>
  <c r="CQ25" i="54" l="1"/>
  <c r="BR25" i="54"/>
  <c r="AD25" i="54"/>
  <c r="AZ25" i="54"/>
  <c r="X25" i="54"/>
  <c r="BD25" i="54"/>
  <c r="AW25" i="54"/>
  <c r="AK25" i="54"/>
  <c r="EH25" i="54"/>
  <c r="BS25" i="54"/>
  <c r="BT25" i="54"/>
  <c r="CX25" i="54"/>
  <c r="AG25" i="54"/>
  <c r="CY25" i="54"/>
  <c r="CH25" i="54"/>
  <c r="CV25" i="54"/>
  <c r="EE25" i="54"/>
  <c r="L25" i="54"/>
  <c r="BB25" i="54"/>
  <c r="AO25" i="54"/>
  <c r="CN25" i="54"/>
  <c r="K25" i="54"/>
  <c r="F25" i="54"/>
  <c r="CC25" i="54"/>
  <c r="BL25" i="54"/>
  <c r="CE25" i="54"/>
  <c r="DZ25" i="54"/>
  <c r="CJ25" i="54"/>
  <c r="DJ25" i="54"/>
  <c r="ED25" i="54"/>
  <c r="DH25" i="54"/>
  <c r="BE25" i="54"/>
  <c r="DT25" i="54"/>
  <c r="AN25" i="54"/>
  <c r="P25" i="54"/>
  <c r="AB25" i="54"/>
  <c r="CP25" i="54"/>
  <c r="AF25" i="54"/>
  <c r="CI25" i="54"/>
  <c r="AY25" i="54"/>
  <c r="DL25" i="54"/>
  <c r="BI25" i="54"/>
  <c r="EG25" i="54"/>
  <c r="DA25" i="54"/>
  <c r="AA25" i="54"/>
  <c r="CD25" i="54"/>
  <c r="BA25" i="54"/>
  <c r="BU25" i="54"/>
  <c r="DB25" i="54"/>
  <c r="DD25" i="54"/>
  <c r="DY25" i="54"/>
  <c r="DQ25" i="54"/>
  <c r="Z25" i="54"/>
  <c r="S25" i="54"/>
  <c r="Q25" i="54"/>
  <c r="DC25" i="54"/>
  <c r="DM25" i="54"/>
  <c r="AR25" i="54"/>
  <c r="BP25" i="54"/>
  <c r="BC25" i="54"/>
  <c r="CW25" i="54"/>
  <c r="DN25" i="54"/>
  <c r="EF25" i="54"/>
  <c r="N25" i="54"/>
  <c r="BZ25" i="54"/>
  <c r="AS25" i="54"/>
  <c r="M25" i="54"/>
  <c r="AU25" i="54"/>
  <c r="H25" i="54"/>
  <c r="DI25" i="54"/>
  <c r="BQ25" i="54"/>
  <c r="CF25" i="54"/>
  <c r="BN25" i="54"/>
  <c r="CG25" i="54"/>
  <c r="EA25" i="54"/>
  <c r="AX25" i="54"/>
  <c r="I25" i="54"/>
  <c r="AV25" i="54"/>
  <c r="Y25" i="54"/>
  <c r="BY25" i="54"/>
  <c r="CS25" i="54"/>
  <c r="CM25" i="54"/>
  <c r="DV25" i="54"/>
  <c r="CZ25" i="54"/>
  <c r="CO25" i="54"/>
  <c r="AM25" i="54"/>
  <c r="BG25" i="54"/>
  <c r="G25" i="54"/>
  <c r="AP25" i="54"/>
  <c r="EB25" i="54"/>
  <c r="DS25" i="54"/>
  <c r="W25" i="54"/>
  <c r="CB25" i="54"/>
  <c r="AI25" i="54"/>
  <c r="AQ25" i="54"/>
  <c r="U25" i="54"/>
  <c r="CR25" i="54"/>
  <c r="AE25" i="54"/>
  <c r="DX25" i="54"/>
  <c r="BX25" i="54"/>
  <c r="BV25" i="54"/>
  <c r="AJ25" i="54"/>
  <c r="AL25" i="54"/>
  <c r="V25" i="54"/>
  <c r="CA25" i="54"/>
  <c r="AH25" i="54"/>
  <c r="BJ25" i="54"/>
  <c r="CT25" i="54"/>
  <c r="CL25" i="54"/>
  <c r="DO25" i="54"/>
  <c r="R25" i="54"/>
  <c r="DW25" i="54"/>
  <c r="DG25" i="54"/>
  <c r="BW25" i="54"/>
  <c r="DF25" i="54"/>
  <c r="DU25" i="54"/>
  <c r="BK25" i="54"/>
  <c r="T25" i="54"/>
  <c r="AC25" i="54"/>
  <c r="BO25" i="54"/>
  <c r="EC25" i="54"/>
  <c r="DP25" i="54"/>
  <c r="J25" i="54"/>
  <c r="DE25" i="54"/>
  <c r="BF25" i="54"/>
  <c r="CK25" i="54"/>
  <c r="AT25" i="54"/>
  <c r="BM25" i="54"/>
  <c r="O25" i="54"/>
  <c r="BH25" i="54"/>
  <c r="DK25" i="54"/>
  <c r="CU25" i="54"/>
  <c r="BH25" i="46"/>
  <c r="AE25" i="46"/>
  <c r="X25" i="46"/>
  <c r="CF25" i="46"/>
  <c r="CD25" i="46"/>
  <c r="AG25" i="46"/>
  <c r="AF25" i="46"/>
  <c r="CX25" i="46"/>
  <c r="AR25" i="46"/>
  <c r="CA25" i="46"/>
  <c r="BC25" i="46"/>
  <c r="F25" i="46"/>
  <c r="CK25" i="46"/>
  <c r="S25" i="46"/>
  <c r="BY25" i="46"/>
  <c r="AT25" i="46"/>
  <c r="AP25" i="46"/>
  <c r="DH25" i="46"/>
  <c r="CR25" i="46"/>
  <c r="BK25" i="46"/>
  <c r="BQ25" i="46"/>
  <c r="DI25" i="46"/>
  <c r="AA25" i="46"/>
  <c r="CW25" i="46"/>
  <c r="BZ25" i="46"/>
  <c r="Y25" i="46"/>
  <c r="O25" i="46"/>
  <c r="CT25" i="46"/>
  <c r="BI25" i="46"/>
  <c r="CM25" i="46"/>
  <c r="AL25" i="46"/>
  <c r="CY25" i="46"/>
  <c r="BT25" i="46"/>
  <c r="AB25" i="46"/>
  <c r="DG25" i="46"/>
  <c r="BM25" i="46"/>
  <c r="BE25" i="46"/>
  <c r="DQ25" i="46"/>
  <c r="CN25" i="46"/>
  <c r="DT25" i="46"/>
  <c r="CJ25" i="46"/>
  <c r="DL25" i="46"/>
  <c r="J25" i="46"/>
  <c r="AH25" i="46"/>
  <c r="DE25" i="46"/>
  <c r="BP25" i="46"/>
  <c r="DJ25" i="46"/>
  <c r="CI25" i="46"/>
  <c r="BN25" i="46"/>
  <c r="DN25" i="46"/>
  <c r="CP25" i="46"/>
  <c r="AZ25" i="46"/>
  <c r="DR25" i="46"/>
  <c r="BX25" i="46"/>
  <c r="U25" i="46"/>
  <c r="BJ25" i="46"/>
  <c r="DP25" i="46"/>
  <c r="V25" i="46"/>
  <c r="BW25" i="46"/>
  <c r="BV25" i="46"/>
  <c r="H25" i="46"/>
  <c r="AN25" i="46"/>
  <c r="AO25" i="46"/>
  <c r="AY25" i="46"/>
  <c r="AQ25" i="46"/>
  <c r="DD25" i="46"/>
  <c r="CS25" i="46"/>
  <c r="AK25" i="46"/>
  <c r="T25" i="46"/>
  <c r="L25" i="46"/>
  <c r="BR25" i="46"/>
  <c r="Q25" i="46"/>
  <c r="DK25" i="46"/>
  <c r="BA25" i="46"/>
  <c r="CL25" i="46"/>
  <c r="AJ25" i="46"/>
  <c r="AU25" i="46"/>
  <c r="AS25" i="46"/>
  <c r="CV25" i="46"/>
  <c r="BS25" i="46"/>
  <c r="BU25" i="46"/>
  <c r="CQ25" i="46"/>
  <c r="I25" i="46"/>
  <c r="BB25" i="46"/>
  <c r="AV25" i="46"/>
  <c r="M25" i="46"/>
  <c r="CB25" i="46"/>
  <c r="CE25" i="46"/>
  <c r="CH25" i="46"/>
  <c r="AW25" i="46"/>
  <c r="DF25" i="46"/>
  <c r="W25" i="46"/>
  <c r="R25" i="46"/>
  <c r="CG25" i="46"/>
  <c r="DS25" i="46"/>
  <c r="DB25" i="46"/>
  <c r="BG25" i="46"/>
  <c r="BO25" i="46"/>
  <c r="BL25" i="46"/>
  <c r="AM25" i="46"/>
  <c r="Z25" i="46"/>
  <c r="CC25" i="46"/>
  <c r="DO25" i="46"/>
  <c r="AC25" i="46"/>
  <c r="N25" i="46"/>
  <c r="P25" i="46"/>
  <c r="DM25" i="46"/>
  <c r="BD25" i="46"/>
  <c r="CZ25" i="46"/>
  <c r="K25" i="46"/>
  <c r="DC25" i="46"/>
  <c r="AX25" i="46"/>
  <c r="CO25" i="46"/>
  <c r="CU25" i="46"/>
  <c r="BF25" i="46"/>
  <c r="G25" i="46"/>
  <c r="AD25" i="46"/>
  <c r="AI25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AT3" authorId="0" shapeId="0" xr:uid="{496F1A17-0C44-4307-93DD-C03DC05686F7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Transit time : OVS ou terrestre</t>
        </r>
      </text>
    </comment>
    <comment ref="AU3" authorId="0" shapeId="0" xr:uid="{DC5B2E46-57CB-487F-A3B3-37A20D1AF0B8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Lead Time SI2C</t>
        </r>
      </text>
    </comment>
    <comment ref="AV3" authorId="0" shapeId="0" xr:uid="{0065A009-7B34-44A9-87B5-C792743609B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VTT Total</t>
        </r>
      </text>
    </comment>
    <comment ref="C4" authorId="0" shapeId="0" xr:uid="{7B033E42-59E2-4EAF-8018-A7D5A3E2E45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special case
</t>
        </r>
      </text>
    </comment>
    <comment ref="Q4" authorId="0" shapeId="0" xr:uid="{31BA1568-3DA6-4D7F-A71B-B69257755304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Donc Si AILN SI2C =  Day ILN Order = Mardi = 9</t>
        </r>
      </text>
    </comment>
    <comment ref="R4" authorId="1" shapeId="0" xr:uid="{8A0668DD-D04D-4326-BBC4-760F75BD08A2}">
      <text>
        <r>
          <rPr>
            <b/>
            <sz val="9"/>
            <color indexed="81"/>
            <rFont val="Tahoma"/>
            <family val="2"/>
          </rPr>
          <t>KERHOAS Delphine:</t>
        </r>
        <r>
          <rPr>
            <sz val="9"/>
            <color indexed="81"/>
            <rFont val="Tahoma"/>
            <family val="2"/>
          </rPr>
          <t xml:space="preserve">
supplier period
Delivery time to ILN = nbre de jour  soit 7 ou 14 =&gt; semaine complet </t>
        </r>
      </text>
    </comment>
    <comment ref="S4" authorId="0" shapeId="0" xr:uid="{0709E777-5204-4D13-A907-C075FCBDA28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Time of recept est Durée 5 </t>
        </r>
      </text>
    </comment>
    <comment ref="T4" authorId="0" shapeId="0" xr:uid="{76D8E30B-42A9-466E-88F6-F5AF96341FC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Packaging est toujour 7</t>
        </r>
      </text>
    </comment>
    <comment ref="U4" authorId="0" shapeId="0" xr:uid="{B70550A5-399F-432C-B691-5BBF350035AF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jour</t>
        </r>
      </text>
    </comment>
    <comment ref="V4" authorId="0" shapeId="0" xr:uid="{84BE41EE-D06A-4796-AFFF-2836B47F70C6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une durée</t>
        </r>
      </text>
    </comment>
    <comment ref="X4" authorId="0" shapeId="0" xr:uid="{7535ACDD-F526-4310-8BCE-A3FF7B0A5A00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" authorId="0" shapeId="0" xr:uid="{7C4D5F62-09B3-460F-9D35-7463A60B995E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jaune flux double</t>
        </r>
      </text>
    </comment>
    <comment ref="AK4" authorId="0" shapeId="0" xr:uid="{C0F978F1-07B4-4ED9-BB5A-FA3A3B62334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clé POD?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AS3" authorId="0" shapeId="0" xr:uid="{880A3869-CCB8-4C54-A262-EA635253A80A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Transit time : OVS ou terrestre</t>
        </r>
      </text>
    </comment>
    <comment ref="AT3" authorId="0" shapeId="0" xr:uid="{1698530C-8399-47A8-801A-A0C68C340160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Lead Time SI2C</t>
        </r>
      </text>
    </comment>
    <comment ref="AU3" authorId="0" shapeId="0" xr:uid="{7E285BAE-87CD-45F2-B0E8-8D667C92750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VTT Total</t>
        </r>
      </text>
    </comment>
    <comment ref="C4" authorId="0" shapeId="0" xr:uid="{1C765699-C3B2-48A2-A986-0930A98ADF64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special case
</t>
        </r>
      </text>
    </comment>
    <comment ref="Q4" authorId="0" shapeId="0" xr:uid="{912A6F46-3282-4921-8965-48C7B82474D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Donc Si AILN SI2C =  Day ILN Order = Mardi = 9</t>
        </r>
      </text>
    </comment>
    <comment ref="R4" authorId="1" shapeId="0" xr:uid="{DEDB152B-125E-40B6-8739-A427FA6E6565}">
      <text>
        <r>
          <rPr>
            <b/>
            <sz val="9"/>
            <color indexed="81"/>
            <rFont val="Tahoma"/>
            <family val="2"/>
          </rPr>
          <t>KERHOAS Delphine:</t>
        </r>
        <r>
          <rPr>
            <sz val="9"/>
            <color indexed="81"/>
            <rFont val="Tahoma"/>
            <family val="2"/>
          </rPr>
          <t xml:space="preserve">
supplier period
Delivery time to ILN = nbre de jour  soit 7 ou 14 =&gt; semaine complet </t>
        </r>
      </text>
    </comment>
    <comment ref="S4" authorId="0" shapeId="0" xr:uid="{43BC77C8-1AF9-4F9D-B88B-6DEA7EB29CB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Time of recept est Durée 5 </t>
        </r>
      </text>
    </comment>
    <comment ref="T4" authorId="0" shapeId="0" xr:uid="{48AFAAEE-7F9E-4F8C-9609-97A98FD4D0C4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Packaging est toujour 7</t>
        </r>
      </text>
    </comment>
    <comment ref="U4" authorId="0" shapeId="0" xr:uid="{5B54ADF7-FEF6-49FE-AE75-69FB78AD0E8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jour</t>
        </r>
      </text>
    </comment>
    <comment ref="V4" authorId="0" shapeId="0" xr:uid="{2DEAE66B-8C4B-47AF-863B-FA2C214F9E9C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une durée</t>
        </r>
      </text>
    </comment>
    <comment ref="X4" authorId="0" shapeId="0" xr:uid="{101491BC-B3DF-4C1D-AF4B-8CC5EBA3DDC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" authorId="0" shapeId="0" xr:uid="{7BE56226-9609-4409-AECC-50B574959C8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jaune flux double</t>
        </r>
      </text>
    </comment>
    <comment ref="AJ4" authorId="0" shapeId="0" xr:uid="{C4429FFD-CAE2-44EF-B1DD-1C3C105E1A4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clé POD?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AT3" authorId="0" shapeId="0" xr:uid="{E8E03B71-37FF-4CE9-9E4A-B2AC41299797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Transit time : OVS ou terrestre</t>
        </r>
      </text>
    </comment>
    <comment ref="AU3" authorId="0" shapeId="0" xr:uid="{89DACE0A-FBEB-42DA-8715-194015D8E051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Lead Time SI2C</t>
        </r>
      </text>
    </comment>
    <comment ref="AV3" authorId="0" shapeId="0" xr:uid="{D882F00E-218F-4FF1-87EF-50657CF4E03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VTT Total</t>
        </r>
      </text>
    </comment>
    <comment ref="C4" authorId="0" shapeId="0" xr:uid="{60C907E7-8528-4052-9D91-2B45661DB64A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special case
</t>
        </r>
      </text>
    </comment>
    <comment ref="Q4" authorId="0" shapeId="0" xr:uid="{249587CC-9F2D-4CFA-AF90-E033EE771B7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Donc Si AILN SI2C =  Day ILN Order = Mardi = 9</t>
        </r>
      </text>
    </comment>
    <comment ref="R4" authorId="1" shapeId="0" xr:uid="{A76B218B-CAC6-47AF-9C6A-3F2F586B0B3D}">
      <text>
        <r>
          <rPr>
            <b/>
            <sz val="9"/>
            <color indexed="81"/>
            <rFont val="Tahoma"/>
            <family val="2"/>
          </rPr>
          <t>KERHOAS Delphine:</t>
        </r>
        <r>
          <rPr>
            <sz val="9"/>
            <color indexed="81"/>
            <rFont val="Tahoma"/>
            <family val="2"/>
          </rPr>
          <t xml:space="preserve">
supplier period
Delivery time to ILN = nbre de jour  soit 7 ou 14 =&gt; semaine complet </t>
        </r>
      </text>
    </comment>
    <comment ref="S4" authorId="0" shapeId="0" xr:uid="{32CFC08F-74F8-4498-A658-1B0FC4D5DC7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Time of recept est Durée 5 </t>
        </r>
      </text>
    </comment>
    <comment ref="T4" authorId="0" shapeId="0" xr:uid="{CDDA2BF7-63AA-4E40-873C-D28F34DB16E0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Packaging est toujour 7</t>
        </r>
      </text>
    </comment>
    <comment ref="U4" authorId="0" shapeId="0" xr:uid="{4C39E47E-113E-44BF-BAE4-80F02B1DFF40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jour</t>
        </r>
      </text>
    </comment>
    <comment ref="V4" authorId="0" shapeId="0" xr:uid="{5B8F0815-EEAA-479D-B2EA-4328206BD0F4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une durée</t>
        </r>
      </text>
    </comment>
    <comment ref="X4" authorId="0" shapeId="0" xr:uid="{3B298699-862A-4647-9BFA-786CF993B4CF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" authorId="0" shapeId="0" xr:uid="{8A1CEC15-A681-40D7-A47F-19DE0472C8F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jaune flux double</t>
        </r>
      </text>
    </comment>
    <comment ref="AK4" authorId="0" shapeId="0" xr:uid="{68ED4A55-C4FE-455A-9F0B-092091078A81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clé POD?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  <author>tc={EA6BC88A-35DF-4BEA-9F6A-535B073BF9DB}</author>
  </authors>
  <commentList>
    <comment ref="I1" authorId="0" shapeId="0" xr:uid="{4803A230-7F41-42DA-9677-2ADED019B0B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Donc Si AILN SI2C =  Day ILN Order = Mardi = 9</t>
        </r>
      </text>
    </comment>
    <comment ref="J1" authorId="1" shapeId="0" xr:uid="{F3D01AA4-B53E-4783-A206-62A8C64511BC}">
      <text>
        <r>
          <rPr>
            <b/>
            <sz val="9"/>
            <color indexed="81"/>
            <rFont val="Tahoma"/>
            <family val="2"/>
          </rPr>
          <t>KERHOAS Delphine:</t>
        </r>
        <r>
          <rPr>
            <sz val="9"/>
            <color indexed="81"/>
            <rFont val="Tahoma"/>
            <family val="2"/>
          </rPr>
          <t xml:space="preserve">
supplier period
Delivery time to ILN = nbre de jour  soit 7 ou 14 =&gt; semaine complet </t>
        </r>
      </text>
    </comment>
    <comment ref="K1" authorId="0" shapeId="0" xr:uid="{55659CDF-539F-4FDA-AEFB-C4B9BD644FF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Time of recept est Durée 5 </t>
        </r>
      </text>
    </comment>
    <comment ref="L1" authorId="0" shapeId="0" xr:uid="{E6C7FB46-68B9-4AEB-B0E9-C87BBECC3C7A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Packaging est toujour 7</t>
        </r>
      </text>
    </comment>
    <comment ref="M1" authorId="0" shapeId="0" xr:uid="{A886D0B9-8291-44EE-9ECF-0FF85B646E2C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jour</t>
        </r>
      </text>
    </comment>
    <comment ref="N1" authorId="0" shapeId="0" xr:uid="{C6B18EFF-1A5A-4F6B-AFEA-7D64FF2DC521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une durée</t>
        </r>
      </text>
    </comment>
    <comment ref="N2" authorId="0" shapeId="0" xr:uid="{75FD6891-39D4-4077-8F03-924D0F8A97D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Moyen
</t>
        </r>
      </text>
    </comment>
    <comment ref="P2" authorId="0" shapeId="0" xr:uid="{E7D8BE40-BAE1-4CAF-A1F9-73D07BB9F4AA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Max temps
</t>
        </r>
      </text>
    </comment>
    <comment ref="N87" authorId="2" shapeId="0" xr:uid="{EA6BC88A-35DF-4BEA-9F6A-535B073BF9D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Vu avec Ali et modifié (de 2 à 1) le 25/07 pour le 01/08 pour gagner une semaine de VTT</t>
      </text>
    </comment>
    <comment ref="C92" authorId="0" shapeId="0" xr:uid="{AECF67F9-32ED-421A-8760-4046C3FE56E1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?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</authors>
  <commentList>
    <comment ref="F1" authorId="0" shapeId="0" xr:uid="{EBE67A8F-E7BC-4881-B3CB-E9F0C055467E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clé POD?
</t>
        </r>
      </text>
    </comment>
    <comment ref="F2" authorId="0" shapeId="0" xr:uid="{C90744B6-A4C6-42CD-99AB-4F6C3547258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prend les moyen des colone C pour code client dans decalage</t>
        </r>
      </text>
    </comment>
    <comment ref="E16" authorId="0" shapeId="0" xr:uid="{90837D6A-8572-44F8-985D-AF5C29AA6635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ajouter flux avec Magasin Dacia
</t>
        </r>
      </text>
    </comment>
    <comment ref="E17" authorId="0" shapeId="0" xr:uid="{EE7ACE3E-047C-4E8E-89F5-CAD821F4EBFF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ajouter flux avec Magasin Dacia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</authors>
  <commentList>
    <comment ref="I2" authorId="0" shapeId="0" xr:uid="{FC94E607-2882-40D1-8916-CB6A16C0245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CDD commande à fournisseur
PFI commande à ILN</t>
        </r>
      </text>
    </comment>
    <comment ref="K2" authorId="0" shapeId="0" xr:uid="{BEA4ACD3-A9A3-4894-8C76-847CCBA20F85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source ILN
</t>
        </r>
      </text>
    </comment>
    <comment ref="B3" authorId="0" shapeId="0" xr:uid="{18A14286-9FC1-4D75-B5BD-EE1339F8952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prend les moyen des colone C pour code client dans decalage</t>
        </r>
      </text>
    </comment>
    <comment ref="H3" authorId="0" shapeId="0" xr:uid="{F5A2109F-879C-4E52-BF30-08098F017935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prend les moyen des colone C pour code client dans decalage</t>
        </r>
      </text>
    </comment>
    <comment ref="K15" authorId="0" shapeId="0" xr:uid="{FAB41862-DA3C-4044-A6CD-921B4066DD24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dimanche =7
not use = 0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  <author>BALLATORE Emilie</author>
  </authors>
  <commentList>
    <comment ref="AU3" authorId="0" shapeId="0" xr:uid="{703D224E-BC6D-4A4A-A5DB-294501F64BC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Transit time : OVS ou terrestre</t>
        </r>
      </text>
    </comment>
    <comment ref="AV3" authorId="0" shapeId="0" xr:uid="{DA5A0709-3107-49DE-9316-5F08CE65F78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Lead Time SI2C</t>
        </r>
      </text>
    </comment>
    <comment ref="AW3" authorId="0" shapeId="0" xr:uid="{307F1CC1-C980-4473-B801-2B2F456E7F5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VTT Total</t>
        </r>
      </text>
    </comment>
    <comment ref="C4" authorId="0" shapeId="0" xr:uid="{5F080EA2-C541-40BA-8261-DA352B4BD84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special case
</t>
        </r>
      </text>
    </comment>
    <comment ref="R4" authorId="0" shapeId="0" xr:uid="{5598AB2D-FC2E-4721-A8D2-22BE1D8BB567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Donc Si AILN SI2C =  Day ILN Order = Mardi = 9</t>
        </r>
      </text>
    </comment>
    <comment ref="S4" authorId="1" shapeId="0" xr:uid="{CFA96632-C0E1-4782-A8AA-79948DBB99FC}">
      <text>
        <r>
          <rPr>
            <b/>
            <sz val="9"/>
            <color indexed="81"/>
            <rFont val="Tahoma"/>
            <family val="2"/>
          </rPr>
          <t>KERHOAS Delphine:</t>
        </r>
        <r>
          <rPr>
            <sz val="9"/>
            <color indexed="81"/>
            <rFont val="Tahoma"/>
            <family val="2"/>
          </rPr>
          <t xml:space="preserve">
supplier period
Delivery time to ILN = nbre de jour  soit 7 ou 14 =&gt; semaine complet </t>
        </r>
      </text>
    </comment>
    <comment ref="T4" authorId="0" shapeId="0" xr:uid="{B6E08D20-3339-448F-A1D4-5337F31F7759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Time of recept est Durée 5 </t>
        </r>
      </text>
    </comment>
    <comment ref="U4" authorId="0" shapeId="0" xr:uid="{85EAC86A-28BB-4C0C-A897-8E5722D8E9E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Packaging est toujour 7</t>
        </r>
      </text>
    </comment>
    <comment ref="V4" authorId="0" shapeId="0" xr:uid="{2E864F18-2369-46D4-8EC6-03AA66022922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jour</t>
        </r>
      </text>
    </comment>
    <comment ref="W4" authorId="0" shapeId="0" xr:uid="{F7300188-CB0E-4CF3-8FD1-498F25A1854A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c'est une durée</t>
        </r>
      </text>
    </comment>
    <comment ref="Y4" authorId="0" shapeId="0" xr:uid="{88E0F8DA-D6BC-43D4-B4E2-90B51BAFBBEB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4" authorId="0" shapeId="0" xr:uid="{F9EF3FAC-352D-4912-84FF-791C1A0A4C9C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jaune flux double</t>
        </r>
      </text>
    </comment>
    <comment ref="AL4" authorId="0" shapeId="0" xr:uid="{422641E5-69A0-4393-9D3E-BA2DFEE9C25D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clé POD?
</t>
        </r>
      </text>
    </comment>
    <comment ref="M403" authorId="0" shapeId="0" xr:uid="{9416E573-0C25-42D8-A8EC-4D947510AFC1}">
      <text>
        <r>
          <rPr>
            <b/>
            <sz val="9"/>
            <color indexed="81"/>
            <rFont val="Tahoma"/>
            <family val="2"/>
          </rPr>
          <t>ZHAO Tengda:</t>
        </r>
        <r>
          <rPr>
            <sz val="9"/>
            <color indexed="81"/>
            <rFont val="Tahoma"/>
            <family val="2"/>
          </rPr>
          <t xml:space="preserve">
il n'y pas cette flux dans VTT mais dans Loguide
on a flux sans PFI</t>
        </r>
      </text>
    </comment>
    <comment ref="Y911" authorId="2" shapeId="0" xr:uid="{AC172733-5E70-484B-A76C-BA4C2F7ECC21}">
      <text>
        <r>
          <rPr>
            <b/>
            <sz val="9"/>
            <color indexed="81"/>
            <rFont val="Tahoma"/>
            <family val="2"/>
          </rPr>
          <t>BALLATORE Emilie:</t>
        </r>
        <r>
          <rPr>
            <sz val="9"/>
            <color indexed="81"/>
            <rFont val="Tahoma"/>
            <family val="2"/>
          </rPr>
          <t xml:space="preserve">
A ajouter dans le tableau de Carolina</t>
        </r>
      </text>
    </comment>
  </commentList>
</comments>
</file>

<file path=xl/sharedStrings.xml><?xml version="1.0" encoding="utf-8"?>
<sst xmlns="http://schemas.openxmlformats.org/spreadsheetml/2006/main" count="10051" uniqueCount="767">
  <si>
    <t xml:space="preserve">AILN : </t>
  </si>
  <si>
    <t xml:space="preserve">ILN Chine 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</si>
  <si>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</si>
  <si>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</si>
  <si>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</si>
  <si>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</si>
  <si>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</si>
  <si>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</si>
  <si>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</si>
  <si>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</si>
  <si>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</si>
  <si>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</si>
  <si>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</si>
  <si>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</si>
  <si>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</si>
  <si>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</si>
  <si>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</si>
  <si>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</si>
  <si>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</si>
  <si>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 xml:space="preserve">Shipper : </t>
  </si>
  <si>
    <t>L</t>
  </si>
  <si>
    <t>M</t>
  </si>
  <si>
    <t>J</t>
  </si>
  <si>
    <t>V</t>
  </si>
  <si>
    <t>S</t>
  </si>
  <si>
    <t>D</t>
  </si>
  <si>
    <t>Mo</t>
  </si>
  <si>
    <t>Tu</t>
  </si>
  <si>
    <t>We</t>
  </si>
  <si>
    <t>Th</t>
  </si>
  <si>
    <t>Fr</t>
  </si>
  <si>
    <t>Sa</t>
  </si>
  <si>
    <t>Su</t>
  </si>
  <si>
    <t>CDD / PFI :</t>
  </si>
  <si>
    <t>Consignee :</t>
  </si>
  <si>
    <t>REVOZ</t>
  </si>
  <si>
    <t>ID :</t>
  </si>
  <si>
    <t>Day</t>
  </si>
  <si>
    <t>Day+</t>
  </si>
  <si>
    <t>Final Day</t>
  </si>
  <si>
    <t>Day Customer Order</t>
  </si>
  <si>
    <t>Packaging préparation &amp; loading</t>
  </si>
  <si>
    <t>Transport ILN to POL</t>
  </si>
  <si>
    <t>First Day to POL</t>
  </si>
  <si>
    <t>Cut off</t>
  </si>
  <si>
    <t>ETD</t>
  </si>
  <si>
    <t>Transit time (ETD =&gt; ETA)</t>
  </si>
  <si>
    <t>Days security 1</t>
  </si>
  <si>
    <t>Days security 2</t>
  </si>
  <si>
    <t>Customs clearence</t>
  </si>
  <si>
    <t>Validity :</t>
  </si>
  <si>
    <t>Transport to plant</t>
  </si>
  <si>
    <t xml:space="preserve">Rounding </t>
  </si>
  <si>
    <t>Due Date</t>
  </si>
  <si>
    <t>Manufacturing</t>
  </si>
  <si>
    <t>Parts Vanning</t>
  </si>
  <si>
    <t>Exped fnr GPI</t>
  </si>
  <si>
    <t>Transit Time</t>
  </si>
  <si>
    <t>Leadtime SI2C</t>
  </si>
  <si>
    <t>Customer Leadtime</t>
  </si>
  <si>
    <t>SIT</t>
  </si>
  <si>
    <t xml:space="preserve">ILN : </t>
  </si>
  <si>
    <t>KWE Shanghai</t>
  </si>
  <si>
    <t>MOTORES</t>
  </si>
  <si>
    <t>30/03/2026</t>
  </si>
  <si>
    <t xml:space="preserve"> </t>
  </si>
  <si>
    <t>Days flexibility 1</t>
  </si>
  <si>
    <t>Days flexibility 2</t>
  </si>
  <si>
    <t>Stock In Transit</t>
  </si>
  <si>
    <t>Customer safety STOCK</t>
  </si>
  <si>
    <t>Week 18</t>
  </si>
  <si>
    <t>Week 19</t>
  </si>
  <si>
    <t>Week 20</t>
  </si>
  <si>
    <t>Week 21</t>
  </si>
  <si>
    <t>Week 22</t>
  </si>
  <si>
    <t>ID</t>
  </si>
  <si>
    <t>Key</t>
  </si>
  <si>
    <t>FLUX</t>
  </si>
  <si>
    <t>Order PLANT</t>
  </si>
  <si>
    <t>ILN</t>
  </si>
  <si>
    <t>Maritime</t>
  </si>
  <si>
    <t xml:space="preserve">Import PFI/CDD/Direct </t>
  </si>
  <si>
    <t>Calculs</t>
  </si>
  <si>
    <t>Consignee - Plant</t>
  </si>
  <si>
    <t>Shipper</t>
  </si>
  <si>
    <t>CARRIER</t>
  </si>
  <si>
    <t>PFI/CDD</t>
  </si>
  <si>
    <t>Nb of days</t>
  </si>
  <si>
    <t>schema</t>
  </si>
  <si>
    <t>DATA ILN</t>
  </si>
  <si>
    <t>check ID</t>
  </si>
  <si>
    <t>DATA BTO</t>
  </si>
  <si>
    <t>DATA Consignee</t>
  </si>
  <si>
    <t>For fill log guideline</t>
  </si>
  <si>
    <t>Key(ILN - shipper - plant)</t>
  </si>
  <si>
    <t>Key(Compte ILN - shipper - POL - plant)</t>
  </si>
  <si>
    <t>Key(Compte ILN - shipper - POL)</t>
  </si>
  <si>
    <t>Key(POL - carrier - POD)</t>
  </si>
  <si>
    <t>Key(ID-Actif)</t>
  </si>
  <si>
    <t>Key(POD -PFI- Usine)</t>
  </si>
  <si>
    <t>log guidelines Key</t>
  </si>
  <si>
    <t>Plant-ILN-shipper-POL-Carrier-POD-PFI</t>
  </si>
  <si>
    <t>Duplicates</t>
  </si>
  <si>
    <t>Country</t>
  </si>
  <si>
    <t>Name Site</t>
  </si>
  <si>
    <t>Compte Consignee</t>
  </si>
  <si>
    <t>Name ILN</t>
  </si>
  <si>
    <t>Compte ILN</t>
  </si>
  <si>
    <t>Day ILN Order</t>
  </si>
  <si>
    <t>Delivery time to ILN/Shipper</t>
  </si>
  <si>
    <t>Time of Recept in ILN</t>
  </si>
  <si>
    <t>First Receipt Days</t>
  </si>
  <si>
    <t>Name Shipper</t>
  </si>
  <si>
    <t>Compte Shipper</t>
  </si>
  <si>
    <t>POL</t>
  </si>
  <si>
    <t>Carrier</t>
  </si>
  <si>
    <t>Day Cut Off</t>
  </si>
  <si>
    <t>Day ETD</t>
  </si>
  <si>
    <t>Wished ETD ILN</t>
  </si>
  <si>
    <t>Transit time</t>
  </si>
  <si>
    <t>POD</t>
  </si>
  <si>
    <t>Time for security</t>
  </si>
  <si>
    <t>Time for security2 buffer</t>
  </si>
  <si>
    <t>Pilot</t>
  </si>
  <si>
    <t>Cust.</t>
  </si>
  <si>
    <t>Name PFI/CDD</t>
  </si>
  <si>
    <t>Code PFI</t>
  </si>
  <si>
    <t>Leadtime train</t>
  </si>
  <si>
    <t>Buffer train</t>
  </si>
  <si>
    <t>Trpt POD &gt; PFI</t>
  </si>
  <si>
    <t>Trpt POD/PFI vers Usine</t>
  </si>
  <si>
    <t>Round.</t>
  </si>
  <si>
    <t>Transit Time2</t>
  </si>
  <si>
    <t>Cust. Leadtime</t>
  </si>
  <si>
    <t>X-flows</t>
  </si>
  <si>
    <t>Expiration Date</t>
  </si>
  <si>
    <t>Error Order</t>
  </si>
  <si>
    <t>Error ILN</t>
  </si>
  <si>
    <t>Error BTO</t>
  </si>
  <si>
    <t>Error Consignee</t>
  </si>
  <si>
    <t>Error Transport</t>
  </si>
  <si>
    <t>Comments</t>
  </si>
  <si>
    <t>CORMECANICA</t>
  </si>
  <si>
    <t>ILN FR</t>
  </si>
  <si>
    <t>Renault &gt; Horse BPH</t>
  </si>
  <si>
    <t>RKM</t>
  </si>
  <si>
    <t>SFK Freight Forwarder</t>
  </si>
  <si>
    <t>GETRAG    MODUG</t>
  </si>
  <si>
    <t>Horse &gt; Renault BPH (MLP)</t>
  </si>
  <si>
    <t>ILN Chennai</t>
  </si>
  <si>
    <t>ILN Pune</t>
  </si>
  <si>
    <t>ILN VLL</t>
  </si>
  <si>
    <t>Curitiba CVP</t>
  </si>
  <si>
    <t>Magna Shanghai</t>
  </si>
  <si>
    <t>SOVAB</t>
  </si>
  <si>
    <t>CDD FR</t>
  </si>
  <si>
    <t>SEVILLE</t>
  </si>
  <si>
    <t>Horse &gt; Renault BPR</t>
  </si>
  <si>
    <t>CORDOBA</t>
  </si>
  <si>
    <t>CHENNAI Vehicule</t>
  </si>
  <si>
    <t>Curitiba CMO</t>
  </si>
  <si>
    <t>ILN Tanger</t>
  </si>
  <si>
    <t>DACIA MECA</t>
  </si>
  <si>
    <t>ILN Curitiba</t>
  </si>
  <si>
    <t>Magasin Dacia</t>
  </si>
  <si>
    <t>OYAK MEKA</t>
  </si>
  <si>
    <t>ILN Busan</t>
  </si>
  <si>
    <t>ILN Bursa</t>
  </si>
  <si>
    <t>ILN Mioveni</t>
  </si>
  <si>
    <t>CDD VLL</t>
  </si>
  <si>
    <t>CACIA</t>
  </si>
  <si>
    <t>PFI VLL</t>
  </si>
  <si>
    <t>SEVILLA</t>
  </si>
  <si>
    <t>OYAK MONT</t>
  </si>
  <si>
    <t>CURITIBA CMO</t>
  </si>
  <si>
    <t>VALL MONTAGE</t>
  </si>
  <si>
    <t>Jatco Mexique</t>
  </si>
  <si>
    <t>SOFASA</t>
  </si>
  <si>
    <t>Jatco Japon</t>
  </si>
  <si>
    <t>SOMACA</t>
  </si>
  <si>
    <t>TANGER</t>
  </si>
  <si>
    <t>CURITIBA CVP</t>
  </si>
  <si>
    <t>Jatco Thailande</t>
  </si>
  <si>
    <t>CLEON</t>
  </si>
  <si>
    <t>PALENCIA</t>
  </si>
  <si>
    <t>DACIA MONT</t>
  </si>
  <si>
    <t>ILN Mexique</t>
  </si>
  <si>
    <t>NSL Shanghai</t>
  </si>
  <si>
    <t>DOUAI</t>
  </si>
  <si>
    <t>Key(ID-Next)</t>
  </si>
  <si>
    <t>Compte Site</t>
  </si>
  <si>
    <t xml:space="preserve">Comments </t>
  </si>
  <si>
    <t>Start date</t>
  </si>
  <si>
    <t>AE11</t>
  </si>
  <si>
    <t>CDD VLL(for NSL)</t>
  </si>
  <si>
    <t>From 01/07/23</t>
  </si>
  <si>
    <t>SANDOUVILLE</t>
  </si>
  <si>
    <t>From 01/12/23</t>
  </si>
  <si>
    <t>ORAN</t>
  </si>
  <si>
    <t>ILN Cordoba</t>
  </si>
  <si>
    <t>AK15</t>
  </si>
  <si>
    <t xml:space="preserve">NCIC Shanghai </t>
  </si>
  <si>
    <t>AK15-1</t>
  </si>
  <si>
    <t>AK6</t>
  </si>
  <si>
    <t>FAL1-DKK</t>
  </si>
  <si>
    <t>Asia South America East Coast 2</t>
  </si>
  <si>
    <t>CURITIBA CVU</t>
  </si>
  <si>
    <t>AE55</t>
  </si>
  <si>
    <t>FAL1-LEH</t>
  </si>
  <si>
    <t>FLINS</t>
  </si>
  <si>
    <t>MAUBEUGE</t>
  </si>
  <si>
    <t>CARROCERIAS</t>
  </si>
  <si>
    <t>RM MIOVENI</t>
  </si>
  <si>
    <t>Pas actif</t>
  </si>
  <si>
    <t>Name</t>
  </si>
  <si>
    <t>NISSAN BRESIL</t>
  </si>
  <si>
    <t>DFMIEC</t>
  </si>
  <si>
    <t>NISSAN Egypt</t>
  </si>
  <si>
    <t>ACI Le mans</t>
  </si>
  <si>
    <t>STA</t>
  </si>
  <si>
    <t>ALPINE</t>
  </si>
  <si>
    <t>CHENNAI Powertrain</t>
  </si>
  <si>
    <t>Chennai Vehicule</t>
  </si>
  <si>
    <t>INDE NAVA SHEVA</t>
  </si>
  <si>
    <t>JAPAN</t>
  </si>
  <si>
    <t>JAPAN NHM</t>
  </si>
  <si>
    <t>JAPAN NJK</t>
  </si>
  <si>
    <t>JAPAN NGO</t>
  </si>
  <si>
    <t>MALAYSIA TCM</t>
  </si>
  <si>
    <t>Mexique CVC</t>
  </si>
  <si>
    <t>JSC AVTOVAZ TOGLIATTI</t>
  </si>
  <si>
    <t>MOSCOU</t>
  </si>
  <si>
    <t>IZHEVSK</t>
  </si>
  <si>
    <t>NISSAN AFS</t>
  </si>
  <si>
    <t>NISSAN Thailande</t>
  </si>
  <si>
    <t>KARSAN</t>
  </si>
  <si>
    <t>CLEON HORSE</t>
  </si>
  <si>
    <t>CLEON AMPERE</t>
  </si>
  <si>
    <t>Plant</t>
  </si>
  <si>
    <t>Name Plant in OFO</t>
  </si>
  <si>
    <t>Code</t>
  </si>
  <si>
    <t>AILN</t>
  </si>
  <si>
    <t>Liste PFI/CDD</t>
  </si>
  <si>
    <t>compte SI2C</t>
  </si>
  <si>
    <t>Libellé</t>
  </si>
  <si>
    <t>Renault Plant</t>
  </si>
  <si>
    <t>STE AUTOMOB. ALPINE RENAULT</t>
  </si>
  <si>
    <t>FRANCE</t>
  </si>
  <si>
    <t>Cacia</t>
  </si>
  <si>
    <t>FR</t>
  </si>
  <si>
    <t>AG2</t>
  </si>
  <si>
    <t>NISMEX_AGUAS_PLANT_2</t>
  </si>
  <si>
    <t>Mexico</t>
  </si>
  <si>
    <t>Arkas</t>
  </si>
  <si>
    <t>Delphine</t>
  </si>
  <si>
    <t>RG UM LE MANS</t>
  </si>
  <si>
    <t>CLEON AILN FRANCE RENAULT CLEON</t>
  </si>
  <si>
    <t>AGV</t>
  </si>
  <si>
    <t>NISMEX AGUASCALIENTE</t>
  </si>
  <si>
    <t>CMA-CGM</t>
  </si>
  <si>
    <t>Julien</t>
  </si>
  <si>
    <t>PORTUGAL</t>
  </si>
  <si>
    <t>Delhi</t>
  </si>
  <si>
    <t>AVT</t>
  </si>
  <si>
    <t>RENAULT RUSSIA CJSC</t>
  </si>
  <si>
    <t>Russia</t>
  </si>
  <si>
    <t>Hamburg Süd</t>
  </si>
  <si>
    <t>Anthony</t>
  </si>
  <si>
    <t>VALLADOLID CARROCERIAS</t>
  </si>
  <si>
    <t>SPAIN</t>
  </si>
  <si>
    <t>PFI FR</t>
  </si>
  <si>
    <t>CHE</t>
  </si>
  <si>
    <t>NISSAN CHENNAI</t>
  </si>
  <si>
    <t>India</t>
  </si>
  <si>
    <t>Hapag-Lloyd</t>
  </si>
  <si>
    <t>Max</t>
  </si>
  <si>
    <t>CHENNAI POWERTRAIN (NISSAN)</t>
  </si>
  <si>
    <t>INDIA</t>
  </si>
  <si>
    <t>PFI Mioveni</t>
  </si>
  <si>
    <t>CMC</t>
  </si>
  <si>
    <t>CORMECANICA SA</t>
  </si>
  <si>
    <t>Chile</t>
  </si>
  <si>
    <t>Hyundai</t>
  </si>
  <si>
    <t>Emmanuelle SFK</t>
  </si>
  <si>
    <t>ILN Delhi</t>
  </si>
  <si>
    <t>PFI Tanger</t>
  </si>
  <si>
    <t>GITI RADIAL TIRE ANHUI COMPANY LTD (CNFQG)</t>
  </si>
  <si>
    <t>CME</t>
  </si>
  <si>
    <t>CURITIBA MOTEURS</t>
  </si>
  <si>
    <t>Brazil</t>
  </si>
  <si>
    <t>Maersk</t>
  </si>
  <si>
    <t>RENAULT CLEON</t>
  </si>
  <si>
    <t>GITI RADIAL TIRE ANHUI COMPANY LTD (CNNGB)</t>
  </si>
  <si>
    <t>CVC</t>
  </si>
  <si>
    <t>NISMEX CUERNAVACA</t>
  </si>
  <si>
    <t>MSC</t>
  </si>
  <si>
    <t>CORDOBA - SANTA ISABEL</t>
  </si>
  <si>
    <t>ARGENTINA</t>
  </si>
  <si>
    <t>GITI RADIAL TIRE ANHUI COMPANY LTD (CNSHA)</t>
  </si>
  <si>
    <t>CVP</t>
  </si>
  <si>
    <t>CUR. V. PARTICULIERS</t>
  </si>
  <si>
    <t>ONE</t>
  </si>
  <si>
    <t>CHILE</t>
  </si>
  <si>
    <t>ILN Moscou</t>
  </si>
  <si>
    <t>GITI RADIAL TIRE ANHUI COMPANY LTD (CNXAM-MACAS)</t>
  </si>
  <si>
    <t>CVU</t>
  </si>
  <si>
    <t>CUR. V. UTILITAIRES</t>
  </si>
  <si>
    <t>Yang-Ming</t>
  </si>
  <si>
    <t>CURITIBA MECANIQUE</t>
  </si>
  <si>
    <t>BRAZIL</t>
  </si>
  <si>
    <t>GITI RADIAL TIRE ANHUI COMPANY LTD (CNXAM-MAPTM)</t>
  </si>
  <si>
    <t>FSI</t>
  </si>
  <si>
    <t>FABRICA S ISABEL ARG</t>
  </si>
  <si>
    <t>Argentina</t>
  </si>
  <si>
    <t>Safmarine</t>
  </si>
  <si>
    <t>CURITIBA VP</t>
  </si>
  <si>
    <t>HANKOOK TIRE INDONESIA</t>
  </si>
  <si>
    <t>MED</t>
  </si>
  <si>
    <t>SOFASA MEDELLIN</t>
  </si>
  <si>
    <t>Colombia</t>
  </si>
  <si>
    <t>Evergreen</t>
  </si>
  <si>
    <t>CURITIBA VU</t>
  </si>
  <si>
    <t>HIGHLY MARELLI MALAYSIA SDN. BHD.</t>
  </si>
  <si>
    <t>NAF</t>
  </si>
  <si>
    <t>NISSAN_NAF_S_AFRICA</t>
  </si>
  <si>
    <t>South Africa</t>
  </si>
  <si>
    <t>PITESTI MECANIQUE</t>
  </si>
  <si>
    <t>ROMANIA</t>
  </si>
  <si>
    <t>NAR</t>
  </si>
  <si>
    <t>NISSAN ARGENTINE</t>
  </si>
  <si>
    <t>PITESTI MONTAGE</t>
  </si>
  <si>
    <t>NCIC Guangzhou</t>
  </si>
  <si>
    <t>NP2</t>
  </si>
  <si>
    <t>NIS PWT THAILANDE FZ</t>
  </si>
  <si>
    <t>Thailand</t>
  </si>
  <si>
    <t>CHINA</t>
  </si>
  <si>
    <t>NPT</t>
  </si>
  <si>
    <t>NIS POWERTRAIN THAI</t>
  </si>
  <si>
    <t>REC DOUAI</t>
  </si>
  <si>
    <t>RNP</t>
  </si>
  <si>
    <t>RNAIPL_POWERTRAIN</t>
  </si>
  <si>
    <t>DRAC</t>
  </si>
  <si>
    <t>RSM</t>
  </si>
  <si>
    <t>RENAULT SAMSUNG MOT.</t>
  </si>
  <si>
    <t>Korea</t>
  </si>
  <si>
    <t>USINE DE FLINS ELISABETHVILLE</t>
  </si>
  <si>
    <t>TGI (Russia)</t>
  </si>
  <si>
    <t>SHI</t>
  </si>
  <si>
    <t>SHIYANG VEHICULE</t>
  </si>
  <si>
    <t>China</t>
  </si>
  <si>
    <t>Cormecanica</t>
  </si>
  <si>
    <t>xxxxxx</t>
  </si>
  <si>
    <t>RO</t>
  </si>
  <si>
    <t>CURITIBA Assembly</t>
  </si>
  <si>
    <t>CMO</t>
  </si>
  <si>
    <t>CURITIBA Powertrain</t>
  </si>
  <si>
    <t>CURITIBA Utilities</t>
  </si>
  <si>
    <t>CHENNAI VEHICLE (NISSAN)</t>
  </si>
  <si>
    <t>SOM</t>
  </si>
  <si>
    <t>MAROC SOMACA</t>
  </si>
  <si>
    <t>Morocco</t>
  </si>
  <si>
    <t>AVTOVAZ IZHEVSK VEH</t>
  </si>
  <si>
    <t>RUSSIA</t>
  </si>
  <si>
    <t>NSA</t>
  </si>
  <si>
    <t>ROSSLYN SOUTH AFRICA</t>
  </si>
  <si>
    <t>RENAULT KOREA MOTORS CO</t>
  </si>
  <si>
    <t>AVF</t>
  </si>
  <si>
    <t>RENAULT RUSSIA Assembly</t>
  </si>
  <si>
    <t>NISSAN MOTOR CO LTD</t>
  </si>
  <si>
    <t>Magna Nanchang</t>
  </si>
  <si>
    <t>MPR</t>
  </si>
  <si>
    <t>RENAULT RUSSIA MPR</t>
  </si>
  <si>
    <t>ARG</t>
  </si>
  <si>
    <t>CORBOBA</t>
  </si>
  <si>
    <t>AVTOVAZ TOGLIATTI PWT</t>
  </si>
  <si>
    <t>TNG</t>
  </si>
  <si>
    <t>RENAULT TANGER TECHNOLOGIE</t>
  </si>
  <si>
    <t>KARSAN OTOMOTIV</t>
  </si>
  <si>
    <t>TURKEY</t>
  </si>
  <si>
    <t>SFR</t>
  </si>
  <si>
    <t>SOFRASTOCK</t>
  </si>
  <si>
    <t>France</t>
  </si>
  <si>
    <t xml:space="preserve">MALAYSIA </t>
  </si>
  <si>
    <t>NISSAN AILN LOGISTICA CRAGEA</t>
  </si>
  <si>
    <t>COL</t>
  </si>
  <si>
    <t>SOFASA COLUMBIA</t>
  </si>
  <si>
    <t>REC MAUBEUGE</t>
  </si>
  <si>
    <t>ALG</t>
  </si>
  <si>
    <t>ORAN ALGERIE</t>
  </si>
  <si>
    <t>Algeria</t>
  </si>
  <si>
    <t>MEXIQUE CVC</t>
  </si>
  <si>
    <t>CUERNAVACA (NISSAN)</t>
  </si>
  <si>
    <t>MEXICO</t>
  </si>
  <si>
    <t>CHENNAI Assembly</t>
  </si>
  <si>
    <t>MAF MOSKVICH</t>
  </si>
  <si>
    <t>ROBERT BOSCH  MALAYSIA  SDN BHD</t>
  </si>
  <si>
    <t>CHM</t>
  </si>
  <si>
    <t>VALLADOLID MOTORES</t>
  </si>
  <si>
    <t>BUM</t>
  </si>
  <si>
    <t>OYAK Mecanique</t>
  </si>
  <si>
    <t>Turkey</t>
  </si>
  <si>
    <t>ROSSLYN (NISSAN)</t>
  </si>
  <si>
    <t>SOUTH AFRICA</t>
  </si>
  <si>
    <t>SFK</t>
  </si>
  <si>
    <t>AVZ</t>
  </si>
  <si>
    <t>AVTOVAZ Montage Assembly</t>
  </si>
  <si>
    <t>NISSAN DO BRASIL AUTOMOVEIS</t>
  </si>
  <si>
    <t>AVM</t>
  </si>
  <si>
    <t>AVTOVAZ Powertrain</t>
  </si>
  <si>
    <t>EGYPT</t>
  </si>
  <si>
    <t>IZV</t>
  </si>
  <si>
    <t>NISSAN ROSSL</t>
  </si>
  <si>
    <t>TESA HAMBURG - TESA CONVERTING CENT</t>
  </si>
  <si>
    <t>RVZ</t>
  </si>
  <si>
    <t>Slovenia</t>
  </si>
  <si>
    <t>VAZ MEKA</t>
  </si>
  <si>
    <t>NPT - NISSAN POWERTRAIN CO.,LTD.</t>
  </si>
  <si>
    <t>THAILAND</t>
  </si>
  <si>
    <t>VE-J</t>
  </si>
  <si>
    <t>BU</t>
  </si>
  <si>
    <t>Somaca</t>
  </si>
  <si>
    <t>VAZ MONT</t>
  </si>
  <si>
    <t>ORAN MONTAGE</t>
  </si>
  <si>
    <t>ALGERIA</t>
  </si>
  <si>
    <t>Vietnam</t>
  </si>
  <si>
    <t>TAN</t>
  </si>
  <si>
    <t>Tanger</t>
  </si>
  <si>
    <t>OYAK RENAULT MEKANIK</t>
  </si>
  <si>
    <t>Valeo CN</t>
  </si>
  <si>
    <t>Oran</t>
  </si>
  <si>
    <t>OYAK BURSA</t>
  </si>
  <si>
    <t>EV affordable</t>
  </si>
  <si>
    <t>Cordoba</t>
  </si>
  <si>
    <t>PALENCIA MONTAGE</t>
  </si>
  <si>
    <t>linlong serbie</t>
  </si>
  <si>
    <t>RCO</t>
  </si>
  <si>
    <t>Colombie</t>
  </si>
  <si>
    <t>REVOZ (NOVOMESTO)</t>
  </si>
  <si>
    <t>SLOVENIA</t>
  </si>
  <si>
    <t>Magna Italie</t>
  </si>
  <si>
    <t>CVP / CMO / CVU</t>
  </si>
  <si>
    <t>Curitiba</t>
  </si>
  <si>
    <t>RENAULT KOREA MOTORS CO LTD</t>
  </si>
  <si>
    <t>KOREA</t>
  </si>
  <si>
    <t>RSG</t>
  </si>
  <si>
    <t>Corée</t>
  </si>
  <si>
    <t>RENAULT MECANIQUE ROUMANIE SA</t>
  </si>
  <si>
    <t>Yazaki Colombia</t>
  </si>
  <si>
    <t>xxxxx</t>
  </si>
  <si>
    <t>HIN / HIK</t>
  </si>
  <si>
    <t>Chennai</t>
  </si>
  <si>
    <t>SANDOUVILLE LE HAVRE</t>
  </si>
  <si>
    <t>Minth  serbie</t>
  </si>
  <si>
    <t>Afrique du Sud</t>
  </si>
  <si>
    <t>E-DRIVE</t>
  </si>
  <si>
    <t>COLOMBIA</t>
  </si>
  <si>
    <t>MOROCCO</t>
  </si>
  <si>
    <t>BATILLY (SOVAB)</t>
  </si>
  <si>
    <t>Aichikikai Japon</t>
  </si>
  <si>
    <t>S.T.A. RUITZ</t>
  </si>
  <si>
    <t xml:space="preserve">NISSAN KANAGAWA </t>
  </si>
  <si>
    <t>TANGER MONTAGE</t>
  </si>
  <si>
    <t>VALLADOLID MONTAJE</t>
  </si>
  <si>
    <t>AVTOVAZ TOGLIATTI VEH</t>
  </si>
  <si>
    <t>STEEP SAINT-MAURICE-DE-BEYNOST</t>
  </si>
  <si>
    <t>NMT - NISSAN POWERTRAIN CO.,LTD.</t>
  </si>
  <si>
    <t>FUYAO</t>
  </si>
  <si>
    <t>MEXIQUE AGV</t>
  </si>
  <si>
    <t>AGUASCALIENTES (NISSAN)</t>
  </si>
  <si>
    <t>INFIMOTION</t>
  </si>
  <si>
    <t>LG SEOUL-SI</t>
  </si>
  <si>
    <t xml:space="preserve">ZF USA </t>
  </si>
  <si>
    <t>Clé(ID-Status)</t>
  </si>
  <si>
    <t>ID Group</t>
  </si>
  <si>
    <t>From</t>
  </si>
  <si>
    <t>To</t>
  </si>
  <si>
    <t>Day
Cut Off</t>
  </si>
  <si>
    <t>Time for security2-buffer</t>
  </si>
  <si>
    <t>Status</t>
  </si>
  <si>
    <t>Customer safety stock</t>
  </si>
  <si>
    <t>Impact next VTT</t>
  </si>
  <si>
    <t>Clé(ID-Status)2</t>
  </si>
  <si>
    <t>date maj</t>
  </si>
  <si>
    <t>FRLEH</t>
  </si>
  <si>
    <t>Hapag Lloyd</t>
  </si>
  <si>
    <t>CLSAI</t>
  </si>
  <si>
    <t>GT2025</t>
  </si>
  <si>
    <t>NO</t>
  </si>
  <si>
    <t>GT2024</t>
  </si>
  <si>
    <t>UPDATE SL 12/09/2023</t>
  </si>
  <si>
    <t>BEANR</t>
  </si>
  <si>
    <t>GT2023 : création 23/03</t>
  </si>
  <si>
    <t>Wael</t>
  </si>
  <si>
    <t>GT2026 New VTT - VTT checked</t>
  </si>
  <si>
    <t>Pas d'augmentation</t>
  </si>
  <si>
    <t>ITBRI</t>
  </si>
  <si>
    <t>KRPUS</t>
  </si>
  <si>
    <t>ITGIT</t>
  </si>
  <si>
    <t>perf BUYCO à 57 jours</t>
  </si>
  <si>
    <t>MàJ Redsea</t>
  </si>
  <si>
    <t>ITNAP</t>
  </si>
  <si>
    <t>GT2026 New VTT</t>
  </si>
  <si>
    <t>INENR</t>
  </si>
  <si>
    <t>CLVAP</t>
  </si>
  <si>
    <t>Mise à jour red sea (perf = 72 days)</t>
  </si>
  <si>
    <t>Maj New tender 2024</t>
  </si>
  <si>
    <t>1 week securization : could be reduce if the service is reliable</t>
  </si>
  <si>
    <t>Marc-Aurele</t>
  </si>
  <si>
    <t>September 2025 : MSC bad perf TT increase</t>
  </si>
  <si>
    <t>RAS</t>
  </si>
  <si>
    <t xml:space="preserve">GT2025 New VTT ; Perf to check in 3 months </t>
  </si>
  <si>
    <t>INNSA</t>
  </si>
  <si>
    <t xml:space="preserve">Using CMA because of Hapag Bad performance 
CMA with a TT around 80 days </t>
  </si>
  <si>
    <t>Mise à jour red sea</t>
  </si>
  <si>
    <t>TT update</t>
  </si>
  <si>
    <t>Perf to check in 3 month</t>
  </si>
  <si>
    <t>COCTG</t>
  </si>
  <si>
    <t>Jocelyn</t>
  </si>
  <si>
    <t>???</t>
  </si>
  <si>
    <t>ESVLC</t>
  </si>
  <si>
    <t>Modification ETD to meet contract 9&gt;10 days (23/09/2025)</t>
  </si>
  <si>
    <t>YES</t>
  </si>
  <si>
    <t>Reduce security, leadtime comité 19/10/2023</t>
  </si>
  <si>
    <t>GT2023, ajout 7j mauvaise perf KPI 2022</t>
  </si>
  <si>
    <t>CNSHA</t>
  </si>
  <si>
    <t>BRPNG</t>
  </si>
  <si>
    <t>Change TT Occon</t>
  </si>
  <si>
    <t>Projet Getrag DW23</t>
  </si>
  <si>
    <t>Chgt carrier avec PSS</t>
  </si>
  <si>
    <t>Emmanuelle</t>
  </si>
  <si>
    <t>Ligne projet SFK  pour Magna Chine HX45</t>
  </si>
  <si>
    <t>ESALG</t>
  </si>
  <si>
    <t>MàJ CMA sept24</t>
  </si>
  <si>
    <t>Flux seville&gt;Busan projet DB45</t>
  </si>
  <si>
    <t>ARBUE</t>
  </si>
  <si>
    <t>Flux SFK FF Magna (1 week buffer addaed by Anthony to see perf 23/10)</t>
  </si>
  <si>
    <t>ARZAE</t>
  </si>
  <si>
    <t>INMAA</t>
  </si>
  <si>
    <t>Init VTT Magna Chine &gt; Inde. Sera à actualiser en fin d'année 2025 ; premier ETD W02 2026</t>
  </si>
  <si>
    <t>MAPTM</t>
  </si>
  <si>
    <t>Véronique</t>
  </si>
  <si>
    <t>GT2026 / modif ETD 9 ald 8  suite last technical check, avec buffer 7 jours</t>
  </si>
  <si>
    <t>GT2025 ajout du même buffer de 7 jours que Id group 617 (régularisation, pas de volume)</t>
  </si>
  <si>
    <t>CMA</t>
  </si>
  <si>
    <t>maj red sea</t>
  </si>
  <si>
    <t>GT24</t>
  </si>
  <si>
    <t>New ID for Horse</t>
  </si>
  <si>
    <t>ROCND</t>
  </si>
  <si>
    <t>Mise à jour red sea (perf = 36 days)</t>
  </si>
  <si>
    <t>GT2026 New VTT - VTT checked with Flor</t>
  </si>
  <si>
    <t>Hausse +1</t>
  </si>
  <si>
    <t>TRIZT</t>
  </si>
  <si>
    <t>Mise à jour Red sea (Perf TT = 53)</t>
  </si>
  <si>
    <t>3/10 : ajout 14 jours animation VTT</t>
  </si>
  <si>
    <t>GT2025 New VTT</t>
  </si>
  <si>
    <t>ras</t>
  </si>
  <si>
    <t xml:space="preserve">Perf = 46 days ; Standard customer safety stock addition </t>
  </si>
  <si>
    <t>Application date to be confirmed
Leadtime VTT novembre : ajout de 7 jours de buffer</t>
  </si>
  <si>
    <t>TRGEM</t>
  </si>
  <si>
    <t>modification to match contracted TT 34&gt;32 (23/09/2025)</t>
  </si>
  <si>
    <t>modif CMA occon 19/08</t>
  </si>
  <si>
    <t>GT2026 modif TT (37 =&gt; 34) ; modif buffer (7 =&gt; 14)</t>
  </si>
  <si>
    <t>NO (potential -2W)</t>
  </si>
  <si>
    <t>GT2025 modif jour ETD (dimanche à mardi)</t>
  </si>
  <si>
    <t>NO (potential -1W)</t>
  </si>
  <si>
    <t>update TT suite dérèglement mer rouge</t>
  </si>
  <si>
    <t>MàJ service EPIC</t>
  </si>
  <si>
    <t>MàJ REDSEA</t>
  </si>
  <si>
    <t>Mise à jour Red sea (Perf TT = 50)</t>
  </si>
  <si>
    <t>17/11 update :</t>
  </si>
  <si>
    <t>Màj performance Sept</t>
  </si>
  <si>
    <t>INKAT</t>
  </si>
  <si>
    <t>Mise à jour Red sea (Utilisation BU CMA ; TT CMA TBC ; 49 annonced by CMA but 54 in internet (80 Hapag))</t>
  </si>
  <si>
    <t>Leadtime VTT novembre : ajout de 7 jours de buffer</t>
  </si>
  <si>
    <t>Modification POL IKNAT</t>
  </si>
  <si>
    <t>Baisse -1</t>
  </si>
  <si>
    <t>Mise à jour Red sea (Back up CMA used ; 65 TT performance at moment ; 56 annonced by CMA BU)</t>
  </si>
  <si>
    <t>Service change Hapag : TT increase from 42 to 49</t>
  </si>
  <si>
    <t>RAS (-)</t>
  </si>
  <si>
    <t>Mise à jour Red sea (Perf TT = 47)</t>
  </si>
  <si>
    <t>17/11 : buffer removed to have bi-weekly exped (so 7 days packaging added)</t>
  </si>
  <si>
    <t>New ID for Horse ; Basculement du flux vers Chennai</t>
  </si>
  <si>
    <t>Simulation pour schema next</t>
  </si>
  <si>
    <t>NEW</t>
  </si>
  <si>
    <t>Mise à jour Red sea (Perf = 26 days)</t>
  </si>
  <si>
    <t>GT2026 : update 30/03 modif sce avec JEDDAH 2 new co &amp; etd (2/4 =&gt; 3/5), TT (21=&gt; 17): suppression buffer 7 jours (rounding = 6jours)</t>
  </si>
  <si>
    <t>POTENTIAL -1W</t>
  </si>
  <si>
    <t>Modif ETD to meet contract (23/09/2025)</t>
  </si>
  <si>
    <t>POL update ; No red sea impact (performance = 42 days)</t>
  </si>
  <si>
    <t>CMO Parameter Double VTT with Long TT (no change to ship with CMA)</t>
  </si>
  <si>
    <t>Leadtime VTT novembre : ajout de 7 jours et correction POL</t>
  </si>
  <si>
    <t>Transit time update</t>
  </si>
  <si>
    <t xml:space="preserve">Création VTT Chine vers Oyak Meca Horse
Reduction du Buffer de 1 semaine le 26/09/23 suite décision comité delai + modification du jour d'emission des DL au Mardi </t>
  </si>
  <si>
    <t>Leadtime VTT novembre : ajout de 7 jours</t>
  </si>
  <si>
    <t>Mise à jour Red sea (Perf TT = 38)</t>
  </si>
  <si>
    <t>TT Performance actualisation</t>
  </si>
  <si>
    <t>Application date to be confirmed
Leadtime VTT novembre : ajout de 7 jours</t>
  </si>
  <si>
    <t>ATTENTION +7J</t>
  </si>
  <si>
    <t>Service evolution + bad performance ; SS TBC</t>
  </si>
  <si>
    <t>Update 20/08/2025</t>
  </si>
  <si>
    <t>-7 Jrs</t>
  </si>
  <si>
    <t>Application date to be confirmed
Leadtime VTT update : ajout de 7J de buffer</t>
  </si>
  <si>
    <t>MXLZC</t>
  </si>
  <si>
    <t>JATCO MEXICO</t>
  </si>
  <si>
    <t>MXZLO</t>
  </si>
  <si>
    <t>JPSMZ</t>
  </si>
  <si>
    <t>COBUN</t>
  </si>
  <si>
    <t>JATCO JAPAN</t>
  </si>
  <si>
    <t>MACAS</t>
  </si>
  <si>
    <t>SIKOP</t>
  </si>
  <si>
    <t>JATCO JAPAN service change with CMA</t>
  </si>
  <si>
    <t>Update CMA 14/08/25</t>
  </si>
  <si>
    <t>Update CMA 15/04/25</t>
  </si>
  <si>
    <t>MXATM</t>
  </si>
  <si>
    <t>MXVER</t>
  </si>
  <si>
    <t>THLCH</t>
  </si>
  <si>
    <t>JATCO Transfert Japan vers Thailande</t>
  </si>
  <si>
    <t>JATCO MEXICO check SL vs occon</t>
  </si>
  <si>
    <t>NEw</t>
  </si>
  <si>
    <t>GT2025 New VTT ILN Chine</t>
  </si>
  <si>
    <t>Change of main carrier ONE i/o MSC</t>
  </si>
  <si>
    <t>JATCO Transfert Japan vers Thailande ; Augmentation TT info CMA 24/07/2025</t>
  </si>
  <si>
    <t>GT2026 New VTT / 240426 change HMM data</t>
  </si>
  <si>
    <t>JATCO Transfert Japan vers Thailande - CMA change august 25</t>
  </si>
  <si>
    <t>GT2026 New VTT occon main is CMA to be checked by Max</t>
  </si>
  <si>
    <t>Clé(Compte ILN - shipper - POL - plant)</t>
  </si>
  <si>
    <t>Clé(Compte ILN - shipper - POL)</t>
  </si>
  <si>
    <t xml:space="preserve"> Name ILN</t>
  </si>
  <si>
    <t>Name of shipper</t>
  </si>
  <si>
    <t>Name Consignee</t>
  </si>
  <si>
    <t>comments</t>
  </si>
  <si>
    <t>Colone E amélie(source ILN)</t>
  </si>
  <si>
    <t>Colone I amélie(source ILN)</t>
  </si>
  <si>
    <t>moyen</t>
  </si>
  <si>
    <t xml:space="preserve">First day to pol updated 19/03/2026 (ILN TR request) </t>
  </si>
  <si>
    <t>Colone K Tengda(source fiche VTT data colone V</t>
  </si>
  <si>
    <t>plus grande</t>
  </si>
  <si>
    <t>Nissan AFS</t>
  </si>
  <si>
    <t>Colone L nom shipper emmanuelle</t>
  </si>
  <si>
    <t>Curitiba CVU</t>
  </si>
  <si>
    <t>INMUN</t>
  </si>
  <si>
    <t>Nissan Thailande</t>
  </si>
  <si>
    <t xml:space="preserve">30/10 : passage 14 ald 21 suite demande ILN VLL </t>
  </si>
  <si>
    <t>MYTPP</t>
  </si>
  <si>
    <t>MYPEN</t>
  </si>
  <si>
    <t>MYPGU</t>
  </si>
  <si>
    <t>CNFUG</t>
  </si>
  <si>
    <t>CNFQG</t>
  </si>
  <si>
    <t>IDJKT</t>
  </si>
  <si>
    <t>ajout ligne le 28/04, validation avec Ali</t>
  </si>
  <si>
    <t>ajout 7 jrs appro fnr car passage PFI Valladolid</t>
  </si>
  <si>
    <t>ARROS</t>
  </si>
  <si>
    <t>Hamburg Sud</t>
  </si>
  <si>
    <t>FRDKK</t>
  </si>
  <si>
    <t>Correcting to be in link and standard with other flow</t>
  </si>
  <si>
    <t>ILN Shanghai A</t>
  </si>
  <si>
    <t>PTLEI</t>
  </si>
  <si>
    <t>JPMOJ</t>
  </si>
  <si>
    <t>CNXAM</t>
  </si>
  <si>
    <t>CNXMN</t>
  </si>
  <si>
    <t>CNNGB</t>
  </si>
  <si>
    <t>CNKHN</t>
  </si>
  <si>
    <t>BRSSZ</t>
  </si>
  <si>
    <t>USUI</t>
  </si>
  <si>
    <t>Faurecia</t>
  </si>
  <si>
    <t>ZAPLZ</t>
  </si>
  <si>
    <t>NGK</t>
  </si>
  <si>
    <t>JPNGO</t>
  </si>
  <si>
    <t>Buffer added (7days) before exped for bi-weekly expeditions</t>
  </si>
  <si>
    <t>CNSHA/CNNGB</t>
  </si>
  <si>
    <t>Sandouville</t>
  </si>
  <si>
    <t>CNDLC</t>
  </si>
  <si>
    <t>Linlong serbie</t>
  </si>
  <si>
    <t>HRRJK</t>
  </si>
  <si>
    <t>To check Init VTT linglong</t>
  </si>
  <si>
    <t>Motores</t>
  </si>
  <si>
    <t>POE Spain</t>
  </si>
  <si>
    <t>ITSAL</t>
  </si>
  <si>
    <t>ajout 7 jrs appro fnr car passage PFI mioveni</t>
  </si>
  <si>
    <t>Buffer added before exped for bi-weekly expeditions</t>
  </si>
  <si>
    <t>ajout 7 jrs appro fnr car passage PFI Valladolid ; ajout 7 jours packing pour expéditions bi-hebdomadaires</t>
  </si>
  <si>
    <t>JPYOK</t>
  </si>
  <si>
    <t>ajout 7 jrs appro suite demande inde ; Buffer added (7days) before exped for bi-weekly expeditions</t>
  </si>
  <si>
    <t>flux batteries batilly Brésil</t>
  </si>
  <si>
    <t>USCHS</t>
  </si>
  <si>
    <t>VNHPH</t>
  </si>
  <si>
    <t>Clé(POD-PFI-Usine)</t>
  </si>
  <si>
    <t>Clé(POD-PFI)</t>
  </si>
  <si>
    <t>Clé(POD-Compte site )</t>
  </si>
  <si>
    <t>Clé(PFI-site)</t>
  </si>
  <si>
    <t>type PFI/CDD</t>
  </si>
  <si>
    <t>BRRIO</t>
  </si>
  <si>
    <t>CNWUH</t>
  </si>
  <si>
    <t>CNNHN</t>
  </si>
  <si>
    <t>EGALY</t>
  </si>
  <si>
    <t>Nissan Egypt</t>
  </si>
  <si>
    <t>MYPKG</t>
  </si>
  <si>
    <t>Malaysia TCM</t>
  </si>
  <si>
    <t>TRGEB</t>
  </si>
  <si>
    <t>ZADUR</t>
  </si>
  <si>
    <t>DZORN</t>
  </si>
  <si>
    <t>DZAZW</t>
  </si>
  <si>
    <t>POD vers Usine (direct)</t>
  </si>
  <si>
    <t>POD vers PFI</t>
  </si>
  <si>
    <t>PFI vers Usine</t>
  </si>
  <si>
    <t>Clé POD-Code Plant</t>
  </si>
  <si>
    <t>Name Plant</t>
  </si>
  <si>
    <t>Code Plant</t>
  </si>
  <si>
    <t>Trpt direct vers Usine</t>
  </si>
  <si>
    <t>Clé POD-Code PFI</t>
  </si>
  <si>
    <t xml:space="preserve">Name PFI </t>
  </si>
  <si>
    <t>Transport</t>
  </si>
  <si>
    <t>Clé Code PFI - Code Usine</t>
  </si>
  <si>
    <t>PFI Import</t>
  </si>
  <si>
    <t xml:space="preserve">Code PFI </t>
  </si>
  <si>
    <t>Usine arrivée</t>
  </si>
  <si>
    <t>Moyenne preavis GPI - 1J  ( Hors flux SFK)</t>
  </si>
  <si>
    <t>France (Dieppe)</t>
  </si>
  <si>
    <t>France (Cleon)</t>
  </si>
  <si>
    <t>France (Douai)</t>
  </si>
  <si>
    <t>France (Flins)</t>
  </si>
  <si>
    <t>France (Maubeuge)</t>
  </si>
  <si>
    <t>Spain (Palencia)</t>
  </si>
  <si>
    <t>France (Sandouville)</t>
  </si>
  <si>
    <t>Spain (Sevilla)</t>
  </si>
  <si>
    <t>Buffer for train</t>
  </si>
  <si>
    <t>France (Batilly)</t>
  </si>
  <si>
    <t>France (STA)</t>
  </si>
  <si>
    <t>Day Cut off</t>
  </si>
  <si>
    <t>Day ETD1</t>
  </si>
  <si>
    <t>Day ETD2</t>
  </si>
  <si>
    <t>Spain (Valladolid)</t>
  </si>
  <si>
    <t>train</t>
  </si>
  <si>
    <t>Portugal (Cacia)</t>
  </si>
  <si>
    <t>Morocco (Somaca)</t>
  </si>
  <si>
    <t>Morocco (Tangier)</t>
  </si>
  <si>
    <t>Russia (Togliatti)</t>
  </si>
  <si>
    <t>Russia (Moscow)</t>
  </si>
  <si>
    <t>Spain ( Motores)</t>
  </si>
  <si>
    <t>Day : when it start</t>
  </si>
  <si>
    <t>Day+ : Duration</t>
  </si>
  <si>
    <t>Final Day : when it finish</t>
  </si>
  <si>
    <t>where the data is</t>
  </si>
  <si>
    <r>
      <t xml:space="preserve"> The key is </t>
    </r>
    <r>
      <rPr>
        <u/>
        <sz val="7"/>
        <rFont val="Arial"/>
        <family val="2"/>
      </rPr>
      <t>'Compte Site'</t>
    </r>
  </si>
  <si>
    <t>/</t>
  </si>
  <si>
    <t>-</t>
  </si>
  <si>
    <t>Data in 'Order' sheet</t>
  </si>
  <si>
    <r>
      <t xml:space="preserve"> The key is </t>
    </r>
    <r>
      <rPr>
        <u/>
        <sz val="7"/>
        <rFont val="Arial"/>
        <family val="2"/>
      </rPr>
      <t>'Compte ILN'</t>
    </r>
  </si>
  <si>
    <t>Data in 'Data ILN' sheet</t>
  </si>
  <si>
    <r>
      <t xml:space="preserve"> The key is </t>
    </r>
    <r>
      <rPr>
        <u/>
        <sz val="7"/>
        <rFont val="Arial"/>
        <family val="2"/>
      </rPr>
      <t>'ILN - shipper - POL - plant'</t>
    </r>
    <r>
      <rPr>
        <sz val="7"/>
        <rFont val="Arial"/>
        <family val="2"/>
      </rPr>
      <t xml:space="preserve"> (special case) or </t>
    </r>
    <r>
      <rPr>
        <u/>
        <sz val="7"/>
        <rFont val="Arial"/>
        <family val="2"/>
      </rPr>
      <t>'ILN - shipper - POL'</t>
    </r>
  </si>
  <si>
    <r>
      <t xml:space="preserve">The key is </t>
    </r>
    <r>
      <rPr>
        <u/>
        <sz val="7"/>
        <rFont val="Arial"/>
        <family val="2"/>
      </rPr>
      <t>'ILN - shipper - POL - plant'</t>
    </r>
    <r>
      <rPr>
        <sz val="7"/>
        <rFont val="Arial"/>
        <family val="2"/>
      </rPr>
      <t xml:space="preserve"> (special case) or </t>
    </r>
    <r>
      <rPr>
        <u/>
        <sz val="7"/>
        <rFont val="Arial"/>
        <family val="2"/>
      </rPr>
      <t>'ILN - shipper - POL'</t>
    </r>
  </si>
  <si>
    <t xml:space="preserve"> Calculated in VTT</t>
  </si>
  <si>
    <r>
      <t xml:space="preserve"> The key is </t>
    </r>
    <r>
      <rPr>
        <u/>
        <sz val="7"/>
        <rFont val="Arial"/>
        <family val="2"/>
      </rPr>
      <t>'ID - Actif/Next'</t>
    </r>
  </si>
  <si>
    <t>Data in 'DATA BTO' sheet</t>
  </si>
  <si>
    <r>
      <t xml:space="preserve"> The key is </t>
    </r>
    <r>
      <rPr>
        <u/>
        <sz val="7"/>
        <rFont val="Arial"/>
        <family val="2"/>
      </rPr>
      <t>'ID Actif/Next'</t>
    </r>
  </si>
  <si>
    <r>
      <t xml:space="preserve"> The key is </t>
    </r>
    <r>
      <rPr>
        <u/>
        <sz val="7"/>
        <rFont val="Arial"/>
        <family val="2"/>
      </rPr>
      <t>'POD - PFI - Usine'</t>
    </r>
    <r>
      <rPr>
        <sz val="7"/>
        <rFont val="Arial"/>
        <family val="2"/>
      </rPr>
      <t xml:space="preserve"> ('DATA Consignee')</t>
    </r>
  </si>
  <si>
    <t>Data in 'DATA Consignee' and 'Transport' sheet</t>
  </si>
  <si>
    <r>
      <t xml:space="preserve"> The key is </t>
    </r>
    <r>
      <rPr>
        <u/>
        <sz val="7"/>
        <rFont val="Arial"/>
        <family val="2"/>
      </rPr>
      <t>'POD - PFI - Usine'</t>
    </r>
    <r>
      <rPr>
        <sz val="7"/>
        <rFont val="Arial"/>
        <family val="2"/>
      </rPr>
      <t xml:space="preserve"> ('Transport') </t>
    </r>
    <r>
      <rPr>
        <u/>
        <sz val="7"/>
        <rFont val="Arial"/>
        <family val="2"/>
      </rPr>
      <t>'POD - PFI'</t>
    </r>
  </si>
  <si>
    <r>
      <t xml:space="preserve"> The key is </t>
    </r>
    <r>
      <rPr>
        <u/>
        <sz val="7"/>
        <rFont val="Arial"/>
        <family val="2"/>
      </rPr>
      <t>'POD - PFI - Usine'</t>
    </r>
    <r>
      <rPr>
        <sz val="7"/>
        <rFont val="Arial"/>
        <family val="2"/>
      </rPr>
      <t xml:space="preserve"> ('Transport') </t>
    </r>
    <r>
      <rPr>
        <u/>
        <sz val="7"/>
        <rFont val="Arial"/>
        <family val="2"/>
      </rPr>
      <t>'POD - Usine'</t>
    </r>
    <r>
      <rPr>
        <sz val="7"/>
        <rFont val="Arial"/>
        <family val="2"/>
      </rPr>
      <t xml:space="preserve"> and </t>
    </r>
    <r>
      <rPr>
        <u/>
        <sz val="7"/>
        <rFont val="Arial"/>
        <family val="2"/>
      </rPr>
      <t>'PFI - Usine'</t>
    </r>
  </si>
  <si>
    <t>Data in 'VTT' sheet</t>
  </si>
  <si>
    <t>Key(ID-date)</t>
  </si>
  <si>
    <t>Projet</t>
  </si>
  <si>
    <t>Nissan BRESIL</t>
  </si>
  <si>
    <t>SFK_Douai1</t>
  </si>
  <si>
    <t>SFK_Douai2</t>
  </si>
  <si>
    <t>SFK_MCA1</t>
  </si>
  <si>
    <t>SFK_MCA2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</si>
</sst>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$-40C]d\-mmm;@"/>
    <numFmt numFmtId="165" formatCode="_-* #,##0.00\ _€_-;\-* #,##0.00\ _€_-;_-* &quot;-&quot;??\ _€_-;_-@_-"/>
    <numFmt numFmtId="166" formatCode="_-&quot;L.&quot;\ * #,##0_-;\-&quot;L.&quot;\ * #,##0_-;_-&quot;L.&quot;\ * &quot;-&quot;_-;_-@_-"/>
    <numFmt numFmtId="167" formatCode="_-&quot;L.&quot;\ * #,##0.00_-;\-&quot;L.&quot;\ * #,##0.00_-;_-&quot;L.&quot;\ * &quot;-&quot;??_-;_-@_-"/>
    <numFmt numFmtId="168" formatCode="0000000000"/>
    <numFmt numFmtId="169" formatCode="00########"/>
    <numFmt numFmtId="170" formatCode="00000000"/>
    <numFmt numFmtId="171" formatCode="########"/>
    <numFmt numFmtId="172" formatCode="_-* #,##0.00\ _l_e_i_-;\-* #,##0.00\ _l_e_i_-;_-* &quot;-&quot;??\ _l_e_i_-;_-@_-"/>
  </numFmts>
  <fonts count="10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2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name val="Calibri"/>
      <family val="2"/>
      <scheme val="minor"/>
    </font>
    <font>
      <sz val="7"/>
      <name val="Arial"/>
      <family val="2"/>
    </font>
    <font>
      <sz val="7"/>
      <color theme="1"/>
      <name val="Calibri"/>
      <family val="2"/>
      <scheme val="minor"/>
    </font>
    <font>
      <b/>
      <sz val="7"/>
      <color theme="0"/>
      <name val="Arial"/>
      <family val="2"/>
    </font>
    <font>
      <b/>
      <sz val="7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6"/>
      <name val="Arial"/>
      <family val="2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6"/>
      <color theme="0"/>
      <name val="Calibri"/>
      <family val="2"/>
      <scheme val="minor"/>
    </font>
    <font>
      <sz val="6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1"/>
      <name val="Calibri"/>
      <family val="2"/>
      <scheme val="minor"/>
    </font>
    <font>
      <b/>
      <sz val="6"/>
      <name val="Calibri"/>
      <family val="2"/>
      <scheme val="minor"/>
    </font>
    <font>
      <sz val="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0"/>
      <name val="Arial"/>
      <family val="2"/>
      <charset val="238"/>
    </font>
    <font>
      <sz val="10"/>
      <name val="Arial CE"/>
      <family val="2"/>
      <charset val="238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0"/>
      <name val="Courier"/>
      <family val="3"/>
    </font>
    <font>
      <sz val="10"/>
      <name val="Helv"/>
    </font>
    <font>
      <sz val="10"/>
      <name val="Tms Rmn"/>
    </font>
    <font>
      <b/>
      <sz val="11"/>
      <color indexed="8"/>
      <name val="Calibri"/>
      <family val="2"/>
    </font>
    <font>
      <sz val="11"/>
      <color indexed="60"/>
      <name val="Calibri"/>
      <family val="2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b/>
      <sz val="18"/>
      <color indexed="56"/>
      <name val="Cambria"/>
      <family val="2"/>
      <charset val="238"/>
    </font>
    <font>
      <b/>
      <sz val="11"/>
      <color indexed="8"/>
      <name val="Calibri"/>
      <family val="2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7"/>
      <name val="Arial"/>
      <family val="1"/>
    </font>
    <font>
      <sz val="11"/>
      <name val="Calibri"/>
      <family val="2"/>
      <scheme val="minor"/>
    </font>
    <font>
      <b/>
      <sz val="6"/>
      <name val="Arial"/>
      <family val="2"/>
    </font>
    <font>
      <b/>
      <sz val="6"/>
      <name val="Times New Roman"/>
      <family val="1"/>
    </font>
    <font>
      <u/>
      <sz val="7"/>
      <name val="Arial"/>
      <family val="2"/>
    </font>
    <font>
      <sz val="7"/>
      <color theme="0"/>
      <name val="Arial"/>
      <family val="2"/>
    </font>
    <font>
      <b/>
      <i/>
      <sz val="7"/>
      <name val="Arial"/>
      <family val="2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11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57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57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5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F41C8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 style="medium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</borders>
  <cellStyleXfs count="366">
    <xf numFmtId="0" fontId="0" fillId="0" borderId="0"/>
    <xf numFmtId="0" fontId="3" fillId="0" borderId="0"/>
    <xf numFmtId="165" fontId="27" fillId="0" borderId="0" applyFont="0" applyFill="0" applyBorder="0" applyAlignment="0" applyProtection="0"/>
    <xf numFmtId="0" fontId="28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29" borderId="0" applyNumberFormat="0" applyBorder="0" applyAlignment="0" applyProtection="0"/>
    <xf numFmtId="0" fontId="29" fillId="32" borderId="0" applyNumberFormat="0" applyBorder="0" applyAlignment="0" applyProtection="0"/>
    <xf numFmtId="0" fontId="29" fillId="35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29" borderId="0" applyNumberFormat="0" applyBorder="0" applyAlignment="0" applyProtection="0"/>
    <xf numFmtId="0" fontId="29" fillId="32" borderId="0" applyNumberFormat="0" applyBorder="0" applyAlignment="0" applyProtection="0"/>
    <xf numFmtId="0" fontId="29" fillId="35" borderId="0" applyNumberFormat="0" applyBorder="0" applyAlignment="0" applyProtection="0"/>
    <xf numFmtId="0" fontId="30" fillId="36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36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1" fillId="31" borderId="48" applyNumberFormat="0" applyAlignment="0" applyProtection="0"/>
    <xf numFmtId="0" fontId="32" fillId="28" borderId="0" applyNumberFormat="0" applyBorder="0" applyAlignment="0" applyProtection="0"/>
    <xf numFmtId="0" fontId="33" fillId="40" borderId="48" applyNumberFormat="0" applyAlignment="0" applyProtection="0"/>
    <xf numFmtId="0" fontId="34" fillId="41" borderId="49" applyNumberFormat="0" applyAlignment="0" applyProtection="0"/>
    <xf numFmtId="0" fontId="35" fillId="0" borderId="5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51" applyNumberFormat="0" applyFill="0" applyAlignment="0" applyProtection="0"/>
    <xf numFmtId="0" fontId="38" fillId="0" borderId="52" applyNumberFormat="0" applyFill="0" applyAlignment="0" applyProtection="0"/>
    <xf numFmtId="0" fontId="39" fillId="0" borderId="53" applyNumberFormat="0" applyFill="0" applyAlignment="0" applyProtection="0"/>
    <xf numFmtId="0" fontId="39" fillId="0" borderId="0" applyNumberFormat="0" applyFill="0" applyBorder="0" applyAlignment="0" applyProtection="0"/>
    <xf numFmtId="0" fontId="3" fillId="0" borderId="0" applyFont="0" applyFill="0" applyBorder="0" applyAlignment="0" applyProtection="0"/>
    <xf numFmtId="0" fontId="34" fillId="41" borderId="49" applyNumberFormat="0" applyAlignment="0" applyProtection="0"/>
    <xf numFmtId="0" fontId="39" fillId="0" borderId="0" applyNumberFormat="0" applyFill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45" borderId="0" applyNumberFormat="0" applyBorder="0" applyAlignment="0" applyProtection="0"/>
    <xf numFmtId="0" fontId="31" fillId="31" borderId="48" applyNumberFormat="0" applyAlignment="0" applyProtection="0"/>
    <xf numFmtId="44" fontId="3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35" fillId="0" borderId="50" applyNumberFormat="0" applyFill="0" applyAlignment="0" applyProtection="0"/>
    <xf numFmtId="0" fontId="41" fillId="27" borderId="0" applyNumberFormat="0" applyBorder="0" applyAlignment="0" applyProtection="0"/>
    <xf numFmtId="0" fontId="42" fillId="46" borderId="47" applyNumberFormat="0" applyFont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45" borderId="0" applyNumberFormat="0" applyBorder="0" applyAlignment="0" applyProtection="0"/>
    <xf numFmtId="0" fontId="32" fillId="28" borderId="0" applyNumberFormat="0" applyBorder="0" applyAlignment="0" applyProtection="0"/>
    <xf numFmtId="0" fontId="43" fillId="0" borderId="0" applyNumberFormat="0" applyFill="0" applyBorder="0" applyProtection="0">
      <alignment horizontal="left"/>
    </xf>
    <xf numFmtId="0" fontId="44" fillId="40" borderId="54" applyNumberFormat="0" applyAlignment="0" applyProtection="0"/>
    <xf numFmtId="0" fontId="45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 applyNumberFormat="0" applyFill="0" applyBorder="0" applyAlignment="0" applyProtection="0"/>
    <xf numFmtId="0" fontId="47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7" fillId="0" borderId="0"/>
    <xf numFmtId="0" fontId="29" fillId="0" borderId="0"/>
    <xf numFmtId="0" fontId="3" fillId="0" borderId="0"/>
    <xf numFmtId="0" fontId="48" fillId="0" borderId="0"/>
    <xf numFmtId="0" fontId="3" fillId="0" borderId="0"/>
    <xf numFmtId="0" fontId="43" fillId="0" borderId="0"/>
    <xf numFmtId="0" fontId="3" fillId="46" borderId="47" applyNumberFormat="0" applyFont="0" applyAlignment="0" applyProtection="0"/>
    <xf numFmtId="0" fontId="49" fillId="0" borderId="55" applyNumberFormat="0" applyFill="0" applyAlignment="0" applyProtection="0"/>
    <xf numFmtId="0" fontId="43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1" fillId="27" borderId="0" applyNumberFormat="0" applyBorder="0" applyAlignment="0" applyProtection="0"/>
    <xf numFmtId="0" fontId="44" fillId="40" borderId="54" applyNumberFormat="0" applyAlignment="0" applyProtection="0"/>
    <xf numFmtId="0" fontId="50" fillId="47" borderId="0" applyNumberFormat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3" fillId="40" borderId="48" applyNumberFormat="0" applyAlignment="0" applyProtection="0"/>
    <xf numFmtId="0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51" applyNumberFormat="0" applyFill="0" applyAlignment="0" applyProtection="0"/>
    <xf numFmtId="0" fontId="38" fillId="0" borderId="52" applyNumberFormat="0" applyFill="0" applyAlignment="0" applyProtection="0"/>
    <xf numFmtId="0" fontId="39" fillId="0" borderId="53" applyNumberFormat="0" applyFill="0" applyAlignment="0" applyProtection="0"/>
    <xf numFmtId="0" fontId="43" fillId="0" borderId="0" applyNumberFormat="0" applyFill="0" applyBorder="0" applyProtection="0">
      <alignment horizontal="left"/>
    </xf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3" fillId="0" borderId="0"/>
    <xf numFmtId="0" fontId="27" fillId="0" borderId="0"/>
    <xf numFmtId="16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3" fillId="42" borderId="0" applyNumberFormat="0" applyBorder="0" applyAlignment="0" applyProtection="0"/>
    <xf numFmtId="0" fontId="53" fillId="43" borderId="0" applyNumberFormat="0" applyBorder="0" applyAlignment="0" applyProtection="0"/>
    <xf numFmtId="0" fontId="53" fillId="44" borderId="0" applyNumberFormat="0" applyBorder="0" applyAlignment="0" applyProtection="0"/>
    <xf numFmtId="0" fontId="53" fillId="37" borderId="0" applyNumberFormat="0" applyBorder="0" applyAlignment="0" applyProtection="0"/>
    <xf numFmtId="0" fontId="53" fillId="38" borderId="0" applyNumberFormat="0" applyBorder="0" applyAlignment="0" applyProtection="0"/>
    <xf numFmtId="0" fontId="53" fillId="45" borderId="0" applyNumberFormat="0" applyBorder="0" applyAlignment="0" applyProtection="0"/>
    <xf numFmtId="0" fontId="54" fillId="27" borderId="0" applyNumberFormat="0" applyBorder="0" applyAlignment="0" applyProtection="0"/>
    <xf numFmtId="0" fontId="55" fillId="41" borderId="49" applyNumberFormat="0" applyAlignment="0" applyProtection="0"/>
    <xf numFmtId="0" fontId="3" fillId="0" borderId="0" applyFont="0" applyFill="0" applyBorder="0" applyAlignment="0" applyProtection="0"/>
    <xf numFmtId="0" fontId="51" fillId="24" borderId="0" applyNumberFormat="0" applyBorder="0" applyAlignment="0" applyProtection="0"/>
    <xf numFmtId="44" fontId="3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28" borderId="0" applyNumberFormat="0" applyBorder="0" applyAlignment="0" applyProtection="0"/>
    <xf numFmtId="0" fontId="58" fillId="0" borderId="51" applyNumberFormat="0" applyFill="0" applyAlignment="0" applyProtection="0"/>
    <xf numFmtId="0" fontId="59" fillId="0" borderId="52" applyNumberFormat="0" applyFill="0" applyAlignment="0" applyProtection="0"/>
    <xf numFmtId="0" fontId="60" fillId="0" borderId="53" applyNumberFormat="0" applyFill="0" applyAlignment="0" applyProtection="0"/>
    <xf numFmtId="0" fontId="60" fillId="0" borderId="0" applyNumberFormat="0" applyFill="0" applyBorder="0" applyAlignment="0" applyProtection="0"/>
    <xf numFmtId="44" fontId="3" fillId="0" borderId="0" applyFont="0" applyFill="0" applyBorder="0" applyAlignment="0" applyProtection="0"/>
    <xf numFmtId="0" fontId="61" fillId="47" borderId="0" applyNumberFormat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27" fillId="0" borderId="0"/>
    <xf numFmtId="0" fontId="3" fillId="46" borderId="47" applyNumberFormat="0" applyFont="0" applyAlignment="0" applyProtection="0"/>
    <xf numFmtId="0" fontId="62" fillId="40" borderId="54" applyNumberFormat="0" applyAlignment="0" applyProtection="0"/>
    <xf numFmtId="9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55" applyNumberFormat="0" applyFill="0" applyAlignment="0" applyProtection="0"/>
    <xf numFmtId="0" fontId="3" fillId="0" borderId="0" applyFont="0" applyFill="0" applyBorder="0" applyAlignment="0" applyProtection="0"/>
    <xf numFmtId="0" fontId="52" fillId="25" borderId="0" applyNumberFormat="0" applyBorder="0" applyAlignment="0" applyProtection="0"/>
    <xf numFmtId="0" fontId="3" fillId="0" borderId="0"/>
    <xf numFmtId="0" fontId="28" fillId="0" borderId="0"/>
    <xf numFmtId="38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165" fontId="28" fillId="0" borderId="0" applyFont="0" applyFill="0" applyBorder="0" applyAlignment="0" applyProtection="0"/>
    <xf numFmtId="0" fontId="65" fillId="0" borderId="0"/>
    <xf numFmtId="165" fontId="27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66" fillId="0" borderId="0"/>
    <xf numFmtId="9" fontId="66" fillId="0" borderId="0" applyFont="0" applyFill="0" applyBorder="0" applyAlignment="0" applyProtection="0"/>
    <xf numFmtId="0" fontId="27" fillId="0" borderId="0"/>
    <xf numFmtId="44" fontId="27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3" fillId="0" borderId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92" fillId="0" borderId="0" applyNumberFormat="0" applyFill="0" applyBorder="0" applyAlignment="0" applyProtection="0">
      <alignment vertical="top"/>
      <protection locked="0"/>
    </xf>
    <xf numFmtId="0" fontId="93" fillId="0" borderId="0"/>
    <xf numFmtId="0" fontId="27" fillId="0" borderId="0"/>
    <xf numFmtId="0" fontId="27" fillId="0" borderId="0"/>
    <xf numFmtId="0" fontId="27" fillId="0" borderId="0"/>
    <xf numFmtId="40" fontId="9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8" fillId="0" borderId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3" fillId="0" borderId="0"/>
    <xf numFmtId="0" fontId="27" fillId="0" borderId="0"/>
    <xf numFmtId="0" fontId="94" fillId="0" borderId="0">
      <alignment vertical="center"/>
    </xf>
    <xf numFmtId="0" fontId="66" fillId="0" borderId="0"/>
    <xf numFmtId="0" fontId="90" fillId="0" borderId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91" fillId="0" borderId="0" applyBorder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67" borderId="0" applyNumberFormat="0" applyBorder="0" applyAlignment="0" applyProtection="0"/>
    <xf numFmtId="0" fontId="27" fillId="71" borderId="0" applyNumberFormat="0" applyBorder="0" applyAlignment="0" applyProtection="0"/>
    <xf numFmtId="0" fontId="27" fillId="75" borderId="0" applyNumberFormat="0" applyBorder="0" applyAlignment="0" applyProtection="0"/>
    <xf numFmtId="0" fontId="27" fillId="79" borderId="0" applyNumberFormat="0" applyBorder="0" applyAlignment="0" applyProtection="0"/>
    <xf numFmtId="0" fontId="27" fillId="83" borderId="0" applyNumberFormat="0" applyBorder="0" applyAlignment="0" applyProtection="0"/>
    <xf numFmtId="0" fontId="27" fillId="87" borderId="0" applyNumberFormat="0" applyBorder="0" applyAlignment="0" applyProtection="0"/>
    <xf numFmtId="0" fontId="27" fillId="68" borderId="0" applyNumberFormat="0" applyBorder="0" applyAlignment="0" applyProtection="0"/>
    <xf numFmtId="0" fontId="27" fillId="72" borderId="0" applyNumberFormat="0" applyBorder="0" applyAlignment="0" applyProtection="0"/>
    <xf numFmtId="0" fontId="27" fillId="76" borderId="0" applyNumberFormat="0" applyBorder="0" applyAlignment="0" applyProtection="0"/>
    <xf numFmtId="0" fontId="27" fillId="80" borderId="0" applyNumberFormat="0" applyBorder="0" applyAlignment="0" applyProtection="0"/>
    <xf numFmtId="0" fontId="27" fillId="84" borderId="0" applyNumberFormat="0" applyBorder="0" applyAlignment="0" applyProtection="0"/>
    <xf numFmtId="0" fontId="27" fillId="88" borderId="0" applyNumberFormat="0" applyBorder="0" applyAlignment="0" applyProtection="0"/>
    <xf numFmtId="0" fontId="89" fillId="69" borderId="0" applyNumberFormat="0" applyBorder="0" applyAlignment="0" applyProtection="0"/>
    <xf numFmtId="0" fontId="89" fillId="73" borderId="0" applyNumberFormat="0" applyBorder="0" applyAlignment="0" applyProtection="0"/>
    <xf numFmtId="0" fontId="89" fillId="77" borderId="0" applyNumberFormat="0" applyBorder="0" applyAlignment="0" applyProtection="0"/>
    <xf numFmtId="0" fontId="89" fillId="81" borderId="0" applyNumberFormat="0" applyBorder="0" applyAlignment="0" applyProtection="0"/>
    <xf numFmtId="0" fontId="89" fillId="85" borderId="0" applyNumberFormat="0" applyBorder="0" applyAlignment="0" applyProtection="0"/>
    <xf numFmtId="0" fontId="89" fillId="89" borderId="0" applyNumberFormat="0" applyBorder="0" applyAlignment="0" applyProtection="0"/>
    <xf numFmtId="0" fontId="89" fillId="66" borderId="0" applyNumberFormat="0" applyBorder="0" applyAlignment="0" applyProtection="0"/>
    <xf numFmtId="0" fontId="89" fillId="70" borderId="0" applyNumberFormat="0" applyBorder="0" applyAlignment="0" applyProtection="0"/>
    <xf numFmtId="0" fontId="89" fillId="74" borderId="0" applyNumberFormat="0" applyBorder="0" applyAlignment="0" applyProtection="0"/>
    <xf numFmtId="0" fontId="89" fillId="78" borderId="0" applyNumberFormat="0" applyBorder="0" applyAlignment="0" applyProtection="0"/>
    <xf numFmtId="0" fontId="89" fillId="82" borderId="0" applyNumberFormat="0" applyBorder="0" applyAlignment="0" applyProtection="0"/>
    <xf numFmtId="0" fontId="89" fillId="86" borderId="0" applyNumberFormat="0" applyBorder="0" applyAlignment="0" applyProtection="0"/>
    <xf numFmtId="0" fontId="83" fillId="24" borderId="0" applyNumberFormat="0" applyBorder="0" applyAlignment="0" applyProtection="0"/>
    <xf numFmtId="0" fontId="86" fillId="63" borderId="105" applyNumberFormat="0" applyAlignment="0" applyProtection="0"/>
    <xf numFmtId="0" fontId="1" fillId="64" borderId="108" applyNumberFormat="0" applyAlignment="0" applyProtection="0"/>
    <xf numFmtId="172" fontId="27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82" fillId="61" borderId="0" applyNumberFormat="0" applyBorder="0" applyAlignment="0" applyProtection="0"/>
    <xf numFmtId="0" fontId="79" fillId="0" borderId="102" applyNumberFormat="0" applyFill="0" applyAlignment="0" applyProtection="0"/>
    <xf numFmtId="0" fontId="80" fillId="0" borderId="103" applyNumberFormat="0" applyFill="0" applyAlignment="0" applyProtection="0"/>
    <xf numFmtId="0" fontId="81" fillId="0" borderId="104" applyNumberFormat="0" applyFill="0" applyAlignment="0" applyProtection="0"/>
    <xf numFmtId="0" fontId="81" fillId="0" borderId="0" applyNumberFormat="0" applyFill="0" applyBorder="0" applyAlignment="0" applyProtection="0"/>
    <xf numFmtId="0" fontId="84" fillId="62" borderId="105" applyNumberFormat="0" applyAlignment="0" applyProtection="0"/>
    <xf numFmtId="0" fontId="87" fillId="0" borderId="107" applyNumberFormat="0" applyFill="0" applyAlignment="0" applyProtection="0"/>
    <xf numFmtId="0" fontId="95" fillId="25" borderId="0" applyNumberFormat="0" applyBorder="0" applyAlignment="0" applyProtection="0"/>
    <xf numFmtId="0" fontId="27" fillId="0" borderId="0"/>
    <xf numFmtId="0" fontId="91" fillId="0" borderId="0" applyBorder="0"/>
    <xf numFmtId="0" fontId="27" fillId="65" borderId="109" applyNumberFormat="0" applyFont="0" applyAlignment="0" applyProtection="0"/>
    <xf numFmtId="0" fontId="85" fillId="63" borderId="106" applyNumberFormat="0" applyAlignment="0" applyProtection="0"/>
    <xf numFmtId="0" fontId="96" fillId="0" borderId="0" applyNumberFormat="0" applyFill="0" applyBorder="0" applyAlignment="0" applyProtection="0"/>
    <xf numFmtId="0" fontId="8" fillId="0" borderId="110" applyNumberFormat="0" applyFill="0" applyAlignment="0" applyProtection="0"/>
    <xf numFmtId="0" fontId="67" fillId="0" borderId="0" applyNumberFormat="0" applyFill="0" applyBorder="0" applyAlignment="0" applyProtection="0"/>
    <xf numFmtId="165" fontId="27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</cellStyleXfs>
  <cellXfs count="679">
    <xf numFmtId="0" fontId="0" fillId="0" borderId="0" xfId="0"/>
    <xf numFmtId="0" fontId="0" fillId="0" borderId="0" xfId="0" applyAlignment="1">
      <alignment vertical="center"/>
    </xf>
    <xf numFmtId="0" fontId="0" fillId="19" borderId="3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19" borderId="13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20" xfId="0" applyBorder="1"/>
    <xf numFmtId="0" fontId="0" fillId="0" borderId="1" xfId="0" applyBorder="1" applyAlignment="1" applyProtection="1">
      <alignment horizontal="left" vertical="center"/>
      <protection locked="0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21" xfId="1" applyFont="1" applyBorder="1" applyAlignment="1">
      <alignment horizontal="center" vertical="center"/>
    </xf>
    <xf numFmtId="0" fontId="11" fillId="0" borderId="22" xfId="1" applyFont="1" applyBorder="1" applyAlignment="1">
      <alignment horizontal="center" vertical="center"/>
    </xf>
    <xf numFmtId="0" fontId="11" fillId="7" borderId="22" xfId="1" applyFont="1" applyFill="1" applyBorder="1" applyAlignment="1">
      <alignment horizontal="center" vertical="center"/>
    </xf>
    <xf numFmtId="0" fontId="11" fillId="7" borderId="23" xfId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9" borderId="10" xfId="1" applyFont="1" applyFill="1" applyBorder="1" applyAlignment="1">
      <alignment vertical="center"/>
    </xf>
    <xf numFmtId="0" fontId="11" fillId="0" borderId="10" xfId="1" applyFont="1" applyBorder="1" applyAlignment="1">
      <alignment horizontal="center" vertical="center"/>
    </xf>
    <xf numFmtId="0" fontId="11" fillId="14" borderId="10" xfId="1" applyFont="1" applyFill="1" applyBorder="1" applyAlignment="1">
      <alignment horizontal="center" vertical="center"/>
    </xf>
    <xf numFmtId="1" fontId="11" fillId="0" borderId="10" xfId="1" applyNumberFormat="1" applyFont="1" applyBorder="1" applyAlignment="1">
      <alignment horizontal="center" vertical="center"/>
    </xf>
    <xf numFmtId="0" fontId="13" fillId="5" borderId="10" xfId="1" applyFont="1" applyFill="1" applyBorder="1" applyAlignment="1">
      <alignment vertical="center"/>
    </xf>
    <xf numFmtId="0" fontId="13" fillId="13" borderId="10" xfId="1" applyFont="1" applyFill="1" applyBorder="1" applyAlignment="1">
      <alignment vertical="center"/>
    </xf>
    <xf numFmtId="0" fontId="13" fillId="11" borderId="10" xfId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12" borderId="10" xfId="1" applyFont="1" applyFill="1" applyBorder="1" applyAlignment="1">
      <alignment vertical="center"/>
    </xf>
    <xf numFmtId="14" fontId="14" fillId="0" borderId="0" xfId="0" applyNumberFormat="1" applyFont="1" applyAlignment="1">
      <alignment horizontal="center" vertical="center"/>
    </xf>
    <xf numFmtId="0" fontId="13" fillId="10" borderId="10" xfId="1" applyFont="1" applyFill="1" applyBorder="1" applyAlignment="1">
      <alignment vertical="center"/>
    </xf>
    <xf numFmtId="0" fontId="13" fillId="0" borderId="0" xfId="1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16" fillId="0" borderId="12" xfId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3" xfId="1" applyFont="1" applyFill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6" fillId="0" borderId="25" xfId="1" applyFont="1" applyBorder="1" applyAlignment="1">
      <alignment horizontal="center" vertical="center"/>
    </xf>
    <xf numFmtId="0" fontId="16" fillId="0" borderId="20" xfId="1" applyFont="1" applyBorder="1" applyAlignment="1">
      <alignment horizontal="center" vertical="center"/>
    </xf>
    <xf numFmtId="0" fontId="16" fillId="0" borderId="19" xfId="1" applyFont="1" applyBorder="1" applyAlignment="1">
      <alignment horizontal="center" vertical="center"/>
    </xf>
    <xf numFmtId="0" fontId="16" fillId="0" borderId="16" xfId="1" applyFont="1" applyBorder="1" applyAlignment="1">
      <alignment horizontal="center" vertical="center"/>
    </xf>
    <xf numFmtId="0" fontId="16" fillId="0" borderId="16" xfId="1" applyFont="1" applyBorder="1" applyAlignment="1">
      <alignment horizontal="center" vertical="center" wrapText="1"/>
    </xf>
    <xf numFmtId="164" fontId="20" fillId="23" borderId="1" xfId="1" applyNumberFormat="1" applyFont="1" applyFill="1" applyBorder="1" applyAlignment="1" applyProtection="1">
      <alignment horizontal="center" vertical="center" textRotation="90"/>
      <protection locked="0"/>
    </xf>
    <xf numFmtId="164" fontId="25" fillId="0" borderId="1" xfId="1" applyNumberFormat="1" applyFont="1" applyBorder="1" applyAlignment="1">
      <alignment horizontal="center" vertical="center" textRotation="90"/>
    </xf>
    <xf numFmtId="164" fontId="26" fillId="7" borderId="45" xfId="1" applyNumberFormat="1" applyFont="1" applyFill="1" applyBorder="1" applyAlignment="1">
      <alignment horizontal="center" vertical="center" textRotation="90"/>
    </xf>
    <xf numFmtId="164" fontId="26" fillId="7" borderId="46" xfId="1" applyNumberFormat="1" applyFont="1" applyFill="1" applyBorder="1" applyAlignment="1">
      <alignment horizontal="center" vertical="center" textRotation="90"/>
    </xf>
    <xf numFmtId="0" fontId="11" fillId="0" borderId="0" xfId="1" applyFont="1" applyAlignment="1">
      <alignment horizontal="center" vertical="center"/>
    </xf>
    <xf numFmtId="4" fontId="0" fillId="0" borderId="0" xfId="0" applyNumberFormat="1"/>
    <xf numFmtId="0" fontId="0" fillId="0" borderId="0" xfId="0" applyAlignment="1">
      <alignment horizontal="center"/>
    </xf>
    <xf numFmtId="0" fontId="1" fillId="21" borderId="42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18" fillId="15" borderId="33" xfId="1" applyFont="1" applyFill="1" applyBorder="1" applyAlignment="1">
      <alignment horizontal="center" vertical="center"/>
    </xf>
    <xf numFmtId="0" fontId="15" fillId="18" borderId="0" xfId="1" applyFont="1" applyFill="1" applyAlignment="1" applyProtection="1">
      <alignment horizontal="center" vertical="center" wrapText="1"/>
      <protection locked="0"/>
    </xf>
    <xf numFmtId="0" fontId="15" fillId="15" borderId="31" xfId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29" xfId="0" applyBorder="1" applyAlignment="1">
      <alignment horizontal="center"/>
    </xf>
    <xf numFmtId="0" fontId="0" fillId="19" borderId="56" xfId="0" applyFill="1" applyBorder="1" applyAlignment="1">
      <alignment horizontal="center" vertical="center"/>
    </xf>
    <xf numFmtId="0" fontId="0" fillId="19" borderId="65" xfId="0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1" fillId="21" borderId="43" xfId="0" applyFont="1" applyFill="1" applyBorder="1" applyAlignment="1">
      <alignment horizontal="center" vertical="center" wrapText="1"/>
    </xf>
    <xf numFmtId="0" fontId="0" fillId="0" borderId="19" xfId="0" applyBorder="1"/>
    <xf numFmtId="0" fontId="0" fillId="50" borderId="4" xfId="0" applyFill="1" applyBorder="1"/>
    <xf numFmtId="0" fontId="0" fillId="50" borderId="57" xfId="0" applyFill="1" applyBorder="1"/>
    <xf numFmtId="0" fontId="0" fillId="0" borderId="2" xfId="0" applyBorder="1" applyAlignment="1" applyProtection="1">
      <alignment horizontal="center"/>
      <protection locked="0"/>
    </xf>
    <xf numFmtId="0" fontId="13" fillId="9" borderId="16" xfId="1" applyFont="1" applyFill="1" applyBorder="1" applyAlignment="1">
      <alignment vertical="center"/>
    </xf>
    <xf numFmtId="0" fontId="11" fillId="14" borderId="26" xfId="1" applyFont="1" applyFill="1" applyBorder="1" applyAlignment="1">
      <alignment horizontal="center" vertical="center"/>
    </xf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8" fillId="21" borderId="29" xfId="0" applyFont="1" applyFill="1" applyBorder="1"/>
    <xf numFmtId="0" fontId="8" fillId="21" borderId="56" xfId="0" applyFont="1" applyFill="1" applyBorder="1"/>
    <xf numFmtId="0" fontId="0" fillId="0" borderId="25" xfId="0" applyBorder="1"/>
    <xf numFmtId="0" fontId="0" fillId="0" borderId="68" xfId="0" applyBorder="1"/>
    <xf numFmtId="0" fontId="0" fillId="0" borderId="26" xfId="0" applyBorder="1"/>
    <xf numFmtId="0" fontId="0" fillId="0" borderId="12" xfId="0" applyBorder="1" applyAlignment="1">
      <alignment horizontal="left"/>
    </xf>
    <xf numFmtId="0" fontId="0" fillId="0" borderId="25" xfId="0" applyBorder="1" applyAlignment="1">
      <alignment horizontal="left"/>
    </xf>
    <xf numFmtId="0" fontId="8" fillId="21" borderId="67" xfId="0" applyFont="1" applyFill="1" applyBorder="1"/>
    <xf numFmtId="0" fontId="0" fillId="19" borderId="20" xfId="0" applyFill="1" applyBorder="1" applyAlignment="1">
      <alignment horizontal="center"/>
    </xf>
    <xf numFmtId="0" fontId="0" fillId="50" borderId="75" xfId="0" applyFill="1" applyBorder="1"/>
    <xf numFmtId="0" fontId="0" fillId="50" borderId="20" xfId="0" applyFill="1" applyBorder="1"/>
    <xf numFmtId="0" fontId="0" fillId="19" borderId="4" xfId="0" applyFill="1" applyBorder="1"/>
    <xf numFmtId="0" fontId="0" fillId="19" borderId="75" xfId="0" applyFill="1" applyBorder="1"/>
    <xf numFmtId="0" fontId="1" fillId="10" borderId="62" xfId="0" applyFont="1" applyFill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 vertical="center" wrapText="1"/>
    </xf>
    <xf numFmtId="0" fontId="1" fillId="10" borderId="61" xfId="0" applyFont="1" applyFill="1" applyBorder="1" applyAlignment="1">
      <alignment horizontal="center" vertical="center" wrapText="1"/>
    </xf>
    <xf numFmtId="0" fontId="1" fillId="6" borderId="61" xfId="0" applyFont="1" applyFill="1" applyBorder="1" applyAlignment="1">
      <alignment horizontal="center" vertical="center" wrapText="1"/>
    </xf>
    <xf numFmtId="0" fontId="1" fillId="10" borderId="69" xfId="0" applyFont="1" applyFill="1" applyBorder="1" applyAlignment="1">
      <alignment horizontal="center" vertical="center" wrapText="1"/>
    </xf>
    <xf numFmtId="0" fontId="0" fillId="52" borderId="1" xfId="0" applyFill="1" applyBorder="1"/>
    <xf numFmtId="14" fontId="9" fillId="0" borderId="0" xfId="0" applyNumberFormat="1" applyFont="1" applyAlignment="1">
      <alignment horizontal="center" vertical="center"/>
    </xf>
    <xf numFmtId="0" fontId="5" fillId="2" borderId="76" xfId="0" applyFont="1" applyFill="1" applyBorder="1" applyAlignment="1">
      <alignment horizontal="center" vertical="center"/>
    </xf>
    <xf numFmtId="0" fontId="68" fillId="7" borderId="23" xfId="1" applyFont="1" applyFill="1" applyBorder="1" applyAlignment="1">
      <alignment horizontal="center" vertical="center"/>
    </xf>
    <xf numFmtId="0" fontId="67" fillId="0" borderId="12" xfId="0" applyFont="1" applyBorder="1"/>
    <xf numFmtId="0" fontId="0" fillId="0" borderId="3" xfId="0" applyBorder="1" applyAlignment="1">
      <alignment horizontal="center"/>
    </xf>
    <xf numFmtId="0" fontId="67" fillId="0" borderId="25" xfId="0" applyFont="1" applyBorder="1"/>
    <xf numFmtId="0" fontId="0" fillId="20" borderId="1" xfId="0" applyFill="1" applyBorder="1"/>
    <xf numFmtId="0" fontId="0" fillId="55" borderId="1" xfId="0" applyFill="1" applyBorder="1"/>
    <xf numFmtId="0" fontId="0" fillId="55" borderId="1" xfId="0" applyFill="1" applyBorder="1" applyAlignment="1">
      <alignment horizontal="left" vertical="center"/>
    </xf>
    <xf numFmtId="0" fontId="0" fillId="55" borderId="0" xfId="0" applyFill="1"/>
    <xf numFmtId="0" fontId="0" fillId="0" borderId="20" xfId="0" applyBorder="1" applyAlignment="1" applyProtection="1">
      <alignment horizontal="center" vertical="center"/>
      <protection locked="0"/>
    </xf>
    <xf numFmtId="0" fontId="0" fillId="50" borderId="19" xfId="0" applyFill="1" applyBorder="1"/>
    <xf numFmtId="0" fontId="0" fillId="19" borderId="7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19" borderId="68" xfId="0" applyFill="1" applyBorder="1" applyAlignment="1">
      <alignment horizontal="center"/>
    </xf>
    <xf numFmtId="0" fontId="0" fillId="19" borderId="19" xfId="0" applyFill="1" applyBorder="1" applyAlignment="1">
      <alignment horizontal="center"/>
    </xf>
    <xf numFmtId="0" fontId="0" fillId="19" borderId="20" xfId="0" applyFill="1" applyBorder="1" applyAlignment="1">
      <alignment horizontal="center" vertical="center"/>
    </xf>
    <xf numFmtId="0" fontId="0" fillId="19" borderId="68" xfId="0" applyFill="1" applyBorder="1" applyAlignment="1">
      <alignment horizontal="center" vertical="center"/>
    </xf>
    <xf numFmtId="0" fontId="0" fillId="19" borderId="70" xfId="0" applyFill="1" applyBorder="1" applyAlignment="1">
      <alignment horizontal="center" vertical="center"/>
    </xf>
    <xf numFmtId="0" fontId="0" fillId="0" borderId="59" xfId="0" applyBorder="1"/>
    <xf numFmtId="0" fontId="0" fillId="0" borderId="81" xfId="0" applyBorder="1"/>
    <xf numFmtId="0" fontId="1" fillId="2" borderId="42" xfId="0" applyFont="1" applyFill="1" applyBorder="1" applyAlignment="1">
      <alignment horizontal="center" vertical="center" wrapText="1"/>
    </xf>
    <xf numFmtId="0" fontId="1" fillId="2" borderId="7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center" vertical="center"/>
      <protection locked="0"/>
    </xf>
    <xf numFmtId="0" fontId="0" fillId="50" borderId="68" xfId="0" applyFill="1" applyBorder="1"/>
    <xf numFmtId="0" fontId="0" fillId="0" borderId="70" xfId="0" applyBorder="1"/>
    <xf numFmtId="0" fontId="0" fillId="19" borderId="4" xfId="0" applyFill="1" applyBorder="1" applyAlignment="1">
      <alignment horizontal="center"/>
    </xf>
    <xf numFmtId="0" fontId="0" fillId="19" borderId="75" xfId="0" applyFill="1" applyBorder="1" applyAlignment="1">
      <alignment horizontal="center"/>
    </xf>
    <xf numFmtId="0" fontId="1" fillId="6" borderId="20" xfId="0" applyFont="1" applyFill="1" applyBorder="1" applyAlignment="1">
      <alignment horizontal="center" vertical="center" wrapText="1"/>
    </xf>
    <xf numFmtId="0" fontId="1" fillId="10" borderId="70" xfId="0" applyFont="1" applyFill="1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4" fontId="0" fillId="0" borderId="17" xfId="0" applyNumberFormat="1" applyBorder="1" applyAlignment="1" applyProtection="1">
      <alignment horizontal="center" vertical="center"/>
      <protection locked="0"/>
    </xf>
    <xf numFmtId="0" fontId="0" fillId="0" borderId="8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50" borderId="2" xfId="0" applyFill="1" applyBorder="1"/>
    <xf numFmtId="0" fontId="23" fillId="23" borderId="16" xfId="1" applyFont="1" applyFill="1" applyBorder="1" applyAlignment="1" applyProtection="1">
      <alignment horizontal="center" vertical="center"/>
      <protection locked="0"/>
    </xf>
    <xf numFmtId="0" fontId="0" fillId="50" borderId="1" xfId="0" applyFill="1" applyBorder="1"/>
    <xf numFmtId="0" fontId="0" fillId="50" borderId="13" xfId="0" applyFill="1" applyBorder="1"/>
    <xf numFmtId="14" fontId="0" fillId="0" borderId="2" xfId="0" applyNumberFormat="1" applyBorder="1" applyAlignment="1" applyProtection="1">
      <alignment horizontal="center" vertical="center"/>
      <protection locked="0"/>
    </xf>
    <xf numFmtId="0" fontId="1" fillId="2" borderId="14" xfId="0" applyFont="1" applyFill="1" applyBorder="1" applyAlignment="1">
      <alignment horizontal="center" vertical="center" wrapText="1"/>
    </xf>
    <xf numFmtId="0" fontId="1" fillId="10" borderId="64" xfId="0" applyFont="1" applyFill="1" applyBorder="1" applyAlignment="1">
      <alignment horizontal="center" vertical="center" wrapText="1"/>
    </xf>
    <xf numFmtId="0" fontId="1" fillId="10" borderId="43" xfId="0" applyFont="1" applyFill="1" applyBorder="1" applyAlignment="1">
      <alignment horizontal="center" vertical="center" wrapText="1"/>
    </xf>
    <xf numFmtId="0" fontId="1" fillId="6" borderId="63" xfId="0" applyFont="1" applyFill="1" applyBorder="1" applyAlignment="1">
      <alignment horizontal="center" vertical="center" wrapText="1"/>
    </xf>
    <xf numFmtId="0" fontId="0" fillId="0" borderId="65" xfId="0" applyBorder="1" applyAlignment="1" applyProtection="1">
      <alignment horizontal="center" vertical="center"/>
      <protection locked="0"/>
    </xf>
    <xf numFmtId="0" fontId="0" fillId="0" borderId="70" xfId="0" applyBorder="1" applyAlignment="1" applyProtection="1">
      <alignment horizontal="center" vertical="center"/>
      <protection locked="0"/>
    </xf>
    <xf numFmtId="0" fontId="0" fillId="0" borderId="2" xfId="0" applyBorder="1"/>
    <xf numFmtId="0" fontId="1" fillId="2" borderId="1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63" xfId="0" applyFont="1" applyFill="1" applyBorder="1" applyAlignment="1">
      <alignment horizontal="center" vertical="center" wrapText="1"/>
    </xf>
    <xf numFmtId="0" fontId="1" fillId="2" borderId="93" xfId="0" applyFont="1" applyFill="1" applyBorder="1" applyAlignment="1">
      <alignment horizontal="center" vertical="center" wrapText="1"/>
    </xf>
    <xf numFmtId="0" fontId="1" fillId="2" borderId="94" xfId="0" applyFont="1" applyFill="1" applyBorder="1" applyAlignment="1">
      <alignment horizontal="center" vertical="center" wrapText="1"/>
    </xf>
    <xf numFmtId="0" fontId="1" fillId="2" borderId="96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1" borderId="71" xfId="0" applyFont="1" applyFill="1" applyBorder="1" applyAlignment="1">
      <alignment vertical="center" wrapText="1"/>
    </xf>
    <xf numFmtId="0" fontId="1" fillId="21" borderId="57" xfId="0" applyFont="1" applyFill="1" applyBorder="1" applyAlignment="1">
      <alignment horizontal="center" vertical="center" wrapText="1"/>
    </xf>
    <xf numFmtId="0" fontId="1" fillId="21" borderId="27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91" xfId="0" applyFont="1" applyFill="1" applyBorder="1" applyAlignment="1">
      <alignment horizontal="center" vertical="center" wrapText="1"/>
    </xf>
    <xf numFmtId="0" fontId="1" fillId="21" borderId="72" xfId="0" applyFont="1" applyFill="1" applyBorder="1" applyAlignment="1">
      <alignment vertical="center" wrapText="1"/>
    </xf>
    <xf numFmtId="0" fontId="1" fillId="21" borderId="83" xfId="0" applyFont="1" applyFill="1" applyBorder="1" applyAlignment="1">
      <alignment horizontal="center" vertical="center" wrapText="1"/>
    </xf>
    <xf numFmtId="0" fontId="1" fillId="2" borderId="95" xfId="0" applyFont="1" applyFill="1" applyBorder="1" applyAlignment="1">
      <alignment horizontal="center" vertical="center" wrapText="1"/>
    </xf>
    <xf numFmtId="0" fontId="1" fillId="2" borderId="74" xfId="0" applyFont="1" applyFill="1" applyBorder="1" applyAlignment="1">
      <alignment horizontal="center" vertical="center" wrapText="1"/>
    </xf>
    <xf numFmtId="0" fontId="1" fillId="2" borderId="87" xfId="0" applyFont="1" applyFill="1" applyBorder="1" applyAlignment="1">
      <alignment horizontal="center" vertical="center" wrapText="1"/>
    </xf>
    <xf numFmtId="0" fontId="1" fillId="2" borderId="73" xfId="0" applyFont="1" applyFill="1" applyBorder="1" applyAlignment="1">
      <alignment horizontal="center" vertical="center" wrapText="1"/>
    </xf>
    <xf numFmtId="0" fontId="0" fillId="22" borderId="29" xfId="0" applyFill="1" applyBorder="1" applyAlignment="1">
      <alignment vertical="center" wrapText="1"/>
    </xf>
    <xf numFmtId="0" fontId="0" fillId="22" borderId="28" xfId="0" applyFill="1" applyBorder="1" applyAlignment="1">
      <alignment horizontal="left" vertical="center" wrapText="1"/>
    </xf>
    <xf numFmtId="0" fontId="0" fillId="22" borderId="57" xfId="0" applyFill="1" applyBorder="1" applyAlignment="1">
      <alignment horizontal="left" vertical="center" wrapText="1"/>
    </xf>
    <xf numFmtId="0" fontId="0" fillId="0" borderId="27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56" xfId="0" applyBorder="1" applyAlignment="1">
      <alignment horizontal="left" vertical="center"/>
    </xf>
    <xf numFmtId="0" fontId="0" fillId="22" borderId="2" xfId="0" applyFill="1" applyBorder="1" applyAlignment="1">
      <alignment horizontal="left" vertical="center" wrapText="1"/>
    </xf>
    <xf numFmtId="0" fontId="0" fillId="22" borderId="4" xfId="0" applyFill="1" applyBorder="1" applyAlignment="1">
      <alignment horizontal="left" vertical="center" wrapText="1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2" borderId="2" xfId="0" applyFill="1" applyBorder="1" applyAlignment="1">
      <alignment vertical="center" wrapText="1"/>
    </xf>
    <xf numFmtId="0" fontId="0" fillId="48" borderId="2" xfId="0" applyFill="1" applyBorder="1" applyAlignment="1">
      <alignment vertical="center" wrapText="1"/>
    </xf>
    <xf numFmtId="0" fontId="0" fillId="48" borderId="4" xfId="0" applyFill="1" applyBorder="1" applyAlignment="1">
      <alignment horizontal="center" vertical="center" wrapText="1"/>
    </xf>
    <xf numFmtId="0" fontId="0" fillId="48" borderId="17" xfId="0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4" fontId="0" fillId="48" borderId="2" xfId="0" applyNumberFormat="1" applyFill="1" applyBorder="1" applyAlignment="1">
      <alignment horizontal="center"/>
    </xf>
    <xf numFmtId="0" fontId="0" fillId="48" borderId="1" xfId="0" applyFill="1" applyBorder="1" applyAlignment="1">
      <alignment horizontal="center" vertical="center"/>
    </xf>
    <xf numFmtId="4" fontId="0" fillId="48" borderId="1" xfId="0" applyNumberFormat="1" applyFill="1" applyBorder="1"/>
    <xf numFmtId="0" fontId="0" fillId="22" borderId="4" xfId="0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22" borderId="24" xfId="0" applyFill="1" applyBorder="1" applyAlignment="1">
      <alignment vertical="center" wrapText="1"/>
    </xf>
    <xf numFmtId="0" fontId="0" fillId="22" borderId="19" xfId="0" applyFill="1" applyBorder="1" applyAlignment="1">
      <alignment vertical="center" wrapText="1"/>
    </xf>
    <xf numFmtId="0" fontId="0" fillId="0" borderId="19" xfId="0" applyBorder="1" applyAlignment="1">
      <alignment horizontal="center" vertical="center"/>
    </xf>
    <xf numFmtId="0" fontId="0" fillId="22" borderId="17" xfId="0" applyFill="1" applyBorder="1" applyAlignment="1">
      <alignment vertical="center" wrapText="1"/>
    </xf>
    <xf numFmtId="0" fontId="0" fillId="0" borderId="81" xfId="0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22" borderId="29" xfId="0" applyFill="1" applyBorder="1" applyAlignment="1">
      <alignment vertical="center"/>
    </xf>
    <xf numFmtId="0" fontId="0" fillId="22" borderId="24" xfId="0" applyFill="1" applyBorder="1" applyAlignment="1">
      <alignment vertical="center"/>
    </xf>
    <xf numFmtId="0" fontId="0" fillId="0" borderId="82" xfId="0" applyBorder="1" applyAlignment="1">
      <alignment horizontal="center" vertical="center"/>
    </xf>
    <xf numFmtId="0" fontId="0" fillId="22" borderId="82" xfId="0" applyFill="1" applyBorder="1" applyAlignment="1">
      <alignment vertical="center" wrapText="1"/>
    </xf>
    <xf numFmtId="0" fontId="0" fillId="0" borderId="75" xfId="0" applyBorder="1" applyAlignment="1">
      <alignment horizontal="center" vertical="center"/>
    </xf>
    <xf numFmtId="0" fontId="0" fillId="0" borderId="19" xfId="0" applyBorder="1" applyAlignment="1">
      <alignment vertical="center" wrapText="1"/>
    </xf>
    <xf numFmtId="0" fontId="0" fillId="0" borderId="82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" fillId="21" borderId="76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1" borderId="85" xfId="0" applyFont="1" applyFill="1" applyBorder="1" applyAlignment="1">
      <alignment horizontal="center" vertical="center" wrapText="1"/>
    </xf>
    <xf numFmtId="0" fontId="1" fillId="21" borderId="60" xfId="0" applyFont="1" applyFill="1" applyBorder="1" applyAlignment="1">
      <alignment horizontal="center" vertical="center" wrapText="1"/>
    </xf>
    <xf numFmtId="0" fontId="1" fillId="2" borderId="89" xfId="0" applyFont="1" applyFill="1" applyBorder="1" applyAlignment="1">
      <alignment horizontal="center" vertical="center" wrapText="1"/>
    </xf>
    <xf numFmtId="0" fontId="1" fillId="2" borderId="88" xfId="0" applyFont="1" applyFill="1" applyBorder="1" applyAlignment="1">
      <alignment horizontal="center" vertical="center" wrapText="1"/>
    </xf>
    <xf numFmtId="0" fontId="1" fillId="2" borderId="86" xfId="0" applyFont="1" applyFill="1" applyBorder="1" applyAlignment="1">
      <alignment horizontal="center" vertical="center" wrapText="1"/>
    </xf>
    <xf numFmtId="0" fontId="1" fillId="2" borderId="92" xfId="0" applyFont="1" applyFill="1" applyBorder="1" applyAlignment="1">
      <alignment horizontal="center" vertical="center" wrapText="1"/>
    </xf>
    <xf numFmtId="0" fontId="1" fillId="2" borderId="6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67" fillId="0" borderId="0" xfId="0" applyFont="1"/>
    <xf numFmtId="0" fontId="0" fillId="0" borderId="2" xfId="0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6" borderId="7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16" borderId="4" xfId="0" applyFill="1" applyBorder="1"/>
    <xf numFmtId="0" fontId="1" fillId="2" borderId="20" xfId="0" applyFont="1" applyFill="1" applyBorder="1" applyAlignment="1">
      <alignment horizontal="center" vertical="center" wrapText="1"/>
    </xf>
    <xf numFmtId="0" fontId="1" fillId="2" borderId="70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left" vertical="center" wrapText="1"/>
    </xf>
    <xf numFmtId="0" fontId="0" fillId="0" borderId="68" xfId="0" applyBorder="1" applyAlignment="1">
      <alignment horizontal="center"/>
    </xf>
    <xf numFmtId="0" fontId="1" fillId="2" borderId="71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67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4" fontId="0" fillId="0" borderId="12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48" borderId="4" xfId="0" applyFill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19" borderId="12" xfId="0" applyNumberFormat="1" applyFill="1" applyBorder="1"/>
    <xf numFmtId="4" fontId="0" fillId="0" borderId="1" xfId="0" applyNumberFormat="1" applyBorder="1"/>
    <xf numFmtId="3" fontId="0" fillId="0" borderId="1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10" xfId="0" applyBorder="1" applyAlignment="1">
      <alignment horizontal="center"/>
    </xf>
    <xf numFmtId="4" fontId="0" fillId="48" borderId="12" xfId="0" applyNumberFormat="1" applyFill="1" applyBorder="1"/>
    <xf numFmtId="3" fontId="0" fillId="48" borderId="10" xfId="0" applyNumberFormat="1" applyFill="1" applyBorder="1" applyAlignment="1">
      <alignment horizontal="center"/>
    </xf>
    <xf numFmtId="4" fontId="0" fillId="0" borderId="1" xfId="0" applyNumberFormat="1" applyBorder="1" applyAlignment="1">
      <alignment horizontal="center" vertical="center"/>
    </xf>
    <xf numFmtId="0" fontId="0" fillId="48" borderId="2" xfId="0" applyFill="1" applyBorder="1" applyAlignment="1">
      <alignment horizontal="center" vertical="center"/>
    </xf>
    <xf numFmtId="0" fontId="0" fillId="48" borderId="12" xfId="0" applyFill="1" applyBorder="1" applyAlignment="1">
      <alignment horizontal="left" vertical="center"/>
    </xf>
    <xf numFmtId="0" fontId="0" fillId="48" borderId="10" xfId="0" applyFill="1" applyBorder="1" applyAlignment="1">
      <alignment horizontal="center"/>
    </xf>
    <xf numFmtId="0" fontId="0" fillId="48" borderId="12" xfId="0" applyFill="1" applyBorder="1" applyAlignment="1">
      <alignment horizontal="center" vertical="center"/>
    </xf>
    <xf numFmtId="0" fontId="0" fillId="48" borderId="1" xfId="0" applyFill="1" applyBorder="1"/>
    <xf numFmtId="4" fontId="0" fillId="19" borderId="69" xfId="0" applyNumberFormat="1" applyFill="1" applyBorder="1"/>
    <xf numFmtId="4" fontId="0" fillId="0" borderId="19" xfId="0" applyNumberFormat="1" applyBorder="1" applyAlignment="1">
      <alignment horizontal="center"/>
    </xf>
    <xf numFmtId="4" fontId="0" fillId="19" borderId="25" xfId="0" applyNumberFormat="1" applyFill="1" applyBorder="1"/>
    <xf numFmtId="0" fontId="0" fillId="0" borderId="26" xfId="0" applyBorder="1" applyAlignment="1">
      <alignment horizontal="center"/>
    </xf>
    <xf numFmtId="4" fontId="0" fillId="0" borderId="20" xfId="0" applyNumberFormat="1" applyBorder="1"/>
    <xf numFmtId="3" fontId="0" fillId="0" borderId="68" xfId="0" applyNumberFormat="1" applyBorder="1" applyAlignment="1">
      <alignment horizontal="center"/>
    </xf>
    <xf numFmtId="0" fontId="0" fillId="0" borderId="26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1" fillId="6" borderId="19" xfId="0" applyFont="1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6" borderId="24" xfId="0" applyFont="1" applyFill="1" applyBorder="1" applyAlignment="1">
      <alignment horizontal="center" vertical="center"/>
    </xf>
    <xf numFmtId="0" fontId="5" fillId="56" borderId="0" xfId="0" applyFont="1" applyFill="1" applyAlignment="1">
      <alignment horizontal="center" vertical="center"/>
    </xf>
    <xf numFmtId="0" fontId="5" fillId="56" borderId="24" xfId="0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5" fillId="13" borderId="24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70" fillId="0" borderId="81" xfId="1" applyFont="1" applyBorder="1" applyAlignment="1">
      <alignment horizontal="left" vertical="center" wrapText="1"/>
    </xf>
    <xf numFmtId="0" fontId="70" fillId="0" borderId="0" xfId="1" applyFont="1" applyAlignment="1">
      <alignment vertical="center" wrapText="1"/>
    </xf>
    <xf numFmtId="0" fontId="71" fillId="0" borderId="90" xfId="1" applyFont="1" applyBorder="1" applyAlignment="1">
      <alignment vertical="center" wrapText="1"/>
    </xf>
    <xf numFmtId="0" fontId="11" fillId="0" borderId="81" xfId="1" applyFont="1" applyBorder="1" applyAlignment="1">
      <alignment horizontal="left" vertical="center"/>
    </xf>
    <xf numFmtId="0" fontId="11" fillId="55" borderId="90" xfId="1" applyFont="1" applyFill="1" applyBorder="1" applyAlignment="1">
      <alignment horizontal="center" vertical="center"/>
    </xf>
    <xf numFmtId="0" fontId="74" fillId="0" borderId="81" xfId="1" applyFont="1" applyBorder="1" applyAlignment="1">
      <alignment horizontal="left" vertical="center"/>
    </xf>
    <xf numFmtId="0" fontId="11" fillId="0" borderId="81" xfId="1" applyFont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74" fillId="0" borderId="0" xfId="1" applyFont="1" applyAlignment="1">
      <alignment horizontal="left" vertical="center"/>
    </xf>
    <xf numFmtId="0" fontId="12" fillId="0" borderId="81" xfId="0" applyFont="1" applyBorder="1" applyAlignment="1">
      <alignment horizontal="left" vertical="center"/>
    </xf>
    <xf numFmtId="0" fontId="12" fillId="0" borderId="90" xfId="0" applyFont="1" applyBorder="1" applyAlignment="1">
      <alignment vertical="center"/>
    </xf>
    <xf numFmtId="0" fontId="5" fillId="9" borderId="21" xfId="0" applyFont="1" applyFill="1" applyBorder="1" applyAlignment="1">
      <alignment horizontal="left" vertical="center"/>
    </xf>
    <xf numFmtId="0" fontId="5" fillId="9" borderId="90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90" xfId="0" applyFont="1" applyBorder="1" applyAlignment="1">
      <alignment horizontal="center" vertical="center"/>
    </xf>
    <xf numFmtId="0" fontId="5" fillId="56" borderId="21" xfId="0" applyFont="1" applyFill="1" applyBorder="1" applyAlignment="1">
      <alignment horizontal="left" vertical="center"/>
    </xf>
    <xf numFmtId="0" fontId="5" fillId="56" borderId="90" xfId="0" applyFont="1" applyFill="1" applyBorder="1" applyAlignment="1">
      <alignment horizontal="center" vertical="center"/>
    </xf>
    <xf numFmtId="0" fontId="5" fillId="13" borderId="21" xfId="0" applyFont="1" applyFill="1" applyBorder="1" applyAlignment="1">
      <alignment horizontal="left" vertical="center"/>
    </xf>
    <xf numFmtId="0" fontId="5" fillId="13" borderId="90" xfId="0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left" vertical="center"/>
    </xf>
    <xf numFmtId="0" fontId="5" fillId="8" borderId="9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left" vertical="center"/>
    </xf>
    <xf numFmtId="0" fontId="5" fillId="6" borderId="90" xfId="0" applyFont="1" applyFill="1" applyBorder="1" applyAlignment="1">
      <alignment horizontal="center" vertical="center"/>
    </xf>
    <xf numFmtId="0" fontId="0" fillId="0" borderId="81" xfId="0" applyBorder="1" applyAlignment="1">
      <alignment horizontal="left"/>
    </xf>
    <xf numFmtId="0" fontId="0" fillId="0" borderId="90" xfId="0" applyBorder="1"/>
    <xf numFmtId="0" fontId="5" fillId="53" borderId="95" xfId="0" applyFont="1" applyFill="1" applyBorder="1" applyAlignment="1">
      <alignment horizontal="left" vertical="center"/>
    </xf>
    <xf numFmtId="0" fontId="5" fillId="53" borderId="66" xfId="0" applyFont="1" applyFill="1" applyBorder="1" applyAlignment="1">
      <alignment horizontal="center" vertical="center"/>
    </xf>
    <xf numFmtId="0" fontId="5" fillId="53" borderId="99" xfId="0" applyFont="1" applyFill="1" applyBorder="1" applyAlignment="1">
      <alignment horizontal="center" vertical="center"/>
    </xf>
    <xf numFmtId="0" fontId="5" fillId="53" borderId="101" xfId="0" applyFont="1" applyFill="1" applyBorder="1" applyAlignment="1">
      <alignment horizontal="center" vertical="center"/>
    </xf>
    <xf numFmtId="14" fontId="1" fillId="2" borderId="14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58" borderId="1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1" fillId="59" borderId="1" xfId="0" applyFont="1" applyFill="1" applyBorder="1" applyAlignment="1">
      <alignment horizontal="center" vertical="center" wrapText="1"/>
    </xf>
    <xf numFmtId="0" fontId="1" fillId="59" borderId="68" xfId="0" applyFont="1" applyFill="1" applyBorder="1" applyAlignment="1">
      <alignment horizontal="center" vertical="center" wrapText="1"/>
    </xf>
    <xf numFmtId="14" fontId="0" fillId="19" borderId="2" xfId="0" applyNumberFormat="1" applyFill="1" applyBorder="1" applyAlignment="1">
      <alignment horizontal="center"/>
    </xf>
    <xf numFmtId="0" fontId="1" fillId="21" borderId="6" xfId="0" applyFont="1" applyFill="1" applyBorder="1" applyAlignment="1">
      <alignment horizontal="center" vertical="center" wrapText="1"/>
    </xf>
    <xf numFmtId="0" fontId="1" fillId="21" borderId="8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59" borderId="8" xfId="0" applyFont="1" applyFill="1" applyBorder="1" applyAlignment="1">
      <alignment horizontal="center" vertical="center" wrapText="1"/>
    </xf>
    <xf numFmtId="0" fontId="1" fillId="21" borderId="7" xfId="0" applyFont="1" applyFill="1" applyBorder="1" applyAlignment="1">
      <alignment horizontal="center" vertical="center"/>
    </xf>
    <xf numFmtId="0" fontId="1" fillId="21" borderId="61" xfId="0" applyFont="1" applyFill="1" applyBorder="1" applyAlignment="1">
      <alignment horizontal="center" vertical="center" wrapText="1"/>
    </xf>
    <xf numFmtId="0" fontId="1" fillId="21" borderId="62" xfId="0" applyFont="1" applyFill="1" applyBorder="1" applyAlignment="1">
      <alignment horizontal="center" vertical="center" wrapText="1"/>
    </xf>
    <xf numFmtId="0" fontId="1" fillId="21" borderId="63" xfId="0" applyFont="1" applyFill="1" applyBorder="1" applyAlignment="1">
      <alignment horizontal="center" vertical="center" wrapText="1"/>
    </xf>
    <xf numFmtId="14" fontId="0" fillId="0" borderId="59" xfId="0" applyNumberFormat="1" applyBorder="1"/>
    <xf numFmtId="14" fontId="0" fillId="0" borderId="0" xfId="0" applyNumberFormat="1"/>
    <xf numFmtId="164" fontId="20" fillId="23" borderId="1" xfId="1" applyNumberFormat="1" applyFont="1" applyFill="1" applyBorder="1" applyAlignment="1">
      <alignment horizontal="center" vertical="center" textRotation="90"/>
    </xf>
    <xf numFmtId="168" fontId="1" fillId="2" borderId="7" xfId="0" applyNumberFormat="1" applyFont="1" applyFill="1" applyBorder="1" applyAlignment="1">
      <alignment horizontal="center" vertical="center" wrapText="1"/>
    </xf>
    <xf numFmtId="168" fontId="0" fillId="54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54" borderId="1" xfId="0" quotePrefix="1" applyNumberForma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1" xfId="0" applyNumberFormat="1" applyBorder="1" applyAlignment="1">
      <alignment horizontal="right"/>
    </xf>
    <xf numFmtId="168" fontId="0" fillId="0" borderId="20" xfId="0" applyNumberFormat="1" applyBorder="1" applyAlignment="1">
      <alignment horizontal="right"/>
    </xf>
    <xf numFmtId="168" fontId="0" fillId="48" borderId="1" xfId="0" applyNumberFormat="1" applyFill="1" applyBorder="1" applyAlignment="1">
      <alignment horizontal="right"/>
    </xf>
    <xf numFmtId="168" fontId="0" fillId="0" borderId="0" xfId="0" applyNumberFormat="1"/>
    <xf numFmtId="168" fontId="0" fillId="0" borderId="13" xfId="0" applyNumberFormat="1" applyBorder="1"/>
    <xf numFmtId="168" fontId="0" fillId="54" borderId="13" xfId="0" quotePrefix="1" applyNumberFormat="1" applyFill="1" applyBorder="1"/>
    <xf numFmtId="168" fontId="0" fillId="0" borderId="13" xfId="0" quotePrefix="1" applyNumberFormat="1" applyBorder="1"/>
    <xf numFmtId="168" fontId="0" fillId="0" borderId="68" xfId="0" applyNumberFormat="1" applyBorder="1"/>
    <xf numFmtId="168" fontId="0" fillId="54" borderId="68" xfId="0" quotePrefix="1" applyNumberFormat="1" applyFill="1" applyBorder="1"/>
    <xf numFmtId="168" fontId="1" fillId="10" borderId="62" xfId="0" applyNumberFormat="1" applyFont="1" applyFill="1" applyBorder="1" applyAlignment="1">
      <alignment horizontal="center" vertical="center" wrapText="1"/>
    </xf>
    <xf numFmtId="168" fontId="0" fillId="19" borderId="1" xfId="0" applyNumberFormat="1" applyFill="1" applyBorder="1" applyAlignment="1">
      <alignment horizontal="center"/>
    </xf>
    <xf numFmtId="168" fontId="0" fillId="19" borderId="20" xfId="0" applyNumberFormat="1" applyFill="1" applyBorder="1" applyAlignment="1">
      <alignment horizontal="center"/>
    </xf>
    <xf numFmtId="168" fontId="1" fillId="10" borderId="70" xfId="0" applyNumberFormat="1" applyFont="1" applyFill="1" applyBorder="1" applyAlignment="1">
      <alignment horizontal="center" vertical="center" wrapText="1"/>
    </xf>
    <xf numFmtId="0" fontId="0" fillId="16" borderId="26" xfId="0" applyFill="1" applyBorder="1"/>
    <xf numFmtId="0" fontId="1" fillId="2" borderId="9" xfId="0" applyFont="1" applyFill="1" applyBorder="1" applyAlignment="1">
      <alignment horizontal="center" vertical="center" wrapText="1"/>
    </xf>
    <xf numFmtId="0" fontId="0" fillId="16" borderId="10" xfId="0" applyFill="1" applyBorder="1"/>
    <xf numFmtId="0" fontId="0" fillId="16" borderId="84" xfId="0" applyFill="1" applyBorder="1"/>
    <xf numFmtId="0" fontId="0" fillId="16" borderId="18" xfId="0" applyFill="1" applyBorder="1"/>
    <xf numFmtId="0" fontId="0" fillId="16" borderId="43" xfId="0" applyFill="1" applyBorder="1"/>
    <xf numFmtId="168" fontId="1" fillId="10" borderId="72" xfId="0" applyNumberFormat="1" applyFont="1" applyFill="1" applyBorder="1" applyAlignment="1">
      <alignment horizontal="center" vertical="center" wrapText="1"/>
    </xf>
    <xf numFmtId="168" fontId="0" fillId="19" borderId="20" xfId="0" applyNumberFormat="1" applyFill="1" applyBorder="1" applyAlignment="1">
      <alignment horizontal="center" vertical="center"/>
    </xf>
    <xf numFmtId="168" fontId="0" fillId="19" borderId="1" xfId="0" applyNumberFormat="1" applyFill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168" fontId="1" fillId="2" borderId="22" xfId="0" applyNumberFormat="1" applyFont="1" applyFill="1" applyBorder="1" applyAlignment="1">
      <alignment horizontal="center" vertical="center" wrapText="1"/>
    </xf>
    <xf numFmtId="168" fontId="0" fillId="48" borderId="1" xfId="0" applyNumberFormat="1" applyFill="1" applyBorder="1" applyAlignment="1">
      <alignment horizontal="center" vertical="center"/>
    </xf>
    <xf numFmtId="168" fontId="1" fillId="2" borderId="96" xfId="0" applyNumberFormat="1" applyFont="1" applyFill="1" applyBorder="1" applyAlignment="1">
      <alignment horizontal="center" vertical="center" wrapText="1"/>
    </xf>
    <xf numFmtId="168" fontId="0" fillId="19" borderId="56" xfId="0" applyNumberFormat="1" applyFill="1" applyBorder="1" applyAlignment="1">
      <alignment horizontal="center" vertical="center"/>
    </xf>
    <xf numFmtId="0" fontId="0" fillId="19" borderId="43" xfId="0" applyFill="1" applyBorder="1"/>
    <xf numFmtId="168" fontId="1" fillId="2" borderId="29" xfId="0" applyNumberFormat="1" applyFont="1" applyFill="1" applyBorder="1" applyAlignment="1">
      <alignment horizontal="center" vertical="center" wrapText="1"/>
    </xf>
    <xf numFmtId="168" fontId="1" fillId="2" borderId="41" xfId="0" applyNumberFormat="1" applyFont="1" applyFill="1" applyBorder="1" applyAlignment="1">
      <alignment horizontal="center" vertical="center" wrapText="1"/>
    </xf>
    <xf numFmtId="168" fontId="0" fillId="19" borderId="13" xfId="0" applyNumberFormat="1" applyFill="1" applyBorder="1" applyAlignment="1">
      <alignment horizontal="center" vertical="center"/>
    </xf>
    <xf numFmtId="168" fontId="1" fillId="2" borderId="56" xfId="0" applyNumberFormat="1" applyFont="1" applyFill="1" applyBorder="1" applyAlignment="1">
      <alignment horizontal="center" vertical="center" wrapText="1"/>
    </xf>
    <xf numFmtId="168" fontId="1" fillId="2" borderId="1" xfId="0" applyNumberFormat="1" applyFont="1" applyFill="1" applyBorder="1" applyAlignment="1">
      <alignment horizontal="center" vertical="center" wrapText="1"/>
    </xf>
    <xf numFmtId="14" fontId="0" fillId="19" borderId="19" xfId="0" applyNumberFormat="1" applyFill="1" applyBorder="1" applyAlignment="1">
      <alignment horizontal="center"/>
    </xf>
    <xf numFmtId="168" fontId="0" fillId="19" borderId="18" xfId="0" applyNumberFormat="1" applyFill="1" applyBorder="1" applyAlignment="1">
      <alignment horizontal="center"/>
    </xf>
    <xf numFmtId="168" fontId="0" fillId="19" borderId="84" xfId="0" applyNumberFormat="1" applyFill="1" applyBorder="1" applyAlignment="1">
      <alignment horizontal="center"/>
    </xf>
    <xf numFmtId="0" fontId="0" fillId="0" borderId="85" xfId="0" applyBorder="1" applyAlignment="1" applyProtection="1">
      <alignment horizontal="center" vertical="center"/>
      <protection locked="0"/>
    </xf>
    <xf numFmtId="0" fontId="0" fillId="0" borderId="75" xfId="0" applyBorder="1" applyAlignment="1" applyProtection="1">
      <alignment horizontal="center" vertical="center"/>
      <protection locked="0"/>
    </xf>
    <xf numFmtId="0" fontId="0" fillId="0" borderId="75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19" borderId="10" xfId="0" applyFill="1" applyBorder="1" applyAlignment="1">
      <alignment horizontal="center" vertical="center"/>
    </xf>
    <xf numFmtId="0" fontId="0" fillId="19" borderId="26" xfId="0" applyFill="1" applyBorder="1" applyAlignment="1">
      <alignment horizontal="center" vertical="center"/>
    </xf>
    <xf numFmtId="0" fontId="0" fillId="0" borderId="25" xfId="0" applyBorder="1" applyAlignment="1" applyProtection="1">
      <alignment horizontal="left" vertical="center"/>
      <protection locked="0"/>
    </xf>
    <xf numFmtId="0" fontId="67" fillId="0" borderId="82" xfId="0" applyFont="1" applyBorder="1"/>
    <xf numFmtId="168" fontId="0" fillId="0" borderId="68" xfId="0" quotePrefix="1" applyNumberFormat="1" applyBorder="1"/>
    <xf numFmtId="168" fontId="0" fillId="48" borderId="13" xfId="0" applyNumberFormat="1" applyFill="1" applyBorder="1" applyAlignment="1">
      <alignment horizontal="right"/>
    </xf>
    <xf numFmtId="168" fontId="0" fillId="0" borderId="1" xfId="0" quotePrefix="1" applyNumberFormat="1" applyBorder="1"/>
    <xf numFmtId="168" fontId="0" fillId="0" borderId="13" xfId="0" applyNumberFormat="1" applyBorder="1" applyAlignment="1">
      <alignment horizontal="right"/>
    </xf>
    <xf numFmtId="0" fontId="0" fillId="55" borderId="20" xfId="0" applyFill="1" applyBorder="1"/>
    <xf numFmtId="168" fontId="0" fillId="54" borderId="20" xfId="0" applyNumberForma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" fillId="6" borderId="20" xfId="0" applyFont="1" applyFill="1" applyBorder="1" applyAlignment="1" applyProtection="1">
      <alignment horizontal="center" vertical="center" wrapText="1"/>
      <protection locked="0"/>
    </xf>
    <xf numFmtId="0" fontId="1" fillId="6" borderId="61" xfId="0" applyFont="1" applyFill="1" applyBorder="1" applyAlignment="1" applyProtection="1">
      <alignment horizontal="center" vertical="center" wrapText="1"/>
      <protection locked="0"/>
    </xf>
    <xf numFmtId="0" fontId="1" fillId="6" borderId="19" xfId="0" applyFont="1" applyFill="1" applyBorder="1" applyAlignment="1" applyProtection="1">
      <alignment horizontal="center" vertical="center" wrapText="1"/>
      <protection locked="0"/>
    </xf>
    <xf numFmtId="0" fontId="1" fillId="6" borderId="63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4" fontId="0" fillId="0" borderId="1" xfId="0" applyNumberFormat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8" fontId="0" fillId="19" borderId="70" xfId="0" applyNumberFormat="1" applyFill="1" applyBorder="1" applyAlignment="1">
      <alignment horizontal="center"/>
    </xf>
    <xf numFmtId="0" fontId="0" fillId="50" borderId="75" xfId="0" applyFill="1" applyBorder="1" applyAlignment="1">
      <alignment horizontal="center"/>
    </xf>
    <xf numFmtId="0" fontId="0" fillId="16" borderId="75" xfId="0" applyFill="1" applyBorder="1"/>
    <xf numFmtId="0" fontId="0" fillId="20" borderId="20" xfId="0" applyFill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170" fontId="0" fillId="54" borderId="1" xfId="0" applyNumberFormat="1" applyFill="1" applyBorder="1" applyAlignment="1">
      <alignment horizontal="center"/>
    </xf>
    <xf numFmtId="49" fontId="0" fillId="54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7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168" fontId="0" fillId="19" borderId="3" xfId="0" applyNumberFormat="1" applyFill="1" applyBorder="1" applyAlignment="1">
      <alignment horizontal="center"/>
    </xf>
    <xf numFmtId="168" fontId="0" fillId="19" borderId="12" xfId="0" applyNumberFormat="1" applyFill="1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50" borderId="10" xfId="0" applyFill="1" applyBorder="1"/>
    <xf numFmtId="0" fontId="0" fillId="19" borderId="10" xfId="0" applyFill="1" applyBorder="1" applyAlignment="1">
      <alignment horizontal="center"/>
    </xf>
    <xf numFmtId="0" fontId="0" fillId="50" borderId="2" xfId="0" applyFill="1" applyBorder="1" applyAlignment="1">
      <alignment vertical="center"/>
    </xf>
    <xf numFmtId="168" fontId="0" fillId="19" borderId="13" xfId="0" applyNumberFormat="1" applyFill="1" applyBorder="1" applyAlignment="1">
      <alignment horizontal="center"/>
    </xf>
    <xf numFmtId="168" fontId="0" fillId="19" borderId="12" xfId="0" applyNumberFormat="1" applyFill="1" applyBorder="1" applyAlignment="1">
      <alignment horizontal="center" vertical="center"/>
    </xf>
    <xf numFmtId="169" fontId="0" fillId="19" borderId="12" xfId="0" applyNumberFormat="1" applyFill="1" applyBorder="1" applyAlignment="1">
      <alignment horizontal="center"/>
    </xf>
    <xf numFmtId="0" fontId="0" fillId="50" borderId="2" xfId="0" applyFill="1" applyBorder="1" applyAlignment="1">
      <alignment horizontal="left" vertical="center"/>
    </xf>
    <xf numFmtId="0" fontId="0" fillId="19" borderId="17" xfId="0" applyFill="1" applyBorder="1" applyAlignment="1">
      <alignment horizontal="center"/>
    </xf>
    <xf numFmtId="168" fontId="0" fillId="19" borderId="68" xfId="0" applyNumberFormat="1" applyFill="1" applyBorder="1" applyAlignment="1">
      <alignment horizontal="center"/>
    </xf>
    <xf numFmtId="168" fontId="0" fillId="19" borderId="25" xfId="0" applyNumberFormat="1" applyFill="1" applyBorder="1" applyAlignment="1">
      <alignment horizontal="center" vertical="center"/>
    </xf>
    <xf numFmtId="0" fontId="0" fillId="19" borderId="82" xfId="0" applyFill="1" applyBorder="1" applyAlignment="1">
      <alignment horizontal="center"/>
    </xf>
    <xf numFmtId="0" fontId="0" fillId="50" borderId="19" xfId="0" applyFill="1" applyBorder="1" applyAlignment="1">
      <alignment vertical="center"/>
    </xf>
    <xf numFmtId="0" fontId="0" fillId="50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76" fillId="0" borderId="0" xfId="0" applyFont="1"/>
    <xf numFmtId="0" fontId="0" fillId="22" borderId="12" xfId="0" applyFill="1" applyBorder="1" applyAlignment="1">
      <alignment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22" borderId="17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169" fontId="0" fillId="19" borderId="1" xfId="0" applyNumberFormat="1" applyFill="1" applyBorder="1" applyAlignment="1">
      <alignment horizontal="center"/>
    </xf>
    <xf numFmtId="169" fontId="0" fillId="19" borderId="20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9" fillId="0" borderId="1" xfId="129" applyFont="1" applyBorder="1" applyAlignment="1">
      <alignment horizontal="center" vertical="center"/>
    </xf>
    <xf numFmtId="14" fontId="0" fillId="48" borderId="1" xfId="0" applyNumberFormat="1" applyFill="1" applyBorder="1" applyAlignment="1">
      <alignment horizontal="center" vertical="center"/>
    </xf>
    <xf numFmtId="0" fontId="0" fillId="60" borderId="1" xfId="0" applyFill="1" applyBorder="1" applyAlignment="1">
      <alignment horizontal="center" vertical="center"/>
    </xf>
    <xf numFmtId="171" fontId="0" fillId="0" borderId="1" xfId="0" applyNumberFormat="1" applyBorder="1" applyAlignment="1">
      <alignment horizontal="right"/>
    </xf>
    <xf numFmtId="171" fontId="0" fillId="52" borderId="1" xfId="0" applyNumberFormat="1" applyFill="1" applyBorder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7" borderId="12" xfId="0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0" fillId="19" borderId="2" xfId="0" applyFill="1" applyBorder="1" applyAlignment="1">
      <alignment horizontal="center" vertical="center"/>
    </xf>
    <xf numFmtId="0" fontId="0" fillId="16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91" fillId="55" borderId="1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 applyProtection="1">
      <alignment wrapText="1"/>
      <protection locked="0"/>
    </xf>
    <xf numFmtId="0" fontId="0" fillId="50" borderId="57" xfId="0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171" fontId="0" fillId="0" borderId="1" xfId="0" applyNumberFormat="1" applyBorder="1" applyAlignment="1">
      <alignment horizontal="center"/>
    </xf>
    <xf numFmtId="0" fontId="0" fillId="7" borderId="25" xfId="0" applyFill="1" applyBorder="1" applyAlignment="1">
      <alignment horizontal="center" vertical="center" wrapText="1"/>
    </xf>
    <xf numFmtId="0" fontId="13" fillId="4" borderId="0" xfId="1" applyFont="1" applyFill="1" applyAlignment="1">
      <alignment horizontal="right" vertical="center"/>
    </xf>
    <xf numFmtId="0" fontId="9" fillId="4" borderId="0" xfId="0" applyFont="1" applyFill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14" fontId="0" fillId="8" borderId="1" xfId="0" applyNumberFormat="1" applyFill="1" applyBorder="1" applyAlignment="1">
      <alignment horizontal="center" vertical="center"/>
    </xf>
    <xf numFmtId="0" fontId="0" fillId="50" borderId="19" xfId="0" applyFill="1" applyBorder="1" applyAlignment="1">
      <alignment horizontal="left" vertical="center"/>
    </xf>
    <xf numFmtId="0" fontId="0" fillId="0" borderId="20" xfId="0" applyBorder="1" applyAlignment="1" applyProtection="1">
      <alignment horizontal="left" vertical="center"/>
      <protection locked="0"/>
    </xf>
    <xf numFmtId="4" fontId="0" fillId="0" borderId="20" xfId="0" applyNumberFormat="1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75" xfId="0" applyBorder="1" applyAlignment="1" applyProtection="1">
      <alignment horizontal="center"/>
      <protection locked="0"/>
    </xf>
    <xf numFmtId="4" fontId="0" fillId="0" borderId="3" xfId="0" applyNumberFormat="1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164" fontId="97" fillId="23" borderId="1" xfId="1" applyNumberFormat="1" applyFont="1" applyFill="1" applyBorder="1" applyAlignment="1" applyProtection="1">
      <alignment horizontal="center" vertical="center" textRotation="90"/>
      <protection locked="0"/>
    </xf>
    <xf numFmtId="164" fontId="98" fillId="0" borderId="1" xfId="1" applyNumberFormat="1" applyFont="1" applyBorder="1" applyAlignment="1">
      <alignment horizontal="center" vertical="center" textRotation="90"/>
    </xf>
    <xf numFmtId="164" fontId="99" fillId="7" borderId="45" xfId="1" applyNumberFormat="1" applyFont="1" applyFill="1" applyBorder="1" applyAlignment="1">
      <alignment horizontal="center" vertical="center" textRotation="90"/>
    </xf>
    <xf numFmtId="164" fontId="99" fillId="7" borderId="46" xfId="1" applyNumberFormat="1" applyFont="1" applyFill="1" applyBorder="1" applyAlignment="1">
      <alignment horizontal="center" vertical="center" textRotation="90"/>
    </xf>
    <xf numFmtId="0" fontId="91" fillId="55" borderId="20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/>
    </xf>
    <xf numFmtId="0" fontId="0" fillId="90" borderId="1" xfId="0" applyFill="1" applyBorder="1" applyProtection="1">
      <protection locked="0"/>
    </xf>
    <xf numFmtId="49" fontId="0" fillId="0" borderId="2" xfId="0" applyNumberFormat="1" applyBorder="1" applyAlignment="1" applyProtection="1">
      <alignment horizontal="center" vertical="center"/>
      <protection locked="0"/>
    </xf>
    <xf numFmtId="0" fontId="4" fillId="21" borderId="59" xfId="0" applyFont="1" applyFill="1" applyBorder="1" applyAlignment="1">
      <alignment horizontal="center" vertical="center"/>
    </xf>
    <xf numFmtId="0" fontId="1" fillId="21" borderId="15" xfId="0" applyFont="1" applyFill="1" applyBorder="1" applyAlignment="1">
      <alignment horizontal="center" vertical="center"/>
    </xf>
    <xf numFmtId="0" fontId="1" fillId="21" borderId="84" xfId="0" applyFont="1" applyFill="1" applyBorder="1" applyAlignment="1">
      <alignment horizontal="center" vertical="center" wrapText="1"/>
    </xf>
    <xf numFmtId="0" fontId="0" fillId="50" borderId="26" xfId="0" applyFill="1" applyBorder="1"/>
    <xf numFmtId="0" fontId="0" fillId="0" borderId="68" xfId="0" applyBorder="1" applyAlignment="1">
      <alignment horizontal="center" vertical="center" wrapText="1"/>
    </xf>
    <xf numFmtId="0" fontId="0" fillId="0" borderId="20" xfId="0" applyBorder="1" applyAlignment="1" applyProtection="1">
      <alignment wrapText="1"/>
      <protection locked="0"/>
    </xf>
    <xf numFmtId="49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2" xfId="0" applyBorder="1" applyAlignment="1" applyProtection="1">
      <alignment horizontal="center" vertical="center" wrapText="1"/>
      <protection locked="0"/>
    </xf>
    <xf numFmtId="168" fontId="0" fillId="0" borderId="70" xfId="0" applyNumberFormat="1" applyBorder="1" applyAlignment="1">
      <alignment horizontal="center"/>
    </xf>
    <xf numFmtId="4" fontId="0" fillId="0" borderId="1" xfId="0" applyNumberFormat="1" applyBorder="1" applyAlignment="1" applyProtection="1">
      <alignment horizontal="center"/>
      <protection locked="0"/>
    </xf>
    <xf numFmtId="4" fontId="0" fillId="0" borderId="20" xfId="0" applyNumberFormat="1" applyBorder="1" applyAlignment="1" applyProtection="1">
      <alignment horizontal="center"/>
      <protection locked="0"/>
    </xf>
    <xf numFmtId="0" fontId="1" fillId="21" borderId="29" xfId="0" applyFont="1" applyFill="1" applyBorder="1" applyAlignment="1">
      <alignment horizontal="center" vertical="center" wrapText="1"/>
    </xf>
    <xf numFmtId="0" fontId="1" fillId="6" borderId="56" xfId="0" applyFont="1" applyFill="1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1" fillId="21" borderId="56" xfId="0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19" borderId="12" xfId="0" applyFill="1" applyBorder="1" applyAlignment="1">
      <alignment vertical="center"/>
    </xf>
    <xf numFmtId="14" fontId="0" fillId="0" borderId="13" xfId="0" applyNumberFormat="1" applyBorder="1" applyAlignment="1">
      <alignment vertical="center" wrapText="1"/>
    </xf>
    <xf numFmtId="0" fontId="0" fillId="0" borderId="1" xfId="0" quotePrefix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19" borderId="25" xfId="0" applyFill="1" applyBorder="1" applyAlignment="1">
      <alignment vertical="center"/>
    </xf>
    <xf numFmtId="14" fontId="0" fillId="0" borderId="20" xfId="0" applyNumberFormat="1" applyBorder="1" applyAlignment="1">
      <alignment horizontal="center" vertical="center"/>
    </xf>
    <xf numFmtId="14" fontId="0" fillId="0" borderId="68" xfId="0" applyNumberFormat="1" applyBorder="1" applyAlignment="1">
      <alignment vertical="center" wrapText="1"/>
    </xf>
    <xf numFmtId="0" fontId="100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2" fillId="0" borderId="1" xfId="0" applyFont="1" applyBorder="1" applyAlignment="1">
      <alignment horizontal="center" vertical="center"/>
    </xf>
    <xf numFmtId="14" fontId="0" fillId="91" borderId="1" xfId="0" applyNumberFormat="1" applyFill="1" applyBorder="1" applyAlignment="1">
      <alignment horizontal="center" vertical="center"/>
    </xf>
    <xf numFmtId="14" fontId="0" fillId="0" borderId="13" xfId="0" applyNumberFormat="1" applyBorder="1" applyAlignment="1">
      <alignment vertical="center"/>
    </xf>
    <xf numFmtId="0" fontId="0" fillId="92" borderId="1" xfId="0" applyFill="1" applyBorder="1" applyAlignment="1">
      <alignment horizontal="center" vertical="center"/>
    </xf>
    <xf numFmtId="14" fontId="0" fillId="0" borderId="68" xfId="0" applyNumberFormat="1" applyBorder="1" applyAlignment="1">
      <alignment vertical="center"/>
    </xf>
    <xf numFmtId="0" fontId="67" fillId="0" borderId="1" xfId="0" applyFont="1" applyBorder="1" applyAlignment="1">
      <alignment horizontal="center" vertical="center"/>
    </xf>
    <xf numFmtId="0" fontId="0" fillId="21" borderId="12" xfId="0" applyFill="1" applyBorder="1" applyAlignment="1">
      <alignment vertical="center"/>
    </xf>
    <xf numFmtId="14" fontId="0" fillId="21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102" fillId="21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14" fontId="0" fillId="21" borderId="13" xfId="0" applyNumberFormat="1" applyFill="1" applyBorder="1" applyAlignment="1">
      <alignment vertical="center"/>
    </xf>
    <xf numFmtId="0" fontId="0" fillId="93" borderId="1" xfId="0" applyFill="1" applyBorder="1" applyAlignment="1">
      <alignment horizontal="center" vertical="center"/>
    </xf>
    <xf numFmtId="0" fontId="0" fillId="0" borderId="29" xfId="0" applyBorder="1" applyAlignment="1">
      <alignment vertical="center" wrapText="1"/>
    </xf>
    <xf numFmtId="0" fontId="0" fillId="22" borderId="25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19" borderId="75" xfId="0" applyFill="1" applyBorder="1" applyAlignment="1">
      <alignment horizontal="center" vertical="center"/>
    </xf>
    <xf numFmtId="0" fontId="0" fillId="0" borderId="75" xfId="0" applyBorder="1"/>
    <xf numFmtId="0" fontId="101" fillId="93" borderId="1" xfId="0" applyFont="1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21" borderId="20" xfId="0" applyFill="1" applyBorder="1" applyAlignment="1">
      <alignment horizontal="center" vertical="center"/>
    </xf>
    <xf numFmtId="0" fontId="0" fillId="90" borderId="12" xfId="0" applyFill="1" applyBorder="1" applyAlignment="1">
      <alignment vertical="center"/>
    </xf>
    <xf numFmtId="0" fontId="0" fillId="90" borderId="1" xfId="0" applyFill="1" applyBorder="1" applyAlignment="1">
      <alignment horizontal="center" vertical="center"/>
    </xf>
    <xf numFmtId="14" fontId="0" fillId="90" borderId="1" xfId="0" applyNumberFormat="1" applyFill="1" applyBorder="1" applyAlignment="1">
      <alignment horizontal="center" vertical="center"/>
    </xf>
    <xf numFmtId="0" fontId="0" fillId="90" borderId="1" xfId="0" applyFill="1" applyBorder="1" applyAlignment="1">
      <alignment vertical="center"/>
    </xf>
    <xf numFmtId="0" fontId="0" fillId="90" borderId="13" xfId="0" applyFill="1" applyBorder="1" applyAlignment="1">
      <alignment vertical="center"/>
    </xf>
    <xf numFmtId="0" fontId="0" fillId="90" borderId="0" xfId="0" applyFill="1" applyAlignment="1">
      <alignment vertical="center"/>
    </xf>
    <xf numFmtId="0" fontId="0" fillId="90" borderId="25" xfId="0" applyFill="1" applyBorder="1" applyAlignment="1">
      <alignment vertical="center"/>
    </xf>
    <xf numFmtId="0" fontId="0" fillId="90" borderId="20" xfId="0" applyFill="1" applyBorder="1" applyAlignment="1">
      <alignment horizontal="center" vertical="center"/>
    </xf>
    <xf numFmtId="14" fontId="0" fillId="90" borderId="20" xfId="0" applyNumberFormat="1" applyFill="1" applyBorder="1" applyAlignment="1">
      <alignment horizontal="center" vertical="center"/>
    </xf>
    <xf numFmtId="0" fontId="0" fillId="90" borderId="20" xfId="0" applyFill="1" applyBorder="1" applyAlignment="1">
      <alignment vertical="center"/>
    </xf>
    <xf numFmtId="0" fontId="0" fillId="90" borderId="68" xfId="0" applyFill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92" borderId="3" xfId="0" applyFill="1" applyBorder="1" applyAlignment="1" applyProtection="1">
      <alignment horizontal="center" vertical="center"/>
      <protection locked="0"/>
    </xf>
    <xf numFmtId="0" fontId="69" fillId="0" borderId="20" xfId="0" applyFont="1" applyBorder="1" applyAlignment="1">
      <alignment horizontal="center" vertical="center"/>
    </xf>
    <xf numFmtId="0" fontId="91" fillId="0" borderId="1" xfId="0" applyFont="1" applyBorder="1"/>
    <xf numFmtId="0" fontId="91" fillId="0" borderId="1" xfId="0" applyFont="1" applyBorder="1" applyAlignment="1">
      <alignment horizontal="center" vertical="center"/>
    </xf>
    <xf numFmtId="0" fontId="20" fillId="15" borderId="9" xfId="1" applyFont="1" applyFill="1" applyBorder="1" applyAlignment="1">
      <alignment horizontal="center" vertical="center"/>
    </xf>
    <xf numFmtId="0" fontId="20" fillId="15" borderId="15" xfId="1" applyFont="1" applyFill="1" applyBorder="1" applyAlignment="1">
      <alignment horizontal="center" vertical="center"/>
    </xf>
    <xf numFmtId="0" fontId="18" fillId="15" borderId="33" xfId="1" applyFont="1" applyFill="1" applyBorder="1" applyAlignment="1">
      <alignment horizontal="center" vertical="center"/>
    </xf>
    <xf numFmtId="0" fontId="18" fillId="15" borderId="34" xfId="1" applyFont="1" applyFill="1" applyBorder="1" applyAlignment="1">
      <alignment horizontal="center" vertical="center"/>
    </xf>
    <xf numFmtId="0" fontId="15" fillId="18" borderId="44" xfId="1" applyFont="1" applyFill="1" applyBorder="1" applyAlignment="1" applyProtection="1">
      <alignment horizontal="center" vertical="center" wrapText="1"/>
      <protection locked="0"/>
    </xf>
    <xf numFmtId="0" fontId="15" fillId="18" borderId="97" xfId="1" applyFont="1" applyFill="1" applyBorder="1" applyAlignment="1" applyProtection="1">
      <alignment horizontal="center" vertical="center" wrapText="1"/>
      <protection locked="0"/>
    </xf>
    <xf numFmtId="168" fontId="19" fillId="15" borderId="35" xfId="1" applyNumberFormat="1" applyFont="1" applyFill="1" applyBorder="1" applyAlignment="1">
      <alignment horizontal="center" vertical="center"/>
    </xf>
    <xf numFmtId="168" fontId="19" fillId="15" borderId="36" xfId="1" applyNumberFormat="1" applyFont="1" applyFill="1" applyBorder="1" applyAlignment="1">
      <alignment horizontal="center" vertical="center"/>
    </xf>
    <xf numFmtId="168" fontId="19" fillId="15" borderId="37" xfId="1" applyNumberFormat="1" applyFont="1" applyFill="1" applyBorder="1" applyAlignment="1">
      <alignment horizontal="center" vertical="center"/>
    </xf>
    <xf numFmtId="168" fontId="19" fillId="15" borderId="38" xfId="1" applyNumberFormat="1" applyFont="1" applyFill="1" applyBorder="1" applyAlignment="1">
      <alignment horizontal="center" vertical="center"/>
    </xf>
    <xf numFmtId="168" fontId="19" fillId="15" borderId="39" xfId="1" applyNumberFormat="1" applyFont="1" applyFill="1" applyBorder="1" applyAlignment="1">
      <alignment horizontal="center" vertical="center"/>
    </xf>
    <xf numFmtId="168" fontId="19" fillId="15" borderId="40" xfId="1" applyNumberFormat="1" applyFont="1" applyFill="1" applyBorder="1" applyAlignment="1">
      <alignment horizontal="center" vertical="center"/>
    </xf>
    <xf numFmtId="0" fontId="21" fillId="15" borderId="10" xfId="1" applyFont="1" applyFill="1" applyBorder="1" applyAlignment="1">
      <alignment horizontal="center" vertical="center"/>
    </xf>
    <xf numFmtId="0" fontId="21" fillId="15" borderId="18" xfId="1" applyFont="1" applyFill="1" applyBorder="1" applyAlignment="1">
      <alignment horizontal="center" vertical="center"/>
    </xf>
    <xf numFmtId="0" fontId="21" fillId="15" borderId="17" xfId="1" applyFont="1" applyFill="1" applyBorder="1" applyAlignment="1">
      <alignment horizontal="center" vertical="center"/>
    </xf>
    <xf numFmtId="0" fontId="18" fillId="15" borderId="35" xfId="1" applyFont="1" applyFill="1" applyBorder="1" applyAlignment="1">
      <alignment horizontal="center" vertical="center"/>
    </xf>
    <xf numFmtId="0" fontId="18" fillId="15" borderId="38" xfId="1" applyFont="1" applyFill="1" applyBorder="1" applyAlignment="1">
      <alignment horizontal="center" vertical="center"/>
    </xf>
    <xf numFmtId="168" fontId="19" fillId="15" borderId="77" xfId="1" applyNumberFormat="1" applyFont="1" applyFill="1" applyBorder="1" applyAlignment="1">
      <alignment horizontal="center" vertical="center"/>
    </xf>
    <xf numFmtId="168" fontId="19" fillId="15" borderId="78" xfId="1" applyNumberFormat="1" applyFont="1" applyFill="1" applyBorder="1" applyAlignment="1">
      <alignment horizontal="center" vertical="center"/>
    </xf>
    <xf numFmtId="168" fontId="19" fillId="15" borderId="79" xfId="1" applyNumberFormat="1" applyFont="1" applyFill="1" applyBorder="1" applyAlignment="1">
      <alignment horizontal="center" vertical="center"/>
    </xf>
    <xf numFmtId="0" fontId="24" fillId="16" borderId="26" xfId="0" applyFont="1" applyFill="1" applyBorder="1" applyAlignment="1">
      <alignment horizontal="center" vertical="center" textRotation="90"/>
    </xf>
    <xf numFmtId="0" fontId="24" fillId="16" borderId="0" xfId="0" applyFont="1" applyFill="1" applyAlignment="1">
      <alignment horizontal="center" vertical="center" textRotation="90"/>
    </xf>
    <xf numFmtId="0" fontId="17" fillId="17" borderId="0" xfId="0" applyFont="1" applyFill="1" applyAlignment="1">
      <alignment horizontal="center" vertical="center" wrapText="1"/>
    </xf>
    <xf numFmtId="0" fontId="22" fillId="9" borderId="0" xfId="1" applyFont="1" applyFill="1" applyAlignment="1">
      <alignment horizontal="right" vertical="center"/>
    </xf>
    <xf numFmtId="0" fontId="5" fillId="9" borderId="0" xfId="0" applyFont="1" applyFill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22" fillId="6" borderId="0" xfId="1" applyFont="1" applyFill="1" applyAlignment="1">
      <alignment horizontal="right" vertical="center"/>
    </xf>
    <xf numFmtId="0" fontId="5" fillId="6" borderId="0" xfId="0" applyFont="1" applyFill="1" applyAlignment="1">
      <alignment horizontal="center" vertical="center"/>
    </xf>
    <xf numFmtId="0" fontId="5" fillId="6" borderId="24" xfId="0" applyFont="1" applyFill="1" applyBorder="1" applyAlignment="1">
      <alignment horizontal="center" vertical="center"/>
    </xf>
    <xf numFmtId="0" fontId="22" fillId="53" borderId="0" xfId="1" applyFont="1" applyFill="1" applyAlignment="1">
      <alignment horizontal="right" vertical="center"/>
    </xf>
    <xf numFmtId="0" fontId="5" fillId="53" borderId="0" xfId="0" applyFont="1" applyFill="1" applyAlignment="1">
      <alignment horizontal="center" vertical="center"/>
    </xf>
    <xf numFmtId="0" fontId="5" fillId="53" borderId="24" xfId="0" applyFont="1" applyFill="1" applyBorder="1" applyAlignment="1">
      <alignment horizontal="center" vertical="center"/>
    </xf>
    <xf numFmtId="0" fontId="22" fillId="56" borderId="0" xfId="1" applyFont="1" applyFill="1" applyAlignment="1">
      <alignment horizontal="right" vertical="center"/>
    </xf>
    <xf numFmtId="0" fontId="5" fillId="56" borderId="0" xfId="0" applyFont="1" applyFill="1" applyAlignment="1">
      <alignment horizontal="center" vertical="center"/>
    </xf>
    <xf numFmtId="0" fontId="5" fillId="56" borderId="24" xfId="0" applyFont="1" applyFill="1" applyBorder="1" applyAlignment="1">
      <alignment horizontal="center" vertical="center"/>
    </xf>
    <xf numFmtId="0" fontId="22" fillId="4" borderId="111" xfId="1" applyFont="1" applyFill="1" applyBorder="1" applyAlignment="1">
      <alignment horizontal="right" vertical="center"/>
    </xf>
    <xf numFmtId="0" fontId="5" fillId="4" borderId="111" xfId="0" applyFont="1" applyFill="1" applyBorder="1" applyAlignment="1">
      <alignment horizontal="center" vertical="center"/>
    </xf>
    <xf numFmtId="0" fontId="5" fillId="4" borderId="112" xfId="0" applyFont="1" applyFill="1" applyBorder="1" applyAlignment="1">
      <alignment horizontal="center" vertical="center"/>
    </xf>
    <xf numFmtId="0" fontId="22" fillId="8" borderId="0" xfId="1" applyFont="1" applyFill="1" applyAlignment="1">
      <alignment horizontal="right" vertical="center"/>
    </xf>
    <xf numFmtId="0" fontId="5" fillId="8" borderId="0" xfId="0" applyFont="1" applyFill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3" fillId="5" borderId="0" xfId="1" applyFont="1" applyFill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22" fillId="13" borderId="0" xfId="1" applyFont="1" applyFill="1" applyAlignment="1">
      <alignment horizontal="right" vertical="center"/>
    </xf>
    <xf numFmtId="0" fontId="5" fillId="13" borderId="0" xfId="0" applyFont="1" applyFill="1" applyAlignment="1">
      <alignment horizontal="center" vertical="center"/>
    </xf>
    <xf numFmtId="0" fontId="5" fillId="13" borderId="24" xfId="0" applyFont="1" applyFill="1" applyBorder="1" applyAlignment="1">
      <alignment horizontal="center" vertical="center"/>
    </xf>
    <xf numFmtId="0" fontId="15" fillId="51" borderId="33" xfId="1" applyFont="1" applyFill="1" applyBorder="1" applyAlignment="1">
      <alignment horizontal="center" vertical="center" wrapText="1"/>
    </xf>
    <xf numFmtId="0" fontId="15" fillId="51" borderId="34" xfId="1" applyFont="1" applyFill="1" applyBorder="1" applyAlignment="1">
      <alignment horizontal="center" vertical="center" wrapText="1"/>
    </xf>
    <xf numFmtId="0" fontId="15" fillId="15" borderId="31" xfId="1" applyFont="1" applyFill="1" applyBorder="1" applyAlignment="1">
      <alignment horizontal="center" vertical="center" wrapText="1"/>
    </xf>
    <xf numFmtId="0" fontId="15" fillId="15" borderId="32" xfId="1" applyFont="1" applyFill="1" applyBorder="1" applyAlignment="1">
      <alignment horizontal="center" vertical="center" wrapText="1"/>
    </xf>
    <xf numFmtId="0" fontId="78" fillId="5" borderId="0" xfId="1" applyFont="1" applyFill="1" applyAlignment="1">
      <alignment horizontal="right" vertical="center"/>
    </xf>
    <xf numFmtId="0" fontId="4" fillId="6" borderId="58" xfId="1" applyFont="1" applyFill="1" applyBorder="1" applyAlignment="1">
      <alignment horizontal="center" vertical="center" wrapText="1"/>
    </xf>
    <xf numFmtId="0" fontId="4" fillId="6" borderId="59" xfId="1" applyFont="1" applyFill="1" applyBorder="1" applyAlignment="1">
      <alignment horizontal="center" vertical="center" wrapText="1"/>
    </xf>
    <xf numFmtId="0" fontId="4" fillId="6" borderId="60" xfId="1" applyFont="1" applyFill="1" applyBorder="1" applyAlignment="1">
      <alignment horizontal="center" vertical="center" wrapText="1"/>
    </xf>
    <xf numFmtId="0" fontId="4" fillId="21" borderId="59" xfId="0" applyFont="1" applyFill="1" applyBorder="1" applyAlignment="1">
      <alignment horizontal="center" vertical="center"/>
    </xf>
    <xf numFmtId="0" fontId="4" fillId="21" borderId="60" xfId="0" applyFont="1" applyFill="1" applyBorder="1" applyAlignment="1">
      <alignment horizontal="center" vertical="center"/>
    </xf>
    <xf numFmtId="0" fontId="4" fillId="49" borderId="5" xfId="0" applyFont="1" applyFill="1" applyBorder="1" applyAlignment="1">
      <alignment horizontal="center" vertical="center"/>
    </xf>
    <xf numFmtId="0" fontId="4" fillId="49" borderId="80" xfId="0" applyFont="1" applyFill="1" applyBorder="1" applyAlignment="1">
      <alignment horizontal="center" vertical="center"/>
    </xf>
    <xf numFmtId="0" fontId="1" fillId="2" borderId="58" xfId="0" applyFont="1" applyFill="1" applyBorder="1" applyAlignment="1">
      <alignment horizontal="center" vertical="center" wrapText="1"/>
    </xf>
    <xf numFmtId="0" fontId="1" fillId="2" borderId="60" xfId="0" applyFont="1" applyFill="1" applyBorder="1" applyAlignment="1">
      <alignment horizontal="center" vertical="center" wrapText="1"/>
    </xf>
    <xf numFmtId="0" fontId="1" fillId="58" borderId="8" xfId="0" applyFont="1" applyFill="1" applyBorder="1" applyAlignment="1">
      <alignment horizontal="center" vertical="center" wrapText="1"/>
    </xf>
    <xf numFmtId="0" fontId="4" fillId="3" borderId="60" xfId="1" applyFont="1" applyFill="1" applyBorder="1" applyAlignment="1">
      <alignment horizontal="center" vertical="center" wrapText="1"/>
    </xf>
    <xf numFmtId="0" fontId="4" fillId="3" borderId="76" xfId="1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0" xfId="0" applyFont="1" applyFill="1" applyBorder="1" applyAlignment="1">
      <alignment horizontal="center" vertical="center"/>
    </xf>
    <xf numFmtId="0" fontId="4" fillId="9" borderId="58" xfId="1" applyFont="1" applyFill="1" applyBorder="1" applyAlignment="1">
      <alignment horizontal="center" vertical="center"/>
    </xf>
    <xf numFmtId="0" fontId="4" fillId="9" borderId="59" xfId="1" applyFont="1" applyFill="1" applyBorder="1" applyAlignment="1">
      <alignment horizontal="center" vertical="center"/>
    </xf>
    <xf numFmtId="0" fontId="4" fillId="9" borderId="60" xfId="1" applyFont="1" applyFill="1" applyBorder="1" applyAlignment="1">
      <alignment horizontal="center" vertical="center"/>
    </xf>
    <xf numFmtId="0" fontId="5" fillId="2" borderId="87" xfId="0" applyFont="1" applyFill="1" applyBorder="1" applyAlignment="1">
      <alignment horizontal="center" vertical="center"/>
    </xf>
    <xf numFmtId="0" fontId="5" fillId="2" borderId="88" xfId="0" applyFont="1" applyFill="1" applyBorder="1" applyAlignment="1">
      <alignment horizontal="center" vertical="center"/>
    </xf>
    <xf numFmtId="0" fontId="5" fillId="2" borderId="86" xfId="0" applyFont="1" applyFill="1" applyBorder="1" applyAlignment="1">
      <alignment horizontal="center" vertical="center"/>
    </xf>
    <xf numFmtId="0" fontId="5" fillId="2" borderId="68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5" fillId="2" borderId="89" xfId="0" applyFont="1" applyFill="1" applyBorder="1" applyAlignment="1">
      <alignment horizontal="center" vertical="center"/>
    </xf>
    <xf numFmtId="0" fontId="4" fillId="11" borderId="58" xfId="1" applyFont="1" applyFill="1" applyBorder="1" applyAlignment="1">
      <alignment horizontal="center" vertical="center" wrapText="1"/>
    </xf>
    <xf numFmtId="0" fontId="4" fillId="11" borderId="59" xfId="1" applyFont="1" applyFill="1" applyBorder="1" applyAlignment="1">
      <alignment horizontal="center" vertical="center" wrapText="1"/>
    </xf>
    <xf numFmtId="0" fontId="4" fillId="57" borderId="14" xfId="1" applyFont="1" applyFill="1" applyBorder="1" applyAlignment="1">
      <alignment horizontal="center" vertical="center"/>
    </xf>
    <xf numFmtId="0" fontId="4" fillId="57" borderId="9" xfId="1" applyFont="1" applyFill="1" applyBorder="1" applyAlignment="1">
      <alignment horizontal="center" vertical="center"/>
    </xf>
    <xf numFmtId="0" fontId="4" fillId="57" borderId="15" xfId="1" applyFont="1" applyFill="1" applyBorder="1" applyAlignment="1">
      <alignment horizontal="center" vertical="center"/>
    </xf>
    <xf numFmtId="0" fontId="15" fillId="18" borderId="33" xfId="1" applyFont="1" applyFill="1" applyBorder="1" applyAlignment="1" applyProtection="1">
      <alignment horizontal="center" vertical="center" wrapText="1"/>
      <protection locked="0"/>
    </xf>
    <xf numFmtId="0" fontId="15" fillId="18" borderId="34" xfId="1" applyFont="1" applyFill="1" applyBorder="1" applyAlignment="1" applyProtection="1">
      <alignment horizontal="center" vertical="center" wrapText="1"/>
      <protection locked="0"/>
    </xf>
    <xf numFmtId="0" fontId="19" fillId="15" borderId="35" xfId="1" applyFont="1" applyFill="1" applyBorder="1" applyAlignment="1">
      <alignment horizontal="center" vertical="center"/>
    </xf>
    <xf numFmtId="0" fontId="19" fillId="15" borderId="36" xfId="1" applyFont="1" applyFill="1" applyBorder="1" applyAlignment="1">
      <alignment horizontal="center" vertical="center"/>
    </xf>
    <xf numFmtId="0" fontId="19" fillId="15" borderId="37" xfId="1" applyFont="1" applyFill="1" applyBorder="1" applyAlignment="1">
      <alignment horizontal="center" vertical="center"/>
    </xf>
    <xf numFmtId="0" fontId="19" fillId="15" borderId="38" xfId="1" applyFont="1" applyFill="1" applyBorder="1" applyAlignment="1">
      <alignment horizontal="center" vertical="center"/>
    </xf>
    <xf numFmtId="0" fontId="19" fillId="15" borderId="39" xfId="1" applyFont="1" applyFill="1" applyBorder="1" applyAlignment="1">
      <alignment horizontal="center" vertical="center"/>
    </xf>
    <xf numFmtId="0" fontId="19" fillId="15" borderId="40" xfId="1" applyFont="1" applyFill="1" applyBorder="1" applyAlignment="1">
      <alignment horizontal="center" vertical="center"/>
    </xf>
    <xf numFmtId="0" fontId="19" fillId="15" borderId="77" xfId="1" applyFont="1" applyFill="1" applyBorder="1" applyAlignment="1">
      <alignment horizontal="center" vertical="center"/>
    </xf>
    <xf numFmtId="0" fontId="19" fillId="15" borderId="78" xfId="1" applyFont="1" applyFill="1" applyBorder="1" applyAlignment="1">
      <alignment horizontal="center" vertical="center"/>
    </xf>
    <xf numFmtId="0" fontId="19" fillId="15" borderId="79" xfId="1" applyFont="1" applyFill="1" applyBorder="1" applyAlignment="1">
      <alignment horizontal="center" vertical="center"/>
    </xf>
    <xf numFmtId="0" fontId="15" fillId="51" borderId="33" xfId="1" applyFont="1" applyFill="1" applyBorder="1" applyAlignment="1" applyProtection="1">
      <alignment horizontal="center" vertical="center" wrapText="1"/>
      <protection locked="0"/>
    </xf>
    <xf numFmtId="0" fontId="15" fillId="51" borderId="34" xfId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Alignment="1">
      <alignment horizontal="center" vertical="center"/>
    </xf>
    <xf numFmtId="0" fontId="75" fillId="0" borderId="99" xfId="0" applyFont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75" fillId="0" borderId="99" xfId="0" applyFont="1" applyBorder="1" applyAlignment="1">
      <alignment horizontal="center"/>
    </xf>
    <xf numFmtId="0" fontId="19" fillId="15" borderId="58" xfId="1" applyFont="1" applyFill="1" applyBorder="1" applyAlignment="1">
      <alignment horizontal="center" vertical="center"/>
    </xf>
    <xf numFmtId="0" fontId="19" fillId="15" borderId="59" xfId="1" applyFont="1" applyFill="1" applyBorder="1" applyAlignment="1">
      <alignment horizontal="center" vertical="center"/>
    </xf>
    <xf numFmtId="0" fontId="19" fillId="15" borderId="60" xfId="1" applyFont="1" applyFill="1" applyBorder="1" applyAlignment="1">
      <alignment horizontal="center" vertical="center"/>
    </xf>
    <xf numFmtId="0" fontId="19" fillId="15" borderId="81" xfId="1" applyFont="1" applyFill="1" applyBorder="1" applyAlignment="1">
      <alignment horizontal="center" vertical="center"/>
    </xf>
    <xf numFmtId="0" fontId="19" fillId="15" borderId="0" xfId="1" applyFont="1" applyFill="1" applyAlignment="1">
      <alignment horizontal="center" vertical="center"/>
    </xf>
    <xf numFmtId="0" fontId="19" fillId="15" borderId="76" xfId="1" applyFont="1" applyFill="1" applyBorder="1" applyAlignment="1">
      <alignment horizontal="center" vertical="center"/>
    </xf>
    <xf numFmtId="0" fontId="19" fillId="15" borderId="98" xfId="1" applyFont="1" applyFill="1" applyBorder="1" applyAlignment="1">
      <alignment horizontal="center" vertical="center"/>
    </xf>
    <xf numFmtId="0" fontId="19" fillId="15" borderId="99" xfId="1" applyFont="1" applyFill="1" applyBorder="1" applyAlignment="1">
      <alignment horizontal="center" vertical="center"/>
    </xf>
    <xf numFmtId="0" fontId="19" fillId="15" borderId="100" xfId="1" applyFont="1" applyFill="1" applyBorder="1" applyAlignment="1">
      <alignment horizontal="center" vertical="center"/>
    </xf>
    <xf numFmtId="0" fontId="73" fillId="58" borderId="90" xfId="1" applyFont="1" applyFill="1" applyBorder="1" applyAlignment="1">
      <alignment horizontal="center" vertical="center" wrapText="1"/>
    </xf>
    <xf numFmtId="0" fontId="73" fillId="13" borderId="90" xfId="1" applyFont="1" applyFill="1" applyBorder="1" applyAlignment="1">
      <alignment horizontal="center" vertical="center" wrapText="1"/>
    </xf>
    <xf numFmtId="0" fontId="11" fillId="11" borderId="90" xfId="1" applyFont="1" applyFill="1" applyBorder="1" applyAlignment="1">
      <alignment horizontal="center" vertical="center" wrapText="1"/>
    </xf>
    <xf numFmtId="0" fontId="73" fillId="6" borderId="90" xfId="1" applyFont="1" applyFill="1" applyBorder="1" applyAlignment="1">
      <alignment horizontal="center" vertical="center"/>
    </xf>
    <xf numFmtId="0" fontId="15" fillId="15" borderId="44" xfId="1" applyFont="1" applyFill="1" applyBorder="1" applyAlignment="1">
      <alignment horizontal="center" vertical="center" wrapText="1"/>
    </xf>
    <xf numFmtId="0" fontId="15" fillId="15" borderId="34" xfId="1" applyFont="1" applyFill="1" applyBorder="1" applyAlignment="1">
      <alignment horizontal="center" vertical="center" wrapText="1"/>
    </xf>
  </cellXfs>
  <cellStyles count="366">
    <cellStyle name="?Ⅱ_x001b__x0005_@?" xfId="4" xr:uid="{5B0828A6-60C2-4F89-852C-48522208A376}"/>
    <cellStyle name="?Ⅱ_x001b__x0005_@? 2" xfId="135" xr:uid="{A1DF3336-82DF-4BAD-8C50-861C56B27E3E}"/>
    <cellStyle name="_Grille Tarifaire (2)" xfId="5" xr:uid="{B92AE162-4D88-4B14-8E63-0C968A41510E}"/>
    <cellStyle name="_Grille Tarifaire (2) 2" xfId="136" xr:uid="{3AEF5CC2-C4BA-4E78-98B5-8F418F25CC47}"/>
    <cellStyle name="_grilles CAT fev 2013" xfId="6" xr:uid="{A9C4FDB1-47BE-4E43-87B6-4B0A915FEA72}"/>
    <cellStyle name="_grilles CAT fev 2013 2" xfId="140" xr:uid="{0774BFFE-5430-40B9-A048-BFAE03D1DD25}"/>
    <cellStyle name="_Grilles tarifaires emballages 2012-en cours" xfId="7" xr:uid="{F8C650FB-EF9C-4618-A018-DA8AD000A8E9}"/>
    <cellStyle name="_Grilles tarifaires emballages 2012-en cours 2" xfId="141" xr:uid="{4E9D10F2-5D8A-4E3F-B36F-64C154348261}"/>
    <cellStyle name="_Grilles tarifaires pieces 2012-en cours" xfId="8" xr:uid="{B9BF4870-154F-41D4-AE6C-65438D281869}"/>
    <cellStyle name="_Grilles tarifaires pieces 2012-en cours 2" xfId="142" xr:uid="{D2E9F1D7-B46C-4E2F-9F7A-B145E3083540}"/>
    <cellStyle name="_Grilles tarifaires YUSEN CZ-à paramétrer CDG" xfId="9" xr:uid="{2D3D9775-190D-454B-9142-64AC6089E0A5}"/>
    <cellStyle name="_Grilles tarifaires YUSEN CZ-à paramétrer CDG 2" xfId="137" xr:uid="{A4A75F61-F568-4AED-9189-5FADAE47CF02}"/>
    <cellStyle name="_Grilles tarifaires YUSEN HONGRIE-à paramétrer CDG" xfId="10" xr:uid="{870C00BD-DD27-473C-9722-AD8AB036E2FE}"/>
    <cellStyle name="_Grilles tarifaires YUSEN HONGRIE-à paramétrer CDG 2" xfId="138" xr:uid="{B046F7C1-5267-43B6-8181-15AA26482C95}"/>
    <cellStyle name="_Nouvelle Grille Tarifaire 2012 (2)" xfId="11" xr:uid="{1C7997A7-5DF7-4A86-B6C0-D3BAC375B98C}"/>
    <cellStyle name="_Nouvelle Grille Tarifaire 2012 (2) 2" xfId="139" xr:uid="{65D9B88C-D2E3-4290-934F-9A75441F0960}"/>
    <cellStyle name="20% - 1. jelölőszín" xfId="12" xr:uid="{DF6EF6C8-2266-43FE-BCDC-0F795E9E87E8}"/>
    <cellStyle name="20% - 2. jelölőszín" xfId="13" xr:uid="{6B1E0202-8F3C-47D3-9810-451492666A76}"/>
    <cellStyle name="20% - 3. jelölőszín" xfId="14" xr:uid="{15FF5F24-4D3A-4FFB-A892-9E34EE908AA7}"/>
    <cellStyle name="20% - 4. jelölőszín" xfId="15" xr:uid="{B926155F-7488-44BB-9500-EAD3C1347317}"/>
    <cellStyle name="20% - 5. jelölőszín" xfId="16" xr:uid="{706E211B-FF20-4DC0-973F-D436C0C9385D}"/>
    <cellStyle name="20% - 6. jelölőszín" xfId="17" xr:uid="{0695B923-68F2-4325-AD03-8E420533B80A}"/>
    <cellStyle name="20% - Accent1 2" xfId="304" xr:uid="{17E5041D-9B23-40A3-8153-E7F1A49F07CF}"/>
    <cellStyle name="20% - Accent2 2" xfId="305" xr:uid="{EF28BCDD-1729-4CE5-BC7E-7847DC37B3FA}"/>
    <cellStyle name="20% - Accent3 2" xfId="306" xr:uid="{AFBD99A9-6BCE-417A-9664-5F22910D52EE}"/>
    <cellStyle name="20% - Accent4 2" xfId="307" xr:uid="{1FAD49F9-82D3-4637-89F8-7F9493724BBC}"/>
    <cellStyle name="20% - Accent5 2" xfId="308" xr:uid="{1F0051E5-0DD8-4DB8-A8B2-499F3A7F94E7}"/>
    <cellStyle name="20% - Accent6 2" xfId="309" xr:uid="{A97B520C-70BD-415A-BFFC-3C37B2C4B29F}"/>
    <cellStyle name="20% - Énfasis1" xfId="18" xr:uid="{89EC2DB7-418E-49D0-A25C-CFF561476175}"/>
    <cellStyle name="20% - Énfasis2" xfId="19" xr:uid="{E4DB1C1B-1094-4C2C-8528-0501057EBE93}"/>
    <cellStyle name="20% - Énfasis3" xfId="20" xr:uid="{810644C2-8688-4190-96F1-73EE5CAB8ABB}"/>
    <cellStyle name="20% - Énfasis4" xfId="21" xr:uid="{9A2AE454-FD88-478D-81AD-46CCBD7EEAC3}"/>
    <cellStyle name="20% - Énfasis5" xfId="22" xr:uid="{8FE03C67-276E-42E7-9A84-65DD2C93868D}"/>
    <cellStyle name="20% - Énfasis6" xfId="23" xr:uid="{06A64821-D42A-4EB7-8B47-912125576530}"/>
    <cellStyle name="40% - 1. jelölőszín" xfId="24" xr:uid="{D880C14D-F380-492B-BD9D-4704FE8C6396}"/>
    <cellStyle name="40% - 2. jelölőszín" xfId="25" xr:uid="{632EC10D-B849-487B-B2EF-39723F8719E7}"/>
    <cellStyle name="40% - 3. jelölőszín" xfId="26" xr:uid="{891E5BF4-1C89-44F6-99D8-5F44BF7F66B7}"/>
    <cellStyle name="40% - 4. jelölőszín" xfId="27" xr:uid="{157565AF-D524-413F-8F62-CD48A3D9CF4F}"/>
    <cellStyle name="40% - 5. jelölőszín" xfId="28" xr:uid="{F532BD05-35BC-4BB6-A328-99B8FA8E7DA5}"/>
    <cellStyle name="40% - 6. jelölőszín" xfId="29" xr:uid="{BB02CAEA-7146-4F64-9416-A5837804C5D9}"/>
    <cellStyle name="40% - Accent1 2" xfId="310" xr:uid="{F59FDEE5-8984-460F-86F4-8A2218989A28}"/>
    <cellStyle name="40% - Accent2 2" xfId="311" xr:uid="{2B7930CC-18E0-4590-861F-ACF22F41762A}"/>
    <cellStyle name="40% - Accent3 2" xfId="312" xr:uid="{16C0BDD5-6D40-45FD-AEF2-1921BF508847}"/>
    <cellStyle name="40% - Accent4 2" xfId="313" xr:uid="{1268A982-2558-4337-990E-789E446A86F4}"/>
    <cellStyle name="40% - Accent5 2" xfId="314" xr:uid="{F80064D3-E004-4AEF-8FC3-59367A3CFD06}"/>
    <cellStyle name="40% - Accent6 2" xfId="315" xr:uid="{A9226751-4655-462B-9BC1-2C02ACDE6CBB}"/>
    <cellStyle name="40% - Énfasis1" xfId="30" xr:uid="{5955EB66-E95D-4531-921E-CFA0CB13A3B6}"/>
    <cellStyle name="40% - Énfasis2" xfId="31" xr:uid="{C077C0C1-3DCA-4B7E-8D8B-786CE633869B}"/>
    <cellStyle name="40% - Énfasis3" xfId="32" xr:uid="{B72DAC7F-613F-43DA-9491-3069660B4ECF}"/>
    <cellStyle name="40% - Énfasis4" xfId="33" xr:uid="{2D07E650-BBA7-4577-8CF3-7A53B8CCA8F3}"/>
    <cellStyle name="40% - Énfasis5" xfId="34" xr:uid="{349076D0-C66D-41EC-B584-EBB5F12017DA}"/>
    <cellStyle name="40% - Énfasis6" xfId="35" xr:uid="{3D3D5290-55AA-4E54-A332-2AA4C59C593D}"/>
    <cellStyle name="60% - 1. jelölőszín" xfId="36" xr:uid="{C9FD7417-4449-403C-87A9-CB8687472609}"/>
    <cellStyle name="60% - 2. jelölőszín" xfId="37" xr:uid="{2EC57A3E-EECF-441F-942E-C8C33D7BF911}"/>
    <cellStyle name="60% - 3. jelölőszín" xfId="38" xr:uid="{D8393C84-8553-4DB5-9A56-A3679750BFB0}"/>
    <cellStyle name="60% - 4. jelölőszín" xfId="39" xr:uid="{0D798CFA-C11B-4A14-B392-2FF848FCF7B1}"/>
    <cellStyle name="60% - 5. jelölőszín" xfId="40" xr:uid="{03E995D1-90A6-40E2-88C4-1E771693657B}"/>
    <cellStyle name="60% - 6. jelölőszín" xfId="41" xr:uid="{4FC9BF39-0194-4063-AF80-070E2CAC2686}"/>
    <cellStyle name="60% - Accent1 2" xfId="316" xr:uid="{DBF69D7D-1616-4EE8-AFD7-F2646777C262}"/>
    <cellStyle name="60% - Accent2 2" xfId="317" xr:uid="{BEAFBFD1-1251-4A20-8A15-E39A5FA6146C}"/>
    <cellStyle name="60% - Accent3 2" xfId="318" xr:uid="{30B0B299-B100-4022-9563-BA59D1F70960}"/>
    <cellStyle name="60% - Accent4 2" xfId="319" xr:uid="{849ECAC2-08DE-4261-8E00-E6ABBFDAC03E}"/>
    <cellStyle name="60% - Accent5 2" xfId="320" xr:uid="{6B381A53-6338-4D87-99C4-BEFBA9361164}"/>
    <cellStyle name="60% - Accent6 2" xfId="321" xr:uid="{8450322A-20B4-422F-926F-FE70F4C67694}"/>
    <cellStyle name="60% - Énfasis1" xfId="42" xr:uid="{A31AD0FA-901E-4E9D-8DAF-A1002877C180}"/>
    <cellStyle name="60% - Énfasis2" xfId="43" xr:uid="{384E61B0-FFF1-4A94-8ACA-741C5BD6A79A}"/>
    <cellStyle name="60% - Énfasis3" xfId="44" xr:uid="{570EE3F8-BEDF-4AB5-9FEA-8D24E4F6C3CA}"/>
    <cellStyle name="60% - Énfasis4" xfId="45" xr:uid="{54BF2322-EA01-4F2E-A54D-811436718595}"/>
    <cellStyle name="60% - Énfasis5" xfId="46" xr:uid="{77E5D386-4498-4EC8-AA0B-0A91305221F7}"/>
    <cellStyle name="60% - Énfasis6" xfId="47" xr:uid="{499015DB-58FC-4F3E-B47F-B82632214602}"/>
    <cellStyle name="Accent1 2" xfId="143" xr:uid="{CF31D740-A35C-4C2F-B9AF-0C019EE2DACF}"/>
    <cellStyle name="Accent1 2 2" xfId="322" xr:uid="{23C5D442-9A40-41F1-87B4-2A9F162444C0}"/>
    <cellStyle name="Accent2 2" xfId="144" xr:uid="{A831A496-63BE-43F5-B063-FA5977025806}"/>
    <cellStyle name="Accent2 2 2" xfId="323" xr:uid="{A95EE174-AE30-4B9A-8A38-D98CADDE6B75}"/>
    <cellStyle name="Accent3 2" xfId="145" xr:uid="{4C69B0E0-2A22-4900-AA9D-7D6238368E6D}"/>
    <cellStyle name="Accent3 2 2" xfId="324" xr:uid="{D3B89DBE-973B-4C69-A69B-243636A8998F}"/>
    <cellStyle name="Accent4 2" xfId="146" xr:uid="{8CE2C5AB-D782-424C-9F46-ADC9E19C506B}"/>
    <cellStyle name="Accent4 2 2" xfId="325" xr:uid="{3DCD88FE-F331-434E-A161-7A820E4C75A7}"/>
    <cellStyle name="Accent5 2" xfId="147" xr:uid="{A1E82EC2-545C-4AEB-81AF-36906B94040D}"/>
    <cellStyle name="Accent5 2 2" xfId="326" xr:uid="{70909142-2874-4D07-8309-99A3668BC25B}"/>
    <cellStyle name="Accent6 2" xfId="148" xr:uid="{B4853145-FD25-4093-AAAE-8E503FC08AB1}"/>
    <cellStyle name="Accent6 2 2" xfId="327" xr:uid="{1BFF547F-CDE8-46B8-B4DA-BE9CF3C7BAF3}"/>
    <cellStyle name="AutoFormat-Optionen 2" xfId="238" xr:uid="{E330691F-5CE5-47C6-8AE2-537C61A0EA0E}"/>
    <cellStyle name="Bad 2" xfId="149" xr:uid="{C6AE0526-071D-4010-9905-D3106216AF61}"/>
    <cellStyle name="Bad 2 2" xfId="152" xr:uid="{E505D8FF-B2E1-446F-8CD5-E139D6B81130}"/>
    <cellStyle name="Bad 2 3" xfId="328" xr:uid="{8A5D9192-CCF4-4556-B9D7-D81BE428530A}"/>
    <cellStyle name="Bevitel" xfId="48" xr:uid="{0E510741-5B78-4422-9143-4F52501B4E0F}"/>
    <cellStyle name="Buena" xfId="49" xr:uid="{FE5EC4EC-E97E-42BF-B98D-60D87364C9BE}"/>
    <cellStyle name="Calculation 2" xfId="329" xr:uid="{82154445-D4B3-4FA7-8A4C-6B66E37F3400}"/>
    <cellStyle name="Cálculo" xfId="50" xr:uid="{4F7CD3C3-97AF-4C2D-8799-D580FAFD4D2F}"/>
    <cellStyle name="Celda de comprobación" xfId="51" xr:uid="{73D522EA-09D7-4332-A76C-A57EDC7EAD9F}"/>
    <cellStyle name="Celda vinculada" xfId="52" xr:uid="{55CA1134-D2B5-4184-8403-5792EC85956A}"/>
    <cellStyle name="Check Cell 2" xfId="150" xr:uid="{6B14AA72-3D5B-4852-97D3-C408CCC7B559}"/>
    <cellStyle name="Check Cell 2 2" xfId="330" xr:uid="{313B6D1D-A469-4186-9496-810629B60795}"/>
    <cellStyle name="Cím" xfId="53" xr:uid="{0B30E58A-C37C-414E-9464-0778ED526C1E}"/>
    <cellStyle name="Címsor 1" xfId="54" xr:uid="{D95275A6-DE5D-4BFB-9F0F-2D782182536B}"/>
    <cellStyle name="Címsor 2" xfId="55" xr:uid="{E6147C20-9563-414A-9A52-3A28FEB1B9C4}"/>
    <cellStyle name="Címsor 3" xfId="56" xr:uid="{86A5EA29-45FB-4106-945F-2D88EBB99E36}"/>
    <cellStyle name="Címsor 4" xfId="57" xr:uid="{38576F66-7435-41FC-BC8D-AFE80D67BA07}"/>
    <cellStyle name="Comma 2" xfId="191" xr:uid="{5CF8B574-9003-4D6C-B2EE-6C2B4D8C365D}"/>
    <cellStyle name="Comma 2 2" xfId="331" xr:uid="{32FE13AA-3B1A-4728-9C36-978906C9BD57}"/>
    <cellStyle name="CULBUTEUR/BASCULE" xfId="182" xr:uid="{B139A839-1320-4C8E-A337-C62BEF1508B8}"/>
    <cellStyle name="CULBUTEUR/BASCULE 2" xfId="183" xr:uid="{5432D080-0FE6-4283-9FFE-882D93B3831E}"/>
    <cellStyle name="Dezimal [0]" xfId="58" xr:uid="{7E23B42F-0C40-49AD-AB0A-65F6340215BB}"/>
    <cellStyle name="Dezimal [0] 2" xfId="151" xr:uid="{92C4351E-3E0D-4783-8147-4D0E9DA31391}"/>
    <cellStyle name="Ellenőrzőcella" xfId="59" xr:uid="{C66B0989-2318-4A26-9D69-FF25843C62CB}"/>
    <cellStyle name="Encabezado 4" xfId="60" xr:uid="{8BC97838-68CD-4091-9595-B8BC7AAF7030}"/>
    <cellStyle name="Énfasis1" xfId="61" xr:uid="{EBFABF1B-96D0-4AB8-9E8A-0E6552B073C0}"/>
    <cellStyle name="Énfasis2" xfId="62" xr:uid="{4ECDDE2A-0B9E-4971-B226-18C5B4C2F747}"/>
    <cellStyle name="Énfasis3" xfId="63" xr:uid="{C8A50DC1-BF9C-4E91-A185-4CB95943DA77}"/>
    <cellStyle name="Énfasis4" xfId="64" xr:uid="{DB6CAEDE-CF7D-4E8E-A260-51040AFACCAD}"/>
    <cellStyle name="Énfasis5" xfId="65" xr:uid="{E154D1E7-5822-43BC-98C6-D090583360F1}"/>
    <cellStyle name="Énfasis6" xfId="66" xr:uid="{1BA3B88C-8CA5-4CC8-A9C6-AAF0F571B2FE}"/>
    <cellStyle name="Entrada" xfId="67" xr:uid="{79E5B31E-9026-4788-8A9E-9031E501CB60}"/>
    <cellStyle name="Euro" xfId="68" xr:uid="{6EC7195C-0637-4FBB-8867-5DDCEB24D06B}"/>
    <cellStyle name="Euro 2" xfId="153" xr:uid="{E46057EF-F38C-4949-9634-38AEBE8216E0}"/>
    <cellStyle name="Euro 2 2" xfId="221" xr:uid="{188DB542-5677-4E69-89FF-C7CE57D727A7}"/>
    <cellStyle name="Euro 2 2 2" xfId="247" xr:uid="{6EB5A0B0-A754-47C7-9050-80AF49B720B3}"/>
    <cellStyle name="Euro 2 2 2 2" xfId="288" xr:uid="{04B4D4D9-A4D3-4162-A981-5C148845B736}"/>
    <cellStyle name="Euro 2 2 3" xfId="268" xr:uid="{0B3C9EEC-D41D-443A-97CF-DCE885B08997}"/>
    <cellStyle name="Euro 2 3" xfId="351" xr:uid="{375B4DCE-51DC-44E1-B7AA-A7A5ADC652F2}"/>
    <cellStyle name="Euro 3" xfId="219" xr:uid="{879F2C36-A89E-43B0-B321-D0C03615728A}"/>
    <cellStyle name="Euro 3 2" xfId="245" xr:uid="{28B3597C-1ED5-477E-9D85-963820CF4096}"/>
    <cellStyle name="Euro 3 2 2" xfId="286" xr:uid="{36036EE8-1B11-42DA-BA76-826CFB21AE4E}"/>
    <cellStyle name="Euro 3 3" xfId="266" xr:uid="{FE20D507-54A9-45D2-B908-C824007CD40E}"/>
    <cellStyle name="Euro 4" xfId="349" xr:uid="{9E811B04-8271-49F0-8A57-6B0D0212A7EE}"/>
    <cellStyle name="Explanatory Text 2" xfId="154" xr:uid="{D988DAF6-3958-4459-A05D-B9753D9C98F3}"/>
    <cellStyle name="Explanatory Text 2 2" xfId="332" xr:uid="{EDFC97E6-152D-48BB-9C46-5EB453C0F4C8}"/>
    <cellStyle name="Figyelmeztetés" xfId="69" xr:uid="{CD50130B-C5A4-4F4B-BB5E-28ACF5A112ED}"/>
    <cellStyle name="Good 2" xfId="155" xr:uid="{237CD934-BEB3-479C-8FB7-DD3B4FCC5304}"/>
    <cellStyle name="Good 2 2" xfId="333" xr:uid="{FEB15E44-CF33-4227-A75D-08ED4D9F38FE}"/>
    <cellStyle name="Heading 1 2" xfId="156" xr:uid="{293A5C78-3F6D-4E2A-987D-6F29EC2BCC37}"/>
    <cellStyle name="Heading 1 2 2" xfId="334" xr:uid="{85A7B3D6-53C3-49E3-A1BF-6B5D8AF2B7BB}"/>
    <cellStyle name="Heading 2 2" xfId="157" xr:uid="{10F80D27-7A5A-4C12-B260-63E62211A24A}"/>
    <cellStyle name="Heading 2 2 2" xfId="335" xr:uid="{3FFF9948-C6F4-492D-8C0B-C1EEBFF03649}"/>
    <cellStyle name="Heading 3 2" xfId="158" xr:uid="{59083A56-3079-4AAC-9A3F-509E9328FC65}"/>
    <cellStyle name="Heading 3 2 2" xfId="336" xr:uid="{83CCD56D-EDB0-49AF-B219-316335F6A21E}"/>
    <cellStyle name="Heading 4 2" xfId="159" xr:uid="{92CF78B9-675A-4EA9-BD53-A149D5947F78}"/>
    <cellStyle name="Heading 4 2 2" xfId="337" xr:uid="{48F0DA27-1E41-4DD1-A2A7-2745BA794AFE}"/>
    <cellStyle name="Hivatkozott cella" xfId="70" xr:uid="{914B3D3C-2930-4C41-A8E9-5C85CAA0C67F}"/>
    <cellStyle name="Incorrecto" xfId="71" xr:uid="{83D3009B-EE0D-4D10-92BC-9D755F4DB6EF}"/>
    <cellStyle name="Input 2" xfId="338" xr:uid="{8FBE6D43-72E5-4B44-9F9A-9FFE2D6F6DA1}"/>
    <cellStyle name="Jegyzet" xfId="72" xr:uid="{69CBE082-1E7B-417A-BAF6-D45E16BEE2BB}"/>
    <cellStyle name="Jelölőszín (1)" xfId="73" xr:uid="{1615DFF4-C834-4D87-B9DE-B6CE6FE651ED}"/>
    <cellStyle name="Jelölőszín (2)" xfId="74" xr:uid="{706A860B-5F21-452D-8E9B-3B763BDE9BC1}"/>
    <cellStyle name="Jelölőszín (3)" xfId="75" xr:uid="{3D0596CA-D902-4650-8EFA-47A8701BFAC0}"/>
    <cellStyle name="Jelölőszín (4)" xfId="76" xr:uid="{F742B257-807B-4B07-AA48-6BA53DECDC49}"/>
    <cellStyle name="Jelölőszín (5)" xfId="77" xr:uid="{3F1A13A9-BCF1-4513-BAE0-C8A29FCB1025}"/>
    <cellStyle name="Jelölőszín (6)" xfId="78" xr:uid="{AC337A3E-A9E0-44B0-837C-34C0A6EEE40E}"/>
    <cellStyle name="Jó" xfId="79" xr:uid="{62390722-5EA0-4692-9364-2204BD51A5FA}"/>
    <cellStyle name="Kategoria Pilota danych" xfId="80" xr:uid="{30012A35-F00E-46D9-BBC9-CEF71E762F3F}"/>
    <cellStyle name="Kimenet" xfId="81" xr:uid="{5DEB30FA-73F1-4119-ACFC-446882C186DC}"/>
    <cellStyle name="Lien hypertexte 2" xfId="213" xr:uid="{CBB217A7-9C78-493A-B206-5B010A041F07}"/>
    <cellStyle name="Linked Cell 2" xfId="339" xr:uid="{45EA81AE-C8D6-4B37-ABD3-25DA79EA17F5}"/>
    <cellStyle name="Magyarázó szöveg" xfId="82" xr:uid="{6DF1E6CA-E035-49E7-BBB6-7F0F3340E04B}"/>
    <cellStyle name="Migliaia_Foglio1" xfId="83" xr:uid="{437767EF-56C0-44B9-930E-DA82C7B93968}"/>
    <cellStyle name="Milliers [0] 2" xfId="177" xr:uid="{4C60AD4E-0A17-40DE-9FDD-BBC59BB79606}"/>
    <cellStyle name="Milliers 10" xfId="184" xr:uid="{5363544D-9A5B-41AE-B06D-7335706A624E}"/>
    <cellStyle name="Milliers 10 2" xfId="225" xr:uid="{6667ABF4-8811-40B8-A20A-536127962642}"/>
    <cellStyle name="Milliers 10 2 2" xfId="250" xr:uid="{91BEE445-77BD-4D6A-A48F-58F20251F168}"/>
    <cellStyle name="Milliers 10 2 2 2" xfId="291" xr:uid="{8E49015E-68E2-4975-A29A-7C3295D8607D}"/>
    <cellStyle name="Milliers 10 2 3" xfId="271" xr:uid="{5BC46081-58E1-4E42-90F3-0940616774F5}"/>
    <cellStyle name="Milliers 10 3" xfId="353" xr:uid="{B94FDACC-A068-4CBB-82FC-5DA0502FEABC}"/>
    <cellStyle name="Milliers 11" xfId="203" xr:uid="{7E885888-D11E-4B73-B3B3-D776E4FB4C37}"/>
    <cellStyle name="Milliers 11 2" xfId="235" xr:uid="{A4B8136C-B50A-4927-B8AC-251AFB313827}"/>
    <cellStyle name="Milliers 11 2 2" xfId="260" xr:uid="{8658426C-6683-403A-9C21-A2CEC4D7C9F1}"/>
    <cellStyle name="Milliers 11 2 2 2" xfId="301" xr:uid="{1C9EB533-66BA-47AE-80D5-4C319C4FB382}"/>
    <cellStyle name="Milliers 11 2 3" xfId="281" xr:uid="{2DA15B64-8881-4030-80A0-EB17F926AC69}"/>
    <cellStyle name="Milliers 11 3" xfId="363" xr:uid="{AA7BB1C0-04E0-4C67-953C-4DEA23F4C6E8}"/>
    <cellStyle name="Milliers 12" xfId="201" xr:uid="{075AC634-684E-4F16-900C-EC3BA1D963A6}"/>
    <cellStyle name="Milliers 12 2" xfId="233" xr:uid="{C12901A3-9D59-4927-AA71-C980FCADD0A6}"/>
    <cellStyle name="Milliers 12 2 2" xfId="258" xr:uid="{8FE0D827-4B69-4CB2-9AAC-3067FBB89FF4}"/>
    <cellStyle name="Milliers 12 2 2 2" xfId="299" xr:uid="{0B93D16E-73AB-4BE5-B265-03A9D60F925C}"/>
    <cellStyle name="Milliers 12 2 3" xfId="279" xr:uid="{0922F821-B4D8-431D-B2A3-4DA2A70C2593}"/>
    <cellStyle name="Milliers 12 3" xfId="361" xr:uid="{6082D22E-B73B-46F8-9E3C-0C125AA424AF}"/>
    <cellStyle name="Milliers 13" xfId="197" xr:uid="{FB6BC372-F35A-48B1-919F-2E3013FD9687}"/>
    <cellStyle name="Milliers 13 2" xfId="229" xr:uid="{CF107C41-C6C0-40DC-956C-9519E399769C}"/>
    <cellStyle name="Milliers 13 2 2" xfId="254" xr:uid="{86AD3FA9-038E-43FE-84EE-DABF513D42C9}"/>
    <cellStyle name="Milliers 13 2 2 2" xfId="295" xr:uid="{321B5F19-7EBF-40FD-AE5E-CC63FC63577A}"/>
    <cellStyle name="Milliers 13 2 3" xfId="275" xr:uid="{7FBA1ECF-CA57-4EE1-8603-E190A771D4BB}"/>
    <cellStyle name="Milliers 13 3" xfId="357" xr:uid="{DD0D31E3-D82E-432D-B12B-9D9599E3B41D}"/>
    <cellStyle name="Milliers 14" xfId="205" xr:uid="{1C16DACA-3C02-4812-BF50-0B59344FA2E9}"/>
    <cellStyle name="Milliers 14 2" xfId="236" xr:uid="{CCFDEB64-BCF3-4022-8A37-AED5B5EFC702}"/>
    <cellStyle name="Milliers 14 2 2" xfId="261" xr:uid="{C3B5EF65-CA5B-4564-9D62-64439CEA0B00}"/>
    <cellStyle name="Milliers 14 2 2 2" xfId="302" xr:uid="{1489D773-A7F4-4ED9-A153-80B06ABE3766}"/>
    <cellStyle name="Milliers 14 2 3" xfId="282" xr:uid="{2587583A-DA6F-4462-A79B-2A21E6120C75}"/>
    <cellStyle name="Milliers 14 3" xfId="243" xr:uid="{45E2AA05-33A0-4D31-AE60-6BA66212DA6F}"/>
    <cellStyle name="Milliers 14 3 2" xfId="284" xr:uid="{28DC066E-970A-4799-BC7D-8B47BB9CB425}"/>
    <cellStyle name="Milliers 14 4" xfId="264" xr:uid="{9F1F6A3F-A172-4768-9EA6-A99147482AE0}"/>
    <cellStyle name="Milliers 14 5" xfId="364" xr:uid="{A85F3132-E6CB-49B2-8C85-3F1F21360893}"/>
    <cellStyle name="Milliers 14 6" xfId="211" xr:uid="{58053886-2C24-4CC4-AD64-7ADA8F1A5E9C}"/>
    <cellStyle name="Milliers 15" xfId="206" xr:uid="{1FDA3CEB-8894-4C2A-BA7C-1DBA15B8DBA4}"/>
    <cellStyle name="Milliers 15 2" xfId="237" xr:uid="{32FF3A85-5A82-4242-BE32-400783BFE55B}"/>
    <cellStyle name="Milliers 15 2 2" xfId="262" xr:uid="{04F0D5C9-1795-4871-B14D-40CDABC45CC3}"/>
    <cellStyle name="Milliers 15 2 2 2" xfId="303" xr:uid="{603E350D-E352-46E0-B751-F54B10115C87}"/>
    <cellStyle name="Milliers 15 2 3" xfId="283" xr:uid="{F9B9DD05-CEEE-4745-9D55-C98979C2F1E2}"/>
    <cellStyle name="Milliers 15 3" xfId="244" xr:uid="{D098E307-38F5-489C-B3E7-AE8B7217E5E7}"/>
    <cellStyle name="Milliers 15 3 2" xfId="285" xr:uid="{DD3DB174-8632-43B2-9880-21CAB4213B02}"/>
    <cellStyle name="Milliers 15 4" xfId="265" xr:uid="{ED8878B1-7652-4BA7-AA41-056ED7AC84AF}"/>
    <cellStyle name="Milliers 15 5" xfId="365" xr:uid="{071AF92A-7153-4A11-B2CB-9F58CB935782}"/>
    <cellStyle name="Milliers 15 6" xfId="212" xr:uid="{B96EF875-740C-448F-92A3-7EEC45E49818}"/>
    <cellStyle name="Milliers 16" xfId="2" xr:uid="{12EB7463-6D8D-4AEF-8035-3608C20759A4}"/>
    <cellStyle name="Milliers 16 2" xfId="348" xr:uid="{5D578AD2-F59E-4B12-A761-2608D843B7A8}"/>
    <cellStyle name="Milliers 16 3" xfId="218" xr:uid="{AD5AD4B9-3489-4C35-92CA-D97149009ED1}"/>
    <cellStyle name="Milliers 17" xfId="181" xr:uid="{DE532B2F-E7FF-4548-988E-6D0DA598831E}"/>
    <cellStyle name="Milliers 18" xfId="207" xr:uid="{DAC8762D-3D97-439E-A7DF-59525A0C0B95}"/>
    <cellStyle name="Milliers 19" xfId="208" xr:uid="{0A3938F5-71BD-4BBF-9F49-414547EA2C3E}"/>
    <cellStyle name="Milliers 2" xfId="131" xr:uid="{AF9B9BD9-CA18-42CA-B708-E8326B99BD75}"/>
    <cellStyle name="Milliers 20" xfId="209" xr:uid="{21059376-5464-4B37-919C-016544808E07}"/>
    <cellStyle name="Milliers 3" xfId="179" xr:uid="{FCB529F6-3FC6-4BD1-8287-E4646FB8133D}"/>
    <cellStyle name="Milliers 4" xfId="193" xr:uid="{E7C9A0EB-3A5C-4ABC-96F8-FEC0CECFC984}"/>
    <cellStyle name="Milliers 5" xfId="194" xr:uid="{467E0CB8-E291-4254-9795-09EBA198AB6A}"/>
    <cellStyle name="Milliers 5 2" xfId="227" xr:uid="{99015DAD-CB3B-4FA0-BFB4-3C9D1C15032C}"/>
    <cellStyle name="Milliers 5 2 2" xfId="252" xr:uid="{F1DE3C3D-C025-470B-B540-F3C4FDC8B820}"/>
    <cellStyle name="Milliers 5 2 2 2" xfId="293" xr:uid="{D071EE38-5F83-4120-AF77-C77815960358}"/>
    <cellStyle name="Milliers 5 2 3" xfId="273" xr:uid="{E1FE5B8E-C311-4964-9454-64D5A7402CD4}"/>
    <cellStyle name="Milliers 5 3" xfId="355" xr:uid="{72EE0FD8-76DE-44FD-B7E1-E21D7F259A94}"/>
    <cellStyle name="Milliers 6" xfId="200" xr:uid="{F17DB8B8-4495-4C04-BA58-2028D565EF2E}"/>
    <cellStyle name="Milliers 6 2" xfId="232" xr:uid="{9A34FFDD-3CF2-49B9-873E-CEE56136FCDE}"/>
    <cellStyle name="Milliers 6 2 2" xfId="257" xr:uid="{320F8701-4A45-4704-AEF3-C765D387E976}"/>
    <cellStyle name="Milliers 6 2 2 2" xfId="298" xr:uid="{29E4BB58-24CE-472B-9B85-969177B3B4E0}"/>
    <cellStyle name="Milliers 6 2 3" xfId="278" xr:uid="{8CC10039-BAF9-41FD-9699-E8B33F499381}"/>
    <cellStyle name="Milliers 6 3" xfId="360" xr:uid="{8E45AB48-69C1-4F03-A15F-B8D57BBB167C}"/>
    <cellStyle name="Milliers 7" xfId="199" xr:uid="{FD52DE08-730B-4F1A-9099-10F7E9E61264}"/>
    <cellStyle name="Milliers 7 2" xfId="231" xr:uid="{2FDA4BFF-DC24-4E85-B91E-D12B690C9697}"/>
    <cellStyle name="Milliers 7 2 2" xfId="256" xr:uid="{D65D7805-4A1F-40EF-86BC-EBA11E9A1303}"/>
    <cellStyle name="Milliers 7 2 2 2" xfId="297" xr:uid="{DE4C78C7-5444-4370-A0D6-C26277198840}"/>
    <cellStyle name="Milliers 7 2 3" xfId="277" xr:uid="{9FBCAEE8-EE28-4F59-97AB-9C78547ABF34}"/>
    <cellStyle name="Milliers 7 3" xfId="359" xr:uid="{2A0F4CBE-9519-41D5-AA2B-D21BB7D27506}"/>
    <cellStyle name="Milliers 8" xfId="202" xr:uid="{EF95E0D8-8D96-4597-AEBC-F01D249DC64D}"/>
    <cellStyle name="Milliers 8 2" xfId="234" xr:uid="{53765E82-3D13-498D-89A6-00233993CBB5}"/>
    <cellStyle name="Milliers 8 2 2" xfId="259" xr:uid="{261896AF-EE2F-4A27-B759-86916FBF1F09}"/>
    <cellStyle name="Milliers 8 2 2 2" xfId="300" xr:uid="{C007B462-E7FC-4D31-B0A0-6CA96C4D70A8}"/>
    <cellStyle name="Milliers 8 2 3" xfId="280" xr:uid="{1A09A5B0-32ED-48FE-8333-9F2BDCB46562}"/>
    <cellStyle name="Milliers 8 3" xfId="362" xr:uid="{AD7A24CC-40C9-4A0D-A60D-79D44EB31DA3}"/>
    <cellStyle name="Milliers 9" xfId="198" xr:uid="{E06A99D0-1EDE-433F-B320-759CDFBE9B61}"/>
    <cellStyle name="Milliers 9 2" xfId="230" xr:uid="{C78B38BE-10B5-4AB5-BF4E-21173F48D775}"/>
    <cellStyle name="Milliers 9 2 2" xfId="255" xr:uid="{0BB822E5-60BE-4871-80D2-AB3C2F7F2ACB}"/>
    <cellStyle name="Milliers 9 2 2 2" xfId="296" xr:uid="{400BCEA9-B41C-43E4-99CC-5E1F46A85A53}"/>
    <cellStyle name="Milliers 9 2 3" xfId="276" xr:uid="{4A2A2654-F9A0-40B4-9FD1-D64DAEAA70E9}"/>
    <cellStyle name="Milliers 9 3" xfId="358" xr:uid="{75B31CC8-ADF3-4E23-A666-FC146F3D4A9D}"/>
    <cellStyle name="Monétaire 2" xfId="84" xr:uid="{7E9CEE07-F3FA-4E69-BD01-E7B92239EFE8}"/>
    <cellStyle name="Monétaire 2 2" xfId="160" xr:uid="{281973CC-D57B-40E3-902A-2D2B7DC9ABFB}"/>
    <cellStyle name="Monétaire 2 2 2" xfId="222" xr:uid="{5E85C951-2DA8-4D30-847E-D3B8C0CD8C9E}"/>
    <cellStyle name="Monétaire 2 2 2 2" xfId="248" xr:uid="{1AAFE5B0-3779-484A-84E8-C77920335354}"/>
    <cellStyle name="Monétaire 2 2 2 2 2" xfId="289" xr:uid="{F651DD19-1084-4DB1-B1B9-B931E8AD5887}"/>
    <cellStyle name="Monétaire 2 2 2 3" xfId="269" xr:uid="{A9D50235-5F74-41E2-B0AC-175B2F9CCAC6}"/>
    <cellStyle name="Monétaire 2 2 3" xfId="352" xr:uid="{E22E6D08-D2CF-45A2-B782-DE4C836423AF}"/>
    <cellStyle name="Monétaire 2 3" xfId="189" xr:uid="{E77562B4-8C65-4B60-B064-0C8B5DDE0F2C}"/>
    <cellStyle name="Monétaire 2 3 2" xfId="226" xr:uid="{4EBC49E9-A7D7-4F9D-B45E-DB40CD746505}"/>
    <cellStyle name="Monétaire 2 3 2 2" xfId="251" xr:uid="{6F8A3D35-B3CA-4171-A576-C8DB860D9134}"/>
    <cellStyle name="Monétaire 2 3 2 2 2" xfId="292" xr:uid="{ECB9920D-156C-4A3C-89FB-C6C9F05065A9}"/>
    <cellStyle name="Monétaire 2 3 2 3" xfId="272" xr:uid="{11EDA6CB-7A43-4D9B-A7F5-4743AF9DD6AC}"/>
    <cellStyle name="Monétaire 2 3 3" xfId="354" xr:uid="{2681CEAB-700B-4E5D-A871-2462B7570572}"/>
    <cellStyle name="Monétaire 2 4" xfId="220" xr:uid="{1DD64B35-5BFB-4A43-933D-0055D52E2B7A}"/>
    <cellStyle name="Monétaire 2 4 2" xfId="246" xr:uid="{981A493F-CDA3-44BF-A11D-EB7472AE057E}"/>
    <cellStyle name="Monétaire 2 4 2 2" xfId="287" xr:uid="{EF238226-D932-4E7E-A785-BEFCAF724DE2}"/>
    <cellStyle name="Monétaire 2 4 3" xfId="267" xr:uid="{05D8418F-32EB-42C7-8BE1-B70F48BE373A}"/>
    <cellStyle name="Monétaire 2 5" xfId="350" xr:uid="{C18FA83D-FC4F-4771-990D-513C9ADEDB57}"/>
    <cellStyle name="Monétaire 3" xfId="196" xr:uid="{F2C7E90E-F381-4312-AD8D-FC96FCE2F211}"/>
    <cellStyle name="Monétaire 3 2" xfId="228" xr:uid="{4E1D7BF2-7203-4831-B74E-5D2D787E2272}"/>
    <cellStyle name="Monétaire 3 2 2" xfId="253" xr:uid="{7F518D1F-777B-4873-8EBA-0F62D7B00144}"/>
    <cellStyle name="Monétaire 3 2 2 2" xfId="294" xr:uid="{9AFED65A-9479-4C4F-8CBD-4CB0B282DD50}"/>
    <cellStyle name="Monétaire 3 2 3" xfId="274" xr:uid="{52F00109-EA75-436F-9376-05C46BE41725}"/>
    <cellStyle name="Monétaire 3 3" xfId="356" xr:uid="{A2B9BD79-D3DE-4A89-9ED2-3D65901252B0}"/>
    <cellStyle name="Monétaire 4" xfId="224" xr:uid="{13F05EC3-7526-4FCF-8D69-BFD217B71C37}"/>
    <cellStyle name="Monétaire 4 2" xfId="249" xr:uid="{2830E52E-4EFC-47EA-BF3B-9ACEFD1A1A85}"/>
    <cellStyle name="Monétaire 4 2 2" xfId="290" xr:uid="{FEBCF8D5-6977-4914-9D66-196A8998DD0D}"/>
    <cellStyle name="Monétaire 4 3" xfId="270" xr:uid="{4F6DA37E-8914-482D-B243-C227FF7502AB}"/>
    <cellStyle name="Narożnik Pilota danych" xfId="85" xr:uid="{4C32A97E-F905-4739-8AC2-C7EAF50C1C91}"/>
    <cellStyle name="Neutral 2" xfId="161" xr:uid="{F9C00EED-029A-4E43-A123-47B35AD417AF}"/>
    <cellStyle name="Neutral 2 2" xfId="174" xr:uid="{570AE222-D2CA-4AE1-BDA0-28ABD207987F}"/>
    <cellStyle name="Neutral 2 3" xfId="340" xr:uid="{6F4BC719-D9BA-4BB9-B646-920AA7F86FB0}"/>
    <cellStyle name="No-definido" xfId="86" xr:uid="{B2F5AB3D-DEE3-4D7F-9C0D-9FD803A0AD59}"/>
    <cellStyle name="Normal" xfId="0" builtinId="0"/>
    <cellStyle name="Normal 10" xfId="87" xr:uid="{4428F80F-4F85-40CA-ADDC-51E461FEB885}"/>
    <cellStyle name="Normal 10 2" xfId="195" xr:uid="{295DEC5F-1AFB-4438-A7CB-499E39706E46}"/>
    <cellStyle name="Normal 10 3" xfId="185" xr:uid="{7B8F6F2C-1510-4BEC-B011-1E10FE2A18D5}"/>
    <cellStyle name="Normal 11" xfId="88" xr:uid="{2797C53C-6BD7-43B9-A84D-FEE484C344CD}"/>
    <cellStyle name="Normal 12" xfId="89" xr:uid="{315DABB5-FF55-432B-9E37-82ACA8E31B41}"/>
    <cellStyle name="Normal 13" xfId="90" xr:uid="{3515FB4D-CFBE-4144-81EA-E465BB05D04C}"/>
    <cellStyle name="Normal 14" xfId="214" xr:uid="{568CE4BA-5DD4-4AF8-8A01-0533767BB474}"/>
    <cellStyle name="Normal 15" xfId="242" xr:uid="{742E9909-47A1-4BA2-AD33-5249696030D3}"/>
    <cellStyle name="Normal 16" xfId="263" xr:uid="{91E0FA20-FE06-42CA-AA68-E9AD457F1360}"/>
    <cellStyle name="Normal 17" xfId="91" xr:uid="{C83135D4-C6E6-4E15-B58E-5DB395BD1517}"/>
    <cellStyle name="Normal 18" xfId="92" xr:uid="{AA698A34-8EC2-49D6-82F7-DFEE364CC2A9}"/>
    <cellStyle name="Normal 19" xfId="93" xr:uid="{9EAF8A35-CB46-4798-B9AF-0E379D2A5921}"/>
    <cellStyle name="Normal 2" xfId="1" xr:uid="{2E2AE9A6-4E87-4D2E-8E0B-9E024A674619}"/>
    <cellStyle name="Normal 2 2" xfId="94" xr:uid="{2B3ACB1D-EE41-4127-AB90-AFE41418DABE}"/>
    <cellStyle name="Normal 2 2 2" xfId="95" xr:uid="{E42BB1BF-DB63-4D04-880B-0C8B977ED33E}"/>
    <cellStyle name="Normal 2 2 2 2" xfId="241" xr:uid="{5A98C0FA-5D08-4EEF-8926-69E101FFCB56}"/>
    <cellStyle name="Normal 2 2 3" xfId="163" xr:uid="{0FAE62A4-EF4F-4048-90AF-267C0DC61366}"/>
    <cellStyle name="Normal 2 2 4" xfId="162" xr:uid="{7D9B3669-B6E0-43C9-9C15-2087246C0877}"/>
    <cellStyle name="Normal 2 3" xfId="96" xr:uid="{0293796E-9FC8-45D3-BA17-78058E85029E}"/>
    <cellStyle name="Normal 2 3 2" xfId="164" xr:uid="{DBF350F1-FB5A-433A-A876-B22F1B63E6C0}"/>
    <cellStyle name="Normal 2 4" xfId="341" xr:uid="{C75F45E3-B015-46CE-AEE7-0237FB430C72}"/>
    <cellStyle name="Normal 20" xfId="97" xr:uid="{264D6B69-E4F6-45B9-9C00-D6BCF0B6A425}"/>
    <cellStyle name="Normal 21" xfId="98" xr:uid="{BA4F2D03-8309-4124-A11D-054F9273C602}"/>
    <cellStyle name="Normal 3" xfId="99" xr:uid="{B0E63681-1875-44A9-866B-308B7BFAE878}"/>
    <cellStyle name="Normal 3 2" xfId="132" xr:uid="{BF5ECFB1-E3E7-401A-9B21-85EC98D8027E}"/>
    <cellStyle name="Normal 3 2 2" xfId="204" xr:uid="{85581B2F-E76B-40FD-93C5-3C2E0C76C8B8}"/>
    <cellStyle name="Normal 3 2 2 2 2 2" xfId="216" xr:uid="{C3350D74-70FD-4967-BE50-D26CF235A396}"/>
    <cellStyle name="Normal 3 2 2 3 2" xfId="215" xr:uid="{1434ABBC-DD80-4C6A-B3CD-FF685597B66C}"/>
    <cellStyle name="Normal 3 2 2 4" xfId="217" xr:uid="{5298C6EB-E53A-4835-B392-A30479FA52A3}"/>
    <cellStyle name="Normal 3 3" xfId="186" xr:uid="{421E65C2-B07C-4816-ADE4-D343B4F42068}"/>
    <cellStyle name="Normal 3 3 2" xfId="239" xr:uid="{6E1D070D-6142-40AC-8762-92F103075622}"/>
    <cellStyle name="Normal 4" xfId="100" xr:uid="{1AE240BD-55A7-4C16-A2BC-0E414EAE0C5C}"/>
    <cellStyle name="Normal 4 2" xfId="130" xr:uid="{CD8179E3-1D6E-43FE-A625-94039F39448A}"/>
    <cellStyle name="Normal 4 3" xfId="190" xr:uid="{307829EA-769B-4F8C-ACE3-53105B4FDDE2}"/>
    <cellStyle name="Normal 5" xfId="129" xr:uid="{96C215C4-A7AB-4914-AE8F-21271A9C4BF4}"/>
    <cellStyle name="Normal 5 2" xfId="165" xr:uid="{8B3A83E6-365B-4D27-BCE9-93C27C0118F7}"/>
    <cellStyle name="Normal 5 3" xfId="342" xr:uid="{6265EC3A-E653-4C52-8D41-52E384F7261A}"/>
    <cellStyle name="Normal 6" xfId="101" xr:uid="{01E970DE-85C7-4A96-8E3F-0D1ECAB87D85}"/>
    <cellStyle name="Normal 6 2" xfId="188" xr:uid="{40968142-D1FF-4D9C-AC44-82B236A326C9}"/>
    <cellStyle name="Normal 7" xfId="133" xr:uid="{5712C40D-D6F5-4EBD-99F4-6210BBA8FE6E}"/>
    <cellStyle name="Normal 7 2" xfId="166" xr:uid="{2317AAB9-171E-4443-A5C8-43D60CF5EE61}"/>
    <cellStyle name="Normal 8" xfId="134" xr:uid="{806889B9-C5E6-4DDB-AF23-9F638569558E}"/>
    <cellStyle name="Normal 8 2" xfId="175" xr:uid="{C7FE51BF-EDE0-4ECE-AE20-89EDACC2B324}"/>
    <cellStyle name="Normal 9" xfId="176" xr:uid="{B3341FE3-4D4D-44E5-A095-42271E02722B}"/>
    <cellStyle name="Normal 9 2" xfId="223" xr:uid="{D50FAFDA-B8CD-40AD-9C0B-CDF641C46B18}"/>
    <cellStyle name="Normál_Munka1" xfId="102" xr:uid="{84102492-AB0B-4D2D-A593-110302D32B85}"/>
    <cellStyle name="Normale_BDGWKFEB" xfId="103" xr:uid="{965062D1-A6F1-42F3-858E-097EF288DA61}"/>
    <cellStyle name="normální_Transport demand" xfId="104" xr:uid="{2B4F82CA-879C-4D0F-A5E1-57A25BE3DAEB}"/>
    <cellStyle name="Normalny_14 04 2008" xfId="105" xr:uid="{30F53A52-4331-4781-95B7-BBBA996F8007}"/>
    <cellStyle name="Notas" xfId="106" xr:uid="{EBBE54FD-897A-4113-9E2B-FCAE678525F9}"/>
    <cellStyle name="Notas 2" xfId="167" xr:uid="{DA9584A2-E04F-4646-B901-8823260303AF}"/>
    <cellStyle name="Note 2" xfId="343" xr:uid="{F22B8273-5F89-4EE6-80AE-9F8C5CEE2CC7}"/>
    <cellStyle name="Összesen" xfId="107" xr:uid="{13E2ED0A-66CE-4B72-8AF6-D132B49919D0}"/>
    <cellStyle name="Output 2" xfId="168" xr:uid="{4E837546-D63D-4C3D-AF7A-7D914EFD19DC}"/>
    <cellStyle name="Output 2 2" xfId="344" xr:uid="{245598C4-C7C6-4172-8186-C02D7FB830D0}"/>
    <cellStyle name="Pole Pilota danych" xfId="108" xr:uid="{C0915889-6D01-4A71-940F-A30B9F391D4E}"/>
    <cellStyle name="Pourcentage 2" xfId="109" xr:uid="{488071B2-80BE-4DAC-974F-32B838C34D7B}"/>
    <cellStyle name="Pourcentage 2 2" xfId="169" xr:uid="{78950FEB-32E3-4980-8BA1-52848982B3B8}"/>
    <cellStyle name="Pourcentage 2 3" xfId="187" xr:uid="{677737C2-A8B9-4B99-90D6-D489B662452C}"/>
    <cellStyle name="Pourcentage 3" xfId="178" xr:uid="{28836872-6EB9-4EDA-BF0C-F49FCEDFE7BB}"/>
    <cellStyle name="Pourcentage 3 2" xfId="192" xr:uid="{CF997F65-DA1E-4894-AE5E-ED6601C0930F}"/>
    <cellStyle name="Pourcentage 4" xfId="210" xr:uid="{B979505C-D329-44E8-B24C-5D4E2669F650}"/>
    <cellStyle name="Rossz" xfId="110" xr:uid="{F97EA9E0-AE30-4F6D-881C-1037D1BADCF9}"/>
    <cellStyle name="Salida" xfId="111" xr:uid="{C8806BC4-9991-4519-B230-15C9BC5CF35F}"/>
    <cellStyle name="Semleges" xfId="112" xr:uid="{EE4F2F7C-FA18-4C96-BAD1-E4A823C88F15}"/>
    <cellStyle name="Standard 2" xfId="3" xr:uid="{A0345C49-3631-42F9-81F3-A38EE025E41B}"/>
    <cellStyle name="Standard 2 2" xfId="180" xr:uid="{AAC88C7C-CC39-45B7-8F70-91A6F3A09678}"/>
    <cellStyle name="Standard_Mappe1" xfId="113" xr:uid="{E61F516E-758A-4A47-8CC7-FAD172C23224}"/>
    <cellStyle name="Style 1" xfId="114" xr:uid="{B48307F6-DE55-4E64-AA3D-D634CBCA9413}"/>
    <cellStyle name="Style 1 2" xfId="170" xr:uid="{B6190A64-EAF5-4B58-A231-033661E150FC}"/>
    <cellStyle name="Számítás" xfId="115" xr:uid="{8DEEBC12-044E-4E20-A1EE-CD8FCB90E1B4}"/>
    <cellStyle name="Texto de advertencia" xfId="116" xr:uid="{84AC8EC6-D13A-4797-99ED-06387B20F57D}"/>
    <cellStyle name="Texto explicativo" xfId="117" xr:uid="{4C9DF3F7-6DB0-44C6-9E4D-6E67350D7768}"/>
    <cellStyle name="Title 2" xfId="171" xr:uid="{844B4C21-9B8E-4202-A4B3-4E1D03787801}"/>
    <cellStyle name="Title 2 2" xfId="345" xr:uid="{E206CAE0-7D91-4AB6-9A5F-CD898936D044}"/>
    <cellStyle name="Título" xfId="118" xr:uid="{676C1326-5A8C-4D8C-AD42-CFE0E59776C5}"/>
    <cellStyle name="Título 1" xfId="119" xr:uid="{CB2E10F6-9220-4173-AB26-2D5F813F6460}"/>
    <cellStyle name="Título 2" xfId="120" xr:uid="{8E702A6E-4632-41F9-8D06-9BF612D1D78E}"/>
    <cellStyle name="Título 3" xfId="121" xr:uid="{C2ACE070-18FB-4A93-94E1-F9038B1E3B19}"/>
    <cellStyle name="Total 2" xfId="172" xr:uid="{50667FD4-EA4A-4E9C-9451-831B102F5EF5}"/>
    <cellStyle name="Total 2 2" xfId="346" xr:uid="{D2331590-BECE-44BB-A242-58A27EF5B58A}"/>
    <cellStyle name="Tytuł Pilota danych" xfId="122" xr:uid="{989A1CE9-3E3E-4AB2-A316-1A9FE925F227}"/>
    <cellStyle name="Valuta (0)_Foglio1" xfId="123" xr:uid="{78BF6FDB-82A1-4B5A-8F3D-2CE3F6145459}"/>
    <cellStyle name="Valuta_Foglio1" xfId="124" xr:uid="{1E2C4F28-6797-4C7D-BA2B-461EE36B3D50}"/>
    <cellStyle name="Währung [0]" xfId="125" xr:uid="{856868A8-3E49-42FD-B276-5C1CBDF41C39}"/>
    <cellStyle name="Währung [0] 2" xfId="173" xr:uid="{AE277B46-C5FA-44D4-9EEA-C16132FB0FD9}"/>
    <cellStyle name="Währung_Tarif Vollgut NEU TEST" xfId="126" xr:uid="{FBC165D1-7C62-486D-B86A-55217F608685}"/>
    <cellStyle name="Warning Text 2" xfId="347" xr:uid="{F8F8534F-B18A-44B7-BA51-396BD0ABD487}"/>
    <cellStyle name="Wartość Pilota danych" xfId="127" xr:uid="{0CFC7AEA-94AB-4B3F-9027-F5C56DD41781}"/>
    <cellStyle name="Wynik Pilota danych" xfId="128" xr:uid="{A3F585D9-0A40-46D7-A837-416A18F808C6}"/>
    <cellStyle name="標準 2" xfId="240" xr:uid="{5AE16C1C-DAA8-43ED-A447-A036A9CFB102}"/>
  </cellStyles>
  <dxfs count="574"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9" formatCode="00########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right style="medium">
          <color rgb="FF000000"/>
        </right>
      </border>
    </dxf>
    <dxf>
      <fill>
        <patternFill patternType="solid">
          <fgColor rgb="FF000000"/>
          <bgColor rgb="FFE7E6E6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0000"/>
      </font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textRotation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fgColor indexed="64"/>
          <bgColor theme="2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/>
        <color rgb="FFFF0000"/>
      </font>
    </dxf>
    <dxf>
      <numFmt numFmtId="168" formatCode="0000000000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00000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numFmt numFmtId="168" formatCode="000000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8" formatCode="000000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>
        <bottom style="medium">
          <color indexed="64"/>
        </bottom>
      </border>
    </dxf>
    <dxf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right style="medium">
          <color rgb="FF000000"/>
        </right>
      </border>
    </dxf>
    <dxf>
      <fill>
        <patternFill patternType="solid">
          <fgColor rgb="FF000000"/>
          <bgColor rgb="FFE7E6E6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0000"/>
      </font>
    </dxf>
    <dxf>
      <font>
        <strike/>
        <color rgb="FFFF0000"/>
      </font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rgb="FF000000"/>
        </right>
      </border>
    </dxf>
    <dxf>
      <fill>
        <patternFill patternType="solid">
          <fgColor rgb="FF000000"/>
          <bgColor rgb="FFE7E6E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</dxf>
    <dxf>
      <font>
        <color rgb="FFFF0000"/>
      </font>
    </dxf>
    <dxf>
      <font>
        <strike/>
        <color rgb="FFFF0000"/>
      </font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00000000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9" formatCode="00########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right style="medium">
          <color indexed="64"/>
        </right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0000"/>
      </font>
    </dxf>
    <dxf>
      <font>
        <strike/>
        <color rgb="FFFF0000"/>
      </font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theme="5" tint="-0.24994659260841701"/>
          <bgColor theme="5" tint="-0.24994659260841701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theme="5" tint="-0.24994659260841701"/>
          <bgColor theme="5" tint="-0.24994659260841701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  <scheme val="none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rgb="FFFFC000"/>
          <bgColor theme="9" tint="-0.24994659260841701"/>
        </patternFill>
      </fill>
    </dxf>
    <dxf>
      <font>
        <b/>
        <i val="0"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  <scheme val="none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  <scheme val="none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  <scheme val="none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  <scheme val="none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  <scheme val="none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  <scheme val="none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  <scheme val="none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  <scheme val="none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  <scheme val="none"/>
      </font>
      <fill>
        <patternFill patternType="solid">
          <fgColor rgb="FFFFC000"/>
          <bgColor theme="4" tint="0.39994506668294322"/>
        </patternFill>
      </fill>
    </dxf>
  </dxfs>
  <tableStyles count="0" defaultTableStyle="TableStyleMedium2" defaultPivotStyle="PivotStyleLight16"/>
  <colors>
    <mruColors>
      <color rgb="FFDF41C8"/>
      <color rgb="FFB482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ouperenault.sharepoint.com/sites/toolvtt/Shared%20Documents/Archive/2024/Tool%20VTT%2020240318%20v2%20-%20Copi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ma actif"/>
      <sheetName val="schema by ID actif"/>
      <sheetName val="VTT actif"/>
      <sheetName val="schema project"/>
      <sheetName val="schema by ID project"/>
      <sheetName val="VTT project"/>
      <sheetName val="Plant_AILN"/>
      <sheetName val="Order"/>
      <sheetName val="DATA BTO"/>
      <sheetName val="DATA ILN"/>
      <sheetName val="DATA Consignee"/>
      <sheetName val="Transport"/>
      <sheetName val="Notice"/>
      <sheetName val="Tool VTT 20240318 v2 - Cop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ANNES Wael" id="{02196D4C-80E5-48E4-AB66-6BD8FF06841D}" userId="S::wael.wannes@renault.com::1bea8905-acc8-4ba1-83cc-a967d6e46e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1D3876-76D6-4B3C-9C8C-99D65EA05006}" name="Tableau1" displayName="Tableau1" ref="B4:BE70" totalsRowShown="0" headerRowDxfId="456" dataDxfId="455" tableBorderDxfId="454">
  <autoFilter ref="B4:BE70" xr:uid="{D61D3876-76D6-4B3C-9C8C-99D65EA05006}">
    <filterColumn colId="9">
      <filters>
        <filter val="TURKEY"/>
      </filters>
    </filterColumn>
    <filterColumn colId="10">
      <filters>
        <filter val="OYAK MEKA"/>
      </filters>
    </filterColumn>
  </autoFilter>
  <sortState xmlns:xlrd2="http://schemas.microsoft.com/office/spreadsheetml/2017/richdata2" ref="B5:BE70">
    <sortCondition ref="Z4:Z70"/>
  </sortState>
  <tableColumns count="56">
    <tableColumn id="47" xr3:uid="{26A7A452-C8D6-4DDE-9F6A-FE0556AA330A}" name="Key(ILN - shipper - plant)" dataDxfId="453"/>
    <tableColumn id="1" xr3:uid="{0D1FE05C-7C9B-4423-9EF0-F6E20A97DF04}" name="Key(Compte ILN - shipper - POL - plant)" dataDxfId="452"/>
    <tableColumn id="2" xr3:uid="{9651993C-0D14-43C1-B861-B312B45D6A90}" name="Key(Compte ILN - shipper - POL)" dataDxfId="451"/>
    <tableColumn id="3" xr3:uid="{1416668C-92B2-4E79-9B73-4C6B6C997F58}" name="Key(POL - carrier - POD)" dataDxfId="450"/>
    <tableColumn id="4" xr3:uid="{A2543C82-AE45-4486-9F6A-42A4476E30FC}" name="Key(ID-Actif)" dataDxfId="449"/>
    <tableColumn id="5" xr3:uid="{260626FF-FE41-41AA-9E6A-18276DBF08F0}" name="Key(POD -PFI- Usine)" dataDxfId="448"/>
    <tableColumn id="6" xr3:uid="{6C248ED8-DC0F-4C94-852F-963BCC0E0482}" name="log guidelines Key" dataDxfId="447"/>
    <tableColumn id="7" xr3:uid="{29F9AE55-67FE-4B56-B858-123F3916BBC2}" name="Plant-ILN-shipper-POL-Carrier-POD-PFI" dataDxfId="446"/>
    <tableColumn id="49" xr3:uid="{842E8423-0ADA-4E37-912C-E430582F8443}" name="Duplicates" dataDxfId="445"/>
    <tableColumn id="8" xr3:uid="{8AAA6A65-892E-4DE7-A9D5-2B14EEC5ECA4}" name="Country" dataDxfId="444"/>
    <tableColumn id="9" xr3:uid="{2AECC5C0-4199-475B-83C3-DC453A52D4AC}" name="Name Site" dataDxfId="443"/>
    <tableColumn id="10" xr3:uid="{DC4D3D71-33D8-4717-A373-E4F71FDFFA63}" name="Compte Consignee" dataDxfId="442"/>
    <tableColumn id="11" xr3:uid="{E865A4DA-C752-4CCA-87B2-145312FDD08E}" name="Day Customer Order" dataDxfId="441"/>
    <tableColumn id="12" xr3:uid="{45687E81-4667-4E33-942F-0B2454482E18}" name="Name ILN" dataDxfId="440"/>
    <tableColumn id="13" xr3:uid="{83EA121C-CAC3-4305-A86F-40594F0408C1}" name="Compte ILN" dataDxfId="439"/>
    <tableColumn id="14" xr3:uid="{CBFBE439-BCBB-4718-A3BB-7A3EA6D9E55B}" name="Day ILN Order" dataDxfId="438"/>
    <tableColumn id="15" xr3:uid="{F94BFD72-B47C-4051-849C-8B694B567C0B}" name="Delivery time to ILN/Shipper" dataDxfId="437"/>
    <tableColumn id="16" xr3:uid="{A55C9CE3-4F1B-4F96-8CD7-1755FBC434B0}" name="Time of Recept in ILN" dataDxfId="436"/>
    <tableColumn id="17" xr3:uid="{23ABE1EB-26B8-47FE-A288-F8B11FC44A58}" name="Packaging préparation &amp; loading" dataDxfId="435"/>
    <tableColumn id="18" xr3:uid="{47581551-06F8-469C-9296-8A05E3FFC85C}" name="First Receipt Days" dataDxfId="434"/>
    <tableColumn id="19" xr3:uid="{9CA50DD5-56AF-4957-B428-385C1A7DBB28}" name="Transport ILN to POL" dataDxfId="433"/>
    <tableColumn id="20" xr3:uid="{C7F9A0E6-C9E1-4F60-B13B-90F7598A41AD}" name="First Day to POL" dataDxfId="432"/>
    <tableColumn id="21" xr3:uid="{9CB4F710-F10D-42A4-B683-67C2A924762A}" name="Name Shipper" dataDxfId="431"/>
    <tableColumn id="22" xr3:uid="{314B71F1-651E-4D82-8789-CF0D95E13FAC}" name="Compte Shipper" dataDxfId="430"/>
    <tableColumn id="23" xr3:uid="{9F0D32F1-8B2D-4236-993D-7B7398E1D234}" name="ID" dataDxfId="429"/>
    <tableColumn id="24" xr3:uid="{84B0FCFC-F1A8-4AA9-902A-0C5F30E53A05}" name="POL" dataDxfId="428"/>
    <tableColumn id="25" xr3:uid="{3DCB07F3-966A-4456-A4B1-2001E41C3E02}" name="Carrier" dataDxfId="427"/>
    <tableColumn id="26" xr3:uid="{45789B9D-16C5-4AA0-9530-7FFC0A8B1AE6}" name="Day Cut Off" dataDxfId="426"/>
    <tableColumn id="27" xr3:uid="{47DA7EE6-D806-4A2B-8F38-D3D791944E87}" name="Day ETD" dataDxfId="425"/>
    <tableColumn id="58" xr3:uid="{B56C83AE-C66D-4626-B7FB-46273C6AE5FA}" name="Wished ETD ILN" dataDxfId="424"/>
    <tableColumn id="28" xr3:uid="{A467FD39-8C15-4DA9-BB73-682CEDCC811A}" name="Transit time" dataDxfId="423"/>
    <tableColumn id="29" xr3:uid="{AFAF85AA-60EF-4B95-96DD-54C9EB1917C8}" name="POD" dataDxfId="422"/>
    <tableColumn id="30" xr3:uid="{B4A7443B-B714-470B-978C-AB0E0AEAC8F4}" name="Time for security" dataDxfId="421"/>
    <tableColumn id="31" xr3:uid="{01253725-DCB8-412D-B1AB-AE8D7FF6FFB5}" name="Time for security2 buffer" dataDxfId="420"/>
    <tableColumn id="32" xr3:uid="{6BFB51A0-26E5-468A-9FFA-DA1EBBC721E7}" name="Pilot" dataDxfId="419"/>
    <tableColumn id="33" xr3:uid="{95F0A4F6-2ACF-448C-AFBE-78449F6DF3A1}" name="Cust." dataDxfId="418"/>
    <tableColumn id="34" xr3:uid="{A0A303CE-B324-48C1-868B-B3A7CCBE4961}" name="Name PFI/CDD" dataDxfId="417"/>
    <tableColumn id="35" xr3:uid="{D322DC7A-9CE9-43B8-8AFF-7A0C0D78EABC}" name="Code PFI" dataDxfId="416"/>
    <tableColumn id="38" xr3:uid="{D45621F7-F614-46DC-9B54-003222C96360}" name="Leadtime train" dataDxfId="415"/>
    <tableColumn id="37" xr3:uid="{3AD921CD-8C56-43CE-99AD-CD248116DA4B}" name="Buffer train" dataDxfId="414"/>
    <tableColumn id="36" xr3:uid="{CBDFEADE-D4E4-4AA6-B625-2A784C875F32}" name="Trpt POD &gt; PFI" dataDxfId="413"/>
    <tableColumn id="39" xr3:uid="{2DBBF66F-A888-4F27-A70A-2A2608F295CE}" name="Trpt POD/PFI vers Usine" dataDxfId="412"/>
    <tableColumn id="41" xr3:uid="{EEA03E98-FB62-490F-8946-2D1717B91634}" name="Round." dataDxfId="411"/>
    <tableColumn id="42" xr3:uid="{2AF8A9EE-2D64-470D-AD69-D5389654942A}" name="Parts Vanning" dataDxfId="410"/>
    <tableColumn id="43" xr3:uid="{5265FEAE-97D1-418D-8822-C5766F1D5562}" name="Transit Time2" dataDxfId="409"/>
    <tableColumn id="44" xr3:uid="{83826D88-D54D-4D9E-B659-B1E802E5291C}" name="Leadtime SI2C" dataDxfId="408"/>
    <tableColumn id="45" xr3:uid="{2B33F5F3-9E13-4DD8-99CD-D66EDE73EF28}" name="Cust. Leadtime" dataDxfId="407"/>
    <tableColumn id="50" xr3:uid="{490F6000-408E-4445-9F96-7DEB29A20C3F}" name="SIT" dataDxfId="406"/>
    <tableColumn id="46" xr3:uid="{67FAA3A2-8C6B-442C-A84F-EB37838243EE}" name="X-flows" dataDxfId="405"/>
    <tableColumn id="48" xr3:uid="{DC1E2C96-03B1-42CB-A802-8434676CDCA9}" name="Expiration Date" dataDxfId="404"/>
    <tableColumn id="51" xr3:uid="{7BA1EBF1-EC21-4804-898C-83EC8E16C9B0}" name="Error Order" dataDxfId="403"/>
    <tableColumn id="52" xr3:uid="{3BB8D892-1B67-4EF4-B571-AC2A2D6C342B}" name="Error ILN" dataDxfId="402"/>
    <tableColumn id="53" xr3:uid="{8CC6F338-275C-4994-8B96-530A7A733632}" name="Error BTO" dataDxfId="401"/>
    <tableColumn id="54" xr3:uid="{11E48396-1735-43A1-B344-A9E746261558}" name="Error Consignee" dataDxfId="400"/>
    <tableColumn id="55" xr3:uid="{57A8A5DF-3733-4270-98E2-704B9A8FF1D3}" name="Error Transport" dataDxfId="399"/>
    <tableColumn id="40" xr3:uid="{E1EA9200-458C-4CE1-8CF4-0900C2765D7D}" name="Comments" dataDxfId="3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049AA74-FE71-4C6D-AEA1-C9BDA48B7BFB}" name="Tableau21" displayName="Tableau21" ref="B4:BC37" totalsRowShown="0" headerRowDxfId="349" dataDxfId="348" tableBorderDxfId="347">
  <autoFilter ref="B4:BC37" xr:uid="{D61D3876-76D6-4B3C-9C8C-99D65EA05006}"/>
  <tableColumns count="54">
    <tableColumn id="47" xr3:uid="{4279B8B1-378E-478C-BF31-47C437CED33F}" name="Key(ILN - shipper - plant)" dataDxfId="346">
      <calculatedColumnFormula>_xlfn.CONCAT(Tableau21[[#This Row],[Name ILN]],"-",Tableau21[[#This Row],[Name Shipper]],"-",Tableau21[[#This Row],[Name Site]])</calculatedColumnFormula>
    </tableColumn>
    <tableColumn id="1" xr3:uid="{6F3A9720-D72D-43BB-913B-ED1274C6B9E0}" name="Key(Compte ILN - shipper - POL - plant)" dataDxfId="345">
      <calculatedColumnFormula>_xlfn.CONCAT(Tableau21[[#This Row],[Compte ILN]],"-",Tableau21[[#This Row],[Compte Shipper]],"-",Tableau21[[#This Row],[POL]],"-",Tableau21[[#This Row],[Compte Site]])</calculatedColumnFormula>
    </tableColumn>
    <tableColumn id="2" xr3:uid="{595D4154-86F6-4666-B3E4-4AA37EE372BF}" name="Key(Compte ILN - shipper - POL)" dataDxfId="344">
      <calculatedColumnFormula>_xlfn.CONCAT(Tableau21[[#This Row],[Compte ILN]],"-",Tableau21[[#This Row],[Compte Shipper]],"-",Tableau21[[#This Row],[POL]])</calculatedColumnFormula>
    </tableColumn>
    <tableColumn id="3" xr3:uid="{E0A8095B-0E70-4EAE-B1FA-F834D6BB3209}" name="Key(POL - carrier - POD)" dataDxfId="343">
      <calculatedColumnFormula>_xlfn.CONCAT(Tableau21[[#This Row],[POL]],"-",Tableau21[[#This Row],[Carrier]],"-",Tableau21[[#This Row],[POD]])</calculatedColumnFormula>
    </tableColumn>
    <tableColumn id="4" xr3:uid="{A3A9EC8C-D7FA-467A-A2EC-D7F9BC517A37}" name="Key(ID-Next)" dataDxfId="342">
      <calculatedColumnFormula>_xlfn.CONCAT(Tableau21[[#This Row],[ID]],"-","Next")</calculatedColumnFormula>
    </tableColumn>
    <tableColumn id="5" xr3:uid="{1842667D-A706-4B35-BD61-CE6338860519}" name="Key(POD -PFI- Usine)" dataDxfId="341">
      <calculatedColumnFormula>_xlfn.CONCAT(Tableau21[[#This Row],[POD]],"-",Tableau21[[#This Row],[Code PFI]],"-",Tableau21[[#This Row],[Compte Site]])</calculatedColumnFormula>
    </tableColumn>
    <tableColumn id="6" xr3:uid="{9D9C6906-0C73-407C-A0A0-D4C278E0DF54}" name="log guidelines Key" dataDxfId="340">
      <calculatedColumnFormula>_xlfn.CONCAT(IF(Tableau21[[#This Row],[Name ILN]]=Tableau21[[#This Row],[Name Shipper]],Tableau21[[#This Row],[Name ILN]],Tableau21[[#This Row],[Compte Shipper]]),Tableau21[[#This Row],[POL]],Tableau21[[#This Row],[Name Site]])</calculatedColumnFormula>
    </tableColumn>
    <tableColumn id="7" xr3:uid="{8B33CCC0-3D95-40FB-BA24-FBD9B92CB1DB}" name="Plant-ILN-shipper-POL-Carrier-POD-PFI" dataDxfId="339">
      <calculatedColumnFormula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calculatedColumnFormula>
    </tableColumn>
    <tableColumn id="49" xr3:uid="{7DD93AEB-D947-4BF7-8222-190F28D518B0}" name="Duplicates" dataDxfId="338">
      <calculatedColumnFormula>IF(COUNTIF(I:I,Tableau21[[#This Row],[Plant-ILN-shipper-POL-Carrier-POD-PFI]])=1,"Non","Oui")</calculatedColumnFormula>
    </tableColumn>
    <tableColumn id="8" xr3:uid="{AA372CFF-CE4D-480A-8A69-4031581A2CE4}" name="Country" dataDxfId="337">
      <calculatedColumnFormula>VLOOKUP(Tableau21[[#This Row],[Name Site]],Plant_AILN!A:D,4,FALSE)</calculatedColumnFormula>
    </tableColumn>
    <tableColumn id="9" xr3:uid="{EA7F7C27-ABF7-4DEC-AAEC-83CAB55D250E}" name="Name Site" dataDxfId="336"/>
    <tableColumn id="10" xr3:uid="{EA1DAEC8-6595-49A3-B869-2ECAC5E18EB1}" name="Compte Site" dataDxfId="335">
      <calculatedColumnFormula>VLOOKUP(Tableau21[[#This Row],[Name Site]],Plant_AILN!A:C,3,FALSE)</calculatedColumnFormula>
    </tableColumn>
    <tableColumn id="11" xr3:uid="{EB818FFF-9C53-4D1A-9DE1-2B181D0A76C1}" name="Day Customer Order" dataDxfId="334">
      <calculatedColumnFormula>VLOOKUP(Tableau21[[#This Row],[Compte Site]],Order!C:D,2,FALSE)</calculatedColumnFormula>
    </tableColumn>
    <tableColumn id="12" xr3:uid="{FB209F1B-643C-45D6-8B40-E843CAB18DC7}" name="Name ILN" dataDxfId="333"/>
    <tableColumn id="13" xr3:uid="{4ED274BF-C627-4C9C-B6B9-1DEAD00EA992}" name="Compte ILN" dataDxfId="332">
      <calculatedColumnFormula>VLOOKUP(Tableau21[[#This Row],[Name ILN]],Plant_AILN!F:G,2,FALSE)</calculatedColumnFormula>
    </tableColumn>
    <tableColumn id="14" xr3:uid="{F96F4C76-93CC-43C7-A805-B1E3470AF664}" name="Day ILN Order" dataDxfId="331">
      <calculatedColumnFormula>VLOOKUP(Tableau21[[#This Row],[Compte ILN]],'DATA ILN'!D:I,6,FALSE)</calculatedColumnFormula>
    </tableColumn>
    <tableColumn id="15" xr3:uid="{3C4542A8-212B-41AD-B9CF-103BFD031C81}" name="Delivery time to ILN/Shipper" dataDxfId="330">
      <calculatedColumnFormula>IFERROR(VLOOKUP(Tableau21[[#This Row],[Key(Compte ILN - shipper - POL - plant)]],'DATA ILN'!A:J,10,FALSE),VLOOKUP(Tableau21[[#This Row],[Key(Compte ILN - shipper - POL)]],'DATA ILN'!B:J,9,FALSE))</calculatedColumnFormula>
    </tableColumn>
    <tableColumn id="16" xr3:uid="{BFC8AF2B-5244-4F79-AA4D-5359E04B5383}" name="Time of Recept in ILN" dataDxfId="329">
      <calculatedColumnFormula>IFERROR(VLOOKUP(Tableau21[[#This Row],[Key(Compte ILN - shipper - POL - plant)]],'DATA ILN'!A:K,11,FALSE),VLOOKUP(Tableau21[[#This Row],[Key(Compte ILN - shipper - POL)]],'DATA ILN'!B:K,10,FALSE))</calculatedColumnFormula>
    </tableColumn>
    <tableColumn id="17" xr3:uid="{7B57F872-A2A8-4C65-B1F3-CDB8783F700F}" name="Packaging préparation &amp; loading" dataDxfId="328">
      <calculatedColumnFormula>IFERROR(VLOOKUP(Tableau21[[#This Row],[Key(Compte ILN - shipper - POL - plant)]],'DATA ILN'!A:L,12,FALSE),VLOOKUP(Tableau21[[#This Row],[Key(Compte ILN - shipper - POL)]],'DATA ILN'!B:L,11,FALSE))</calculatedColumnFormula>
    </tableColumn>
    <tableColumn id="18" xr3:uid="{1BE6541F-E3C5-42A5-BEF6-B82943986C19}" name="First Receipt Days" dataDxfId="327">
      <calculatedColumnFormula>Tableau21[[#This Row],[Day ILN Order]]+Tableau21[[#This Row],[Delivery time to ILN/Shipper]]-1</calculatedColumnFormula>
    </tableColumn>
    <tableColumn id="19" xr3:uid="{8042E84B-DB64-44DD-BB9A-2912A1DBF112}" name="Transport ILN to POL" dataDxfId="326">
      <calculatedColumnFormula>IFERROR(VLOOKUP(Tableau21[[#This Row],[Key(Compte ILN - shipper - POL - plant)]],'DATA ILN'!A:N,14,FALSE),VLOOKUP(Tableau21[[#This Row],[Key(Compte ILN - shipper - POL)]],'DATA ILN'!B:N,13,FALSE))</calculatedColumnFormula>
    </tableColumn>
    <tableColumn id="20" xr3:uid="{91B604EA-C90D-4672-991A-429D05C323AB}" name="First Day to POL" dataDxfId="325">
      <calculatedColumnFormula>IFERROR(VLOOKUP(Tableau21[[#This Row],[Key(Compte ILN - shipper - POL - plant)]],'DATA ILN'!A:P,16,FALSE),VLOOKUP(Tableau21[[#This Row],[Key(Compte ILN - shipper - POL)]],'DATA ILN'!B:P,15,FALSE))</calculatedColumnFormula>
    </tableColumn>
    <tableColumn id="21" xr3:uid="{CFCAACFE-60E3-49B1-B675-FA7157BDE652}" name="Name Shipper" dataDxfId="324"/>
    <tableColumn id="22" xr3:uid="{885E3492-A792-4078-9891-7CAA849315D9}" name="Compte Shipper" dataDxfId="323">
      <calculatedColumnFormula>IFERROR(VLOOKUP(Tableau21[[#This Row],[Name Shipper]],Plant_AILN!L:M,2,FALSE),0)</calculatedColumnFormula>
    </tableColumn>
    <tableColumn id="23" xr3:uid="{02B01042-882C-4554-A4E7-689B60C75A75}" name="ID" dataDxfId="322"/>
    <tableColumn id="24" xr3:uid="{4DF1CB2A-F101-4FE0-82E9-33DD7641C216}" name="POL" dataDxfId="321">
      <calculatedColumnFormula>IFERROR(VLOOKUP(Tableau21[[#This Row],[Key(ID-Next)]],'DATA BTO'!A:N,5,FALSE),VLOOKUP(_xlfn.CONCAT(Tableau21[[#This Row],[ID]],"-","Actif"),'DATA BTO'!A:N,5,FALSE))</calculatedColumnFormula>
    </tableColumn>
    <tableColumn id="25" xr3:uid="{0652CE59-A1A0-4562-AA32-6ECBD963052E}" name="Carrier" dataDxfId="320">
      <calculatedColumnFormula>IFERROR(VLOOKUP(Tableau21[[#This Row],[Key(ID-Next)]],'DATA BTO'!A:N,6,FALSE),VLOOKUP(_xlfn.CONCAT(Tableau21[[#This Row],[ID]],"-","Actif"),'DATA BTO'!A:N,6,FALSE))</calculatedColumnFormula>
    </tableColumn>
    <tableColumn id="26" xr3:uid="{7129E676-6911-406E-9385-0016E7C575A9}" name="Day Cut Off" dataDxfId="319">
      <calculatedColumnFormula>IFERROR(VLOOKUP(Tableau21[[#This Row],[Key(ID-Next)]],'DATA BTO'!A:N,7,FALSE),VLOOKUP(_xlfn.CONCAT(Tableau21[[#This Row],[ID]],"-","Actif"),'DATA BTO'!A:N,7,FALSE))</calculatedColumnFormula>
    </tableColumn>
    <tableColumn id="27" xr3:uid="{7DA99B27-1EB2-4C66-B21E-3BD0DA864CAF}" name="Day ETD" dataDxfId="318">
      <calculatedColumnFormula>IFERROR(VLOOKUP(Tableau21[[#This Row],[Key(ID-Next)]],'DATA BTO'!A:N,8,FALSE),VLOOKUP(_xlfn.CONCAT(Tableau21[[#This Row],[ID]],"-","Actif"),'DATA BTO'!A:N,8,FALSE))</calculatedColumnFormula>
    </tableColumn>
    <tableColumn id="28" xr3:uid="{20BDCC19-2564-48AE-8258-B2FE827C97F5}" name="Transit time" dataDxfId="317">
      <calculatedColumnFormula>IFERROR(VLOOKUP(Tableau21[[#This Row],[Key(ID-Next)]],'DATA BTO'!A:N,9,FALSE),VLOOKUP(_xlfn.CONCAT(Tableau21[[#This Row],[ID]],"-","Actif"),'DATA BTO'!A:N,9,FALSE))</calculatedColumnFormula>
    </tableColumn>
    <tableColumn id="29" xr3:uid="{6B61912B-3FCE-4F41-8EE7-B6844CE93775}" name="POD" dataDxfId="316">
      <calculatedColumnFormula>IFERROR(VLOOKUP(Tableau21[[#This Row],[Key(ID-Next)]],'DATA BTO'!A:N,10,FALSE),VLOOKUP(_xlfn.CONCAT(Tableau21[[#This Row],[ID]],"-","Actif"),'DATA BTO'!A:N,10,FALSE))</calculatedColumnFormula>
    </tableColumn>
    <tableColumn id="30" xr3:uid="{02CCED92-E3C0-4D97-994D-235A73476572}" name="Time for security" dataDxfId="315">
      <calculatedColumnFormula>IFERROR(VLOOKUP(Tableau21[[#This Row],[Key(ID-Next)]],'DATA BTO'!A:N,11,FALSE),VLOOKUP(_xlfn.CONCAT(Tableau21[[#This Row],[ID]],"-","Actif"),'DATA BTO'!A:N,11,FALSE))</calculatedColumnFormula>
    </tableColumn>
    <tableColumn id="31" xr3:uid="{84FCF9B0-1087-47C4-8AE3-DA193B411C79}" name="Time for security2 buffer" dataDxfId="314">
      <calculatedColumnFormula>IFERROR(VLOOKUP(Tableau21[[#This Row],[Key(ID-Next)]],'DATA BTO'!A:N,12,FALSE),VLOOKUP(_xlfn.CONCAT(Tableau21[[#This Row],[ID]],"-","Actif"),'DATA BTO'!A:N,12,FALSE))</calculatedColumnFormula>
    </tableColumn>
    <tableColumn id="32" xr3:uid="{C2EA01A6-5133-4ED0-A848-80BDF1A02B9B}" name="Pilot" dataDxfId="313">
      <calculatedColumnFormula>IFERROR(VLOOKUP(Tableau21[[#This Row],[Key(ID-Next)]],'DATA BTO'!A:N,14,FALSE),VLOOKUP(_xlfn.CONCAT(Tableau21[[#This Row],[ID]],"-","Actif"),'DATA BTO'!A:N,14,FALSE))</calculatedColumnFormula>
    </tableColumn>
    <tableColumn id="33" xr3:uid="{B1A4E947-FAA5-4369-8A5E-EAB81D6B3A09}" name="Cust." dataDxfId="312">
      <calculatedColumnFormula>VLOOKUP(Tableau21[[#This Row],[Key(POD -PFI- Usine)]],'DATA Consignee'!A:F,6,FALSE)</calculatedColumnFormula>
    </tableColumn>
    <tableColumn id="34" xr3:uid="{B51A1770-0292-4DBF-85B4-549CE06DCF93}" name="Name PFI/CDD" dataDxfId="311"/>
    <tableColumn id="35" xr3:uid="{A956AE88-63CB-4298-9CC0-F3B7808F1E51}" name="Code PFI" dataDxfId="310">
      <calculatedColumnFormula>IF(Tableau21[[#This Row],[Name PFI/CDD]]="","-",VLOOKUP(Tableau21[[#This Row],[Name PFI/CDD]],Plant_AILN!I:J,2,FALSE))</calculatedColumnFormula>
    </tableColumn>
    <tableColumn id="38" xr3:uid="{6806F460-FC59-4724-8AED-A43D6C873554}" name="Leadtime train" dataDxfId="309">
      <calculatedColumnFormula>IF(COUNTIF(buffer_train[AILN],Tableau21[[#This Row],[Name PFI/CDD]])&gt;0,Tableau21[[#This Row],[First Receipt Days]]+Tableau21[[#This Row],[Cust.]]+Tableau21[[#This Row],[Parts Vanning]]+Tableau21[[#This Row],[Transit Time2]],"-")</calculatedColumnFormula>
    </tableColumn>
    <tableColumn id="37" xr3:uid="{65C50CAE-8259-48F5-BEF0-8721C566FF5D}" name="Buffer train" dataDxfId="308">
      <calculatedColumnFormula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calculatedColumnFormula>
    </tableColumn>
    <tableColumn id="36" xr3:uid="{AEA8A04C-B559-45C9-8C20-7E201E08C8A0}" name="Trpt POD &gt; PFI" dataDxfId="307">
      <calculatedColumnFormula>VLOOKUP(Tableau21[[#This Row],[Key(POD -PFI- Usine)]],'DATA Consignee'!A:J,10,FALSE)</calculatedColumnFormula>
    </tableColumn>
    <tableColumn id="39" xr3:uid="{43DE0E99-CB4D-400C-9BD2-D5331822E27B}" name="Trpt POD/PFI vers Usine" dataDxfId="306">
      <calculatedColumnFormula>VLOOKUP(Tableau21[[#This Row],[Key(POD -PFI- Usine)]],'DATA Consignee'!A:N,14,FALSE)</calculatedColumnFormula>
    </tableColumn>
    <tableColumn id="41" xr3:uid="{9D632BE8-0301-47E3-A5F4-382D5619D676}" name="Round." dataDxfId="305">
      <calculatedColumnFormula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calculatedColumnFormula>
    </tableColumn>
    <tableColumn id="42" xr3:uid="{20829A10-54B1-4A08-8250-E91DB6310D55}" name="Parts Vanning" dataDxfId="304">
      <calculatedColumnFormula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calculatedColumnFormula>
    </tableColumn>
    <tableColumn id="43" xr3:uid="{5BF9521B-18D4-472E-9F3F-65E9E0255CFD}" name="Transit Time2" dataDxfId="303">
      <calculatedColumnFormula>Tableau21[[#This Row],[Transit time]]+Tableau21[[#This Row],[Time for security]]+Tableau21[[#This Row],[Time for security2 buffer]]</calculatedColumnFormula>
    </tableColumn>
    <tableColumn id="44" xr3:uid="{27AEB271-82BB-4E02-9070-1519C31F1808}" name="Leadtime SI2C" dataDxfId="302">
      <calculatedColumnFormula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calculatedColumnFormula>
    </tableColumn>
    <tableColumn id="45" xr3:uid="{61F3A16E-E9D5-41A8-B08F-1D35FCBE604E}" name="Cust. Leadtime" dataDxfId="301">
      <calculatedColumnFormula>Tableau21[[#This Row],[Leadtime SI2C]]+Tableau21[[#This Row],[First Receipt Days]]-Tableau21[[#This Row],[Day Customer Order]]+1</calculatedColumnFormula>
    </tableColumn>
    <tableColumn id="50" xr3:uid="{C0B35AE4-CCE1-4176-9C9F-22660E662D0F}" name="SIT" dataDxfId="300">
      <calculatedColumnFormula>IF(Tableau21[[#This Row],[Name ILN]]&lt;&gt;"SFK Freight Forwarder",Tableau21[[#This Row],[Cust. Leadtime]],Tableau21[[#This Row],[Leadtime SI2C]])</calculatedColumnFormula>
    </tableColumn>
    <tableColumn id="46" xr3:uid="{E234A3FE-0F3B-4B20-A14B-10CE7362F0CC}" name="Comments " dataDxfId="299"/>
    <tableColumn id="48" xr3:uid="{32B3DE9F-2E29-412B-A267-CE178788EA46}" name="Start date" dataDxfId="298">
      <calculatedColumnFormula>IFERROR(VLOOKUP(Tableau21[[#This Row],[Key(ID-Next)]],'DATA BTO'!A:N,3,FALSE),VLOOKUP(Tableau21[[#This Row],[ID]],'DATA BTO'!B:N,2,FALSE))</calculatedColumnFormula>
    </tableColumn>
    <tableColumn id="51" xr3:uid="{227DA9CA-E671-41FA-AD71-A083413C1305}" name="Error Order" dataDxfId="297">
      <calculatedColumnFormula>IF(ISNUMBER(Tableau21[[#This Row],[Day Customer Order]]),"-","Please Check 'Name' information in 'Order' Sheet to make sure they have information")</calculatedColumnFormula>
    </tableColumn>
    <tableColumn id="52" xr3:uid="{E68D80FC-5C32-4B39-B221-95CE9D4AD0CF}" name="Error ILN" dataDxfId="296">
      <calculatedColumnFormula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calculatedColumnFormula>
    </tableColumn>
    <tableColumn id="53" xr3:uid="{1D0DF997-112C-4879-A484-57EB9FD64EB4}" name="Error BTO" dataDxfId="295">
      <calculatedColumnFormula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calculatedColumnFormula>
    </tableColumn>
    <tableColumn id="54" xr3:uid="{6C0E0506-23A9-4C20-A0EB-9BD695F7C43F}" name="Error Consignee" dataDxfId="294">
      <calculatedColumnFormula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calculatedColumnFormula>
    </tableColumn>
    <tableColumn id="55" xr3:uid="{6F33E29D-D951-4355-899D-4FD204CFD002}" name="Error Transport" dataDxfId="293">
      <calculatedColumnFormula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8787A2F-A426-42C5-B380-CBF383DF3D1C}" name="Tableau118" displayName="Tableau118" ref="B4:BE70" totalsRowShown="0" headerRowDxfId="290" dataDxfId="289" tableBorderDxfId="288">
  <autoFilter ref="B4:BE70" xr:uid="{38787A2F-A426-42C5-B380-CBF383DF3D1C}"/>
  <tableColumns count="56">
    <tableColumn id="47" xr3:uid="{87C0F0C7-4017-498C-B4E9-8940145A93DD}" name="Key(ILN - shipper - plant)" dataDxfId="287">
      <calculatedColumnFormula>_xlfn.CONCAT(Tableau118[[#This Row],[Name ILN]],"-",Tableau118[[#This Row],[Name Shipper]],"-",Tableau118[[#This Row],[Name Site]])</calculatedColumnFormula>
    </tableColumn>
    <tableColumn id="1" xr3:uid="{E5602EE8-C592-479C-BA35-148714099E9F}" name="Key(Compte ILN - shipper - POL - plant)" dataDxfId="286">
      <calculatedColumnFormula>_xlfn.CONCAT(Tableau118[[#This Row],[Compte ILN]],"-",Tableau118[[#This Row],[Compte Shipper]],"-",Tableau118[[#This Row],[POL]],"-",Tableau118[[#This Row],[Compte Site]])</calculatedColumnFormula>
    </tableColumn>
    <tableColumn id="2" xr3:uid="{F42CA66B-CE6A-47BC-A37A-A13699E366E0}" name="Key(Compte ILN - shipper - POL)" dataDxfId="285">
      <calculatedColumnFormula>_xlfn.CONCAT(Tableau118[[#This Row],[Compte ILN]],"-",Tableau118[[#This Row],[Compte Shipper]],"-",Tableau118[[#This Row],[POL]])</calculatedColumnFormula>
    </tableColumn>
    <tableColumn id="3" xr3:uid="{043E3B15-69AA-4D4F-A51D-D73CB2F5BCF7}" name="Key(POL - carrier - POD)" dataDxfId="284">
      <calculatedColumnFormula>_xlfn.CONCAT(Tableau118[[#This Row],[POL]],"-",Tableau118[[#This Row],[Carrier]],"-",Tableau118[[#This Row],[POD]])</calculatedColumnFormula>
    </tableColumn>
    <tableColumn id="4" xr3:uid="{F18BB5D8-B1FC-4CEF-9D70-F287113BBBCE}" name="Key(ID-Actif)" dataDxfId="283">
      <calculatedColumnFormula>_xlfn.CONCAT(Tableau118[[#This Row],[ID]],"-","Next")</calculatedColumnFormula>
    </tableColumn>
    <tableColumn id="5" xr3:uid="{704881E3-931F-480A-A2B2-087B087F6DB6}" name="Key(POD -PFI- Usine)" dataDxfId="282">
      <calculatedColumnFormula>_xlfn.CONCAT(Tableau118[[#This Row],[POD]],"-",Tableau118[[#This Row],[Code PFI]],"-",Tableau118[[#This Row],[Compte Site]])</calculatedColumnFormula>
    </tableColumn>
    <tableColumn id="6" xr3:uid="{BB170352-77D2-464F-AF9A-CEE67BDE4EFE}" name="log guidelines Key" dataDxfId="281">
      <calculatedColumnFormula>_xlfn.CONCAT(IF(Tableau118[[#This Row],[Name ILN]]=Tableau118[[#This Row],[Name Shipper]],Tableau118[[#This Row],[Name ILN]],Tableau118[[#This Row],[Compte Shipper]]),Tableau118[[#This Row],[POL]],Tableau118[[#This Row],[Name Site]])</calculatedColumnFormula>
    </tableColumn>
    <tableColumn id="7" xr3:uid="{EA45C285-B73A-467C-82B1-B29FE926D355}" name="Plant-ILN-shipper-POL-Carrier-POD-PFI" dataDxfId="280">
      <calculatedColumnFormula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calculatedColumnFormula>
    </tableColumn>
    <tableColumn id="49" xr3:uid="{D5F253B1-2741-4717-87F1-8F595D92805E}" name="Duplicates" dataDxfId="279">
      <calculatedColumnFormula>IF(COUNTIF(I:I,Tableau118[[#This Row],[Plant-ILN-shipper-POL-Carrier-POD-PFI]])=1,"Non","Oui")</calculatedColumnFormula>
    </tableColumn>
    <tableColumn id="8" xr3:uid="{AE4408E7-CE14-4F1B-94A4-9594D77A7240}" name="Country" dataDxfId="278">
      <calculatedColumnFormula>VLOOKUP(Tableau118[[#This Row],[Name Site]],Plant_AILN!A:D,4,FALSE)</calculatedColumnFormula>
    </tableColumn>
    <tableColumn id="9" xr3:uid="{C205FD8B-9E20-4F45-B4B3-C4FD07DBAAC7}" name="Name Site" dataDxfId="277"/>
    <tableColumn id="10" xr3:uid="{04A85D62-3A20-4133-99AA-D5D12D0E8765}" name="Compte Site" dataDxfId="276">
      <calculatedColumnFormula>VLOOKUP(Tableau118[[#This Row],[Name Site]],Plant_AILN!A:C,3,FALSE)</calculatedColumnFormula>
    </tableColumn>
    <tableColumn id="11" xr3:uid="{C9CB9F1F-451F-4489-88AF-2D45DED3805B}" name="Day Customer Order" dataDxfId="275">
      <calculatedColumnFormula>IF(Tableau118[[#This Row],[Name PFI/CDD]]="PFI VLL",2,VLOOKUP(Tableau118[[#This Row],[Compte Site]],Order!C:D,2,FALSE))</calculatedColumnFormula>
    </tableColumn>
    <tableColumn id="12" xr3:uid="{269A49EA-B30F-4F2A-A523-BCC3A659592C}" name="Name ILN" dataDxfId="274"/>
    <tableColumn id="13" xr3:uid="{F3D5079D-2DB3-460C-9C0B-2420F885C33D}" name="Compte ILN" dataDxfId="273">
      <calculatedColumnFormula>VLOOKUP(Tableau118[[#This Row],[Name ILN]],Plant_AILN!F:G,2,FALSE)</calculatedColumnFormula>
    </tableColumn>
    <tableColumn id="14" xr3:uid="{54FC1BC9-BA37-4834-A183-B16BFF36CB46}" name="Day ILN Order" dataDxfId="272">
      <calculatedColumnFormula>VLOOKUP(Tableau118[[#This Row],[Compte ILN]],'DATA ILN'!D:I,6,FALSE)</calculatedColumnFormula>
    </tableColumn>
    <tableColumn id="15" xr3:uid="{6455918B-83E5-4449-8211-21DB9C431456}" name="Delivery time to ILN/Shipper" dataDxfId="271">
      <calculatedColumnFormula>IFERROR(VLOOKUP(Tableau118[[#This Row],[Key(Compte ILN - shipper - POL - plant)]],'DATA ILN'!A:J,10,FALSE),VLOOKUP(Tableau118[[#This Row],[Key(Compte ILN - shipper - POL)]],'DATA ILN'!B:J,9,FALSE))</calculatedColumnFormula>
    </tableColumn>
    <tableColumn id="16" xr3:uid="{E82A3EBC-8C82-4CEF-9D9A-4363D4138291}" name="Time of Recept in ILN" dataDxfId="270">
      <calculatedColumnFormula>IFERROR(VLOOKUP(Tableau118[[#This Row],[Key(Compte ILN - shipper - POL - plant)]],'DATA ILN'!A:K,11,FALSE),VLOOKUP(Tableau118[[#This Row],[Key(Compte ILN - shipper - POL)]],'DATA ILN'!B:K,10,FALSE))</calculatedColumnFormula>
    </tableColumn>
    <tableColumn id="17" xr3:uid="{E4E99F22-A371-46BC-AD9D-BF487BE8C971}" name="Packaging préparation &amp; loading" dataDxfId="269">
      <calculatedColumnFormula>IFERROR(VLOOKUP(Tableau118[[#This Row],[Key(Compte ILN - shipper - POL - plant)]],'DATA ILN'!A:L,12,FALSE),VLOOKUP(Tableau118[[#This Row],[Key(Compte ILN - shipper - POL)]],'DATA ILN'!B:L,11,FALSE))</calculatedColumnFormula>
    </tableColumn>
    <tableColumn id="18" xr3:uid="{B67CBD76-53DE-4602-B9FB-B215D7773BC6}" name="First Receipt Days" dataDxfId="268">
      <calculatedColumnFormula>Tableau118[[#This Row],[Day ILN Order]]+Tableau118[[#This Row],[Delivery time to ILN/Shipper]]-1</calculatedColumnFormula>
    </tableColumn>
    <tableColumn id="19" xr3:uid="{37AA977F-625B-4D87-88E3-7D8F76C2223D}" name="Transport ILN to POL" dataDxfId="267">
      <calculatedColumnFormula>IFERROR(VLOOKUP(Tableau118[[#This Row],[Key(Compte ILN - shipper - POL - plant)]],'DATA ILN'!A:N,14,FALSE),VLOOKUP(Tableau118[[#This Row],[Key(Compte ILN - shipper - POL)]],'DATA ILN'!B:N,13,FALSE))</calculatedColumnFormula>
    </tableColumn>
    <tableColumn id="20" xr3:uid="{FE4750DC-E4D7-4AC1-8DE7-4F819B376BEA}" name="First Day to POL" dataDxfId="266">
      <calculatedColumnFormula>IFERROR(VLOOKUP(Tableau118[[#This Row],[Key(Compte ILN - shipper - POL - plant)]],'DATA ILN'!A:P,16,FALSE),VLOOKUP(Tableau118[[#This Row],[Key(Compte ILN - shipper - POL)]],'DATA ILN'!B:P,15,FALSE))</calculatedColumnFormula>
    </tableColumn>
    <tableColumn id="21" xr3:uid="{6B25AC02-9942-41EA-95BB-7A994972ED24}" name="Name Shipper" dataDxfId="265"/>
    <tableColumn id="22" xr3:uid="{074C9086-CFCF-4AEA-A66A-11D51B01CEDD}" name="Compte Shipper" dataDxfId="264">
      <calculatedColumnFormula>IFERROR(VLOOKUP(Tableau118[[#This Row],[Name Shipper]],Plant_AILN!L:M,2,FALSE),0)</calculatedColumnFormula>
    </tableColumn>
    <tableColumn id="23" xr3:uid="{11BD70EE-4439-4C47-8DCA-3A4D20FA4331}" name="ID" dataDxfId="263"/>
    <tableColumn id="24" xr3:uid="{0F95FC2F-0655-4000-B266-9F834D8189F8}" name="POL" dataDxfId="262">
      <calculatedColumnFormula>VLOOKUP(Tableau118[[#This Row],[Key(ID-Actif)]],'DATA BTO'!A:N,5,FALSE)</calculatedColumnFormula>
    </tableColumn>
    <tableColumn id="25" xr3:uid="{9BA09431-236C-41DE-A486-10B722A12CEB}" name="Carrier" dataDxfId="261">
      <calculatedColumnFormula>VLOOKUP(Tableau118[[#This Row],[Key(ID-Actif)]],'DATA BTO'!A:N,6,FALSE)</calculatedColumnFormula>
    </tableColumn>
    <tableColumn id="26" xr3:uid="{92048306-094A-4C64-B882-47C4A5572E58}" name="Day Cut Off" dataDxfId="260">
      <calculatedColumnFormula>VLOOKUP(Tableau118[[#This Row],[Key(ID-Actif)]],'DATA BTO'!A:N,7,FALSE)</calculatedColumnFormula>
    </tableColumn>
    <tableColumn id="27" xr3:uid="{3977BDEC-BDF2-4BC8-80C9-D767C618E900}" name="Day ETD" dataDxfId="259">
      <calculatedColumnFormula>VLOOKUP(Tableau118[[#This Row],[Key(ID-Actif)]],'DATA BTO'!A:N,8,FALSE)</calculatedColumnFormula>
    </tableColumn>
    <tableColumn id="58" xr3:uid="{8AB81F9A-F000-4D43-BA2C-820C8CD07FCB}" name="Wished ETD ILN" dataDxfId="258">
      <calculatedColumnFormula>IF(Tableau118[[#This Row],[First Day to POL]]&lt;=Tableau118[[#This Row],[Day Cut Off]],Tableau118[[#This Row],[Day ETD]],Tableau118[[#This Row],[Day ETD]]+7)</calculatedColumnFormula>
    </tableColumn>
    <tableColumn id="28" xr3:uid="{85752683-92BC-4460-831C-C5F7AFB4F066}" name="Transit time" dataDxfId="257">
      <calculatedColumnFormula>VLOOKUP(Tableau118[[#This Row],[Key(ID-Actif)]],'DATA BTO'!A:N,9,FALSE)</calculatedColumnFormula>
    </tableColumn>
    <tableColumn id="29" xr3:uid="{CCC9DDD9-C1B8-463F-8605-E88B3CDA4C9F}" name="POD" dataDxfId="256">
      <calculatedColumnFormula>VLOOKUP(Tableau118[[#This Row],[Key(ID-Actif)]],'DATA BTO'!A:N,10,FALSE)</calculatedColumnFormula>
    </tableColumn>
    <tableColumn id="30" xr3:uid="{6BD6F517-327B-4627-B3A7-CCF2A5E50E94}" name="Time for security" dataDxfId="255">
      <calculatedColumnFormula>VLOOKUP(Tableau118[[#This Row],[Key(ID-Actif)]],'DATA BTO'!A:N,11,FALSE)</calculatedColumnFormula>
    </tableColumn>
    <tableColumn id="31" xr3:uid="{B55F346A-901F-4C8D-B0DD-7342BBE106A6}" name="Time for security2 buffer" dataDxfId="254">
      <calculatedColumnFormula>VLOOKUP(Tableau118[[#This Row],[Key(ID-Actif)]],'DATA BTO'!A:N,12,FALSE)</calculatedColumnFormula>
    </tableColumn>
    <tableColumn id="32" xr3:uid="{7075E5B0-54F0-44F4-9554-A53A5AEE8E19}" name="Pilot" dataDxfId="253">
      <calculatedColumnFormula>VLOOKUP(Tableau118[[#This Row],[Key(ID-Actif)]],'DATA BTO'!A:N,14,FALSE)</calculatedColumnFormula>
    </tableColumn>
    <tableColumn id="33" xr3:uid="{41ED6E89-E395-4B10-8E8A-884639CB6C40}" name="Cust." dataDxfId="252">
      <calculatedColumnFormula>VLOOKUP(Tableau118[[#This Row],[Key(POD -PFI- Usine)]],'DATA Consignee'!A:F,6,FALSE)</calculatedColumnFormula>
    </tableColumn>
    <tableColumn id="34" xr3:uid="{675B8101-A96D-4C90-98A8-BF1249C664BD}" name="Name PFI/CDD" dataDxfId="251"/>
    <tableColumn id="35" xr3:uid="{B7A4E0D9-450D-4F0F-B644-B6FBC0310A9F}" name="Code PFI" dataDxfId="250">
      <calculatedColumnFormula>IF(Tableau118[[#This Row],[Name PFI/CDD]]="","-",VLOOKUP(Tableau118[[#This Row],[Name PFI/CDD]],Plant_AILN!I:J,2,FALSE))</calculatedColumnFormula>
    </tableColumn>
    <tableColumn id="38" xr3:uid="{BD8905B3-B5AA-4F07-A478-589D21D5F111}" name="Leadtime train" dataDxfId="249">
      <calculatedColumnFormula>IF(COUNTIF(buffer_train[AILN],Tableau118[[#This Row],[Name PFI/CDD]])&gt;0,Tableau118[[#This Row],[First Receipt Days]]+Tableau118[[#This Row],[Cust.]]+Tableau118[[#This Row],[Parts Vanning]]+Tableau118[[#This Row],[Transit Time2]],"-")</calculatedColumnFormula>
    </tableColumn>
    <tableColumn id="37" xr3:uid="{E73105D7-62E7-4D18-B599-7956A4A2ABDA}" name="Buffer train" dataDxfId="248">
      <calculatedColumnFormula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calculatedColumnFormula>
    </tableColumn>
    <tableColumn id="36" xr3:uid="{38326467-19B6-4598-9CB8-4DFD878F99C8}" name="Trpt POD &gt; PFI" dataDxfId="247">
      <calculatedColumnFormula>VLOOKUP(Tableau118[[#This Row],[Key(POD -PFI- Usine)]],'DATA Consignee'!A:J,10,FALSE)</calculatedColumnFormula>
    </tableColumn>
    <tableColumn id="39" xr3:uid="{0C7C0397-C66A-4906-99A8-1087A647EEA1}" name="Trpt POD/PFI vers Usine" dataDxfId="246">
      <calculatedColumnFormula>VLOOKUP(Tableau118[[#This Row],[Key(POD -PFI- Usine)]],'DATA Consignee'!A:N,14,FALSE)</calculatedColumnFormula>
    </tableColumn>
    <tableColumn id="41" xr3:uid="{043E5C5C-4BDC-497E-8520-B90426D49B32}" name="Round." dataDxfId="245">
      <calculatedColumnFormula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calculatedColumnFormula>
    </tableColumn>
    <tableColumn id="42" xr3:uid="{814291B9-E029-4344-965F-74673668BC19}" name="Parts Vanning" dataDxfId="244">
      <calculatedColumnFormula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calculatedColumnFormula>
    </tableColumn>
    <tableColumn id="43" xr3:uid="{72D8B93A-2C31-4014-9EE5-5FB2369DD3FD}" name="Transit Time2" dataDxfId="243">
      <calculatedColumnFormula>Tableau118[[#This Row],[Transit time]]+Tableau118[[#This Row],[Time for security]]+Tableau118[[#This Row],[Time for security2 buffer]]</calculatedColumnFormula>
    </tableColumn>
    <tableColumn id="44" xr3:uid="{1D34ADC2-1935-4F56-B67B-B7D0BFFFE227}" name="Leadtime SI2C" dataDxfId="242">
      <calculatedColumnFormula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calculatedColumnFormula>
    </tableColumn>
    <tableColumn id="45" xr3:uid="{793B61E4-85E8-4FDC-8696-E2CB989352F1}" name="Cust. Leadtime" dataDxfId="241">
      <calculatedColumnFormula>Tableau118[[#This Row],[Leadtime SI2C]]+Tableau118[[#This Row],[First Receipt Days]]-Tableau118[[#This Row],[Day Customer Order]]+1</calculatedColumnFormula>
    </tableColumn>
    <tableColumn id="50" xr3:uid="{CBCDA10B-3410-4BCB-8910-55DCFBCD8A06}" name="SIT" dataDxfId="240">
      <calculatedColumnFormula>IF(Tableau118[[#This Row],[Name ILN]]&lt;&gt;"SFK Freight Forwarder",Tableau118[[#This Row],[Cust. Leadtime]],Tableau118[[#This Row],[Leadtime SI2C]])</calculatedColumnFormula>
    </tableColumn>
    <tableColumn id="46" xr3:uid="{64EF692E-2303-4287-A6D4-FEBF8386A6D7}" name="X-flows" dataDxfId="239">
      <calculatedColumnFormula>VLOOKUP(Tableau118[[#This Row],[ID]],'DATA BTO'!B:P,15,FALSE)</calculatedColumnFormula>
    </tableColumn>
    <tableColumn id="48" xr3:uid="{0E0D7BDB-678E-4193-ADC2-11E0C3A9098F}" name="Expiration Date" dataDxfId="238">
      <calculatedColumnFormula>IFERROR(VLOOKUP(Tableau118[[#This Row],[Key(ID-Actif)]],'DATA BTO'!A:N,4,FALSE),VLOOKUP(Tableau118[[#This Row],[ID]],'DATA BTO'!B:N,3,FALSE))</calculatedColumnFormula>
    </tableColumn>
    <tableColumn id="51" xr3:uid="{213BC6D8-9282-4A65-B3F2-DC41136CC429}" name="Error Order" dataDxfId="237">
      <calculatedColumnFormula>IF(ISNUMBER(Tableau118[[#This Row],[Day Customer Order]]),"-","Please Check 'Name' information in 'Order' Sheet to make sure they have information")</calculatedColumnFormula>
    </tableColumn>
    <tableColumn id="52" xr3:uid="{FED0C6FF-6FA6-4F8F-BF89-DE269E2A3D2D}" name="Error ILN" dataDxfId="236">
      <calculatedColumnFormula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calculatedColumnFormula>
    </tableColumn>
    <tableColumn id="53" xr3:uid="{668327E7-CBE7-43EE-B045-9119B6595BD8}" name="Error BTO" dataDxfId="235">
      <calculatedColumnFormula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calculatedColumnFormula>
    </tableColumn>
    <tableColumn id="54" xr3:uid="{2BA5F265-2B3C-4C33-A4B0-7CC52730999A}" name="Error Consignee" dataDxfId="234">
      <calculatedColumnFormula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calculatedColumnFormula>
    </tableColumn>
    <tableColumn id="55" xr3:uid="{028EB3BF-9BA7-4428-AB34-2930A1A09FF5}" name="Error Transport" dataDxfId="233">
      <calculatedColumnFormula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calculatedColumnFormula>
    </tableColumn>
    <tableColumn id="40" xr3:uid="{116A5B46-E6B7-47E5-8B47-C7CE1851B325}" name="Comments" dataDxfId="2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89E45-8DB6-4714-9CCD-A4A4E5A6A65B}" name="Tableau6" displayName="Tableau6" ref="A1:D56" totalsRowShown="0" headerRowDxfId="231" dataDxfId="229" headerRowBorderDxfId="230" tableBorderDxfId="228">
  <autoFilter ref="A1:D56" xr:uid="{BDF89E45-8DB6-4714-9CCD-A4A4E5A6A65B}">
    <filterColumn colId="1">
      <filters>
        <filter val="MOTORES"/>
      </filters>
    </filterColumn>
  </autoFilter>
  <tableColumns count="4">
    <tableColumn id="1" xr3:uid="{E4C97FEC-3553-4F09-A367-9A96F5C55D75}" name="Country" dataDxfId="227"/>
    <tableColumn id="2" xr3:uid="{2E3AAA3A-5ABA-48AB-8C8A-1CDEB4BCA636}" name="Name" dataDxfId="226"/>
    <tableColumn id="3" xr3:uid="{5C980549-668E-4A1B-AEC8-F60420D682CD}" name="Compte Site" dataDxfId="225">
      <calculatedColumnFormula>VLOOKUP(Tableau6[[#This Row],[Name]],Tableau10[],3,FALSE)</calculatedColumnFormula>
    </tableColumn>
    <tableColumn id="4" xr3:uid="{5C9DE615-B1CC-4D03-BD7D-ECEAF6F73F02}" name="Day Customer Order" dataDxfId="2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391991-019E-4309-AF58-974DECCC8093}" name="Tableau10" displayName="Tableau10" ref="A1:D61" totalsRowShown="0" headerRowDxfId="223" headerRowBorderDxfId="222" tableBorderDxfId="221">
  <autoFilter ref="A1:D61" xr:uid="{24391991-019E-4309-AF58-974DECCC8093}"/>
  <tableColumns count="4">
    <tableColumn id="1" xr3:uid="{B1649250-4247-455C-96D6-CB6857D2495A}" name="Plant" dataDxfId="220"/>
    <tableColumn id="2" xr3:uid="{8F59915A-A1F4-45DD-821A-F549356E3245}" name="Name Plant in OFO" dataDxfId="219"/>
    <tableColumn id="3" xr3:uid="{583952CE-FDD1-4BC6-B7D7-3B151D92716E}" name="Code" dataDxfId="218"/>
    <tableColumn id="4" xr3:uid="{E36DBDBE-9D2B-4906-9C03-A6FCFF550B61}" name="Country" dataDxfId="2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2E05095-1E3E-4325-A813-A8E932CEA594}" name="Tableau11" displayName="Tableau11" ref="F1:G22" totalsRowShown="0" headerRowDxfId="216" headerRowBorderDxfId="215" tableBorderDxfId="214">
  <autoFilter ref="F1:G22" xr:uid="{D2E05095-1E3E-4325-A813-A8E932CEA594}"/>
  <sortState xmlns:xlrd2="http://schemas.microsoft.com/office/spreadsheetml/2017/richdata2" ref="F2:G19">
    <sortCondition ref="F1:F19"/>
  </sortState>
  <tableColumns count="2">
    <tableColumn id="1" xr3:uid="{AA90463E-3A10-41C4-96CC-FEF94122F1C3}" name="AILN" dataDxfId="213"/>
    <tableColumn id="2" xr3:uid="{1F92A60E-60B6-4D47-8270-82AE6C355852}" name="Code" dataDxfId="2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627EE7-AC0B-4E1E-8403-B97C8C984E2D}" name="Tableau12" displayName="Tableau12" ref="I1:J10" totalsRowShown="0" headerRowDxfId="211" headerRowBorderDxfId="210" tableBorderDxfId="209" totalsRowBorderDxfId="208">
  <autoFilter ref="I1:J10" xr:uid="{EC627EE7-AC0B-4E1E-8403-B97C8C984E2D}"/>
  <sortState xmlns:xlrd2="http://schemas.microsoft.com/office/spreadsheetml/2017/richdata2" ref="I2:J8">
    <sortCondition ref="I1:I8"/>
  </sortState>
  <tableColumns count="2">
    <tableColumn id="1" xr3:uid="{731E392F-D0DA-41A7-A133-C5F1FDA49B4E}" name="Liste PFI/CDD" dataDxfId="207"/>
    <tableColumn id="2" xr3:uid="{61D7248F-35EB-4F1E-AAC1-695AD483F953}" name="Code" dataDxfId="20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8773C9-060B-4DFF-8213-1167DEF84553}" name="Tableau14" displayName="Tableau14" ref="N1:Q48" totalsRowShown="0" headerRowDxfId="205" headerRowBorderDxfId="204" tableBorderDxfId="203" totalsRowBorderDxfId="202">
  <autoFilter ref="N1:Q48" xr:uid="{5B8773C9-060B-4DFF-8213-1167DEF84553}"/>
  <tableColumns count="4">
    <tableColumn id="1" xr3:uid="{E5C71FE9-DC79-4A7E-BED7-D4C509DB4285}" name="AILN" dataDxfId="201"/>
    <tableColumn id="2" xr3:uid="{A23E4ACD-28ED-46FD-8BFC-CACA597EDCA4}" name="compte SI2C" dataDxfId="200"/>
    <tableColumn id="3" xr3:uid="{387A3C1F-C8EE-42DA-8185-709B85A2ABB0}" name="Libellé" dataDxfId="199"/>
    <tableColumn id="4" xr3:uid="{663A09C9-7840-4EB9-81DC-022879A4DFB9}" name="Country" dataDxfId="19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FA76A86-12DD-46C7-8BE6-FD700D919942}" name="Tableau15" displayName="Tableau15" ref="S1:S12" totalsRowShown="0" headerRowDxfId="197" headerRowBorderDxfId="196" tableBorderDxfId="195" totalsRowBorderDxfId="194">
  <autoFilter ref="S1:S12" xr:uid="{6FA76A86-12DD-46C7-8BE6-FD700D919942}"/>
  <tableColumns count="1">
    <tableColumn id="1" xr3:uid="{675DBBC7-849D-427E-80F1-98DAE2A2ED3E}" name="Carrier" dataDxfId="19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A245B5-1982-4B57-9DB2-8B1FE66FD9E6}" name="Tableau16" displayName="Tableau16" ref="U1:U6" totalsRowShown="0" headerRowDxfId="192" headerRowBorderDxfId="191" tableBorderDxfId="190" totalsRowBorderDxfId="189">
  <autoFilter ref="U1:U6" xr:uid="{12A245B5-1982-4B57-9DB2-8B1FE66FD9E6}"/>
  <tableColumns count="1">
    <tableColumn id="1" xr3:uid="{B868839C-67DA-4857-9167-2A876C011CEA}" name="Pilot" dataDxfId="1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49C07E-3373-4585-AD98-83CCFCB5EAC0}" name="Tableau13" displayName="Tableau13" ref="L1:M62" totalsRowShown="0" headerRowDxfId="187" headerRowBorderDxfId="186" tableBorderDxfId="185" totalsRowBorderDxfId="184">
  <autoFilter ref="L1:M62" xr:uid="{6149C07E-3373-4585-AD98-83CCFCB5EAC0}"/>
  <tableColumns count="2">
    <tableColumn id="1" xr3:uid="{0CA31BAB-3F84-46F8-8E18-F67C968AA47B}" name="Shipper" dataDxfId="183"/>
    <tableColumn id="2" xr3:uid="{C99BF976-C9DE-4E24-AC1C-568D62CBD2C6}" name="Code" dataDxfId="18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40567-AB60-4860-A7F7-672579B5BDA3}" name="Tableau8" displayName="Tableau8" ref="A1:T1140" totalsRowShown="0" headerRowDxfId="180" dataDxfId="178" headerRowBorderDxfId="179" tableBorderDxfId="177" totalsRowBorderDxfId="176">
  <autoFilter ref="A1:T1140" xr:uid="{61540567-AB60-4860-A7F7-672579B5BDA3}"/>
  <sortState xmlns:xlrd2="http://schemas.microsoft.com/office/spreadsheetml/2017/richdata2" ref="A2:T1140">
    <sortCondition ref="B1:B1140"/>
  </sortState>
  <tableColumns count="20">
    <tableColumn id="1" xr3:uid="{71C76BF3-1948-487D-8A8D-B55BF8C514E7}" name="Clé(ID-Status)" dataDxfId="175">
      <calculatedColumnFormula>_xlfn.CONCAT(B2,"-",M2)</calculatedColumnFormula>
    </tableColumn>
    <tableColumn id="2" xr3:uid="{35CC1A99-1B4C-48D2-B4ED-45321B4C11C2}" name="ID Group" dataDxfId="174"/>
    <tableColumn id="3" xr3:uid="{F62CA6B2-7EF2-4C11-83B8-21EC1F706A36}" name="From" dataDxfId="173"/>
    <tableColumn id="4" xr3:uid="{923375D2-FF50-4E91-B2F2-CE1E9843085B}" name="To" dataDxfId="172"/>
    <tableColumn id="5" xr3:uid="{D6CD80AF-4093-46CB-9C06-8A82DD7BAFFD}" name="POL" dataDxfId="171"/>
    <tableColumn id="6" xr3:uid="{DBE555DC-871F-450F-8BED-B07FF5654B4C}" name="Carrier" dataDxfId="170"/>
    <tableColumn id="7" xr3:uid="{01455F5A-B7FB-47BD-9B69-0C517839692C}" name="Day_x000a_Cut Off" dataDxfId="169"/>
    <tableColumn id="8" xr3:uid="{8DC29A66-2D9C-400B-965F-4D28004C3F2D}" name="Day ETD" dataDxfId="168"/>
    <tableColumn id="9" xr3:uid="{F183E225-A8BB-4C90-85C2-2980396998F4}" name="Transit time" dataDxfId="167"/>
    <tableColumn id="10" xr3:uid="{0626DBCA-76AA-4822-A590-59E6C0EA4998}" name="POD" dataDxfId="166"/>
    <tableColumn id="11" xr3:uid="{6DABC27C-E619-4130-932F-B642990AF95D}" name="Time for security" dataDxfId="165"/>
    <tableColumn id="12" xr3:uid="{3FA33128-74BF-49B3-8598-A0EB8C8EBDF1}" name="Time for security2-buffer" dataDxfId="164"/>
    <tableColumn id="13" xr3:uid="{D01C5EA0-CDDC-47F5-BEB0-A64236B167A2}" name="Status" dataDxfId="163">
      <calculatedColumnFormula>IF(AND(C2&lt;TODAY(),D2&gt;TODAY()),"Actif",IF(C2&gt;TODAY(),"Next","Inactif"))</calculatedColumnFormula>
    </tableColumn>
    <tableColumn id="14" xr3:uid="{7A6D3798-BC62-4C12-851C-7CDC0929D119}" name="Pilot" dataDxfId="162"/>
    <tableColumn id="15" xr3:uid="{BA321F9B-48D7-414D-9342-FDEA4D0B3F27}" name="Comments " dataDxfId="161"/>
    <tableColumn id="16" xr3:uid="{220DC15C-2071-4C29-8A2C-45C68F9E6BF7}" name="X-flows" dataDxfId="160"/>
    <tableColumn id="17" xr3:uid="{0EBCDF55-7923-4C6A-B4F6-B601A2EFED3D}" name="Customer safety stock" dataDxfId="159"/>
    <tableColumn id="18" xr3:uid="{60A70AD1-15BB-49D2-917C-B97ED9797367}" name="Impact next VTT" dataDxfId="158"/>
    <tableColumn id="19" xr3:uid="{AD3BA0BA-9464-42A5-9A3D-2A0582F5E3BA}" name="Clé(ID-Status)2" dataDxfId="157">
      <calculatedColumnFormula>_xlfn.CONCAT(B2,"-",Tableau8[[#This Row],[To]])</calculatedColumnFormula>
    </tableColumn>
    <tableColumn id="20" xr3:uid="{D851C2EC-0D78-4428-8CE2-AEA7F016E870}" name="date maj" dataDxfId="15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C6907C-8436-432C-B51C-9E055DAAB1FA}" name="Tableau2" displayName="Tableau2" ref="A1:Q265" totalsRowShown="0" headerRowDxfId="155" dataDxfId="153" headerRowBorderDxfId="154" tableBorderDxfId="152">
  <autoFilter ref="A1:Q265" xr:uid="{D4C6907C-8436-432C-B51C-9E055DAAB1FA}">
    <filterColumn colId="14">
      <filters>
        <filter val="MXATM"/>
        <filter val="MXLZC"/>
        <filter val="MXVER"/>
        <filter val="MXZLO"/>
      </filters>
    </filterColumn>
  </autoFilter>
  <tableColumns count="17">
    <tableColumn id="1" xr3:uid="{F5847A25-7977-49D0-929C-E469B04625DD}" name="Clé(Compte ILN - shipper - POL - plant)" dataDxfId="151">
      <calculatedColumnFormula>_xlfn.CONCAT(Tableau2[[#This Row],[Compte ILN]],"-",Tableau2[[#This Row],[Compte Shipper]],"-",Tableau2[[#This Row],[POL]],"-",Tableau2[[#This Row],[Compte Consignee]])</calculatedColumnFormula>
    </tableColumn>
    <tableColumn id="14" xr3:uid="{0F1F6279-5751-41F5-A48E-4EDBF865D8F9}" name="Clé(Compte ILN - shipper - POL)" dataDxfId="150">
      <calculatedColumnFormula>IF(Tableau2[[#This Row],[Name Consignee]]="",_xlfn.CONCAT(Tableau2[[#This Row],[Compte ILN]],"-",Tableau2[[#This Row],[Compte Shipper]],"-",Tableau2[[#This Row],[POL]]),"-")</calculatedColumnFormula>
    </tableColumn>
    <tableColumn id="2" xr3:uid="{94366B71-AB26-4A2D-98AD-F27D885CEE5D}" name=" Name ILN" dataDxfId="149"/>
    <tableColumn id="3" xr3:uid="{DC3E02D2-D1EB-40E6-96FC-14F0EAC5EF1D}" name="Compte ILN" dataDxfId="148">
      <calculatedColumnFormula>VLOOKUP(Tableau2[[#This Row],[ Name ILN]],Plant_AILN!F:G,2,FALSE)</calculatedColumnFormula>
    </tableColumn>
    <tableColumn id="18" xr3:uid="{F31D9DC3-0B2E-4F0B-8425-F0457C2419DB}" name="Name of shipper" dataDxfId="147"/>
    <tableColumn id="17" xr3:uid="{4B59BBE2-16E0-44B9-BE69-277B9EF5D80F}" name="Compte Shipper" dataDxfId="146">
      <calculatedColumnFormula>IFERROR(VLOOKUP(Tableau2[[#This Row],[Name of shipper]],Plant_AILN!L:M,2,FALSE),0)</calculatedColumnFormula>
    </tableColumn>
    <tableColumn id="16" xr3:uid="{DCD8E05A-B483-4CCE-AAD5-770FDA7F72EB}" name="Name Consignee" dataDxfId="145"/>
    <tableColumn id="15" xr3:uid="{9B81F7CC-81A8-4333-9188-50F9CF317491}" name="Compte Consignee" dataDxfId="144">
      <calculatedColumnFormula>IF(Tableau2[[#This Row],[Name Consignee]]=0,"",VLOOKUP(Tableau2[[#This Row],[Name Consignee]],Plant_AILN!A:C,3,FALSE))</calculatedColumnFormula>
    </tableColumn>
    <tableColumn id="4" xr3:uid="{B569CD14-2FEB-4471-9FA1-74B647C421D1}" name="Day ILN Order" dataDxfId="143"/>
    <tableColumn id="5" xr3:uid="{B2B3C82E-9949-4797-BDAC-4582605F9015}" name="Delivery time to ILN/Shipper" dataDxfId="142"/>
    <tableColumn id="6" xr3:uid="{A4099150-5DD6-489A-9881-6D6A53743C5B}" name="Time of Recept in ILN" dataDxfId="141"/>
    <tableColumn id="7" xr3:uid="{92A8FC76-91E5-4D4F-A847-DFE4C8FC18F6}" name="Packaging préparation &amp; loading" dataDxfId="140"/>
    <tableColumn id="8" xr3:uid="{D087D8B8-E28F-4B13-B131-548A43B29B98}" name="First Receipt Days" dataDxfId="139">
      <calculatedColumnFormula>Tableau2[[#This Row],[Delivery time to ILN/Shipper]]+Tableau2[[#This Row],[Day ILN Order]]-1</calculatedColumnFormula>
    </tableColumn>
    <tableColumn id="9" xr3:uid="{8134EEDC-4490-45B0-A3D6-1061DADFD529}" name="Transport ILN to POL" dataDxfId="138"/>
    <tableColumn id="10" xr3:uid="{D06A5E81-C2C2-4604-B5BC-FA93A0D8D836}" name="POL" dataDxfId="137"/>
    <tableColumn id="11" xr3:uid="{6F9035F5-7F73-47A7-BCAE-2F4C3660E8BE}" name="First Day to POL" dataDxfId="136"/>
    <tableColumn id="12" xr3:uid="{77C09EA2-F1B9-44F3-8721-71B2F46D251D}" name="comments" dataDxfId="1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2E13E9-36DD-450D-B480-9E0DC48D51B7}" name="Tableau3" displayName="Tableau3" ref="A1:N108" totalsRowShown="0" headerRowDxfId="134" dataDxfId="132" headerRowBorderDxfId="133" tableBorderDxfId="131">
  <autoFilter ref="A1:N108" xr:uid="{002E13E9-36DD-450D-B480-9E0DC48D51B7}">
    <filterColumn colId="4">
      <filters>
        <filter val="MXATM"/>
        <filter val="MXVER"/>
      </filters>
    </filterColumn>
  </autoFilter>
  <tableColumns count="14">
    <tableColumn id="1" xr3:uid="{E0AACA3C-BD88-4711-8C53-CD10E2958B8B}" name="Clé(POD-PFI-Usine)" dataDxfId="130">
      <calculatedColumnFormula>_xlfn.CONCAT(Tableau3[[#This Row],[POD]],"-",Tableau3[[#This Row],[Code PFI]],"-",Tableau3[[#This Row],[Compte Consignee]])</calculatedColumnFormula>
    </tableColumn>
    <tableColumn id="14" xr3:uid="{712635A8-DA28-43FB-8907-82BA81032CF2}" name="Clé(POD-PFI)" dataDxfId="129">
      <calculatedColumnFormula>_xlfn.CONCAT(Tableau3[[#This Row],[POD]],"-",Tableau3[[#This Row],[Code PFI]])</calculatedColumnFormula>
    </tableColumn>
    <tableColumn id="2" xr3:uid="{8BED9F1E-5DA9-4393-9284-3676487E61CE}" name="Clé(POD-Compte site )" dataDxfId="128">
      <calculatedColumnFormula>IF(Tableau3[[#This Row],[Name PFI/CDD]]="",_xlfn.CONCAT(Tableau3[[#This Row],[POD]],"-",Tableau3[[#This Row],[Compte Consignee]]),"-")</calculatedColumnFormula>
    </tableColumn>
    <tableColumn id="3" xr3:uid="{A15036FE-EBA2-4D8D-809C-6151459D7EE4}" name="Clé(PFI-site)" dataDxfId="127">
      <calculatedColumnFormula>_xlfn.CONCAT(Tableau3[[#This Row],[Code PFI]],"-",Tableau3[[#This Row],[Compte Consignee]])</calculatedColumnFormula>
    </tableColumn>
    <tableColumn id="4" xr3:uid="{BF8F2A60-6EF7-4F00-8DA5-2674D67A67BC}" name="POD" dataDxfId="126"/>
    <tableColumn id="5" xr3:uid="{20B997D4-D6B6-43EC-98BB-B01358AC899B}" name="Cust." dataDxfId="125"/>
    <tableColumn id="6" xr3:uid="{FE5E4188-DDB5-4E2F-8005-CA2A1C9CAC9B}" name="Name PFI/CDD" dataDxfId="124"/>
    <tableColumn id="7" xr3:uid="{686A01C0-6BD8-4019-8FD4-95BF9D557619}" name="Code PFI" dataDxfId="123">
      <calculatedColumnFormula>IF(Tableau3[[#This Row],[Name PFI/CDD]]&lt;&gt;"",VLOOKUP(Tableau3[[#This Row],[Name PFI/CDD]],Plant_AILN!I:J,2,FALSE),"-")</calculatedColumnFormula>
    </tableColumn>
    <tableColumn id="8" xr3:uid="{25621B0C-F529-4DF3-A26F-F487B2B7FDCF}" name="type PFI/CDD" dataDxfId="122">
      <calculatedColumnFormula>IF(Tableau3[[#This Row],[Code PFI]]="-","Direct","PFI/CDD")</calculatedColumnFormula>
    </tableColumn>
    <tableColumn id="9" xr3:uid="{A425A813-B796-4F09-BC5A-116625B2387B}" name="Trpt POD &gt; PFI" dataDxfId="121">
      <calculatedColumnFormula>IFERROR(IF(Tableau3[[#This Row],[type PFI/CDD]]="Direct",0,VLOOKUP(Tableau3[[#This Row],[Clé(POD-PFI)]],Transport!G:K,5,FALSE)),"")</calculatedColumnFormula>
    </tableColumn>
    <tableColumn id="10" xr3:uid="{B5070DB6-5551-4D91-AAE4-3E982F0E09C2}" name="Country" dataDxfId="120">
      <calculatedColumnFormula>VLOOKUP(Tableau3[[#This Row],[Name Consignee]],Tableau10[],4,FALSE)</calculatedColumnFormula>
    </tableColumn>
    <tableColumn id="11" xr3:uid="{54BFDA24-3830-47E7-9109-219EDD54EA21}" name="Name Consignee" dataDxfId="119"/>
    <tableColumn id="12" xr3:uid="{59D939E4-E460-45CA-9E7F-69FB8AC7C5B8}" name="Compte Consignee" dataDxfId="118">
      <calculatedColumnFormula>VLOOKUP(Tableau3[[#This Row],[Name Consignee]],Tableau10[],3,FALSE)</calculatedColumnFormula>
    </tableColumn>
    <tableColumn id="13" xr3:uid="{79318855-4550-4E37-89BA-3652E6CF7097}" name="Trpt POD/PFI vers Usine" dataDxfId="117">
      <calculatedColumnFormula>IFERROR(IF(Tableau3[[#This Row],[type PFI/CDD]]="Direct",VLOOKUP(Tableau3[[#This Row],[Clé(POD-Compte site )]],Transport!A:E,5,FALSE),VLOOKUP(Tableau3[[#This Row],[Clé(PFI-site)]],Transport!M:S,7,FALSE)),"No information")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EFA47-70BF-48F3-8C96-E135F7546651}" name="Tableau4" displayName="Tableau4" ref="A2:E66" totalsRowShown="0" headerRowDxfId="116" dataDxfId="114" headerRowBorderDxfId="115" tableBorderDxfId="113">
  <autoFilter ref="A2:E66" xr:uid="{0A024D4E-BF33-450E-93A5-CF3E90599812}"/>
  <tableColumns count="5">
    <tableColumn id="1" xr3:uid="{93020BD0-14F2-4F1B-879E-7E5451CCF30C}" name="Clé POD-Code Plant" dataDxfId="112">
      <calculatedColumnFormula>_xlfn.CONCAT(Tableau4[[#This Row],[POD]],"-",Tableau4[[#This Row],[Code Plant]])</calculatedColumnFormula>
    </tableColumn>
    <tableColumn id="2" xr3:uid="{81910040-C4CD-4BA3-98C8-23CD838A7B04}" name="POD" dataDxfId="111"/>
    <tableColumn id="3" xr3:uid="{1B68285C-C491-49D7-B1C7-942A6A7567A1}" name="Name Plant" dataDxfId="110"/>
    <tableColumn id="4" xr3:uid="{43C6BEC2-AAB2-4716-B553-654A3FBE371F}" name="Code Plant" dataDxfId="109">
      <calculatedColumnFormula>VLOOKUP(Tableau4[[#This Row],[Name Plant]],Plant_AILN!A:C,3,FALSE)</calculatedColumnFormula>
    </tableColumn>
    <tableColumn id="5" xr3:uid="{FA3F0807-4D08-4862-A5C0-9822D595FFA3}" name="Trpt direct vers Usine" dataDxfId="10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ED3C46-6DAA-4EAD-8B1D-31C746BC29DF}" name="Tableau5" displayName="Tableau5" ref="G2:K11" totalsRowShown="0" headerRowDxfId="107" dataDxfId="105" headerRowBorderDxfId="106" tableBorderDxfId="104">
  <autoFilter ref="G2:K11" xr:uid="{37ED3C46-6DAA-4EAD-8B1D-31C746BC29DF}"/>
  <tableColumns count="5">
    <tableColumn id="1" xr3:uid="{F95A8F1D-0EDD-4358-9604-E177C59A2B20}" name="Clé POD-Code PFI" dataDxfId="103">
      <calculatedColumnFormula>_xlfn.CONCAT(Tableau5[[#This Row],[POD]],"-",Tableau5[[#This Row],[Code PFI]])</calculatedColumnFormula>
    </tableColumn>
    <tableColumn id="2" xr3:uid="{6D65B2C6-4B31-4121-8368-A37D31B06229}" name="POD" dataDxfId="102"/>
    <tableColumn id="3" xr3:uid="{8F2F3AE4-A339-4BB6-A04A-3807DD8FE14D}" name="Name PFI " dataDxfId="101"/>
    <tableColumn id="4" xr3:uid="{9020BEBF-8E69-4D76-94CE-C320E86E03EA}" name="Code PFI" dataDxfId="100">
      <calculatedColumnFormula>VLOOKUP(Tableau5[[#This Row],[Name PFI ]],Plant_AILN!I:J,2,FALSE)</calculatedColumnFormula>
    </tableColumn>
    <tableColumn id="5" xr3:uid="{61C77877-7558-4A58-ABDC-4885AD8DA6DC}" name="Transport" dataDxfId="99">
      <calculatedColumnFormula>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700AC-78A8-46BC-BBDA-5DF5B68C393F}" name="Tableau7" displayName="Tableau7" ref="M2:S52" totalsRowShown="0" headerRowDxfId="98" dataDxfId="96" headerRowBorderDxfId="97" tableBorderDxfId="95">
  <autoFilter ref="M2:S52" xr:uid="{1F4700AC-78A8-46BC-BBDA-5DF5B68C393F}"/>
  <tableColumns count="7">
    <tableColumn id="1" xr3:uid="{3E2036C0-DA50-4FD3-ABD9-26323CCAD398}" name="Clé Code PFI - Code Usine" dataDxfId="94">
      <calculatedColumnFormula>_xlfn.CONCAT(Tableau7[[#This Row],[Code PFI ]],"-",Tableau7[[#This Row],[Compte Consignee]])</calculatedColumnFormula>
    </tableColumn>
    <tableColumn id="2" xr3:uid="{B4E54BD7-9D1A-47DD-BEB7-5D3E68BC1BB5}" name="PFI Import" dataDxfId="93"/>
    <tableColumn id="3" xr3:uid="{8CB19B8F-4BB0-44ED-8518-3885D4360FC2}" name="Code PFI " dataDxfId="92">
      <calculatedColumnFormula>VLOOKUP(Tableau7[[#This Row],[PFI Import]],Plant_AILN!I:J,2,FALSE)</calculatedColumnFormula>
    </tableColumn>
    <tableColumn id="4" xr3:uid="{AACF7A71-1923-48E1-8846-D56F72536B25}" name="Usine arrivée" dataDxfId="91"/>
    <tableColumn id="5" xr3:uid="{F15F78D8-34E0-487B-AE93-4DAFC5094543}" name="Name Consignee" dataDxfId="90"/>
    <tableColumn id="6" xr3:uid="{8AB6B83F-F915-4E64-B8D5-F19407FDE5E6}" name="Compte Consignee" dataDxfId="89">
      <calculatedColumnFormula>VLOOKUP(Tableau7[[#This Row],[Name Consignee]],Plant_AILN!A:C,3,FALSE)</calculatedColumnFormula>
    </tableColumn>
    <tableColumn id="7" xr3:uid="{4282A4B8-9D98-4231-92F7-9DC79C2D8B1C}" name="Moyenne preavis GPI - 1J  ( Hors flux SFK)" dataDxfId="8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96D277-4C59-49DB-AD14-8CC0C294A06D}" name="buffer_train" displayName="buffer_train" ref="G15:K18" totalsRowShown="0" headerRowDxfId="87" dataDxfId="85" headerRowBorderDxfId="86" tableBorderDxfId="84" totalsRowBorderDxfId="83">
  <autoFilter ref="G15:K18" xr:uid="{B996D277-4C59-49DB-AD14-8CC0C294A06D}"/>
  <tableColumns count="5">
    <tableColumn id="1" xr3:uid="{90836B85-944A-44B0-9522-A043C04B1C09}" name="AILN" dataDxfId="82"/>
    <tableColumn id="2" xr3:uid="{BA776BF1-FAC6-4E90-9FA7-203373BCF5A6}" name="Transport" dataDxfId="81"/>
    <tableColumn id="3" xr3:uid="{8A192B2A-08E8-4CE8-B7D4-32698F17E122}" name="Day Cut off" dataDxfId="80"/>
    <tableColumn id="4" xr3:uid="{507FCF59-6A18-47ED-9544-324EE269A097}" name="Day ETD1" dataDxfId="79"/>
    <tableColumn id="5" xr3:uid="{C6996C22-CD50-4CAC-9E11-4C31A9F17940}" name="Day ETD2" dataDxfId="7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A9FB3C7-810F-46F4-AD01-7C26DAE8AC02}" name="Tableau119" displayName="Tableau119" ref="B4:BA999" totalsRowShown="0" headerRowDxfId="54" dataDxfId="53" tableBorderDxfId="52">
  <autoFilter ref="B4:BA999" xr:uid="{D61D3876-76D6-4B3C-9C8C-99D65EA05006}"/>
  <tableColumns count="52">
    <tableColumn id="47" xr3:uid="{21CF5D04-032C-4A61-A1FF-15E634D8FE02}" name="Key(ILN - shipper - plant)" dataDxfId="51">
      <calculatedColumnFormula>_xlfn.CONCAT(Tableau119[[#This Row],[Name ILN]],"-",Tableau119[[#This Row],[Name Shipper]],"-",Tableau119[[#This Row],[Name Site]])</calculatedColumnFormula>
    </tableColumn>
    <tableColumn id="1" xr3:uid="{8A81B15E-9D47-41F8-8983-7788F4EAD70B}" name="Key(Compte ILN - shipper - POL - plant)" dataDxfId="50">
      <calculatedColumnFormula>_xlfn.CONCAT(Tableau119[[#This Row],[Compte ILN]],"-",Tableau119[[#This Row],[Compte Shipper]],"-",Tableau119[[#This Row],[POL]],"-",Tableau119[[#This Row],[Compte Consignee]])</calculatedColumnFormula>
    </tableColumn>
    <tableColumn id="2" xr3:uid="{29D9BFB2-EB06-494B-B0C9-E9CBD4A6F2C3}" name="Key(Compte ILN - shipper - POL)" dataDxfId="49">
      <calculatedColumnFormula>_xlfn.CONCAT(Tableau119[[#This Row],[Compte ILN]],"-",Tableau119[[#This Row],[Compte Shipper]],"-",Tableau119[[#This Row],[POL]])</calculatedColumnFormula>
    </tableColumn>
    <tableColumn id="3" xr3:uid="{36B52F04-49C1-45B8-945B-E198BE57D5FD}" name="Key(POL - carrier - POD)" dataDxfId="48">
      <calculatedColumnFormula>_xlfn.CONCAT(Tableau119[[#This Row],[POL]],"-",Tableau119[[#This Row],[Carrier]],"-",Tableau119[[#This Row],[POD]])</calculatedColumnFormula>
    </tableColumn>
    <tableColumn id="4" xr3:uid="{7C1A36F1-3148-432B-9AC3-A3DAE6D97357}" name="Key(ID-Actif)" dataDxfId="47">
      <calculatedColumnFormula>_xlfn.CONCAT(Tableau119[[#This Row],[ID]],"-","Actif")</calculatedColumnFormula>
    </tableColumn>
    <tableColumn id="5" xr3:uid="{7F2FBCB0-5899-498F-89EB-6554FDD9614E}" name="Key(POD -PFI- Usine)" dataDxfId="46">
      <calculatedColumnFormula>_xlfn.CONCAT(Tableau119[[#This Row],[POD]],"-",Tableau119[[#This Row],[Code PFI]],"-",Tableau119[[#This Row],[Compte Consignee]])</calculatedColumnFormula>
    </tableColumn>
    <tableColumn id="6" xr3:uid="{33AF08C9-66DD-43F1-B7B7-07AC554ED88C}" name="log guidelines Key" dataDxfId="45">
      <calculatedColumnFormula>_xlfn.CONCAT(IF(Tableau119[[#This Row],[Name ILN]]=Tableau119[[#This Row],[Name Shipper]],Tableau119[[#This Row],[Name ILN]],Tableau119[[#This Row],[Compte Shipper]]),Tableau119[[#This Row],[POL]],Tableau119[[#This Row],[Name Site]])</calculatedColumnFormula>
    </tableColumn>
    <tableColumn id="56" xr3:uid="{B4F3FBF8-3083-4B32-84E4-38DEAF0A355E}" name="Key(ID-date)" dataDxfId="44">
      <calculatedColumnFormula>_xlfn.CONCAT(Tableau119[[#This Row],[ID]],"-",Tableau119[[#This Row],[Expiration Date]])</calculatedColumnFormula>
    </tableColumn>
    <tableColumn id="7" xr3:uid="{C4DFC9DC-DD55-46A3-84A2-F9BDB168BFEF}" name="Plant-ILN-shipper-POL-Carrier-POD-PFI" dataDxfId="43">
      <calculatedColumnFormula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PFI/CDD]],)</calculatedColumnFormula>
    </tableColumn>
    <tableColumn id="49" xr3:uid="{CCEC5810-101B-49DC-A76C-B2A2170CDA0B}" name="Duplicates" dataDxfId="42">
      <calculatedColumnFormula>IF(COUNTIF(J:J,Tableau119[[#This Row],[Plant-ILN-shipper-POL-Carrier-POD-PFI]])=1,"Non","Oui")</calculatedColumnFormula>
    </tableColumn>
    <tableColumn id="8" xr3:uid="{B46FD868-145B-4D99-9D54-5CAD05D7CCD3}" name="Country" dataDxfId="41">
      <calculatedColumnFormula>VLOOKUP(Tableau119[[#This Row],[Name Site]],Plant_AILN!A:D,4,FALSE)</calculatedColumnFormula>
    </tableColumn>
    <tableColumn id="9" xr3:uid="{59716400-A49F-4206-85A6-0749039D5D91}" name="Name Site" dataDxfId="40"/>
    <tableColumn id="10" xr3:uid="{12558DCF-7DFA-44F3-9BBE-57B18486BED8}" name="Compte Consignee" dataDxfId="39">
      <calculatedColumnFormula>VLOOKUP(Tableau119[[#This Row],[Name Site]],Plant_AILN!A:C,3,FALSE)</calculatedColumnFormula>
    </tableColumn>
    <tableColumn id="11" xr3:uid="{31787C00-16B7-42B6-A79D-12BB3B0D9EA4}" name="Day Customer Order" dataDxfId="38">
      <calculatedColumnFormula>VLOOKUP(Tableau119[[#This Row],[Compte Consignee]],Order!C:D,2,FALSE)</calculatedColumnFormula>
    </tableColumn>
    <tableColumn id="12" xr3:uid="{EBAF50A7-50BF-4D45-9372-8BB1F16AEEA5}" name="Name ILN" dataDxfId="37"/>
    <tableColumn id="13" xr3:uid="{7B483F77-C9D9-4BF0-A9C4-6BDD938245A5}" name="Compte ILN" dataDxfId="36">
      <calculatedColumnFormula>VLOOKUP(Tableau119[[#This Row],[Name ILN]],Plant_AILN!F:G,2,FALSE)</calculatedColumnFormula>
    </tableColumn>
    <tableColumn id="14" xr3:uid="{8F6940FA-2189-4F04-AB2E-21387AA0095C}" name="Day ILN Order" dataDxfId="35">
      <calculatedColumnFormula>VLOOKUP(Tableau119[[#This Row],[Compte ILN]],'DATA ILN'!D:I,6,FALSE)</calculatedColumnFormula>
    </tableColumn>
    <tableColumn id="15" xr3:uid="{EA0BA9F6-AFBD-4065-9D81-54E16EF2ABEC}" name="Delivery time to ILN/Shipper" dataDxfId="34">
      <calculatedColumnFormula>IFERROR(VLOOKUP(Tableau119[[#This Row],[Key(Compte ILN - shipper - POL - plant)]],'DATA ILN'!A:J,10,FALSE),VLOOKUP(Tableau119[[#This Row],[Key(Compte ILN - shipper - POL)]],'DATA ILN'!B:J,9,FALSE))</calculatedColumnFormula>
    </tableColumn>
    <tableColumn id="16" xr3:uid="{A9641AE2-B50B-4AB1-AEDA-6C2C529399F2}" name="Time of Recept in ILN" dataDxfId="33">
      <calculatedColumnFormula>IFERROR(VLOOKUP(Tableau119[[#This Row],[Key(Compte ILN - shipper - POL - plant)]],'DATA ILN'!A:K,11,FALSE),VLOOKUP(Tableau119[[#This Row],[Key(Compte ILN - shipper - POL)]],'DATA ILN'!B:K,10,FALSE))</calculatedColumnFormula>
    </tableColumn>
    <tableColumn id="17" xr3:uid="{7CDDC3DA-F472-448C-BE88-1B038E3D796F}" name="Packaging préparation &amp; loading" dataDxfId="32">
      <calculatedColumnFormula>IFERROR(VLOOKUP(Tableau119[[#This Row],[Key(Compte ILN - shipper - POL - plant)]],'DATA ILN'!A:L,12,FALSE),VLOOKUP(Tableau119[[#This Row],[Key(Compte ILN - shipper - POL)]],'DATA ILN'!B:L,11,FALSE))</calculatedColumnFormula>
    </tableColumn>
    <tableColumn id="18" xr3:uid="{00BFD54B-5FD1-4E0B-9206-832E3AFED21A}" name="First Receipt Days" dataDxfId="31">
      <calculatedColumnFormula>Tableau119[[#This Row],[Day ILN Order]]+Tableau119[[#This Row],[Delivery time to ILN/Shipper]]-1</calculatedColumnFormula>
    </tableColumn>
    <tableColumn id="19" xr3:uid="{1D89574D-A747-4297-A0DE-BF066EED23E2}" name="Transport ILN to POL" dataDxfId="30">
      <calculatedColumnFormula>IFERROR(VLOOKUP(Tableau119[[#This Row],[Key(Compte ILN - shipper - POL - plant)]],'DATA ILN'!A:N,14,FALSE),VLOOKUP(Tableau119[[#This Row],[Key(Compte ILN - shipper - POL)]],'DATA ILN'!B:N,13,FALSE))</calculatedColumnFormula>
    </tableColumn>
    <tableColumn id="20" xr3:uid="{3BC5FBE0-86A6-423D-BB67-CECE50E5DCF9}" name="First Day to POL" dataDxfId="29">
      <calculatedColumnFormula>IFERROR(VLOOKUP(Tableau119[[#This Row],[Key(Compte ILN - shipper - POL - plant)]],'DATA ILN'!A:P,16,FALSE),VLOOKUP(Tableau119[[#This Row],[Key(Compte ILN - shipper - POL)]],'DATA ILN'!B:P,15,FALSE))</calculatedColumnFormula>
    </tableColumn>
    <tableColumn id="21" xr3:uid="{792A2DFD-E65F-415C-AC45-1A597B67C61E}" name="Name Shipper" dataDxfId="28"/>
    <tableColumn id="22" xr3:uid="{F73F3CEB-6101-413A-BDCD-B5C3597B0EDC}" name="Compte Shipper" dataDxfId="27">
      <calculatedColumnFormula>IFERROR(VLOOKUP(Tableau119[[#This Row],[Name Shipper]],Plant_AILN!L:M,2,FALSE),0)</calculatedColumnFormula>
    </tableColumn>
    <tableColumn id="23" xr3:uid="{DBBE487B-7897-45AD-8CD3-5CD5AACF4970}" name="ID" dataDxfId="26"/>
    <tableColumn id="24" xr3:uid="{EA6B57F3-FF8C-4A4F-A948-801F330A2839}" name="POL" dataDxfId="25">
      <calculatedColumnFormula>VLOOKUP(Tableau119[[#This Row],[Key(ID-Actif)]],'DATA BTO'!A:N,5,FALSE)</calculatedColumnFormula>
    </tableColumn>
    <tableColumn id="25" xr3:uid="{662CEB82-268C-449B-9755-66C8ECEA005D}" name="Carrier" dataDxfId="24">
      <calculatedColumnFormula>VLOOKUP(Tableau119[[#This Row],[Key(ID-Actif)]],'DATA BTO'!A:N,6,FALSE)</calculatedColumnFormula>
    </tableColumn>
    <tableColumn id="26" xr3:uid="{3AC59FE0-AB2B-44E5-A7C1-891968D76557}" name="Day Cut Off" dataDxfId="23">
      <calculatedColumnFormula>VLOOKUP(Tableau119[[#This Row],[Key(ID-Actif)]],'DATA BTO'!A:N,7,FALSE)</calculatedColumnFormula>
    </tableColumn>
    <tableColumn id="27" xr3:uid="{F657EB5B-64F5-4FE5-9DC2-A5C10D34246B}" name="Day ETD" dataDxfId="22">
      <calculatedColumnFormula>VLOOKUP(Tableau119[[#This Row],[Key(ID-Actif)]],'DATA BTO'!A:N,8,FALSE)</calculatedColumnFormula>
    </tableColumn>
    <tableColumn id="58" xr3:uid="{EF599F90-EDA8-4F11-B1E7-2D2E3ECA38EA}" name="Wished ETD ILN" dataDxfId="21">
      <calculatedColumnFormula>IF(Tableau119[[#This Row],[First Day to POL]]&lt;=Tableau119[[#This Row],[Day Cut Off]],Tableau119[[#This Row],[Day ETD]],Tableau119[[#This Row],[Day ETD]]+7)</calculatedColumnFormula>
    </tableColumn>
    <tableColumn id="28" xr3:uid="{A55BD5A1-E5EE-42C9-A541-9228D276EB3F}" name="Transit time" dataDxfId="20">
      <calculatedColumnFormula>_xlfn.XLOOKUP(Tableau119[[#This Row],[Key(ID-date)]],'DATA BTO'!S:S,'DATA BTO'!I:I,FALSE)</calculatedColumnFormula>
    </tableColumn>
    <tableColumn id="29" xr3:uid="{8A878232-519A-405B-B354-B109EF36E6EB}" name="POD" dataDxfId="19">
      <calculatedColumnFormula>VLOOKUP(Tableau119[[#This Row],[Key(ID-Actif)]],'DATA BTO'!A:N,10,FALSE)</calculatedColumnFormula>
    </tableColumn>
    <tableColumn id="30" xr3:uid="{ECC2BDA6-1321-4C1C-AEFF-580A42C1A060}" name="Time for security" dataDxfId="18">
      <calculatedColumnFormula>VLOOKUP(Tableau119[[#This Row],[Key(ID-Actif)]],'DATA BTO'!A:N,11,FALSE)</calculatedColumnFormula>
    </tableColumn>
    <tableColumn id="31" xr3:uid="{0427F231-9280-406F-950A-E8C21A26869A}" name="Time for security2 buffer" dataDxfId="17">
      <calculatedColumnFormula>VLOOKUP(Tableau119[[#This Row],[Key(ID-Actif)]],'DATA BTO'!A:N,12,FALSE)</calculatedColumnFormula>
    </tableColumn>
    <tableColumn id="32" xr3:uid="{287F53CC-19B8-4809-A423-915BF2C63859}" name="Pilot" dataDxfId="16">
      <calculatedColumnFormula>VLOOKUP(Tableau119[[#This Row],[Key(ID-Actif)]],'DATA BTO'!A:N,14,FALSE)</calculatedColumnFormula>
    </tableColumn>
    <tableColumn id="33" xr3:uid="{A5D7D9C9-E4E9-48BF-978B-B4477027C006}" name="Cust." dataDxfId="15">
      <calculatedColumnFormula>VLOOKUP(Tableau119[[#This Row],[Key(POD -PFI- Usine)]],'DATA Consignee'!A:F,6,FALSE)</calculatedColumnFormula>
    </tableColumn>
    <tableColumn id="34" xr3:uid="{E6D6CC0C-5E6F-4C90-B39F-2B2FADB611CB}" name="Name PFI/CDD" dataDxfId="14"/>
    <tableColumn id="35" xr3:uid="{A2544A92-FE1C-43D4-9859-87958FB1E5AB}" name="Code PFI" dataDxfId="13">
      <calculatedColumnFormula>IF(Tableau119[[#This Row],[Name PFI/CDD]]="","-",VLOOKUP(Tableau119[[#This Row],[Name PFI/CDD]],Plant_AILN!I:J,2,FALSE))</calculatedColumnFormula>
    </tableColumn>
    <tableColumn id="38" xr3:uid="{4E885783-13C0-47DB-A987-872D74ABA575}" name="Leadtime train" dataDxfId="12">
      <calculatedColumnFormula>IF(COUNTIF(buffer_train[AILN],Tableau119[[#This Row],[Name PFI/CDD]])&gt;0,Tableau119[[#This Row],[First Receipt Days]]+Tableau119[[#This Row],[Cust.]]+Tableau119[[#This Row],[Parts Vanning]]+Tableau119[[#This Row],[Transit Time2]],"-")</calculatedColumnFormula>
    </tableColumn>
    <tableColumn id="37" xr3:uid="{A89733C6-F416-45F8-B513-2735BF1010CF}" name="Buffer train" dataDxfId="11">
      <calculatedColumnFormula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calculatedColumnFormula>
    </tableColumn>
    <tableColumn id="36" xr3:uid="{8EF39B84-A5FD-425A-822E-9E361253A4BB}" name="Trpt POD &gt; PFI" dataDxfId="10">
      <calculatedColumnFormula>VLOOKUP(Tableau119[[#This Row],[Key(POD -PFI- Usine)]],'DATA Consignee'!A:J,10,FALSE)</calculatedColumnFormula>
    </tableColumn>
    <tableColumn id="39" xr3:uid="{5FB44445-2B6A-49B7-8131-E41FC0B3FD6F}" name="Trpt POD/PFI vers Usine" dataDxfId="9">
      <calculatedColumnFormula>VLOOKUP(Tableau119[[#This Row],[Key(POD -PFI- Usine)]],'DATA Consignee'!A:N,14,FALSE)</calculatedColumnFormula>
    </tableColumn>
    <tableColumn id="41" xr3:uid="{114EDB29-24BE-457A-9E9A-5155F3E11B3D}" name="Round." dataDxfId="8">
      <calculatedColumnFormula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calculatedColumnFormula>
    </tableColumn>
    <tableColumn id="42" xr3:uid="{F713891A-A442-4575-96DD-45C0F6CD689D}" name="Parts Vanning" dataDxfId="7">
      <calculatedColumnFormula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calculatedColumnFormula>
    </tableColumn>
    <tableColumn id="43" xr3:uid="{8BF6546C-A88B-44F3-AE8B-F5C7D98FF698}" name="Transit Time2" dataDxfId="6">
      <calculatedColumnFormula>Tableau119[[#This Row],[Transit time]]+Tableau119[[#This Row],[Time for security]]+Tableau119[[#This Row],[Time for security2 buffer]]</calculatedColumnFormula>
    </tableColumn>
    <tableColumn id="44" xr3:uid="{22B50E07-EB66-4D6A-BA63-5C512F6FC7CA}" name="Leadtime SI2C" dataDxfId="5">
      <calculatedColumnFormula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calculatedColumnFormula>
    </tableColumn>
    <tableColumn id="45" xr3:uid="{89AA2BD7-6309-4132-9693-B7893D47AB83}" name="Cust. Leadtime" dataDxfId="4">
      <calculatedColumnFormula>Tableau119[[#This Row],[Leadtime SI2C]]+Tableau119[[#This Row],[First Receipt Days]]-Tableau119[[#This Row],[Day Customer Order]]+1</calculatedColumnFormula>
    </tableColumn>
    <tableColumn id="50" xr3:uid="{F442E462-29FE-4C02-A453-E0EF416BC70A}" name="SIT" dataDxfId="3">
      <calculatedColumnFormula>IF(Tableau119[[#This Row],[Name ILN]]&lt;&gt;"SFK Freight Forwarder",Tableau119[[#This Row],[Cust. Leadtime]],Tableau119[[#This Row],[Leadtime SI2C]])</calculatedColumnFormula>
    </tableColumn>
    <tableColumn id="46" xr3:uid="{77CFE6C0-3435-403B-B398-2E2D09760804}" name="X-flows" dataDxfId="2">
      <calculatedColumnFormula>VLOOKUP(Tableau119[[#This Row],[ID]],'DATA BTO'!B:P,15,FALSE)</calculatedColumnFormula>
    </tableColumn>
    <tableColumn id="48" xr3:uid="{E904D6D8-F3D6-4DBE-B606-6FC6003A06FC}" name="Expiration Date" dataDxfId="1">
      <calculatedColumnFormula>IFERROR(VLOOKUP(Tableau119[[#This Row],[Key(ID-Actif)]],'DATA BTO'!A:N,4,FALSE),VLOOKUP(Tableau119[[#This Row],[ID]],'DATA BTO'!B:N,3,FALSE))</calculatedColumnFormula>
    </tableColumn>
    <tableColumn id="40" xr3:uid="{DF0306B5-4445-4944-BAE2-0AF89450CD61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87" dT="2025-07-25T14:16:02.19" personId="{02196D4C-80E5-48E4-AB66-6BD8FF06841D}" id="{EA6BC88A-35DF-4BEA-9F6A-535B073BF9DB}">
    <text>Vu avec Ali et modifié (de 2 à 1) le 25/07 pour le 01/08 pour gagner une semaine de VTT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D4FA0-C205-43B4-B019-8FBA6CC4FA9A}">
  <sheetPr codeName="Feuil1">
    <tabColor rgb="FF7030A0"/>
  </sheetPr>
  <dimension ref="A1:DT37"/>
  <sheetViews>
    <sheetView zoomScaleNormal="100" workbookViewId="0">
      <selection activeCell="B7" sqref="B7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customWidth="1"/>
    <col min="4" max="4" width="6.42578125" customWidth="1"/>
    <col min="5" max="5" width="8" customWidth="1"/>
    <col min="6" max="124" width="1.42578125" customWidth="1"/>
  </cols>
  <sheetData>
    <row r="1" spans="1:124" s="11" customFormat="1" ht="9" customHeight="1">
      <c r="A1" s="567" t="s">
        <v>0</v>
      </c>
      <c r="B1" s="569" t="s">
        <v>1</v>
      </c>
      <c r="C1" s="571" t="str">
        <f>_xlfn.XLOOKUP(A25,'VTT actif'!B:B,'VTT actif'!P:P,"-",0)</f>
        <v>-</v>
      </c>
      <c r="D1" s="572"/>
      <c r="E1" s="573"/>
      <c r="F1" s="565" t="str">
        <f>"W"&amp;WEEKNUM(F6)</f>
        <v>W18</v>
      </c>
      <c r="G1" s="565"/>
      <c r="H1" s="565"/>
      <c r="I1" s="565"/>
      <c r="J1" s="565"/>
      <c r="K1" s="565"/>
      <c r="L1" s="566"/>
      <c r="M1" s="565" t="str">
        <f>"W"&amp;WEEKNUM(M6)</f>
        <v>W19</v>
      </c>
      <c r="N1" s="565"/>
      <c r="O1" s="565"/>
      <c r="P1" s="565"/>
      <c r="Q1" s="565"/>
      <c r="R1" s="565"/>
      <c r="S1" s="566"/>
      <c r="T1" s="565" t="str">
        <f t="shared" ref="T1" si="0">"W"&amp;WEEKNUM(T6)</f>
        <v>W20</v>
      </c>
      <c r="U1" s="565"/>
      <c r="V1" s="565"/>
      <c r="W1" s="565"/>
      <c r="X1" s="565"/>
      <c r="Y1" s="565"/>
      <c r="Z1" s="566"/>
      <c r="AA1" s="565" t="str">
        <f t="shared" ref="AA1" si="1">"W"&amp;WEEKNUM(AA6)</f>
        <v>W21</v>
      </c>
      <c r="AB1" s="565"/>
      <c r="AC1" s="565"/>
      <c r="AD1" s="565"/>
      <c r="AE1" s="565"/>
      <c r="AF1" s="565"/>
      <c r="AG1" s="566"/>
      <c r="AH1" s="565" t="str">
        <f t="shared" ref="AH1" si="2">"W"&amp;WEEKNUM(AH6)</f>
        <v>W22</v>
      </c>
      <c r="AI1" s="565"/>
      <c r="AJ1" s="565"/>
      <c r="AK1" s="565"/>
      <c r="AL1" s="565"/>
      <c r="AM1" s="565"/>
      <c r="AN1" s="566"/>
      <c r="AO1" s="565" t="str">
        <f t="shared" ref="AO1" si="3">"W"&amp;WEEKNUM(AO6)</f>
        <v>W23</v>
      </c>
      <c r="AP1" s="565"/>
      <c r="AQ1" s="565"/>
      <c r="AR1" s="565"/>
      <c r="AS1" s="565"/>
      <c r="AT1" s="565"/>
      <c r="AU1" s="566"/>
      <c r="AV1" s="565" t="str">
        <f t="shared" ref="AV1" si="4">"W"&amp;WEEKNUM(AV6)</f>
        <v>W24</v>
      </c>
      <c r="AW1" s="565"/>
      <c r="AX1" s="565"/>
      <c r="AY1" s="565"/>
      <c r="AZ1" s="565"/>
      <c r="BA1" s="565"/>
      <c r="BB1" s="566"/>
      <c r="BC1" s="565" t="str">
        <f t="shared" ref="BC1" si="5">"W"&amp;WEEKNUM(BC6)</f>
        <v>W25</v>
      </c>
      <c r="BD1" s="565"/>
      <c r="BE1" s="565"/>
      <c r="BF1" s="565"/>
      <c r="BG1" s="565"/>
      <c r="BH1" s="565"/>
      <c r="BI1" s="566"/>
      <c r="BJ1" s="565" t="str">
        <f t="shared" ref="BJ1" si="6">"W"&amp;WEEKNUM(BJ6)</f>
        <v>W26</v>
      </c>
      <c r="BK1" s="565"/>
      <c r="BL1" s="565"/>
      <c r="BM1" s="565"/>
      <c r="BN1" s="565"/>
      <c r="BO1" s="565"/>
      <c r="BP1" s="566"/>
      <c r="BQ1" s="565" t="str">
        <f t="shared" ref="BQ1" si="7">"W"&amp;WEEKNUM(BQ6)</f>
        <v>W27</v>
      </c>
      <c r="BR1" s="565"/>
      <c r="BS1" s="565"/>
      <c r="BT1" s="565"/>
      <c r="BU1" s="565"/>
      <c r="BV1" s="565"/>
      <c r="BW1" s="566"/>
      <c r="BX1" s="565" t="str">
        <f t="shared" ref="BX1" si="8">"W"&amp;WEEKNUM(BX6)</f>
        <v>W28</v>
      </c>
      <c r="BY1" s="565"/>
      <c r="BZ1" s="565"/>
      <c r="CA1" s="565"/>
      <c r="CB1" s="565"/>
      <c r="CC1" s="565"/>
      <c r="CD1" s="566"/>
      <c r="CE1" s="565" t="str">
        <f t="shared" ref="CE1" si="9">"W"&amp;WEEKNUM(CE6)</f>
        <v>W29</v>
      </c>
      <c r="CF1" s="565"/>
      <c r="CG1" s="565"/>
      <c r="CH1" s="565"/>
      <c r="CI1" s="565"/>
      <c r="CJ1" s="565"/>
      <c r="CK1" s="566"/>
      <c r="CL1" s="565" t="str">
        <f t="shared" ref="CL1" si="10">"W"&amp;WEEKNUM(CL6)</f>
        <v>W30</v>
      </c>
      <c r="CM1" s="565"/>
      <c r="CN1" s="565"/>
      <c r="CO1" s="565"/>
      <c r="CP1" s="565"/>
      <c r="CQ1" s="565"/>
      <c r="CR1" s="566"/>
      <c r="CS1" s="565" t="str">
        <f t="shared" ref="CS1" si="11">"W"&amp;WEEKNUM(CS6)</f>
        <v>W31</v>
      </c>
      <c r="CT1" s="565"/>
      <c r="CU1" s="565"/>
      <c r="CV1" s="565"/>
      <c r="CW1" s="565"/>
      <c r="CX1" s="565"/>
      <c r="CY1" s="566"/>
      <c r="CZ1" s="565" t="str">
        <f t="shared" ref="CZ1" si="12">"W"&amp;WEEKNUM(CZ6)</f>
        <v>W32</v>
      </c>
      <c r="DA1" s="565"/>
      <c r="DB1" s="565"/>
      <c r="DC1" s="565"/>
      <c r="DD1" s="565"/>
      <c r="DE1" s="565"/>
      <c r="DF1" s="566"/>
      <c r="DG1" s="565" t="str">
        <f t="shared" ref="DG1" si="13">"W"&amp;WEEKNUM(DG6)</f>
        <v>W33</v>
      </c>
      <c r="DH1" s="565"/>
      <c r="DI1" s="565"/>
      <c r="DJ1" s="565"/>
      <c r="DK1" s="565"/>
      <c r="DL1" s="565"/>
      <c r="DM1" s="566"/>
      <c r="DN1" s="565" t="str">
        <f t="shared" ref="DN1" si="14">"W"&amp;WEEKNUM(DN6)</f>
        <v>W34</v>
      </c>
      <c r="DO1" s="565"/>
      <c r="DP1" s="565"/>
      <c r="DQ1" s="565"/>
      <c r="DR1" s="565"/>
      <c r="DS1" s="565"/>
      <c r="DT1" s="566"/>
    </row>
    <row r="2" spans="1:124" s="11" customFormat="1" ht="9" customHeight="1" thickBot="1">
      <c r="A2" s="568"/>
      <c r="B2" s="570"/>
      <c r="C2" s="574"/>
      <c r="D2" s="575"/>
      <c r="E2" s="576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</row>
    <row r="3" spans="1:124" s="12" customFormat="1" ht="9" customHeight="1">
      <c r="A3" s="580" t="s">
        <v>19</v>
      </c>
      <c r="B3" s="569" t="s">
        <v>1</v>
      </c>
      <c r="C3" s="572" t="str">
        <f>_xlfn.XLOOKUP(A25,'VTT actif'!B:B,'VTT actif'!Y:Y,"-",0)</f>
        <v>-</v>
      </c>
      <c r="D3" s="572"/>
      <c r="E3" s="573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</row>
    <row r="4" spans="1:124" s="12" customFormat="1" ht="9" customHeight="1" thickBot="1">
      <c r="A4" s="581"/>
      <c r="B4" s="570"/>
      <c r="C4" s="575"/>
      <c r="D4" s="575"/>
      <c r="E4" s="576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</row>
    <row r="5" spans="1:124" s="12" customFormat="1" ht="15.75" customHeight="1" thickTop="1" thickBot="1">
      <c r="A5" s="56" t="s">
        <v>33</v>
      </c>
      <c r="B5" s="56" t="str">
        <f>_xlfn.XLOOKUP(A25,'VTT actif'!B:B,'VTT actif'!AL:AL,"-",0)</f>
        <v>-</v>
      </c>
      <c r="C5" s="582" t="str">
        <f>_xlfn.XLOOKUP(A25,'VTT actif'!B:B,'VTT actif'!AM:AM,"-",0)</f>
        <v>-</v>
      </c>
      <c r="D5" s="583"/>
      <c r="E5" s="584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9.6" customHeight="1">
      <c r="A6" s="56" t="s">
        <v>34</v>
      </c>
      <c r="B6" s="57" t="s">
        <v>35</v>
      </c>
      <c r="C6" s="571" t="str">
        <f>_xlfn.XLOOKUP(A25,'VTT actif'!B:B,'VTT actif'!M:M,"-",0)</f>
        <v>-</v>
      </c>
      <c r="D6" s="572"/>
      <c r="E6" s="573"/>
      <c r="F6" s="491">
        <v>46139</v>
      </c>
      <c r="G6" s="492">
        <f>F6+1</f>
        <v>46140</v>
      </c>
      <c r="H6" s="492">
        <f t="shared" ref="H6:BS6" si="15">G6+1</f>
        <v>46141</v>
      </c>
      <c r="I6" s="492">
        <f t="shared" si="15"/>
        <v>46142</v>
      </c>
      <c r="J6" s="492">
        <f t="shared" si="15"/>
        <v>46143</v>
      </c>
      <c r="K6" s="493">
        <f t="shared" si="15"/>
        <v>46144</v>
      </c>
      <c r="L6" s="494">
        <f t="shared" si="15"/>
        <v>46145</v>
      </c>
      <c r="M6" s="492">
        <f t="shared" si="15"/>
        <v>46146</v>
      </c>
      <c r="N6" s="492">
        <f t="shared" si="15"/>
        <v>46147</v>
      </c>
      <c r="O6" s="492">
        <f t="shared" si="15"/>
        <v>46148</v>
      </c>
      <c r="P6" s="492">
        <f t="shared" si="15"/>
        <v>46149</v>
      </c>
      <c r="Q6" s="492">
        <f t="shared" si="15"/>
        <v>46150</v>
      </c>
      <c r="R6" s="493">
        <f t="shared" si="15"/>
        <v>46151</v>
      </c>
      <c r="S6" s="494">
        <f t="shared" si="15"/>
        <v>46152</v>
      </c>
      <c r="T6" s="492">
        <f t="shared" si="15"/>
        <v>46153</v>
      </c>
      <c r="U6" s="492">
        <f t="shared" si="15"/>
        <v>46154</v>
      </c>
      <c r="V6" s="492">
        <f t="shared" si="15"/>
        <v>46155</v>
      </c>
      <c r="W6" s="492">
        <f t="shared" si="15"/>
        <v>46156</v>
      </c>
      <c r="X6" s="492">
        <f t="shared" si="15"/>
        <v>46157</v>
      </c>
      <c r="Y6" s="493">
        <f t="shared" si="15"/>
        <v>46158</v>
      </c>
      <c r="Z6" s="494">
        <f t="shared" si="15"/>
        <v>46159</v>
      </c>
      <c r="AA6" s="492">
        <f t="shared" si="15"/>
        <v>46160</v>
      </c>
      <c r="AB6" s="492">
        <f t="shared" si="15"/>
        <v>46161</v>
      </c>
      <c r="AC6" s="492">
        <f t="shared" si="15"/>
        <v>46162</v>
      </c>
      <c r="AD6" s="492">
        <f t="shared" si="15"/>
        <v>46163</v>
      </c>
      <c r="AE6" s="492">
        <f t="shared" si="15"/>
        <v>46164</v>
      </c>
      <c r="AF6" s="493">
        <f t="shared" si="15"/>
        <v>46165</v>
      </c>
      <c r="AG6" s="494">
        <f t="shared" si="15"/>
        <v>46166</v>
      </c>
      <c r="AH6" s="492">
        <f t="shared" si="15"/>
        <v>46167</v>
      </c>
      <c r="AI6" s="492">
        <f t="shared" si="15"/>
        <v>46168</v>
      </c>
      <c r="AJ6" s="492">
        <f t="shared" si="15"/>
        <v>46169</v>
      </c>
      <c r="AK6" s="492">
        <f t="shared" si="15"/>
        <v>46170</v>
      </c>
      <c r="AL6" s="492">
        <f t="shared" si="15"/>
        <v>46171</v>
      </c>
      <c r="AM6" s="493">
        <f t="shared" si="15"/>
        <v>46172</v>
      </c>
      <c r="AN6" s="494">
        <f t="shared" si="15"/>
        <v>46173</v>
      </c>
      <c r="AO6" s="492">
        <f t="shared" si="15"/>
        <v>46174</v>
      </c>
      <c r="AP6" s="492">
        <f t="shared" si="15"/>
        <v>46175</v>
      </c>
      <c r="AQ6" s="492">
        <f t="shared" si="15"/>
        <v>46176</v>
      </c>
      <c r="AR6" s="492">
        <f t="shared" si="15"/>
        <v>46177</v>
      </c>
      <c r="AS6" s="492">
        <f t="shared" si="15"/>
        <v>46178</v>
      </c>
      <c r="AT6" s="493">
        <f t="shared" si="15"/>
        <v>46179</v>
      </c>
      <c r="AU6" s="494">
        <f t="shared" si="15"/>
        <v>46180</v>
      </c>
      <c r="AV6" s="492">
        <f t="shared" si="15"/>
        <v>46181</v>
      </c>
      <c r="AW6" s="492">
        <f t="shared" si="15"/>
        <v>46182</v>
      </c>
      <c r="AX6" s="492">
        <f t="shared" si="15"/>
        <v>46183</v>
      </c>
      <c r="AY6" s="492">
        <f t="shared" si="15"/>
        <v>46184</v>
      </c>
      <c r="AZ6" s="492">
        <f t="shared" si="15"/>
        <v>46185</v>
      </c>
      <c r="BA6" s="493">
        <f t="shared" si="15"/>
        <v>46186</v>
      </c>
      <c r="BB6" s="494">
        <f t="shared" si="15"/>
        <v>46187</v>
      </c>
      <c r="BC6" s="492">
        <f t="shared" si="15"/>
        <v>46188</v>
      </c>
      <c r="BD6" s="492">
        <f t="shared" si="15"/>
        <v>46189</v>
      </c>
      <c r="BE6" s="492">
        <f t="shared" si="15"/>
        <v>46190</v>
      </c>
      <c r="BF6" s="492">
        <f t="shared" si="15"/>
        <v>46191</v>
      </c>
      <c r="BG6" s="492">
        <f t="shared" si="15"/>
        <v>46192</v>
      </c>
      <c r="BH6" s="493">
        <f t="shared" si="15"/>
        <v>46193</v>
      </c>
      <c r="BI6" s="494">
        <f t="shared" si="15"/>
        <v>46194</v>
      </c>
      <c r="BJ6" s="492">
        <f t="shared" si="15"/>
        <v>46195</v>
      </c>
      <c r="BK6" s="492">
        <f t="shared" si="15"/>
        <v>46196</v>
      </c>
      <c r="BL6" s="492">
        <f t="shared" si="15"/>
        <v>46197</v>
      </c>
      <c r="BM6" s="492">
        <f t="shared" si="15"/>
        <v>46198</v>
      </c>
      <c r="BN6" s="492">
        <f t="shared" si="15"/>
        <v>46199</v>
      </c>
      <c r="BO6" s="493">
        <f t="shared" si="15"/>
        <v>46200</v>
      </c>
      <c r="BP6" s="494">
        <f t="shared" si="15"/>
        <v>46201</v>
      </c>
      <c r="BQ6" s="492">
        <f t="shared" si="15"/>
        <v>46202</v>
      </c>
      <c r="BR6" s="492">
        <f t="shared" si="15"/>
        <v>46203</v>
      </c>
      <c r="BS6" s="492">
        <f t="shared" si="15"/>
        <v>46204</v>
      </c>
      <c r="BT6" s="492">
        <f t="shared" ref="BT6:DT6" si="16">BS6+1</f>
        <v>46205</v>
      </c>
      <c r="BU6" s="492">
        <f t="shared" si="16"/>
        <v>46206</v>
      </c>
      <c r="BV6" s="493">
        <f t="shared" si="16"/>
        <v>46207</v>
      </c>
      <c r="BW6" s="494">
        <f t="shared" si="16"/>
        <v>46208</v>
      </c>
      <c r="BX6" s="492">
        <f t="shared" si="16"/>
        <v>46209</v>
      </c>
      <c r="BY6" s="492">
        <f t="shared" si="16"/>
        <v>46210</v>
      </c>
      <c r="BZ6" s="492">
        <f t="shared" si="16"/>
        <v>46211</v>
      </c>
      <c r="CA6" s="492">
        <f t="shared" si="16"/>
        <v>46212</v>
      </c>
      <c r="CB6" s="492">
        <f t="shared" si="16"/>
        <v>46213</v>
      </c>
      <c r="CC6" s="493">
        <f t="shared" si="16"/>
        <v>46214</v>
      </c>
      <c r="CD6" s="494">
        <f t="shared" si="16"/>
        <v>46215</v>
      </c>
      <c r="CE6" s="492">
        <f t="shared" si="16"/>
        <v>46216</v>
      </c>
      <c r="CF6" s="492">
        <f t="shared" si="16"/>
        <v>46217</v>
      </c>
      <c r="CG6" s="492">
        <f t="shared" si="16"/>
        <v>46218</v>
      </c>
      <c r="CH6" s="492">
        <f t="shared" si="16"/>
        <v>46219</v>
      </c>
      <c r="CI6" s="492">
        <f t="shared" si="16"/>
        <v>46220</v>
      </c>
      <c r="CJ6" s="493">
        <f t="shared" si="16"/>
        <v>46221</v>
      </c>
      <c r="CK6" s="494">
        <f t="shared" si="16"/>
        <v>46222</v>
      </c>
      <c r="CL6" s="492">
        <f t="shared" si="16"/>
        <v>46223</v>
      </c>
      <c r="CM6" s="492">
        <f t="shared" si="16"/>
        <v>46224</v>
      </c>
      <c r="CN6" s="492">
        <f t="shared" si="16"/>
        <v>46225</v>
      </c>
      <c r="CO6" s="492">
        <f t="shared" si="16"/>
        <v>46226</v>
      </c>
      <c r="CP6" s="492">
        <f t="shared" si="16"/>
        <v>46227</v>
      </c>
      <c r="CQ6" s="493">
        <f t="shared" si="16"/>
        <v>46228</v>
      </c>
      <c r="CR6" s="494">
        <f t="shared" si="16"/>
        <v>46229</v>
      </c>
      <c r="CS6" s="492">
        <f t="shared" si="16"/>
        <v>46230</v>
      </c>
      <c r="CT6" s="492">
        <f t="shared" si="16"/>
        <v>46231</v>
      </c>
      <c r="CU6" s="492">
        <f t="shared" si="16"/>
        <v>46232</v>
      </c>
      <c r="CV6" s="492">
        <f t="shared" si="16"/>
        <v>46233</v>
      </c>
      <c r="CW6" s="492">
        <f t="shared" si="16"/>
        <v>46234</v>
      </c>
      <c r="CX6" s="493">
        <f t="shared" si="16"/>
        <v>46235</v>
      </c>
      <c r="CY6" s="494">
        <f t="shared" si="16"/>
        <v>46236</v>
      </c>
      <c r="CZ6" s="492">
        <f t="shared" si="16"/>
        <v>46237</v>
      </c>
      <c r="DA6" s="492">
        <f t="shared" si="16"/>
        <v>46238</v>
      </c>
      <c r="DB6" s="492">
        <f t="shared" si="16"/>
        <v>46239</v>
      </c>
      <c r="DC6" s="492">
        <f t="shared" si="16"/>
        <v>46240</v>
      </c>
      <c r="DD6" s="492">
        <f t="shared" si="16"/>
        <v>46241</v>
      </c>
      <c r="DE6" s="493">
        <f t="shared" si="16"/>
        <v>46242</v>
      </c>
      <c r="DF6" s="494">
        <f t="shared" si="16"/>
        <v>46243</v>
      </c>
      <c r="DG6" s="492">
        <f t="shared" si="16"/>
        <v>46244</v>
      </c>
      <c r="DH6" s="492">
        <f t="shared" si="16"/>
        <v>46245</v>
      </c>
      <c r="DI6" s="492">
        <f t="shared" si="16"/>
        <v>46246</v>
      </c>
      <c r="DJ6" s="492">
        <f t="shared" si="16"/>
        <v>46247</v>
      </c>
      <c r="DK6" s="492">
        <f t="shared" si="16"/>
        <v>46248</v>
      </c>
      <c r="DL6" s="493">
        <f t="shared" si="16"/>
        <v>46249</v>
      </c>
      <c r="DM6" s="494">
        <f t="shared" si="16"/>
        <v>46250</v>
      </c>
      <c r="DN6" s="492">
        <f t="shared" si="16"/>
        <v>46251</v>
      </c>
      <c r="DO6" s="492">
        <f t="shared" si="16"/>
        <v>46252</v>
      </c>
      <c r="DP6" s="492">
        <f t="shared" si="16"/>
        <v>46253</v>
      </c>
      <c r="DQ6" s="492">
        <f t="shared" si="16"/>
        <v>46254</v>
      </c>
      <c r="DR6" s="492">
        <f t="shared" si="16"/>
        <v>46255</v>
      </c>
      <c r="DS6" s="493">
        <f t="shared" si="16"/>
        <v>46256</v>
      </c>
      <c r="DT6" s="494">
        <f t="shared" si="16"/>
        <v>46257</v>
      </c>
    </row>
    <row r="7" spans="1:124" s="17" customFormat="1" ht="17.25" customHeight="1" thickTop="1">
      <c r="A7" s="56" t="s">
        <v>36</v>
      </c>
      <c r="B7" s="56" t="str">
        <f>_xlfn.XLOOKUP(A25,'VTT actif'!B:B,'VTT actif'!Z:Z,"-",0)</f>
        <v>-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75" customHeight="1">
      <c r="A8" s="585" t="str">
        <f>_xlfn.XLOOKUP(A25,'VTT actif'!B:B,'VTT actif'!AA:AA,"-",0)&amp;" &gt; "&amp;_xlfn.XLOOKUP(A25,'VTT actif'!B:B,'VTT actif'!AG:AG,"-",0)</f>
        <v>- &gt; -</v>
      </c>
      <c r="B8" s="69" t="s">
        <v>40</v>
      </c>
      <c r="C8" s="19" t="str">
        <f>_xlfn.XLOOKUP(A25,'VTT actif'!B:B,'VTT actif'!N:N,"-",0)</f>
        <v>-</v>
      </c>
      <c r="D8" s="70">
        <v>0</v>
      </c>
      <c r="E8" s="19" t="e">
        <f>(C8+D8)</f>
        <v>#VALUE!</v>
      </c>
      <c r="F8" s="13" t="e">
        <f t="shared" ref="F8:Z22" si="17">IF(AND(F$5&gt;=$C8,F$5&lt;=$E8),1,"")</f>
        <v>#VALUE!</v>
      </c>
      <c r="G8" s="14" t="e">
        <f t="shared" si="17"/>
        <v>#VALUE!</v>
      </c>
      <c r="H8" s="14" t="e">
        <f t="shared" si="17"/>
        <v>#VALUE!</v>
      </c>
      <c r="I8" s="14" t="e">
        <f t="shared" si="17"/>
        <v>#VALUE!</v>
      </c>
      <c r="J8" s="14" t="e">
        <f t="shared" si="17"/>
        <v>#VALUE!</v>
      </c>
      <c r="K8" s="15" t="e">
        <f t="shared" si="17"/>
        <v>#VALUE!</v>
      </c>
      <c r="L8" s="16" t="e">
        <f t="shared" si="17"/>
        <v>#VALUE!</v>
      </c>
      <c r="M8" s="13" t="e">
        <f t="shared" si="17"/>
        <v>#VALUE!</v>
      </c>
      <c r="N8" s="14" t="e">
        <f t="shared" si="17"/>
        <v>#VALUE!</v>
      </c>
      <c r="O8" s="14" t="e">
        <f t="shared" si="17"/>
        <v>#VALUE!</v>
      </c>
      <c r="P8" s="14" t="e">
        <f t="shared" si="17"/>
        <v>#VALUE!</v>
      </c>
      <c r="Q8" s="14" t="e">
        <f t="shared" si="17"/>
        <v>#VALUE!</v>
      </c>
      <c r="R8" s="15" t="e">
        <f t="shared" si="17"/>
        <v>#VALUE!</v>
      </c>
      <c r="S8" s="16" t="e">
        <f t="shared" si="17"/>
        <v>#VALUE!</v>
      </c>
      <c r="T8" s="13" t="e">
        <f t="shared" si="17"/>
        <v>#VALUE!</v>
      </c>
      <c r="U8" s="14" t="e">
        <f t="shared" si="17"/>
        <v>#VALUE!</v>
      </c>
      <c r="V8" s="14" t="e">
        <f t="shared" si="17"/>
        <v>#VALUE!</v>
      </c>
      <c r="W8" s="14" t="e">
        <f t="shared" si="17"/>
        <v>#VALUE!</v>
      </c>
      <c r="X8" s="14" t="e">
        <f t="shared" si="17"/>
        <v>#VALUE!</v>
      </c>
      <c r="Y8" s="15" t="e">
        <f t="shared" si="17"/>
        <v>#VALUE!</v>
      </c>
      <c r="Z8" s="16" t="e">
        <f t="shared" si="17"/>
        <v>#VALUE!</v>
      </c>
      <c r="AA8" s="13" t="e">
        <f t="shared" ref="AA8:AP25" si="18">IF(AND(AA$5&gt;=$C8,AA$5&lt;=$E8),1,"")</f>
        <v>#VALUE!</v>
      </c>
      <c r="AB8" s="14" t="e">
        <f t="shared" si="18"/>
        <v>#VALUE!</v>
      </c>
      <c r="AC8" s="14" t="e">
        <f t="shared" si="18"/>
        <v>#VALUE!</v>
      </c>
      <c r="AD8" s="14" t="e">
        <f t="shared" si="18"/>
        <v>#VALUE!</v>
      </c>
      <c r="AE8" s="14" t="e">
        <f t="shared" si="18"/>
        <v>#VALUE!</v>
      </c>
      <c r="AF8" s="15" t="e">
        <f t="shared" si="18"/>
        <v>#VALUE!</v>
      </c>
      <c r="AG8" s="16" t="e">
        <f t="shared" si="18"/>
        <v>#VALUE!</v>
      </c>
      <c r="AH8" s="13" t="e">
        <f t="shared" si="18"/>
        <v>#VALUE!</v>
      </c>
      <c r="AI8" s="14" t="e">
        <f t="shared" si="18"/>
        <v>#VALUE!</v>
      </c>
      <c r="AJ8" s="14" t="e">
        <f t="shared" si="18"/>
        <v>#VALUE!</v>
      </c>
      <c r="AK8" s="14" t="e">
        <f t="shared" si="18"/>
        <v>#VALUE!</v>
      </c>
      <c r="AL8" s="14" t="e">
        <f t="shared" si="18"/>
        <v>#VALUE!</v>
      </c>
      <c r="AM8" s="15" t="e">
        <f t="shared" si="18"/>
        <v>#VALUE!</v>
      </c>
      <c r="AN8" s="16" t="e">
        <f t="shared" si="18"/>
        <v>#VALUE!</v>
      </c>
      <c r="AO8" s="13" t="e">
        <f t="shared" si="18"/>
        <v>#VALUE!</v>
      </c>
      <c r="AP8" s="14" t="e">
        <f t="shared" si="18"/>
        <v>#VALUE!</v>
      </c>
      <c r="AQ8" s="14" t="e">
        <f t="shared" ref="AQ8:BF25" si="19">IF(AND(AQ$5&gt;=$C8,AQ$5&lt;=$E8),1,"")</f>
        <v>#VALUE!</v>
      </c>
      <c r="AR8" s="14" t="e">
        <f t="shared" si="19"/>
        <v>#VALUE!</v>
      </c>
      <c r="AS8" s="14" t="e">
        <f t="shared" si="19"/>
        <v>#VALUE!</v>
      </c>
      <c r="AT8" s="15" t="e">
        <f t="shared" si="19"/>
        <v>#VALUE!</v>
      </c>
      <c r="AU8" s="16" t="e">
        <f t="shared" si="19"/>
        <v>#VALUE!</v>
      </c>
      <c r="AV8" s="13" t="e">
        <f t="shared" si="19"/>
        <v>#VALUE!</v>
      </c>
      <c r="AW8" s="14" t="e">
        <f t="shared" si="19"/>
        <v>#VALUE!</v>
      </c>
      <c r="AX8" s="14" t="e">
        <f t="shared" si="19"/>
        <v>#VALUE!</v>
      </c>
      <c r="AY8" s="14" t="e">
        <f t="shared" si="19"/>
        <v>#VALUE!</v>
      </c>
      <c r="AZ8" s="14" t="e">
        <f t="shared" si="19"/>
        <v>#VALUE!</v>
      </c>
      <c r="BA8" s="15" t="e">
        <f t="shared" si="19"/>
        <v>#VALUE!</v>
      </c>
      <c r="BB8" s="16" t="e">
        <f t="shared" si="19"/>
        <v>#VALUE!</v>
      </c>
      <c r="BC8" s="13" t="e">
        <f t="shared" si="19"/>
        <v>#VALUE!</v>
      </c>
      <c r="BD8" s="14" t="e">
        <f t="shared" si="19"/>
        <v>#VALUE!</v>
      </c>
      <c r="BE8" s="14" t="e">
        <f t="shared" si="19"/>
        <v>#VALUE!</v>
      </c>
      <c r="BF8" s="14" t="e">
        <f t="shared" si="19"/>
        <v>#VALUE!</v>
      </c>
      <c r="BG8" s="14" t="e">
        <f t="shared" ref="BG8:BV25" si="20">IF(AND(BG$5&gt;=$C8,BG$5&lt;=$E8),1,"")</f>
        <v>#VALUE!</v>
      </c>
      <c r="BH8" s="15" t="e">
        <f t="shared" si="20"/>
        <v>#VALUE!</v>
      </c>
      <c r="BI8" s="16" t="e">
        <f t="shared" si="20"/>
        <v>#VALUE!</v>
      </c>
      <c r="BJ8" s="13" t="e">
        <f t="shared" si="20"/>
        <v>#VALUE!</v>
      </c>
      <c r="BK8" s="14" t="e">
        <f t="shared" si="20"/>
        <v>#VALUE!</v>
      </c>
      <c r="BL8" s="14" t="e">
        <f t="shared" si="20"/>
        <v>#VALUE!</v>
      </c>
      <c r="BM8" s="14" t="e">
        <f t="shared" si="20"/>
        <v>#VALUE!</v>
      </c>
      <c r="BN8" s="14" t="e">
        <f t="shared" si="20"/>
        <v>#VALUE!</v>
      </c>
      <c r="BO8" s="15" t="e">
        <f t="shared" si="20"/>
        <v>#VALUE!</v>
      </c>
      <c r="BP8" s="16" t="e">
        <f t="shared" si="20"/>
        <v>#VALUE!</v>
      </c>
      <c r="BQ8" s="13" t="e">
        <f t="shared" si="20"/>
        <v>#VALUE!</v>
      </c>
      <c r="BR8" s="14" t="e">
        <f t="shared" si="20"/>
        <v>#VALUE!</v>
      </c>
      <c r="BS8" s="14" t="e">
        <f t="shared" si="20"/>
        <v>#VALUE!</v>
      </c>
      <c r="BT8" s="14" t="e">
        <f t="shared" si="20"/>
        <v>#VALUE!</v>
      </c>
      <c r="BU8" s="14" t="e">
        <f t="shared" si="20"/>
        <v>#VALUE!</v>
      </c>
      <c r="BV8" s="15" t="e">
        <f t="shared" si="20"/>
        <v>#VALUE!</v>
      </c>
      <c r="BW8" s="16" t="e">
        <f t="shared" ref="BW8:CL23" si="21">IF(AND(BW$5&gt;=$C8,BW$5&lt;=$E8),1,"")</f>
        <v>#VALUE!</v>
      </c>
      <c r="BX8" s="13" t="e">
        <f t="shared" si="21"/>
        <v>#VALUE!</v>
      </c>
      <c r="BY8" s="14" t="e">
        <f t="shared" si="21"/>
        <v>#VALUE!</v>
      </c>
      <c r="BZ8" s="14" t="e">
        <f t="shared" si="21"/>
        <v>#VALUE!</v>
      </c>
      <c r="CA8" s="14" t="e">
        <f t="shared" si="21"/>
        <v>#VALUE!</v>
      </c>
      <c r="CB8" s="14" t="e">
        <f t="shared" si="21"/>
        <v>#VALUE!</v>
      </c>
      <c r="CC8" s="15" t="e">
        <f t="shared" si="21"/>
        <v>#VALUE!</v>
      </c>
      <c r="CD8" s="16" t="e">
        <f t="shared" si="21"/>
        <v>#VALUE!</v>
      </c>
      <c r="CE8" s="13" t="e">
        <f t="shared" si="21"/>
        <v>#VALUE!</v>
      </c>
      <c r="CF8" s="14" t="e">
        <f t="shared" si="21"/>
        <v>#VALUE!</v>
      </c>
      <c r="CG8" s="14" t="e">
        <f t="shared" si="21"/>
        <v>#VALUE!</v>
      </c>
      <c r="CH8" s="14" t="e">
        <f t="shared" si="21"/>
        <v>#VALUE!</v>
      </c>
      <c r="CI8" s="14" t="e">
        <f t="shared" si="21"/>
        <v>#VALUE!</v>
      </c>
      <c r="CJ8" s="15" t="e">
        <f t="shared" si="21"/>
        <v>#VALUE!</v>
      </c>
      <c r="CK8" s="16" t="e">
        <f t="shared" si="21"/>
        <v>#VALUE!</v>
      </c>
      <c r="CL8" s="13" t="e">
        <f t="shared" si="21"/>
        <v>#VALUE!</v>
      </c>
      <c r="CM8" s="14" t="e">
        <f t="shared" ref="CM8:DB23" si="22">IF(AND(CM$5&gt;=$C8,CM$5&lt;=$E8),1,"")</f>
        <v>#VALUE!</v>
      </c>
      <c r="CN8" s="14" t="e">
        <f t="shared" si="22"/>
        <v>#VALUE!</v>
      </c>
      <c r="CO8" s="14" t="e">
        <f t="shared" si="22"/>
        <v>#VALUE!</v>
      </c>
      <c r="CP8" s="14" t="e">
        <f t="shared" si="22"/>
        <v>#VALUE!</v>
      </c>
      <c r="CQ8" s="15" t="e">
        <f t="shared" si="22"/>
        <v>#VALUE!</v>
      </c>
      <c r="CR8" s="16" t="e">
        <f t="shared" si="22"/>
        <v>#VALUE!</v>
      </c>
      <c r="CS8" s="13" t="e">
        <f t="shared" si="22"/>
        <v>#VALUE!</v>
      </c>
      <c r="CT8" s="14" t="e">
        <f t="shared" si="22"/>
        <v>#VALUE!</v>
      </c>
      <c r="CU8" s="14" t="e">
        <f t="shared" si="22"/>
        <v>#VALUE!</v>
      </c>
      <c r="CV8" s="14" t="e">
        <f t="shared" si="22"/>
        <v>#VALUE!</v>
      </c>
      <c r="CW8" s="14" t="e">
        <f t="shared" si="22"/>
        <v>#VALUE!</v>
      </c>
      <c r="CX8" s="15" t="e">
        <f t="shared" si="22"/>
        <v>#VALUE!</v>
      </c>
      <c r="CY8" s="16" t="e">
        <f t="shared" si="22"/>
        <v>#VALUE!</v>
      </c>
      <c r="CZ8" s="13" t="e">
        <f t="shared" si="22"/>
        <v>#VALUE!</v>
      </c>
      <c r="DA8" s="14" t="e">
        <f t="shared" si="22"/>
        <v>#VALUE!</v>
      </c>
      <c r="DB8" s="14" t="e">
        <f t="shared" si="22"/>
        <v>#VALUE!</v>
      </c>
      <c r="DC8" s="14" t="e">
        <f t="shared" ref="DC8:DT22" si="23">IF(AND(DC$5&gt;=$C8,DC$5&lt;=$E8),1,"")</f>
        <v>#VALUE!</v>
      </c>
      <c r="DD8" s="14" t="e">
        <f t="shared" si="23"/>
        <v>#VALUE!</v>
      </c>
      <c r="DE8" s="15" t="e">
        <f t="shared" si="23"/>
        <v>#VALUE!</v>
      </c>
      <c r="DF8" s="16" t="e">
        <f t="shared" si="23"/>
        <v>#VALUE!</v>
      </c>
      <c r="DG8" s="13" t="e">
        <f t="shared" si="23"/>
        <v>#VALUE!</v>
      </c>
      <c r="DH8" s="14" t="e">
        <f t="shared" si="23"/>
        <v>#VALUE!</v>
      </c>
      <c r="DI8" s="14" t="e">
        <f t="shared" si="23"/>
        <v>#VALUE!</v>
      </c>
      <c r="DJ8" s="14" t="e">
        <f t="shared" si="23"/>
        <v>#VALUE!</v>
      </c>
      <c r="DK8" s="14" t="e">
        <f t="shared" si="23"/>
        <v>#VALUE!</v>
      </c>
      <c r="DL8" s="15" t="e">
        <f t="shared" si="23"/>
        <v>#VALUE!</v>
      </c>
      <c r="DM8" s="16" t="e">
        <f t="shared" si="23"/>
        <v>#VALUE!</v>
      </c>
      <c r="DN8" s="13" t="e">
        <f t="shared" si="23"/>
        <v>#VALUE!</v>
      </c>
      <c r="DO8" s="14" t="e">
        <f t="shared" si="23"/>
        <v>#VALUE!</v>
      </c>
      <c r="DP8" s="14" t="e">
        <f t="shared" si="23"/>
        <v>#VALUE!</v>
      </c>
      <c r="DQ8" s="14" t="e">
        <f t="shared" si="23"/>
        <v>#VALUE!</v>
      </c>
      <c r="DR8" s="14" t="e">
        <f t="shared" si="23"/>
        <v>#VALUE!</v>
      </c>
      <c r="DS8" s="15" t="e">
        <f t="shared" si="23"/>
        <v>#VALUE!</v>
      </c>
      <c r="DT8" s="16" t="e">
        <f t="shared" si="23"/>
        <v>#VALUE!</v>
      </c>
    </row>
    <row r="9" spans="1:124" s="17" customFormat="1" ht="9.75" customHeight="1">
      <c r="A9" s="586"/>
      <c r="B9" s="69" t="str">
        <f>IF(B1="SFK Freight Forwarder","","Day ILN Order")</f>
        <v>Day ILN Order</v>
      </c>
      <c r="C9" s="19" t="str">
        <f>IF(B1="SFK Freight Forwarder",0,_xlfn.XLOOKUP(A25,'VTT actif'!B:B,'VTT actif'!Q:Q,"-",0))</f>
        <v>-</v>
      </c>
      <c r="D9" s="70">
        <v>0</v>
      </c>
      <c r="E9" s="19" t="e">
        <f>(C9+D9)</f>
        <v>#VALUE!</v>
      </c>
      <c r="F9" s="13" t="e">
        <f>IF(AND(F$5&gt;=$C9,F$5&lt;=$E9),1,"")</f>
        <v>#VALUE!</v>
      </c>
      <c r="G9" s="14" t="e">
        <f t="shared" si="17"/>
        <v>#VALUE!</v>
      </c>
      <c r="H9" s="14" t="e">
        <f t="shared" si="17"/>
        <v>#VALUE!</v>
      </c>
      <c r="I9" s="14" t="e">
        <f t="shared" si="17"/>
        <v>#VALUE!</v>
      </c>
      <c r="J9" s="14" t="e">
        <f t="shared" si="17"/>
        <v>#VALUE!</v>
      </c>
      <c r="K9" s="15" t="e">
        <f t="shared" si="17"/>
        <v>#VALUE!</v>
      </c>
      <c r="L9" s="16" t="e">
        <f t="shared" si="17"/>
        <v>#VALUE!</v>
      </c>
      <c r="M9" s="13" t="e">
        <f t="shared" si="17"/>
        <v>#VALUE!</v>
      </c>
      <c r="N9" s="14" t="e">
        <f t="shared" si="17"/>
        <v>#VALUE!</v>
      </c>
      <c r="O9" s="14" t="e">
        <f t="shared" si="17"/>
        <v>#VALUE!</v>
      </c>
      <c r="P9" s="14" t="e">
        <f t="shared" si="17"/>
        <v>#VALUE!</v>
      </c>
      <c r="Q9" s="14" t="e">
        <f t="shared" si="17"/>
        <v>#VALUE!</v>
      </c>
      <c r="R9" s="15" t="e">
        <f t="shared" si="17"/>
        <v>#VALUE!</v>
      </c>
      <c r="S9" s="16" t="e">
        <f t="shared" si="17"/>
        <v>#VALUE!</v>
      </c>
      <c r="T9" s="13" t="e">
        <f t="shared" si="17"/>
        <v>#VALUE!</v>
      </c>
      <c r="U9" s="14" t="e">
        <f t="shared" si="17"/>
        <v>#VALUE!</v>
      </c>
      <c r="V9" s="14" t="e">
        <f t="shared" si="17"/>
        <v>#VALUE!</v>
      </c>
      <c r="W9" s="14" t="e">
        <f t="shared" si="17"/>
        <v>#VALUE!</v>
      </c>
      <c r="X9" s="14" t="e">
        <f t="shared" si="17"/>
        <v>#VALUE!</v>
      </c>
      <c r="Y9" s="15" t="e">
        <f t="shared" si="17"/>
        <v>#VALUE!</v>
      </c>
      <c r="Z9" s="16" t="e">
        <f t="shared" si="17"/>
        <v>#VALUE!</v>
      </c>
      <c r="AA9" s="13" t="e">
        <f t="shared" si="18"/>
        <v>#VALUE!</v>
      </c>
      <c r="AB9" s="14" t="e">
        <f t="shared" si="18"/>
        <v>#VALUE!</v>
      </c>
      <c r="AC9" s="14" t="e">
        <f t="shared" si="18"/>
        <v>#VALUE!</v>
      </c>
      <c r="AD9" s="14" t="e">
        <f t="shared" si="18"/>
        <v>#VALUE!</v>
      </c>
      <c r="AE9" s="14" t="e">
        <f t="shared" si="18"/>
        <v>#VALUE!</v>
      </c>
      <c r="AF9" s="15" t="e">
        <f t="shared" si="18"/>
        <v>#VALUE!</v>
      </c>
      <c r="AG9" s="16" t="e">
        <f t="shared" si="18"/>
        <v>#VALUE!</v>
      </c>
      <c r="AH9" s="13" t="e">
        <f t="shared" si="18"/>
        <v>#VALUE!</v>
      </c>
      <c r="AI9" s="14" t="e">
        <f t="shared" si="18"/>
        <v>#VALUE!</v>
      </c>
      <c r="AJ9" s="14" t="e">
        <f t="shared" si="18"/>
        <v>#VALUE!</v>
      </c>
      <c r="AK9" s="14" t="e">
        <f t="shared" si="18"/>
        <v>#VALUE!</v>
      </c>
      <c r="AL9" s="14" t="e">
        <f t="shared" si="18"/>
        <v>#VALUE!</v>
      </c>
      <c r="AM9" s="15" t="e">
        <f t="shared" si="18"/>
        <v>#VALUE!</v>
      </c>
      <c r="AN9" s="16" t="e">
        <f t="shared" si="18"/>
        <v>#VALUE!</v>
      </c>
      <c r="AO9" s="13" t="e">
        <f t="shared" si="18"/>
        <v>#VALUE!</v>
      </c>
      <c r="AP9" s="14" t="e">
        <f t="shared" si="18"/>
        <v>#VALUE!</v>
      </c>
      <c r="AQ9" s="14" t="e">
        <f t="shared" si="19"/>
        <v>#VALUE!</v>
      </c>
      <c r="AR9" s="14" t="e">
        <f t="shared" si="19"/>
        <v>#VALUE!</v>
      </c>
      <c r="AS9" s="14" t="e">
        <f t="shared" si="19"/>
        <v>#VALUE!</v>
      </c>
      <c r="AT9" s="15" t="e">
        <f t="shared" si="19"/>
        <v>#VALUE!</v>
      </c>
      <c r="AU9" s="16" t="e">
        <f t="shared" si="19"/>
        <v>#VALUE!</v>
      </c>
      <c r="AV9" s="13" t="e">
        <f t="shared" si="19"/>
        <v>#VALUE!</v>
      </c>
      <c r="AW9" s="14" t="e">
        <f t="shared" si="19"/>
        <v>#VALUE!</v>
      </c>
      <c r="AX9" s="14" t="e">
        <f t="shared" si="19"/>
        <v>#VALUE!</v>
      </c>
      <c r="AY9" s="14" t="e">
        <f t="shared" si="19"/>
        <v>#VALUE!</v>
      </c>
      <c r="AZ9" s="14" t="e">
        <f t="shared" si="19"/>
        <v>#VALUE!</v>
      </c>
      <c r="BA9" s="15" t="e">
        <f t="shared" si="19"/>
        <v>#VALUE!</v>
      </c>
      <c r="BB9" s="16" t="e">
        <f t="shared" si="19"/>
        <v>#VALUE!</v>
      </c>
      <c r="BC9" s="13" t="e">
        <f t="shared" si="19"/>
        <v>#VALUE!</v>
      </c>
      <c r="BD9" s="14" t="e">
        <f t="shared" si="19"/>
        <v>#VALUE!</v>
      </c>
      <c r="BE9" s="14" t="e">
        <f t="shared" si="19"/>
        <v>#VALUE!</v>
      </c>
      <c r="BF9" s="14" t="e">
        <f t="shared" si="19"/>
        <v>#VALUE!</v>
      </c>
      <c r="BG9" s="14" t="e">
        <f t="shared" si="20"/>
        <v>#VALUE!</v>
      </c>
      <c r="BH9" s="15" t="e">
        <f t="shared" si="20"/>
        <v>#VALUE!</v>
      </c>
      <c r="BI9" s="16" t="e">
        <f t="shared" si="20"/>
        <v>#VALUE!</v>
      </c>
      <c r="BJ9" s="13" t="e">
        <f t="shared" si="20"/>
        <v>#VALUE!</v>
      </c>
      <c r="BK9" s="14" t="e">
        <f t="shared" si="20"/>
        <v>#VALUE!</v>
      </c>
      <c r="BL9" s="14" t="e">
        <f t="shared" si="20"/>
        <v>#VALUE!</v>
      </c>
      <c r="BM9" s="14" t="e">
        <f t="shared" si="20"/>
        <v>#VALUE!</v>
      </c>
      <c r="BN9" s="14" t="e">
        <f t="shared" si="20"/>
        <v>#VALUE!</v>
      </c>
      <c r="BO9" s="15" t="e">
        <f t="shared" si="20"/>
        <v>#VALUE!</v>
      </c>
      <c r="BP9" s="16" t="e">
        <f t="shared" si="20"/>
        <v>#VALUE!</v>
      </c>
      <c r="BQ9" s="13" t="e">
        <f t="shared" si="20"/>
        <v>#VALUE!</v>
      </c>
      <c r="BR9" s="14" t="e">
        <f t="shared" si="20"/>
        <v>#VALUE!</v>
      </c>
      <c r="BS9" s="14" t="e">
        <f t="shared" si="20"/>
        <v>#VALUE!</v>
      </c>
      <c r="BT9" s="14" t="e">
        <f t="shared" si="20"/>
        <v>#VALUE!</v>
      </c>
      <c r="BU9" s="14" t="e">
        <f t="shared" si="20"/>
        <v>#VALUE!</v>
      </c>
      <c r="BV9" s="15" t="e">
        <f t="shared" si="20"/>
        <v>#VALUE!</v>
      </c>
      <c r="BW9" s="16" t="e">
        <f t="shared" si="21"/>
        <v>#VALUE!</v>
      </c>
      <c r="BX9" s="13" t="e">
        <f t="shared" si="21"/>
        <v>#VALUE!</v>
      </c>
      <c r="BY9" s="14" t="e">
        <f t="shared" si="21"/>
        <v>#VALUE!</v>
      </c>
      <c r="BZ9" s="14" t="e">
        <f t="shared" si="21"/>
        <v>#VALUE!</v>
      </c>
      <c r="CA9" s="14" t="e">
        <f t="shared" si="21"/>
        <v>#VALUE!</v>
      </c>
      <c r="CB9" s="14" t="e">
        <f t="shared" si="21"/>
        <v>#VALUE!</v>
      </c>
      <c r="CC9" s="15" t="e">
        <f t="shared" si="21"/>
        <v>#VALUE!</v>
      </c>
      <c r="CD9" s="16" t="e">
        <f t="shared" si="21"/>
        <v>#VALUE!</v>
      </c>
      <c r="CE9" s="13" t="e">
        <f t="shared" si="21"/>
        <v>#VALUE!</v>
      </c>
      <c r="CF9" s="14" t="e">
        <f t="shared" si="21"/>
        <v>#VALUE!</v>
      </c>
      <c r="CG9" s="14" t="e">
        <f t="shared" si="21"/>
        <v>#VALUE!</v>
      </c>
      <c r="CH9" s="14" t="e">
        <f t="shared" si="21"/>
        <v>#VALUE!</v>
      </c>
      <c r="CI9" s="14" t="e">
        <f t="shared" si="21"/>
        <v>#VALUE!</v>
      </c>
      <c r="CJ9" s="15" t="e">
        <f t="shared" si="21"/>
        <v>#VALUE!</v>
      </c>
      <c r="CK9" s="16" t="e">
        <f t="shared" si="21"/>
        <v>#VALUE!</v>
      </c>
      <c r="CL9" s="13" t="e">
        <f t="shared" si="21"/>
        <v>#VALUE!</v>
      </c>
      <c r="CM9" s="14" t="e">
        <f t="shared" si="22"/>
        <v>#VALUE!</v>
      </c>
      <c r="CN9" s="14" t="e">
        <f t="shared" si="22"/>
        <v>#VALUE!</v>
      </c>
      <c r="CO9" s="14" t="e">
        <f t="shared" si="22"/>
        <v>#VALUE!</v>
      </c>
      <c r="CP9" s="14" t="e">
        <f t="shared" si="22"/>
        <v>#VALUE!</v>
      </c>
      <c r="CQ9" s="15" t="e">
        <f t="shared" si="22"/>
        <v>#VALUE!</v>
      </c>
      <c r="CR9" s="16" t="e">
        <f t="shared" si="22"/>
        <v>#VALUE!</v>
      </c>
      <c r="CS9" s="13" t="e">
        <f t="shared" si="22"/>
        <v>#VALUE!</v>
      </c>
      <c r="CT9" s="14" t="e">
        <f t="shared" si="22"/>
        <v>#VALUE!</v>
      </c>
      <c r="CU9" s="14" t="e">
        <f t="shared" si="22"/>
        <v>#VALUE!</v>
      </c>
      <c r="CV9" s="14" t="e">
        <f t="shared" si="22"/>
        <v>#VALUE!</v>
      </c>
      <c r="CW9" s="14" t="e">
        <f t="shared" si="22"/>
        <v>#VALUE!</v>
      </c>
      <c r="CX9" s="15" t="e">
        <f t="shared" si="22"/>
        <v>#VALUE!</v>
      </c>
      <c r="CY9" s="16" t="e">
        <f t="shared" si="22"/>
        <v>#VALUE!</v>
      </c>
      <c r="CZ9" s="13" t="e">
        <f t="shared" si="22"/>
        <v>#VALUE!</v>
      </c>
      <c r="DA9" s="14" t="e">
        <f t="shared" si="22"/>
        <v>#VALUE!</v>
      </c>
      <c r="DB9" s="14" t="e">
        <f t="shared" si="22"/>
        <v>#VALUE!</v>
      </c>
      <c r="DC9" s="14" t="e">
        <f t="shared" si="23"/>
        <v>#VALUE!</v>
      </c>
      <c r="DD9" s="14" t="e">
        <f t="shared" si="23"/>
        <v>#VALUE!</v>
      </c>
      <c r="DE9" s="15" t="e">
        <f t="shared" si="23"/>
        <v>#VALUE!</v>
      </c>
      <c r="DF9" s="16" t="e">
        <f t="shared" si="23"/>
        <v>#VALUE!</v>
      </c>
      <c r="DG9" s="13" t="e">
        <f t="shared" si="23"/>
        <v>#VALUE!</v>
      </c>
      <c r="DH9" s="14" t="e">
        <f t="shared" si="23"/>
        <v>#VALUE!</v>
      </c>
      <c r="DI9" s="14" t="e">
        <f t="shared" si="23"/>
        <v>#VALUE!</v>
      </c>
      <c r="DJ9" s="14" t="e">
        <f t="shared" si="23"/>
        <v>#VALUE!</v>
      </c>
      <c r="DK9" s="14" t="e">
        <f t="shared" si="23"/>
        <v>#VALUE!</v>
      </c>
      <c r="DL9" s="15" t="e">
        <f t="shared" si="23"/>
        <v>#VALUE!</v>
      </c>
      <c r="DM9" s="16" t="e">
        <f t="shared" si="23"/>
        <v>#VALUE!</v>
      </c>
      <c r="DN9" s="13" t="e">
        <f t="shared" si="23"/>
        <v>#VALUE!</v>
      </c>
      <c r="DO9" s="14" t="e">
        <f t="shared" si="23"/>
        <v>#VALUE!</v>
      </c>
      <c r="DP9" s="14" t="e">
        <f t="shared" si="23"/>
        <v>#VALUE!</v>
      </c>
      <c r="DQ9" s="14" t="e">
        <f t="shared" si="23"/>
        <v>#VALUE!</v>
      </c>
      <c r="DR9" s="14" t="e">
        <f t="shared" si="23"/>
        <v>#VALUE!</v>
      </c>
      <c r="DS9" s="15" t="e">
        <f t="shared" si="23"/>
        <v>#VALUE!</v>
      </c>
      <c r="DT9" s="16" t="e">
        <f t="shared" si="23"/>
        <v>#VALUE!</v>
      </c>
    </row>
    <row r="10" spans="1:124" s="17" customFormat="1" ht="9.75" customHeight="1">
      <c r="A10" s="586"/>
      <c r="B10" s="69" t="str">
        <f>IF(B1="SFK Freight Forwarder","","Time of recept in AILN")</f>
        <v>Time of recept in AILN</v>
      </c>
      <c r="C10" s="19" t="e">
        <f>IF(B1="SFK Freight Forwarder",0,_xlfn.XLOOKUP(A25,'VTT actif'!B:B,'VTT actif'!R:R,"-",0)+E9-1)</f>
        <v>#VALUE!</v>
      </c>
      <c r="D10" s="19" t="str">
        <f>IF(B1="SFK Freight Forwarder",0,_xlfn.XLOOKUP(A25,'VTT actif'!B:B,'VTT actif'!S:S,"-",0))</f>
        <v>-</v>
      </c>
      <c r="E10" s="19" t="e">
        <f>IF(B1="SFK Freight Forwarder",0,(C10+D10)-1)</f>
        <v>#VALUE!</v>
      </c>
      <c r="F10" s="13" t="e">
        <f t="shared" ref="F10:BQ10" si="24">IF(AND(F$5&gt;=$C10,F$5&lt;=$E10),1,"")</f>
        <v>#VALUE!</v>
      </c>
      <c r="G10" s="14" t="e">
        <f t="shared" si="24"/>
        <v>#VALUE!</v>
      </c>
      <c r="H10" s="14" t="e">
        <f t="shared" si="24"/>
        <v>#VALUE!</v>
      </c>
      <c r="I10" s="14" t="e">
        <f t="shared" si="24"/>
        <v>#VALUE!</v>
      </c>
      <c r="J10" s="14" t="e">
        <f t="shared" si="24"/>
        <v>#VALUE!</v>
      </c>
      <c r="K10" s="15" t="e">
        <f t="shared" si="24"/>
        <v>#VALUE!</v>
      </c>
      <c r="L10" s="16" t="e">
        <f t="shared" si="24"/>
        <v>#VALUE!</v>
      </c>
      <c r="M10" s="13" t="e">
        <f t="shared" si="24"/>
        <v>#VALUE!</v>
      </c>
      <c r="N10" s="14" t="e">
        <f t="shared" si="24"/>
        <v>#VALUE!</v>
      </c>
      <c r="O10" s="14" t="e">
        <f t="shared" si="24"/>
        <v>#VALUE!</v>
      </c>
      <c r="P10" s="14" t="e">
        <f t="shared" si="24"/>
        <v>#VALUE!</v>
      </c>
      <c r="Q10" s="14" t="e">
        <f t="shared" si="24"/>
        <v>#VALUE!</v>
      </c>
      <c r="R10" s="15" t="e">
        <f t="shared" si="24"/>
        <v>#VALUE!</v>
      </c>
      <c r="S10" s="16" t="e">
        <f t="shared" si="24"/>
        <v>#VALUE!</v>
      </c>
      <c r="T10" s="13" t="e">
        <f t="shared" si="24"/>
        <v>#VALUE!</v>
      </c>
      <c r="U10" s="14" t="e">
        <f t="shared" si="24"/>
        <v>#VALUE!</v>
      </c>
      <c r="V10" s="14" t="e">
        <f t="shared" si="24"/>
        <v>#VALUE!</v>
      </c>
      <c r="W10" s="14" t="e">
        <f t="shared" si="24"/>
        <v>#VALUE!</v>
      </c>
      <c r="X10" s="14" t="e">
        <f t="shared" si="24"/>
        <v>#VALUE!</v>
      </c>
      <c r="Y10" s="15" t="e">
        <f t="shared" si="24"/>
        <v>#VALUE!</v>
      </c>
      <c r="Z10" s="16" t="e">
        <f t="shared" si="24"/>
        <v>#VALUE!</v>
      </c>
      <c r="AA10" s="13" t="e">
        <f t="shared" si="24"/>
        <v>#VALUE!</v>
      </c>
      <c r="AB10" s="14" t="e">
        <f t="shared" si="24"/>
        <v>#VALUE!</v>
      </c>
      <c r="AC10" s="14" t="e">
        <f t="shared" si="24"/>
        <v>#VALUE!</v>
      </c>
      <c r="AD10" s="14" t="e">
        <f t="shared" si="24"/>
        <v>#VALUE!</v>
      </c>
      <c r="AE10" s="14" t="e">
        <f t="shared" si="24"/>
        <v>#VALUE!</v>
      </c>
      <c r="AF10" s="15" t="e">
        <f t="shared" si="24"/>
        <v>#VALUE!</v>
      </c>
      <c r="AG10" s="16" t="e">
        <f t="shared" si="24"/>
        <v>#VALUE!</v>
      </c>
      <c r="AH10" s="13" t="e">
        <f t="shared" si="24"/>
        <v>#VALUE!</v>
      </c>
      <c r="AI10" s="14" t="e">
        <f t="shared" si="24"/>
        <v>#VALUE!</v>
      </c>
      <c r="AJ10" s="14" t="e">
        <f t="shared" si="24"/>
        <v>#VALUE!</v>
      </c>
      <c r="AK10" s="14" t="e">
        <f t="shared" si="24"/>
        <v>#VALUE!</v>
      </c>
      <c r="AL10" s="14" t="e">
        <f t="shared" si="24"/>
        <v>#VALUE!</v>
      </c>
      <c r="AM10" s="15" t="e">
        <f t="shared" si="24"/>
        <v>#VALUE!</v>
      </c>
      <c r="AN10" s="16" t="e">
        <f t="shared" si="24"/>
        <v>#VALUE!</v>
      </c>
      <c r="AO10" s="13" t="e">
        <f t="shared" si="24"/>
        <v>#VALUE!</v>
      </c>
      <c r="AP10" s="14" t="e">
        <f t="shared" si="24"/>
        <v>#VALUE!</v>
      </c>
      <c r="AQ10" s="14" t="e">
        <f t="shared" si="24"/>
        <v>#VALUE!</v>
      </c>
      <c r="AR10" s="14" t="e">
        <f t="shared" si="24"/>
        <v>#VALUE!</v>
      </c>
      <c r="AS10" s="14" t="e">
        <f t="shared" si="24"/>
        <v>#VALUE!</v>
      </c>
      <c r="AT10" s="15" t="e">
        <f t="shared" si="24"/>
        <v>#VALUE!</v>
      </c>
      <c r="AU10" s="16" t="e">
        <f t="shared" si="24"/>
        <v>#VALUE!</v>
      </c>
      <c r="AV10" s="13" t="e">
        <f t="shared" si="24"/>
        <v>#VALUE!</v>
      </c>
      <c r="AW10" s="14" t="e">
        <f t="shared" si="24"/>
        <v>#VALUE!</v>
      </c>
      <c r="AX10" s="14" t="e">
        <f t="shared" si="24"/>
        <v>#VALUE!</v>
      </c>
      <c r="AY10" s="14" t="e">
        <f t="shared" si="24"/>
        <v>#VALUE!</v>
      </c>
      <c r="AZ10" s="14" t="e">
        <f t="shared" si="24"/>
        <v>#VALUE!</v>
      </c>
      <c r="BA10" s="15" t="e">
        <f t="shared" si="24"/>
        <v>#VALUE!</v>
      </c>
      <c r="BB10" s="16" t="e">
        <f t="shared" si="24"/>
        <v>#VALUE!</v>
      </c>
      <c r="BC10" s="13" t="e">
        <f t="shared" si="24"/>
        <v>#VALUE!</v>
      </c>
      <c r="BD10" s="14" t="e">
        <f t="shared" si="24"/>
        <v>#VALUE!</v>
      </c>
      <c r="BE10" s="14" t="e">
        <f t="shared" si="24"/>
        <v>#VALUE!</v>
      </c>
      <c r="BF10" s="14" t="e">
        <f t="shared" si="24"/>
        <v>#VALUE!</v>
      </c>
      <c r="BG10" s="14" t="e">
        <f t="shared" si="24"/>
        <v>#VALUE!</v>
      </c>
      <c r="BH10" s="15" t="e">
        <f t="shared" si="24"/>
        <v>#VALUE!</v>
      </c>
      <c r="BI10" s="16" t="e">
        <f t="shared" si="24"/>
        <v>#VALUE!</v>
      </c>
      <c r="BJ10" s="13" t="e">
        <f t="shared" si="24"/>
        <v>#VALUE!</v>
      </c>
      <c r="BK10" s="14" t="e">
        <f t="shared" si="24"/>
        <v>#VALUE!</v>
      </c>
      <c r="BL10" s="14" t="e">
        <f t="shared" si="24"/>
        <v>#VALUE!</v>
      </c>
      <c r="BM10" s="14" t="e">
        <f t="shared" si="24"/>
        <v>#VALUE!</v>
      </c>
      <c r="BN10" s="14" t="e">
        <f t="shared" si="24"/>
        <v>#VALUE!</v>
      </c>
      <c r="BO10" s="15" t="e">
        <f t="shared" si="24"/>
        <v>#VALUE!</v>
      </c>
      <c r="BP10" s="16" t="e">
        <f t="shared" si="24"/>
        <v>#VALUE!</v>
      </c>
      <c r="BQ10" s="13" t="e">
        <f t="shared" si="24"/>
        <v>#VALUE!</v>
      </c>
      <c r="BR10" s="14" t="e">
        <f t="shared" si="20"/>
        <v>#VALUE!</v>
      </c>
      <c r="BS10" s="14" t="e">
        <f t="shared" si="20"/>
        <v>#VALUE!</v>
      </c>
      <c r="BT10" s="14" t="e">
        <f t="shared" si="20"/>
        <v>#VALUE!</v>
      </c>
      <c r="BU10" s="14" t="e">
        <f t="shared" si="20"/>
        <v>#VALUE!</v>
      </c>
      <c r="BV10" s="15" t="e">
        <f t="shared" si="20"/>
        <v>#VALUE!</v>
      </c>
      <c r="BW10" s="16" t="e">
        <f t="shared" si="21"/>
        <v>#VALUE!</v>
      </c>
      <c r="BX10" s="13" t="e">
        <f t="shared" si="21"/>
        <v>#VALUE!</v>
      </c>
      <c r="BY10" s="14" t="e">
        <f t="shared" si="21"/>
        <v>#VALUE!</v>
      </c>
      <c r="BZ10" s="14" t="e">
        <f t="shared" si="21"/>
        <v>#VALUE!</v>
      </c>
      <c r="CA10" s="14" t="e">
        <f t="shared" si="21"/>
        <v>#VALUE!</v>
      </c>
      <c r="CB10" s="14" t="e">
        <f t="shared" si="21"/>
        <v>#VALUE!</v>
      </c>
      <c r="CC10" s="15" t="e">
        <f t="shared" si="21"/>
        <v>#VALUE!</v>
      </c>
      <c r="CD10" s="16" t="e">
        <f t="shared" si="21"/>
        <v>#VALUE!</v>
      </c>
      <c r="CE10" s="13" t="e">
        <f t="shared" si="21"/>
        <v>#VALUE!</v>
      </c>
      <c r="CF10" s="14" t="e">
        <f t="shared" si="21"/>
        <v>#VALUE!</v>
      </c>
      <c r="CG10" s="14" t="e">
        <f t="shared" si="21"/>
        <v>#VALUE!</v>
      </c>
      <c r="CH10" s="14" t="e">
        <f t="shared" si="21"/>
        <v>#VALUE!</v>
      </c>
      <c r="CI10" s="14" t="e">
        <f t="shared" si="21"/>
        <v>#VALUE!</v>
      </c>
      <c r="CJ10" s="15" t="e">
        <f t="shared" si="21"/>
        <v>#VALUE!</v>
      </c>
      <c r="CK10" s="16" t="e">
        <f t="shared" si="21"/>
        <v>#VALUE!</v>
      </c>
      <c r="CL10" s="13" t="e">
        <f t="shared" si="21"/>
        <v>#VALUE!</v>
      </c>
      <c r="CM10" s="14" t="e">
        <f t="shared" si="22"/>
        <v>#VALUE!</v>
      </c>
      <c r="CN10" s="14" t="e">
        <f t="shared" si="22"/>
        <v>#VALUE!</v>
      </c>
      <c r="CO10" s="14" t="e">
        <f t="shared" si="22"/>
        <v>#VALUE!</v>
      </c>
      <c r="CP10" s="14" t="e">
        <f t="shared" si="22"/>
        <v>#VALUE!</v>
      </c>
      <c r="CQ10" s="15" t="e">
        <f t="shared" si="22"/>
        <v>#VALUE!</v>
      </c>
      <c r="CR10" s="16" t="e">
        <f t="shared" si="22"/>
        <v>#VALUE!</v>
      </c>
      <c r="CS10" s="13" t="e">
        <f t="shared" si="22"/>
        <v>#VALUE!</v>
      </c>
      <c r="CT10" s="14" t="e">
        <f t="shared" si="22"/>
        <v>#VALUE!</v>
      </c>
      <c r="CU10" s="14" t="e">
        <f t="shared" si="22"/>
        <v>#VALUE!</v>
      </c>
      <c r="CV10" s="14" t="e">
        <f t="shared" si="22"/>
        <v>#VALUE!</v>
      </c>
      <c r="CW10" s="14" t="e">
        <f t="shared" si="22"/>
        <v>#VALUE!</v>
      </c>
      <c r="CX10" s="15" t="e">
        <f t="shared" si="22"/>
        <v>#VALUE!</v>
      </c>
      <c r="CY10" s="16" t="e">
        <f t="shared" si="22"/>
        <v>#VALUE!</v>
      </c>
      <c r="CZ10" s="13" t="e">
        <f t="shared" si="22"/>
        <v>#VALUE!</v>
      </c>
      <c r="DA10" s="14" t="e">
        <f t="shared" si="22"/>
        <v>#VALUE!</v>
      </c>
      <c r="DB10" s="14" t="e">
        <f t="shared" si="22"/>
        <v>#VALUE!</v>
      </c>
      <c r="DC10" s="14" t="e">
        <f t="shared" si="23"/>
        <v>#VALUE!</v>
      </c>
      <c r="DD10" s="14" t="e">
        <f t="shared" si="23"/>
        <v>#VALUE!</v>
      </c>
      <c r="DE10" s="15" t="e">
        <f t="shared" si="23"/>
        <v>#VALUE!</v>
      </c>
      <c r="DF10" s="16" t="e">
        <f t="shared" si="23"/>
        <v>#VALUE!</v>
      </c>
      <c r="DG10" s="13" t="e">
        <f t="shared" si="23"/>
        <v>#VALUE!</v>
      </c>
      <c r="DH10" s="14" t="e">
        <f t="shared" si="23"/>
        <v>#VALUE!</v>
      </c>
      <c r="DI10" s="14" t="e">
        <f t="shared" si="23"/>
        <v>#VALUE!</v>
      </c>
      <c r="DJ10" s="14" t="e">
        <f t="shared" si="23"/>
        <v>#VALUE!</v>
      </c>
      <c r="DK10" s="14" t="e">
        <f t="shared" si="23"/>
        <v>#VALUE!</v>
      </c>
      <c r="DL10" s="15" t="e">
        <f t="shared" si="23"/>
        <v>#VALUE!</v>
      </c>
      <c r="DM10" s="16" t="e">
        <f t="shared" si="23"/>
        <v>#VALUE!</v>
      </c>
      <c r="DN10" s="13" t="e">
        <f t="shared" si="23"/>
        <v>#VALUE!</v>
      </c>
      <c r="DO10" s="14" t="e">
        <f t="shared" si="23"/>
        <v>#VALUE!</v>
      </c>
      <c r="DP10" s="14" t="e">
        <f t="shared" si="23"/>
        <v>#VALUE!</v>
      </c>
      <c r="DQ10" s="14" t="e">
        <f t="shared" si="23"/>
        <v>#VALUE!</v>
      </c>
      <c r="DR10" s="14" t="e">
        <f t="shared" si="23"/>
        <v>#VALUE!</v>
      </c>
      <c r="DS10" s="15" t="e">
        <f t="shared" si="23"/>
        <v>#VALUE!</v>
      </c>
      <c r="DT10" s="16" t="e">
        <f t="shared" si="23"/>
        <v>#VALUE!</v>
      </c>
    </row>
    <row r="11" spans="1:124" s="17" customFormat="1" ht="9.75" customHeight="1">
      <c r="A11" s="586"/>
      <c r="B11" s="18" t="s">
        <v>41</v>
      </c>
      <c r="C11" s="19" t="e">
        <f>_xlfn.XLOOKUP(A25,'VTT actif'!B:B,'VTT actif'!U:U,"-",0)+1</f>
        <v>#VALUE!</v>
      </c>
      <c r="D11" s="19" t="str">
        <f>_xlfn.XLOOKUP(A25,'VTT actif'!B:B,'VTT actif'!T:T,"-",0)</f>
        <v>-</v>
      </c>
      <c r="E11" s="19" t="e">
        <f t="shared" ref="E11:E24" si="25">(C11+D11)-1</f>
        <v>#VALUE!</v>
      </c>
      <c r="F11" s="13" t="e">
        <f t="shared" si="17"/>
        <v>#VALUE!</v>
      </c>
      <c r="G11" s="14" t="e">
        <f t="shared" si="17"/>
        <v>#VALUE!</v>
      </c>
      <c r="H11" s="14" t="e">
        <f t="shared" si="17"/>
        <v>#VALUE!</v>
      </c>
      <c r="I11" s="14" t="e">
        <f t="shared" si="17"/>
        <v>#VALUE!</v>
      </c>
      <c r="J11" s="14" t="e">
        <f t="shared" si="17"/>
        <v>#VALUE!</v>
      </c>
      <c r="K11" s="15" t="e">
        <f t="shared" si="17"/>
        <v>#VALUE!</v>
      </c>
      <c r="L11" s="16" t="e">
        <f t="shared" si="17"/>
        <v>#VALUE!</v>
      </c>
      <c r="M11" s="13" t="e">
        <f t="shared" si="17"/>
        <v>#VALUE!</v>
      </c>
      <c r="N11" s="14" t="e">
        <f t="shared" si="17"/>
        <v>#VALUE!</v>
      </c>
      <c r="O11" s="14" t="e">
        <f t="shared" si="17"/>
        <v>#VALUE!</v>
      </c>
      <c r="P11" s="14" t="e">
        <f t="shared" si="17"/>
        <v>#VALUE!</v>
      </c>
      <c r="Q11" s="14" t="e">
        <f t="shared" si="17"/>
        <v>#VALUE!</v>
      </c>
      <c r="R11" s="15" t="e">
        <f t="shared" si="17"/>
        <v>#VALUE!</v>
      </c>
      <c r="S11" s="16" t="e">
        <f t="shared" si="17"/>
        <v>#VALUE!</v>
      </c>
      <c r="T11" s="13" t="e">
        <f t="shared" si="17"/>
        <v>#VALUE!</v>
      </c>
      <c r="U11" s="14" t="e">
        <f t="shared" si="17"/>
        <v>#VALUE!</v>
      </c>
      <c r="V11" s="14" t="e">
        <f t="shared" si="17"/>
        <v>#VALUE!</v>
      </c>
      <c r="W11" s="14" t="e">
        <f t="shared" si="17"/>
        <v>#VALUE!</v>
      </c>
      <c r="X11" s="14" t="e">
        <f t="shared" si="17"/>
        <v>#VALUE!</v>
      </c>
      <c r="Y11" s="15" t="e">
        <f t="shared" si="17"/>
        <v>#VALUE!</v>
      </c>
      <c r="Z11" s="16" t="e">
        <f t="shared" si="17"/>
        <v>#VALUE!</v>
      </c>
      <c r="AA11" s="13" t="e">
        <f t="shared" si="18"/>
        <v>#VALUE!</v>
      </c>
      <c r="AB11" s="14" t="e">
        <f t="shared" si="18"/>
        <v>#VALUE!</v>
      </c>
      <c r="AC11" s="14" t="e">
        <f t="shared" si="18"/>
        <v>#VALUE!</v>
      </c>
      <c r="AD11" s="14" t="e">
        <f t="shared" si="18"/>
        <v>#VALUE!</v>
      </c>
      <c r="AE11" s="14" t="e">
        <f t="shared" si="18"/>
        <v>#VALUE!</v>
      </c>
      <c r="AF11" s="15" t="e">
        <f t="shared" si="18"/>
        <v>#VALUE!</v>
      </c>
      <c r="AG11" s="16" t="e">
        <f t="shared" si="18"/>
        <v>#VALUE!</v>
      </c>
      <c r="AH11" s="13" t="e">
        <f t="shared" si="18"/>
        <v>#VALUE!</v>
      </c>
      <c r="AI11" s="14" t="e">
        <f t="shared" si="18"/>
        <v>#VALUE!</v>
      </c>
      <c r="AJ11" s="14" t="e">
        <f t="shared" si="18"/>
        <v>#VALUE!</v>
      </c>
      <c r="AK11" s="14" t="e">
        <f t="shared" si="18"/>
        <v>#VALUE!</v>
      </c>
      <c r="AL11" s="14" t="e">
        <f t="shared" si="18"/>
        <v>#VALUE!</v>
      </c>
      <c r="AM11" s="15" t="e">
        <f t="shared" si="18"/>
        <v>#VALUE!</v>
      </c>
      <c r="AN11" s="16" t="e">
        <f t="shared" si="18"/>
        <v>#VALUE!</v>
      </c>
      <c r="AO11" s="13" t="e">
        <f t="shared" si="18"/>
        <v>#VALUE!</v>
      </c>
      <c r="AP11" s="14" t="e">
        <f t="shared" si="18"/>
        <v>#VALUE!</v>
      </c>
      <c r="AQ11" s="14" t="e">
        <f t="shared" si="19"/>
        <v>#VALUE!</v>
      </c>
      <c r="AR11" s="14" t="e">
        <f t="shared" si="19"/>
        <v>#VALUE!</v>
      </c>
      <c r="AS11" s="14" t="e">
        <f t="shared" si="19"/>
        <v>#VALUE!</v>
      </c>
      <c r="AT11" s="15" t="e">
        <f t="shared" si="19"/>
        <v>#VALUE!</v>
      </c>
      <c r="AU11" s="16" t="e">
        <f t="shared" si="19"/>
        <v>#VALUE!</v>
      </c>
      <c r="AV11" s="13" t="e">
        <f t="shared" si="19"/>
        <v>#VALUE!</v>
      </c>
      <c r="AW11" s="14" t="e">
        <f t="shared" si="19"/>
        <v>#VALUE!</v>
      </c>
      <c r="AX11" s="14" t="e">
        <f t="shared" si="19"/>
        <v>#VALUE!</v>
      </c>
      <c r="AY11" s="14" t="e">
        <f t="shared" si="19"/>
        <v>#VALUE!</v>
      </c>
      <c r="AZ11" s="14" t="e">
        <f t="shared" si="19"/>
        <v>#VALUE!</v>
      </c>
      <c r="BA11" s="15" t="e">
        <f t="shared" si="19"/>
        <v>#VALUE!</v>
      </c>
      <c r="BB11" s="16" t="e">
        <f t="shared" si="19"/>
        <v>#VALUE!</v>
      </c>
      <c r="BC11" s="13" t="e">
        <f t="shared" si="19"/>
        <v>#VALUE!</v>
      </c>
      <c r="BD11" s="14" t="e">
        <f t="shared" si="19"/>
        <v>#VALUE!</v>
      </c>
      <c r="BE11" s="14" t="e">
        <f t="shared" si="19"/>
        <v>#VALUE!</v>
      </c>
      <c r="BF11" s="14" t="e">
        <f t="shared" si="19"/>
        <v>#VALUE!</v>
      </c>
      <c r="BG11" s="14" t="e">
        <f t="shared" si="20"/>
        <v>#VALUE!</v>
      </c>
      <c r="BH11" s="15" t="e">
        <f t="shared" si="20"/>
        <v>#VALUE!</v>
      </c>
      <c r="BI11" s="16" t="e">
        <f t="shared" si="20"/>
        <v>#VALUE!</v>
      </c>
      <c r="BJ11" s="13" t="e">
        <f t="shared" si="20"/>
        <v>#VALUE!</v>
      </c>
      <c r="BK11" s="14" t="e">
        <f t="shared" si="20"/>
        <v>#VALUE!</v>
      </c>
      <c r="BL11" s="14" t="e">
        <f t="shared" si="20"/>
        <v>#VALUE!</v>
      </c>
      <c r="BM11" s="14" t="e">
        <f t="shared" si="20"/>
        <v>#VALUE!</v>
      </c>
      <c r="BN11" s="14" t="e">
        <f t="shared" si="20"/>
        <v>#VALUE!</v>
      </c>
      <c r="BO11" s="15" t="e">
        <f t="shared" si="20"/>
        <v>#VALUE!</v>
      </c>
      <c r="BP11" s="16" t="e">
        <f t="shared" si="20"/>
        <v>#VALUE!</v>
      </c>
      <c r="BQ11" s="13" t="e">
        <f t="shared" si="20"/>
        <v>#VALUE!</v>
      </c>
      <c r="BR11" s="14" t="e">
        <f t="shared" si="20"/>
        <v>#VALUE!</v>
      </c>
      <c r="BS11" s="14" t="e">
        <f t="shared" si="20"/>
        <v>#VALUE!</v>
      </c>
      <c r="BT11" s="14" t="e">
        <f t="shared" si="20"/>
        <v>#VALUE!</v>
      </c>
      <c r="BU11" s="14" t="e">
        <f t="shared" si="20"/>
        <v>#VALUE!</v>
      </c>
      <c r="BV11" s="15" t="e">
        <f t="shared" si="20"/>
        <v>#VALUE!</v>
      </c>
      <c r="BW11" s="16" t="e">
        <f t="shared" si="21"/>
        <v>#VALUE!</v>
      </c>
      <c r="BX11" s="13" t="e">
        <f t="shared" si="21"/>
        <v>#VALUE!</v>
      </c>
      <c r="BY11" s="14" t="e">
        <f t="shared" si="21"/>
        <v>#VALUE!</v>
      </c>
      <c r="BZ11" s="14" t="e">
        <f t="shared" si="21"/>
        <v>#VALUE!</v>
      </c>
      <c r="CA11" s="14" t="e">
        <f t="shared" si="21"/>
        <v>#VALUE!</v>
      </c>
      <c r="CB11" s="14" t="e">
        <f t="shared" si="21"/>
        <v>#VALUE!</v>
      </c>
      <c r="CC11" s="15" t="e">
        <f t="shared" si="21"/>
        <v>#VALUE!</v>
      </c>
      <c r="CD11" s="16" t="e">
        <f t="shared" si="21"/>
        <v>#VALUE!</v>
      </c>
      <c r="CE11" s="13" t="e">
        <f t="shared" si="21"/>
        <v>#VALUE!</v>
      </c>
      <c r="CF11" s="14" t="e">
        <f t="shared" si="21"/>
        <v>#VALUE!</v>
      </c>
      <c r="CG11" s="14" t="e">
        <f t="shared" si="21"/>
        <v>#VALUE!</v>
      </c>
      <c r="CH11" s="14" t="e">
        <f t="shared" si="21"/>
        <v>#VALUE!</v>
      </c>
      <c r="CI11" s="14" t="e">
        <f t="shared" si="21"/>
        <v>#VALUE!</v>
      </c>
      <c r="CJ11" s="15" t="e">
        <f t="shared" si="21"/>
        <v>#VALUE!</v>
      </c>
      <c r="CK11" s="16" t="e">
        <f t="shared" si="21"/>
        <v>#VALUE!</v>
      </c>
      <c r="CL11" s="13" t="e">
        <f t="shared" si="21"/>
        <v>#VALUE!</v>
      </c>
      <c r="CM11" s="14" t="e">
        <f t="shared" si="22"/>
        <v>#VALUE!</v>
      </c>
      <c r="CN11" s="14" t="e">
        <f t="shared" si="22"/>
        <v>#VALUE!</v>
      </c>
      <c r="CO11" s="14" t="e">
        <f t="shared" si="22"/>
        <v>#VALUE!</v>
      </c>
      <c r="CP11" s="14" t="e">
        <f t="shared" si="22"/>
        <v>#VALUE!</v>
      </c>
      <c r="CQ11" s="15" t="e">
        <f t="shared" si="22"/>
        <v>#VALUE!</v>
      </c>
      <c r="CR11" s="16" t="e">
        <f t="shared" si="22"/>
        <v>#VALUE!</v>
      </c>
      <c r="CS11" s="13" t="e">
        <f t="shared" si="22"/>
        <v>#VALUE!</v>
      </c>
      <c r="CT11" s="14" t="e">
        <f t="shared" si="22"/>
        <v>#VALUE!</v>
      </c>
      <c r="CU11" s="14" t="e">
        <f t="shared" si="22"/>
        <v>#VALUE!</v>
      </c>
      <c r="CV11" s="14" t="e">
        <f t="shared" si="22"/>
        <v>#VALUE!</v>
      </c>
      <c r="CW11" s="14" t="e">
        <f t="shared" si="22"/>
        <v>#VALUE!</v>
      </c>
      <c r="CX11" s="15" t="e">
        <f t="shared" si="22"/>
        <v>#VALUE!</v>
      </c>
      <c r="CY11" s="16" t="e">
        <f t="shared" si="22"/>
        <v>#VALUE!</v>
      </c>
      <c r="CZ11" s="13" t="e">
        <f t="shared" si="22"/>
        <v>#VALUE!</v>
      </c>
      <c r="DA11" s="14" t="e">
        <f t="shared" si="22"/>
        <v>#VALUE!</v>
      </c>
      <c r="DB11" s="14" t="e">
        <f t="shared" si="22"/>
        <v>#VALUE!</v>
      </c>
      <c r="DC11" s="14" t="e">
        <f t="shared" si="23"/>
        <v>#VALUE!</v>
      </c>
      <c r="DD11" s="14" t="e">
        <f t="shared" si="23"/>
        <v>#VALUE!</v>
      </c>
      <c r="DE11" s="15" t="e">
        <f t="shared" si="23"/>
        <v>#VALUE!</v>
      </c>
      <c r="DF11" s="16" t="e">
        <f t="shared" si="23"/>
        <v>#VALUE!</v>
      </c>
      <c r="DG11" s="13" t="e">
        <f t="shared" si="23"/>
        <v>#VALUE!</v>
      </c>
      <c r="DH11" s="14" t="e">
        <f t="shared" si="23"/>
        <v>#VALUE!</v>
      </c>
      <c r="DI11" s="14" t="e">
        <f t="shared" si="23"/>
        <v>#VALUE!</v>
      </c>
      <c r="DJ11" s="14" t="e">
        <f t="shared" si="23"/>
        <v>#VALUE!</v>
      </c>
      <c r="DK11" s="14" t="e">
        <f t="shared" si="23"/>
        <v>#VALUE!</v>
      </c>
      <c r="DL11" s="15" t="e">
        <f t="shared" si="23"/>
        <v>#VALUE!</v>
      </c>
      <c r="DM11" s="16" t="e">
        <f t="shared" si="23"/>
        <v>#VALUE!</v>
      </c>
      <c r="DN11" s="13" t="e">
        <f t="shared" si="23"/>
        <v>#VALUE!</v>
      </c>
      <c r="DO11" s="14" t="e">
        <f t="shared" si="23"/>
        <v>#VALUE!</v>
      </c>
      <c r="DP11" s="14" t="e">
        <f t="shared" si="23"/>
        <v>#VALUE!</v>
      </c>
      <c r="DQ11" s="14" t="e">
        <f t="shared" si="23"/>
        <v>#VALUE!</v>
      </c>
      <c r="DR11" s="14" t="e">
        <f t="shared" si="23"/>
        <v>#VALUE!</v>
      </c>
      <c r="DS11" s="15" t="e">
        <f t="shared" si="23"/>
        <v>#VALUE!</v>
      </c>
      <c r="DT11" s="16" t="e">
        <f t="shared" si="23"/>
        <v>#VALUE!</v>
      </c>
    </row>
    <row r="12" spans="1:124" s="17" customFormat="1" ht="9.75" customHeight="1">
      <c r="A12" s="586"/>
      <c r="B12" s="18" t="s">
        <v>42</v>
      </c>
      <c r="C12" s="19" t="e">
        <f>E11+1</f>
        <v>#VALUE!</v>
      </c>
      <c r="D12" s="19" t="str">
        <f>_xlfn.XLOOKUP(A25,'VTT actif'!B:B,'VTT actif'!V:V,"-",0)</f>
        <v>-</v>
      </c>
      <c r="E12" s="21" t="e">
        <f>(C12+D12)-1</f>
        <v>#VALUE!</v>
      </c>
      <c r="F12" s="13" t="e">
        <f t="shared" si="17"/>
        <v>#VALUE!</v>
      </c>
      <c r="G12" s="14" t="e">
        <f t="shared" si="17"/>
        <v>#VALUE!</v>
      </c>
      <c r="H12" s="14" t="e">
        <f t="shared" si="17"/>
        <v>#VALUE!</v>
      </c>
      <c r="I12" s="14" t="e">
        <f t="shared" si="17"/>
        <v>#VALUE!</v>
      </c>
      <c r="J12" s="14" t="e">
        <f t="shared" si="17"/>
        <v>#VALUE!</v>
      </c>
      <c r="K12" s="15" t="e">
        <f t="shared" si="17"/>
        <v>#VALUE!</v>
      </c>
      <c r="L12" s="16" t="e">
        <f t="shared" si="17"/>
        <v>#VALUE!</v>
      </c>
      <c r="M12" s="13" t="e">
        <f t="shared" si="17"/>
        <v>#VALUE!</v>
      </c>
      <c r="N12" s="14" t="e">
        <f t="shared" si="17"/>
        <v>#VALUE!</v>
      </c>
      <c r="O12" s="14" t="e">
        <f t="shared" si="17"/>
        <v>#VALUE!</v>
      </c>
      <c r="P12" s="14" t="e">
        <f t="shared" si="17"/>
        <v>#VALUE!</v>
      </c>
      <c r="Q12" s="14" t="e">
        <f t="shared" si="17"/>
        <v>#VALUE!</v>
      </c>
      <c r="R12" s="15" t="e">
        <f t="shared" si="17"/>
        <v>#VALUE!</v>
      </c>
      <c r="S12" s="16" t="e">
        <f t="shared" si="17"/>
        <v>#VALUE!</v>
      </c>
      <c r="T12" s="13" t="e">
        <f t="shared" si="17"/>
        <v>#VALUE!</v>
      </c>
      <c r="U12" s="14" t="e">
        <f t="shared" si="17"/>
        <v>#VALUE!</v>
      </c>
      <c r="V12" s="14" t="e">
        <f t="shared" si="17"/>
        <v>#VALUE!</v>
      </c>
      <c r="W12" s="14" t="e">
        <f t="shared" si="17"/>
        <v>#VALUE!</v>
      </c>
      <c r="X12" s="14" t="e">
        <f t="shared" si="17"/>
        <v>#VALUE!</v>
      </c>
      <c r="Y12" s="15" t="e">
        <f t="shared" si="17"/>
        <v>#VALUE!</v>
      </c>
      <c r="Z12" s="16" t="e">
        <f t="shared" si="17"/>
        <v>#VALUE!</v>
      </c>
      <c r="AA12" s="13" t="e">
        <f t="shared" si="18"/>
        <v>#VALUE!</v>
      </c>
      <c r="AB12" s="14" t="e">
        <f t="shared" si="18"/>
        <v>#VALUE!</v>
      </c>
      <c r="AC12" s="14" t="e">
        <f t="shared" si="18"/>
        <v>#VALUE!</v>
      </c>
      <c r="AD12" s="14" t="e">
        <f t="shared" si="18"/>
        <v>#VALUE!</v>
      </c>
      <c r="AE12" s="14" t="e">
        <f t="shared" si="18"/>
        <v>#VALUE!</v>
      </c>
      <c r="AF12" s="15" t="e">
        <f t="shared" si="18"/>
        <v>#VALUE!</v>
      </c>
      <c r="AG12" s="16" t="e">
        <f t="shared" si="18"/>
        <v>#VALUE!</v>
      </c>
      <c r="AH12" s="13" t="e">
        <f t="shared" si="18"/>
        <v>#VALUE!</v>
      </c>
      <c r="AI12" s="14" t="e">
        <f t="shared" si="18"/>
        <v>#VALUE!</v>
      </c>
      <c r="AJ12" s="14" t="e">
        <f t="shared" si="18"/>
        <v>#VALUE!</v>
      </c>
      <c r="AK12" s="14" t="e">
        <f t="shared" si="18"/>
        <v>#VALUE!</v>
      </c>
      <c r="AL12" s="14" t="e">
        <f t="shared" si="18"/>
        <v>#VALUE!</v>
      </c>
      <c r="AM12" s="15" t="e">
        <f t="shared" si="18"/>
        <v>#VALUE!</v>
      </c>
      <c r="AN12" s="16" t="e">
        <f t="shared" si="18"/>
        <v>#VALUE!</v>
      </c>
      <c r="AO12" s="13" t="e">
        <f t="shared" si="18"/>
        <v>#VALUE!</v>
      </c>
      <c r="AP12" s="14" t="e">
        <f t="shared" si="18"/>
        <v>#VALUE!</v>
      </c>
      <c r="AQ12" s="14" t="e">
        <f t="shared" si="19"/>
        <v>#VALUE!</v>
      </c>
      <c r="AR12" s="14" t="e">
        <f t="shared" si="19"/>
        <v>#VALUE!</v>
      </c>
      <c r="AS12" s="14" t="e">
        <f t="shared" si="19"/>
        <v>#VALUE!</v>
      </c>
      <c r="AT12" s="15" t="e">
        <f t="shared" si="19"/>
        <v>#VALUE!</v>
      </c>
      <c r="AU12" s="16" t="e">
        <f t="shared" si="19"/>
        <v>#VALUE!</v>
      </c>
      <c r="AV12" s="13" t="e">
        <f t="shared" si="19"/>
        <v>#VALUE!</v>
      </c>
      <c r="AW12" s="14" t="e">
        <f t="shared" si="19"/>
        <v>#VALUE!</v>
      </c>
      <c r="AX12" s="14" t="e">
        <f t="shared" si="19"/>
        <v>#VALUE!</v>
      </c>
      <c r="AY12" s="14" t="e">
        <f t="shared" si="19"/>
        <v>#VALUE!</v>
      </c>
      <c r="AZ12" s="14" t="e">
        <f t="shared" si="19"/>
        <v>#VALUE!</v>
      </c>
      <c r="BA12" s="15" t="e">
        <f t="shared" si="19"/>
        <v>#VALUE!</v>
      </c>
      <c r="BB12" s="16" t="e">
        <f t="shared" si="19"/>
        <v>#VALUE!</v>
      </c>
      <c r="BC12" s="13" t="e">
        <f t="shared" si="19"/>
        <v>#VALUE!</v>
      </c>
      <c r="BD12" s="14" t="e">
        <f t="shared" si="19"/>
        <v>#VALUE!</v>
      </c>
      <c r="BE12" s="14" t="e">
        <f t="shared" si="19"/>
        <v>#VALUE!</v>
      </c>
      <c r="BF12" s="14" t="e">
        <f t="shared" si="19"/>
        <v>#VALUE!</v>
      </c>
      <c r="BG12" s="14" t="e">
        <f t="shared" si="20"/>
        <v>#VALUE!</v>
      </c>
      <c r="BH12" s="15" t="e">
        <f t="shared" si="20"/>
        <v>#VALUE!</v>
      </c>
      <c r="BI12" s="16" t="e">
        <f t="shared" si="20"/>
        <v>#VALUE!</v>
      </c>
      <c r="BJ12" s="13" t="e">
        <f t="shared" si="20"/>
        <v>#VALUE!</v>
      </c>
      <c r="BK12" s="14" t="e">
        <f t="shared" si="20"/>
        <v>#VALUE!</v>
      </c>
      <c r="BL12" s="14" t="e">
        <f t="shared" si="20"/>
        <v>#VALUE!</v>
      </c>
      <c r="BM12" s="14" t="e">
        <f t="shared" si="20"/>
        <v>#VALUE!</v>
      </c>
      <c r="BN12" s="14" t="e">
        <f t="shared" si="20"/>
        <v>#VALUE!</v>
      </c>
      <c r="BO12" s="15" t="e">
        <f t="shared" si="20"/>
        <v>#VALUE!</v>
      </c>
      <c r="BP12" s="16" t="e">
        <f t="shared" si="20"/>
        <v>#VALUE!</v>
      </c>
      <c r="BQ12" s="13" t="e">
        <f t="shared" si="20"/>
        <v>#VALUE!</v>
      </c>
      <c r="BR12" s="14" t="e">
        <f t="shared" si="20"/>
        <v>#VALUE!</v>
      </c>
      <c r="BS12" s="14" t="e">
        <f t="shared" si="20"/>
        <v>#VALUE!</v>
      </c>
      <c r="BT12" s="14" t="e">
        <f t="shared" si="20"/>
        <v>#VALUE!</v>
      </c>
      <c r="BU12" s="14" t="e">
        <f t="shared" si="20"/>
        <v>#VALUE!</v>
      </c>
      <c r="BV12" s="15" t="e">
        <f t="shared" si="20"/>
        <v>#VALUE!</v>
      </c>
      <c r="BW12" s="16" t="e">
        <f t="shared" si="21"/>
        <v>#VALUE!</v>
      </c>
      <c r="BX12" s="13" t="e">
        <f t="shared" si="21"/>
        <v>#VALUE!</v>
      </c>
      <c r="BY12" s="14" t="e">
        <f t="shared" si="21"/>
        <v>#VALUE!</v>
      </c>
      <c r="BZ12" s="14" t="e">
        <f t="shared" si="21"/>
        <v>#VALUE!</v>
      </c>
      <c r="CA12" s="14" t="e">
        <f t="shared" si="21"/>
        <v>#VALUE!</v>
      </c>
      <c r="CB12" s="14" t="e">
        <f t="shared" si="21"/>
        <v>#VALUE!</v>
      </c>
      <c r="CC12" s="15" t="e">
        <f t="shared" si="21"/>
        <v>#VALUE!</v>
      </c>
      <c r="CD12" s="16" t="e">
        <f t="shared" si="21"/>
        <v>#VALUE!</v>
      </c>
      <c r="CE12" s="13" t="e">
        <f t="shared" si="21"/>
        <v>#VALUE!</v>
      </c>
      <c r="CF12" s="14" t="e">
        <f t="shared" si="21"/>
        <v>#VALUE!</v>
      </c>
      <c r="CG12" s="14" t="e">
        <f t="shared" si="21"/>
        <v>#VALUE!</v>
      </c>
      <c r="CH12" s="14" t="e">
        <f t="shared" si="21"/>
        <v>#VALUE!</v>
      </c>
      <c r="CI12" s="14" t="e">
        <f t="shared" si="21"/>
        <v>#VALUE!</v>
      </c>
      <c r="CJ12" s="15" t="e">
        <f t="shared" si="21"/>
        <v>#VALUE!</v>
      </c>
      <c r="CK12" s="16" t="e">
        <f t="shared" si="21"/>
        <v>#VALUE!</v>
      </c>
      <c r="CL12" s="13" t="e">
        <f t="shared" si="21"/>
        <v>#VALUE!</v>
      </c>
      <c r="CM12" s="14" t="e">
        <f t="shared" si="22"/>
        <v>#VALUE!</v>
      </c>
      <c r="CN12" s="14" t="e">
        <f t="shared" si="22"/>
        <v>#VALUE!</v>
      </c>
      <c r="CO12" s="14" t="e">
        <f t="shared" si="22"/>
        <v>#VALUE!</v>
      </c>
      <c r="CP12" s="14" t="e">
        <f t="shared" si="22"/>
        <v>#VALUE!</v>
      </c>
      <c r="CQ12" s="15" t="e">
        <f t="shared" si="22"/>
        <v>#VALUE!</v>
      </c>
      <c r="CR12" s="16" t="e">
        <f t="shared" si="22"/>
        <v>#VALUE!</v>
      </c>
      <c r="CS12" s="13" t="e">
        <f t="shared" si="22"/>
        <v>#VALUE!</v>
      </c>
      <c r="CT12" s="14" t="e">
        <f t="shared" si="22"/>
        <v>#VALUE!</v>
      </c>
      <c r="CU12" s="14" t="e">
        <f t="shared" si="22"/>
        <v>#VALUE!</v>
      </c>
      <c r="CV12" s="14" t="e">
        <f t="shared" si="22"/>
        <v>#VALUE!</v>
      </c>
      <c r="CW12" s="14" t="e">
        <f t="shared" si="22"/>
        <v>#VALUE!</v>
      </c>
      <c r="CX12" s="15" t="e">
        <f t="shared" si="22"/>
        <v>#VALUE!</v>
      </c>
      <c r="CY12" s="16" t="e">
        <f t="shared" si="22"/>
        <v>#VALUE!</v>
      </c>
      <c r="CZ12" s="13" t="e">
        <f t="shared" si="22"/>
        <v>#VALUE!</v>
      </c>
      <c r="DA12" s="14" t="e">
        <f t="shared" si="22"/>
        <v>#VALUE!</v>
      </c>
      <c r="DB12" s="14" t="e">
        <f t="shared" si="22"/>
        <v>#VALUE!</v>
      </c>
      <c r="DC12" s="14" t="e">
        <f t="shared" si="23"/>
        <v>#VALUE!</v>
      </c>
      <c r="DD12" s="14" t="e">
        <f t="shared" si="23"/>
        <v>#VALUE!</v>
      </c>
      <c r="DE12" s="15" t="e">
        <f t="shared" si="23"/>
        <v>#VALUE!</v>
      </c>
      <c r="DF12" s="16" t="e">
        <f t="shared" si="23"/>
        <v>#VALUE!</v>
      </c>
      <c r="DG12" s="13" t="e">
        <f t="shared" si="23"/>
        <v>#VALUE!</v>
      </c>
      <c r="DH12" s="14" t="e">
        <f t="shared" si="23"/>
        <v>#VALUE!</v>
      </c>
      <c r="DI12" s="14" t="e">
        <f t="shared" si="23"/>
        <v>#VALUE!</v>
      </c>
      <c r="DJ12" s="14" t="e">
        <f t="shared" si="23"/>
        <v>#VALUE!</v>
      </c>
      <c r="DK12" s="14" t="e">
        <f t="shared" si="23"/>
        <v>#VALUE!</v>
      </c>
      <c r="DL12" s="15" t="e">
        <f t="shared" si="23"/>
        <v>#VALUE!</v>
      </c>
      <c r="DM12" s="16" t="e">
        <f t="shared" si="23"/>
        <v>#VALUE!</v>
      </c>
      <c r="DN12" s="13" t="e">
        <f t="shared" si="23"/>
        <v>#VALUE!</v>
      </c>
      <c r="DO12" s="14" t="e">
        <f t="shared" si="23"/>
        <v>#VALUE!</v>
      </c>
      <c r="DP12" s="14" t="e">
        <f t="shared" si="23"/>
        <v>#VALUE!</v>
      </c>
      <c r="DQ12" s="14" t="e">
        <f t="shared" si="23"/>
        <v>#VALUE!</v>
      </c>
      <c r="DR12" s="14" t="e">
        <f t="shared" si="23"/>
        <v>#VALUE!</v>
      </c>
      <c r="DS12" s="15" t="e">
        <f t="shared" si="23"/>
        <v>#VALUE!</v>
      </c>
      <c r="DT12" s="16" t="e">
        <f t="shared" si="23"/>
        <v>#VALUE!</v>
      </c>
    </row>
    <row r="13" spans="1:124" s="17" customFormat="1" ht="9.75" customHeight="1">
      <c r="A13" s="586"/>
      <c r="B13" s="22" t="s">
        <v>43</v>
      </c>
      <c r="C13" s="19" t="e">
        <f>IF(AND(_xlfn.XLOOKUP(A25,'VTT actif'!B:B,'VTT actif'!W:W,"-",0)=7,INT(E12/7)=E12/7),E12,IF((ROUNDDOWN(E12/7,0)*7+_xlfn.XLOOKUP(A25,'VTT actif'!B:B,'VTT actif'!W:W,"-",0))&lt;E12,(ROUNDDOWN(E12/7,0)*7+_xlfn.XLOOKUP(A25,'VTT actif'!B:B,'VTT actif'!W:W,"-",0))+7,(ROUNDDOWN(E12/7,0)*7+_xlfn.XLOOKUP(A25,'VTT actif'!B:B,'VTT actif'!W:W,"-",0))))</f>
        <v>#VALUE!</v>
      </c>
      <c r="D13" s="20">
        <v>0</v>
      </c>
      <c r="E13" s="19" t="e">
        <f>C13+D13</f>
        <v>#VALUE!</v>
      </c>
      <c r="F13" s="13" t="e">
        <f t="shared" si="17"/>
        <v>#VALUE!</v>
      </c>
      <c r="G13" s="14" t="e">
        <f t="shared" si="17"/>
        <v>#VALUE!</v>
      </c>
      <c r="H13" s="14" t="e">
        <f t="shared" si="17"/>
        <v>#VALUE!</v>
      </c>
      <c r="I13" s="14" t="e">
        <f t="shared" si="17"/>
        <v>#VALUE!</v>
      </c>
      <c r="J13" s="14" t="e">
        <f t="shared" si="17"/>
        <v>#VALUE!</v>
      </c>
      <c r="K13" s="15" t="e">
        <f t="shared" si="17"/>
        <v>#VALUE!</v>
      </c>
      <c r="L13" s="16" t="e">
        <f t="shared" si="17"/>
        <v>#VALUE!</v>
      </c>
      <c r="M13" s="13" t="e">
        <f t="shared" si="17"/>
        <v>#VALUE!</v>
      </c>
      <c r="N13" s="14" t="e">
        <f t="shared" si="17"/>
        <v>#VALUE!</v>
      </c>
      <c r="O13" s="14" t="e">
        <f t="shared" si="17"/>
        <v>#VALUE!</v>
      </c>
      <c r="P13" s="14" t="e">
        <f t="shared" si="17"/>
        <v>#VALUE!</v>
      </c>
      <c r="Q13" s="14" t="e">
        <f t="shared" si="17"/>
        <v>#VALUE!</v>
      </c>
      <c r="R13" s="15" t="e">
        <f t="shared" si="17"/>
        <v>#VALUE!</v>
      </c>
      <c r="S13" s="16" t="e">
        <f t="shared" si="17"/>
        <v>#VALUE!</v>
      </c>
      <c r="T13" s="13" t="e">
        <f t="shared" si="17"/>
        <v>#VALUE!</v>
      </c>
      <c r="U13" s="14" t="e">
        <f t="shared" si="17"/>
        <v>#VALUE!</v>
      </c>
      <c r="V13" s="14" t="e">
        <f t="shared" si="17"/>
        <v>#VALUE!</v>
      </c>
      <c r="W13" s="14" t="e">
        <f t="shared" si="17"/>
        <v>#VALUE!</v>
      </c>
      <c r="X13" s="14" t="e">
        <f t="shared" si="17"/>
        <v>#VALUE!</v>
      </c>
      <c r="Y13" s="15" t="e">
        <f t="shared" si="17"/>
        <v>#VALUE!</v>
      </c>
      <c r="Z13" s="16" t="e">
        <f t="shared" si="17"/>
        <v>#VALUE!</v>
      </c>
      <c r="AA13" s="13" t="e">
        <f t="shared" si="18"/>
        <v>#VALUE!</v>
      </c>
      <c r="AB13" s="14" t="e">
        <f t="shared" si="18"/>
        <v>#VALUE!</v>
      </c>
      <c r="AC13" s="14" t="e">
        <f t="shared" si="18"/>
        <v>#VALUE!</v>
      </c>
      <c r="AD13" s="14" t="e">
        <f t="shared" si="18"/>
        <v>#VALUE!</v>
      </c>
      <c r="AE13" s="14" t="e">
        <f t="shared" si="18"/>
        <v>#VALUE!</v>
      </c>
      <c r="AF13" s="15" t="e">
        <f t="shared" si="18"/>
        <v>#VALUE!</v>
      </c>
      <c r="AG13" s="16" t="e">
        <f t="shared" si="18"/>
        <v>#VALUE!</v>
      </c>
      <c r="AH13" s="13" t="e">
        <f t="shared" si="18"/>
        <v>#VALUE!</v>
      </c>
      <c r="AI13" s="14" t="e">
        <f t="shared" si="18"/>
        <v>#VALUE!</v>
      </c>
      <c r="AJ13" s="14" t="e">
        <f t="shared" si="18"/>
        <v>#VALUE!</v>
      </c>
      <c r="AK13" s="14" t="e">
        <f t="shared" si="18"/>
        <v>#VALUE!</v>
      </c>
      <c r="AL13" s="14" t="e">
        <f t="shared" si="18"/>
        <v>#VALUE!</v>
      </c>
      <c r="AM13" s="15" t="e">
        <f t="shared" si="18"/>
        <v>#VALUE!</v>
      </c>
      <c r="AN13" s="16" t="e">
        <f t="shared" si="18"/>
        <v>#VALUE!</v>
      </c>
      <c r="AO13" s="13" t="e">
        <f t="shared" si="18"/>
        <v>#VALUE!</v>
      </c>
      <c r="AP13" s="14" t="e">
        <f t="shared" si="18"/>
        <v>#VALUE!</v>
      </c>
      <c r="AQ13" s="14" t="e">
        <f t="shared" si="19"/>
        <v>#VALUE!</v>
      </c>
      <c r="AR13" s="14" t="e">
        <f t="shared" si="19"/>
        <v>#VALUE!</v>
      </c>
      <c r="AS13" s="14" t="e">
        <f t="shared" si="19"/>
        <v>#VALUE!</v>
      </c>
      <c r="AT13" s="15" t="e">
        <f t="shared" si="19"/>
        <v>#VALUE!</v>
      </c>
      <c r="AU13" s="16" t="e">
        <f t="shared" si="19"/>
        <v>#VALUE!</v>
      </c>
      <c r="AV13" s="13" t="e">
        <f t="shared" si="19"/>
        <v>#VALUE!</v>
      </c>
      <c r="AW13" s="14" t="e">
        <f t="shared" si="19"/>
        <v>#VALUE!</v>
      </c>
      <c r="AX13" s="14" t="e">
        <f t="shared" si="19"/>
        <v>#VALUE!</v>
      </c>
      <c r="AY13" s="14" t="e">
        <f t="shared" si="19"/>
        <v>#VALUE!</v>
      </c>
      <c r="AZ13" s="14" t="e">
        <f t="shared" si="19"/>
        <v>#VALUE!</v>
      </c>
      <c r="BA13" s="15" t="e">
        <f t="shared" si="19"/>
        <v>#VALUE!</v>
      </c>
      <c r="BB13" s="16" t="e">
        <f t="shared" si="19"/>
        <v>#VALUE!</v>
      </c>
      <c r="BC13" s="13" t="e">
        <f t="shared" si="19"/>
        <v>#VALUE!</v>
      </c>
      <c r="BD13" s="14" t="e">
        <f t="shared" si="19"/>
        <v>#VALUE!</v>
      </c>
      <c r="BE13" s="14" t="e">
        <f t="shared" si="19"/>
        <v>#VALUE!</v>
      </c>
      <c r="BF13" s="14" t="e">
        <f t="shared" si="19"/>
        <v>#VALUE!</v>
      </c>
      <c r="BG13" s="14" t="e">
        <f t="shared" si="20"/>
        <v>#VALUE!</v>
      </c>
      <c r="BH13" s="15" t="e">
        <f t="shared" si="20"/>
        <v>#VALUE!</v>
      </c>
      <c r="BI13" s="16" t="e">
        <f t="shared" si="20"/>
        <v>#VALUE!</v>
      </c>
      <c r="BJ13" s="13" t="e">
        <f t="shared" si="20"/>
        <v>#VALUE!</v>
      </c>
      <c r="BK13" s="14" t="e">
        <f t="shared" si="20"/>
        <v>#VALUE!</v>
      </c>
      <c r="BL13" s="14" t="e">
        <f t="shared" si="20"/>
        <v>#VALUE!</v>
      </c>
      <c r="BM13" s="14" t="e">
        <f t="shared" si="20"/>
        <v>#VALUE!</v>
      </c>
      <c r="BN13" s="14" t="e">
        <f t="shared" si="20"/>
        <v>#VALUE!</v>
      </c>
      <c r="BO13" s="15" t="e">
        <f t="shared" si="20"/>
        <v>#VALUE!</v>
      </c>
      <c r="BP13" s="16" t="e">
        <f t="shared" si="20"/>
        <v>#VALUE!</v>
      </c>
      <c r="BQ13" s="13" t="e">
        <f t="shared" si="20"/>
        <v>#VALUE!</v>
      </c>
      <c r="BR13" s="14" t="e">
        <f t="shared" si="20"/>
        <v>#VALUE!</v>
      </c>
      <c r="BS13" s="14" t="e">
        <f t="shared" si="20"/>
        <v>#VALUE!</v>
      </c>
      <c r="BT13" s="14" t="e">
        <f t="shared" si="20"/>
        <v>#VALUE!</v>
      </c>
      <c r="BU13" s="14" t="e">
        <f t="shared" si="20"/>
        <v>#VALUE!</v>
      </c>
      <c r="BV13" s="15" t="e">
        <f t="shared" si="20"/>
        <v>#VALUE!</v>
      </c>
      <c r="BW13" s="16" t="e">
        <f t="shared" si="21"/>
        <v>#VALUE!</v>
      </c>
      <c r="BX13" s="13" t="e">
        <f t="shared" si="21"/>
        <v>#VALUE!</v>
      </c>
      <c r="BY13" s="14" t="e">
        <f t="shared" si="21"/>
        <v>#VALUE!</v>
      </c>
      <c r="BZ13" s="14" t="e">
        <f t="shared" si="21"/>
        <v>#VALUE!</v>
      </c>
      <c r="CA13" s="14" t="e">
        <f t="shared" si="21"/>
        <v>#VALUE!</v>
      </c>
      <c r="CB13" s="14" t="e">
        <f t="shared" si="21"/>
        <v>#VALUE!</v>
      </c>
      <c r="CC13" s="15" t="e">
        <f t="shared" si="21"/>
        <v>#VALUE!</v>
      </c>
      <c r="CD13" s="16" t="e">
        <f t="shared" si="21"/>
        <v>#VALUE!</v>
      </c>
      <c r="CE13" s="13" t="e">
        <f t="shared" si="21"/>
        <v>#VALUE!</v>
      </c>
      <c r="CF13" s="14" t="e">
        <f t="shared" si="21"/>
        <v>#VALUE!</v>
      </c>
      <c r="CG13" s="14" t="e">
        <f t="shared" si="21"/>
        <v>#VALUE!</v>
      </c>
      <c r="CH13" s="14" t="e">
        <f t="shared" si="21"/>
        <v>#VALUE!</v>
      </c>
      <c r="CI13" s="14" t="e">
        <f t="shared" si="21"/>
        <v>#VALUE!</v>
      </c>
      <c r="CJ13" s="15" t="e">
        <f t="shared" si="21"/>
        <v>#VALUE!</v>
      </c>
      <c r="CK13" s="16" t="e">
        <f t="shared" si="21"/>
        <v>#VALUE!</v>
      </c>
      <c r="CL13" s="13" t="e">
        <f t="shared" si="21"/>
        <v>#VALUE!</v>
      </c>
      <c r="CM13" s="14" t="e">
        <f t="shared" si="22"/>
        <v>#VALUE!</v>
      </c>
      <c r="CN13" s="14" t="e">
        <f t="shared" si="22"/>
        <v>#VALUE!</v>
      </c>
      <c r="CO13" s="14" t="e">
        <f t="shared" si="22"/>
        <v>#VALUE!</v>
      </c>
      <c r="CP13" s="14" t="e">
        <f t="shared" si="22"/>
        <v>#VALUE!</v>
      </c>
      <c r="CQ13" s="15" t="e">
        <f t="shared" si="22"/>
        <v>#VALUE!</v>
      </c>
      <c r="CR13" s="16" t="e">
        <f t="shared" si="22"/>
        <v>#VALUE!</v>
      </c>
      <c r="CS13" s="13" t="e">
        <f t="shared" si="22"/>
        <v>#VALUE!</v>
      </c>
      <c r="CT13" s="14" t="e">
        <f t="shared" si="22"/>
        <v>#VALUE!</v>
      </c>
      <c r="CU13" s="14" t="e">
        <f t="shared" si="22"/>
        <v>#VALUE!</v>
      </c>
      <c r="CV13" s="14" t="e">
        <f t="shared" si="22"/>
        <v>#VALUE!</v>
      </c>
      <c r="CW13" s="14" t="e">
        <f t="shared" si="22"/>
        <v>#VALUE!</v>
      </c>
      <c r="CX13" s="15" t="e">
        <f t="shared" si="22"/>
        <v>#VALUE!</v>
      </c>
      <c r="CY13" s="16" t="e">
        <f t="shared" si="22"/>
        <v>#VALUE!</v>
      </c>
      <c r="CZ13" s="13" t="e">
        <f t="shared" si="22"/>
        <v>#VALUE!</v>
      </c>
      <c r="DA13" s="14" t="e">
        <f t="shared" si="22"/>
        <v>#VALUE!</v>
      </c>
      <c r="DB13" s="14" t="e">
        <f t="shared" si="22"/>
        <v>#VALUE!</v>
      </c>
      <c r="DC13" s="14" t="e">
        <f t="shared" si="23"/>
        <v>#VALUE!</v>
      </c>
      <c r="DD13" s="14" t="e">
        <f t="shared" si="23"/>
        <v>#VALUE!</v>
      </c>
      <c r="DE13" s="15" t="e">
        <f t="shared" si="23"/>
        <v>#VALUE!</v>
      </c>
      <c r="DF13" s="16" t="e">
        <f t="shared" si="23"/>
        <v>#VALUE!</v>
      </c>
      <c r="DG13" s="13" t="e">
        <f t="shared" si="23"/>
        <v>#VALUE!</v>
      </c>
      <c r="DH13" s="14" t="e">
        <f t="shared" si="23"/>
        <v>#VALUE!</v>
      </c>
      <c r="DI13" s="14" t="e">
        <f t="shared" si="23"/>
        <v>#VALUE!</v>
      </c>
      <c r="DJ13" s="14" t="e">
        <f t="shared" si="23"/>
        <v>#VALUE!</v>
      </c>
      <c r="DK13" s="14" t="e">
        <f t="shared" si="23"/>
        <v>#VALUE!</v>
      </c>
      <c r="DL13" s="15" t="e">
        <f t="shared" si="23"/>
        <v>#VALUE!</v>
      </c>
      <c r="DM13" s="16" t="e">
        <f t="shared" si="23"/>
        <v>#VALUE!</v>
      </c>
      <c r="DN13" s="13" t="e">
        <f t="shared" si="23"/>
        <v>#VALUE!</v>
      </c>
      <c r="DO13" s="14" t="e">
        <f t="shared" si="23"/>
        <v>#VALUE!</v>
      </c>
      <c r="DP13" s="14" t="e">
        <f t="shared" si="23"/>
        <v>#VALUE!</v>
      </c>
      <c r="DQ13" s="14" t="e">
        <f t="shared" si="23"/>
        <v>#VALUE!</v>
      </c>
      <c r="DR13" s="14" t="e">
        <f t="shared" si="23"/>
        <v>#VALUE!</v>
      </c>
      <c r="DS13" s="15" t="e">
        <f t="shared" si="23"/>
        <v>#VALUE!</v>
      </c>
      <c r="DT13" s="16" t="e">
        <f t="shared" si="23"/>
        <v>#VALUE!</v>
      </c>
    </row>
    <row r="14" spans="1:124" s="17" customFormat="1" ht="9.75" customHeight="1">
      <c r="A14" s="586"/>
      <c r="B14" s="22" t="s">
        <v>44</v>
      </c>
      <c r="C14" s="19" t="e">
        <f>IF((ROUNDDOWN(E13/7,0)*7+_xlfn.XLOOKUP(A25,'VTT actif'!B:B,'VTT actif'!AC:AC,"-",0))&lt;E13,(ROUNDDOWN(E13/7,0)*7+_xlfn.XLOOKUP(A25,'VTT actif'!B:B,'VTT actif'!AC:AC,"-",0))+7,(ROUNDDOWN(E13/7,0)*7+_xlfn.XLOOKUP(A25,'VTT actif'!B:B,'VTT actif'!AC:AC,"-",0)))</f>
        <v>#VALUE!</v>
      </c>
      <c r="D14" s="20">
        <v>0</v>
      </c>
      <c r="E14" s="19" t="e">
        <f>C14+D14</f>
        <v>#VALUE!</v>
      </c>
      <c r="F14" s="13" t="e">
        <f t="shared" si="17"/>
        <v>#VALUE!</v>
      </c>
      <c r="G14" s="14" t="e">
        <f t="shared" si="17"/>
        <v>#VALUE!</v>
      </c>
      <c r="H14" s="14" t="e">
        <f t="shared" si="17"/>
        <v>#VALUE!</v>
      </c>
      <c r="I14" s="14" t="e">
        <f t="shared" si="17"/>
        <v>#VALUE!</v>
      </c>
      <c r="J14" s="14" t="e">
        <f t="shared" si="17"/>
        <v>#VALUE!</v>
      </c>
      <c r="K14" s="15" t="e">
        <f t="shared" si="17"/>
        <v>#VALUE!</v>
      </c>
      <c r="L14" s="16" t="e">
        <f t="shared" si="17"/>
        <v>#VALUE!</v>
      </c>
      <c r="M14" s="13" t="e">
        <f>IF(AND(M$5&gt;=$C14,M$5&lt;=$E14),1,"")</f>
        <v>#VALUE!</v>
      </c>
      <c r="N14" s="14" t="e">
        <f t="shared" si="17"/>
        <v>#VALUE!</v>
      </c>
      <c r="O14" s="14" t="e">
        <f t="shared" si="17"/>
        <v>#VALUE!</v>
      </c>
      <c r="P14" s="14" t="e">
        <f t="shared" si="17"/>
        <v>#VALUE!</v>
      </c>
      <c r="Q14" s="14" t="e">
        <f t="shared" si="17"/>
        <v>#VALUE!</v>
      </c>
      <c r="R14" s="15" t="e">
        <f t="shared" si="17"/>
        <v>#VALUE!</v>
      </c>
      <c r="S14" s="16" t="e">
        <f t="shared" si="17"/>
        <v>#VALUE!</v>
      </c>
      <c r="T14" s="13" t="e">
        <f t="shared" si="17"/>
        <v>#VALUE!</v>
      </c>
      <c r="U14" s="14" t="e">
        <f t="shared" si="17"/>
        <v>#VALUE!</v>
      </c>
      <c r="V14" s="14" t="e">
        <f t="shared" si="17"/>
        <v>#VALUE!</v>
      </c>
      <c r="W14" s="14" t="e">
        <f t="shared" si="17"/>
        <v>#VALUE!</v>
      </c>
      <c r="X14" s="14" t="e">
        <f t="shared" si="17"/>
        <v>#VALUE!</v>
      </c>
      <c r="Y14" s="15" t="e">
        <f t="shared" si="17"/>
        <v>#VALUE!</v>
      </c>
      <c r="Z14" s="16" t="e">
        <f t="shared" si="17"/>
        <v>#VALUE!</v>
      </c>
      <c r="AA14" s="13" t="e">
        <f t="shared" si="18"/>
        <v>#VALUE!</v>
      </c>
      <c r="AB14" s="14" t="e">
        <f t="shared" si="18"/>
        <v>#VALUE!</v>
      </c>
      <c r="AC14" s="14" t="e">
        <f t="shared" si="18"/>
        <v>#VALUE!</v>
      </c>
      <c r="AD14" s="14" t="e">
        <f t="shared" si="18"/>
        <v>#VALUE!</v>
      </c>
      <c r="AE14" s="14" t="e">
        <f t="shared" si="18"/>
        <v>#VALUE!</v>
      </c>
      <c r="AF14" s="15" t="e">
        <f t="shared" si="18"/>
        <v>#VALUE!</v>
      </c>
      <c r="AG14" s="16" t="e">
        <f t="shared" si="18"/>
        <v>#VALUE!</v>
      </c>
      <c r="AH14" s="13" t="e">
        <f t="shared" si="18"/>
        <v>#VALUE!</v>
      </c>
      <c r="AI14" s="14" t="e">
        <f t="shared" si="18"/>
        <v>#VALUE!</v>
      </c>
      <c r="AJ14" s="14" t="e">
        <f t="shared" si="18"/>
        <v>#VALUE!</v>
      </c>
      <c r="AK14" s="14" t="e">
        <f t="shared" si="18"/>
        <v>#VALUE!</v>
      </c>
      <c r="AL14" s="14" t="e">
        <f t="shared" si="18"/>
        <v>#VALUE!</v>
      </c>
      <c r="AM14" s="15" t="e">
        <f t="shared" si="18"/>
        <v>#VALUE!</v>
      </c>
      <c r="AN14" s="16" t="e">
        <f t="shared" si="18"/>
        <v>#VALUE!</v>
      </c>
      <c r="AO14" s="13" t="e">
        <f t="shared" si="18"/>
        <v>#VALUE!</v>
      </c>
      <c r="AP14" s="14" t="e">
        <f t="shared" si="18"/>
        <v>#VALUE!</v>
      </c>
      <c r="AQ14" s="14" t="e">
        <f t="shared" si="19"/>
        <v>#VALUE!</v>
      </c>
      <c r="AR14" s="14" t="e">
        <f t="shared" si="19"/>
        <v>#VALUE!</v>
      </c>
      <c r="AS14" s="14" t="e">
        <f t="shared" si="19"/>
        <v>#VALUE!</v>
      </c>
      <c r="AT14" s="15" t="e">
        <f t="shared" si="19"/>
        <v>#VALUE!</v>
      </c>
      <c r="AU14" s="16" t="e">
        <f t="shared" si="19"/>
        <v>#VALUE!</v>
      </c>
      <c r="AV14" s="13" t="e">
        <f t="shared" si="19"/>
        <v>#VALUE!</v>
      </c>
      <c r="AW14" s="14" t="e">
        <f t="shared" si="19"/>
        <v>#VALUE!</v>
      </c>
      <c r="AX14" s="14" t="e">
        <f t="shared" si="19"/>
        <v>#VALUE!</v>
      </c>
      <c r="AY14" s="14" t="e">
        <f t="shared" si="19"/>
        <v>#VALUE!</v>
      </c>
      <c r="AZ14" s="14" t="e">
        <f t="shared" si="19"/>
        <v>#VALUE!</v>
      </c>
      <c r="BA14" s="15" t="e">
        <f t="shared" si="19"/>
        <v>#VALUE!</v>
      </c>
      <c r="BB14" s="16" t="e">
        <f t="shared" si="19"/>
        <v>#VALUE!</v>
      </c>
      <c r="BC14" s="13" t="e">
        <f t="shared" si="19"/>
        <v>#VALUE!</v>
      </c>
      <c r="BD14" s="14" t="e">
        <f t="shared" si="19"/>
        <v>#VALUE!</v>
      </c>
      <c r="BE14" s="14" t="e">
        <f t="shared" si="19"/>
        <v>#VALUE!</v>
      </c>
      <c r="BF14" s="14" t="e">
        <f t="shared" si="19"/>
        <v>#VALUE!</v>
      </c>
      <c r="BG14" s="14" t="e">
        <f t="shared" si="20"/>
        <v>#VALUE!</v>
      </c>
      <c r="BH14" s="15" t="e">
        <f t="shared" si="20"/>
        <v>#VALUE!</v>
      </c>
      <c r="BI14" s="16" t="e">
        <f t="shared" si="20"/>
        <v>#VALUE!</v>
      </c>
      <c r="BJ14" s="13" t="e">
        <f t="shared" si="20"/>
        <v>#VALUE!</v>
      </c>
      <c r="BK14" s="14" t="e">
        <f t="shared" si="20"/>
        <v>#VALUE!</v>
      </c>
      <c r="BL14" s="14" t="e">
        <f t="shared" si="20"/>
        <v>#VALUE!</v>
      </c>
      <c r="BM14" s="14" t="e">
        <f t="shared" si="20"/>
        <v>#VALUE!</v>
      </c>
      <c r="BN14" s="14" t="e">
        <f t="shared" si="20"/>
        <v>#VALUE!</v>
      </c>
      <c r="BO14" s="15" t="e">
        <f t="shared" si="20"/>
        <v>#VALUE!</v>
      </c>
      <c r="BP14" s="16" t="e">
        <f t="shared" si="20"/>
        <v>#VALUE!</v>
      </c>
      <c r="BQ14" s="13" t="e">
        <f t="shared" si="20"/>
        <v>#VALUE!</v>
      </c>
      <c r="BR14" s="14" t="e">
        <f t="shared" si="20"/>
        <v>#VALUE!</v>
      </c>
      <c r="BS14" s="14" t="e">
        <f t="shared" si="20"/>
        <v>#VALUE!</v>
      </c>
      <c r="BT14" s="14" t="e">
        <f t="shared" si="20"/>
        <v>#VALUE!</v>
      </c>
      <c r="BU14" s="14" t="e">
        <f t="shared" si="20"/>
        <v>#VALUE!</v>
      </c>
      <c r="BV14" s="15" t="e">
        <f t="shared" si="20"/>
        <v>#VALUE!</v>
      </c>
      <c r="BW14" s="16" t="e">
        <f t="shared" si="21"/>
        <v>#VALUE!</v>
      </c>
      <c r="BX14" s="13" t="e">
        <f t="shared" si="21"/>
        <v>#VALUE!</v>
      </c>
      <c r="BY14" s="14" t="e">
        <f t="shared" si="21"/>
        <v>#VALUE!</v>
      </c>
      <c r="BZ14" s="14" t="e">
        <f t="shared" si="21"/>
        <v>#VALUE!</v>
      </c>
      <c r="CA14" s="14" t="e">
        <f t="shared" si="21"/>
        <v>#VALUE!</v>
      </c>
      <c r="CB14" s="14" t="e">
        <f t="shared" si="21"/>
        <v>#VALUE!</v>
      </c>
      <c r="CC14" s="15" t="e">
        <f t="shared" si="21"/>
        <v>#VALUE!</v>
      </c>
      <c r="CD14" s="16" t="e">
        <f t="shared" si="21"/>
        <v>#VALUE!</v>
      </c>
      <c r="CE14" s="13" t="e">
        <f t="shared" si="21"/>
        <v>#VALUE!</v>
      </c>
      <c r="CF14" s="14" t="e">
        <f t="shared" si="21"/>
        <v>#VALUE!</v>
      </c>
      <c r="CG14" s="14" t="e">
        <f t="shared" si="21"/>
        <v>#VALUE!</v>
      </c>
      <c r="CH14" s="14" t="e">
        <f t="shared" si="21"/>
        <v>#VALUE!</v>
      </c>
      <c r="CI14" s="14" t="e">
        <f t="shared" si="21"/>
        <v>#VALUE!</v>
      </c>
      <c r="CJ14" s="15" t="e">
        <f t="shared" si="21"/>
        <v>#VALUE!</v>
      </c>
      <c r="CK14" s="16" t="e">
        <f t="shared" si="21"/>
        <v>#VALUE!</v>
      </c>
      <c r="CL14" s="13" t="e">
        <f t="shared" si="21"/>
        <v>#VALUE!</v>
      </c>
      <c r="CM14" s="14" t="e">
        <f t="shared" si="22"/>
        <v>#VALUE!</v>
      </c>
      <c r="CN14" s="14" t="e">
        <f t="shared" si="22"/>
        <v>#VALUE!</v>
      </c>
      <c r="CO14" s="14" t="e">
        <f t="shared" si="22"/>
        <v>#VALUE!</v>
      </c>
      <c r="CP14" s="14" t="e">
        <f t="shared" si="22"/>
        <v>#VALUE!</v>
      </c>
      <c r="CQ14" s="15" t="e">
        <f t="shared" si="22"/>
        <v>#VALUE!</v>
      </c>
      <c r="CR14" s="16" t="e">
        <f t="shared" si="22"/>
        <v>#VALUE!</v>
      </c>
      <c r="CS14" s="13" t="e">
        <f t="shared" si="22"/>
        <v>#VALUE!</v>
      </c>
      <c r="CT14" s="14" t="e">
        <f t="shared" si="22"/>
        <v>#VALUE!</v>
      </c>
      <c r="CU14" s="14" t="e">
        <f t="shared" si="22"/>
        <v>#VALUE!</v>
      </c>
      <c r="CV14" s="14" t="e">
        <f t="shared" si="22"/>
        <v>#VALUE!</v>
      </c>
      <c r="CW14" s="14" t="e">
        <f t="shared" si="22"/>
        <v>#VALUE!</v>
      </c>
      <c r="CX14" s="15" t="e">
        <f t="shared" si="22"/>
        <v>#VALUE!</v>
      </c>
      <c r="CY14" s="16" t="e">
        <f t="shared" si="22"/>
        <v>#VALUE!</v>
      </c>
      <c r="CZ14" s="13" t="e">
        <f t="shared" si="22"/>
        <v>#VALUE!</v>
      </c>
      <c r="DA14" s="14" t="e">
        <f t="shared" si="22"/>
        <v>#VALUE!</v>
      </c>
      <c r="DB14" s="14" t="e">
        <f t="shared" si="22"/>
        <v>#VALUE!</v>
      </c>
      <c r="DC14" s="14" t="e">
        <f t="shared" si="23"/>
        <v>#VALUE!</v>
      </c>
      <c r="DD14" s="14" t="e">
        <f t="shared" si="23"/>
        <v>#VALUE!</v>
      </c>
      <c r="DE14" s="15" t="e">
        <f t="shared" si="23"/>
        <v>#VALUE!</v>
      </c>
      <c r="DF14" s="16" t="e">
        <f t="shared" si="23"/>
        <v>#VALUE!</v>
      </c>
      <c r="DG14" s="13" t="e">
        <f t="shared" si="23"/>
        <v>#VALUE!</v>
      </c>
      <c r="DH14" s="14" t="e">
        <f t="shared" si="23"/>
        <v>#VALUE!</v>
      </c>
      <c r="DI14" s="14" t="e">
        <f t="shared" si="23"/>
        <v>#VALUE!</v>
      </c>
      <c r="DJ14" s="14" t="e">
        <f t="shared" si="23"/>
        <v>#VALUE!</v>
      </c>
      <c r="DK14" s="14" t="e">
        <f t="shared" si="23"/>
        <v>#VALUE!</v>
      </c>
      <c r="DL14" s="15" t="e">
        <f t="shared" si="23"/>
        <v>#VALUE!</v>
      </c>
      <c r="DM14" s="16" t="e">
        <f t="shared" si="23"/>
        <v>#VALUE!</v>
      </c>
      <c r="DN14" s="13" t="e">
        <f t="shared" si="23"/>
        <v>#VALUE!</v>
      </c>
      <c r="DO14" s="14" t="e">
        <f t="shared" si="23"/>
        <v>#VALUE!</v>
      </c>
      <c r="DP14" s="14" t="e">
        <f t="shared" si="23"/>
        <v>#VALUE!</v>
      </c>
      <c r="DQ14" s="14" t="e">
        <f t="shared" si="23"/>
        <v>#VALUE!</v>
      </c>
      <c r="DR14" s="14" t="e">
        <f t="shared" si="23"/>
        <v>#VALUE!</v>
      </c>
      <c r="DS14" s="15" t="e">
        <f t="shared" si="23"/>
        <v>#VALUE!</v>
      </c>
      <c r="DT14" s="16" t="e">
        <f t="shared" si="23"/>
        <v>#VALUE!</v>
      </c>
    </row>
    <row r="15" spans="1:124" s="17" customFormat="1" ht="9.75" customHeight="1">
      <c r="A15" s="586"/>
      <c r="B15" s="22" t="s">
        <v>45</v>
      </c>
      <c r="C15" s="19" t="e">
        <f>E14+_xlfn.XLOOKUP(A25,'VTT actif'!B:B,'VTT actif'!AD:AD,"-",0)-_xlfn.XLOOKUP(A25,'VTT actif'!B:B,'VTT actif'!AC:AC,"-",0)</f>
        <v>#VALUE!</v>
      </c>
      <c r="D15" s="20">
        <v>0</v>
      </c>
      <c r="E15" s="19" t="e">
        <f>C15+D15</f>
        <v>#VALUE!</v>
      </c>
      <c r="F15" s="13" t="e">
        <f t="shared" si="17"/>
        <v>#VALUE!</v>
      </c>
      <c r="G15" s="14" t="e">
        <f t="shared" si="17"/>
        <v>#VALUE!</v>
      </c>
      <c r="H15" s="14" t="e">
        <f t="shared" si="17"/>
        <v>#VALUE!</v>
      </c>
      <c r="I15" s="14" t="e">
        <f t="shared" si="17"/>
        <v>#VALUE!</v>
      </c>
      <c r="J15" s="14" t="e">
        <f t="shared" si="17"/>
        <v>#VALUE!</v>
      </c>
      <c r="K15" s="15" t="e">
        <f t="shared" si="17"/>
        <v>#VALUE!</v>
      </c>
      <c r="L15" s="16" t="e">
        <f t="shared" si="17"/>
        <v>#VALUE!</v>
      </c>
      <c r="M15" s="13" t="e">
        <f t="shared" si="17"/>
        <v>#VALUE!</v>
      </c>
      <c r="N15" s="14" t="e">
        <f t="shared" si="17"/>
        <v>#VALUE!</v>
      </c>
      <c r="O15" s="14" t="e">
        <f t="shared" si="17"/>
        <v>#VALUE!</v>
      </c>
      <c r="P15" s="14" t="e">
        <f t="shared" si="17"/>
        <v>#VALUE!</v>
      </c>
      <c r="Q15" s="14" t="e">
        <f t="shared" si="17"/>
        <v>#VALUE!</v>
      </c>
      <c r="R15" s="15" t="e">
        <f t="shared" si="17"/>
        <v>#VALUE!</v>
      </c>
      <c r="S15" s="16" t="e">
        <f t="shared" si="17"/>
        <v>#VALUE!</v>
      </c>
      <c r="T15" s="13" t="e">
        <f t="shared" si="17"/>
        <v>#VALUE!</v>
      </c>
      <c r="U15" s="14" t="e">
        <f t="shared" si="17"/>
        <v>#VALUE!</v>
      </c>
      <c r="V15" s="14" t="e">
        <f t="shared" si="17"/>
        <v>#VALUE!</v>
      </c>
      <c r="W15" s="14" t="e">
        <f t="shared" si="17"/>
        <v>#VALUE!</v>
      </c>
      <c r="X15" s="14" t="e">
        <f t="shared" si="17"/>
        <v>#VALUE!</v>
      </c>
      <c r="Y15" s="15" t="e">
        <f t="shared" si="17"/>
        <v>#VALUE!</v>
      </c>
      <c r="Z15" s="16" t="e">
        <f t="shared" si="17"/>
        <v>#VALUE!</v>
      </c>
      <c r="AA15" s="13" t="e">
        <f t="shared" si="18"/>
        <v>#VALUE!</v>
      </c>
      <c r="AB15" s="14" t="e">
        <f t="shared" si="18"/>
        <v>#VALUE!</v>
      </c>
      <c r="AC15" s="14" t="e">
        <f t="shared" si="18"/>
        <v>#VALUE!</v>
      </c>
      <c r="AD15" s="14" t="e">
        <f t="shared" si="18"/>
        <v>#VALUE!</v>
      </c>
      <c r="AE15" s="14" t="e">
        <f t="shared" si="18"/>
        <v>#VALUE!</v>
      </c>
      <c r="AF15" s="15" t="e">
        <f t="shared" si="18"/>
        <v>#VALUE!</v>
      </c>
      <c r="AG15" s="16" t="e">
        <f t="shared" si="18"/>
        <v>#VALUE!</v>
      </c>
      <c r="AH15" s="13" t="e">
        <f t="shared" si="18"/>
        <v>#VALUE!</v>
      </c>
      <c r="AI15" s="14" t="e">
        <f t="shared" si="18"/>
        <v>#VALUE!</v>
      </c>
      <c r="AJ15" s="14" t="e">
        <f t="shared" si="18"/>
        <v>#VALUE!</v>
      </c>
      <c r="AK15" s="14" t="e">
        <f t="shared" si="18"/>
        <v>#VALUE!</v>
      </c>
      <c r="AL15" s="14" t="e">
        <f t="shared" si="18"/>
        <v>#VALUE!</v>
      </c>
      <c r="AM15" s="15" t="e">
        <f t="shared" si="18"/>
        <v>#VALUE!</v>
      </c>
      <c r="AN15" s="16" t="e">
        <f t="shared" si="18"/>
        <v>#VALUE!</v>
      </c>
      <c r="AO15" s="13" t="e">
        <f t="shared" si="18"/>
        <v>#VALUE!</v>
      </c>
      <c r="AP15" s="14" t="e">
        <f t="shared" si="18"/>
        <v>#VALUE!</v>
      </c>
      <c r="AQ15" s="14" t="e">
        <f t="shared" si="19"/>
        <v>#VALUE!</v>
      </c>
      <c r="AR15" s="14" t="e">
        <f t="shared" si="19"/>
        <v>#VALUE!</v>
      </c>
      <c r="AS15" s="14" t="e">
        <f t="shared" si="19"/>
        <v>#VALUE!</v>
      </c>
      <c r="AT15" s="15" t="e">
        <f t="shared" si="19"/>
        <v>#VALUE!</v>
      </c>
      <c r="AU15" s="16" t="e">
        <f t="shared" si="19"/>
        <v>#VALUE!</v>
      </c>
      <c r="AV15" s="13" t="e">
        <f t="shared" si="19"/>
        <v>#VALUE!</v>
      </c>
      <c r="AW15" s="14" t="e">
        <f t="shared" si="19"/>
        <v>#VALUE!</v>
      </c>
      <c r="AX15" s="14" t="e">
        <f t="shared" si="19"/>
        <v>#VALUE!</v>
      </c>
      <c r="AY15" s="14" t="e">
        <f t="shared" si="19"/>
        <v>#VALUE!</v>
      </c>
      <c r="AZ15" s="14" t="e">
        <f t="shared" si="19"/>
        <v>#VALUE!</v>
      </c>
      <c r="BA15" s="15" t="e">
        <f t="shared" si="19"/>
        <v>#VALUE!</v>
      </c>
      <c r="BB15" s="16" t="e">
        <f t="shared" si="19"/>
        <v>#VALUE!</v>
      </c>
      <c r="BC15" s="13" t="e">
        <f t="shared" si="19"/>
        <v>#VALUE!</v>
      </c>
      <c r="BD15" s="14" t="e">
        <f t="shared" si="19"/>
        <v>#VALUE!</v>
      </c>
      <c r="BE15" s="14" t="e">
        <f t="shared" si="19"/>
        <v>#VALUE!</v>
      </c>
      <c r="BF15" s="14" t="e">
        <f t="shared" si="19"/>
        <v>#VALUE!</v>
      </c>
      <c r="BG15" s="14" t="e">
        <f t="shared" si="20"/>
        <v>#VALUE!</v>
      </c>
      <c r="BH15" s="15" t="e">
        <f t="shared" si="20"/>
        <v>#VALUE!</v>
      </c>
      <c r="BI15" s="16" t="e">
        <f t="shared" si="20"/>
        <v>#VALUE!</v>
      </c>
      <c r="BJ15" s="13" t="e">
        <f t="shared" si="20"/>
        <v>#VALUE!</v>
      </c>
      <c r="BK15" s="14" t="e">
        <f t="shared" si="20"/>
        <v>#VALUE!</v>
      </c>
      <c r="BL15" s="14" t="e">
        <f t="shared" si="20"/>
        <v>#VALUE!</v>
      </c>
      <c r="BM15" s="14" t="e">
        <f t="shared" si="20"/>
        <v>#VALUE!</v>
      </c>
      <c r="BN15" s="14" t="e">
        <f t="shared" si="20"/>
        <v>#VALUE!</v>
      </c>
      <c r="BO15" s="15" t="e">
        <f t="shared" si="20"/>
        <v>#VALUE!</v>
      </c>
      <c r="BP15" s="16" t="e">
        <f t="shared" si="20"/>
        <v>#VALUE!</v>
      </c>
      <c r="BQ15" s="13" t="e">
        <f t="shared" si="20"/>
        <v>#VALUE!</v>
      </c>
      <c r="BR15" s="14" t="e">
        <f t="shared" si="20"/>
        <v>#VALUE!</v>
      </c>
      <c r="BS15" s="14" t="e">
        <f t="shared" si="20"/>
        <v>#VALUE!</v>
      </c>
      <c r="BT15" s="14" t="e">
        <f t="shared" si="20"/>
        <v>#VALUE!</v>
      </c>
      <c r="BU15" s="14" t="e">
        <f t="shared" si="20"/>
        <v>#VALUE!</v>
      </c>
      <c r="BV15" s="15" t="e">
        <f t="shared" si="20"/>
        <v>#VALUE!</v>
      </c>
      <c r="BW15" s="16" t="e">
        <f t="shared" si="21"/>
        <v>#VALUE!</v>
      </c>
      <c r="BX15" s="13" t="e">
        <f t="shared" si="21"/>
        <v>#VALUE!</v>
      </c>
      <c r="BY15" s="14" t="e">
        <f t="shared" si="21"/>
        <v>#VALUE!</v>
      </c>
      <c r="BZ15" s="14" t="e">
        <f t="shared" si="21"/>
        <v>#VALUE!</v>
      </c>
      <c r="CA15" s="14" t="e">
        <f t="shared" si="21"/>
        <v>#VALUE!</v>
      </c>
      <c r="CB15" s="14" t="e">
        <f t="shared" si="21"/>
        <v>#VALUE!</v>
      </c>
      <c r="CC15" s="15" t="e">
        <f t="shared" si="21"/>
        <v>#VALUE!</v>
      </c>
      <c r="CD15" s="16" t="e">
        <f t="shared" si="21"/>
        <v>#VALUE!</v>
      </c>
      <c r="CE15" s="13" t="e">
        <f t="shared" si="21"/>
        <v>#VALUE!</v>
      </c>
      <c r="CF15" s="14" t="e">
        <f t="shared" si="21"/>
        <v>#VALUE!</v>
      </c>
      <c r="CG15" s="14" t="e">
        <f t="shared" si="21"/>
        <v>#VALUE!</v>
      </c>
      <c r="CH15" s="14" t="e">
        <f t="shared" si="21"/>
        <v>#VALUE!</v>
      </c>
      <c r="CI15" s="14" t="e">
        <f t="shared" si="21"/>
        <v>#VALUE!</v>
      </c>
      <c r="CJ15" s="15" t="e">
        <f t="shared" si="21"/>
        <v>#VALUE!</v>
      </c>
      <c r="CK15" s="16" t="e">
        <f t="shared" si="21"/>
        <v>#VALUE!</v>
      </c>
      <c r="CL15" s="13" t="e">
        <f t="shared" si="21"/>
        <v>#VALUE!</v>
      </c>
      <c r="CM15" s="14" t="e">
        <f t="shared" si="22"/>
        <v>#VALUE!</v>
      </c>
      <c r="CN15" s="14" t="e">
        <f t="shared" si="22"/>
        <v>#VALUE!</v>
      </c>
      <c r="CO15" s="14" t="e">
        <f t="shared" si="22"/>
        <v>#VALUE!</v>
      </c>
      <c r="CP15" s="14" t="e">
        <f t="shared" si="22"/>
        <v>#VALUE!</v>
      </c>
      <c r="CQ15" s="15" t="e">
        <f t="shared" si="22"/>
        <v>#VALUE!</v>
      </c>
      <c r="CR15" s="16" t="e">
        <f t="shared" si="22"/>
        <v>#VALUE!</v>
      </c>
      <c r="CS15" s="13" t="e">
        <f t="shared" si="22"/>
        <v>#VALUE!</v>
      </c>
      <c r="CT15" s="14" t="e">
        <f t="shared" si="22"/>
        <v>#VALUE!</v>
      </c>
      <c r="CU15" s="14" t="e">
        <f t="shared" si="22"/>
        <v>#VALUE!</v>
      </c>
      <c r="CV15" s="14" t="e">
        <f t="shared" si="22"/>
        <v>#VALUE!</v>
      </c>
      <c r="CW15" s="14" t="e">
        <f t="shared" si="22"/>
        <v>#VALUE!</v>
      </c>
      <c r="CX15" s="15" t="e">
        <f t="shared" si="22"/>
        <v>#VALUE!</v>
      </c>
      <c r="CY15" s="16" t="e">
        <f t="shared" si="22"/>
        <v>#VALUE!</v>
      </c>
      <c r="CZ15" s="13" t="e">
        <f t="shared" si="22"/>
        <v>#VALUE!</v>
      </c>
      <c r="DA15" s="14" t="e">
        <f t="shared" si="22"/>
        <v>#VALUE!</v>
      </c>
      <c r="DB15" s="14" t="e">
        <f t="shared" si="22"/>
        <v>#VALUE!</v>
      </c>
      <c r="DC15" s="14" t="e">
        <f t="shared" si="23"/>
        <v>#VALUE!</v>
      </c>
      <c r="DD15" s="14" t="e">
        <f t="shared" si="23"/>
        <v>#VALUE!</v>
      </c>
      <c r="DE15" s="15" t="e">
        <f t="shared" si="23"/>
        <v>#VALUE!</v>
      </c>
      <c r="DF15" s="16" t="e">
        <f t="shared" si="23"/>
        <v>#VALUE!</v>
      </c>
      <c r="DG15" s="13" t="e">
        <f t="shared" si="23"/>
        <v>#VALUE!</v>
      </c>
      <c r="DH15" s="14" t="e">
        <f t="shared" si="23"/>
        <v>#VALUE!</v>
      </c>
      <c r="DI15" s="14" t="e">
        <f t="shared" si="23"/>
        <v>#VALUE!</v>
      </c>
      <c r="DJ15" s="14" t="e">
        <f t="shared" si="23"/>
        <v>#VALUE!</v>
      </c>
      <c r="DK15" s="14" t="e">
        <f t="shared" si="23"/>
        <v>#VALUE!</v>
      </c>
      <c r="DL15" s="15" t="e">
        <f t="shared" si="23"/>
        <v>#VALUE!</v>
      </c>
      <c r="DM15" s="16" t="e">
        <f t="shared" si="23"/>
        <v>#VALUE!</v>
      </c>
      <c r="DN15" s="13" t="e">
        <f t="shared" si="23"/>
        <v>#VALUE!</v>
      </c>
      <c r="DO15" s="14" t="e">
        <f t="shared" si="23"/>
        <v>#VALUE!</v>
      </c>
      <c r="DP15" s="14" t="e">
        <f t="shared" si="23"/>
        <v>#VALUE!</v>
      </c>
      <c r="DQ15" s="14" t="e">
        <f t="shared" si="23"/>
        <v>#VALUE!</v>
      </c>
      <c r="DR15" s="14" t="e">
        <f t="shared" si="23"/>
        <v>#VALUE!</v>
      </c>
      <c r="DS15" s="15" t="e">
        <f t="shared" si="23"/>
        <v>#VALUE!</v>
      </c>
      <c r="DT15" s="16" t="e">
        <f t="shared" si="23"/>
        <v>#VALUE!</v>
      </c>
    </row>
    <row r="16" spans="1:124" s="17" customFormat="1" ht="9.75" customHeight="1">
      <c r="A16" s="586"/>
      <c r="B16" s="23" t="s">
        <v>46</v>
      </c>
      <c r="C16" s="19" t="e">
        <f>E15</f>
        <v>#VALUE!</v>
      </c>
      <c r="D16" s="19" t="str">
        <f>_xlfn.XLOOKUP(A25,'VTT actif'!B:B,'VTT actif'!AF:AF,"-",0)</f>
        <v>-</v>
      </c>
      <c r="E16" s="19" t="e">
        <f t="shared" si="25"/>
        <v>#VALUE!</v>
      </c>
      <c r="F16" s="13" t="e">
        <f t="shared" si="17"/>
        <v>#VALUE!</v>
      </c>
      <c r="G16" s="14" t="e">
        <f t="shared" si="17"/>
        <v>#VALUE!</v>
      </c>
      <c r="H16" s="14" t="e">
        <f t="shared" si="17"/>
        <v>#VALUE!</v>
      </c>
      <c r="I16" s="14" t="e">
        <f t="shared" si="17"/>
        <v>#VALUE!</v>
      </c>
      <c r="J16" s="14" t="e">
        <f t="shared" si="17"/>
        <v>#VALUE!</v>
      </c>
      <c r="K16" s="15" t="e">
        <f t="shared" si="17"/>
        <v>#VALUE!</v>
      </c>
      <c r="L16" s="16" t="e">
        <f t="shared" si="17"/>
        <v>#VALUE!</v>
      </c>
      <c r="M16" s="13" t="e">
        <f t="shared" si="17"/>
        <v>#VALUE!</v>
      </c>
      <c r="N16" s="14" t="e">
        <f t="shared" si="17"/>
        <v>#VALUE!</v>
      </c>
      <c r="O16" s="14" t="e">
        <f t="shared" si="17"/>
        <v>#VALUE!</v>
      </c>
      <c r="P16" s="14" t="e">
        <f t="shared" si="17"/>
        <v>#VALUE!</v>
      </c>
      <c r="Q16" s="14" t="e">
        <f t="shared" si="17"/>
        <v>#VALUE!</v>
      </c>
      <c r="R16" s="15" t="e">
        <f t="shared" si="17"/>
        <v>#VALUE!</v>
      </c>
      <c r="S16" s="16" t="e">
        <f t="shared" si="17"/>
        <v>#VALUE!</v>
      </c>
      <c r="T16" s="13" t="e">
        <f t="shared" si="17"/>
        <v>#VALUE!</v>
      </c>
      <c r="U16" s="14" t="e">
        <f t="shared" si="17"/>
        <v>#VALUE!</v>
      </c>
      <c r="V16" s="14" t="e">
        <f t="shared" si="17"/>
        <v>#VALUE!</v>
      </c>
      <c r="W16" s="14" t="e">
        <f t="shared" si="17"/>
        <v>#VALUE!</v>
      </c>
      <c r="X16" s="14" t="e">
        <f t="shared" si="17"/>
        <v>#VALUE!</v>
      </c>
      <c r="Y16" s="15" t="e">
        <f t="shared" si="17"/>
        <v>#VALUE!</v>
      </c>
      <c r="Z16" s="16" t="e">
        <f t="shared" si="17"/>
        <v>#VALUE!</v>
      </c>
      <c r="AA16" s="13" t="e">
        <f t="shared" si="18"/>
        <v>#VALUE!</v>
      </c>
      <c r="AB16" s="14" t="e">
        <f t="shared" si="18"/>
        <v>#VALUE!</v>
      </c>
      <c r="AC16" s="14" t="e">
        <f t="shared" si="18"/>
        <v>#VALUE!</v>
      </c>
      <c r="AD16" s="14" t="e">
        <f t="shared" si="18"/>
        <v>#VALUE!</v>
      </c>
      <c r="AE16" s="14" t="e">
        <f t="shared" si="18"/>
        <v>#VALUE!</v>
      </c>
      <c r="AF16" s="15" t="e">
        <f t="shared" si="18"/>
        <v>#VALUE!</v>
      </c>
      <c r="AG16" s="16" t="e">
        <f t="shared" si="18"/>
        <v>#VALUE!</v>
      </c>
      <c r="AH16" s="13" t="e">
        <f t="shared" si="18"/>
        <v>#VALUE!</v>
      </c>
      <c r="AI16" s="14" t="e">
        <f t="shared" si="18"/>
        <v>#VALUE!</v>
      </c>
      <c r="AJ16" s="14" t="e">
        <f t="shared" si="18"/>
        <v>#VALUE!</v>
      </c>
      <c r="AK16" s="14" t="e">
        <f t="shared" si="18"/>
        <v>#VALUE!</v>
      </c>
      <c r="AL16" s="14" t="e">
        <f t="shared" si="18"/>
        <v>#VALUE!</v>
      </c>
      <c r="AM16" s="15" t="e">
        <f t="shared" si="18"/>
        <v>#VALUE!</v>
      </c>
      <c r="AN16" s="16" t="e">
        <f t="shared" si="18"/>
        <v>#VALUE!</v>
      </c>
      <c r="AO16" s="13" t="e">
        <f t="shared" si="18"/>
        <v>#VALUE!</v>
      </c>
      <c r="AP16" s="14" t="e">
        <f t="shared" si="18"/>
        <v>#VALUE!</v>
      </c>
      <c r="AQ16" s="14" t="e">
        <f t="shared" si="19"/>
        <v>#VALUE!</v>
      </c>
      <c r="AR16" s="14" t="e">
        <f t="shared" si="19"/>
        <v>#VALUE!</v>
      </c>
      <c r="AS16" s="14" t="e">
        <f t="shared" si="19"/>
        <v>#VALUE!</v>
      </c>
      <c r="AT16" s="15" t="e">
        <f t="shared" si="19"/>
        <v>#VALUE!</v>
      </c>
      <c r="AU16" s="16" t="e">
        <f t="shared" si="19"/>
        <v>#VALUE!</v>
      </c>
      <c r="AV16" s="13" t="e">
        <f t="shared" si="19"/>
        <v>#VALUE!</v>
      </c>
      <c r="AW16" s="14" t="e">
        <f t="shared" si="19"/>
        <v>#VALUE!</v>
      </c>
      <c r="AX16" s="14" t="e">
        <f t="shared" si="19"/>
        <v>#VALUE!</v>
      </c>
      <c r="AY16" s="14" t="e">
        <f t="shared" si="19"/>
        <v>#VALUE!</v>
      </c>
      <c r="AZ16" s="14" t="e">
        <f t="shared" si="19"/>
        <v>#VALUE!</v>
      </c>
      <c r="BA16" s="15" t="e">
        <f t="shared" si="19"/>
        <v>#VALUE!</v>
      </c>
      <c r="BB16" s="16" t="e">
        <f t="shared" si="19"/>
        <v>#VALUE!</v>
      </c>
      <c r="BC16" s="13" t="e">
        <f t="shared" si="19"/>
        <v>#VALUE!</v>
      </c>
      <c r="BD16" s="14" t="e">
        <f t="shared" si="19"/>
        <v>#VALUE!</v>
      </c>
      <c r="BE16" s="14" t="e">
        <f t="shared" si="19"/>
        <v>#VALUE!</v>
      </c>
      <c r="BF16" s="14" t="e">
        <f t="shared" si="19"/>
        <v>#VALUE!</v>
      </c>
      <c r="BG16" s="14" t="e">
        <f t="shared" si="20"/>
        <v>#VALUE!</v>
      </c>
      <c r="BH16" s="15" t="e">
        <f t="shared" si="20"/>
        <v>#VALUE!</v>
      </c>
      <c r="BI16" s="16" t="e">
        <f t="shared" si="20"/>
        <v>#VALUE!</v>
      </c>
      <c r="BJ16" s="13" t="e">
        <f t="shared" si="20"/>
        <v>#VALUE!</v>
      </c>
      <c r="BK16" s="14" t="e">
        <f t="shared" si="20"/>
        <v>#VALUE!</v>
      </c>
      <c r="BL16" s="14" t="e">
        <f t="shared" si="20"/>
        <v>#VALUE!</v>
      </c>
      <c r="BM16" s="14" t="e">
        <f t="shared" si="20"/>
        <v>#VALUE!</v>
      </c>
      <c r="BN16" s="14" t="e">
        <f t="shared" si="20"/>
        <v>#VALUE!</v>
      </c>
      <c r="BO16" s="15" t="e">
        <f t="shared" si="20"/>
        <v>#VALUE!</v>
      </c>
      <c r="BP16" s="16" t="e">
        <f t="shared" si="20"/>
        <v>#VALUE!</v>
      </c>
      <c r="BQ16" s="13" t="e">
        <f t="shared" si="20"/>
        <v>#VALUE!</v>
      </c>
      <c r="BR16" s="14" t="e">
        <f t="shared" si="20"/>
        <v>#VALUE!</v>
      </c>
      <c r="BS16" s="14" t="e">
        <f t="shared" si="20"/>
        <v>#VALUE!</v>
      </c>
      <c r="BT16" s="14" t="e">
        <f t="shared" si="20"/>
        <v>#VALUE!</v>
      </c>
      <c r="BU16" s="14" t="e">
        <f t="shared" si="20"/>
        <v>#VALUE!</v>
      </c>
      <c r="BV16" s="15" t="e">
        <f t="shared" si="20"/>
        <v>#VALUE!</v>
      </c>
      <c r="BW16" s="16" t="e">
        <f t="shared" si="21"/>
        <v>#VALUE!</v>
      </c>
      <c r="BX16" s="13" t="e">
        <f t="shared" si="21"/>
        <v>#VALUE!</v>
      </c>
      <c r="BY16" s="14" t="e">
        <f t="shared" si="21"/>
        <v>#VALUE!</v>
      </c>
      <c r="BZ16" s="14" t="e">
        <f t="shared" si="21"/>
        <v>#VALUE!</v>
      </c>
      <c r="CA16" s="14" t="e">
        <f t="shared" si="21"/>
        <v>#VALUE!</v>
      </c>
      <c r="CB16" s="14" t="e">
        <f t="shared" si="21"/>
        <v>#VALUE!</v>
      </c>
      <c r="CC16" s="15" t="e">
        <f t="shared" si="21"/>
        <v>#VALUE!</v>
      </c>
      <c r="CD16" s="16" t="e">
        <f t="shared" si="21"/>
        <v>#VALUE!</v>
      </c>
      <c r="CE16" s="13" t="e">
        <f t="shared" si="21"/>
        <v>#VALUE!</v>
      </c>
      <c r="CF16" s="14" t="e">
        <f t="shared" si="21"/>
        <v>#VALUE!</v>
      </c>
      <c r="CG16" s="14" t="e">
        <f t="shared" si="21"/>
        <v>#VALUE!</v>
      </c>
      <c r="CH16" s="14" t="e">
        <f t="shared" si="21"/>
        <v>#VALUE!</v>
      </c>
      <c r="CI16" s="14" t="e">
        <f t="shared" si="21"/>
        <v>#VALUE!</v>
      </c>
      <c r="CJ16" s="15" t="e">
        <f t="shared" si="21"/>
        <v>#VALUE!</v>
      </c>
      <c r="CK16" s="16" t="e">
        <f t="shared" si="21"/>
        <v>#VALUE!</v>
      </c>
      <c r="CL16" s="13" t="e">
        <f t="shared" si="21"/>
        <v>#VALUE!</v>
      </c>
      <c r="CM16" s="14" t="e">
        <f t="shared" si="22"/>
        <v>#VALUE!</v>
      </c>
      <c r="CN16" s="14" t="e">
        <f t="shared" si="22"/>
        <v>#VALUE!</v>
      </c>
      <c r="CO16" s="14" t="e">
        <f t="shared" si="22"/>
        <v>#VALUE!</v>
      </c>
      <c r="CP16" s="14" t="e">
        <f t="shared" si="22"/>
        <v>#VALUE!</v>
      </c>
      <c r="CQ16" s="15" t="e">
        <f t="shared" si="22"/>
        <v>#VALUE!</v>
      </c>
      <c r="CR16" s="16" t="e">
        <f t="shared" si="22"/>
        <v>#VALUE!</v>
      </c>
      <c r="CS16" s="13" t="e">
        <f t="shared" si="22"/>
        <v>#VALUE!</v>
      </c>
      <c r="CT16" s="14" t="e">
        <f t="shared" si="22"/>
        <v>#VALUE!</v>
      </c>
      <c r="CU16" s="14" t="e">
        <f t="shared" si="22"/>
        <v>#VALUE!</v>
      </c>
      <c r="CV16" s="14" t="e">
        <f t="shared" si="22"/>
        <v>#VALUE!</v>
      </c>
      <c r="CW16" s="14" t="e">
        <f t="shared" si="22"/>
        <v>#VALUE!</v>
      </c>
      <c r="CX16" s="15" t="e">
        <f t="shared" si="22"/>
        <v>#VALUE!</v>
      </c>
      <c r="CY16" s="16" t="e">
        <f t="shared" si="22"/>
        <v>#VALUE!</v>
      </c>
      <c r="CZ16" s="13" t="e">
        <f t="shared" si="22"/>
        <v>#VALUE!</v>
      </c>
      <c r="DA16" s="14" t="e">
        <f t="shared" si="22"/>
        <v>#VALUE!</v>
      </c>
      <c r="DB16" s="14" t="e">
        <f t="shared" si="22"/>
        <v>#VALUE!</v>
      </c>
      <c r="DC16" s="14" t="e">
        <f t="shared" si="23"/>
        <v>#VALUE!</v>
      </c>
      <c r="DD16" s="14" t="e">
        <f t="shared" si="23"/>
        <v>#VALUE!</v>
      </c>
      <c r="DE16" s="15" t="e">
        <f t="shared" si="23"/>
        <v>#VALUE!</v>
      </c>
      <c r="DF16" s="16" t="e">
        <f t="shared" si="23"/>
        <v>#VALUE!</v>
      </c>
      <c r="DG16" s="13" t="e">
        <f t="shared" si="23"/>
        <v>#VALUE!</v>
      </c>
      <c r="DH16" s="14" t="e">
        <f t="shared" si="23"/>
        <v>#VALUE!</v>
      </c>
      <c r="DI16" s="14" t="e">
        <f t="shared" si="23"/>
        <v>#VALUE!</v>
      </c>
      <c r="DJ16" s="14" t="e">
        <f t="shared" si="23"/>
        <v>#VALUE!</v>
      </c>
      <c r="DK16" s="14" t="e">
        <f t="shared" si="23"/>
        <v>#VALUE!</v>
      </c>
      <c r="DL16" s="15" t="e">
        <f t="shared" si="23"/>
        <v>#VALUE!</v>
      </c>
      <c r="DM16" s="16" t="e">
        <f t="shared" si="23"/>
        <v>#VALUE!</v>
      </c>
      <c r="DN16" s="13" t="e">
        <f t="shared" si="23"/>
        <v>#VALUE!</v>
      </c>
      <c r="DO16" s="14" t="e">
        <f t="shared" si="23"/>
        <v>#VALUE!</v>
      </c>
      <c r="DP16" s="14" t="e">
        <f t="shared" si="23"/>
        <v>#VALUE!</v>
      </c>
      <c r="DQ16" s="14" t="e">
        <f t="shared" si="23"/>
        <v>#VALUE!</v>
      </c>
      <c r="DR16" s="14" t="e">
        <f t="shared" si="23"/>
        <v>#VALUE!</v>
      </c>
      <c r="DS16" s="15" t="e">
        <f t="shared" si="23"/>
        <v>#VALUE!</v>
      </c>
      <c r="DT16" s="16" t="e">
        <f t="shared" si="23"/>
        <v>#VALUE!</v>
      </c>
    </row>
    <row r="17" spans="1:124" s="17" customFormat="1" ht="9.75" customHeight="1">
      <c r="A17" s="586"/>
      <c r="B17" s="23" t="s">
        <v>47</v>
      </c>
      <c r="C17" s="19" t="e">
        <f t="shared" ref="C17:C25" si="26">E16+1</f>
        <v>#VALUE!</v>
      </c>
      <c r="D17" s="19" t="str">
        <f>_xlfn.XLOOKUP(A25,'VTT actif'!B:B,'VTT actif'!AH:AH,"-",0)</f>
        <v>-</v>
      </c>
      <c r="E17" s="19" t="e">
        <f t="shared" si="25"/>
        <v>#VALUE!</v>
      </c>
      <c r="F17" s="13" t="e">
        <f t="shared" si="17"/>
        <v>#VALUE!</v>
      </c>
      <c r="G17" s="14" t="e">
        <f t="shared" si="17"/>
        <v>#VALUE!</v>
      </c>
      <c r="H17" s="14" t="e">
        <f t="shared" si="17"/>
        <v>#VALUE!</v>
      </c>
      <c r="I17" s="14" t="e">
        <f t="shared" si="17"/>
        <v>#VALUE!</v>
      </c>
      <c r="J17" s="14" t="e">
        <f t="shared" si="17"/>
        <v>#VALUE!</v>
      </c>
      <c r="K17" s="15" t="e">
        <f t="shared" si="17"/>
        <v>#VALUE!</v>
      </c>
      <c r="L17" s="16" t="e">
        <f t="shared" si="17"/>
        <v>#VALUE!</v>
      </c>
      <c r="M17" s="13" t="e">
        <f t="shared" si="17"/>
        <v>#VALUE!</v>
      </c>
      <c r="N17" s="14" t="e">
        <f t="shared" si="17"/>
        <v>#VALUE!</v>
      </c>
      <c r="O17" s="14" t="e">
        <f t="shared" si="17"/>
        <v>#VALUE!</v>
      </c>
      <c r="P17" s="14" t="e">
        <f t="shared" si="17"/>
        <v>#VALUE!</v>
      </c>
      <c r="Q17" s="14" t="e">
        <f t="shared" si="17"/>
        <v>#VALUE!</v>
      </c>
      <c r="R17" s="15" t="e">
        <f t="shared" si="17"/>
        <v>#VALUE!</v>
      </c>
      <c r="S17" s="16" t="e">
        <f t="shared" si="17"/>
        <v>#VALUE!</v>
      </c>
      <c r="T17" s="13" t="e">
        <f t="shared" si="17"/>
        <v>#VALUE!</v>
      </c>
      <c r="U17" s="14" t="e">
        <f t="shared" si="17"/>
        <v>#VALUE!</v>
      </c>
      <c r="V17" s="14" t="e">
        <f t="shared" si="17"/>
        <v>#VALUE!</v>
      </c>
      <c r="W17" s="14" t="e">
        <f t="shared" si="17"/>
        <v>#VALUE!</v>
      </c>
      <c r="X17" s="14" t="e">
        <f t="shared" si="17"/>
        <v>#VALUE!</v>
      </c>
      <c r="Y17" s="15" t="e">
        <f t="shared" si="17"/>
        <v>#VALUE!</v>
      </c>
      <c r="Z17" s="16" t="e">
        <f t="shared" si="17"/>
        <v>#VALUE!</v>
      </c>
      <c r="AA17" s="13" t="e">
        <f t="shared" si="18"/>
        <v>#VALUE!</v>
      </c>
      <c r="AB17" s="14" t="e">
        <f t="shared" si="18"/>
        <v>#VALUE!</v>
      </c>
      <c r="AC17" s="14" t="e">
        <f t="shared" si="18"/>
        <v>#VALUE!</v>
      </c>
      <c r="AD17" s="14" t="e">
        <f t="shared" si="18"/>
        <v>#VALUE!</v>
      </c>
      <c r="AE17" s="14" t="e">
        <f t="shared" si="18"/>
        <v>#VALUE!</v>
      </c>
      <c r="AF17" s="15" t="e">
        <f t="shared" si="18"/>
        <v>#VALUE!</v>
      </c>
      <c r="AG17" s="16" t="e">
        <f t="shared" si="18"/>
        <v>#VALUE!</v>
      </c>
      <c r="AH17" s="13" t="e">
        <f t="shared" si="18"/>
        <v>#VALUE!</v>
      </c>
      <c r="AI17" s="14" t="e">
        <f t="shared" si="18"/>
        <v>#VALUE!</v>
      </c>
      <c r="AJ17" s="14" t="e">
        <f t="shared" si="18"/>
        <v>#VALUE!</v>
      </c>
      <c r="AK17" s="14" t="e">
        <f t="shared" si="18"/>
        <v>#VALUE!</v>
      </c>
      <c r="AL17" s="14" t="e">
        <f t="shared" si="18"/>
        <v>#VALUE!</v>
      </c>
      <c r="AM17" s="15" t="e">
        <f t="shared" si="18"/>
        <v>#VALUE!</v>
      </c>
      <c r="AN17" s="16" t="e">
        <f t="shared" si="18"/>
        <v>#VALUE!</v>
      </c>
      <c r="AO17" s="13" t="e">
        <f t="shared" si="18"/>
        <v>#VALUE!</v>
      </c>
      <c r="AP17" s="14" t="e">
        <f t="shared" si="18"/>
        <v>#VALUE!</v>
      </c>
      <c r="AQ17" s="14" t="e">
        <f t="shared" si="19"/>
        <v>#VALUE!</v>
      </c>
      <c r="AR17" s="14" t="e">
        <f t="shared" si="19"/>
        <v>#VALUE!</v>
      </c>
      <c r="AS17" s="14" t="e">
        <f t="shared" si="19"/>
        <v>#VALUE!</v>
      </c>
      <c r="AT17" s="15" t="e">
        <f t="shared" si="19"/>
        <v>#VALUE!</v>
      </c>
      <c r="AU17" s="16" t="e">
        <f t="shared" si="19"/>
        <v>#VALUE!</v>
      </c>
      <c r="AV17" s="13" t="e">
        <f t="shared" si="19"/>
        <v>#VALUE!</v>
      </c>
      <c r="AW17" s="14" t="e">
        <f t="shared" si="19"/>
        <v>#VALUE!</v>
      </c>
      <c r="AX17" s="14" t="e">
        <f t="shared" si="19"/>
        <v>#VALUE!</v>
      </c>
      <c r="AY17" s="14" t="e">
        <f t="shared" si="19"/>
        <v>#VALUE!</v>
      </c>
      <c r="AZ17" s="14" t="e">
        <f t="shared" si="19"/>
        <v>#VALUE!</v>
      </c>
      <c r="BA17" s="15" t="e">
        <f t="shared" si="19"/>
        <v>#VALUE!</v>
      </c>
      <c r="BB17" s="16" t="e">
        <f t="shared" si="19"/>
        <v>#VALUE!</v>
      </c>
      <c r="BC17" s="13" t="e">
        <f t="shared" si="19"/>
        <v>#VALUE!</v>
      </c>
      <c r="BD17" s="14" t="e">
        <f t="shared" si="19"/>
        <v>#VALUE!</v>
      </c>
      <c r="BE17" s="14" t="e">
        <f t="shared" si="19"/>
        <v>#VALUE!</v>
      </c>
      <c r="BF17" s="14" t="e">
        <f t="shared" si="19"/>
        <v>#VALUE!</v>
      </c>
      <c r="BG17" s="14" t="e">
        <f t="shared" si="20"/>
        <v>#VALUE!</v>
      </c>
      <c r="BH17" s="15" t="e">
        <f t="shared" si="20"/>
        <v>#VALUE!</v>
      </c>
      <c r="BI17" s="16" t="e">
        <f t="shared" si="20"/>
        <v>#VALUE!</v>
      </c>
      <c r="BJ17" s="13" t="e">
        <f t="shared" si="20"/>
        <v>#VALUE!</v>
      </c>
      <c r="BK17" s="14" t="e">
        <f t="shared" si="20"/>
        <v>#VALUE!</v>
      </c>
      <c r="BL17" s="14" t="e">
        <f t="shared" si="20"/>
        <v>#VALUE!</v>
      </c>
      <c r="BM17" s="14" t="e">
        <f t="shared" si="20"/>
        <v>#VALUE!</v>
      </c>
      <c r="BN17" s="14" t="e">
        <f t="shared" si="20"/>
        <v>#VALUE!</v>
      </c>
      <c r="BO17" s="15" t="e">
        <f t="shared" si="20"/>
        <v>#VALUE!</v>
      </c>
      <c r="BP17" s="16" t="e">
        <f t="shared" si="20"/>
        <v>#VALUE!</v>
      </c>
      <c r="BQ17" s="13" t="e">
        <f t="shared" si="20"/>
        <v>#VALUE!</v>
      </c>
      <c r="BR17" s="14" t="e">
        <f t="shared" si="20"/>
        <v>#VALUE!</v>
      </c>
      <c r="BS17" s="14" t="e">
        <f t="shared" si="20"/>
        <v>#VALUE!</v>
      </c>
      <c r="BT17" s="14" t="e">
        <f t="shared" si="20"/>
        <v>#VALUE!</v>
      </c>
      <c r="BU17" s="14" t="e">
        <f t="shared" si="20"/>
        <v>#VALUE!</v>
      </c>
      <c r="BV17" s="15" t="e">
        <f t="shared" si="20"/>
        <v>#VALUE!</v>
      </c>
      <c r="BW17" s="16" t="e">
        <f t="shared" si="21"/>
        <v>#VALUE!</v>
      </c>
      <c r="BX17" s="13" t="e">
        <f t="shared" si="21"/>
        <v>#VALUE!</v>
      </c>
      <c r="BY17" s="14" t="e">
        <f t="shared" si="21"/>
        <v>#VALUE!</v>
      </c>
      <c r="BZ17" s="14" t="e">
        <f t="shared" si="21"/>
        <v>#VALUE!</v>
      </c>
      <c r="CA17" s="14" t="e">
        <f t="shared" si="21"/>
        <v>#VALUE!</v>
      </c>
      <c r="CB17" s="14" t="e">
        <f t="shared" si="21"/>
        <v>#VALUE!</v>
      </c>
      <c r="CC17" s="15" t="e">
        <f t="shared" si="21"/>
        <v>#VALUE!</v>
      </c>
      <c r="CD17" s="16" t="e">
        <f t="shared" si="21"/>
        <v>#VALUE!</v>
      </c>
      <c r="CE17" s="13" t="e">
        <f t="shared" si="21"/>
        <v>#VALUE!</v>
      </c>
      <c r="CF17" s="14" t="e">
        <f t="shared" si="21"/>
        <v>#VALUE!</v>
      </c>
      <c r="CG17" s="14" t="e">
        <f t="shared" si="21"/>
        <v>#VALUE!</v>
      </c>
      <c r="CH17" s="14" t="e">
        <f t="shared" si="21"/>
        <v>#VALUE!</v>
      </c>
      <c r="CI17" s="14" t="e">
        <f t="shared" si="21"/>
        <v>#VALUE!</v>
      </c>
      <c r="CJ17" s="15" t="e">
        <f t="shared" si="21"/>
        <v>#VALUE!</v>
      </c>
      <c r="CK17" s="16" t="e">
        <f t="shared" si="21"/>
        <v>#VALUE!</v>
      </c>
      <c r="CL17" s="13" t="e">
        <f t="shared" si="21"/>
        <v>#VALUE!</v>
      </c>
      <c r="CM17" s="14" t="e">
        <f t="shared" si="22"/>
        <v>#VALUE!</v>
      </c>
      <c r="CN17" s="14" t="e">
        <f t="shared" si="22"/>
        <v>#VALUE!</v>
      </c>
      <c r="CO17" s="14" t="e">
        <f t="shared" si="22"/>
        <v>#VALUE!</v>
      </c>
      <c r="CP17" s="14" t="e">
        <f t="shared" si="22"/>
        <v>#VALUE!</v>
      </c>
      <c r="CQ17" s="15" t="e">
        <f t="shared" si="22"/>
        <v>#VALUE!</v>
      </c>
      <c r="CR17" s="16" t="e">
        <f t="shared" si="22"/>
        <v>#VALUE!</v>
      </c>
      <c r="CS17" s="13" t="e">
        <f t="shared" si="22"/>
        <v>#VALUE!</v>
      </c>
      <c r="CT17" s="14" t="e">
        <f t="shared" si="22"/>
        <v>#VALUE!</v>
      </c>
      <c r="CU17" s="14" t="e">
        <f t="shared" si="22"/>
        <v>#VALUE!</v>
      </c>
      <c r="CV17" s="14" t="e">
        <f t="shared" si="22"/>
        <v>#VALUE!</v>
      </c>
      <c r="CW17" s="14" t="e">
        <f t="shared" si="22"/>
        <v>#VALUE!</v>
      </c>
      <c r="CX17" s="15" t="e">
        <f t="shared" si="22"/>
        <v>#VALUE!</v>
      </c>
      <c r="CY17" s="16" t="e">
        <f t="shared" si="22"/>
        <v>#VALUE!</v>
      </c>
      <c r="CZ17" s="13" t="e">
        <f t="shared" si="22"/>
        <v>#VALUE!</v>
      </c>
      <c r="DA17" s="14" t="e">
        <f t="shared" si="22"/>
        <v>#VALUE!</v>
      </c>
      <c r="DB17" s="14" t="e">
        <f t="shared" si="22"/>
        <v>#VALUE!</v>
      </c>
      <c r="DC17" s="14" t="e">
        <f t="shared" si="23"/>
        <v>#VALUE!</v>
      </c>
      <c r="DD17" s="14" t="e">
        <f t="shared" si="23"/>
        <v>#VALUE!</v>
      </c>
      <c r="DE17" s="15" t="e">
        <f t="shared" si="23"/>
        <v>#VALUE!</v>
      </c>
      <c r="DF17" s="16" t="e">
        <f t="shared" si="23"/>
        <v>#VALUE!</v>
      </c>
      <c r="DG17" s="13" t="e">
        <f t="shared" si="23"/>
        <v>#VALUE!</v>
      </c>
      <c r="DH17" s="14" t="e">
        <f t="shared" si="23"/>
        <v>#VALUE!</v>
      </c>
      <c r="DI17" s="14" t="e">
        <f t="shared" si="23"/>
        <v>#VALUE!</v>
      </c>
      <c r="DJ17" s="14" t="e">
        <f t="shared" si="23"/>
        <v>#VALUE!</v>
      </c>
      <c r="DK17" s="14" t="e">
        <f t="shared" si="23"/>
        <v>#VALUE!</v>
      </c>
      <c r="DL17" s="15" t="e">
        <f t="shared" si="23"/>
        <v>#VALUE!</v>
      </c>
      <c r="DM17" s="16" t="e">
        <f t="shared" si="23"/>
        <v>#VALUE!</v>
      </c>
      <c r="DN17" s="13" t="e">
        <f t="shared" si="23"/>
        <v>#VALUE!</v>
      </c>
      <c r="DO17" s="14" t="e">
        <f t="shared" si="23"/>
        <v>#VALUE!</v>
      </c>
      <c r="DP17" s="14" t="e">
        <f t="shared" si="23"/>
        <v>#VALUE!</v>
      </c>
      <c r="DQ17" s="14" t="e">
        <f t="shared" si="23"/>
        <v>#VALUE!</v>
      </c>
      <c r="DR17" s="14" t="e">
        <f t="shared" si="23"/>
        <v>#VALUE!</v>
      </c>
      <c r="DS17" s="15" t="e">
        <f t="shared" si="23"/>
        <v>#VALUE!</v>
      </c>
      <c r="DT17" s="16" t="e">
        <f t="shared" si="23"/>
        <v>#VALUE!</v>
      </c>
    </row>
    <row r="18" spans="1:124" s="17" customFormat="1" ht="9.75" customHeight="1">
      <c r="A18" s="586"/>
      <c r="B18" s="26" t="s">
        <v>48</v>
      </c>
      <c r="C18" s="19" t="e">
        <f t="shared" si="26"/>
        <v>#VALUE!</v>
      </c>
      <c r="D18" s="19" t="str">
        <f>_xlfn.XLOOKUP(A25,'VTT actif'!B:B,'VTT actif'!AI:AI,"-",0)</f>
        <v>-</v>
      </c>
      <c r="E18" s="19" t="e">
        <f t="shared" si="25"/>
        <v>#VALUE!</v>
      </c>
      <c r="F18" s="13" t="e">
        <f t="shared" si="17"/>
        <v>#VALUE!</v>
      </c>
      <c r="G18" s="14" t="e">
        <f t="shared" si="17"/>
        <v>#VALUE!</v>
      </c>
      <c r="H18" s="14" t="e">
        <f t="shared" si="17"/>
        <v>#VALUE!</v>
      </c>
      <c r="I18" s="14" t="e">
        <f t="shared" si="17"/>
        <v>#VALUE!</v>
      </c>
      <c r="J18" s="14" t="e">
        <f t="shared" si="17"/>
        <v>#VALUE!</v>
      </c>
      <c r="K18" s="15" t="e">
        <f t="shared" si="17"/>
        <v>#VALUE!</v>
      </c>
      <c r="L18" s="16" t="e">
        <f t="shared" si="17"/>
        <v>#VALUE!</v>
      </c>
      <c r="M18" s="13" t="e">
        <f t="shared" si="17"/>
        <v>#VALUE!</v>
      </c>
      <c r="N18" s="14" t="e">
        <f t="shared" si="17"/>
        <v>#VALUE!</v>
      </c>
      <c r="O18" s="14" t="e">
        <f t="shared" si="17"/>
        <v>#VALUE!</v>
      </c>
      <c r="P18" s="14" t="e">
        <f t="shared" si="17"/>
        <v>#VALUE!</v>
      </c>
      <c r="Q18" s="14" t="e">
        <f t="shared" si="17"/>
        <v>#VALUE!</v>
      </c>
      <c r="R18" s="15" t="e">
        <f t="shared" si="17"/>
        <v>#VALUE!</v>
      </c>
      <c r="S18" s="16" t="e">
        <f t="shared" si="17"/>
        <v>#VALUE!</v>
      </c>
      <c r="T18" s="13" t="e">
        <f t="shared" si="17"/>
        <v>#VALUE!</v>
      </c>
      <c r="U18" s="14" t="e">
        <f t="shared" si="17"/>
        <v>#VALUE!</v>
      </c>
      <c r="V18" s="14" t="e">
        <f t="shared" si="17"/>
        <v>#VALUE!</v>
      </c>
      <c r="W18" s="14" t="e">
        <f t="shared" si="17"/>
        <v>#VALUE!</v>
      </c>
      <c r="X18" s="14" t="e">
        <f t="shared" si="17"/>
        <v>#VALUE!</v>
      </c>
      <c r="Y18" s="15" t="e">
        <f t="shared" si="17"/>
        <v>#VALUE!</v>
      </c>
      <c r="Z18" s="16" t="e">
        <f t="shared" si="17"/>
        <v>#VALUE!</v>
      </c>
      <c r="AA18" s="13" t="e">
        <f t="shared" si="18"/>
        <v>#VALUE!</v>
      </c>
      <c r="AB18" s="14" t="e">
        <f t="shared" si="18"/>
        <v>#VALUE!</v>
      </c>
      <c r="AC18" s="14" t="e">
        <f t="shared" si="18"/>
        <v>#VALUE!</v>
      </c>
      <c r="AD18" s="14" t="e">
        <f t="shared" si="18"/>
        <v>#VALUE!</v>
      </c>
      <c r="AE18" s="14" t="e">
        <f t="shared" si="18"/>
        <v>#VALUE!</v>
      </c>
      <c r="AF18" s="15" t="e">
        <f t="shared" si="18"/>
        <v>#VALUE!</v>
      </c>
      <c r="AG18" s="16" t="e">
        <f t="shared" si="18"/>
        <v>#VALUE!</v>
      </c>
      <c r="AH18" s="13" t="e">
        <f t="shared" si="18"/>
        <v>#VALUE!</v>
      </c>
      <c r="AI18" s="14" t="e">
        <f t="shared" si="18"/>
        <v>#VALUE!</v>
      </c>
      <c r="AJ18" s="14" t="e">
        <f t="shared" si="18"/>
        <v>#VALUE!</v>
      </c>
      <c r="AK18" s="14" t="e">
        <f t="shared" si="18"/>
        <v>#VALUE!</v>
      </c>
      <c r="AL18" s="14" t="e">
        <f t="shared" si="18"/>
        <v>#VALUE!</v>
      </c>
      <c r="AM18" s="15" t="e">
        <f t="shared" si="18"/>
        <v>#VALUE!</v>
      </c>
      <c r="AN18" s="16" t="e">
        <f t="shared" si="18"/>
        <v>#VALUE!</v>
      </c>
      <c r="AO18" s="13" t="e">
        <f t="shared" si="18"/>
        <v>#VALUE!</v>
      </c>
      <c r="AP18" s="14" t="e">
        <f t="shared" si="18"/>
        <v>#VALUE!</v>
      </c>
      <c r="AQ18" s="14" t="e">
        <f t="shared" si="19"/>
        <v>#VALUE!</v>
      </c>
      <c r="AR18" s="14" t="e">
        <f t="shared" si="19"/>
        <v>#VALUE!</v>
      </c>
      <c r="AS18" s="14" t="e">
        <f t="shared" si="19"/>
        <v>#VALUE!</v>
      </c>
      <c r="AT18" s="15" t="e">
        <f t="shared" si="19"/>
        <v>#VALUE!</v>
      </c>
      <c r="AU18" s="16" t="e">
        <f t="shared" si="19"/>
        <v>#VALUE!</v>
      </c>
      <c r="AV18" s="13" t="e">
        <f t="shared" si="19"/>
        <v>#VALUE!</v>
      </c>
      <c r="AW18" s="14" t="e">
        <f t="shared" si="19"/>
        <v>#VALUE!</v>
      </c>
      <c r="AX18" s="14" t="e">
        <f t="shared" si="19"/>
        <v>#VALUE!</v>
      </c>
      <c r="AY18" s="14" t="e">
        <f t="shared" si="19"/>
        <v>#VALUE!</v>
      </c>
      <c r="AZ18" s="14" t="e">
        <f t="shared" si="19"/>
        <v>#VALUE!</v>
      </c>
      <c r="BA18" s="15" t="e">
        <f t="shared" si="19"/>
        <v>#VALUE!</v>
      </c>
      <c r="BB18" s="16" t="e">
        <f t="shared" si="19"/>
        <v>#VALUE!</v>
      </c>
      <c r="BC18" s="13" t="e">
        <f t="shared" si="19"/>
        <v>#VALUE!</v>
      </c>
      <c r="BD18" s="14" t="e">
        <f t="shared" si="19"/>
        <v>#VALUE!</v>
      </c>
      <c r="BE18" s="14" t="e">
        <f t="shared" si="19"/>
        <v>#VALUE!</v>
      </c>
      <c r="BF18" s="14" t="e">
        <f t="shared" si="19"/>
        <v>#VALUE!</v>
      </c>
      <c r="BG18" s="14" t="e">
        <f t="shared" si="20"/>
        <v>#VALUE!</v>
      </c>
      <c r="BH18" s="15" t="e">
        <f t="shared" si="20"/>
        <v>#VALUE!</v>
      </c>
      <c r="BI18" s="16" t="e">
        <f t="shared" si="20"/>
        <v>#VALUE!</v>
      </c>
      <c r="BJ18" s="13" t="e">
        <f t="shared" si="20"/>
        <v>#VALUE!</v>
      </c>
      <c r="BK18" s="14" t="e">
        <f t="shared" si="20"/>
        <v>#VALUE!</v>
      </c>
      <c r="BL18" s="14" t="e">
        <f t="shared" si="20"/>
        <v>#VALUE!</v>
      </c>
      <c r="BM18" s="14" t="e">
        <f t="shared" si="20"/>
        <v>#VALUE!</v>
      </c>
      <c r="BN18" s="14" t="e">
        <f t="shared" si="20"/>
        <v>#VALUE!</v>
      </c>
      <c r="BO18" s="15" t="e">
        <f t="shared" si="20"/>
        <v>#VALUE!</v>
      </c>
      <c r="BP18" s="16" t="e">
        <f t="shared" si="20"/>
        <v>#VALUE!</v>
      </c>
      <c r="BQ18" s="13" t="e">
        <f t="shared" si="20"/>
        <v>#VALUE!</v>
      </c>
      <c r="BR18" s="14" t="e">
        <f t="shared" si="20"/>
        <v>#VALUE!</v>
      </c>
      <c r="BS18" s="14" t="e">
        <f t="shared" si="20"/>
        <v>#VALUE!</v>
      </c>
      <c r="BT18" s="14" t="e">
        <f t="shared" si="20"/>
        <v>#VALUE!</v>
      </c>
      <c r="BU18" s="14" t="e">
        <f t="shared" si="20"/>
        <v>#VALUE!</v>
      </c>
      <c r="BV18" s="15" t="e">
        <f t="shared" si="20"/>
        <v>#VALUE!</v>
      </c>
      <c r="BW18" s="16" t="e">
        <f t="shared" si="21"/>
        <v>#VALUE!</v>
      </c>
      <c r="BX18" s="13" t="e">
        <f t="shared" si="21"/>
        <v>#VALUE!</v>
      </c>
      <c r="BY18" s="14" t="e">
        <f t="shared" si="21"/>
        <v>#VALUE!</v>
      </c>
      <c r="BZ18" s="14" t="e">
        <f t="shared" si="21"/>
        <v>#VALUE!</v>
      </c>
      <c r="CA18" s="14" t="e">
        <f t="shared" si="21"/>
        <v>#VALUE!</v>
      </c>
      <c r="CB18" s="14" t="e">
        <f t="shared" si="21"/>
        <v>#VALUE!</v>
      </c>
      <c r="CC18" s="15" t="e">
        <f t="shared" si="21"/>
        <v>#VALUE!</v>
      </c>
      <c r="CD18" s="16" t="e">
        <f t="shared" si="21"/>
        <v>#VALUE!</v>
      </c>
      <c r="CE18" s="13" t="e">
        <f t="shared" si="21"/>
        <v>#VALUE!</v>
      </c>
      <c r="CF18" s="14" t="e">
        <f t="shared" si="21"/>
        <v>#VALUE!</v>
      </c>
      <c r="CG18" s="14" t="e">
        <f t="shared" si="21"/>
        <v>#VALUE!</v>
      </c>
      <c r="CH18" s="14" t="e">
        <f t="shared" si="21"/>
        <v>#VALUE!</v>
      </c>
      <c r="CI18" s="14" t="e">
        <f t="shared" si="21"/>
        <v>#VALUE!</v>
      </c>
      <c r="CJ18" s="15" t="e">
        <f t="shared" si="21"/>
        <v>#VALUE!</v>
      </c>
      <c r="CK18" s="16" t="e">
        <f t="shared" si="21"/>
        <v>#VALUE!</v>
      </c>
      <c r="CL18" s="13" t="e">
        <f t="shared" si="21"/>
        <v>#VALUE!</v>
      </c>
      <c r="CM18" s="14" t="e">
        <f t="shared" si="22"/>
        <v>#VALUE!</v>
      </c>
      <c r="CN18" s="14" t="e">
        <f t="shared" si="22"/>
        <v>#VALUE!</v>
      </c>
      <c r="CO18" s="14" t="e">
        <f t="shared" si="22"/>
        <v>#VALUE!</v>
      </c>
      <c r="CP18" s="14" t="e">
        <f t="shared" si="22"/>
        <v>#VALUE!</v>
      </c>
      <c r="CQ18" s="15" t="e">
        <f t="shared" si="22"/>
        <v>#VALUE!</v>
      </c>
      <c r="CR18" s="16" t="e">
        <f t="shared" si="22"/>
        <v>#VALUE!</v>
      </c>
      <c r="CS18" s="13" t="e">
        <f t="shared" si="22"/>
        <v>#VALUE!</v>
      </c>
      <c r="CT18" s="14" t="e">
        <f t="shared" si="22"/>
        <v>#VALUE!</v>
      </c>
      <c r="CU18" s="14" t="e">
        <f t="shared" si="22"/>
        <v>#VALUE!</v>
      </c>
      <c r="CV18" s="14" t="e">
        <f t="shared" si="22"/>
        <v>#VALUE!</v>
      </c>
      <c r="CW18" s="14" t="e">
        <f t="shared" si="22"/>
        <v>#VALUE!</v>
      </c>
      <c r="CX18" s="15" t="e">
        <f t="shared" si="22"/>
        <v>#VALUE!</v>
      </c>
      <c r="CY18" s="16" t="e">
        <f t="shared" si="22"/>
        <v>#VALUE!</v>
      </c>
      <c r="CZ18" s="13" t="e">
        <f t="shared" si="22"/>
        <v>#VALUE!</v>
      </c>
      <c r="DA18" s="14" t="e">
        <f t="shared" si="22"/>
        <v>#VALUE!</v>
      </c>
      <c r="DB18" s="14" t="e">
        <f t="shared" si="22"/>
        <v>#VALUE!</v>
      </c>
      <c r="DC18" s="14" t="e">
        <f t="shared" si="23"/>
        <v>#VALUE!</v>
      </c>
      <c r="DD18" s="14" t="e">
        <f t="shared" si="23"/>
        <v>#VALUE!</v>
      </c>
      <c r="DE18" s="15" t="e">
        <f t="shared" si="23"/>
        <v>#VALUE!</v>
      </c>
      <c r="DF18" s="16" t="e">
        <f t="shared" si="23"/>
        <v>#VALUE!</v>
      </c>
      <c r="DG18" s="13" t="e">
        <f t="shared" si="23"/>
        <v>#VALUE!</v>
      </c>
      <c r="DH18" s="14" t="e">
        <f t="shared" si="23"/>
        <v>#VALUE!</v>
      </c>
      <c r="DI18" s="14" t="e">
        <f t="shared" si="23"/>
        <v>#VALUE!</v>
      </c>
      <c r="DJ18" s="14" t="e">
        <f t="shared" si="23"/>
        <v>#VALUE!</v>
      </c>
      <c r="DK18" s="14" t="e">
        <f t="shared" si="23"/>
        <v>#VALUE!</v>
      </c>
      <c r="DL18" s="15" t="e">
        <f t="shared" si="23"/>
        <v>#VALUE!</v>
      </c>
      <c r="DM18" s="16" t="e">
        <f t="shared" si="23"/>
        <v>#VALUE!</v>
      </c>
      <c r="DN18" s="13" t="e">
        <f t="shared" si="23"/>
        <v>#VALUE!</v>
      </c>
      <c r="DO18" s="14" t="e">
        <f t="shared" si="23"/>
        <v>#VALUE!</v>
      </c>
      <c r="DP18" s="14" t="e">
        <f t="shared" si="23"/>
        <v>#VALUE!</v>
      </c>
      <c r="DQ18" s="14" t="e">
        <f t="shared" si="23"/>
        <v>#VALUE!</v>
      </c>
      <c r="DR18" s="14" t="e">
        <f t="shared" si="23"/>
        <v>#VALUE!</v>
      </c>
      <c r="DS18" s="15" t="e">
        <f t="shared" si="23"/>
        <v>#VALUE!</v>
      </c>
      <c r="DT18" s="16" t="e">
        <f t="shared" si="23"/>
        <v>#VALUE!</v>
      </c>
    </row>
    <row r="19" spans="1:124" s="17" customFormat="1" ht="9.75" customHeight="1">
      <c r="A19" s="587" t="str">
        <f>_xlfn.XLOOKUP(A25,'VTT actif'!B:B,'VTT actif'!AB:AB,"-",0)</f>
        <v>-</v>
      </c>
      <c r="B19" s="24" t="s">
        <v>49</v>
      </c>
      <c r="C19" s="19" t="e">
        <f t="shared" si="26"/>
        <v>#VALUE!</v>
      </c>
      <c r="D19" s="19" t="str">
        <f>_xlfn.XLOOKUP(A25,'VTT actif'!B:B,'VTT actif'!AK:AK,"-",0)</f>
        <v>-</v>
      </c>
      <c r="E19" s="19" t="e">
        <f>C19-1+D19</f>
        <v>#VALUE!</v>
      </c>
      <c r="F19" s="13" t="e">
        <f t="shared" si="17"/>
        <v>#VALUE!</v>
      </c>
      <c r="G19" s="14" t="e">
        <f t="shared" si="17"/>
        <v>#VALUE!</v>
      </c>
      <c r="H19" s="14" t="e">
        <f t="shared" si="17"/>
        <v>#VALUE!</v>
      </c>
      <c r="I19" s="14" t="e">
        <f t="shared" si="17"/>
        <v>#VALUE!</v>
      </c>
      <c r="J19" s="14" t="e">
        <f t="shared" si="17"/>
        <v>#VALUE!</v>
      </c>
      <c r="K19" s="15" t="e">
        <f t="shared" si="17"/>
        <v>#VALUE!</v>
      </c>
      <c r="L19" s="16" t="e">
        <f t="shared" si="17"/>
        <v>#VALUE!</v>
      </c>
      <c r="M19" s="13" t="e">
        <f t="shared" si="17"/>
        <v>#VALUE!</v>
      </c>
      <c r="N19" s="14" t="e">
        <f t="shared" si="17"/>
        <v>#VALUE!</v>
      </c>
      <c r="O19" s="14" t="e">
        <f t="shared" si="17"/>
        <v>#VALUE!</v>
      </c>
      <c r="P19" s="14" t="e">
        <f t="shared" si="17"/>
        <v>#VALUE!</v>
      </c>
      <c r="Q19" s="14" t="e">
        <f t="shared" si="17"/>
        <v>#VALUE!</v>
      </c>
      <c r="R19" s="15" t="e">
        <f t="shared" si="17"/>
        <v>#VALUE!</v>
      </c>
      <c r="S19" s="16" t="e">
        <f t="shared" si="17"/>
        <v>#VALUE!</v>
      </c>
      <c r="T19" s="13" t="e">
        <f t="shared" si="17"/>
        <v>#VALUE!</v>
      </c>
      <c r="U19" s="14" t="e">
        <f t="shared" si="17"/>
        <v>#VALUE!</v>
      </c>
      <c r="V19" s="14" t="e">
        <f t="shared" si="17"/>
        <v>#VALUE!</v>
      </c>
      <c r="W19" s="14" t="e">
        <f t="shared" si="17"/>
        <v>#VALUE!</v>
      </c>
      <c r="X19" s="14" t="e">
        <f t="shared" si="17"/>
        <v>#VALUE!</v>
      </c>
      <c r="Y19" s="15" t="e">
        <f t="shared" si="17"/>
        <v>#VALUE!</v>
      </c>
      <c r="Z19" s="16" t="e">
        <f t="shared" si="17"/>
        <v>#VALUE!</v>
      </c>
      <c r="AA19" s="13" t="e">
        <f t="shared" si="18"/>
        <v>#VALUE!</v>
      </c>
      <c r="AB19" s="14" t="e">
        <f t="shared" si="18"/>
        <v>#VALUE!</v>
      </c>
      <c r="AC19" s="14" t="e">
        <f t="shared" si="18"/>
        <v>#VALUE!</v>
      </c>
      <c r="AD19" s="14" t="e">
        <f t="shared" si="18"/>
        <v>#VALUE!</v>
      </c>
      <c r="AE19" s="14" t="e">
        <f t="shared" si="18"/>
        <v>#VALUE!</v>
      </c>
      <c r="AF19" s="15" t="e">
        <f t="shared" si="18"/>
        <v>#VALUE!</v>
      </c>
      <c r="AG19" s="16" t="e">
        <f t="shared" si="18"/>
        <v>#VALUE!</v>
      </c>
      <c r="AH19" s="13" t="e">
        <f t="shared" si="18"/>
        <v>#VALUE!</v>
      </c>
      <c r="AI19" s="14" t="e">
        <f t="shared" si="18"/>
        <v>#VALUE!</v>
      </c>
      <c r="AJ19" s="14" t="e">
        <f t="shared" si="18"/>
        <v>#VALUE!</v>
      </c>
      <c r="AK19" s="14" t="e">
        <f t="shared" si="18"/>
        <v>#VALUE!</v>
      </c>
      <c r="AL19" s="14" t="e">
        <f t="shared" si="18"/>
        <v>#VALUE!</v>
      </c>
      <c r="AM19" s="15" t="e">
        <f t="shared" si="18"/>
        <v>#VALUE!</v>
      </c>
      <c r="AN19" s="16" t="e">
        <f t="shared" si="18"/>
        <v>#VALUE!</v>
      </c>
      <c r="AO19" s="13" t="e">
        <f t="shared" si="18"/>
        <v>#VALUE!</v>
      </c>
      <c r="AP19" s="14" t="e">
        <f t="shared" si="18"/>
        <v>#VALUE!</v>
      </c>
      <c r="AQ19" s="14" t="e">
        <f t="shared" si="19"/>
        <v>#VALUE!</v>
      </c>
      <c r="AR19" s="14" t="e">
        <f t="shared" si="19"/>
        <v>#VALUE!</v>
      </c>
      <c r="AS19" s="14" t="e">
        <f t="shared" si="19"/>
        <v>#VALUE!</v>
      </c>
      <c r="AT19" s="15" t="e">
        <f t="shared" si="19"/>
        <v>#VALUE!</v>
      </c>
      <c r="AU19" s="16" t="e">
        <f t="shared" si="19"/>
        <v>#VALUE!</v>
      </c>
      <c r="AV19" s="13" t="e">
        <f t="shared" si="19"/>
        <v>#VALUE!</v>
      </c>
      <c r="AW19" s="14" t="e">
        <f t="shared" si="19"/>
        <v>#VALUE!</v>
      </c>
      <c r="AX19" s="14" t="e">
        <f t="shared" si="19"/>
        <v>#VALUE!</v>
      </c>
      <c r="AY19" s="14" t="e">
        <f t="shared" si="19"/>
        <v>#VALUE!</v>
      </c>
      <c r="AZ19" s="14" t="e">
        <f t="shared" si="19"/>
        <v>#VALUE!</v>
      </c>
      <c r="BA19" s="15" t="e">
        <f t="shared" si="19"/>
        <v>#VALUE!</v>
      </c>
      <c r="BB19" s="16" t="e">
        <f t="shared" si="19"/>
        <v>#VALUE!</v>
      </c>
      <c r="BC19" s="13" t="e">
        <f t="shared" si="19"/>
        <v>#VALUE!</v>
      </c>
      <c r="BD19" s="14" t="e">
        <f t="shared" si="19"/>
        <v>#VALUE!</v>
      </c>
      <c r="BE19" s="14" t="e">
        <f t="shared" si="19"/>
        <v>#VALUE!</v>
      </c>
      <c r="BF19" s="14" t="e">
        <f t="shared" si="19"/>
        <v>#VALUE!</v>
      </c>
      <c r="BG19" s="14" t="e">
        <f t="shared" si="20"/>
        <v>#VALUE!</v>
      </c>
      <c r="BH19" s="15" t="e">
        <f t="shared" si="20"/>
        <v>#VALUE!</v>
      </c>
      <c r="BI19" s="16" t="e">
        <f t="shared" si="20"/>
        <v>#VALUE!</v>
      </c>
      <c r="BJ19" s="13" t="e">
        <f t="shared" si="20"/>
        <v>#VALUE!</v>
      </c>
      <c r="BK19" s="14" t="e">
        <f t="shared" si="20"/>
        <v>#VALUE!</v>
      </c>
      <c r="BL19" s="14" t="e">
        <f t="shared" si="20"/>
        <v>#VALUE!</v>
      </c>
      <c r="BM19" s="14" t="e">
        <f t="shared" si="20"/>
        <v>#VALUE!</v>
      </c>
      <c r="BN19" s="14" t="e">
        <f t="shared" si="20"/>
        <v>#VALUE!</v>
      </c>
      <c r="BO19" s="15" t="e">
        <f t="shared" si="20"/>
        <v>#VALUE!</v>
      </c>
      <c r="BP19" s="16" t="e">
        <f t="shared" si="20"/>
        <v>#VALUE!</v>
      </c>
      <c r="BQ19" s="13" t="e">
        <f t="shared" si="20"/>
        <v>#VALUE!</v>
      </c>
      <c r="BR19" s="14" t="e">
        <f t="shared" si="20"/>
        <v>#VALUE!</v>
      </c>
      <c r="BS19" s="14" t="e">
        <f t="shared" si="20"/>
        <v>#VALUE!</v>
      </c>
      <c r="BT19" s="14" t="e">
        <f t="shared" si="20"/>
        <v>#VALUE!</v>
      </c>
      <c r="BU19" s="14" t="e">
        <f t="shared" si="20"/>
        <v>#VALUE!</v>
      </c>
      <c r="BV19" s="15" t="e">
        <f t="shared" si="20"/>
        <v>#VALUE!</v>
      </c>
      <c r="BW19" s="16" t="e">
        <f t="shared" si="21"/>
        <v>#VALUE!</v>
      </c>
      <c r="BX19" s="13" t="e">
        <f t="shared" si="21"/>
        <v>#VALUE!</v>
      </c>
      <c r="BY19" s="14" t="e">
        <f t="shared" si="21"/>
        <v>#VALUE!</v>
      </c>
      <c r="BZ19" s="14" t="e">
        <f t="shared" si="21"/>
        <v>#VALUE!</v>
      </c>
      <c r="CA19" s="14" t="e">
        <f t="shared" si="21"/>
        <v>#VALUE!</v>
      </c>
      <c r="CB19" s="14" t="e">
        <f t="shared" si="21"/>
        <v>#VALUE!</v>
      </c>
      <c r="CC19" s="15" t="e">
        <f t="shared" si="21"/>
        <v>#VALUE!</v>
      </c>
      <c r="CD19" s="16" t="e">
        <f t="shared" si="21"/>
        <v>#VALUE!</v>
      </c>
      <c r="CE19" s="13" t="e">
        <f t="shared" si="21"/>
        <v>#VALUE!</v>
      </c>
      <c r="CF19" s="14" t="e">
        <f t="shared" si="21"/>
        <v>#VALUE!</v>
      </c>
      <c r="CG19" s="14" t="e">
        <f t="shared" si="21"/>
        <v>#VALUE!</v>
      </c>
      <c r="CH19" s="14" t="e">
        <f t="shared" si="21"/>
        <v>#VALUE!</v>
      </c>
      <c r="CI19" s="14" t="e">
        <f t="shared" si="21"/>
        <v>#VALUE!</v>
      </c>
      <c r="CJ19" s="15" t="e">
        <f t="shared" si="21"/>
        <v>#VALUE!</v>
      </c>
      <c r="CK19" s="16" t="e">
        <f t="shared" si="21"/>
        <v>#VALUE!</v>
      </c>
      <c r="CL19" s="13" t="e">
        <f t="shared" si="21"/>
        <v>#VALUE!</v>
      </c>
      <c r="CM19" s="14" t="e">
        <f t="shared" si="22"/>
        <v>#VALUE!</v>
      </c>
      <c r="CN19" s="14" t="e">
        <f t="shared" si="22"/>
        <v>#VALUE!</v>
      </c>
      <c r="CO19" s="14" t="e">
        <f t="shared" si="22"/>
        <v>#VALUE!</v>
      </c>
      <c r="CP19" s="14" t="e">
        <f t="shared" si="22"/>
        <v>#VALUE!</v>
      </c>
      <c r="CQ19" s="15" t="e">
        <f t="shared" si="22"/>
        <v>#VALUE!</v>
      </c>
      <c r="CR19" s="16" t="e">
        <f t="shared" si="22"/>
        <v>#VALUE!</v>
      </c>
      <c r="CS19" s="13" t="e">
        <f t="shared" si="22"/>
        <v>#VALUE!</v>
      </c>
      <c r="CT19" s="14" t="e">
        <f t="shared" si="22"/>
        <v>#VALUE!</v>
      </c>
      <c r="CU19" s="14" t="e">
        <f t="shared" si="22"/>
        <v>#VALUE!</v>
      </c>
      <c r="CV19" s="14" t="e">
        <f t="shared" si="22"/>
        <v>#VALUE!</v>
      </c>
      <c r="CW19" s="14" t="e">
        <f t="shared" si="22"/>
        <v>#VALUE!</v>
      </c>
      <c r="CX19" s="15" t="e">
        <f t="shared" si="22"/>
        <v>#VALUE!</v>
      </c>
      <c r="CY19" s="16" t="e">
        <f t="shared" si="22"/>
        <v>#VALUE!</v>
      </c>
      <c r="CZ19" s="13" t="e">
        <f t="shared" si="22"/>
        <v>#VALUE!</v>
      </c>
      <c r="DA19" s="14" t="e">
        <f t="shared" si="22"/>
        <v>#VALUE!</v>
      </c>
      <c r="DB19" s="14" t="e">
        <f t="shared" si="22"/>
        <v>#VALUE!</v>
      </c>
      <c r="DC19" s="14" t="e">
        <f t="shared" si="23"/>
        <v>#VALUE!</v>
      </c>
      <c r="DD19" s="14" t="e">
        <f t="shared" si="23"/>
        <v>#VALUE!</v>
      </c>
      <c r="DE19" s="15" t="e">
        <f t="shared" si="23"/>
        <v>#VALUE!</v>
      </c>
      <c r="DF19" s="16" t="e">
        <f t="shared" si="23"/>
        <v>#VALUE!</v>
      </c>
      <c r="DG19" s="13" t="e">
        <f t="shared" si="23"/>
        <v>#VALUE!</v>
      </c>
      <c r="DH19" s="14" t="e">
        <f t="shared" si="23"/>
        <v>#VALUE!</v>
      </c>
      <c r="DI19" s="14" t="e">
        <f t="shared" si="23"/>
        <v>#VALUE!</v>
      </c>
      <c r="DJ19" s="14" t="e">
        <f t="shared" si="23"/>
        <v>#VALUE!</v>
      </c>
      <c r="DK19" s="14" t="e">
        <f t="shared" si="23"/>
        <v>#VALUE!</v>
      </c>
      <c r="DL19" s="15" t="e">
        <f t="shared" si="23"/>
        <v>#VALUE!</v>
      </c>
      <c r="DM19" s="16" t="e">
        <f t="shared" si="23"/>
        <v>#VALUE!</v>
      </c>
      <c r="DN19" s="13" t="e">
        <f t="shared" si="23"/>
        <v>#VALUE!</v>
      </c>
      <c r="DO19" s="14" t="e">
        <f t="shared" si="23"/>
        <v>#VALUE!</v>
      </c>
      <c r="DP19" s="14" t="e">
        <f t="shared" si="23"/>
        <v>#VALUE!</v>
      </c>
      <c r="DQ19" s="14" t="e">
        <f t="shared" si="23"/>
        <v>#VALUE!</v>
      </c>
      <c r="DR19" s="14" t="e">
        <f t="shared" si="23"/>
        <v>#VALUE!</v>
      </c>
      <c r="DS19" s="15" t="e">
        <f t="shared" si="23"/>
        <v>#VALUE!</v>
      </c>
      <c r="DT19" s="16" t="e">
        <f t="shared" si="23"/>
        <v>#VALUE!</v>
      </c>
    </row>
    <row r="20" spans="1:124" s="17" customFormat="1" ht="9.75" customHeight="1">
      <c r="A20" s="587"/>
      <c r="B20" s="26" t="str">
        <f>IF(COUNTIF(buffer_train[AILN],B5)&gt;0,"Buffer Train","")</f>
        <v/>
      </c>
      <c r="C20" s="19" t="e">
        <f>E19+1</f>
        <v>#VALUE!</v>
      </c>
      <c r="D20" s="19" t="str">
        <f>_xlfn.XLOOKUP(A25,'VTT actif'!B:B,'VTT actif'!AO:AO,"-",0)</f>
        <v>-</v>
      </c>
      <c r="E20" s="19" t="e">
        <f>C20-1+IF(D20="-",0,D20)</f>
        <v>#VALUE!</v>
      </c>
      <c r="F20" s="13" t="e">
        <f>IF(AND(F$5&gt;=$C20,F$5&lt;=$E20),1,"")</f>
        <v>#VALUE!</v>
      </c>
      <c r="G20" s="14" t="e">
        <f t="shared" si="17"/>
        <v>#VALUE!</v>
      </c>
      <c r="H20" s="14" t="e">
        <f t="shared" si="17"/>
        <v>#VALUE!</v>
      </c>
      <c r="I20" s="14" t="e">
        <f t="shared" si="17"/>
        <v>#VALUE!</v>
      </c>
      <c r="J20" s="14" t="e">
        <f t="shared" si="17"/>
        <v>#VALUE!</v>
      </c>
      <c r="K20" s="15" t="e">
        <f t="shared" si="17"/>
        <v>#VALUE!</v>
      </c>
      <c r="L20" s="16" t="e">
        <f t="shared" si="17"/>
        <v>#VALUE!</v>
      </c>
      <c r="M20" s="13" t="e">
        <f t="shared" si="17"/>
        <v>#VALUE!</v>
      </c>
      <c r="N20" s="14" t="e">
        <f t="shared" si="17"/>
        <v>#VALUE!</v>
      </c>
      <c r="O20" s="14" t="e">
        <f t="shared" si="17"/>
        <v>#VALUE!</v>
      </c>
      <c r="P20" s="14" t="e">
        <f t="shared" si="17"/>
        <v>#VALUE!</v>
      </c>
      <c r="Q20" s="14" t="e">
        <f t="shared" si="17"/>
        <v>#VALUE!</v>
      </c>
      <c r="R20" s="15" t="e">
        <f t="shared" si="17"/>
        <v>#VALUE!</v>
      </c>
      <c r="S20" s="16" t="e">
        <f t="shared" si="17"/>
        <v>#VALUE!</v>
      </c>
      <c r="T20" s="13" t="e">
        <f t="shared" si="17"/>
        <v>#VALUE!</v>
      </c>
      <c r="U20" s="14" t="e">
        <f t="shared" si="17"/>
        <v>#VALUE!</v>
      </c>
      <c r="V20" s="14" t="e">
        <f t="shared" si="17"/>
        <v>#VALUE!</v>
      </c>
      <c r="W20" s="14" t="e">
        <f t="shared" si="17"/>
        <v>#VALUE!</v>
      </c>
      <c r="X20" s="14" t="e">
        <f t="shared" si="17"/>
        <v>#VALUE!</v>
      </c>
      <c r="Y20" s="15" t="e">
        <f t="shared" si="17"/>
        <v>#VALUE!</v>
      </c>
      <c r="Z20" s="16" t="e">
        <f t="shared" si="17"/>
        <v>#VALUE!</v>
      </c>
      <c r="AA20" s="13" t="e">
        <f t="shared" si="18"/>
        <v>#VALUE!</v>
      </c>
      <c r="AB20" s="14" t="e">
        <f t="shared" si="18"/>
        <v>#VALUE!</v>
      </c>
      <c r="AC20" s="14" t="e">
        <f t="shared" si="18"/>
        <v>#VALUE!</v>
      </c>
      <c r="AD20" s="14" t="e">
        <f t="shared" si="18"/>
        <v>#VALUE!</v>
      </c>
      <c r="AE20" s="14" t="e">
        <f t="shared" si="18"/>
        <v>#VALUE!</v>
      </c>
      <c r="AF20" s="15" t="e">
        <f t="shared" si="18"/>
        <v>#VALUE!</v>
      </c>
      <c r="AG20" s="16" t="e">
        <f t="shared" si="18"/>
        <v>#VALUE!</v>
      </c>
      <c r="AH20" s="13" t="e">
        <f t="shared" si="18"/>
        <v>#VALUE!</v>
      </c>
      <c r="AI20" s="14" t="e">
        <f t="shared" si="18"/>
        <v>#VALUE!</v>
      </c>
      <c r="AJ20" s="14" t="e">
        <f t="shared" si="18"/>
        <v>#VALUE!</v>
      </c>
      <c r="AK20" s="14" t="e">
        <f t="shared" si="18"/>
        <v>#VALUE!</v>
      </c>
      <c r="AL20" s="14" t="e">
        <f t="shared" si="18"/>
        <v>#VALUE!</v>
      </c>
      <c r="AM20" s="15" t="e">
        <f t="shared" si="18"/>
        <v>#VALUE!</v>
      </c>
      <c r="AN20" s="16" t="e">
        <f t="shared" si="18"/>
        <v>#VALUE!</v>
      </c>
      <c r="AO20" s="13" t="e">
        <f t="shared" si="18"/>
        <v>#VALUE!</v>
      </c>
      <c r="AP20" s="14" t="e">
        <f t="shared" si="18"/>
        <v>#VALUE!</v>
      </c>
      <c r="AQ20" s="14" t="e">
        <f t="shared" si="19"/>
        <v>#VALUE!</v>
      </c>
      <c r="AR20" s="14" t="e">
        <f t="shared" si="19"/>
        <v>#VALUE!</v>
      </c>
      <c r="AS20" s="14" t="e">
        <f t="shared" si="19"/>
        <v>#VALUE!</v>
      </c>
      <c r="AT20" s="15" t="e">
        <f t="shared" si="19"/>
        <v>#VALUE!</v>
      </c>
      <c r="AU20" s="16" t="e">
        <f t="shared" si="19"/>
        <v>#VALUE!</v>
      </c>
      <c r="AV20" s="13" t="e">
        <f t="shared" si="19"/>
        <v>#VALUE!</v>
      </c>
      <c r="AW20" s="14" t="e">
        <f t="shared" si="19"/>
        <v>#VALUE!</v>
      </c>
      <c r="AX20" s="14" t="e">
        <f t="shared" si="19"/>
        <v>#VALUE!</v>
      </c>
      <c r="AY20" s="14" t="e">
        <f t="shared" si="19"/>
        <v>#VALUE!</v>
      </c>
      <c r="AZ20" s="14" t="e">
        <f t="shared" si="19"/>
        <v>#VALUE!</v>
      </c>
      <c r="BA20" s="15" t="e">
        <f t="shared" si="19"/>
        <v>#VALUE!</v>
      </c>
      <c r="BB20" s="16" t="e">
        <f t="shared" si="19"/>
        <v>#VALUE!</v>
      </c>
      <c r="BC20" s="13" t="e">
        <f t="shared" si="19"/>
        <v>#VALUE!</v>
      </c>
      <c r="BD20" s="14" t="e">
        <f t="shared" si="19"/>
        <v>#VALUE!</v>
      </c>
      <c r="BE20" s="14" t="e">
        <f t="shared" si="19"/>
        <v>#VALUE!</v>
      </c>
      <c r="BF20" s="14" t="e">
        <f t="shared" si="19"/>
        <v>#VALUE!</v>
      </c>
      <c r="BG20" s="14" t="e">
        <f t="shared" si="20"/>
        <v>#VALUE!</v>
      </c>
      <c r="BH20" s="15" t="e">
        <f t="shared" si="20"/>
        <v>#VALUE!</v>
      </c>
      <c r="BI20" s="16" t="e">
        <f t="shared" si="20"/>
        <v>#VALUE!</v>
      </c>
      <c r="BJ20" s="13" t="e">
        <f t="shared" si="20"/>
        <v>#VALUE!</v>
      </c>
      <c r="BK20" s="14" t="e">
        <f t="shared" si="20"/>
        <v>#VALUE!</v>
      </c>
      <c r="BL20" s="14" t="e">
        <f t="shared" si="20"/>
        <v>#VALUE!</v>
      </c>
      <c r="BM20" s="14" t="e">
        <f t="shared" si="20"/>
        <v>#VALUE!</v>
      </c>
      <c r="BN20" s="14" t="e">
        <f t="shared" si="20"/>
        <v>#VALUE!</v>
      </c>
      <c r="BO20" s="15" t="e">
        <f t="shared" si="20"/>
        <v>#VALUE!</v>
      </c>
      <c r="BP20" s="16" t="e">
        <f t="shared" si="20"/>
        <v>#VALUE!</v>
      </c>
      <c r="BQ20" s="13" t="e">
        <f t="shared" si="20"/>
        <v>#VALUE!</v>
      </c>
      <c r="BR20" s="14" t="e">
        <f t="shared" si="20"/>
        <v>#VALUE!</v>
      </c>
      <c r="BS20" s="14" t="e">
        <f t="shared" si="20"/>
        <v>#VALUE!</v>
      </c>
      <c r="BT20" s="14" t="e">
        <f t="shared" si="20"/>
        <v>#VALUE!</v>
      </c>
      <c r="BU20" s="14" t="e">
        <f t="shared" si="20"/>
        <v>#VALUE!</v>
      </c>
      <c r="BV20" s="15" t="e">
        <f t="shared" si="20"/>
        <v>#VALUE!</v>
      </c>
      <c r="BW20" s="16" t="e">
        <f t="shared" si="21"/>
        <v>#VALUE!</v>
      </c>
      <c r="BX20" s="13" t="e">
        <f t="shared" si="21"/>
        <v>#VALUE!</v>
      </c>
      <c r="BY20" s="14" t="e">
        <f t="shared" si="21"/>
        <v>#VALUE!</v>
      </c>
      <c r="BZ20" s="14" t="e">
        <f t="shared" si="21"/>
        <v>#VALUE!</v>
      </c>
      <c r="CA20" s="14" t="e">
        <f t="shared" si="21"/>
        <v>#VALUE!</v>
      </c>
      <c r="CB20" s="14" t="e">
        <f t="shared" si="21"/>
        <v>#VALUE!</v>
      </c>
      <c r="CC20" s="15" t="e">
        <f t="shared" si="21"/>
        <v>#VALUE!</v>
      </c>
      <c r="CD20" s="16" t="e">
        <f t="shared" si="21"/>
        <v>#VALUE!</v>
      </c>
      <c r="CE20" s="13" t="e">
        <f t="shared" si="21"/>
        <v>#VALUE!</v>
      </c>
      <c r="CF20" s="14" t="e">
        <f t="shared" si="21"/>
        <v>#VALUE!</v>
      </c>
      <c r="CG20" s="14" t="e">
        <f t="shared" si="21"/>
        <v>#VALUE!</v>
      </c>
      <c r="CH20" s="14" t="e">
        <f t="shared" si="21"/>
        <v>#VALUE!</v>
      </c>
      <c r="CI20" s="14" t="e">
        <f t="shared" si="21"/>
        <v>#VALUE!</v>
      </c>
      <c r="CJ20" s="15" t="e">
        <f t="shared" si="21"/>
        <v>#VALUE!</v>
      </c>
      <c r="CK20" s="16" t="e">
        <f t="shared" si="21"/>
        <v>#VALUE!</v>
      </c>
      <c r="CL20" s="13" t="e">
        <f t="shared" si="21"/>
        <v>#VALUE!</v>
      </c>
      <c r="CM20" s="14" t="e">
        <f t="shared" si="22"/>
        <v>#VALUE!</v>
      </c>
      <c r="CN20" s="14" t="e">
        <f t="shared" si="22"/>
        <v>#VALUE!</v>
      </c>
      <c r="CO20" s="14" t="e">
        <f t="shared" si="22"/>
        <v>#VALUE!</v>
      </c>
      <c r="CP20" s="14" t="e">
        <f t="shared" si="22"/>
        <v>#VALUE!</v>
      </c>
      <c r="CQ20" s="15" t="e">
        <f t="shared" si="22"/>
        <v>#VALUE!</v>
      </c>
      <c r="CR20" s="16" t="e">
        <f t="shared" si="22"/>
        <v>#VALUE!</v>
      </c>
      <c r="CS20" s="13" t="e">
        <f t="shared" si="22"/>
        <v>#VALUE!</v>
      </c>
      <c r="CT20" s="14" t="e">
        <f t="shared" si="22"/>
        <v>#VALUE!</v>
      </c>
      <c r="CU20" s="14" t="e">
        <f t="shared" si="22"/>
        <v>#VALUE!</v>
      </c>
      <c r="CV20" s="14" t="e">
        <f t="shared" si="22"/>
        <v>#VALUE!</v>
      </c>
      <c r="CW20" s="14" t="e">
        <f t="shared" si="22"/>
        <v>#VALUE!</v>
      </c>
      <c r="CX20" s="15" t="e">
        <f t="shared" si="22"/>
        <v>#VALUE!</v>
      </c>
      <c r="CY20" s="16" t="e">
        <f t="shared" si="22"/>
        <v>#VALUE!</v>
      </c>
      <c r="CZ20" s="13" t="e">
        <f t="shared" si="22"/>
        <v>#VALUE!</v>
      </c>
      <c r="DA20" s="14" t="e">
        <f t="shared" si="22"/>
        <v>#VALUE!</v>
      </c>
      <c r="DB20" s="14" t="e">
        <f t="shared" si="22"/>
        <v>#VALUE!</v>
      </c>
      <c r="DC20" s="14" t="e">
        <f t="shared" si="23"/>
        <v>#VALUE!</v>
      </c>
      <c r="DD20" s="14" t="e">
        <f t="shared" si="23"/>
        <v>#VALUE!</v>
      </c>
      <c r="DE20" s="15" t="e">
        <f t="shared" si="23"/>
        <v>#VALUE!</v>
      </c>
      <c r="DF20" s="16" t="e">
        <f t="shared" si="23"/>
        <v>#VALUE!</v>
      </c>
      <c r="DG20" s="13" t="e">
        <f t="shared" si="23"/>
        <v>#VALUE!</v>
      </c>
      <c r="DH20" s="14" t="e">
        <f t="shared" si="23"/>
        <v>#VALUE!</v>
      </c>
      <c r="DI20" s="14" t="e">
        <f t="shared" si="23"/>
        <v>#VALUE!</v>
      </c>
      <c r="DJ20" s="14" t="e">
        <f t="shared" si="23"/>
        <v>#VALUE!</v>
      </c>
      <c r="DK20" s="14" t="e">
        <f t="shared" si="23"/>
        <v>#VALUE!</v>
      </c>
      <c r="DL20" s="15" t="e">
        <f t="shared" si="23"/>
        <v>#VALUE!</v>
      </c>
      <c r="DM20" s="16" t="e">
        <f t="shared" si="23"/>
        <v>#VALUE!</v>
      </c>
      <c r="DN20" s="13" t="e">
        <f t="shared" si="23"/>
        <v>#VALUE!</v>
      </c>
      <c r="DO20" s="14" t="e">
        <f t="shared" si="23"/>
        <v>#VALUE!</v>
      </c>
      <c r="DP20" s="14" t="e">
        <f t="shared" si="23"/>
        <v>#VALUE!</v>
      </c>
      <c r="DQ20" s="14" t="e">
        <f t="shared" si="23"/>
        <v>#VALUE!</v>
      </c>
      <c r="DR20" s="14" t="e">
        <f t="shared" si="23"/>
        <v>#VALUE!</v>
      </c>
      <c r="DS20" s="15" t="e">
        <f t="shared" si="23"/>
        <v>#VALUE!</v>
      </c>
      <c r="DT20" s="16" t="e">
        <f t="shared" si="23"/>
        <v>#VALUE!</v>
      </c>
    </row>
    <row r="21" spans="1:124" s="17" customFormat="1" ht="9.75" customHeight="1">
      <c r="A21" s="92"/>
      <c r="B21" s="24" t="str">
        <f>IF(B5=0,"","Transport to PFI")</f>
        <v>Transport to PFI</v>
      </c>
      <c r="C21" s="19" t="e">
        <f>E20+1</f>
        <v>#VALUE!</v>
      </c>
      <c r="D21" s="19" t="str">
        <f>_xlfn.XLOOKUP(A25,'VTT actif'!B:B,'VTT actif'!AP:AP,"-",0)</f>
        <v>-</v>
      </c>
      <c r="E21" s="19" t="e">
        <f>C21-1+IF(D21="-",0,D21)</f>
        <v>#VALUE!</v>
      </c>
      <c r="F21" s="13" t="e">
        <f t="shared" ref="F21:BQ25" si="27">IF(AND(F$5&gt;=$C21,F$5&lt;=$E21),1,"")</f>
        <v>#VALUE!</v>
      </c>
      <c r="G21" s="14" t="e">
        <f t="shared" si="27"/>
        <v>#VALUE!</v>
      </c>
      <c r="H21" s="14" t="e">
        <f t="shared" si="27"/>
        <v>#VALUE!</v>
      </c>
      <c r="I21" s="14" t="e">
        <f t="shared" si="27"/>
        <v>#VALUE!</v>
      </c>
      <c r="J21" s="14" t="e">
        <f t="shared" si="27"/>
        <v>#VALUE!</v>
      </c>
      <c r="K21" s="15" t="e">
        <f t="shared" si="27"/>
        <v>#VALUE!</v>
      </c>
      <c r="L21" s="16" t="e">
        <f t="shared" si="27"/>
        <v>#VALUE!</v>
      </c>
      <c r="M21" s="13" t="e">
        <f t="shared" si="27"/>
        <v>#VALUE!</v>
      </c>
      <c r="N21" s="14" t="e">
        <f t="shared" si="27"/>
        <v>#VALUE!</v>
      </c>
      <c r="O21" s="14" t="e">
        <f t="shared" si="27"/>
        <v>#VALUE!</v>
      </c>
      <c r="P21" s="14" t="e">
        <f t="shared" si="27"/>
        <v>#VALUE!</v>
      </c>
      <c r="Q21" s="14" t="e">
        <f t="shared" si="27"/>
        <v>#VALUE!</v>
      </c>
      <c r="R21" s="15" t="e">
        <f t="shared" si="27"/>
        <v>#VALUE!</v>
      </c>
      <c r="S21" s="16" t="e">
        <f t="shared" si="27"/>
        <v>#VALUE!</v>
      </c>
      <c r="T21" s="13" t="e">
        <f t="shared" si="27"/>
        <v>#VALUE!</v>
      </c>
      <c r="U21" s="14" t="e">
        <f t="shared" si="27"/>
        <v>#VALUE!</v>
      </c>
      <c r="V21" s="14" t="e">
        <f t="shared" si="27"/>
        <v>#VALUE!</v>
      </c>
      <c r="W21" s="14" t="e">
        <f t="shared" si="27"/>
        <v>#VALUE!</v>
      </c>
      <c r="X21" s="14" t="e">
        <f t="shared" si="27"/>
        <v>#VALUE!</v>
      </c>
      <c r="Y21" s="15" t="e">
        <f t="shared" si="27"/>
        <v>#VALUE!</v>
      </c>
      <c r="Z21" s="16" t="e">
        <f t="shared" si="27"/>
        <v>#VALUE!</v>
      </c>
      <c r="AA21" s="13" t="e">
        <f t="shared" si="27"/>
        <v>#VALUE!</v>
      </c>
      <c r="AB21" s="14" t="e">
        <f t="shared" si="27"/>
        <v>#VALUE!</v>
      </c>
      <c r="AC21" s="14" t="e">
        <f t="shared" si="27"/>
        <v>#VALUE!</v>
      </c>
      <c r="AD21" s="14" t="e">
        <f t="shared" si="27"/>
        <v>#VALUE!</v>
      </c>
      <c r="AE21" s="14" t="e">
        <f t="shared" si="27"/>
        <v>#VALUE!</v>
      </c>
      <c r="AF21" s="15" t="e">
        <f t="shared" si="27"/>
        <v>#VALUE!</v>
      </c>
      <c r="AG21" s="16" t="e">
        <f t="shared" si="27"/>
        <v>#VALUE!</v>
      </c>
      <c r="AH21" s="13" t="e">
        <f t="shared" si="27"/>
        <v>#VALUE!</v>
      </c>
      <c r="AI21" s="14" t="e">
        <f t="shared" si="27"/>
        <v>#VALUE!</v>
      </c>
      <c r="AJ21" s="14" t="e">
        <f t="shared" si="27"/>
        <v>#VALUE!</v>
      </c>
      <c r="AK21" s="14" t="e">
        <f t="shared" si="27"/>
        <v>#VALUE!</v>
      </c>
      <c r="AL21" s="14" t="e">
        <f t="shared" si="27"/>
        <v>#VALUE!</v>
      </c>
      <c r="AM21" s="15" t="e">
        <f t="shared" si="27"/>
        <v>#VALUE!</v>
      </c>
      <c r="AN21" s="16" t="e">
        <f t="shared" si="27"/>
        <v>#VALUE!</v>
      </c>
      <c r="AO21" s="13" t="e">
        <f t="shared" si="27"/>
        <v>#VALUE!</v>
      </c>
      <c r="AP21" s="14" t="e">
        <f t="shared" si="27"/>
        <v>#VALUE!</v>
      </c>
      <c r="AQ21" s="14" t="e">
        <f t="shared" si="27"/>
        <v>#VALUE!</v>
      </c>
      <c r="AR21" s="14" t="e">
        <f t="shared" si="27"/>
        <v>#VALUE!</v>
      </c>
      <c r="AS21" s="14" t="e">
        <f t="shared" si="27"/>
        <v>#VALUE!</v>
      </c>
      <c r="AT21" s="15" t="e">
        <f t="shared" si="27"/>
        <v>#VALUE!</v>
      </c>
      <c r="AU21" s="16" t="e">
        <f t="shared" si="27"/>
        <v>#VALUE!</v>
      </c>
      <c r="AV21" s="13" t="e">
        <f t="shared" si="27"/>
        <v>#VALUE!</v>
      </c>
      <c r="AW21" s="14" t="e">
        <f t="shared" si="27"/>
        <v>#VALUE!</v>
      </c>
      <c r="AX21" s="14" t="e">
        <f t="shared" si="27"/>
        <v>#VALUE!</v>
      </c>
      <c r="AY21" s="14" t="e">
        <f t="shared" si="27"/>
        <v>#VALUE!</v>
      </c>
      <c r="AZ21" s="14" t="e">
        <f t="shared" si="27"/>
        <v>#VALUE!</v>
      </c>
      <c r="BA21" s="15" t="e">
        <f t="shared" si="27"/>
        <v>#VALUE!</v>
      </c>
      <c r="BB21" s="16" t="e">
        <f t="shared" si="27"/>
        <v>#VALUE!</v>
      </c>
      <c r="BC21" s="13" t="e">
        <f t="shared" si="27"/>
        <v>#VALUE!</v>
      </c>
      <c r="BD21" s="14" t="e">
        <f t="shared" si="27"/>
        <v>#VALUE!</v>
      </c>
      <c r="BE21" s="14" t="e">
        <f t="shared" si="27"/>
        <v>#VALUE!</v>
      </c>
      <c r="BF21" s="14" t="e">
        <f t="shared" si="27"/>
        <v>#VALUE!</v>
      </c>
      <c r="BG21" s="14" t="e">
        <f t="shared" si="27"/>
        <v>#VALUE!</v>
      </c>
      <c r="BH21" s="15" t="e">
        <f t="shared" si="27"/>
        <v>#VALUE!</v>
      </c>
      <c r="BI21" s="16" t="e">
        <f t="shared" si="27"/>
        <v>#VALUE!</v>
      </c>
      <c r="BJ21" s="13" t="e">
        <f t="shared" si="27"/>
        <v>#VALUE!</v>
      </c>
      <c r="BK21" s="14" t="e">
        <f t="shared" si="27"/>
        <v>#VALUE!</v>
      </c>
      <c r="BL21" s="14" t="e">
        <f t="shared" si="27"/>
        <v>#VALUE!</v>
      </c>
      <c r="BM21" s="14" t="e">
        <f t="shared" si="27"/>
        <v>#VALUE!</v>
      </c>
      <c r="BN21" s="14" t="e">
        <f t="shared" si="27"/>
        <v>#VALUE!</v>
      </c>
      <c r="BO21" s="15" t="e">
        <f t="shared" si="27"/>
        <v>#VALUE!</v>
      </c>
      <c r="BP21" s="16" t="e">
        <f t="shared" si="27"/>
        <v>#VALUE!</v>
      </c>
      <c r="BQ21" s="13" t="e">
        <f t="shared" si="27"/>
        <v>#VALUE!</v>
      </c>
      <c r="BR21" s="14" t="e">
        <f t="shared" si="20"/>
        <v>#VALUE!</v>
      </c>
      <c r="BS21" s="14" t="e">
        <f t="shared" si="20"/>
        <v>#VALUE!</v>
      </c>
      <c r="BT21" s="14" t="e">
        <f t="shared" si="20"/>
        <v>#VALUE!</v>
      </c>
      <c r="BU21" s="14" t="e">
        <f t="shared" si="20"/>
        <v>#VALUE!</v>
      </c>
      <c r="BV21" s="15" t="e">
        <f t="shared" si="20"/>
        <v>#VALUE!</v>
      </c>
      <c r="BW21" s="16" t="e">
        <f t="shared" si="21"/>
        <v>#VALUE!</v>
      </c>
      <c r="BX21" s="13" t="e">
        <f t="shared" si="21"/>
        <v>#VALUE!</v>
      </c>
      <c r="BY21" s="14" t="e">
        <f t="shared" si="21"/>
        <v>#VALUE!</v>
      </c>
      <c r="BZ21" s="14" t="e">
        <f t="shared" si="21"/>
        <v>#VALUE!</v>
      </c>
      <c r="CA21" s="14" t="e">
        <f t="shared" si="21"/>
        <v>#VALUE!</v>
      </c>
      <c r="CB21" s="14" t="e">
        <f t="shared" si="21"/>
        <v>#VALUE!</v>
      </c>
      <c r="CC21" s="15" t="e">
        <f t="shared" si="21"/>
        <v>#VALUE!</v>
      </c>
      <c r="CD21" s="16" t="e">
        <f t="shared" si="21"/>
        <v>#VALUE!</v>
      </c>
      <c r="CE21" s="13" t="e">
        <f t="shared" si="21"/>
        <v>#VALUE!</v>
      </c>
      <c r="CF21" s="14" t="e">
        <f t="shared" si="21"/>
        <v>#VALUE!</v>
      </c>
      <c r="CG21" s="14" t="e">
        <f t="shared" si="21"/>
        <v>#VALUE!</v>
      </c>
      <c r="CH21" s="14" t="e">
        <f t="shared" si="21"/>
        <v>#VALUE!</v>
      </c>
      <c r="CI21" s="14" t="e">
        <f t="shared" si="21"/>
        <v>#VALUE!</v>
      </c>
      <c r="CJ21" s="15" t="e">
        <f t="shared" si="21"/>
        <v>#VALUE!</v>
      </c>
      <c r="CK21" s="16" t="e">
        <f t="shared" si="21"/>
        <v>#VALUE!</v>
      </c>
      <c r="CL21" s="13" t="e">
        <f t="shared" si="21"/>
        <v>#VALUE!</v>
      </c>
      <c r="CM21" s="14" t="e">
        <f t="shared" si="22"/>
        <v>#VALUE!</v>
      </c>
      <c r="CN21" s="14" t="e">
        <f t="shared" si="22"/>
        <v>#VALUE!</v>
      </c>
      <c r="CO21" s="14" t="e">
        <f t="shared" si="22"/>
        <v>#VALUE!</v>
      </c>
      <c r="CP21" s="14" t="e">
        <f t="shared" si="22"/>
        <v>#VALUE!</v>
      </c>
      <c r="CQ21" s="15" t="e">
        <f t="shared" si="22"/>
        <v>#VALUE!</v>
      </c>
      <c r="CR21" s="16" t="e">
        <f t="shared" si="22"/>
        <v>#VALUE!</v>
      </c>
      <c r="CS21" s="13" t="e">
        <f t="shared" si="22"/>
        <v>#VALUE!</v>
      </c>
      <c r="CT21" s="14" t="e">
        <f t="shared" si="22"/>
        <v>#VALUE!</v>
      </c>
      <c r="CU21" s="14" t="e">
        <f t="shared" si="22"/>
        <v>#VALUE!</v>
      </c>
      <c r="CV21" s="14" t="e">
        <f t="shared" si="22"/>
        <v>#VALUE!</v>
      </c>
      <c r="CW21" s="14" t="e">
        <f t="shared" si="22"/>
        <v>#VALUE!</v>
      </c>
      <c r="CX21" s="15" t="e">
        <f t="shared" si="22"/>
        <v>#VALUE!</v>
      </c>
      <c r="CY21" s="16" t="e">
        <f t="shared" si="22"/>
        <v>#VALUE!</v>
      </c>
      <c r="CZ21" s="13" t="e">
        <f t="shared" si="22"/>
        <v>#VALUE!</v>
      </c>
      <c r="DA21" s="14" t="e">
        <f t="shared" si="22"/>
        <v>#VALUE!</v>
      </c>
      <c r="DB21" s="14" t="e">
        <f t="shared" si="22"/>
        <v>#VALUE!</v>
      </c>
      <c r="DC21" s="14" t="e">
        <f t="shared" si="23"/>
        <v>#VALUE!</v>
      </c>
      <c r="DD21" s="14" t="e">
        <f t="shared" si="23"/>
        <v>#VALUE!</v>
      </c>
      <c r="DE21" s="15" t="e">
        <f t="shared" si="23"/>
        <v>#VALUE!</v>
      </c>
      <c r="DF21" s="16" t="e">
        <f t="shared" si="23"/>
        <v>#VALUE!</v>
      </c>
      <c r="DG21" s="13" t="e">
        <f t="shared" si="23"/>
        <v>#VALUE!</v>
      </c>
      <c r="DH21" s="14" t="e">
        <f t="shared" si="23"/>
        <v>#VALUE!</v>
      </c>
      <c r="DI21" s="14" t="e">
        <f t="shared" si="23"/>
        <v>#VALUE!</v>
      </c>
      <c r="DJ21" s="14" t="e">
        <f t="shared" si="23"/>
        <v>#VALUE!</v>
      </c>
      <c r="DK21" s="14" t="e">
        <f t="shared" si="23"/>
        <v>#VALUE!</v>
      </c>
      <c r="DL21" s="15" t="e">
        <f t="shared" si="23"/>
        <v>#VALUE!</v>
      </c>
      <c r="DM21" s="16" t="e">
        <f t="shared" si="23"/>
        <v>#VALUE!</v>
      </c>
      <c r="DN21" s="13" t="e">
        <f t="shared" si="23"/>
        <v>#VALUE!</v>
      </c>
      <c r="DO21" s="14" t="e">
        <f t="shared" si="23"/>
        <v>#VALUE!</v>
      </c>
      <c r="DP21" s="14" t="e">
        <f t="shared" si="23"/>
        <v>#VALUE!</v>
      </c>
      <c r="DQ21" s="14" t="e">
        <f t="shared" si="23"/>
        <v>#VALUE!</v>
      </c>
      <c r="DR21" s="14" t="e">
        <f t="shared" si="23"/>
        <v>#VALUE!</v>
      </c>
      <c r="DS21" s="15" t="e">
        <f t="shared" si="23"/>
        <v>#VALUE!</v>
      </c>
      <c r="DT21" s="16" t="e">
        <f t="shared" si="23"/>
        <v>#VALUE!</v>
      </c>
    </row>
    <row r="22" spans="1:124" s="17" customFormat="1" ht="9.75" customHeight="1">
      <c r="A22" s="25" t="s">
        <v>50</v>
      </c>
      <c r="B22" s="24" t="s">
        <v>51</v>
      </c>
      <c r="C22" s="19" t="e">
        <f t="shared" si="26"/>
        <v>#VALUE!</v>
      </c>
      <c r="D22" s="19" t="str">
        <f>_xlfn.XLOOKUP(A25,'VTT actif'!B:B,'VTT actif'!AQ:AQ,"-",0)</f>
        <v>-</v>
      </c>
      <c r="E22" s="19" t="e">
        <f>C22-1+D22</f>
        <v>#VALUE!</v>
      </c>
      <c r="F22" s="13" t="e">
        <f t="shared" si="17"/>
        <v>#VALUE!</v>
      </c>
      <c r="G22" s="14" t="e">
        <f t="shared" si="17"/>
        <v>#VALUE!</v>
      </c>
      <c r="H22" s="14" t="e">
        <f t="shared" si="17"/>
        <v>#VALUE!</v>
      </c>
      <c r="I22" s="14" t="e">
        <f t="shared" si="17"/>
        <v>#VALUE!</v>
      </c>
      <c r="J22" s="14" t="e">
        <f t="shared" si="17"/>
        <v>#VALUE!</v>
      </c>
      <c r="K22" s="15" t="e">
        <f t="shared" si="17"/>
        <v>#VALUE!</v>
      </c>
      <c r="L22" s="16" t="e">
        <f t="shared" si="27"/>
        <v>#VALUE!</v>
      </c>
      <c r="M22" s="13" t="e">
        <f t="shared" si="27"/>
        <v>#VALUE!</v>
      </c>
      <c r="N22" s="14" t="e">
        <f t="shared" si="27"/>
        <v>#VALUE!</v>
      </c>
      <c r="O22" s="14" t="e">
        <f t="shared" si="27"/>
        <v>#VALUE!</v>
      </c>
      <c r="P22" s="14" t="e">
        <f t="shared" si="27"/>
        <v>#VALUE!</v>
      </c>
      <c r="Q22" s="14" t="e">
        <f t="shared" si="27"/>
        <v>#VALUE!</v>
      </c>
      <c r="R22" s="15" t="e">
        <f t="shared" si="27"/>
        <v>#VALUE!</v>
      </c>
      <c r="S22" s="16" t="e">
        <f t="shared" si="27"/>
        <v>#VALUE!</v>
      </c>
      <c r="T22" s="13" t="e">
        <f t="shared" si="27"/>
        <v>#VALUE!</v>
      </c>
      <c r="U22" s="14" t="e">
        <f t="shared" si="27"/>
        <v>#VALUE!</v>
      </c>
      <c r="V22" s="14" t="e">
        <f t="shared" si="27"/>
        <v>#VALUE!</v>
      </c>
      <c r="W22" s="14" t="e">
        <f t="shared" si="27"/>
        <v>#VALUE!</v>
      </c>
      <c r="X22" s="14" t="e">
        <f t="shared" si="27"/>
        <v>#VALUE!</v>
      </c>
      <c r="Y22" s="15" t="e">
        <f t="shared" si="27"/>
        <v>#VALUE!</v>
      </c>
      <c r="Z22" s="16" t="e">
        <f t="shared" si="27"/>
        <v>#VALUE!</v>
      </c>
      <c r="AA22" s="13" t="e">
        <f t="shared" si="18"/>
        <v>#VALUE!</v>
      </c>
      <c r="AB22" s="14" t="e">
        <f t="shared" si="18"/>
        <v>#VALUE!</v>
      </c>
      <c r="AC22" s="14" t="e">
        <f t="shared" si="18"/>
        <v>#VALUE!</v>
      </c>
      <c r="AD22" s="14" t="e">
        <f t="shared" si="18"/>
        <v>#VALUE!</v>
      </c>
      <c r="AE22" s="14" t="e">
        <f t="shared" si="18"/>
        <v>#VALUE!</v>
      </c>
      <c r="AF22" s="15" t="e">
        <f t="shared" si="18"/>
        <v>#VALUE!</v>
      </c>
      <c r="AG22" s="16" t="e">
        <f t="shared" si="18"/>
        <v>#VALUE!</v>
      </c>
      <c r="AH22" s="13" t="e">
        <f t="shared" si="18"/>
        <v>#VALUE!</v>
      </c>
      <c r="AI22" s="14" t="e">
        <f t="shared" si="18"/>
        <v>#VALUE!</v>
      </c>
      <c r="AJ22" s="14" t="e">
        <f t="shared" si="18"/>
        <v>#VALUE!</v>
      </c>
      <c r="AK22" s="14" t="e">
        <f t="shared" si="18"/>
        <v>#VALUE!</v>
      </c>
      <c r="AL22" s="14" t="e">
        <f t="shared" si="18"/>
        <v>#VALUE!</v>
      </c>
      <c r="AM22" s="15" t="e">
        <f t="shared" si="18"/>
        <v>#VALUE!</v>
      </c>
      <c r="AN22" s="16" t="e">
        <f t="shared" si="18"/>
        <v>#VALUE!</v>
      </c>
      <c r="AO22" s="13" t="e">
        <f t="shared" si="18"/>
        <v>#VALUE!</v>
      </c>
      <c r="AP22" s="14" t="e">
        <f t="shared" si="18"/>
        <v>#VALUE!</v>
      </c>
      <c r="AQ22" s="14" t="e">
        <f t="shared" si="19"/>
        <v>#VALUE!</v>
      </c>
      <c r="AR22" s="14" t="e">
        <f t="shared" si="19"/>
        <v>#VALUE!</v>
      </c>
      <c r="AS22" s="14" t="e">
        <f t="shared" si="19"/>
        <v>#VALUE!</v>
      </c>
      <c r="AT22" s="15" t="e">
        <f t="shared" si="19"/>
        <v>#VALUE!</v>
      </c>
      <c r="AU22" s="16" t="e">
        <f t="shared" si="19"/>
        <v>#VALUE!</v>
      </c>
      <c r="AV22" s="13" t="e">
        <f t="shared" si="19"/>
        <v>#VALUE!</v>
      </c>
      <c r="AW22" s="14" t="e">
        <f t="shared" si="19"/>
        <v>#VALUE!</v>
      </c>
      <c r="AX22" s="14" t="e">
        <f t="shared" si="19"/>
        <v>#VALUE!</v>
      </c>
      <c r="AY22" s="14" t="e">
        <f t="shared" si="19"/>
        <v>#VALUE!</v>
      </c>
      <c r="AZ22" s="14" t="e">
        <f t="shared" si="19"/>
        <v>#VALUE!</v>
      </c>
      <c r="BA22" s="15" t="e">
        <f t="shared" si="19"/>
        <v>#VALUE!</v>
      </c>
      <c r="BB22" s="16" t="e">
        <f t="shared" si="19"/>
        <v>#VALUE!</v>
      </c>
      <c r="BC22" s="13" t="e">
        <f t="shared" si="19"/>
        <v>#VALUE!</v>
      </c>
      <c r="BD22" s="14" t="e">
        <f t="shared" si="19"/>
        <v>#VALUE!</v>
      </c>
      <c r="BE22" s="14" t="e">
        <f t="shared" si="19"/>
        <v>#VALUE!</v>
      </c>
      <c r="BF22" s="14" t="e">
        <f t="shared" si="19"/>
        <v>#VALUE!</v>
      </c>
      <c r="BG22" s="14" t="e">
        <f t="shared" si="20"/>
        <v>#VALUE!</v>
      </c>
      <c r="BH22" s="15" t="e">
        <f t="shared" si="20"/>
        <v>#VALUE!</v>
      </c>
      <c r="BI22" s="16" t="e">
        <f t="shared" si="20"/>
        <v>#VALUE!</v>
      </c>
      <c r="BJ22" s="13" t="e">
        <f t="shared" si="20"/>
        <v>#VALUE!</v>
      </c>
      <c r="BK22" s="14" t="e">
        <f t="shared" si="20"/>
        <v>#VALUE!</v>
      </c>
      <c r="BL22" s="14" t="e">
        <f t="shared" si="20"/>
        <v>#VALUE!</v>
      </c>
      <c r="BM22" s="14" t="e">
        <f t="shared" si="20"/>
        <v>#VALUE!</v>
      </c>
      <c r="BN22" s="14" t="e">
        <f t="shared" si="20"/>
        <v>#VALUE!</v>
      </c>
      <c r="BO22" s="15" t="e">
        <f t="shared" si="20"/>
        <v>#VALUE!</v>
      </c>
      <c r="BP22" s="16" t="e">
        <f t="shared" si="20"/>
        <v>#VALUE!</v>
      </c>
      <c r="BQ22" s="13" t="e">
        <f t="shared" si="20"/>
        <v>#VALUE!</v>
      </c>
      <c r="BR22" s="14" t="e">
        <f t="shared" si="20"/>
        <v>#VALUE!</v>
      </c>
      <c r="BS22" s="14" t="e">
        <f t="shared" si="20"/>
        <v>#VALUE!</v>
      </c>
      <c r="BT22" s="14" t="e">
        <f t="shared" si="20"/>
        <v>#VALUE!</v>
      </c>
      <c r="BU22" s="14" t="e">
        <f t="shared" si="20"/>
        <v>#VALUE!</v>
      </c>
      <c r="BV22" s="15" t="e">
        <f t="shared" si="20"/>
        <v>#VALUE!</v>
      </c>
      <c r="BW22" s="16" t="e">
        <f t="shared" si="21"/>
        <v>#VALUE!</v>
      </c>
      <c r="BX22" s="13" t="e">
        <f t="shared" si="21"/>
        <v>#VALUE!</v>
      </c>
      <c r="BY22" s="14" t="e">
        <f t="shared" si="21"/>
        <v>#VALUE!</v>
      </c>
      <c r="BZ22" s="14" t="e">
        <f t="shared" si="21"/>
        <v>#VALUE!</v>
      </c>
      <c r="CA22" s="14" t="e">
        <f t="shared" si="21"/>
        <v>#VALUE!</v>
      </c>
      <c r="CB22" s="14" t="e">
        <f t="shared" si="21"/>
        <v>#VALUE!</v>
      </c>
      <c r="CC22" s="15" t="e">
        <f t="shared" si="21"/>
        <v>#VALUE!</v>
      </c>
      <c r="CD22" s="16" t="e">
        <f t="shared" si="21"/>
        <v>#VALUE!</v>
      </c>
      <c r="CE22" s="13" t="e">
        <f t="shared" si="21"/>
        <v>#VALUE!</v>
      </c>
      <c r="CF22" s="14" t="e">
        <f t="shared" si="21"/>
        <v>#VALUE!</v>
      </c>
      <c r="CG22" s="14" t="e">
        <f t="shared" si="21"/>
        <v>#VALUE!</v>
      </c>
      <c r="CH22" s="14" t="e">
        <f t="shared" si="21"/>
        <v>#VALUE!</v>
      </c>
      <c r="CI22" s="14" t="e">
        <f t="shared" si="21"/>
        <v>#VALUE!</v>
      </c>
      <c r="CJ22" s="15" t="e">
        <f t="shared" si="21"/>
        <v>#VALUE!</v>
      </c>
      <c r="CK22" s="16" t="e">
        <f t="shared" si="21"/>
        <v>#VALUE!</v>
      </c>
      <c r="CL22" s="13" t="e">
        <f t="shared" si="21"/>
        <v>#VALUE!</v>
      </c>
      <c r="CM22" s="14" t="e">
        <f t="shared" si="22"/>
        <v>#VALUE!</v>
      </c>
      <c r="CN22" s="14" t="e">
        <f t="shared" si="22"/>
        <v>#VALUE!</v>
      </c>
      <c r="CO22" s="14" t="e">
        <f t="shared" si="22"/>
        <v>#VALUE!</v>
      </c>
      <c r="CP22" s="14" t="e">
        <f t="shared" si="22"/>
        <v>#VALUE!</v>
      </c>
      <c r="CQ22" s="15" t="e">
        <f t="shared" si="22"/>
        <v>#VALUE!</v>
      </c>
      <c r="CR22" s="16" t="e">
        <f t="shared" si="22"/>
        <v>#VALUE!</v>
      </c>
      <c r="CS22" s="13" t="e">
        <f t="shared" si="22"/>
        <v>#VALUE!</v>
      </c>
      <c r="CT22" s="14" t="e">
        <f t="shared" si="22"/>
        <v>#VALUE!</v>
      </c>
      <c r="CU22" s="14" t="e">
        <f t="shared" si="22"/>
        <v>#VALUE!</v>
      </c>
      <c r="CV22" s="14" t="e">
        <f t="shared" si="22"/>
        <v>#VALUE!</v>
      </c>
      <c r="CW22" s="14" t="e">
        <f t="shared" si="22"/>
        <v>#VALUE!</v>
      </c>
      <c r="CX22" s="15" t="e">
        <f t="shared" si="22"/>
        <v>#VALUE!</v>
      </c>
      <c r="CY22" s="16" t="e">
        <f t="shared" si="22"/>
        <v>#VALUE!</v>
      </c>
      <c r="CZ22" s="13" t="e">
        <f t="shared" si="22"/>
        <v>#VALUE!</v>
      </c>
      <c r="DA22" s="14" t="e">
        <f t="shared" si="22"/>
        <v>#VALUE!</v>
      </c>
      <c r="DB22" s="14" t="e">
        <f t="shared" si="22"/>
        <v>#VALUE!</v>
      </c>
      <c r="DC22" s="14" t="e">
        <f t="shared" si="23"/>
        <v>#VALUE!</v>
      </c>
      <c r="DD22" s="14" t="e">
        <f t="shared" si="23"/>
        <v>#VALUE!</v>
      </c>
      <c r="DE22" s="15" t="e">
        <f t="shared" si="23"/>
        <v>#VALUE!</v>
      </c>
      <c r="DF22" s="16" t="e">
        <f t="shared" ref="DF22:DT25" si="28">IF(AND(DF$5&gt;=$C22,DF$5&lt;=$E22),1,"")</f>
        <v>#VALUE!</v>
      </c>
      <c r="DG22" s="13" t="e">
        <f t="shared" si="28"/>
        <v>#VALUE!</v>
      </c>
      <c r="DH22" s="14" t="e">
        <f t="shared" si="28"/>
        <v>#VALUE!</v>
      </c>
      <c r="DI22" s="14" t="e">
        <f t="shared" si="28"/>
        <v>#VALUE!</v>
      </c>
      <c r="DJ22" s="14" t="e">
        <f t="shared" si="28"/>
        <v>#VALUE!</v>
      </c>
      <c r="DK22" s="14" t="e">
        <f t="shared" si="28"/>
        <v>#VALUE!</v>
      </c>
      <c r="DL22" s="15" t="e">
        <f t="shared" si="28"/>
        <v>#VALUE!</v>
      </c>
      <c r="DM22" s="16" t="e">
        <f t="shared" si="28"/>
        <v>#VALUE!</v>
      </c>
      <c r="DN22" s="13" t="e">
        <f t="shared" si="28"/>
        <v>#VALUE!</v>
      </c>
      <c r="DO22" s="14" t="e">
        <f t="shared" si="28"/>
        <v>#VALUE!</v>
      </c>
      <c r="DP22" s="14" t="e">
        <f t="shared" si="28"/>
        <v>#VALUE!</v>
      </c>
      <c r="DQ22" s="14" t="e">
        <f t="shared" si="28"/>
        <v>#VALUE!</v>
      </c>
      <c r="DR22" s="14" t="e">
        <f t="shared" si="28"/>
        <v>#VALUE!</v>
      </c>
      <c r="DS22" s="15" t="e">
        <f t="shared" si="28"/>
        <v>#VALUE!</v>
      </c>
      <c r="DT22" s="16" t="e">
        <f t="shared" si="28"/>
        <v>#VALUE!</v>
      </c>
    </row>
    <row r="23" spans="1:124" s="17" customFormat="1" ht="9.75" customHeight="1">
      <c r="A23" s="27" t="e">
        <f ca="1">IFERROR(VLOOKUP(_xlfn.CONCAT(B7,"-","Actif"),'DATA BTO'!A:D,3,FALSE),VLOOKUP(_xlfn.CONCAT(B7,"-","Inactif"),'DATA BTO'!A:D,3,FALSE))</f>
        <v>#N/A</v>
      </c>
      <c r="B23" s="26" t="s">
        <v>52</v>
      </c>
      <c r="C23" s="19" t="e">
        <f>E22+1</f>
        <v>#VALUE!</v>
      </c>
      <c r="D23" s="19" t="str">
        <f>_xlfn.XLOOKUP(A25,'VTT actif'!B:B,'VTT actif'!AR:AR,"-",0)</f>
        <v>-</v>
      </c>
      <c r="E23" s="19" t="e">
        <f>C23+D23-1</f>
        <v>#VALUE!</v>
      </c>
      <c r="F23" s="13" t="e">
        <f t="shared" ref="F23:U25" si="29">IF(AND(F$5&gt;=$C23,F$5&lt;=$E23),1,"")</f>
        <v>#VALUE!</v>
      </c>
      <c r="G23" s="14" t="e">
        <f t="shared" si="29"/>
        <v>#VALUE!</v>
      </c>
      <c r="H23" s="14" t="e">
        <f t="shared" si="29"/>
        <v>#VALUE!</v>
      </c>
      <c r="I23" s="14" t="e">
        <f t="shared" si="29"/>
        <v>#VALUE!</v>
      </c>
      <c r="J23" s="14" t="e">
        <f t="shared" si="29"/>
        <v>#VALUE!</v>
      </c>
      <c r="K23" s="15" t="e">
        <f t="shared" si="29"/>
        <v>#VALUE!</v>
      </c>
      <c r="L23" s="16" t="e">
        <f t="shared" si="29"/>
        <v>#VALUE!</v>
      </c>
      <c r="M23" s="13" t="e">
        <f t="shared" si="29"/>
        <v>#VALUE!</v>
      </c>
      <c r="N23" s="14" t="e">
        <f t="shared" si="29"/>
        <v>#VALUE!</v>
      </c>
      <c r="O23" s="14" t="e">
        <f t="shared" si="29"/>
        <v>#VALUE!</v>
      </c>
      <c r="P23" s="14" t="e">
        <f t="shared" si="29"/>
        <v>#VALUE!</v>
      </c>
      <c r="Q23" s="14" t="e">
        <f t="shared" si="29"/>
        <v>#VALUE!</v>
      </c>
      <c r="R23" s="15" t="e">
        <f t="shared" si="29"/>
        <v>#VALUE!</v>
      </c>
      <c r="S23" s="16" t="e">
        <f t="shared" si="29"/>
        <v>#VALUE!</v>
      </c>
      <c r="T23" s="13" t="e">
        <f t="shared" si="29"/>
        <v>#VALUE!</v>
      </c>
      <c r="U23" s="14" t="e">
        <f t="shared" si="29"/>
        <v>#VALUE!</v>
      </c>
      <c r="V23" s="14" t="e">
        <f t="shared" si="27"/>
        <v>#VALUE!</v>
      </c>
      <c r="W23" s="14" t="e">
        <f t="shared" si="27"/>
        <v>#VALUE!</v>
      </c>
      <c r="X23" s="14" t="e">
        <f t="shared" si="27"/>
        <v>#VALUE!</v>
      </c>
      <c r="Y23" s="15" t="e">
        <f t="shared" si="27"/>
        <v>#VALUE!</v>
      </c>
      <c r="Z23" s="16" t="e">
        <f t="shared" si="27"/>
        <v>#VALUE!</v>
      </c>
      <c r="AA23" s="13" t="e">
        <f t="shared" si="18"/>
        <v>#VALUE!</v>
      </c>
      <c r="AB23" s="14" t="e">
        <f t="shared" si="18"/>
        <v>#VALUE!</v>
      </c>
      <c r="AC23" s="14" t="e">
        <f t="shared" si="18"/>
        <v>#VALUE!</v>
      </c>
      <c r="AD23" s="14" t="e">
        <f t="shared" si="18"/>
        <v>#VALUE!</v>
      </c>
      <c r="AE23" s="14" t="e">
        <f t="shared" si="18"/>
        <v>#VALUE!</v>
      </c>
      <c r="AF23" s="15" t="e">
        <f t="shared" si="18"/>
        <v>#VALUE!</v>
      </c>
      <c r="AG23" s="16" t="e">
        <f t="shared" si="18"/>
        <v>#VALUE!</v>
      </c>
      <c r="AH23" s="13" t="e">
        <f t="shared" si="18"/>
        <v>#VALUE!</v>
      </c>
      <c r="AI23" s="14" t="e">
        <f t="shared" si="18"/>
        <v>#VALUE!</v>
      </c>
      <c r="AJ23" s="14" t="e">
        <f t="shared" si="18"/>
        <v>#VALUE!</v>
      </c>
      <c r="AK23" s="14" t="e">
        <f t="shared" si="18"/>
        <v>#VALUE!</v>
      </c>
      <c r="AL23" s="14" t="e">
        <f t="shared" si="18"/>
        <v>#VALUE!</v>
      </c>
      <c r="AM23" s="15" t="e">
        <f t="shared" si="18"/>
        <v>#VALUE!</v>
      </c>
      <c r="AN23" s="16" t="e">
        <f t="shared" si="18"/>
        <v>#VALUE!</v>
      </c>
      <c r="AO23" s="13" t="e">
        <f t="shared" si="18"/>
        <v>#VALUE!</v>
      </c>
      <c r="AP23" s="14" t="e">
        <f t="shared" si="18"/>
        <v>#VALUE!</v>
      </c>
      <c r="AQ23" s="14" t="e">
        <f t="shared" si="19"/>
        <v>#VALUE!</v>
      </c>
      <c r="AR23" s="14" t="e">
        <f t="shared" si="19"/>
        <v>#VALUE!</v>
      </c>
      <c r="AS23" s="14" t="e">
        <f t="shared" si="19"/>
        <v>#VALUE!</v>
      </c>
      <c r="AT23" s="15" t="e">
        <f t="shared" si="19"/>
        <v>#VALUE!</v>
      </c>
      <c r="AU23" s="16" t="e">
        <f t="shared" si="19"/>
        <v>#VALUE!</v>
      </c>
      <c r="AV23" s="13" t="e">
        <f t="shared" si="19"/>
        <v>#VALUE!</v>
      </c>
      <c r="AW23" s="14" t="e">
        <f t="shared" si="19"/>
        <v>#VALUE!</v>
      </c>
      <c r="AX23" s="14" t="e">
        <f t="shared" si="19"/>
        <v>#VALUE!</v>
      </c>
      <c r="AY23" s="14" t="e">
        <f t="shared" si="19"/>
        <v>#VALUE!</v>
      </c>
      <c r="AZ23" s="14" t="e">
        <f t="shared" si="19"/>
        <v>#VALUE!</v>
      </c>
      <c r="BA23" s="15" t="e">
        <f t="shared" si="19"/>
        <v>#VALUE!</v>
      </c>
      <c r="BB23" s="16" t="e">
        <f t="shared" si="19"/>
        <v>#VALUE!</v>
      </c>
      <c r="BC23" s="13" t="e">
        <f t="shared" si="19"/>
        <v>#VALUE!</v>
      </c>
      <c r="BD23" s="14" t="e">
        <f t="shared" si="19"/>
        <v>#VALUE!</v>
      </c>
      <c r="BE23" s="14" t="e">
        <f t="shared" si="19"/>
        <v>#VALUE!</v>
      </c>
      <c r="BF23" s="14" t="e">
        <f t="shared" si="19"/>
        <v>#VALUE!</v>
      </c>
      <c r="BG23" s="14" t="e">
        <f t="shared" si="20"/>
        <v>#VALUE!</v>
      </c>
      <c r="BH23" s="15" t="e">
        <f t="shared" si="20"/>
        <v>#VALUE!</v>
      </c>
      <c r="BI23" s="16" t="e">
        <f t="shared" si="20"/>
        <v>#VALUE!</v>
      </c>
      <c r="BJ23" s="13" t="e">
        <f t="shared" si="20"/>
        <v>#VALUE!</v>
      </c>
      <c r="BK23" s="14" t="e">
        <f t="shared" si="20"/>
        <v>#VALUE!</v>
      </c>
      <c r="BL23" s="14" t="e">
        <f t="shared" si="20"/>
        <v>#VALUE!</v>
      </c>
      <c r="BM23" s="14" t="e">
        <f t="shared" si="20"/>
        <v>#VALUE!</v>
      </c>
      <c r="BN23" s="14" t="e">
        <f t="shared" si="20"/>
        <v>#VALUE!</v>
      </c>
      <c r="BO23" s="15" t="e">
        <f t="shared" si="20"/>
        <v>#VALUE!</v>
      </c>
      <c r="BP23" s="16" t="e">
        <f t="shared" si="20"/>
        <v>#VALUE!</v>
      </c>
      <c r="BQ23" s="13" t="e">
        <f t="shared" si="20"/>
        <v>#VALUE!</v>
      </c>
      <c r="BR23" s="14" t="e">
        <f t="shared" si="20"/>
        <v>#VALUE!</v>
      </c>
      <c r="BS23" s="14" t="e">
        <f t="shared" si="20"/>
        <v>#VALUE!</v>
      </c>
      <c r="BT23" s="14" t="e">
        <f t="shared" si="20"/>
        <v>#VALUE!</v>
      </c>
      <c r="BU23" s="14" t="e">
        <f t="shared" si="20"/>
        <v>#VALUE!</v>
      </c>
      <c r="BV23" s="15" t="e">
        <f t="shared" si="20"/>
        <v>#VALUE!</v>
      </c>
      <c r="BW23" s="16" t="e">
        <f t="shared" si="21"/>
        <v>#VALUE!</v>
      </c>
      <c r="BX23" s="13" t="e">
        <f t="shared" si="21"/>
        <v>#VALUE!</v>
      </c>
      <c r="BY23" s="14" t="e">
        <f t="shared" si="21"/>
        <v>#VALUE!</v>
      </c>
      <c r="BZ23" s="14" t="e">
        <f t="shared" si="21"/>
        <v>#VALUE!</v>
      </c>
      <c r="CA23" s="14" t="e">
        <f t="shared" si="21"/>
        <v>#VALUE!</v>
      </c>
      <c r="CB23" s="14" t="e">
        <f t="shared" si="21"/>
        <v>#VALUE!</v>
      </c>
      <c r="CC23" s="15" t="e">
        <f t="shared" si="21"/>
        <v>#VALUE!</v>
      </c>
      <c r="CD23" s="16" t="e">
        <f t="shared" si="21"/>
        <v>#VALUE!</v>
      </c>
      <c r="CE23" s="13" t="e">
        <f t="shared" si="21"/>
        <v>#VALUE!</v>
      </c>
      <c r="CF23" s="14" t="e">
        <f t="shared" si="21"/>
        <v>#VALUE!</v>
      </c>
      <c r="CG23" s="14" t="e">
        <f t="shared" si="21"/>
        <v>#VALUE!</v>
      </c>
      <c r="CH23" s="14" t="e">
        <f t="shared" si="21"/>
        <v>#VALUE!</v>
      </c>
      <c r="CI23" s="14" t="e">
        <f t="shared" si="21"/>
        <v>#VALUE!</v>
      </c>
      <c r="CJ23" s="15" t="e">
        <f t="shared" si="21"/>
        <v>#VALUE!</v>
      </c>
      <c r="CK23" s="16" t="e">
        <f t="shared" si="21"/>
        <v>#VALUE!</v>
      </c>
      <c r="CL23" s="13" t="e">
        <f t="shared" ref="CL23" si="30">IF(AND(CL$5&gt;=$C23,CL$5&lt;=$E23),1,"")</f>
        <v>#VALUE!</v>
      </c>
      <c r="CM23" s="14" t="e">
        <f t="shared" si="22"/>
        <v>#VALUE!</v>
      </c>
      <c r="CN23" s="14" t="e">
        <f t="shared" si="22"/>
        <v>#VALUE!</v>
      </c>
      <c r="CO23" s="14" t="e">
        <f t="shared" si="22"/>
        <v>#VALUE!</v>
      </c>
      <c r="CP23" s="14" t="e">
        <f t="shared" si="22"/>
        <v>#VALUE!</v>
      </c>
      <c r="CQ23" s="15" t="e">
        <f t="shared" si="22"/>
        <v>#VALUE!</v>
      </c>
      <c r="CR23" s="16" t="e">
        <f t="shared" si="22"/>
        <v>#VALUE!</v>
      </c>
      <c r="CS23" s="13" t="e">
        <f t="shared" si="22"/>
        <v>#VALUE!</v>
      </c>
      <c r="CT23" s="14" t="e">
        <f t="shared" si="22"/>
        <v>#VALUE!</v>
      </c>
      <c r="CU23" s="14" t="e">
        <f t="shared" si="22"/>
        <v>#VALUE!</v>
      </c>
      <c r="CV23" s="14" t="e">
        <f t="shared" si="22"/>
        <v>#VALUE!</v>
      </c>
      <c r="CW23" s="14" t="e">
        <f t="shared" si="22"/>
        <v>#VALUE!</v>
      </c>
      <c r="CX23" s="15" t="e">
        <f t="shared" si="22"/>
        <v>#VALUE!</v>
      </c>
      <c r="CY23" s="16" t="e">
        <f t="shared" si="22"/>
        <v>#VALUE!</v>
      </c>
      <c r="CZ23" s="13" t="e">
        <f t="shared" si="22"/>
        <v>#VALUE!</v>
      </c>
      <c r="DA23" s="14" t="e">
        <f t="shared" si="22"/>
        <v>#VALUE!</v>
      </c>
      <c r="DB23" s="14" t="e">
        <f t="shared" ref="DB23:DQ25" si="31">IF(AND(DB$5&gt;=$C23,DB$5&lt;=$E23),1,"")</f>
        <v>#VALUE!</v>
      </c>
      <c r="DC23" s="14" t="e">
        <f t="shared" si="31"/>
        <v>#VALUE!</v>
      </c>
      <c r="DD23" s="14" t="e">
        <f t="shared" si="31"/>
        <v>#VALUE!</v>
      </c>
      <c r="DE23" s="15" t="e">
        <f t="shared" si="31"/>
        <v>#VALUE!</v>
      </c>
      <c r="DF23" s="16" t="e">
        <f t="shared" si="31"/>
        <v>#VALUE!</v>
      </c>
      <c r="DG23" s="13" t="e">
        <f t="shared" si="31"/>
        <v>#VALUE!</v>
      </c>
      <c r="DH23" s="14" t="e">
        <f t="shared" si="31"/>
        <v>#VALUE!</v>
      </c>
      <c r="DI23" s="14" t="e">
        <f t="shared" si="31"/>
        <v>#VALUE!</v>
      </c>
      <c r="DJ23" s="14" t="e">
        <f t="shared" si="31"/>
        <v>#VALUE!</v>
      </c>
      <c r="DK23" s="14" t="e">
        <f t="shared" si="31"/>
        <v>#VALUE!</v>
      </c>
      <c r="DL23" s="15" t="e">
        <f t="shared" si="31"/>
        <v>#VALUE!</v>
      </c>
      <c r="DM23" s="16" t="e">
        <f t="shared" si="31"/>
        <v>#VALUE!</v>
      </c>
      <c r="DN23" s="13" t="e">
        <f t="shared" si="31"/>
        <v>#VALUE!</v>
      </c>
      <c r="DO23" s="14" t="e">
        <f t="shared" si="31"/>
        <v>#VALUE!</v>
      </c>
      <c r="DP23" s="14" t="e">
        <f t="shared" si="31"/>
        <v>#VALUE!</v>
      </c>
      <c r="DQ23" s="14" t="e">
        <f t="shared" si="31"/>
        <v>#VALUE!</v>
      </c>
      <c r="DR23" s="14" t="e">
        <f t="shared" si="28"/>
        <v>#VALUE!</v>
      </c>
      <c r="DS23" s="15" t="e">
        <f t="shared" si="28"/>
        <v>#VALUE!</v>
      </c>
      <c r="DT23" s="16" t="e">
        <f t="shared" si="28"/>
        <v>#VALUE!</v>
      </c>
    </row>
    <row r="24" spans="1:124" s="17" customFormat="1" ht="9.75" customHeight="1">
      <c r="A24" s="27" t="e">
        <f ca="1">IFERROR(VLOOKUP(_xlfn.CONCAT(B7,"-","Actif"),'DATA BTO'!A:D,4,FALSE),VLOOKUP(_xlfn.CONCAT(B7,"-","Inactif"),'DATA BTO'!A:D,4,FALSE))</f>
        <v>#N/A</v>
      </c>
      <c r="B24" s="28" t="s">
        <v>53</v>
      </c>
      <c r="C24" s="19" t="e">
        <f t="shared" si="26"/>
        <v>#VALUE!</v>
      </c>
      <c r="D24" s="20">
        <v>7</v>
      </c>
      <c r="E24" s="19" t="e">
        <f t="shared" si="25"/>
        <v>#VALUE!</v>
      </c>
      <c r="F24" s="13" t="e">
        <f t="shared" si="29"/>
        <v>#VALUE!</v>
      </c>
      <c r="G24" s="14" t="e">
        <f t="shared" si="29"/>
        <v>#VALUE!</v>
      </c>
      <c r="H24" s="14" t="e">
        <f t="shared" si="29"/>
        <v>#VALUE!</v>
      </c>
      <c r="I24" s="14" t="e">
        <f t="shared" si="29"/>
        <v>#VALUE!</v>
      </c>
      <c r="J24" s="14" t="e">
        <f t="shared" si="29"/>
        <v>#VALUE!</v>
      </c>
      <c r="K24" s="15" t="e">
        <f t="shared" si="29"/>
        <v>#VALUE!</v>
      </c>
      <c r="L24" s="16" t="e">
        <f t="shared" si="29"/>
        <v>#VALUE!</v>
      </c>
      <c r="M24" s="13" t="e">
        <f t="shared" si="29"/>
        <v>#VALUE!</v>
      </c>
      <c r="N24" s="14" t="e">
        <f t="shared" si="29"/>
        <v>#VALUE!</v>
      </c>
      <c r="O24" s="14" t="e">
        <f t="shared" si="29"/>
        <v>#VALUE!</v>
      </c>
      <c r="P24" s="14" t="e">
        <f t="shared" si="29"/>
        <v>#VALUE!</v>
      </c>
      <c r="Q24" s="14" t="e">
        <f t="shared" si="29"/>
        <v>#VALUE!</v>
      </c>
      <c r="R24" s="15" t="e">
        <f t="shared" si="29"/>
        <v>#VALUE!</v>
      </c>
      <c r="S24" s="16" t="e">
        <f t="shared" si="29"/>
        <v>#VALUE!</v>
      </c>
      <c r="T24" s="13" t="e">
        <f t="shared" si="29"/>
        <v>#VALUE!</v>
      </c>
      <c r="U24" s="14" t="e">
        <f t="shared" si="29"/>
        <v>#VALUE!</v>
      </c>
      <c r="V24" s="14" t="e">
        <f t="shared" si="27"/>
        <v>#VALUE!</v>
      </c>
      <c r="W24" s="14" t="e">
        <f t="shared" si="27"/>
        <v>#VALUE!</v>
      </c>
      <c r="X24" s="14" t="e">
        <f t="shared" si="27"/>
        <v>#VALUE!</v>
      </c>
      <c r="Y24" s="15" t="e">
        <f t="shared" si="27"/>
        <v>#VALUE!</v>
      </c>
      <c r="Z24" s="16" t="e">
        <f t="shared" si="27"/>
        <v>#VALUE!</v>
      </c>
      <c r="AA24" s="13" t="e">
        <f t="shared" si="18"/>
        <v>#VALUE!</v>
      </c>
      <c r="AB24" s="14" t="e">
        <f t="shared" si="18"/>
        <v>#VALUE!</v>
      </c>
      <c r="AC24" s="14" t="e">
        <f t="shared" si="18"/>
        <v>#VALUE!</v>
      </c>
      <c r="AD24" s="14" t="e">
        <f t="shared" si="18"/>
        <v>#VALUE!</v>
      </c>
      <c r="AE24" s="14" t="e">
        <f t="shared" si="18"/>
        <v>#VALUE!</v>
      </c>
      <c r="AF24" s="15" t="e">
        <f t="shared" si="18"/>
        <v>#VALUE!</v>
      </c>
      <c r="AG24" s="16" t="e">
        <f t="shared" si="18"/>
        <v>#VALUE!</v>
      </c>
      <c r="AH24" s="13" t="e">
        <f t="shared" si="18"/>
        <v>#VALUE!</v>
      </c>
      <c r="AI24" s="14" t="e">
        <f t="shared" si="18"/>
        <v>#VALUE!</v>
      </c>
      <c r="AJ24" s="14" t="e">
        <f t="shared" si="18"/>
        <v>#VALUE!</v>
      </c>
      <c r="AK24" s="14" t="e">
        <f t="shared" si="18"/>
        <v>#VALUE!</v>
      </c>
      <c r="AL24" s="14" t="e">
        <f t="shared" si="18"/>
        <v>#VALUE!</v>
      </c>
      <c r="AM24" s="15" t="e">
        <f t="shared" si="18"/>
        <v>#VALUE!</v>
      </c>
      <c r="AN24" s="16" t="e">
        <f t="shared" si="18"/>
        <v>#VALUE!</v>
      </c>
      <c r="AO24" s="13" t="e">
        <f t="shared" si="18"/>
        <v>#VALUE!</v>
      </c>
      <c r="AP24" s="14" t="e">
        <f t="shared" si="18"/>
        <v>#VALUE!</v>
      </c>
      <c r="AQ24" s="14" t="e">
        <f t="shared" si="19"/>
        <v>#VALUE!</v>
      </c>
      <c r="AR24" s="14" t="e">
        <f t="shared" si="19"/>
        <v>#VALUE!</v>
      </c>
      <c r="AS24" s="14" t="e">
        <f t="shared" si="19"/>
        <v>#VALUE!</v>
      </c>
      <c r="AT24" s="15" t="e">
        <f t="shared" si="19"/>
        <v>#VALUE!</v>
      </c>
      <c r="AU24" s="16" t="e">
        <f t="shared" si="19"/>
        <v>#VALUE!</v>
      </c>
      <c r="AV24" s="13" t="e">
        <f t="shared" si="19"/>
        <v>#VALUE!</v>
      </c>
      <c r="AW24" s="14" t="e">
        <f t="shared" si="19"/>
        <v>#VALUE!</v>
      </c>
      <c r="AX24" s="14" t="e">
        <f t="shared" si="19"/>
        <v>#VALUE!</v>
      </c>
      <c r="AY24" s="14" t="e">
        <f t="shared" si="19"/>
        <v>#VALUE!</v>
      </c>
      <c r="AZ24" s="14" t="e">
        <f t="shared" si="19"/>
        <v>#VALUE!</v>
      </c>
      <c r="BA24" s="15" t="e">
        <f t="shared" si="19"/>
        <v>#VALUE!</v>
      </c>
      <c r="BB24" s="16" t="e">
        <f t="shared" si="19"/>
        <v>#VALUE!</v>
      </c>
      <c r="BC24" s="13" t="e">
        <f t="shared" si="19"/>
        <v>#VALUE!</v>
      </c>
      <c r="BD24" s="14" t="e">
        <f t="shared" si="19"/>
        <v>#VALUE!</v>
      </c>
      <c r="BE24" s="14" t="e">
        <f t="shared" si="19"/>
        <v>#VALUE!</v>
      </c>
      <c r="BF24" s="14" t="e">
        <f t="shared" si="19"/>
        <v>#VALUE!</v>
      </c>
      <c r="BG24" s="14" t="e">
        <f t="shared" si="20"/>
        <v>#VALUE!</v>
      </c>
      <c r="BH24" s="15" t="e">
        <f t="shared" si="20"/>
        <v>#VALUE!</v>
      </c>
      <c r="BI24" s="16" t="e">
        <f t="shared" si="20"/>
        <v>#VALUE!</v>
      </c>
      <c r="BJ24" s="13" t="e">
        <f t="shared" si="20"/>
        <v>#VALUE!</v>
      </c>
      <c r="BK24" s="14" t="e">
        <f t="shared" si="20"/>
        <v>#VALUE!</v>
      </c>
      <c r="BL24" s="14" t="e">
        <f t="shared" si="20"/>
        <v>#VALUE!</v>
      </c>
      <c r="BM24" s="14" t="e">
        <f t="shared" si="20"/>
        <v>#VALUE!</v>
      </c>
      <c r="BN24" s="14" t="e">
        <f t="shared" si="20"/>
        <v>#VALUE!</v>
      </c>
      <c r="BO24" s="15" t="e">
        <f t="shared" si="20"/>
        <v>#VALUE!</v>
      </c>
      <c r="BP24" s="16" t="e">
        <f t="shared" si="20"/>
        <v>#VALUE!</v>
      </c>
      <c r="BQ24" s="13" t="e">
        <f t="shared" si="20"/>
        <v>#VALUE!</v>
      </c>
      <c r="BR24" s="14" t="e">
        <f t="shared" si="20"/>
        <v>#VALUE!</v>
      </c>
      <c r="BS24" s="14" t="e">
        <f t="shared" si="20"/>
        <v>#VALUE!</v>
      </c>
      <c r="BT24" s="14" t="e">
        <f t="shared" si="20"/>
        <v>#VALUE!</v>
      </c>
      <c r="BU24" s="14" t="e">
        <f t="shared" si="20"/>
        <v>#VALUE!</v>
      </c>
      <c r="BV24" s="15" t="e">
        <f t="shared" si="20"/>
        <v>#VALUE!</v>
      </c>
      <c r="BW24" s="16" t="e">
        <f t="shared" ref="BW24:CL25" si="32">IF(AND(BW$5&gt;=$C24,BW$5&lt;=$E24),1,"")</f>
        <v>#VALUE!</v>
      </c>
      <c r="BX24" s="13" t="e">
        <f t="shared" si="32"/>
        <v>#VALUE!</v>
      </c>
      <c r="BY24" s="14" t="e">
        <f t="shared" si="32"/>
        <v>#VALUE!</v>
      </c>
      <c r="BZ24" s="14" t="e">
        <f t="shared" si="32"/>
        <v>#VALUE!</v>
      </c>
      <c r="CA24" s="14" t="e">
        <f t="shared" si="32"/>
        <v>#VALUE!</v>
      </c>
      <c r="CB24" s="14" t="e">
        <f t="shared" si="32"/>
        <v>#VALUE!</v>
      </c>
      <c r="CC24" s="15" t="e">
        <f t="shared" si="32"/>
        <v>#VALUE!</v>
      </c>
      <c r="CD24" s="16" t="e">
        <f t="shared" si="32"/>
        <v>#VALUE!</v>
      </c>
      <c r="CE24" s="13" t="e">
        <f t="shared" si="32"/>
        <v>#VALUE!</v>
      </c>
      <c r="CF24" s="14" t="e">
        <f t="shared" si="32"/>
        <v>#VALUE!</v>
      </c>
      <c r="CG24" s="14" t="e">
        <f t="shared" si="32"/>
        <v>#VALUE!</v>
      </c>
      <c r="CH24" s="14" t="e">
        <f t="shared" si="32"/>
        <v>#VALUE!</v>
      </c>
      <c r="CI24" s="14" t="e">
        <f t="shared" si="32"/>
        <v>#VALUE!</v>
      </c>
      <c r="CJ24" s="15" t="e">
        <f t="shared" si="32"/>
        <v>#VALUE!</v>
      </c>
      <c r="CK24" s="16" t="e">
        <f t="shared" si="32"/>
        <v>#VALUE!</v>
      </c>
      <c r="CL24" s="13" t="e">
        <f t="shared" si="32"/>
        <v>#VALUE!</v>
      </c>
      <c r="CM24" s="14" t="e">
        <f t="shared" ref="CM24:DB25" si="33">IF(AND(CM$5&gt;=$C24,CM$5&lt;=$E24),1,"")</f>
        <v>#VALUE!</v>
      </c>
      <c r="CN24" s="14" t="e">
        <f t="shared" si="33"/>
        <v>#VALUE!</v>
      </c>
      <c r="CO24" s="14" t="e">
        <f t="shared" si="33"/>
        <v>#VALUE!</v>
      </c>
      <c r="CP24" s="14" t="e">
        <f t="shared" si="33"/>
        <v>#VALUE!</v>
      </c>
      <c r="CQ24" s="15" t="e">
        <f t="shared" si="33"/>
        <v>#VALUE!</v>
      </c>
      <c r="CR24" s="16" t="e">
        <f t="shared" si="33"/>
        <v>#VALUE!</v>
      </c>
      <c r="CS24" s="13" t="e">
        <f t="shared" si="33"/>
        <v>#VALUE!</v>
      </c>
      <c r="CT24" s="14" t="e">
        <f t="shared" si="33"/>
        <v>#VALUE!</v>
      </c>
      <c r="CU24" s="14" t="e">
        <f t="shared" si="33"/>
        <v>#VALUE!</v>
      </c>
      <c r="CV24" s="14" t="e">
        <f t="shared" si="33"/>
        <v>#VALUE!</v>
      </c>
      <c r="CW24" s="14" t="e">
        <f t="shared" si="33"/>
        <v>#VALUE!</v>
      </c>
      <c r="CX24" s="15" t="e">
        <f t="shared" si="33"/>
        <v>#VALUE!</v>
      </c>
      <c r="CY24" s="16" t="e">
        <f t="shared" si="33"/>
        <v>#VALUE!</v>
      </c>
      <c r="CZ24" s="13" t="e">
        <f t="shared" si="33"/>
        <v>#VALUE!</v>
      </c>
      <c r="DA24" s="14" t="e">
        <f t="shared" si="33"/>
        <v>#VALUE!</v>
      </c>
      <c r="DB24" s="14" t="e">
        <f t="shared" si="33"/>
        <v>#VALUE!</v>
      </c>
      <c r="DC24" s="14" t="e">
        <f t="shared" si="31"/>
        <v>#VALUE!</v>
      </c>
      <c r="DD24" s="14" t="e">
        <f t="shared" si="31"/>
        <v>#VALUE!</v>
      </c>
      <c r="DE24" s="15" t="e">
        <f t="shared" si="31"/>
        <v>#VALUE!</v>
      </c>
      <c r="DF24" s="16" t="e">
        <f t="shared" si="31"/>
        <v>#VALUE!</v>
      </c>
      <c r="DG24" s="13" t="e">
        <f t="shared" si="31"/>
        <v>#VALUE!</v>
      </c>
      <c r="DH24" s="14" t="e">
        <f t="shared" si="31"/>
        <v>#VALUE!</v>
      </c>
      <c r="DI24" s="14" t="e">
        <f t="shared" si="31"/>
        <v>#VALUE!</v>
      </c>
      <c r="DJ24" s="14" t="e">
        <f t="shared" si="31"/>
        <v>#VALUE!</v>
      </c>
      <c r="DK24" s="14" t="e">
        <f t="shared" si="31"/>
        <v>#VALUE!</v>
      </c>
      <c r="DL24" s="15" t="e">
        <f t="shared" si="31"/>
        <v>#VALUE!</v>
      </c>
      <c r="DM24" s="16" t="e">
        <f t="shared" si="31"/>
        <v>#VALUE!</v>
      </c>
      <c r="DN24" s="13" t="e">
        <f t="shared" si="31"/>
        <v>#VALUE!</v>
      </c>
      <c r="DO24" s="14" t="e">
        <f t="shared" si="31"/>
        <v>#VALUE!</v>
      </c>
      <c r="DP24" s="14" t="e">
        <f t="shared" si="31"/>
        <v>#VALUE!</v>
      </c>
      <c r="DQ24" s="14" t="e">
        <f t="shared" si="31"/>
        <v>#VALUE!</v>
      </c>
      <c r="DR24" s="14" t="e">
        <f t="shared" si="28"/>
        <v>#VALUE!</v>
      </c>
      <c r="DS24" s="15" t="e">
        <f t="shared" si="28"/>
        <v>#VALUE!</v>
      </c>
      <c r="DT24" s="16" t="e">
        <f t="shared" si="28"/>
        <v>#VALUE!</v>
      </c>
    </row>
    <row r="25" spans="1:124" s="17" customFormat="1" ht="9.75" customHeight="1">
      <c r="A25" s="92" t="str">
        <f>_xlfn.CONCAT(B1,"-",B3,"-",B6)</f>
        <v>ILN Chine -ILN Chine -REVOZ</v>
      </c>
      <c r="B25" s="28" t="s">
        <v>54</v>
      </c>
      <c r="C25" s="19" t="e">
        <f t="shared" si="26"/>
        <v>#VALUE!</v>
      </c>
      <c r="D25" s="20">
        <v>7</v>
      </c>
      <c r="E25" s="19" t="e">
        <f>(C25+D25)-1</f>
        <v>#VALUE!</v>
      </c>
      <c r="F25" s="13" t="e">
        <f t="shared" si="29"/>
        <v>#VALUE!</v>
      </c>
      <c r="G25" s="14" t="e">
        <f t="shared" si="29"/>
        <v>#VALUE!</v>
      </c>
      <c r="H25" s="14" t="e">
        <f t="shared" si="29"/>
        <v>#VALUE!</v>
      </c>
      <c r="I25" s="14" t="e">
        <f t="shared" si="29"/>
        <v>#VALUE!</v>
      </c>
      <c r="J25" s="14" t="e">
        <f t="shared" si="29"/>
        <v>#VALUE!</v>
      </c>
      <c r="K25" s="15" t="e">
        <f t="shared" si="29"/>
        <v>#VALUE!</v>
      </c>
      <c r="L25" s="16" t="e">
        <f t="shared" si="29"/>
        <v>#VALUE!</v>
      </c>
      <c r="M25" s="13" t="e">
        <f t="shared" si="29"/>
        <v>#VALUE!</v>
      </c>
      <c r="N25" s="14" t="e">
        <f t="shared" si="29"/>
        <v>#VALUE!</v>
      </c>
      <c r="O25" s="14" t="e">
        <f t="shared" si="29"/>
        <v>#VALUE!</v>
      </c>
      <c r="P25" s="14" t="e">
        <f t="shared" si="29"/>
        <v>#VALUE!</v>
      </c>
      <c r="Q25" s="14" t="e">
        <f t="shared" si="29"/>
        <v>#VALUE!</v>
      </c>
      <c r="R25" s="15" t="e">
        <f t="shared" si="29"/>
        <v>#VALUE!</v>
      </c>
      <c r="S25" s="16" t="e">
        <f t="shared" si="29"/>
        <v>#VALUE!</v>
      </c>
      <c r="T25" s="13" t="e">
        <f t="shared" si="29"/>
        <v>#VALUE!</v>
      </c>
      <c r="U25" s="14" t="e">
        <f t="shared" si="29"/>
        <v>#VALUE!</v>
      </c>
      <c r="V25" s="14" t="e">
        <f t="shared" si="27"/>
        <v>#VALUE!</v>
      </c>
      <c r="W25" s="14" t="e">
        <f t="shared" si="27"/>
        <v>#VALUE!</v>
      </c>
      <c r="X25" s="14" t="e">
        <f t="shared" si="27"/>
        <v>#VALUE!</v>
      </c>
      <c r="Y25" s="15" t="e">
        <f t="shared" si="27"/>
        <v>#VALUE!</v>
      </c>
      <c r="Z25" s="16" t="e">
        <f t="shared" si="27"/>
        <v>#VALUE!</v>
      </c>
      <c r="AA25" s="13" t="e">
        <f t="shared" si="18"/>
        <v>#VALUE!</v>
      </c>
      <c r="AB25" s="14" t="e">
        <f t="shared" si="18"/>
        <v>#VALUE!</v>
      </c>
      <c r="AC25" s="14" t="e">
        <f t="shared" si="18"/>
        <v>#VALUE!</v>
      </c>
      <c r="AD25" s="14" t="e">
        <f t="shared" si="18"/>
        <v>#VALUE!</v>
      </c>
      <c r="AE25" s="14" t="e">
        <f t="shared" si="18"/>
        <v>#VALUE!</v>
      </c>
      <c r="AF25" s="15" t="e">
        <f t="shared" si="18"/>
        <v>#VALUE!</v>
      </c>
      <c r="AG25" s="16" t="e">
        <f t="shared" si="18"/>
        <v>#VALUE!</v>
      </c>
      <c r="AH25" s="13" t="e">
        <f t="shared" si="18"/>
        <v>#VALUE!</v>
      </c>
      <c r="AI25" s="14" t="e">
        <f t="shared" si="18"/>
        <v>#VALUE!</v>
      </c>
      <c r="AJ25" s="14" t="e">
        <f t="shared" si="18"/>
        <v>#VALUE!</v>
      </c>
      <c r="AK25" s="14" t="e">
        <f t="shared" si="18"/>
        <v>#VALUE!</v>
      </c>
      <c r="AL25" s="14" t="e">
        <f t="shared" si="18"/>
        <v>#VALUE!</v>
      </c>
      <c r="AM25" s="15" t="e">
        <f t="shared" si="18"/>
        <v>#VALUE!</v>
      </c>
      <c r="AN25" s="16" t="e">
        <f t="shared" si="18"/>
        <v>#VALUE!</v>
      </c>
      <c r="AO25" s="13" t="e">
        <f t="shared" si="18"/>
        <v>#VALUE!</v>
      </c>
      <c r="AP25" s="14" t="e">
        <f t="shared" ref="AP25" si="34">IF(AND(AP$5&gt;=$C25,AP$5&lt;=$E25),1,"")</f>
        <v>#VALUE!</v>
      </c>
      <c r="AQ25" s="14" t="e">
        <f t="shared" si="19"/>
        <v>#VALUE!</v>
      </c>
      <c r="AR25" s="14" t="e">
        <f t="shared" si="19"/>
        <v>#VALUE!</v>
      </c>
      <c r="AS25" s="14" t="e">
        <f t="shared" si="19"/>
        <v>#VALUE!</v>
      </c>
      <c r="AT25" s="15" t="e">
        <f t="shared" si="19"/>
        <v>#VALUE!</v>
      </c>
      <c r="AU25" s="16" t="e">
        <f t="shared" si="19"/>
        <v>#VALUE!</v>
      </c>
      <c r="AV25" s="13" t="e">
        <f t="shared" si="19"/>
        <v>#VALUE!</v>
      </c>
      <c r="AW25" s="14" t="e">
        <f t="shared" si="19"/>
        <v>#VALUE!</v>
      </c>
      <c r="AX25" s="14" t="e">
        <f t="shared" si="19"/>
        <v>#VALUE!</v>
      </c>
      <c r="AY25" s="14" t="e">
        <f t="shared" si="19"/>
        <v>#VALUE!</v>
      </c>
      <c r="AZ25" s="14" t="e">
        <f t="shared" si="19"/>
        <v>#VALUE!</v>
      </c>
      <c r="BA25" s="15" t="e">
        <f t="shared" si="19"/>
        <v>#VALUE!</v>
      </c>
      <c r="BB25" s="16" t="e">
        <f t="shared" si="19"/>
        <v>#VALUE!</v>
      </c>
      <c r="BC25" s="13" t="e">
        <f t="shared" si="19"/>
        <v>#VALUE!</v>
      </c>
      <c r="BD25" s="14" t="e">
        <f t="shared" si="19"/>
        <v>#VALUE!</v>
      </c>
      <c r="BE25" s="14" t="e">
        <f t="shared" si="19"/>
        <v>#VALUE!</v>
      </c>
      <c r="BF25" s="14" t="e">
        <f t="shared" ref="BF25" si="35">IF(AND(BF$5&gt;=$C25,BF$5&lt;=$E25),1,"")</f>
        <v>#VALUE!</v>
      </c>
      <c r="BG25" s="14" t="e">
        <f t="shared" si="20"/>
        <v>#VALUE!</v>
      </c>
      <c r="BH25" s="15" t="e">
        <f t="shared" si="20"/>
        <v>#VALUE!</v>
      </c>
      <c r="BI25" s="16" t="e">
        <f t="shared" si="20"/>
        <v>#VALUE!</v>
      </c>
      <c r="BJ25" s="13" t="e">
        <f t="shared" si="20"/>
        <v>#VALUE!</v>
      </c>
      <c r="BK25" s="14" t="e">
        <f t="shared" si="20"/>
        <v>#VALUE!</v>
      </c>
      <c r="BL25" s="14" t="e">
        <f t="shared" ref="BL25:BV25" si="36">IF(AND(BL$5&gt;=$C25,BL$5&lt;=$E25),1,"")</f>
        <v>#VALUE!</v>
      </c>
      <c r="BM25" s="14" t="e">
        <f t="shared" si="36"/>
        <v>#VALUE!</v>
      </c>
      <c r="BN25" s="14" t="e">
        <f t="shared" si="36"/>
        <v>#VALUE!</v>
      </c>
      <c r="BO25" s="15" t="e">
        <f t="shared" si="36"/>
        <v>#VALUE!</v>
      </c>
      <c r="BP25" s="16" t="e">
        <f t="shared" si="36"/>
        <v>#VALUE!</v>
      </c>
      <c r="BQ25" s="13" t="e">
        <f t="shared" si="36"/>
        <v>#VALUE!</v>
      </c>
      <c r="BR25" s="14" t="e">
        <f t="shared" si="36"/>
        <v>#VALUE!</v>
      </c>
      <c r="BS25" s="14" t="e">
        <f t="shared" si="36"/>
        <v>#VALUE!</v>
      </c>
      <c r="BT25" s="14" t="e">
        <f t="shared" si="36"/>
        <v>#VALUE!</v>
      </c>
      <c r="BU25" s="14" t="e">
        <f t="shared" si="36"/>
        <v>#VALUE!</v>
      </c>
      <c r="BV25" s="15" t="e">
        <f t="shared" si="36"/>
        <v>#VALUE!</v>
      </c>
      <c r="BW25" s="16" t="e">
        <f t="shared" si="32"/>
        <v>#VALUE!</v>
      </c>
      <c r="BX25" s="13" t="e">
        <f t="shared" si="32"/>
        <v>#VALUE!</v>
      </c>
      <c r="BY25" s="14" t="e">
        <f t="shared" si="32"/>
        <v>#VALUE!</v>
      </c>
      <c r="BZ25" s="14" t="e">
        <f t="shared" si="32"/>
        <v>#VALUE!</v>
      </c>
      <c r="CA25" s="14" t="e">
        <f t="shared" si="32"/>
        <v>#VALUE!</v>
      </c>
      <c r="CB25" s="14" t="e">
        <f t="shared" si="32"/>
        <v>#VALUE!</v>
      </c>
      <c r="CC25" s="15" t="e">
        <f t="shared" si="32"/>
        <v>#VALUE!</v>
      </c>
      <c r="CD25" s="16" t="e">
        <f t="shared" si="32"/>
        <v>#VALUE!</v>
      </c>
      <c r="CE25" s="13" t="e">
        <f t="shared" si="32"/>
        <v>#VALUE!</v>
      </c>
      <c r="CF25" s="14" t="e">
        <f t="shared" si="32"/>
        <v>#VALUE!</v>
      </c>
      <c r="CG25" s="14" t="e">
        <f t="shared" si="32"/>
        <v>#VALUE!</v>
      </c>
      <c r="CH25" s="14" t="e">
        <f t="shared" si="32"/>
        <v>#VALUE!</v>
      </c>
      <c r="CI25" s="14" t="e">
        <f t="shared" si="32"/>
        <v>#VALUE!</v>
      </c>
      <c r="CJ25" s="15" t="e">
        <f t="shared" si="32"/>
        <v>#VALUE!</v>
      </c>
      <c r="CK25" s="16" t="e">
        <f t="shared" si="32"/>
        <v>#VALUE!</v>
      </c>
      <c r="CL25" s="13" t="e">
        <f t="shared" si="32"/>
        <v>#VALUE!</v>
      </c>
      <c r="CM25" s="14" t="e">
        <f t="shared" si="33"/>
        <v>#VALUE!</v>
      </c>
      <c r="CN25" s="14" t="e">
        <f t="shared" si="33"/>
        <v>#VALUE!</v>
      </c>
      <c r="CO25" s="14" t="e">
        <f t="shared" si="33"/>
        <v>#VALUE!</v>
      </c>
      <c r="CP25" s="14" t="e">
        <f t="shared" si="33"/>
        <v>#VALUE!</v>
      </c>
      <c r="CQ25" s="15" t="e">
        <f t="shared" si="33"/>
        <v>#VALUE!</v>
      </c>
      <c r="CR25" s="16" t="e">
        <f t="shared" si="33"/>
        <v>#VALUE!</v>
      </c>
      <c r="CS25" s="13" t="e">
        <f t="shared" si="33"/>
        <v>#VALUE!</v>
      </c>
      <c r="CT25" s="14" t="e">
        <f t="shared" si="33"/>
        <v>#VALUE!</v>
      </c>
      <c r="CU25" s="14" t="e">
        <f t="shared" si="33"/>
        <v>#VALUE!</v>
      </c>
      <c r="CV25" s="14" t="e">
        <f t="shared" si="33"/>
        <v>#VALUE!</v>
      </c>
      <c r="CW25" s="14" t="e">
        <f t="shared" si="33"/>
        <v>#VALUE!</v>
      </c>
      <c r="CX25" s="15" t="e">
        <f t="shared" si="33"/>
        <v>#VALUE!</v>
      </c>
      <c r="CY25" s="16" t="e">
        <f t="shared" si="33"/>
        <v>#VALUE!</v>
      </c>
      <c r="CZ25" s="13" t="e">
        <f t="shared" si="33"/>
        <v>#VALUE!</v>
      </c>
      <c r="DA25" s="14" t="e">
        <f t="shared" si="33"/>
        <v>#VALUE!</v>
      </c>
      <c r="DB25" s="14" t="e">
        <f t="shared" si="33"/>
        <v>#VALUE!</v>
      </c>
      <c r="DC25" s="14" t="e">
        <f t="shared" si="31"/>
        <v>#VALUE!</v>
      </c>
      <c r="DD25" s="14" t="e">
        <f t="shared" si="31"/>
        <v>#VALUE!</v>
      </c>
      <c r="DE25" s="15" t="e">
        <f t="shared" si="31"/>
        <v>#VALUE!</v>
      </c>
      <c r="DF25" s="16" t="e">
        <f t="shared" si="31"/>
        <v>#VALUE!</v>
      </c>
      <c r="DG25" s="13" t="e">
        <f t="shared" si="28"/>
        <v>#VALUE!</v>
      </c>
      <c r="DH25" s="14" t="e">
        <f t="shared" si="28"/>
        <v>#VALUE!</v>
      </c>
      <c r="DI25" s="14" t="e">
        <f t="shared" si="28"/>
        <v>#VALUE!</v>
      </c>
      <c r="DJ25" s="14" t="e">
        <f t="shared" si="28"/>
        <v>#VALUE!</v>
      </c>
      <c r="DK25" s="14" t="e">
        <f t="shared" si="28"/>
        <v>#VALUE!</v>
      </c>
      <c r="DL25" s="15" t="e">
        <f t="shared" si="28"/>
        <v>#VALUE!</v>
      </c>
      <c r="DM25" s="16" t="e">
        <f t="shared" si="28"/>
        <v>#VALUE!</v>
      </c>
      <c r="DN25" s="13" t="e">
        <f t="shared" si="28"/>
        <v>#VALUE!</v>
      </c>
      <c r="DO25" s="14" t="e">
        <f t="shared" si="28"/>
        <v>#VALUE!</v>
      </c>
      <c r="DP25" s="14" t="e">
        <f t="shared" si="28"/>
        <v>#VALUE!</v>
      </c>
      <c r="DQ25" s="14" t="e">
        <f t="shared" si="28"/>
        <v>#VALUE!</v>
      </c>
      <c r="DR25" s="14" t="e">
        <f t="shared" si="28"/>
        <v>#VALUE!</v>
      </c>
      <c r="DS25" s="15" t="e">
        <f t="shared" si="28"/>
        <v>#VALUE!</v>
      </c>
      <c r="DT25" s="16" t="e">
        <f t="shared" si="28"/>
        <v>#VALUE!</v>
      </c>
    </row>
    <row r="26" spans="1:124" s="17" customFormat="1" ht="6" customHeight="1"/>
    <row r="27" spans="1:124" s="17" customFormat="1" ht="15" customHeight="1">
      <c r="A27" s="588" t="s">
        <v>55</v>
      </c>
      <c r="B27" s="588"/>
      <c r="C27" s="589" t="e">
        <f>C15-C11</f>
        <v>#VALUE!</v>
      </c>
      <c r="D27" s="589"/>
      <c r="E27" s="590"/>
      <c r="F27" s="14" t="e">
        <f t="shared" ref="F27:BQ27" si="37">IF(AND(F$5&gt;=$C$11,F$5&lt;=$E$15-1),1,"")</f>
        <v>#VALUE!</v>
      </c>
      <c r="G27" s="14" t="e">
        <f t="shared" si="37"/>
        <v>#VALUE!</v>
      </c>
      <c r="H27" s="14" t="e">
        <f t="shared" si="37"/>
        <v>#VALUE!</v>
      </c>
      <c r="I27" s="14" t="e">
        <f t="shared" si="37"/>
        <v>#VALUE!</v>
      </c>
      <c r="J27" s="14" t="e">
        <f t="shared" si="37"/>
        <v>#VALUE!</v>
      </c>
      <c r="K27" s="15" t="e">
        <f t="shared" si="37"/>
        <v>#VALUE!</v>
      </c>
      <c r="L27" s="16" t="e">
        <f t="shared" si="37"/>
        <v>#VALUE!</v>
      </c>
      <c r="M27" s="13" t="e">
        <f t="shared" si="37"/>
        <v>#VALUE!</v>
      </c>
      <c r="N27" s="14" t="e">
        <f t="shared" si="37"/>
        <v>#VALUE!</v>
      </c>
      <c r="O27" s="14" t="e">
        <f t="shared" si="37"/>
        <v>#VALUE!</v>
      </c>
      <c r="P27" s="14" t="e">
        <f t="shared" si="37"/>
        <v>#VALUE!</v>
      </c>
      <c r="Q27" s="14" t="e">
        <f t="shared" si="37"/>
        <v>#VALUE!</v>
      </c>
      <c r="R27" s="15" t="e">
        <f t="shared" si="37"/>
        <v>#VALUE!</v>
      </c>
      <c r="S27" s="16" t="e">
        <f t="shared" si="37"/>
        <v>#VALUE!</v>
      </c>
      <c r="T27" s="13" t="e">
        <f t="shared" si="37"/>
        <v>#VALUE!</v>
      </c>
      <c r="U27" s="14" t="e">
        <f t="shared" si="37"/>
        <v>#VALUE!</v>
      </c>
      <c r="V27" s="14" t="e">
        <f t="shared" si="37"/>
        <v>#VALUE!</v>
      </c>
      <c r="W27" s="14" t="e">
        <f t="shared" si="37"/>
        <v>#VALUE!</v>
      </c>
      <c r="X27" s="14" t="e">
        <f t="shared" si="37"/>
        <v>#VALUE!</v>
      </c>
      <c r="Y27" s="15" t="e">
        <f t="shared" si="37"/>
        <v>#VALUE!</v>
      </c>
      <c r="Z27" s="16" t="e">
        <f t="shared" si="37"/>
        <v>#VALUE!</v>
      </c>
      <c r="AA27" s="13" t="e">
        <f t="shared" si="37"/>
        <v>#VALUE!</v>
      </c>
      <c r="AB27" s="14" t="e">
        <f t="shared" si="37"/>
        <v>#VALUE!</v>
      </c>
      <c r="AC27" s="14" t="e">
        <f t="shared" si="37"/>
        <v>#VALUE!</v>
      </c>
      <c r="AD27" s="14" t="e">
        <f t="shared" si="37"/>
        <v>#VALUE!</v>
      </c>
      <c r="AE27" s="14" t="e">
        <f t="shared" si="37"/>
        <v>#VALUE!</v>
      </c>
      <c r="AF27" s="15" t="e">
        <f t="shared" si="37"/>
        <v>#VALUE!</v>
      </c>
      <c r="AG27" s="16" t="e">
        <f t="shared" si="37"/>
        <v>#VALUE!</v>
      </c>
      <c r="AH27" s="13" t="e">
        <f t="shared" si="37"/>
        <v>#VALUE!</v>
      </c>
      <c r="AI27" s="14" t="e">
        <f t="shared" si="37"/>
        <v>#VALUE!</v>
      </c>
      <c r="AJ27" s="14" t="e">
        <f t="shared" si="37"/>
        <v>#VALUE!</v>
      </c>
      <c r="AK27" s="14" t="e">
        <f t="shared" si="37"/>
        <v>#VALUE!</v>
      </c>
      <c r="AL27" s="14" t="e">
        <f t="shared" si="37"/>
        <v>#VALUE!</v>
      </c>
      <c r="AM27" s="15" t="e">
        <f t="shared" si="37"/>
        <v>#VALUE!</v>
      </c>
      <c r="AN27" s="16" t="e">
        <f t="shared" si="37"/>
        <v>#VALUE!</v>
      </c>
      <c r="AO27" s="13" t="e">
        <f t="shared" si="37"/>
        <v>#VALUE!</v>
      </c>
      <c r="AP27" s="14" t="e">
        <f t="shared" si="37"/>
        <v>#VALUE!</v>
      </c>
      <c r="AQ27" s="14" t="e">
        <f t="shared" si="37"/>
        <v>#VALUE!</v>
      </c>
      <c r="AR27" s="14" t="e">
        <f t="shared" si="37"/>
        <v>#VALUE!</v>
      </c>
      <c r="AS27" s="14" t="e">
        <f t="shared" si="37"/>
        <v>#VALUE!</v>
      </c>
      <c r="AT27" s="15" t="e">
        <f t="shared" si="37"/>
        <v>#VALUE!</v>
      </c>
      <c r="AU27" s="16" t="e">
        <f t="shared" si="37"/>
        <v>#VALUE!</v>
      </c>
      <c r="AV27" s="13" t="e">
        <f t="shared" si="37"/>
        <v>#VALUE!</v>
      </c>
      <c r="AW27" s="14" t="e">
        <f t="shared" si="37"/>
        <v>#VALUE!</v>
      </c>
      <c r="AX27" s="14" t="e">
        <f t="shared" si="37"/>
        <v>#VALUE!</v>
      </c>
      <c r="AY27" s="14" t="e">
        <f t="shared" si="37"/>
        <v>#VALUE!</v>
      </c>
      <c r="AZ27" s="14" t="e">
        <f t="shared" si="37"/>
        <v>#VALUE!</v>
      </c>
      <c r="BA27" s="15" t="e">
        <f t="shared" si="37"/>
        <v>#VALUE!</v>
      </c>
      <c r="BB27" s="16" t="e">
        <f t="shared" si="37"/>
        <v>#VALUE!</v>
      </c>
      <c r="BC27" s="13" t="e">
        <f t="shared" si="37"/>
        <v>#VALUE!</v>
      </c>
      <c r="BD27" s="14" t="e">
        <f t="shared" si="37"/>
        <v>#VALUE!</v>
      </c>
      <c r="BE27" s="14" t="e">
        <f t="shared" si="37"/>
        <v>#VALUE!</v>
      </c>
      <c r="BF27" s="14" t="e">
        <f t="shared" si="37"/>
        <v>#VALUE!</v>
      </c>
      <c r="BG27" s="14" t="e">
        <f t="shared" si="37"/>
        <v>#VALUE!</v>
      </c>
      <c r="BH27" s="15" t="e">
        <f t="shared" si="37"/>
        <v>#VALUE!</v>
      </c>
      <c r="BI27" s="16" t="e">
        <f t="shared" si="37"/>
        <v>#VALUE!</v>
      </c>
      <c r="BJ27" s="13" t="e">
        <f t="shared" si="37"/>
        <v>#VALUE!</v>
      </c>
      <c r="BK27" s="14" t="e">
        <f t="shared" si="37"/>
        <v>#VALUE!</v>
      </c>
      <c r="BL27" s="14" t="e">
        <f t="shared" si="37"/>
        <v>#VALUE!</v>
      </c>
      <c r="BM27" s="14" t="e">
        <f t="shared" si="37"/>
        <v>#VALUE!</v>
      </c>
      <c r="BN27" s="14" t="e">
        <f t="shared" si="37"/>
        <v>#VALUE!</v>
      </c>
      <c r="BO27" s="15" t="e">
        <f t="shared" si="37"/>
        <v>#VALUE!</v>
      </c>
      <c r="BP27" s="16" t="e">
        <f t="shared" si="37"/>
        <v>#VALUE!</v>
      </c>
      <c r="BQ27" s="13" t="e">
        <f t="shared" si="37"/>
        <v>#VALUE!</v>
      </c>
      <c r="BR27" s="14" t="e">
        <f t="shared" ref="BR27:DT27" si="38">IF(AND(BR$5&gt;=$C$11,BR$5&lt;=$E$15-1),1,"")</f>
        <v>#VALUE!</v>
      </c>
      <c r="BS27" s="14" t="e">
        <f t="shared" si="38"/>
        <v>#VALUE!</v>
      </c>
      <c r="BT27" s="14" t="e">
        <f t="shared" si="38"/>
        <v>#VALUE!</v>
      </c>
      <c r="BU27" s="14" t="e">
        <f t="shared" si="38"/>
        <v>#VALUE!</v>
      </c>
      <c r="BV27" s="15" t="e">
        <f t="shared" si="38"/>
        <v>#VALUE!</v>
      </c>
      <c r="BW27" s="16" t="e">
        <f t="shared" si="38"/>
        <v>#VALUE!</v>
      </c>
      <c r="BX27" s="13" t="e">
        <f t="shared" si="38"/>
        <v>#VALUE!</v>
      </c>
      <c r="BY27" s="14" t="e">
        <f t="shared" si="38"/>
        <v>#VALUE!</v>
      </c>
      <c r="BZ27" s="14" t="e">
        <f t="shared" si="38"/>
        <v>#VALUE!</v>
      </c>
      <c r="CA27" s="14" t="e">
        <f t="shared" si="38"/>
        <v>#VALUE!</v>
      </c>
      <c r="CB27" s="14" t="e">
        <f t="shared" si="38"/>
        <v>#VALUE!</v>
      </c>
      <c r="CC27" s="15" t="e">
        <f t="shared" si="38"/>
        <v>#VALUE!</v>
      </c>
      <c r="CD27" s="16" t="e">
        <f t="shared" si="38"/>
        <v>#VALUE!</v>
      </c>
      <c r="CE27" s="13" t="e">
        <f t="shared" si="38"/>
        <v>#VALUE!</v>
      </c>
      <c r="CF27" s="14" t="e">
        <f t="shared" si="38"/>
        <v>#VALUE!</v>
      </c>
      <c r="CG27" s="14" t="e">
        <f t="shared" si="38"/>
        <v>#VALUE!</v>
      </c>
      <c r="CH27" s="14" t="e">
        <f t="shared" si="38"/>
        <v>#VALUE!</v>
      </c>
      <c r="CI27" s="14" t="e">
        <f t="shared" si="38"/>
        <v>#VALUE!</v>
      </c>
      <c r="CJ27" s="15" t="e">
        <f t="shared" si="38"/>
        <v>#VALUE!</v>
      </c>
      <c r="CK27" s="16" t="e">
        <f t="shared" si="38"/>
        <v>#VALUE!</v>
      </c>
      <c r="CL27" s="13" t="e">
        <f t="shared" si="38"/>
        <v>#VALUE!</v>
      </c>
      <c r="CM27" s="14" t="e">
        <f t="shared" si="38"/>
        <v>#VALUE!</v>
      </c>
      <c r="CN27" s="14" t="e">
        <f t="shared" si="38"/>
        <v>#VALUE!</v>
      </c>
      <c r="CO27" s="14" t="e">
        <f t="shared" si="38"/>
        <v>#VALUE!</v>
      </c>
      <c r="CP27" s="14" t="e">
        <f t="shared" si="38"/>
        <v>#VALUE!</v>
      </c>
      <c r="CQ27" s="15" t="e">
        <f t="shared" si="38"/>
        <v>#VALUE!</v>
      </c>
      <c r="CR27" s="16" t="e">
        <f t="shared" si="38"/>
        <v>#VALUE!</v>
      </c>
      <c r="CS27" s="13" t="e">
        <f t="shared" si="38"/>
        <v>#VALUE!</v>
      </c>
      <c r="CT27" s="14" t="e">
        <f t="shared" si="38"/>
        <v>#VALUE!</v>
      </c>
      <c r="CU27" s="14" t="e">
        <f t="shared" si="38"/>
        <v>#VALUE!</v>
      </c>
      <c r="CV27" s="14" t="e">
        <f t="shared" si="38"/>
        <v>#VALUE!</v>
      </c>
      <c r="CW27" s="14" t="e">
        <f t="shared" si="38"/>
        <v>#VALUE!</v>
      </c>
      <c r="CX27" s="15" t="e">
        <f t="shared" si="38"/>
        <v>#VALUE!</v>
      </c>
      <c r="CY27" s="16" t="e">
        <f t="shared" si="38"/>
        <v>#VALUE!</v>
      </c>
      <c r="CZ27" s="13" t="e">
        <f t="shared" si="38"/>
        <v>#VALUE!</v>
      </c>
      <c r="DA27" s="14" t="e">
        <f t="shared" si="38"/>
        <v>#VALUE!</v>
      </c>
      <c r="DB27" s="14" t="e">
        <f t="shared" si="38"/>
        <v>#VALUE!</v>
      </c>
      <c r="DC27" s="14" t="e">
        <f t="shared" si="38"/>
        <v>#VALUE!</v>
      </c>
      <c r="DD27" s="14" t="e">
        <f t="shared" si="38"/>
        <v>#VALUE!</v>
      </c>
      <c r="DE27" s="15" t="e">
        <f t="shared" si="38"/>
        <v>#VALUE!</v>
      </c>
      <c r="DF27" s="16" t="e">
        <f t="shared" si="38"/>
        <v>#VALUE!</v>
      </c>
      <c r="DG27" s="13" t="e">
        <f t="shared" si="38"/>
        <v>#VALUE!</v>
      </c>
      <c r="DH27" s="14" t="e">
        <f t="shared" si="38"/>
        <v>#VALUE!</v>
      </c>
      <c r="DI27" s="14" t="e">
        <f t="shared" si="38"/>
        <v>#VALUE!</v>
      </c>
      <c r="DJ27" s="14" t="e">
        <f t="shared" si="38"/>
        <v>#VALUE!</v>
      </c>
      <c r="DK27" s="14" t="e">
        <f t="shared" si="38"/>
        <v>#VALUE!</v>
      </c>
      <c r="DL27" s="15" t="e">
        <f t="shared" si="38"/>
        <v>#VALUE!</v>
      </c>
      <c r="DM27" s="16" t="e">
        <f t="shared" si="38"/>
        <v>#VALUE!</v>
      </c>
      <c r="DN27" s="13" t="e">
        <f t="shared" si="38"/>
        <v>#VALUE!</v>
      </c>
      <c r="DO27" s="14" t="e">
        <f t="shared" si="38"/>
        <v>#VALUE!</v>
      </c>
      <c r="DP27" s="14" t="e">
        <f t="shared" si="38"/>
        <v>#VALUE!</v>
      </c>
      <c r="DQ27" s="14" t="e">
        <f t="shared" si="38"/>
        <v>#VALUE!</v>
      </c>
      <c r="DR27" s="14" t="e">
        <f t="shared" si="38"/>
        <v>#VALUE!</v>
      </c>
      <c r="DS27" s="15" t="e">
        <f t="shared" si="38"/>
        <v>#VALUE!</v>
      </c>
      <c r="DT27" s="16" t="e">
        <f t="shared" si="38"/>
        <v>#VALUE!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97" t="s">
        <v>56</v>
      </c>
      <c r="B29" s="597"/>
      <c r="C29" s="598" t="e">
        <f>C15-C12+2</f>
        <v>#VALUE!</v>
      </c>
      <c r="D29" s="598"/>
      <c r="E29" s="599"/>
      <c r="F29" s="14" t="e">
        <f t="shared" ref="F29:AM29" si="39">IF(AND(F$5&gt;=$E$11,F$5&lt;=$E$15),1,"")</f>
        <v>#VALUE!</v>
      </c>
      <c r="G29" s="14" t="e">
        <f t="shared" si="39"/>
        <v>#VALUE!</v>
      </c>
      <c r="H29" s="14" t="e">
        <f t="shared" si="39"/>
        <v>#VALUE!</v>
      </c>
      <c r="I29" s="14" t="e">
        <f t="shared" si="39"/>
        <v>#VALUE!</v>
      </c>
      <c r="J29" s="14" t="e">
        <f t="shared" si="39"/>
        <v>#VALUE!</v>
      </c>
      <c r="K29" s="15" t="e">
        <f t="shared" si="39"/>
        <v>#VALUE!</v>
      </c>
      <c r="L29" s="16" t="e">
        <f t="shared" si="39"/>
        <v>#VALUE!</v>
      </c>
      <c r="M29" s="13" t="e">
        <f t="shared" si="39"/>
        <v>#VALUE!</v>
      </c>
      <c r="N29" s="14" t="e">
        <f t="shared" si="39"/>
        <v>#VALUE!</v>
      </c>
      <c r="O29" s="14" t="e">
        <f t="shared" si="39"/>
        <v>#VALUE!</v>
      </c>
      <c r="P29" s="14" t="e">
        <f t="shared" si="39"/>
        <v>#VALUE!</v>
      </c>
      <c r="Q29" s="14" t="e">
        <f t="shared" si="39"/>
        <v>#VALUE!</v>
      </c>
      <c r="R29" s="15" t="e">
        <f t="shared" si="39"/>
        <v>#VALUE!</v>
      </c>
      <c r="S29" s="16" t="e">
        <f t="shared" si="39"/>
        <v>#VALUE!</v>
      </c>
      <c r="T29" s="13" t="e">
        <f t="shared" si="39"/>
        <v>#VALUE!</v>
      </c>
      <c r="U29" s="14" t="e">
        <f t="shared" si="39"/>
        <v>#VALUE!</v>
      </c>
      <c r="V29" s="14" t="e">
        <f t="shared" si="39"/>
        <v>#VALUE!</v>
      </c>
      <c r="W29" s="14" t="e">
        <f t="shared" si="39"/>
        <v>#VALUE!</v>
      </c>
      <c r="X29" s="14" t="e">
        <f t="shared" si="39"/>
        <v>#VALUE!</v>
      </c>
      <c r="Y29" s="15" t="e">
        <f t="shared" si="39"/>
        <v>#VALUE!</v>
      </c>
      <c r="Z29" s="16" t="e">
        <f t="shared" si="39"/>
        <v>#VALUE!</v>
      </c>
      <c r="AA29" s="13" t="e">
        <f t="shared" si="39"/>
        <v>#VALUE!</v>
      </c>
      <c r="AB29" s="14" t="e">
        <f t="shared" si="39"/>
        <v>#VALUE!</v>
      </c>
      <c r="AC29" s="14" t="e">
        <f t="shared" si="39"/>
        <v>#VALUE!</v>
      </c>
      <c r="AD29" s="14" t="e">
        <f t="shared" si="39"/>
        <v>#VALUE!</v>
      </c>
      <c r="AE29" s="14" t="e">
        <f t="shared" si="39"/>
        <v>#VALUE!</v>
      </c>
      <c r="AF29" s="15" t="e">
        <f t="shared" si="39"/>
        <v>#VALUE!</v>
      </c>
      <c r="AG29" s="16" t="e">
        <f t="shared" si="39"/>
        <v>#VALUE!</v>
      </c>
      <c r="AH29" s="13" t="e">
        <f t="shared" si="39"/>
        <v>#VALUE!</v>
      </c>
      <c r="AI29" s="14" t="e">
        <f t="shared" si="39"/>
        <v>#VALUE!</v>
      </c>
      <c r="AJ29" s="14" t="e">
        <f t="shared" si="39"/>
        <v>#VALUE!</v>
      </c>
      <c r="AK29" s="14" t="e">
        <f t="shared" si="39"/>
        <v>#VALUE!</v>
      </c>
      <c r="AL29" s="14" t="e">
        <f t="shared" si="39"/>
        <v>#VALUE!</v>
      </c>
      <c r="AM29" s="15" t="e">
        <f t="shared" si="39"/>
        <v>#VALUE!</v>
      </c>
      <c r="AN29" s="16" t="e">
        <f>IF(AND(AN$5&gt;=$E$11,AN$5&lt;=$E$15),1,"")</f>
        <v>#VALUE!</v>
      </c>
      <c r="AO29" s="13" t="e">
        <f t="shared" ref="AO29:CZ29" si="40">IF(AND(AO$5&gt;=$E$11,AO$5&lt;=$E$15),1,"")</f>
        <v>#VALUE!</v>
      </c>
      <c r="AP29" s="14" t="e">
        <f t="shared" si="40"/>
        <v>#VALUE!</v>
      </c>
      <c r="AQ29" s="14" t="e">
        <f t="shared" si="40"/>
        <v>#VALUE!</v>
      </c>
      <c r="AR29" s="14" t="e">
        <f t="shared" si="40"/>
        <v>#VALUE!</v>
      </c>
      <c r="AS29" s="14" t="e">
        <f t="shared" si="40"/>
        <v>#VALUE!</v>
      </c>
      <c r="AT29" s="15" t="e">
        <f t="shared" si="40"/>
        <v>#VALUE!</v>
      </c>
      <c r="AU29" s="16" t="e">
        <f t="shared" si="40"/>
        <v>#VALUE!</v>
      </c>
      <c r="AV29" s="13" t="e">
        <f t="shared" si="40"/>
        <v>#VALUE!</v>
      </c>
      <c r="AW29" s="14" t="e">
        <f t="shared" si="40"/>
        <v>#VALUE!</v>
      </c>
      <c r="AX29" s="14" t="e">
        <f t="shared" si="40"/>
        <v>#VALUE!</v>
      </c>
      <c r="AY29" s="14" t="e">
        <f t="shared" si="40"/>
        <v>#VALUE!</v>
      </c>
      <c r="AZ29" s="14" t="e">
        <f t="shared" si="40"/>
        <v>#VALUE!</v>
      </c>
      <c r="BA29" s="15" t="e">
        <f t="shared" si="40"/>
        <v>#VALUE!</v>
      </c>
      <c r="BB29" s="16" t="e">
        <f t="shared" si="40"/>
        <v>#VALUE!</v>
      </c>
      <c r="BC29" s="13" t="e">
        <f t="shared" si="40"/>
        <v>#VALUE!</v>
      </c>
      <c r="BD29" s="14" t="e">
        <f t="shared" si="40"/>
        <v>#VALUE!</v>
      </c>
      <c r="BE29" s="14" t="e">
        <f t="shared" si="40"/>
        <v>#VALUE!</v>
      </c>
      <c r="BF29" s="14" t="e">
        <f t="shared" si="40"/>
        <v>#VALUE!</v>
      </c>
      <c r="BG29" s="14" t="e">
        <f t="shared" si="40"/>
        <v>#VALUE!</v>
      </c>
      <c r="BH29" s="15" t="e">
        <f t="shared" si="40"/>
        <v>#VALUE!</v>
      </c>
      <c r="BI29" s="16" t="e">
        <f t="shared" si="40"/>
        <v>#VALUE!</v>
      </c>
      <c r="BJ29" s="13" t="e">
        <f t="shared" si="40"/>
        <v>#VALUE!</v>
      </c>
      <c r="BK29" s="14" t="e">
        <f t="shared" si="40"/>
        <v>#VALUE!</v>
      </c>
      <c r="BL29" s="14" t="e">
        <f t="shared" si="40"/>
        <v>#VALUE!</v>
      </c>
      <c r="BM29" s="14" t="e">
        <f t="shared" si="40"/>
        <v>#VALUE!</v>
      </c>
      <c r="BN29" s="14" t="e">
        <f t="shared" si="40"/>
        <v>#VALUE!</v>
      </c>
      <c r="BO29" s="15" t="e">
        <f t="shared" si="40"/>
        <v>#VALUE!</v>
      </c>
      <c r="BP29" s="16" t="e">
        <f t="shared" si="40"/>
        <v>#VALUE!</v>
      </c>
      <c r="BQ29" s="13" t="e">
        <f t="shared" si="40"/>
        <v>#VALUE!</v>
      </c>
      <c r="BR29" s="14" t="e">
        <f t="shared" si="40"/>
        <v>#VALUE!</v>
      </c>
      <c r="BS29" s="14" t="e">
        <f t="shared" si="40"/>
        <v>#VALUE!</v>
      </c>
      <c r="BT29" s="14" t="e">
        <f t="shared" si="40"/>
        <v>#VALUE!</v>
      </c>
      <c r="BU29" s="14" t="e">
        <f t="shared" si="40"/>
        <v>#VALUE!</v>
      </c>
      <c r="BV29" s="15" t="e">
        <f t="shared" si="40"/>
        <v>#VALUE!</v>
      </c>
      <c r="BW29" s="16" t="e">
        <f t="shared" si="40"/>
        <v>#VALUE!</v>
      </c>
      <c r="BX29" s="13" t="e">
        <f t="shared" si="40"/>
        <v>#VALUE!</v>
      </c>
      <c r="BY29" s="14" t="e">
        <f t="shared" si="40"/>
        <v>#VALUE!</v>
      </c>
      <c r="BZ29" s="14" t="e">
        <f t="shared" si="40"/>
        <v>#VALUE!</v>
      </c>
      <c r="CA29" s="14" t="e">
        <f t="shared" si="40"/>
        <v>#VALUE!</v>
      </c>
      <c r="CB29" s="14" t="e">
        <f t="shared" si="40"/>
        <v>#VALUE!</v>
      </c>
      <c r="CC29" s="15" t="e">
        <f t="shared" si="40"/>
        <v>#VALUE!</v>
      </c>
      <c r="CD29" s="16" t="e">
        <f t="shared" si="40"/>
        <v>#VALUE!</v>
      </c>
      <c r="CE29" s="13" t="e">
        <f t="shared" si="40"/>
        <v>#VALUE!</v>
      </c>
      <c r="CF29" s="14" t="e">
        <f t="shared" si="40"/>
        <v>#VALUE!</v>
      </c>
      <c r="CG29" s="14" t="e">
        <f t="shared" si="40"/>
        <v>#VALUE!</v>
      </c>
      <c r="CH29" s="14" t="e">
        <f t="shared" si="40"/>
        <v>#VALUE!</v>
      </c>
      <c r="CI29" s="14" t="e">
        <f t="shared" si="40"/>
        <v>#VALUE!</v>
      </c>
      <c r="CJ29" s="15" t="e">
        <f t="shared" si="40"/>
        <v>#VALUE!</v>
      </c>
      <c r="CK29" s="16" t="e">
        <f t="shared" si="40"/>
        <v>#VALUE!</v>
      </c>
      <c r="CL29" s="13" t="e">
        <f t="shared" si="40"/>
        <v>#VALUE!</v>
      </c>
      <c r="CM29" s="14" t="e">
        <f t="shared" si="40"/>
        <v>#VALUE!</v>
      </c>
      <c r="CN29" s="14" t="e">
        <f t="shared" si="40"/>
        <v>#VALUE!</v>
      </c>
      <c r="CO29" s="14" t="e">
        <f t="shared" si="40"/>
        <v>#VALUE!</v>
      </c>
      <c r="CP29" s="14" t="e">
        <f t="shared" si="40"/>
        <v>#VALUE!</v>
      </c>
      <c r="CQ29" s="15" t="e">
        <f t="shared" si="40"/>
        <v>#VALUE!</v>
      </c>
      <c r="CR29" s="16" t="e">
        <f t="shared" si="40"/>
        <v>#VALUE!</v>
      </c>
      <c r="CS29" s="13" t="e">
        <f t="shared" si="40"/>
        <v>#VALUE!</v>
      </c>
      <c r="CT29" s="14" t="e">
        <f t="shared" si="40"/>
        <v>#VALUE!</v>
      </c>
      <c r="CU29" s="14" t="e">
        <f t="shared" si="40"/>
        <v>#VALUE!</v>
      </c>
      <c r="CV29" s="14" t="e">
        <f t="shared" si="40"/>
        <v>#VALUE!</v>
      </c>
      <c r="CW29" s="14" t="e">
        <f t="shared" si="40"/>
        <v>#VALUE!</v>
      </c>
      <c r="CX29" s="15" t="e">
        <f t="shared" si="40"/>
        <v>#VALUE!</v>
      </c>
      <c r="CY29" s="16" t="e">
        <f t="shared" si="40"/>
        <v>#VALUE!</v>
      </c>
      <c r="CZ29" s="13" t="e">
        <f t="shared" si="40"/>
        <v>#VALUE!</v>
      </c>
      <c r="DA29" s="14" t="e">
        <f t="shared" ref="DA29:DT29" si="41">IF(AND(DA$5&gt;=$E$11,DA$5&lt;=$E$15),1,"")</f>
        <v>#VALUE!</v>
      </c>
      <c r="DB29" s="14" t="e">
        <f t="shared" si="41"/>
        <v>#VALUE!</v>
      </c>
      <c r="DC29" s="14" t="e">
        <f t="shared" si="41"/>
        <v>#VALUE!</v>
      </c>
      <c r="DD29" s="14" t="e">
        <f t="shared" si="41"/>
        <v>#VALUE!</v>
      </c>
      <c r="DE29" s="15" t="e">
        <f t="shared" si="41"/>
        <v>#VALUE!</v>
      </c>
      <c r="DF29" s="16" t="e">
        <f t="shared" si="41"/>
        <v>#VALUE!</v>
      </c>
      <c r="DG29" s="13" t="e">
        <f t="shared" si="41"/>
        <v>#VALUE!</v>
      </c>
      <c r="DH29" s="14" t="e">
        <f t="shared" si="41"/>
        <v>#VALUE!</v>
      </c>
      <c r="DI29" s="14" t="e">
        <f t="shared" si="41"/>
        <v>#VALUE!</v>
      </c>
      <c r="DJ29" s="14" t="e">
        <f t="shared" si="41"/>
        <v>#VALUE!</v>
      </c>
      <c r="DK29" s="14" t="e">
        <f t="shared" si="41"/>
        <v>#VALUE!</v>
      </c>
      <c r="DL29" s="15" t="e">
        <f t="shared" si="41"/>
        <v>#VALUE!</v>
      </c>
      <c r="DM29" s="16" t="e">
        <f t="shared" si="41"/>
        <v>#VALUE!</v>
      </c>
      <c r="DN29" s="13" t="e">
        <f t="shared" si="41"/>
        <v>#VALUE!</v>
      </c>
      <c r="DO29" s="14" t="e">
        <f t="shared" si="41"/>
        <v>#VALUE!</v>
      </c>
      <c r="DP29" s="14" t="e">
        <f t="shared" si="41"/>
        <v>#VALUE!</v>
      </c>
      <c r="DQ29" s="14" t="e">
        <f t="shared" si="41"/>
        <v>#VALUE!</v>
      </c>
      <c r="DR29" s="14" t="e">
        <f t="shared" si="41"/>
        <v>#VALUE!</v>
      </c>
      <c r="DS29" s="15" t="e">
        <f t="shared" si="41"/>
        <v>#VALUE!</v>
      </c>
      <c r="DT29" s="16" t="e">
        <f t="shared" si="41"/>
        <v>#VALUE!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600" t="s">
        <v>57</v>
      </c>
      <c r="B31" s="600"/>
      <c r="C31" s="601" t="e">
        <f>E17-C16+1</f>
        <v>#VALUE!</v>
      </c>
      <c r="D31" s="601"/>
      <c r="E31" s="602"/>
      <c r="F31" s="14" t="e">
        <f t="shared" ref="F31:AJ31" si="42">IF(AND(F$5&gt;=$C$16,F$5&lt;=$E$17),1,"")</f>
        <v>#VALUE!</v>
      </c>
      <c r="G31" s="14" t="e">
        <f t="shared" si="42"/>
        <v>#VALUE!</v>
      </c>
      <c r="H31" s="14" t="e">
        <f t="shared" si="42"/>
        <v>#VALUE!</v>
      </c>
      <c r="I31" s="14" t="e">
        <f t="shared" si="42"/>
        <v>#VALUE!</v>
      </c>
      <c r="J31" s="14" t="e">
        <f t="shared" si="42"/>
        <v>#VALUE!</v>
      </c>
      <c r="K31" s="15" t="e">
        <f t="shared" si="42"/>
        <v>#VALUE!</v>
      </c>
      <c r="L31" s="16" t="e">
        <f t="shared" si="42"/>
        <v>#VALUE!</v>
      </c>
      <c r="M31" s="13" t="e">
        <f t="shared" si="42"/>
        <v>#VALUE!</v>
      </c>
      <c r="N31" s="14" t="e">
        <f t="shared" si="42"/>
        <v>#VALUE!</v>
      </c>
      <c r="O31" s="14" t="e">
        <f t="shared" si="42"/>
        <v>#VALUE!</v>
      </c>
      <c r="P31" s="14" t="e">
        <f t="shared" si="42"/>
        <v>#VALUE!</v>
      </c>
      <c r="Q31" s="14" t="e">
        <f t="shared" si="42"/>
        <v>#VALUE!</v>
      </c>
      <c r="R31" s="15" t="e">
        <f t="shared" si="42"/>
        <v>#VALUE!</v>
      </c>
      <c r="S31" s="16" t="e">
        <f t="shared" si="42"/>
        <v>#VALUE!</v>
      </c>
      <c r="T31" s="13" t="e">
        <f t="shared" si="42"/>
        <v>#VALUE!</v>
      </c>
      <c r="U31" s="14" t="e">
        <f t="shared" si="42"/>
        <v>#VALUE!</v>
      </c>
      <c r="V31" s="14" t="e">
        <f t="shared" si="42"/>
        <v>#VALUE!</v>
      </c>
      <c r="W31" s="14" t="e">
        <f t="shared" si="42"/>
        <v>#VALUE!</v>
      </c>
      <c r="X31" s="14" t="e">
        <f t="shared" si="42"/>
        <v>#VALUE!</v>
      </c>
      <c r="Y31" s="15" t="e">
        <f t="shared" si="42"/>
        <v>#VALUE!</v>
      </c>
      <c r="Z31" s="16" t="e">
        <f t="shared" si="42"/>
        <v>#VALUE!</v>
      </c>
      <c r="AA31" s="13" t="e">
        <f t="shared" si="42"/>
        <v>#VALUE!</v>
      </c>
      <c r="AB31" s="14" t="e">
        <f t="shared" si="42"/>
        <v>#VALUE!</v>
      </c>
      <c r="AC31" s="14" t="e">
        <f t="shared" si="42"/>
        <v>#VALUE!</v>
      </c>
      <c r="AD31" s="14" t="e">
        <f t="shared" si="42"/>
        <v>#VALUE!</v>
      </c>
      <c r="AE31" s="14" t="e">
        <f t="shared" si="42"/>
        <v>#VALUE!</v>
      </c>
      <c r="AF31" s="15" t="e">
        <f t="shared" si="42"/>
        <v>#VALUE!</v>
      </c>
      <c r="AG31" s="16" t="e">
        <f t="shared" si="42"/>
        <v>#VALUE!</v>
      </c>
      <c r="AH31" s="13" t="e">
        <f t="shared" si="42"/>
        <v>#VALUE!</v>
      </c>
      <c r="AI31" s="14" t="e">
        <f t="shared" si="42"/>
        <v>#VALUE!</v>
      </c>
      <c r="AJ31" s="14" t="e">
        <f t="shared" si="42"/>
        <v>#VALUE!</v>
      </c>
      <c r="AK31" s="14" t="e">
        <f>IF(AND(AK$5&gt;=$C$16,AK$5&lt;=$E$17),1,"")</f>
        <v>#VALUE!</v>
      </c>
      <c r="AL31" s="14" t="e">
        <f t="shared" ref="AL31:CW31" si="43">IF(AND(AL$5&gt;=$C$16,AL$5&lt;=$E$17),1,"")</f>
        <v>#VALUE!</v>
      </c>
      <c r="AM31" s="15" t="e">
        <f t="shared" si="43"/>
        <v>#VALUE!</v>
      </c>
      <c r="AN31" s="16" t="e">
        <f t="shared" si="43"/>
        <v>#VALUE!</v>
      </c>
      <c r="AO31" s="13" t="e">
        <f t="shared" si="43"/>
        <v>#VALUE!</v>
      </c>
      <c r="AP31" s="14" t="e">
        <f t="shared" si="43"/>
        <v>#VALUE!</v>
      </c>
      <c r="AQ31" s="14" t="e">
        <f t="shared" si="43"/>
        <v>#VALUE!</v>
      </c>
      <c r="AR31" s="14" t="e">
        <f t="shared" si="43"/>
        <v>#VALUE!</v>
      </c>
      <c r="AS31" s="14" t="e">
        <f t="shared" si="43"/>
        <v>#VALUE!</v>
      </c>
      <c r="AT31" s="15" t="e">
        <f t="shared" si="43"/>
        <v>#VALUE!</v>
      </c>
      <c r="AU31" s="16" t="e">
        <f t="shared" si="43"/>
        <v>#VALUE!</v>
      </c>
      <c r="AV31" s="13" t="e">
        <f t="shared" si="43"/>
        <v>#VALUE!</v>
      </c>
      <c r="AW31" s="14" t="e">
        <f t="shared" si="43"/>
        <v>#VALUE!</v>
      </c>
      <c r="AX31" s="14" t="e">
        <f t="shared" si="43"/>
        <v>#VALUE!</v>
      </c>
      <c r="AY31" s="14" t="e">
        <f t="shared" si="43"/>
        <v>#VALUE!</v>
      </c>
      <c r="AZ31" s="14" t="e">
        <f t="shared" si="43"/>
        <v>#VALUE!</v>
      </c>
      <c r="BA31" s="15" t="e">
        <f t="shared" si="43"/>
        <v>#VALUE!</v>
      </c>
      <c r="BB31" s="16" t="e">
        <f t="shared" si="43"/>
        <v>#VALUE!</v>
      </c>
      <c r="BC31" s="13" t="e">
        <f t="shared" si="43"/>
        <v>#VALUE!</v>
      </c>
      <c r="BD31" s="14" t="e">
        <f t="shared" si="43"/>
        <v>#VALUE!</v>
      </c>
      <c r="BE31" s="14" t="e">
        <f t="shared" si="43"/>
        <v>#VALUE!</v>
      </c>
      <c r="BF31" s="14" t="e">
        <f t="shared" si="43"/>
        <v>#VALUE!</v>
      </c>
      <c r="BG31" s="14" t="e">
        <f t="shared" si="43"/>
        <v>#VALUE!</v>
      </c>
      <c r="BH31" s="15" t="e">
        <f t="shared" si="43"/>
        <v>#VALUE!</v>
      </c>
      <c r="BI31" s="16" t="e">
        <f t="shared" si="43"/>
        <v>#VALUE!</v>
      </c>
      <c r="BJ31" s="13" t="e">
        <f t="shared" si="43"/>
        <v>#VALUE!</v>
      </c>
      <c r="BK31" s="14" t="e">
        <f t="shared" si="43"/>
        <v>#VALUE!</v>
      </c>
      <c r="BL31" s="14" t="e">
        <f t="shared" si="43"/>
        <v>#VALUE!</v>
      </c>
      <c r="BM31" s="14" t="e">
        <f t="shared" si="43"/>
        <v>#VALUE!</v>
      </c>
      <c r="BN31" s="14" t="e">
        <f t="shared" si="43"/>
        <v>#VALUE!</v>
      </c>
      <c r="BO31" s="15" t="e">
        <f t="shared" si="43"/>
        <v>#VALUE!</v>
      </c>
      <c r="BP31" s="16" t="e">
        <f t="shared" si="43"/>
        <v>#VALUE!</v>
      </c>
      <c r="BQ31" s="13" t="e">
        <f t="shared" si="43"/>
        <v>#VALUE!</v>
      </c>
      <c r="BR31" s="14" t="e">
        <f t="shared" si="43"/>
        <v>#VALUE!</v>
      </c>
      <c r="BS31" s="14" t="e">
        <f t="shared" si="43"/>
        <v>#VALUE!</v>
      </c>
      <c r="BT31" s="14" t="e">
        <f t="shared" si="43"/>
        <v>#VALUE!</v>
      </c>
      <c r="BU31" s="14" t="e">
        <f t="shared" si="43"/>
        <v>#VALUE!</v>
      </c>
      <c r="BV31" s="15" t="e">
        <f t="shared" si="43"/>
        <v>#VALUE!</v>
      </c>
      <c r="BW31" s="16" t="e">
        <f t="shared" si="43"/>
        <v>#VALUE!</v>
      </c>
      <c r="BX31" s="13" t="e">
        <f t="shared" si="43"/>
        <v>#VALUE!</v>
      </c>
      <c r="BY31" s="14" t="e">
        <f t="shared" si="43"/>
        <v>#VALUE!</v>
      </c>
      <c r="BZ31" s="14" t="e">
        <f t="shared" si="43"/>
        <v>#VALUE!</v>
      </c>
      <c r="CA31" s="14" t="e">
        <f t="shared" si="43"/>
        <v>#VALUE!</v>
      </c>
      <c r="CB31" s="14" t="e">
        <f t="shared" si="43"/>
        <v>#VALUE!</v>
      </c>
      <c r="CC31" s="15" t="e">
        <f t="shared" si="43"/>
        <v>#VALUE!</v>
      </c>
      <c r="CD31" s="16" t="e">
        <f t="shared" si="43"/>
        <v>#VALUE!</v>
      </c>
      <c r="CE31" s="13" t="e">
        <f t="shared" si="43"/>
        <v>#VALUE!</v>
      </c>
      <c r="CF31" s="14" t="e">
        <f t="shared" si="43"/>
        <v>#VALUE!</v>
      </c>
      <c r="CG31" s="14" t="e">
        <f t="shared" si="43"/>
        <v>#VALUE!</v>
      </c>
      <c r="CH31" s="14" t="e">
        <f t="shared" si="43"/>
        <v>#VALUE!</v>
      </c>
      <c r="CI31" s="14" t="e">
        <f t="shared" si="43"/>
        <v>#VALUE!</v>
      </c>
      <c r="CJ31" s="15" t="e">
        <f t="shared" si="43"/>
        <v>#VALUE!</v>
      </c>
      <c r="CK31" s="16" t="e">
        <f t="shared" si="43"/>
        <v>#VALUE!</v>
      </c>
      <c r="CL31" s="13" t="e">
        <f t="shared" si="43"/>
        <v>#VALUE!</v>
      </c>
      <c r="CM31" s="14" t="e">
        <f t="shared" si="43"/>
        <v>#VALUE!</v>
      </c>
      <c r="CN31" s="14" t="e">
        <f t="shared" si="43"/>
        <v>#VALUE!</v>
      </c>
      <c r="CO31" s="14" t="e">
        <f t="shared" si="43"/>
        <v>#VALUE!</v>
      </c>
      <c r="CP31" s="14" t="e">
        <f t="shared" si="43"/>
        <v>#VALUE!</v>
      </c>
      <c r="CQ31" s="15" t="e">
        <f t="shared" si="43"/>
        <v>#VALUE!</v>
      </c>
      <c r="CR31" s="16" t="e">
        <f t="shared" si="43"/>
        <v>#VALUE!</v>
      </c>
      <c r="CS31" s="13" t="e">
        <f t="shared" si="43"/>
        <v>#VALUE!</v>
      </c>
      <c r="CT31" s="14" t="e">
        <f t="shared" si="43"/>
        <v>#VALUE!</v>
      </c>
      <c r="CU31" s="14" t="e">
        <f t="shared" si="43"/>
        <v>#VALUE!</v>
      </c>
      <c r="CV31" s="14" t="e">
        <f t="shared" si="43"/>
        <v>#VALUE!</v>
      </c>
      <c r="CW31" s="14" t="e">
        <f t="shared" si="43"/>
        <v>#VALUE!</v>
      </c>
      <c r="CX31" s="15" t="e">
        <f t="shared" ref="CX31:DT31" si="44">IF(AND(CX$5&gt;=$C$16,CX$5&lt;=$E$17),1,"")</f>
        <v>#VALUE!</v>
      </c>
      <c r="CY31" s="16" t="e">
        <f t="shared" si="44"/>
        <v>#VALUE!</v>
      </c>
      <c r="CZ31" s="13" t="e">
        <f t="shared" si="44"/>
        <v>#VALUE!</v>
      </c>
      <c r="DA31" s="14" t="e">
        <f t="shared" si="44"/>
        <v>#VALUE!</v>
      </c>
      <c r="DB31" s="14" t="e">
        <f t="shared" si="44"/>
        <v>#VALUE!</v>
      </c>
      <c r="DC31" s="14" t="e">
        <f t="shared" si="44"/>
        <v>#VALUE!</v>
      </c>
      <c r="DD31" s="14" t="e">
        <f t="shared" si="44"/>
        <v>#VALUE!</v>
      </c>
      <c r="DE31" s="15" t="e">
        <f t="shared" si="44"/>
        <v>#VALUE!</v>
      </c>
      <c r="DF31" s="16" t="e">
        <f t="shared" si="44"/>
        <v>#VALUE!</v>
      </c>
      <c r="DG31" s="13" t="e">
        <f t="shared" si="44"/>
        <v>#VALUE!</v>
      </c>
      <c r="DH31" s="14" t="e">
        <f t="shared" si="44"/>
        <v>#VALUE!</v>
      </c>
      <c r="DI31" s="14" t="e">
        <f t="shared" si="44"/>
        <v>#VALUE!</v>
      </c>
      <c r="DJ31" s="14" t="e">
        <f t="shared" si="44"/>
        <v>#VALUE!</v>
      </c>
      <c r="DK31" s="14" t="e">
        <f t="shared" si="44"/>
        <v>#VALUE!</v>
      </c>
      <c r="DL31" s="15" t="e">
        <f t="shared" si="44"/>
        <v>#VALUE!</v>
      </c>
      <c r="DM31" s="16" t="e">
        <f t="shared" si="44"/>
        <v>#VALUE!</v>
      </c>
      <c r="DN31" s="13" t="e">
        <f t="shared" si="44"/>
        <v>#VALUE!</v>
      </c>
      <c r="DO31" s="14" t="e">
        <f t="shared" si="44"/>
        <v>#VALUE!</v>
      </c>
      <c r="DP31" s="14" t="e">
        <f t="shared" si="44"/>
        <v>#VALUE!</v>
      </c>
      <c r="DQ31" s="14" t="e">
        <f t="shared" si="44"/>
        <v>#VALUE!</v>
      </c>
      <c r="DR31" s="14" t="e">
        <f t="shared" si="44"/>
        <v>#VALUE!</v>
      </c>
      <c r="DS31" s="15" t="e">
        <f t="shared" si="44"/>
        <v>#VALUE!</v>
      </c>
      <c r="DT31" s="16" t="e">
        <f t="shared" si="44"/>
        <v>#VALUE!</v>
      </c>
    </row>
    <row r="32" spans="1:124" s="17" customFormat="1" ht="2.1" customHeight="1">
      <c r="A32" s="478"/>
      <c r="B32" s="478"/>
      <c r="C32" s="479"/>
      <c r="D32" s="479"/>
      <c r="E32" s="480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603" t="s">
        <v>58</v>
      </c>
      <c r="B33" s="603"/>
      <c r="C33" s="604" t="e">
        <f>E23-C11+1</f>
        <v>#VALUE!</v>
      </c>
      <c r="D33" s="604"/>
      <c r="E33" s="605"/>
      <c r="F33" s="14" t="e">
        <f t="shared" ref="F33:BQ33" si="45">IF(AND(F$5&gt;=$C$11,F$5&lt;=$E$23),1,"")</f>
        <v>#VALUE!</v>
      </c>
      <c r="G33" s="14" t="e">
        <f t="shared" si="45"/>
        <v>#VALUE!</v>
      </c>
      <c r="H33" s="14" t="e">
        <f t="shared" si="45"/>
        <v>#VALUE!</v>
      </c>
      <c r="I33" s="14" t="e">
        <f t="shared" si="45"/>
        <v>#VALUE!</v>
      </c>
      <c r="J33" s="14" t="e">
        <f t="shared" si="45"/>
        <v>#VALUE!</v>
      </c>
      <c r="K33" s="15" t="e">
        <f t="shared" si="45"/>
        <v>#VALUE!</v>
      </c>
      <c r="L33" s="16" t="e">
        <f t="shared" si="45"/>
        <v>#VALUE!</v>
      </c>
      <c r="M33" s="13" t="e">
        <f t="shared" si="45"/>
        <v>#VALUE!</v>
      </c>
      <c r="N33" s="14" t="e">
        <f t="shared" si="45"/>
        <v>#VALUE!</v>
      </c>
      <c r="O33" s="14" t="e">
        <f t="shared" si="45"/>
        <v>#VALUE!</v>
      </c>
      <c r="P33" s="14" t="e">
        <f t="shared" si="45"/>
        <v>#VALUE!</v>
      </c>
      <c r="Q33" s="14" t="e">
        <f t="shared" si="45"/>
        <v>#VALUE!</v>
      </c>
      <c r="R33" s="15" t="e">
        <f t="shared" si="45"/>
        <v>#VALUE!</v>
      </c>
      <c r="S33" s="16" t="e">
        <f t="shared" si="45"/>
        <v>#VALUE!</v>
      </c>
      <c r="T33" s="13" t="e">
        <f t="shared" si="45"/>
        <v>#VALUE!</v>
      </c>
      <c r="U33" s="14" t="e">
        <f t="shared" si="45"/>
        <v>#VALUE!</v>
      </c>
      <c r="V33" s="14" t="e">
        <f t="shared" si="45"/>
        <v>#VALUE!</v>
      </c>
      <c r="W33" s="14" t="e">
        <f t="shared" si="45"/>
        <v>#VALUE!</v>
      </c>
      <c r="X33" s="14" t="e">
        <f t="shared" si="45"/>
        <v>#VALUE!</v>
      </c>
      <c r="Y33" s="15" t="e">
        <f t="shared" si="45"/>
        <v>#VALUE!</v>
      </c>
      <c r="Z33" s="16" t="e">
        <f t="shared" si="45"/>
        <v>#VALUE!</v>
      </c>
      <c r="AA33" s="13" t="e">
        <f t="shared" si="45"/>
        <v>#VALUE!</v>
      </c>
      <c r="AB33" s="14" t="e">
        <f t="shared" si="45"/>
        <v>#VALUE!</v>
      </c>
      <c r="AC33" s="14" t="e">
        <f t="shared" si="45"/>
        <v>#VALUE!</v>
      </c>
      <c r="AD33" s="14" t="e">
        <f t="shared" si="45"/>
        <v>#VALUE!</v>
      </c>
      <c r="AE33" s="14" t="e">
        <f t="shared" si="45"/>
        <v>#VALUE!</v>
      </c>
      <c r="AF33" s="15" t="e">
        <f t="shared" si="45"/>
        <v>#VALUE!</v>
      </c>
      <c r="AG33" s="16" t="e">
        <f t="shared" si="45"/>
        <v>#VALUE!</v>
      </c>
      <c r="AH33" s="13" t="e">
        <f t="shared" si="45"/>
        <v>#VALUE!</v>
      </c>
      <c r="AI33" s="14" t="e">
        <f t="shared" si="45"/>
        <v>#VALUE!</v>
      </c>
      <c r="AJ33" s="14" t="e">
        <f t="shared" si="45"/>
        <v>#VALUE!</v>
      </c>
      <c r="AK33" s="14" t="e">
        <f t="shared" si="45"/>
        <v>#VALUE!</v>
      </c>
      <c r="AL33" s="14" t="e">
        <f t="shared" si="45"/>
        <v>#VALUE!</v>
      </c>
      <c r="AM33" s="15" t="e">
        <f t="shared" si="45"/>
        <v>#VALUE!</v>
      </c>
      <c r="AN33" s="16" t="e">
        <f t="shared" si="45"/>
        <v>#VALUE!</v>
      </c>
      <c r="AO33" s="13" t="e">
        <f t="shared" si="45"/>
        <v>#VALUE!</v>
      </c>
      <c r="AP33" s="14" t="e">
        <f t="shared" si="45"/>
        <v>#VALUE!</v>
      </c>
      <c r="AQ33" s="14" t="e">
        <f t="shared" si="45"/>
        <v>#VALUE!</v>
      </c>
      <c r="AR33" s="14" t="e">
        <f t="shared" si="45"/>
        <v>#VALUE!</v>
      </c>
      <c r="AS33" s="14" t="e">
        <f t="shared" si="45"/>
        <v>#VALUE!</v>
      </c>
      <c r="AT33" s="15" t="e">
        <f t="shared" si="45"/>
        <v>#VALUE!</v>
      </c>
      <c r="AU33" s="16" t="e">
        <f t="shared" si="45"/>
        <v>#VALUE!</v>
      </c>
      <c r="AV33" s="13" t="e">
        <f t="shared" si="45"/>
        <v>#VALUE!</v>
      </c>
      <c r="AW33" s="14" t="e">
        <f t="shared" si="45"/>
        <v>#VALUE!</v>
      </c>
      <c r="AX33" s="14" t="e">
        <f t="shared" si="45"/>
        <v>#VALUE!</v>
      </c>
      <c r="AY33" s="14" t="e">
        <f t="shared" si="45"/>
        <v>#VALUE!</v>
      </c>
      <c r="AZ33" s="14" t="e">
        <f t="shared" si="45"/>
        <v>#VALUE!</v>
      </c>
      <c r="BA33" s="15" t="e">
        <f t="shared" si="45"/>
        <v>#VALUE!</v>
      </c>
      <c r="BB33" s="16" t="e">
        <f t="shared" si="45"/>
        <v>#VALUE!</v>
      </c>
      <c r="BC33" s="13" t="e">
        <f t="shared" si="45"/>
        <v>#VALUE!</v>
      </c>
      <c r="BD33" s="14" t="e">
        <f t="shared" si="45"/>
        <v>#VALUE!</v>
      </c>
      <c r="BE33" s="14" t="e">
        <f t="shared" si="45"/>
        <v>#VALUE!</v>
      </c>
      <c r="BF33" s="14" t="e">
        <f t="shared" si="45"/>
        <v>#VALUE!</v>
      </c>
      <c r="BG33" s="14" t="e">
        <f t="shared" si="45"/>
        <v>#VALUE!</v>
      </c>
      <c r="BH33" s="15" t="e">
        <f t="shared" si="45"/>
        <v>#VALUE!</v>
      </c>
      <c r="BI33" s="16" t="e">
        <f t="shared" si="45"/>
        <v>#VALUE!</v>
      </c>
      <c r="BJ33" s="13" t="e">
        <f t="shared" si="45"/>
        <v>#VALUE!</v>
      </c>
      <c r="BK33" s="14" t="e">
        <f t="shared" si="45"/>
        <v>#VALUE!</v>
      </c>
      <c r="BL33" s="14" t="e">
        <f t="shared" si="45"/>
        <v>#VALUE!</v>
      </c>
      <c r="BM33" s="14" t="e">
        <f t="shared" si="45"/>
        <v>#VALUE!</v>
      </c>
      <c r="BN33" s="14" t="e">
        <f t="shared" si="45"/>
        <v>#VALUE!</v>
      </c>
      <c r="BO33" s="15" t="e">
        <f t="shared" si="45"/>
        <v>#VALUE!</v>
      </c>
      <c r="BP33" s="16" t="e">
        <f t="shared" si="45"/>
        <v>#VALUE!</v>
      </c>
      <c r="BQ33" s="13" t="e">
        <f t="shared" si="45"/>
        <v>#VALUE!</v>
      </c>
      <c r="BR33" s="14" t="e">
        <f t="shared" ref="BR33:DT33" si="46">IF(AND(BR$5&gt;=$C$11,BR$5&lt;=$E$23),1,"")</f>
        <v>#VALUE!</v>
      </c>
      <c r="BS33" s="14" t="e">
        <f t="shared" si="46"/>
        <v>#VALUE!</v>
      </c>
      <c r="BT33" s="14" t="e">
        <f t="shared" si="46"/>
        <v>#VALUE!</v>
      </c>
      <c r="BU33" s="14" t="e">
        <f t="shared" si="46"/>
        <v>#VALUE!</v>
      </c>
      <c r="BV33" s="15" t="e">
        <f t="shared" si="46"/>
        <v>#VALUE!</v>
      </c>
      <c r="BW33" s="16" t="e">
        <f t="shared" si="46"/>
        <v>#VALUE!</v>
      </c>
      <c r="BX33" s="13" t="e">
        <f t="shared" si="46"/>
        <v>#VALUE!</v>
      </c>
      <c r="BY33" s="14" t="e">
        <f t="shared" si="46"/>
        <v>#VALUE!</v>
      </c>
      <c r="BZ33" s="14" t="e">
        <f t="shared" si="46"/>
        <v>#VALUE!</v>
      </c>
      <c r="CA33" s="14" t="e">
        <f t="shared" si="46"/>
        <v>#VALUE!</v>
      </c>
      <c r="CB33" s="14" t="e">
        <f t="shared" si="46"/>
        <v>#VALUE!</v>
      </c>
      <c r="CC33" s="15" t="e">
        <f t="shared" si="46"/>
        <v>#VALUE!</v>
      </c>
      <c r="CD33" s="16" t="e">
        <f t="shared" si="46"/>
        <v>#VALUE!</v>
      </c>
      <c r="CE33" s="13" t="e">
        <f t="shared" si="46"/>
        <v>#VALUE!</v>
      </c>
      <c r="CF33" s="14" t="e">
        <f t="shared" si="46"/>
        <v>#VALUE!</v>
      </c>
      <c r="CG33" s="14" t="e">
        <f t="shared" si="46"/>
        <v>#VALUE!</v>
      </c>
      <c r="CH33" s="14" t="e">
        <f t="shared" si="46"/>
        <v>#VALUE!</v>
      </c>
      <c r="CI33" s="14" t="e">
        <f t="shared" si="46"/>
        <v>#VALUE!</v>
      </c>
      <c r="CJ33" s="15" t="e">
        <f t="shared" si="46"/>
        <v>#VALUE!</v>
      </c>
      <c r="CK33" s="16" t="e">
        <f t="shared" si="46"/>
        <v>#VALUE!</v>
      </c>
      <c r="CL33" s="13" t="e">
        <f t="shared" si="46"/>
        <v>#VALUE!</v>
      </c>
      <c r="CM33" s="14" t="e">
        <f t="shared" si="46"/>
        <v>#VALUE!</v>
      </c>
      <c r="CN33" s="14" t="e">
        <f t="shared" si="46"/>
        <v>#VALUE!</v>
      </c>
      <c r="CO33" s="14" t="e">
        <f t="shared" si="46"/>
        <v>#VALUE!</v>
      </c>
      <c r="CP33" s="14" t="e">
        <f t="shared" si="46"/>
        <v>#VALUE!</v>
      </c>
      <c r="CQ33" s="15" t="e">
        <f t="shared" si="46"/>
        <v>#VALUE!</v>
      </c>
      <c r="CR33" s="16" t="e">
        <f t="shared" si="46"/>
        <v>#VALUE!</v>
      </c>
      <c r="CS33" s="13" t="e">
        <f t="shared" si="46"/>
        <v>#VALUE!</v>
      </c>
      <c r="CT33" s="14" t="e">
        <f t="shared" si="46"/>
        <v>#VALUE!</v>
      </c>
      <c r="CU33" s="14" t="e">
        <f t="shared" si="46"/>
        <v>#VALUE!</v>
      </c>
      <c r="CV33" s="14" t="e">
        <f t="shared" si="46"/>
        <v>#VALUE!</v>
      </c>
      <c r="CW33" s="14" t="e">
        <f t="shared" si="46"/>
        <v>#VALUE!</v>
      </c>
      <c r="CX33" s="15" t="e">
        <f t="shared" si="46"/>
        <v>#VALUE!</v>
      </c>
      <c r="CY33" s="16" t="e">
        <f t="shared" si="46"/>
        <v>#VALUE!</v>
      </c>
      <c r="CZ33" s="13" t="e">
        <f t="shared" si="46"/>
        <v>#VALUE!</v>
      </c>
      <c r="DA33" s="14" t="e">
        <f t="shared" si="46"/>
        <v>#VALUE!</v>
      </c>
      <c r="DB33" s="14" t="e">
        <f t="shared" si="46"/>
        <v>#VALUE!</v>
      </c>
      <c r="DC33" s="14" t="e">
        <f t="shared" si="46"/>
        <v>#VALUE!</v>
      </c>
      <c r="DD33" s="14" t="e">
        <f t="shared" si="46"/>
        <v>#VALUE!</v>
      </c>
      <c r="DE33" s="15" t="e">
        <f t="shared" si="46"/>
        <v>#VALUE!</v>
      </c>
      <c r="DF33" s="16" t="e">
        <f t="shared" si="46"/>
        <v>#VALUE!</v>
      </c>
      <c r="DG33" s="13" t="e">
        <f t="shared" si="46"/>
        <v>#VALUE!</v>
      </c>
      <c r="DH33" s="14" t="e">
        <f t="shared" si="46"/>
        <v>#VALUE!</v>
      </c>
      <c r="DI33" s="14" t="e">
        <f t="shared" si="46"/>
        <v>#VALUE!</v>
      </c>
      <c r="DJ33" s="14" t="e">
        <f t="shared" si="46"/>
        <v>#VALUE!</v>
      </c>
      <c r="DK33" s="14" t="e">
        <f t="shared" si="46"/>
        <v>#VALUE!</v>
      </c>
      <c r="DL33" s="15" t="e">
        <f t="shared" si="46"/>
        <v>#VALUE!</v>
      </c>
      <c r="DM33" s="16" t="e">
        <f t="shared" si="46"/>
        <v>#VALUE!</v>
      </c>
      <c r="DN33" s="13" t="e">
        <f t="shared" si="46"/>
        <v>#VALUE!</v>
      </c>
      <c r="DO33" s="14" t="e">
        <f t="shared" si="46"/>
        <v>#VALUE!</v>
      </c>
      <c r="DP33" s="14" t="e">
        <f t="shared" si="46"/>
        <v>#VALUE!</v>
      </c>
      <c r="DQ33" s="14" t="e">
        <f t="shared" si="46"/>
        <v>#VALUE!</v>
      </c>
      <c r="DR33" s="14" t="e">
        <f t="shared" si="46"/>
        <v>#VALUE!</v>
      </c>
      <c r="DS33" s="15" t="e">
        <f t="shared" si="46"/>
        <v>#VALUE!</v>
      </c>
      <c r="DT33" s="16" t="e">
        <f t="shared" si="46"/>
        <v>#VALUE!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91" t="s">
        <v>59</v>
      </c>
      <c r="B35" s="591"/>
      <c r="C35" s="592" t="e">
        <f>E23-C8+1</f>
        <v>#VALUE!</v>
      </c>
      <c r="D35" s="592"/>
      <c r="E35" s="593"/>
      <c r="F35" s="14" t="e">
        <f t="shared" ref="F35:BQ35" si="47">IF(AND(F$5&gt;=$C$8,F$5&lt;=$E$23),1,"")</f>
        <v>#VALUE!</v>
      </c>
      <c r="G35" s="14" t="e">
        <f t="shared" si="47"/>
        <v>#VALUE!</v>
      </c>
      <c r="H35" s="14" t="e">
        <f t="shared" si="47"/>
        <v>#VALUE!</v>
      </c>
      <c r="I35" s="14" t="e">
        <f t="shared" si="47"/>
        <v>#VALUE!</v>
      </c>
      <c r="J35" s="14" t="e">
        <f t="shared" si="47"/>
        <v>#VALUE!</v>
      </c>
      <c r="K35" s="15" t="e">
        <f t="shared" si="47"/>
        <v>#VALUE!</v>
      </c>
      <c r="L35" s="16" t="e">
        <f t="shared" si="47"/>
        <v>#VALUE!</v>
      </c>
      <c r="M35" s="13" t="e">
        <f t="shared" si="47"/>
        <v>#VALUE!</v>
      </c>
      <c r="N35" s="14" t="e">
        <f t="shared" si="47"/>
        <v>#VALUE!</v>
      </c>
      <c r="O35" s="14" t="e">
        <f t="shared" si="47"/>
        <v>#VALUE!</v>
      </c>
      <c r="P35" s="14" t="e">
        <f t="shared" si="47"/>
        <v>#VALUE!</v>
      </c>
      <c r="Q35" s="14" t="e">
        <f t="shared" si="47"/>
        <v>#VALUE!</v>
      </c>
      <c r="R35" s="15" t="e">
        <f t="shared" si="47"/>
        <v>#VALUE!</v>
      </c>
      <c r="S35" s="16" t="e">
        <f t="shared" si="47"/>
        <v>#VALUE!</v>
      </c>
      <c r="T35" s="13" t="e">
        <f t="shared" si="47"/>
        <v>#VALUE!</v>
      </c>
      <c r="U35" s="14" t="e">
        <f t="shared" si="47"/>
        <v>#VALUE!</v>
      </c>
      <c r="V35" s="14" t="e">
        <f t="shared" si="47"/>
        <v>#VALUE!</v>
      </c>
      <c r="W35" s="14" t="e">
        <f t="shared" si="47"/>
        <v>#VALUE!</v>
      </c>
      <c r="X35" s="14" t="e">
        <f t="shared" si="47"/>
        <v>#VALUE!</v>
      </c>
      <c r="Y35" s="15" t="e">
        <f t="shared" si="47"/>
        <v>#VALUE!</v>
      </c>
      <c r="Z35" s="16" t="e">
        <f t="shared" si="47"/>
        <v>#VALUE!</v>
      </c>
      <c r="AA35" s="13" t="e">
        <f t="shared" si="47"/>
        <v>#VALUE!</v>
      </c>
      <c r="AB35" s="14" t="e">
        <f t="shared" si="47"/>
        <v>#VALUE!</v>
      </c>
      <c r="AC35" s="14" t="e">
        <f t="shared" si="47"/>
        <v>#VALUE!</v>
      </c>
      <c r="AD35" s="14" t="e">
        <f t="shared" si="47"/>
        <v>#VALUE!</v>
      </c>
      <c r="AE35" s="14" t="e">
        <f t="shared" si="47"/>
        <v>#VALUE!</v>
      </c>
      <c r="AF35" s="15" t="e">
        <f t="shared" si="47"/>
        <v>#VALUE!</v>
      </c>
      <c r="AG35" s="16" t="e">
        <f t="shared" si="47"/>
        <v>#VALUE!</v>
      </c>
      <c r="AH35" s="13" t="e">
        <f t="shared" si="47"/>
        <v>#VALUE!</v>
      </c>
      <c r="AI35" s="14" t="e">
        <f t="shared" si="47"/>
        <v>#VALUE!</v>
      </c>
      <c r="AJ35" s="14" t="e">
        <f t="shared" si="47"/>
        <v>#VALUE!</v>
      </c>
      <c r="AK35" s="14" t="e">
        <f t="shared" si="47"/>
        <v>#VALUE!</v>
      </c>
      <c r="AL35" s="14" t="e">
        <f t="shared" si="47"/>
        <v>#VALUE!</v>
      </c>
      <c r="AM35" s="15" t="e">
        <f t="shared" si="47"/>
        <v>#VALUE!</v>
      </c>
      <c r="AN35" s="16" t="e">
        <f t="shared" si="47"/>
        <v>#VALUE!</v>
      </c>
      <c r="AO35" s="13" t="e">
        <f t="shared" si="47"/>
        <v>#VALUE!</v>
      </c>
      <c r="AP35" s="14" t="e">
        <f t="shared" si="47"/>
        <v>#VALUE!</v>
      </c>
      <c r="AQ35" s="14" t="e">
        <f t="shared" si="47"/>
        <v>#VALUE!</v>
      </c>
      <c r="AR35" s="14" t="e">
        <f t="shared" si="47"/>
        <v>#VALUE!</v>
      </c>
      <c r="AS35" s="14" t="e">
        <f t="shared" si="47"/>
        <v>#VALUE!</v>
      </c>
      <c r="AT35" s="15" t="e">
        <f t="shared" si="47"/>
        <v>#VALUE!</v>
      </c>
      <c r="AU35" s="16" t="e">
        <f t="shared" si="47"/>
        <v>#VALUE!</v>
      </c>
      <c r="AV35" s="13" t="e">
        <f t="shared" si="47"/>
        <v>#VALUE!</v>
      </c>
      <c r="AW35" s="14" t="e">
        <f t="shared" si="47"/>
        <v>#VALUE!</v>
      </c>
      <c r="AX35" s="14" t="e">
        <f t="shared" si="47"/>
        <v>#VALUE!</v>
      </c>
      <c r="AY35" s="14" t="e">
        <f t="shared" si="47"/>
        <v>#VALUE!</v>
      </c>
      <c r="AZ35" s="14" t="e">
        <f t="shared" si="47"/>
        <v>#VALUE!</v>
      </c>
      <c r="BA35" s="15" t="e">
        <f t="shared" si="47"/>
        <v>#VALUE!</v>
      </c>
      <c r="BB35" s="16" t="e">
        <f t="shared" si="47"/>
        <v>#VALUE!</v>
      </c>
      <c r="BC35" s="13" t="e">
        <f t="shared" si="47"/>
        <v>#VALUE!</v>
      </c>
      <c r="BD35" s="14" t="e">
        <f t="shared" si="47"/>
        <v>#VALUE!</v>
      </c>
      <c r="BE35" s="14" t="e">
        <f t="shared" si="47"/>
        <v>#VALUE!</v>
      </c>
      <c r="BF35" s="14" t="e">
        <f t="shared" si="47"/>
        <v>#VALUE!</v>
      </c>
      <c r="BG35" s="14" t="e">
        <f t="shared" si="47"/>
        <v>#VALUE!</v>
      </c>
      <c r="BH35" s="15" t="e">
        <f t="shared" si="47"/>
        <v>#VALUE!</v>
      </c>
      <c r="BI35" s="16" t="e">
        <f t="shared" si="47"/>
        <v>#VALUE!</v>
      </c>
      <c r="BJ35" s="13" t="e">
        <f t="shared" si="47"/>
        <v>#VALUE!</v>
      </c>
      <c r="BK35" s="14" t="e">
        <f t="shared" si="47"/>
        <v>#VALUE!</v>
      </c>
      <c r="BL35" s="14" t="e">
        <f t="shared" si="47"/>
        <v>#VALUE!</v>
      </c>
      <c r="BM35" s="14" t="e">
        <f t="shared" si="47"/>
        <v>#VALUE!</v>
      </c>
      <c r="BN35" s="14" t="e">
        <f t="shared" si="47"/>
        <v>#VALUE!</v>
      </c>
      <c r="BO35" s="15" t="e">
        <f t="shared" si="47"/>
        <v>#VALUE!</v>
      </c>
      <c r="BP35" s="16" t="e">
        <f t="shared" si="47"/>
        <v>#VALUE!</v>
      </c>
      <c r="BQ35" s="13" t="e">
        <f t="shared" si="47"/>
        <v>#VALUE!</v>
      </c>
      <c r="BR35" s="14" t="e">
        <f t="shared" ref="BR35:DT35" si="48">IF(AND(BR$5&gt;=$C$8,BR$5&lt;=$E$23),1,"")</f>
        <v>#VALUE!</v>
      </c>
      <c r="BS35" s="14" t="e">
        <f t="shared" si="48"/>
        <v>#VALUE!</v>
      </c>
      <c r="BT35" s="14" t="e">
        <f t="shared" si="48"/>
        <v>#VALUE!</v>
      </c>
      <c r="BU35" s="14" t="e">
        <f t="shared" si="48"/>
        <v>#VALUE!</v>
      </c>
      <c r="BV35" s="15" t="e">
        <f t="shared" si="48"/>
        <v>#VALUE!</v>
      </c>
      <c r="BW35" s="16" t="e">
        <f t="shared" si="48"/>
        <v>#VALUE!</v>
      </c>
      <c r="BX35" s="13" t="e">
        <f t="shared" si="48"/>
        <v>#VALUE!</v>
      </c>
      <c r="BY35" s="14" t="e">
        <f t="shared" si="48"/>
        <v>#VALUE!</v>
      </c>
      <c r="BZ35" s="14" t="e">
        <f t="shared" si="48"/>
        <v>#VALUE!</v>
      </c>
      <c r="CA35" s="14" t="e">
        <f t="shared" si="48"/>
        <v>#VALUE!</v>
      </c>
      <c r="CB35" s="14" t="e">
        <f t="shared" si="48"/>
        <v>#VALUE!</v>
      </c>
      <c r="CC35" s="15" t="e">
        <f t="shared" si="48"/>
        <v>#VALUE!</v>
      </c>
      <c r="CD35" s="16" t="e">
        <f t="shared" si="48"/>
        <v>#VALUE!</v>
      </c>
      <c r="CE35" s="13" t="e">
        <f t="shared" si="48"/>
        <v>#VALUE!</v>
      </c>
      <c r="CF35" s="14" t="e">
        <f t="shared" si="48"/>
        <v>#VALUE!</v>
      </c>
      <c r="CG35" s="14" t="e">
        <f t="shared" si="48"/>
        <v>#VALUE!</v>
      </c>
      <c r="CH35" s="14" t="e">
        <f t="shared" si="48"/>
        <v>#VALUE!</v>
      </c>
      <c r="CI35" s="14" t="e">
        <f t="shared" si="48"/>
        <v>#VALUE!</v>
      </c>
      <c r="CJ35" s="15" t="e">
        <f t="shared" si="48"/>
        <v>#VALUE!</v>
      </c>
      <c r="CK35" s="16" t="e">
        <f t="shared" si="48"/>
        <v>#VALUE!</v>
      </c>
      <c r="CL35" s="13" t="e">
        <f t="shared" si="48"/>
        <v>#VALUE!</v>
      </c>
      <c r="CM35" s="14" t="e">
        <f t="shared" si="48"/>
        <v>#VALUE!</v>
      </c>
      <c r="CN35" s="14" t="e">
        <f t="shared" si="48"/>
        <v>#VALUE!</v>
      </c>
      <c r="CO35" s="14" t="e">
        <f t="shared" si="48"/>
        <v>#VALUE!</v>
      </c>
      <c r="CP35" s="14" t="e">
        <f t="shared" si="48"/>
        <v>#VALUE!</v>
      </c>
      <c r="CQ35" s="15" t="e">
        <f t="shared" si="48"/>
        <v>#VALUE!</v>
      </c>
      <c r="CR35" s="16" t="e">
        <f t="shared" si="48"/>
        <v>#VALUE!</v>
      </c>
      <c r="CS35" s="13" t="e">
        <f t="shared" si="48"/>
        <v>#VALUE!</v>
      </c>
      <c r="CT35" s="14" t="e">
        <f t="shared" si="48"/>
        <v>#VALUE!</v>
      </c>
      <c r="CU35" s="14" t="e">
        <f t="shared" si="48"/>
        <v>#VALUE!</v>
      </c>
      <c r="CV35" s="14" t="e">
        <f t="shared" si="48"/>
        <v>#VALUE!</v>
      </c>
      <c r="CW35" s="14" t="e">
        <f t="shared" si="48"/>
        <v>#VALUE!</v>
      </c>
      <c r="CX35" s="15" t="e">
        <f t="shared" si="48"/>
        <v>#VALUE!</v>
      </c>
      <c r="CY35" s="16" t="e">
        <f t="shared" si="48"/>
        <v>#VALUE!</v>
      </c>
      <c r="CZ35" s="13" t="e">
        <f t="shared" si="48"/>
        <v>#VALUE!</v>
      </c>
      <c r="DA35" s="14" t="e">
        <f t="shared" si="48"/>
        <v>#VALUE!</v>
      </c>
      <c r="DB35" s="14" t="e">
        <f t="shared" si="48"/>
        <v>#VALUE!</v>
      </c>
      <c r="DC35" s="14" t="e">
        <f t="shared" si="48"/>
        <v>#VALUE!</v>
      </c>
      <c r="DD35" s="14" t="e">
        <f t="shared" si="48"/>
        <v>#VALUE!</v>
      </c>
      <c r="DE35" s="15" t="e">
        <f t="shared" si="48"/>
        <v>#VALUE!</v>
      </c>
      <c r="DF35" s="16" t="e">
        <f t="shared" si="48"/>
        <v>#VALUE!</v>
      </c>
      <c r="DG35" s="13" t="e">
        <f t="shared" si="48"/>
        <v>#VALUE!</v>
      </c>
      <c r="DH35" s="14" t="e">
        <f t="shared" si="48"/>
        <v>#VALUE!</v>
      </c>
      <c r="DI35" s="14" t="e">
        <f t="shared" si="48"/>
        <v>#VALUE!</v>
      </c>
      <c r="DJ35" s="14" t="e">
        <f t="shared" si="48"/>
        <v>#VALUE!</v>
      </c>
      <c r="DK35" s="14" t="e">
        <f t="shared" si="48"/>
        <v>#VALUE!</v>
      </c>
      <c r="DL35" s="15" t="e">
        <f t="shared" si="48"/>
        <v>#VALUE!</v>
      </c>
      <c r="DM35" s="16" t="e">
        <f t="shared" si="48"/>
        <v>#VALUE!</v>
      </c>
      <c r="DN35" s="13" t="e">
        <f t="shared" si="48"/>
        <v>#VALUE!</v>
      </c>
      <c r="DO35" s="14" t="e">
        <f t="shared" si="48"/>
        <v>#VALUE!</v>
      </c>
      <c r="DP35" s="14" t="e">
        <f t="shared" si="48"/>
        <v>#VALUE!</v>
      </c>
      <c r="DQ35" s="14" t="e">
        <f t="shared" si="48"/>
        <v>#VALUE!</v>
      </c>
      <c r="DR35" s="14" t="e">
        <f t="shared" si="48"/>
        <v>#VALUE!</v>
      </c>
      <c r="DS35" s="15" t="e">
        <f t="shared" si="48"/>
        <v>#VALUE!</v>
      </c>
      <c r="DT35" s="16" t="e">
        <f t="shared" si="48"/>
        <v>#VALUE!</v>
      </c>
    </row>
    <row r="36" spans="1:124" ht="2.1" customHeight="1"/>
    <row r="37" spans="1:124" s="17" customFormat="1" ht="15" customHeight="1">
      <c r="A37" s="594" t="s">
        <v>60</v>
      </c>
      <c r="B37" s="594"/>
      <c r="C37" s="595" t="e">
        <f>E23-IF(B1="SFK Freight Forwarder",C11,C8)+1</f>
        <v>#VALUE!</v>
      </c>
      <c r="D37" s="595"/>
      <c r="E37" s="596"/>
      <c r="F37" s="14" t="e">
        <f t="shared" ref="F37:K37" si="49">IF($B$1="SFK Freight Forwarder",IF(AND(F$5&gt;=$C$11,F$5&lt;=$E$23),1,""),IF(AND(F$5&gt;=$C$8,F$5&lt;=$E$23),1,""))</f>
        <v>#VALUE!</v>
      </c>
      <c r="G37" s="14" t="e">
        <f t="shared" si="49"/>
        <v>#VALUE!</v>
      </c>
      <c r="H37" s="14" t="e">
        <f t="shared" si="49"/>
        <v>#VALUE!</v>
      </c>
      <c r="I37" s="14" t="e">
        <f t="shared" si="49"/>
        <v>#VALUE!</v>
      </c>
      <c r="J37" s="14" t="e">
        <f t="shared" si="49"/>
        <v>#VALUE!</v>
      </c>
      <c r="K37" s="15" t="e">
        <f t="shared" si="49"/>
        <v>#VALUE!</v>
      </c>
      <c r="L37" s="94" t="e">
        <f>IF($B$1="SFK Freight Forwarder",IF(AND(L$5&gt;=$C$11,L$5&lt;=$E$23),1,""),IF(AND(L$5&gt;=$C$8,L$5&lt;=$E$23),1,""))</f>
        <v>#VALUE!</v>
      </c>
      <c r="M37" s="13" t="e">
        <f>IF($B$1="SFK Freight Forwarder",IF(AND(M$5&gt;=$C$11,M$5&lt;=$E$23),1,""),IF(AND(M$5&gt;=$C$8,M$5&lt;=$E$23),1,""))</f>
        <v>#VALUE!</v>
      </c>
      <c r="N37" s="14" t="e">
        <f t="shared" ref="N37:BY37" si="50">IF($B$1="SFK Freight Forwarder",IF(AND(N$5&gt;=$C$11,N$5&lt;=$E$23),1,""),IF(AND(N$5&gt;=$C$8,N$5&lt;=$E$23),1,""))</f>
        <v>#VALUE!</v>
      </c>
      <c r="O37" s="14" t="e">
        <f t="shared" si="50"/>
        <v>#VALUE!</v>
      </c>
      <c r="P37" s="14" t="e">
        <f t="shared" si="50"/>
        <v>#VALUE!</v>
      </c>
      <c r="Q37" s="14" t="e">
        <f t="shared" si="50"/>
        <v>#VALUE!</v>
      </c>
      <c r="R37" s="15" t="e">
        <f t="shared" si="50"/>
        <v>#VALUE!</v>
      </c>
      <c r="S37" s="16" t="e">
        <f t="shared" si="50"/>
        <v>#VALUE!</v>
      </c>
      <c r="T37" s="13" t="e">
        <f t="shared" si="50"/>
        <v>#VALUE!</v>
      </c>
      <c r="U37" s="14" t="e">
        <f t="shared" si="50"/>
        <v>#VALUE!</v>
      </c>
      <c r="V37" s="14" t="e">
        <f t="shared" si="50"/>
        <v>#VALUE!</v>
      </c>
      <c r="W37" s="14" t="e">
        <f t="shared" si="50"/>
        <v>#VALUE!</v>
      </c>
      <c r="X37" s="14" t="e">
        <f t="shared" si="50"/>
        <v>#VALUE!</v>
      </c>
      <c r="Y37" s="15" t="e">
        <f t="shared" si="50"/>
        <v>#VALUE!</v>
      </c>
      <c r="Z37" s="16" t="e">
        <f t="shared" si="50"/>
        <v>#VALUE!</v>
      </c>
      <c r="AA37" s="13" t="e">
        <f t="shared" si="50"/>
        <v>#VALUE!</v>
      </c>
      <c r="AB37" s="14" t="e">
        <f t="shared" si="50"/>
        <v>#VALUE!</v>
      </c>
      <c r="AC37" s="14" t="e">
        <f t="shared" si="50"/>
        <v>#VALUE!</v>
      </c>
      <c r="AD37" s="14" t="e">
        <f t="shared" si="50"/>
        <v>#VALUE!</v>
      </c>
      <c r="AE37" s="14" t="e">
        <f t="shared" si="50"/>
        <v>#VALUE!</v>
      </c>
      <c r="AF37" s="15" t="e">
        <f t="shared" si="50"/>
        <v>#VALUE!</v>
      </c>
      <c r="AG37" s="16" t="e">
        <f t="shared" si="50"/>
        <v>#VALUE!</v>
      </c>
      <c r="AH37" s="13" t="e">
        <f t="shared" si="50"/>
        <v>#VALUE!</v>
      </c>
      <c r="AI37" s="14" t="e">
        <f t="shared" si="50"/>
        <v>#VALUE!</v>
      </c>
      <c r="AJ37" s="14" t="e">
        <f t="shared" si="50"/>
        <v>#VALUE!</v>
      </c>
      <c r="AK37" s="14" t="e">
        <f t="shared" si="50"/>
        <v>#VALUE!</v>
      </c>
      <c r="AL37" s="14" t="e">
        <f t="shared" si="50"/>
        <v>#VALUE!</v>
      </c>
      <c r="AM37" s="15" t="e">
        <f t="shared" si="50"/>
        <v>#VALUE!</v>
      </c>
      <c r="AN37" s="16" t="e">
        <f t="shared" si="50"/>
        <v>#VALUE!</v>
      </c>
      <c r="AO37" s="13" t="e">
        <f t="shared" si="50"/>
        <v>#VALUE!</v>
      </c>
      <c r="AP37" s="14" t="e">
        <f t="shared" si="50"/>
        <v>#VALUE!</v>
      </c>
      <c r="AQ37" s="14" t="e">
        <f t="shared" si="50"/>
        <v>#VALUE!</v>
      </c>
      <c r="AR37" s="14" t="e">
        <f t="shared" si="50"/>
        <v>#VALUE!</v>
      </c>
      <c r="AS37" s="14" t="e">
        <f t="shared" si="50"/>
        <v>#VALUE!</v>
      </c>
      <c r="AT37" s="15" t="e">
        <f t="shared" si="50"/>
        <v>#VALUE!</v>
      </c>
      <c r="AU37" s="16" t="e">
        <f t="shared" si="50"/>
        <v>#VALUE!</v>
      </c>
      <c r="AV37" s="13" t="e">
        <f t="shared" si="50"/>
        <v>#VALUE!</v>
      </c>
      <c r="AW37" s="14" t="e">
        <f t="shared" si="50"/>
        <v>#VALUE!</v>
      </c>
      <c r="AX37" s="14" t="e">
        <f t="shared" si="50"/>
        <v>#VALUE!</v>
      </c>
      <c r="AY37" s="14" t="e">
        <f t="shared" si="50"/>
        <v>#VALUE!</v>
      </c>
      <c r="AZ37" s="14" t="e">
        <f t="shared" si="50"/>
        <v>#VALUE!</v>
      </c>
      <c r="BA37" s="15" t="e">
        <f t="shared" si="50"/>
        <v>#VALUE!</v>
      </c>
      <c r="BB37" s="16" t="e">
        <f t="shared" si="50"/>
        <v>#VALUE!</v>
      </c>
      <c r="BC37" s="13" t="e">
        <f t="shared" si="50"/>
        <v>#VALUE!</v>
      </c>
      <c r="BD37" s="14" t="e">
        <f t="shared" si="50"/>
        <v>#VALUE!</v>
      </c>
      <c r="BE37" s="14" t="e">
        <f t="shared" si="50"/>
        <v>#VALUE!</v>
      </c>
      <c r="BF37" s="14" t="e">
        <f t="shared" si="50"/>
        <v>#VALUE!</v>
      </c>
      <c r="BG37" s="14" t="e">
        <f t="shared" si="50"/>
        <v>#VALUE!</v>
      </c>
      <c r="BH37" s="15" t="e">
        <f t="shared" si="50"/>
        <v>#VALUE!</v>
      </c>
      <c r="BI37" s="16" t="e">
        <f t="shared" si="50"/>
        <v>#VALUE!</v>
      </c>
      <c r="BJ37" s="13" t="e">
        <f t="shared" si="50"/>
        <v>#VALUE!</v>
      </c>
      <c r="BK37" s="14" t="e">
        <f t="shared" si="50"/>
        <v>#VALUE!</v>
      </c>
      <c r="BL37" s="14" t="e">
        <f t="shared" si="50"/>
        <v>#VALUE!</v>
      </c>
      <c r="BM37" s="14" t="e">
        <f t="shared" si="50"/>
        <v>#VALUE!</v>
      </c>
      <c r="BN37" s="14" t="e">
        <f t="shared" si="50"/>
        <v>#VALUE!</v>
      </c>
      <c r="BO37" s="15" t="e">
        <f t="shared" si="50"/>
        <v>#VALUE!</v>
      </c>
      <c r="BP37" s="16" t="e">
        <f t="shared" si="50"/>
        <v>#VALUE!</v>
      </c>
      <c r="BQ37" s="13" t="e">
        <f t="shared" si="50"/>
        <v>#VALUE!</v>
      </c>
      <c r="BR37" s="14" t="e">
        <f t="shared" si="50"/>
        <v>#VALUE!</v>
      </c>
      <c r="BS37" s="14" t="e">
        <f t="shared" si="50"/>
        <v>#VALUE!</v>
      </c>
      <c r="BT37" s="14" t="e">
        <f t="shared" si="50"/>
        <v>#VALUE!</v>
      </c>
      <c r="BU37" s="14" t="e">
        <f t="shared" si="50"/>
        <v>#VALUE!</v>
      </c>
      <c r="BV37" s="15" t="e">
        <f t="shared" si="50"/>
        <v>#VALUE!</v>
      </c>
      <c r="BW37" s="16" t="e">
        <f t="shared" si="50"/>
        <v>#VALUE!</v>
      </c>
      <c r="BX37" s="13" t="e">
        <f t="shared" si="50"/>
        <v>#VALUE!</v>
      </c>
      <c r="BY37" s="14" t="e">
        <f t="shared" si="50"/>
        <v>#VALUE!</v>
      </c>
      <c r="BZ37" s="14" t="e">
        <f t="shared" ref="BZ37:DT37" si="51">IF($B$1="SFK Freight Forwarder",IF(AND(BZ$5&gt;=$C$11,BZ$5&lt;=$E$23),1,""),IF(AND(BZ$5&gt;=$C$8,BZ$5&lt;=$E$23),1,""))</f>
        <v>#VALUE!</v>
      </c>
      <c r="CA37" s="14" t="e">
        <f t="shared" si="51"/>
        <v>#VALUE!</v>
      </c>
      <c r="CB37" s="14" t="e">
        <f t="shared" si="51"/>
        <v>#VALUE!</v>
      </c>
      <c r="CC37" s="15" t="e">
        <f t="shared" si="51"/>
        <v>#VALUE!</v>
      </c>
      <c r="CD37" s="16" t="e">
        <f t="shared" si="51"/>
        <v>#VALUE!</v>
      </c>
      <c r="CE37" s="13" t="e">
        <f t="shared" si="51"/>
        <v>#VALUE!</v>
      </c>
      <c r="CF37" s="14" t="e">
        <f t="shared" si="51"/>
        <v>#VALUE!</v>
      </c>
      <c r="CG37" s="14" t="e">
        <f t="shared" si="51"/>
        <v>#VALUE!</v>
      </c>
      <c r="CH37" s="14" t="e">
        <f t="shared" si="51"/>
        <v>#VALUE!</v>
      </c>
      <c r="CI37" s="14" t="e">
        <f t="shared" si="51"/>
        <v>#VALUE!</v>
      </c>
      <c r="CJ37" s="15" t="e">
        <f t="shared" si="51"/>
        <v>#VALUE!</v>
      </c>
      <c r="CK37" s="16" t="e">
        <f t="shared" si="51"/>
        <v>#VALUE!</v>
      </c>
      <c r="CL37" s="13" t="e">
        <f t="shared" si="51"/>
        <v>#VALUE!</v>
      </c>
      <c r="CM37" s="14" t="e">
        <f t="shared" si="51"/>
        <v>#VALUE!</v>
      </c>
      <c r="CN37" s="14" t="e">
        <f t="shared" si="51"/>
        <v>#VALUE!</v>
      </c>
      <c r="CO37" s="14" t="e">
        <f t="shared" si="51"/>
        <v>#VALUE!</v>
      </c>
      <c r="CP37" s="14" t="e">
        <f t="shared" si="51"/>
        <v>#VALUE!</v>
      </c>
      <c r="CQ37" s="15" t="e">
        <f t="shared" si="51"/>
        <v>#VALUE!</v>
      </c>
      <c r="CR37" s="16" t="e">
        <f t="shared" si="51"/>
        <v>#VALUE!</v>
      </c>
      <c r="CS37" s="13" t="e">
        <f t="shared" si="51"/>
        <v>#VALUE!</v>
      </c>
      <c r="CT37" s="14" t="e">
        <f t="shared" si="51"/>
        <v>#VALUE!</v>
      </c>
      <c r="CU37" s="14" t="e">
        <f t="shared" si="51"/>
        <v>#VALUE!</v>
      </c>
      <c r="CV37" s="14" t="e">
        <f t="shared" si="51"/>
        <v>#VALUE!</v>
      </c>
      <c r="CW37" s="14" t="e">
        <f t="shared" si="51"/>
        <v>#VALUE!</v>
      </c>
      <c r="CX37" s="15" t="e">
        <f t="shared" si="51"/>
        <v>#VALUE!</v>
      </c>
      <c r="CY37" s="16" t="e">
        <f t="shared" si="51"/>
        <v>#VALUE!</v>
      </c>
      <c r="CZ37" s="13" t="e">
        <f t="shared" si="51"/>
        <v>#VALUE!</v>
      </c>
      <c r="DA37" s="14" t="e">
        <f t="shared" si="51"/>
        <v>#VALUE!</v>
      </c>
      <c r="DB37" s="14" t="e">
        <f t="shared" si="51"/>
        <v>#VALUE!</v>
      </c>
      <c r="DC37" s="14" t="e">
        <f t="shared" si="51"/>
        <v>#VALUE!</v>
      </c>
      <c r="DD37" s="14" t="e">
        <f t="shared" si="51"/>
        <v>#VALUE!</v>
      </c>
      <c r="DE37" s="15" t="e">
        <f t="shared" si="51"/>
        <v>#VALUE!</v>
      </c>
      <c r="DF37" s="16" t="e">
        <f t="shared" si="51"/>
        <v>#VALUE!</v>
      </c>
      <c r="DG37" s="13" t="e">
        <f t="shared" si="51"/>
        <v>#VALUE!</v>
      </c>
      <c r="DH37" s="14" t="e">
        <f t="shared" si="51"/>
        <v>#VALUE!</v>
      </c>
      <c r="DI37" s="14" t="e">
        <f t="shared" si="51"/>
        <v>#VALUE!</v>
      </c>
      <c r="DJ37" s="14" t="e">
        <f t="shared" si="51"/>
        <v>#VALUE!</v>
      </c>
      <c r="DK37" s="14" t="e">
        <f t="shared" si="51"/>
        <v>#VALUE!</v>
      </c>
      <c r="DL37" s="15" t="e">
        <f t="shared" si="51"/>
        <v>#VALUE!</v>
      </c>
      <c r="DM37" s="16" t="e">
        <f t="shared" si="51"/>
        <v>#VALUE!</v>
      </c>
      <c r="DN37" s="13" t="e">
        <f t="shared" si="51"/>
        <v>#VALUE!</v>
      </c>
      <c r="DO37" s="14" t="e">
        <f t="shared" si="51"/>
        <v>#VALUE!</v>
      </c>
      <c r="DP37" s="14" t="e">
        <f t="shared" si="51"/>
        <v>#VALUE!</v>
      </c>
      <c r="DQ37" s="14" t="e">
        <f t="shared" si="51"/>
        <v>#VALUE!</v>
      </c>
      <c r="DR37" s="14" t="e">
        <f t="shared" si="51"/>
        <v>#VALUE!</v>
      </c>
      <c r="DS37" s="15" t="e">
        <f t="shared" si="51"/>
        <v>#VALUE!</v>
      </c>
      <c r="DT37" s="16" t="e">
        <f t="shared" si="51"/>
        <v>#VALUE!</v>
      </c>
    </row>
  </sheetData>
  <sheetProtection algorithmName="SHA-512" hashValue="Qyo6CKlelVUhqz5HuhE/2Yxcpb+C3SYGRRDc1OHD6OO/WCmojBdfhvBHJUxnkp7nYEzBYc+vvl8Os1YO/Q45mw==" saltValue="g18G2H81PWzXKCTT+zZV5A==" spinCount="100000" sheet="1" sort="0" autoFilter="0" pivotTables="0"/>
  <mergeCells count="56"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  <mergeCell ref="C5:E5"/>
    <mergeCell ref="C6:E6"/>
    <mergeCell ref="A8:A18"/>
    <mergeCell ref="A19:A20"/>
    <mergeCell ref="A27:B27"/>
    <mergeCell ref="C27:E27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</mergeCells>
  <phoneticPr fontId="77" type="noConversion"/>
  <conditionalFormatting sqref="F8:Q9 S8:DT10 F11:DT12 G10:Q10">
    <cfRule type="cellIs" dxfId="573" priority="15" stopIfTrue="1" operator="equal">
      <formula>1</formula>
    </cfRule>
  </conditionalFormatting>
  <conditionalFormatting sqref="F16:DT17">
    <cfRule type="cellIs" dxfId="572" priority="17" stopIfTrue="1" operator="equal">
      <formula>1</formula>
    </cfRule>
  </conditionalFormatting>
  <conditionalFormatting sqref="F31:DT31">
    <cfRule type="cellIs" dxfId="571" priority="22" stopIfTrue="1" operator="equal">
      <formula>1</formula>
    </cfRule>
  </conditionalFormatting>
  <conditionalFormatting sqref="F27:DT27">
    <cfRule type="cellIs" dxfId="570" priority="21" stopIfTrue="1" operator="equal">
      <formula>1</formula>
    </cfRule>
  </conditionalFormatting>
  <conditionalFormatting sqref="F19:DT19 F21:DT22">
    <cfRule type="cellIs" dxfId="569" priority="18" stopIfTrue="1" operator="equal">
      <formula>1</formula>
    </cfRule>
  </conditionalFormatting>
  <conditionalFormatting sqref="F24:DT25">
    <cfRule type="cellIs" dxfId="568" priority="20" stopIfTrue="1" operator="equal">
      <formula>1</formula>
    </cfRule>
  </conditionalFormatting>
  <conditionalFormatting sqref="F33:DT33">
    <cfRule type="cellIs" dxfId="567" priority="23" stopIfTrue="1" operator="equal">
      <formula>1</formula>
    </cfRule>
  </conditionalFormatting>
  <conditionalFormatting sqref="F35:DT35">
    <cfRule type="cellIs" dxfId="566" priority="24" stopIfTrue="1" operator="equal">
      <formula>1</formula>
    </cfRule>
  </conditionalFormatting>
  <conditionalFormatting sqref="F23:DT23">
    <cfRule type="cellIs" dxfId="565" priority="19" stopIfTrue="1" operator="equal">
      <formula>1</formula>
    </cfRule>
  </conditionalFormatting>
  <conditionalFormatting sqref="F13:DT15">
    <cfRule type="cellIs" dxfId="564" priority="16" stopIfTrue="1" operator="equal">
      <formula>1</formula>
    </cfRule>
  </conditionalFormatting>
  <conditionalFormatting sqref="F8:Q9 S8:DT10 F11:DT17 G10:Q10 F31:DT35 F21:DT28 F19:DT19">
    <cfRule type="containsErrors" dxfId="563" priority="14" stopIfTrue="1">
      <formula>ISERROR(F8)</formula>
    </cfRule>
  </conditionalFormatting>
  <conditionalFormatting sqref="R8:R10">
    <cfRule type="cellIs" dxfId="562" priority="13" stopIfTrue="1" operator="equal">
      <formula>1</formula>
    </cfRule>
  </conditionalFormatting>
  <conditionalFormatting sqref="R8:R10">
    <cfRule type="containsErrors" dxfId="561" priority="12" stopIfTrue="1">
      <formula>ISERROR(R8)</formula>
    </cfRule>
  </conditionalFormatting>
  <conditionalFormatting sqref="A24">
    <cfRule type="cellIs" dxfId="560" priority="11" operator="lessThan">
      <formula>TODAY()</formula>
    </cfRule>
  </conditionalFormatting>
  <conditionalFormatting sqref="F37:DT37">
    <cfRule type="cellIs" dxfId="559" priority="10" stopIfTrue="1" operator="equal">
      <formula>1</formula>
    </cfRule>
  </conditionalFormatting>
  <conditionalFormatting sqref="F37:DT37">
    <cfRule type="containsErrors" dxfId="558" priority="9" stopIfTrue="1">
      <formula>ISERROR(F37)</formula>
    </cfRule>
  </conditionalFormatting>
  <conditionalFormatting sqref="F10">
    <cfRule type="cellIs" dxfId="557" priority="8" stopIfTrue="1" operator="equal">
      <formula>1</formula>
    </cfRule>
  </conditionalFormatting>
  <conditionalFormatting sqref="F10">
    <cfRule type="containsErrors" dxfId="556" priority="7" stopIfTrue="1">
      <formula>ISERROR(F10)</formula>
    </cfRule>
  </conditionalFormatting>
  <conditionalFormatting sqref="F29:DT29">
    <cfRule type="cellIs" dxfId="555" priority="6" stopIfTrue="1" operator="equal">
      <formula>1</formula>
    </cfRule>
  </conditionalFormatting>
  <conditionalFormatting sqref="F29:DT30">
    <cfRule type="containsErrors" dxfId="554" priority="5" stopIfTrue="1">
      <formula>ISERROR(F29)</formula>
    </cfRule>
  </conditionalFormatting>
  <conditionalFormatting sqref="F20:DT20">
    <cfRule type="cellIs" dxfId="553" priority="4" stopIfTrue="1" operator="equal">
      <formula>1</formula>
    </cfRule>
  </conditionalFormatting>
  <conditionalFormatting sqref="F20:DT20">
    <cfRule type="containsErrors" dxfId="552" priority="3" stopIfTrue="1">
      <formula>ISERROR(F20)</formula>
    </cfRule>
  </conditionalFormatting>
  <conditionalFormatting sqref="F18:DT18">
    <cfRule type="cellIs" dxfId="551" priority="2" stopIfTrue="1" operator="equal">
      <formula>1</formula>
    </cfRule>
  </conditionalFormatting>
  <conditionalFormatting sqref="F18:DT18">
    <cfRule type="containsErrors" dxfId="550" priority="1" stopIfTrue="1">
      <formula>ISERROR(F18)</formula>
    </cfRule>
  </conditionalFormatting>
  <dataValidations count="2">
    <dataValidation type="list" allowBlank="1" showInputMessage="1" showErrorMessage="1" sqref="B1:B2" xr:uid="{C19898E6-DE4B-487C-B272-CF8D0FE39F78}">
      <formula1>AILNname</formula1>
    </dataValidation>
    <dataValidation type="list" allowBlank="1" showInputMessage="1" showErrorMessage="1" sqref="B3:B4" xr:uid="{21E59A55-9F3F-4C2D-AFAE-B7A3C67752E2}">
      <formula1>shippername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F904A2-F5AA-466D-9F89-CAA369DCB9D1}">
          <x14:formula1>
            <xm:f>Plant_AILN!$A$2:$A$61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E460-28FB-48D9-8F47-AA596C9F010E}">
  <sheetPr codeName="Feuil3">
    <tabColor rgb="FF7030A0"/>
  </sheetPr>
  <dimension ref="A1:DT37"/>
  <sheetViews>
    <sheetView zoomScale="109" zoomScaleNormal="70" workbookViewId="0">
      <selection activeCell="B7" sqref="B7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5" width="7.7109375" customWidth="1"/>
    <col min="6" max="124" width="1.42578125" customWidth="1"/>
  </cols>
  <sheetData>
    <row r="1" spans="1:124" s="11" customFormat="1" ht="9" customHeight="1">
      <c r="A1" s="567" t="s">
        <v>61</v>
      </c>
      <c r="B1" s="569" t="s">
        <v>62</v>
      </c>
      <c r="C1" s="571">
        <f>_xlfn.XLOOKUP(A25,'VTT next'!B:B,'VTT next'!P:P,"-",0)</f>
        <v>26037000</v>
      </c>
      <c r="D1" s="572"/>
      <c r="E1" s="573"/>
      <c r="F1" s="565" t="str">
        <f>"W"&amp;WEEKNUM(F6)</f>
        <v>W14</v>
      </c>
      <c r="G1" s="565"/>
      <c r="H1" s="565"/>
      <c r="I1" s="565"/>
      <c r="J1" s="565"/>
      <c r="K1" s="565"/>
      <c r="L1" s="566"/>
      <c r="M1" s="565" t="str">
        <f>"W"&amp;WEEKNUM(M6)</f>
        <v>W15</v>
      </c>
      <c r="N1" s="565"/>
      <c r="O1" s="565"/>
      <c r="P1" s="565"/>
      <c r="Q1" s="565"/>
      <c r="R1" s="565"/>
      <c r="S1" s="566"/>
      <c r="T1" s="565" t="str">
        <f t="shared" ref="T1" si="0">"W"&amp;WEEKNUM(T6)</f>
        <v>W16</v>
      </c>
      <c r="U1" s="565"/>
      <c r="V1" s="565"/>
      <c r="W1" s="565"/>
      <c r="X1" s="565"/>
      <c r="Y1" s="565"/>
      <c r="Z1" s="566"/>
      <c r="AA1" s="565" t="str">
        <f t="shared" ref="AA1" si="1">"W"&amp;WEEKNUM(AA6)</f>
        <v>W17</v>
      </c>
      <c r="AB1" s="565"/>
      <c r="AC1" s="565"/>
      <c r="AD1" s="565"/>
      <c r="AE1" s="565"/>
      <c r="AF1" s="565"/>
      <c r="AG1" s="566"/>
      <c r="AH1" s="565" t="str">
        <f t="shared" ref="AH1" si="2">"W"&amp;WEEKNUM(AH6)</f>
        <v>W18</v>
      </c>
      <c r="AI1" s="565"/>
      <c r="AJ1" s="565"/>
      <c r="AK1" s="565"/>
      <c r="AL1" s="565"/>
      <c r="AM1" s="565"/>
      <c r="AN1" s="566"/>
      <c r="AO1" s="565" t="str">
        <f t="shared" ref="AO1" si="3">"W"&amp;WEEKNUM(AO6)</f>
        <v>W19</v>
      </c>
      <c r="AP1" s="565"/>
      <c r="AQ1" s="565"/>
      <c r="AR1" s="565"/>
      <c r="AS1" s="565"/>
      <c r="AT1" s="565"/>
      <c r="AU1" s="566"/>
      <c r="AV1" s="565" t="str">
        <f t="shared" ref="AV1" si="4">"W"&amp;WEEKNUM(AV6)</f>
        <v>W20</v>
      </c>
      <c r="AW1" s="565"/>
      <c r="AX1" s="565"/>
      <c r="AY1" s="565"/>
      <c r="AZ1" s="565"/>
      <c r="BA1" s="565"/>
      <c r="BB1" s="566"/>
      <c r="BC1" s="565" t="str">
        <f t="shared" ref="BC1" si="5">"W"&amp;WEEKNUM(BC6)</f>
        <v>W21</v>
      </c>
      <c r="BD1" s="565"/>
      <c r="BE1" s="565"/>
      <c r="BF1" s="565"/>
      <c r="BG1" s="565"/>
      <c r="BH1" s="565"/>
      <c r="BI1" s="566"/>
      <c r="BJ1" s="565" t="str">
        <f t="shared" ref="BJ1" si="6">"W"&amp;WEEKNUM(BJ6)</f>
        <v>W22</v>
      </c>
      <c r="BK1" s="565"/>
      <c r="BL1" s="565"/>
      <c r="BM1" s="565"/>
      <c r="BN1" s="565"/>
      <c r="BO1" s="565"/>
      <c r="BP1" s="566"/>
      <c r="BQ1" s="565" t="str">
        <f t="shared" ref="BQ1" si="7">"W"&amp;WEEKNUM(BQ6)</f>
        <v>W23</v>
      </c>
      <c r="BR1" s="565"/>
      <c r="BS1" s="565"/>
      <c r="BT1" s="565"/>
      <c r="BU1" s="565"/>
      <c r="BV1" s="565"/>
      <c r="BW1" s="566"/>
      <c r="BX1" s="565" t="str">
        <f t="shared" ref="BX1" si="8">"W"&amp;WEEKNUM(BX6)</f>
        <v>W24</v>
      </c>
      <c r="BY1" s="565"/>
      <c r="BZ1" s="565"/>
      <c r="CA1" s="565"/>
      <c r="CB1" s="565"/>
      <c r="CC1" s="565"/>
      <c r="CD1" s="566"/>
      <c r="CE1" s="565" t="str">
        <f t="shared" ref="CE1" si="9">"W"&amp;WEEKNUM(CE6)</f>
        <v>W25</v>
      </c>
      <c r="CF1" s="565"/>
      <c r="CG1" s="565"/>
      <c r="CH1" s="565"/>
      <c r="CI1" s="565"/>
      <c r="CJ1" s="565"/>
      <c r="CK1" s="566"/>
      <c r="CL1" s="565" t="str">
        <f t="shared" ref="CL1" si="10">"W"&amp;WEEKNUM(CL6)</f>
        <v>W26</v>
      </c>
      <c r="CM1" s="565"/>
      <c r="CN1" s="565"/>
      <c r="CO1" s="565"/>
      <c r="CP1" s="565"/>
      <c r="CQ1" s="565"/>
      <c r="CR1" s="566"/>
      <c r="CS1" s="565" t="str">
        <f t="shared" ref="CS1" si="11">"W"&amp;WEEKNUM(CS6)</f>
        <v>W27</v>
      </c>
      <c r="CT1" s="565"/>
      <c r="CU1" s="565"/>
      <c r="CV1" s="565"/>
      <c r="CW1" s="565"/>
      <c r="CX1" s="565"/>
      <c r="CY1" s="566"/>
      <c r="CZ1" s="565" t="str">
        <f t="shared" ref="CZ1" si="12">"W"&amp;WEEKNUM(CZ6)</f>
        <v>W28</v>
      </c>
      <c r="DA1" s="565"/>
      <c r="DB1" s="565"/>
      <c r="DC1" s="565"/>
      <c r="DD1" s="565"/>
      <c r="DE1" s="565"/>
      <c r="DF1" s="566"/>
      <c r="DG1" s="565" t="str">
        <f t="shared" ref="DG1" si="13">"W"&amp;WEEKNUM(DG6)</f>
        <v>W29</v>
      </c>
      <c r="DH1" s="565"/>
      <c r="DI1" s="565"/>
      <c r="DJ1" s="565"/>
      <c r="DK1" s="565"/>
      <c r="DL1" s="565"/>
      <c r="DM1" s="566"/>
      <c r="DN1" s="565" t="str">
        <f t="shared" ref="DN1" si="14">"W"&amp;WEEKNUM(DN6)</f>
        <v>W30</v>
      </c>
      <c r="DO1" s="565"/>
      <c r="DP1" s="565"/>
      <c r="DQ1" s="565"/>
      <c r="DR1" s="565"/>
      <c r="DS1" s="565"/>
      <c r="DT1" s="566"/>
    </row>
    <row r="2" spans="1:124" s="11" customFormat="1" ht="9" customHeight="1" thickBot="1">
      <c r="A2" s="568"/>
      <c r="B2" s="570"/>
      <c r="C2" s="574"/>
      <c r="D2" s="575"/>
      <c r="E2" s="576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</row>
    <row r="3" spans="1:124" s="12" customFormat="1" ht="9" customHeight="1">
      <c r="A3" s="580" t="s">
        <v>19</v>
      </c>
      <c r="B3" s="569" t="s">
        <v>62</v>
      </c>
      <c r="C3" s="572">
        <f>_xlfn.XLOOKUP(A25,'VTT next'!B:B,'VTT next'!Y:Y,"-",0)</f>
        <v>26037000</v>
      </c>
      <c r="D3" s="572"/>
      <c r="E3" s="573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</row>
    <row r="4" spans="1:124" s="12" customFormat="1" ht="9" customHeight="1" thickBot="1">
      <c r="A4" s="581"/>
      <c r="B4" s="570"/>
      <c r="C4" s="575"/>
      <c r="D4" s="575"/>
      <c r="E4" s="576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</row>
    <row r="5" spans="1:124" s="12" customFormat="1" ht="15.75" customHeight="1" thickTop="1" thickBot="1">
      <c r="A5" s="56" t="s">
        <v>33</v>
      </c>
      <c r="B5" s="56" t="str">
        <f>_xlfn.XLOOKUP(A25,'VTT next'!B:B,'VTT next'!AL:AL,"-",0)</f>
        <v>CDD VLL</v>
      </c>
      <c r="C5" s="582">
        <f>_xlfn.XLOOKUP(A25,'VTT next'!B:B,'VTT next'!AM:AM,"-",0)</f>
        <v>91018400</v>
      </c>
      <c r="D5" s="583"/>
      <c r="E5" s="584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54.6" customHeight="1">
      <c r="A6" s="56" t="s">
        <v>34</v>
      </c>
      <c r="B6" s="57" t="s">
        <v>63</v>
      </c>
      <c r="C6" s="571">
        <f>_xlfn.XLOOKUP(A25,'VTT next'!B:B,'VTT next'!M:M,"-",0)</f>
        <v>91017700</v>
      </c>
      <c r="D6" s="572"/>
      <c r="E6" s="573"/>
      <c r="F6" s="491" t="s">
        <v>64</v>
      </c>
      <c r="G6" s="492">
        <f t="shared" ref="G6:AL6" si="15">F6+1</f>
        <v>46112</v>
      </c>
      <c r="H6" s="492">
        <f t="shared" si="15"/>
        <v>46113</v>
      </c>
      <c r="I6" s="492">
        <f t="shared" si="15"/>
        <v>46114</v>
      </c>
      <c r="J6" s="492">
        <f t="shared" si="15"/>
        <v>46115</v>
      </c>
      <c r="K6" s="493">
        <f t="shared" si="15"/>
        <v>46116</v>
      </c>
      <c r="L6" s="494">
        <f t="shared" si="15"/>
        <v>46117</v>
      </c>
      <c r="M6" s="492">
        <f t="shared" si="15"/>
        <v>46118</v>
      </c>
      <c r="N6" s="492">
        <f t="shared" si="15"/>
        <v>46119</v>
      </c>
      <c r="O6" s="492">
        <f t="shared" si="15"/>
        <v>46120</v>
      </c>
      <c r="P6" s="492">
        <f t="shared" si="15"/>
        <v>46121</v>
      </c>
      <c r="Q6" s="492">
        <f t="shared" si="15"/>
        <v>46122</v>
      </c>
      <c r="R6" s="493">
        <f t="shared" si="15"/>
        <v>46123</v>
      </c>
      <c r="S6" s="494">
        <f t="shared" si="15"/>
        <v>46124</v>
      </c>
      <c r="T6" s="492">
        <f t="shared" si="15"/>
        <v>46125</v>
      </c>
      <c r="U6" s="492">
        <f t="shared" si="15"/>
        <v>46126</v>
      </c>
      <c r="V6" s="492">
        <f t="shared" si="15"/>
        <v>46127</v>
      </c>
      <c r="W6" s="492">
        <f t="shared" si="15"/>
        <v>46128</v>
      </c>
      <c r="X6" s="492">
        <f t="shared" si="15"/>
        <v>46129</v>
      </c>
      <c r="Y6" s="493">
        <f t="shared" si="15"/>
        <v>46130</v>
      </c>
      <c r="Z6" s="494">
        <f t="shared" si="15"/>
        <v>46131</v>
      </c>
      <c r="AA6" s="492">
        <f t="shared" si="15"/>
        <v>46132</v>
      </c>
      <c r="AB6" s="492">
        <f t="shared" si="15"/>
        <v>46133</v>
      </c>
      <c r="AC6" s="492">
        <f t="shared" si="15"/>
        <v>46134</v>
      </c>
      <c r="AD6" s="492">
        <f t="shared" si="15"/>
        <v>46135</v>
      </c>
      <c r="AE6" s="492">
        <f t="shared" si="15"/>
        <v>46136</v>
      </c>
      <c r="AF6" s="493">
        <f t="shared" si="15"/>
        <v>46137</v>
      </c>
      <c r="AG6" s="494">
        <f t="shared" si="15"/>
        <v>46138</v>
      </c>
      <c r="AH6" s="492">
        <f t="shared" si="15"/>
        <v>46139</v>
      </c>
      <c r="AI6" s="492">
        <f t="shared" si="15"/>
        <v>46140</v>
      </c>
      <c r="AJ6" s="492">
        <f t="shared" si="15"/>
        <v>46141</v>
      </c>
      <c r="AK6" s="492">
        <f t="shared" si="15"/>
        <v>46142</v>
      </c>
      <c r="AL6" s="492">
        <f t="shared" si="15"/>
        <v>46143</v>
      </c>
      <c r="AM6" s="493">
        <f t="shared" ref="AM6:BR6" si="16">AL6+1</f>
        <v>46144</v>
      </c>
      <c r="AN6" s="494">
        <f t="shared" si="16"/>
        <v>46145</v>
      </c>
      <c r="AO6" s="492">
        <f t="shared" si="16"/>
        <v>46146</v>
      </c>
      <c r="AP6" s="492">
        <f t="shared" si="16"/>
        <v>46147</v>
      </c>
      <c r="AQ6" s="492">
        <f t="shared" si="16"/>
        <v>46148</v>
      </c>
      <c r="AR6" s="492">
        <f t="shared" si="16"/>
        <v>46149</v>
      </c>
      <c r="AS6" s="492">
        <f t="shared" si="16"/>
        <v>46150</v>
      </c>
      <c r="AT6" s="493">
        <f t="shared" si="16"/>
        <v>46151</v>
      </c>
      <c r="AU6" s="494">
        <f t="shared" si="16"/>
        <v>46152</v>
      </c>
      <c r="AV6" s="492">
        <f t="shared" si="16"/>
        <v>46153</v>
      </c>
      <c r="AW6" s="492">
        <f t="shared" si="16"/>
        <v>46154</v>
      </c>
      <c r="AX6" s="492">
        <f t="shared" si="16"/>
        <v>46155</v>
      </c>
      <c r="AY6" s="492">
        <f t="shared" si="16"/>
        <v>46156</v>
      </c>
      <c r="AZ6" s="492">
        <f t="shared" si="16"/>
        <v>46157</v>
      </c>
      <c r="BA6" s="493">
        <f t="shared" si="16"/>
        <v>46158</v>
      </c>
      <c r="BB6" s="494">
        <f t="shared" si="16"/>
        <v>46159</v>
      </c>
      <c r="BC6" s="492">
        <f t="shared" si="16"/>
        <v>46160</v>
      </c>
      <c r="BD6" s="492">
        <f t="shared" si="16"/>
        <v>46161</v>
      </c>
      <c r="BE6" s="492">
        <f t="shared" si="16"/>
        <v>46162</v>
      </c>
      <c r="BF6" s="492">
        <f t="shared" si="16"/>
        <v>46163</v>
      </c>
      <c r="BG6" s="492">
        <f t="shared" si="16"/>
        <v>46164</v>
      </c>
      <c r="BH6" s="493">
        <f t="shared" si="16"/>
        <v>46165</v>
      </c>
      <c r="BI6" s="494">
        <f t="shared" si="16"/>
        <v>46166</v>
      </c>
      <c r="BJ6" s="492">
        <f t="shared" si="16"/>
        <v>46167</v>
      </c>
      <c r="BK6" s="492">
        <f t="shared" si="16"/>
        <v>46168</v>
      </c>
      <c r="BL6" s="492">
        <f t="shared" si="16"/>
        <v>46169</v>
      </c>
      <c r="BM6" s="492">
        <f t="shared" si="16"/>
        <v>46170</v>
      </c>
      <c r="BN6" s="492">
        <f t="shared" si="16"/>
        <v>46171</v>
      </c>
      <c r="BO6" s="493">
        <f t="shared" si="16"/>
        <v>46172</v>
      </c>
      <c r="BP6" s="494">
        <f t="shared" si="16"/>
        <v>46173</v>
      </c>
      <c r="BQ6" s="492">
        <f t="shared" si="16"/>
        <v>46174</v>
      </c>
      <c r="BR6" s="492">
        <f t="shared" si="16"/>
        <v>46175</v>
      </c>
      <c r="BS6" s="492">
        <f t="shared" ref="BS6:CX6" si="17">BR6+1</f>
        <v>46176</v>
      </c>
      <c r="BT6" s="492">
        <f t="shared" si="17"/>
        <v>46177</v>
      </c>
      <c r="BU6" s="492">
        <f t="shared" si="17"/>
        <v>46178</v>
      </c>
      <c r="BV6" s="493">
        <f t="shared" si="17"/>
        <v>46179</v>
      </c>
      <c r="BW6" s="494">
        <f t="shared" si="17"/>
        <v>46180</v>
      </c>
      <c r="BX6" s="492">
        <f t="shared" si="17"/>
        <v>46181</v>
      </c>
      <c r="BY6" s="492">
        <f t="shared" si="17"/>
        <v>46182</v>
      </c>
      <c r="BZ6" s="492">
        <f t="shared" si="17"/>
        <v>46183</v>
      </c>
      <c r="CA6" s="492">
        <f t="shared" si="17"/>
        <v>46184</v>
      </c>
      <c r="CB6" s="492">
        <f t="shared" si="17"/>
        <v>46185</v>
      </c>
      <c r="CC6" s="493">
        <f t="shared" si="17"/>
        <v>46186</v>
      </c>
      <c r="CD6" s="494">
        <f t="shared" si="17"/>
        <v>46187</v>
      </c>
      <c r="CE6" s="492">
        <f t="shared" si="17"/>
        <v>46188</v>
      </c>
      <c r="CF6" s="492">
        <f t="shared" si="17"/>
        <v>46189</v>
      </c>
      <c r="CG6" s="492">
        <f t="shared" si="17"/>
        <v>46190</v>
      </c>
      <c r="CH6" s="492">
        <f t="shared" si="17"/>
        <v>46191</v>
      </c>
      <c r="CI6" s="492">
        <f t="shared" si="17"/>
        <v>46192</v>
      </c>
      <c r="CJ6" s="493">
        <f t="shared" si="17"/>
        <v>46193</v>
      </c>
      <c r="CK6" s="494">
        <f t="shared" si="17"/>
        <v>46194</v>
      </c>
      <c r="CL6" s="492">
        <f t="shared" si="17"/>
        <v>46195</v>
      </c>
      <c r="CM6" s="492">
        <f t="shared" si="17"/>
        <v>46196</v>
      </c>
      <c r="CN6" s="492">
        <f t="shared" si="17"/>
        <v>46197</v>
      </c>
      <c r="CO6" s="492">
        <f t="shared" si="17"/>
        <v>46198</v>
      </c>
      <c r="CP6" s="492">
        <f t="shared" si="17"/>
        <v>46199</v>
      </c>
      <c r="CQ6" s="493">
        <f t="shared" si="17"/>
        <v>46200</v>
      </c>
      <c r="CR6" s="494">
        <f t="shared" si="17"/>
        <v>46201</v>
      </c>
      <c r="CS6" s="492">
        <f t="shared" si="17"/>
        <v>46202</v>
      </c>
      <c r="CT6" s="492">
        <f t="shared" si="17"/>
        <v>46203</v>
      </c>
      <c r="CU6" s="492">
        <f t="shared" si="17"/>
        <v>46204</v>
      </c>
      <c r="CV6" s="492">
        <f t="shared" si="17"/>
        <v>46205</v>
      </c>
      <c r="CW6" s="492">
        <f t="shared" si="17"/>
        <v>46206</v>
      </c>
      <c r="CX6" s="493">
        <f t="shared" si="17"/>
        <v>46207</v>
      </c>
      <c r="CY6" s="494">
        <f t="shared" ref="CY6:DT6" si="18">CX6+1</f>
        <v>46208</v>
      </c>
      <c r="CZ6" s="492">
        <f t="shared" si="18"/>
        <v>46209</v>
      </c>
      <c r="DA6" s="492">
        <f t="shared" si="18"/>
        <v>46210</v>
      </c>
      <c r="DB6" s="492">
        <f t="shared" si="18"/>
        <v>46211</v>
      </c>
      <c r="DC6" s="492">
        <f t="shared" si="18"/>
        <v>46212</v>
      </c>
      <c r="DD6" s="492">
        <f t="shared" si="18"/>
        <v>46213</v>
      </c>
      <c r="DE6" s="493">
        <f t="shared" si="18"/>
        <v>46214</v>
      </c>
      <c r="DF6" s="494">
        <f t="shared" si="18"/>
        <v>46215</v>
      </c>
      <c r="DG6" s="492">
        <f t="shared" si="18"/>
        <v>46216</v>
      </c>
      <c r="DH6" s="492">
        <f t="shared" si="18"/>
        <v>46217</v>
      </c>
      <c r="DI6" s="492">
        <f t="shared" si="18"/>
        <v>46218</v>
      </c>
      <c r="DJ6" s="492">
        <f t="shared" si="18"/>
        <v>46219</v>
      </c>
      <c r="DK6" s="492">
        <f t="shared" si="18"/>
        <v>46220</v>
      </c>
      <c r="DL6" s="493">
        <f t="shared" si="18"/>
        <v>46221</v>
      </c>
      <c r="DM6" s="494">
        <f t="shared" si="18"/>
        <v>46222</v>
      </c>
      <c r="DN6" s="492">
        <f t="shared" si="18"/>
        <v>46223</v>
      </c>
      <c r="DO6" s="492">
        <f t="shared" si="18"/>
        <v>46224</v>
      </c>
      <c r="DP6" s="492">
        <f t="shared" si="18"/>
        <v>46225</v>
      </c>
      <c r="DQ6" s="492">
        <f t="shared" si="18"/>
        <v>46226</v>
      </c>
      <c r="DR6" s="492">
        <f t="shared" si="18"/>
        <v>46227</v>
      </c>
      <c r="DS6" s="493">
        <f t="shared" si="18"/>
        <v>46228</v>
      </c>
      <c r="DT6" s="494">
        <f t="shared" si="18"/>
        <v>46229</v>
      </c>
    </row>
    <row r="7" spans="1:124" s="17" customFormat="1" ht="17.25" customHeight="1" thickTop="1">
      <c r="A7" s="56" t="s">
        <v>36</v>
      </c>
      <c r="B7" s="56">
        <f>_xlfn.XLOOKUP(A25,'VTT next'!B:B,'VTT next'!Z:Z,"-",0)</f>
        <v>930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75" customHeight="1">
      <c r="A8" s="585" t="e">
        <f ca="1">_xlfn.XLOOKUP(A25,'VTT next'!B:B,'VTT next'!AA:AA,"-",0)&amp;" &gt; "&amp;_xlfn.XLOOKUP(A25,'VTT next'!B:B,'VTT next'!AG:AG,"-",0)</f>
        <v>#N/A</v>
      </c>
      <c r="B8" s="69" t="s">
        <v>40</v>
      </c>
      <c r="C8" s="19">
        <f>_xlfn.XLOOKUP(A25,'VTT next'!B:B,'VTT next'!N:N,"-",0)</f>
        <v>7</v>
      </c>
      <c r="D8" s="70">
        <v>0</v>
      </c>
      <c r="E8" s="19">
        <f>(C8+D8)</f>
        <v>7</v>
      </c>
      <c r="F8" s="13" t="str">
        <f t="shared" ref="F8:Z22" si="19">IF(AND(F$5&gt;=$C8,F$5&lt;=$E8),1,"")</f>
        <v/>
      </c>
      <c r="G8" s="14" t="str">
        <f t="shared" si="19"/>
        <v/>
      </c>
      <c r="H8" s="14" t="str">
        <f t="shared" si="19"/>
        <v/>
      </c>
      <c r="I8" s="14" t="str">
        <f t="shared" si="19"/>
        <v/>
      </c>
      <c r="J8" s="14" t="str">
        <f t="shared" si="19"/>
        <v/>
      </c>
      <c r="K8" s="15" t="str">
        <f t="shared" si="19"/>
        <v/>
      </c>
      <c r="L8" s="16">
        <f t="shared" si="19"/>
        <v>1</v>
      </c>
      <c r="M8" s="13" t="str">
        <f t="shared" si="19"/>
        <v/>
      </c>
      <c r="N8" s="14" t="str">
        <f t="shared" si="19"/>
        <v/>
      </c>
      <c r="O8" s="14" t="str">
        <f t="shared" si="19"/>
        <v/>
      </c>
      <c r="P8" s="14" t="str">
        <f t="shared" si="19"/>
        <v/>
      </c>
      <c r="Q8" s="14" t="str">
        <f t="shared" si="19"/>
        <v/>
      </c>
      <c r="R8" s="15" t="str">
        <f t="shared" si="19"/>
        <v/>
      </c>
      <c r="S8" s="16" t="str">
        <f t="shared" si="19"/>
        <v/>
      </c>
      <c r="T8" s="13" t="str">
        <f t="shared" si="19"/>
        <v/>
      </c>
      <c r="U8" s="14" t="str">
        <f t="shared" si="19"/>
        <v/>
      </c>
      <c r="V8" s="14" t="str">
        <f t="shared" si="19"/>
        <v/>
      </c>
      <c r="W8" s="14" t="str">
        <f t="shared" si="19"/>
        <v/>
      </c>
      <c r="X8" s="14" t="str">
        <f t="shared" si="19"/>
        <v/>
      </c>
      <c r="Y8" s="15" t="str">
        <f t="shared" si="19"/>
        <v/>
      </c>
      <c r="Z8" s="16" t="str">
        <f t="shared" si="19"/>
        <v/>
      </c>
      <c r="AA8" s="13" t="str">
        <f t="shared" ref="AA8:AP25" si="20">IF(AND(AA$5&gt;=$C8,AA$5&lt;=$E8),1,"")</f>
        <v/>
      </c>
      <c r="AB8" s="14" t="str">
        <f t="shared" si="20"/>
        <v/>
      </c>
      <c r="AC8" s="14" t="str">
        <f t="shared" si="20"/>
        <v/>
      </c>
      <c r="AD8" s="14" t="str">
        <f t="shared" si="20"/>
        <v/>
      </c>
      <c r="AE8" s="14" t="str">
        <f t="shared" si="20"/>
        <v/>
      </c>
      <c r="AF8" s="15" t="str">
        <f t="shared" si="20"/>
        <v/>
      </c>
      <c r="AG8" s="16" t="str">
        <f t="shared" si="20"/>
        <v/>
      </c>
      <c r="AH8" s="13" t="str">
        <f t="shared" si="20"/>
        <v/>
      </c>
      <c r="AI8" s="14" t="str">
        <f t="shared" si="20"/>
        <v/>
      </c>
      <c r="AJ8" s="14" t="str">
        <f t="shared" si="20"/>
        <v/>
      </c>
      <c r="AK8" s="14" t="str">
        <f t="shared" si="20"/>
        <v/>
      </c>
      <c r="AL8" s="14" t="str">
        <f t="shared" si="20"/>
        <v/>
      </c>
      <c r="AM8" s="15" t="str">
        <f t="shared" si="20"/>
        <v/>
      </c>
      <c r="AN8" s="16" t="str">
        <f t="shared" si="20"/>
        <v/>
      </c>
      <c r="AO8" s="13" t="str">
        <f t="shared" si="20"/>
        <v/>
      </c>
      <c r="AP8" s="14" t="str">
        <f t="shared" si="20"/>
        <v/>
      </c>
      <c r="AQ8" s="14" t="str">
        <f t="shared" ref="AQ8:BF25" si="21">IF(AND(AQ$5&gt;=$C8,AQ$5&lt;=$E8),1,"")</f>
        <v/>
      </c>
      <c r="AR8" s="14" t="str">
        <f t="shared" si="21"/>
        <v/>
      </c>
      <c r="AS8" s="14" t="str">
        <f t="shared" si="21"/>
        <v/>
      </c>
      <c r="AT8" s="15" t="str">
        <f t="shared" si="21"/>
        <v/>
      </c>
      <c r="AU8" s="16" t="str">
        <f t="shared" si="21"/>
        <v/>
      </c>
      <c r="AV8" s="13" t="str">
        <f t="shared" si="21"/>
        <v/>
      </c>
      <c r="AW8" s="14" t="str">
        <f t="shared" si="21"/>
        <v/>
      </c>
      <c r="AX8" s="14" t="str">
        <f t="shared" si="21"/>
        <v/>
      </c>
      <c r="AY8" s="14" t="str">
        <f t="shared" si="21"/>
        <v/>
      </c>
      <c r="AZ8" s="14" t="str">
        <f t="shared" si="21"/>
        <v/>
      </c>
      <c r="BA8" s="15" t="str">
        <f t="shared" si="21"/>
        <v/>
      </c>
      <c r="BB8" s="16" t="str">
        <f t="shared" si="21"/>
        <v/>
      </c>
      <c r="BC8" s="13" t="str">
        <f t="shared" si="21"/>
        <v/>
      </c>
      <c r="BD8" s="14" t="str">
        <f t="shared" si="21"/>
        <v/>
      </c>
      <c r="BE8" s="14" t="str">
        <f t="shared" si="21"/>
        <v/>
      </c>
      <c r="BF8" s="14" t="str">
        <f t="shared" si="21"/>
        <v/>
      </c>
      <c r="BG8" s="14" t="str">
        <f t="shared" ref="BG8:BV25" si="22">IF(AND(BG$5&gt;=$C8,BG$5&lt;=$E8),1,"")</f>
        <v/>
      </c>
      <c r="BH8" s="15" t="str">
        <f t="shared" si="22"/>
        <v/>
      </c>
      <c r="BI8" s="16" t="str">
        <f t="shared" si="22"/>
        <v/>
      </c>
      <c r="BJ8" s="13" t="str">
        <f t="shared" si="22"/>
        <v/>
      </c>
      <c r="BK8" s="14" t="str">
        <f t="shared" si="22"/>
        <v/>
      </c>
      <c r="BL8" s="14" t="str">
        <f t="shared" si="22"/>
        <v/>
      </c>
      <c r="BM8" s="14" t="str">
        <f t="shared" si="22"/>
        <v/>
      </c>
      <c r="BN8" s="14" t="str">
        <f t="shared" si="22"/>
        <v/>
      </c>
      <c r="BO8" s="15" t="str">
        <f t="shared" si="22"/>
        <v/>
      </c>
      <c r="BP8" s="16" t="str">
        <f t="shared" si="22"/>
        <v/>
      </c>
      <c r="BQ8" s="13" t="str">
        <f t="shared" si="22"/>
        <v/>
      </c>
      <c r="BR8" s="14" t="str">
        <f t="shared" si="22"/>
        <v/>
      </c>
      <c r="BS8" s="14" t="str">
        <f t="shared" si="22"/>
        <v/>
      </c>
      <c r="BT8" s="14" t="str">
        <f t="shared" si="22"/>
        <v/>
      </c>
      <c r="BU8" s="14" t="str">
        <f t="shared" si="22"/>
        <v/>
      </c>
      <c r="BV8" s="15" t="str">
        <f t="shared" si="22"/>
        <v/>
      </c>
      <c r="BW8" s="16" t="str">
        <f t="shared" ref="BW8:CL23" si="23">IF(AND(BW$5&gt;=$C8,BW$5&lt;=$E8),1,"")</f>
        <v/>
      </c>
      <c r="BX8" s="13" t="str">
        <f t="shared" si="23"/>
        <v/>
      </c>
      <c r="BY8" s="14" t="str">
        <f t="shared" si="23"/>
        <v/>
      </c>
      <c r="BZ8" s="14" t="str">
        <f t="shared" si="23"/>
        <v/>
      </c>
      <c r="CA8" s="14" t="str">
        <f t="shared" si="23"/>
        <v/>
      </c>
      <c r="CB8" s="14" t="str">
        <f t="shared" si="23"/>
        <v/>
      </c>
      <c r="CC8" s="15" t="str">
        <f t="shared" si="23"/>
        <v/>
      </c>
      <c r="CD8" s="16" t="str">
        <f t="shared" si="23"/>
        <v/>
      </c>
      <c r="CE8" s="13" t="str">
        <f t="shared" si="23"/>
        <v/>
      </c>
      <c r="CF8" s="14" t="str">
        <f t="shared" si="23"/>
        <v/>
      </c>
      <c r="CG8" s="14" t="str">
        <f t="shared" si="23"/>
        <v/>
      </c>
      <c r="CH8" s="14" t="str">
        <f t="shared" si="23"/>
        <v/>
      </c>
      <c r="CI8" s="14" t="str">
        <f t="shared" si="23"/>
        <v/>
      </c>
      <c r="CJ8" s="15" t="str">
        <f t="shared" si="23"/>
        <v/>
      </c>
      <c r="CK8" s="16" t="str">
        <f t="shared" si="23"/>
        <v/>
      </c>
      <c r="CL8" s="13" t="str">
        <f t="shared" si="23"/>
        <v/>
      </c>
      <c r="CM8" s="14" t="str">
        <f t="shared" ref="CM8:DB23" si="24">IF(AND(CM$5&gt;=$C8,CM$5&lt;=$E8),1,"")</f>
        <v/>
      </c>
      <c r="CN8" s="14" t="str">
        <f t="shared" si="24"/>
        <v/>
      </c>
      <c r="CO8" s="14" t="str">
        <f t="shared" si="24"/>
        <v/>
      </c>
      <c r="CP8" s="14" t="str">
        <f t="shared" si="24"/>
        <v/>
      </c>
      <c r="CQ8" s="15" t="str">
        <f t="shared" si="24"/>
        <v/>
      </c>
      <c r="CR8" s="16" t="str">
        <f t="shared" si="24"/>
        <v/>
      </c>
      <c r="CS8" s="13" t="str">
        <f t="shared" si="24"/>
        <v/>
      </c>
      <c r="CT8" s="14" t="str">
        <f t="shared" si="24"/>
        <v/>
      </c>
      <c r="CU8" s="14" t="str">
        <f t="shared" si="24"/>
        <v/>
      </c>
      <c r="CV8" s="14" t="str">
        <f t="shared" si="24"/>
        <v/>
      </c>
      <c r="CW8" s="14" t="str">
        <f t="shared" si="24"/>
        <v/>
      </c>
      <c r="CX8" s="15" t="str">
        <f t="shared" si="24"/>
        <v/>
      </c>
      <c r="CY8" s="16" t="str">
        <f t="shared" si="24"/>
        <v/>
      </c>
      <c r="CZ8" s="13" t="str">
        <f t="shared" si="24"/>
        <v/>
      </c>
      <c r="DA8" s="14" t="str">
        <f t="shared" si="24"/>
        <v/>
      </c>
      <c r="DB8" s="14" t="str">
        <f t="shared" si="24"/>
        <v/>
      </c>
      <c r="DC8" s="14" t="str">
        <f t="shared" ref="DC8:DT22" si="25">IF(AND(DC$5&gt;=$C8,DC$5&lt;=$E8),1,"")</f>
        <v/>
      </c>
      <c r="DD8" s="14" t="str">
        <f t="shared" si="25"/>
        <v/>
      </c>
      <c r="DE8" s="15" t="str">
        <f t="shared" si="25"/>
        <v/>
      </c>
      <c r="DF8" s="16" t="str">
        <f t="shared" si="25"/>
        <v/>
      </c>
      <c r="DG8" s="13" t="str">
        <f t="shared" si="25"/>
        <v/>
      </c>
      <c r="DH8" s="14" t="str">
        <f t="shared" si="25"/>
        <v/>
      </c>
      <c r="DI8" s="14" t="str">
        <f t="shared" si="25"/>
        <v/>
      </c>
      <c r="DJ8" s="14" t="str">
        <f t="shared" si="25"/>
        <v/>
      </c>
      <c r="DK8" s="14" t="str">
        <f t="shared" si="25"/>
        <v/>
      </c>
      <c r="DL8" s="15" t="str">
        <f t="shared" si="25"/>
        <v/>
      </c>
      <c r="DM8" s="16" t="str">
        <f t="shared" si="25"/>
        <v/>
      </c>
      <c r="DN8" s="13" t="str">
        <f t="shared" si="25"/>
        <v/>
      </c>
      <c r="DO8" s="14" t="str">
        <f t="shared" si="25"/>
        <v/>
      </c>
      <c r="DP8" s="14" t="str">
        <f t="shared" si="25"/>
        <v/>
      </c>
      <c r="DQ8" s="14" t="str">
        <f t="shared" si="25"/>
        <v/>
      </c>
      <c r="DR8" s="14" t="str">
        <f t="shared" si="25"/>
        <v/>
      </c>
      <c r="DS8" s="15" t="str">
        <f t="shared" si="25"/>
        <v/>
      </c>
      <c r="DT8" s="16" t="str">
        <f t="shared" si="25"/>
        <v/>
      </c>
    </row>
    <row r="9" spans="1:124" s="17" customFormat="1" ht="9.75" customHeight="1">
      <c r="A9" s="586"/>
      <c r="B9" s="69" t="str">
        <f>IF(B1="SFK Freight Forwarder","","Day ILN Order")</f>
        <v>Day ILN Order</v>
      </c>
      <c r="C9" s="19">
        <f>IF(B1="SFK Freight Forwarder",0,_xlfn.XLOOKUP(A25,'VTT next'!B:B,'VTT next'!Q:Q,"-",0))</f>
        <v>9</v>
      </c>
      <c r="D9" s="70">
        <v>0</v>
      </c>
      <c r="E9" s="19">
        <f>(C9+D9)</f>
        <v>9</v>
      </c>
      <c r="F9" s="13" t="str">
        <f>IF(AND(F$5&gt;=$C9,F$5&lt;=$E9),1,"")</f>
        <v/>
      </c>
      <c r="G9" s="14" t="str">
        <f t="shared" si="19"/>
        <v/>
      </c>
      <c r="H9" s="14" t="str">
        <f t="shared" si="19"/>
        <v/>
      </c>
      <c r="I9" s="14" t="str">
        <f t="shared" si="19"/>
        <v/>
      </c>
      <c r="J9" s="14" t="str">
        <f t="shared" si="19"/>
        <v/>
      </c>
      <c r="K9" s="15" t="str">
        <f t="shared" si="19"/>
        <v/>
      </c>
      <c r="L9" s="16" t="str">
        <f t="shared" si="19"/>
        <v/>
      </c>
      <c r="M9" s="13" t="str">
        <f t="shared" si="19"/>
        <v/>
      </c>
      <c r="N9" s="14">
        <f t="shared" si="19"/>
        <v>1</v>
      </c>
      <c r="O9" s="14" t="str">
        <f t="shared" si="19"/>
        <v/>
      </c>
      <c r="P9" s="14" t="str">
        <f t="shared" si="19"/>
        <v/>
      </c>
      <c r="Q9" s="14" t="str">
        <f t="shared" si="19"/>
        <v/>
      </c>
      <c r="R9" s="15" t="str">
        <f t="shared" si="19"/>
        <v/>
      </c>
      <c r="S9" s="16" t="str">
        <f t="shared" si="19"/>
        <v/>
      </c>
      <c r="T9" s="13" t="str">
        <f t="shared" si="19"/>
        <v/>
      </c>
      <c r="U9" s="14" t="str">
        <f t="shared" si="19"/>
        <v/>
      </c>
      <c r="V9" s="14" t="str">
        <f t="shared" si="19"/>
        <v/>
      </c>
      <c r="W9" s="14" t="str">
        <f t="shared" si="19"/>
        <v/>
      </c>
      <c r="X9" s="14" t="str">
        <f t="shared" si="19"/>
        <v/>
      </c>
      <c r="Y9" s="15" t="str">
        <f t="shared" si="19"/>
        <v/>
      </c>
      <c r="Z9" s="16" t="str">
        <f t="shared" si="19"/>
        <v/>
      </c>
      <c r="AA9" s="13" t="str">
        <f t="shared" si="20"/>
        <v/>
      </c>
      <c r="AB9" s="14" t="str">
        <f t="shared" si="20"/>
        <v/>
      </c>
      <c r="AC9" s="14" t="str">
        <f t="shared" si="20"/>
        <v/>
      </c>
      <c r="AD9" s="14" t="str">
        <f t="shared" si="20"/>
        <v/>
      </c>
      <c r="AE9" s="14" t="str">
        <f t="shared" si="20"/>
        <v/>
      </c>
      <c r="AF9" s="15" t="str">
        <f t="shared" si="20"/>
        <v/>
      </c>
      <c r="AG9" s="16" t="str">
        <f t="shared" si="20"/>
        <v/>
      </c>
      <c r="AH9" s="13" t="str">
        <f t="shared" si="20"/>
        <v/>
      </c>
      <c r="AI9" s="14" t="str">
        <f t="shared" si="20"/>
        <v/>
      </c>
      <c r="AJ9" s="14" t="str">
        <f t="shared" si="20"/>
        <v/>
      </c>
      <c r="AK9" s="14" t="str">
        <f t="shared" si="20"/>
        <v/>
      </c>
      <c r="AL9" s="14" t="str">
        <f t="shared" si="20"/>
        <v/>
      </c>
      <c r="AM9" s="15" t="str">
        <f t="shared" si="20"/>
        <v/>
      </c>
      <c r="AN9" s="16" t="str">
        <f t="shared" si="20"/>
        <v/>
      </c>
      <c r="AO9" s="13" t="str">
        <f t="shared" si="20"/>
        <v/>
      </c>
      <c r="AP9" s="14" t="str">
        <f t="shared" si="20"/>
        <v/>
      </c>
      <c r="AQ9" s="14" t="str">
        <f t="shared" si="21"/>
        <v/>
      </c>
      <c r="AR9" s="14" t="str">
        <f t="shared" si="21"/>
        <v/>
      </c>
      <c r="AS9" s="14" t="str">
        <f t="shared" si="21"/>
        <v/>
      </c>
      <c r="AT9" s="15" t="str">
        <f t="shared" si="21"/>
        <v/>
      </c>
      <c r="AU9" s="16" t="str">
        <f t="shared" si="21"/>
        <v/>
      </c>
      <c r="AV9" s="13" t="str">
        <f t="shared" si="21"/>
        <v/>
      </c>
      <c r="AW9" s="14" t="str">
        <f t="shared" si="21"/>
        <v/>
      </c>
      <c r="AX9" s="14" t="str">
        <f t="shared" si="21"/>
        <v/>
      </c>
      <c r="AY9" s="14" t="str">
        <f t="shared" si="21"/>
        <v/>
      </c>
      <c r="AZ9" s="14" t="str">
        <f t="shared" si="21"/>
        <v/>
      </c>
      <c r="BA9" s="15" t="str">
        <f t="shared" si="21"/>
        <v/>
      </c>
      <c r="BB9" s="16" t="str">
        <f t="shared" si="21"/>
        <v/>
      </c>
      <c r="BC9" s="13" t="str">
        <f t="shared" si="21"/>
        <v/>
      </c>
      <c r="BD9" s="14" t="str">
        <f t="shared" si="21"/>
        <v/>
      </c>
      <c r="BE9" s="14" t="str">
        <f t="shared" si="21"/>
        <v/>
      </c>
      <c r="BF9" s="14" t="str">
        <f t="shared" si="21"/>
        <v/>
      </c>
      <c r="BG9" s="14" t="str">
        <f t="shared" si="22"/>
        <v/>
      </c>
      <c r="BH9" s="15" t="str">
        <f t="shared" si="22"/>
        <v/>
      </c>
      <c r="BI9" s="16" t="str">
        <f t="shared" si="22"/>
        <v/>
      </c>
      <c r="BJ9" s="13" t="str">
        <f t="shared" si="22"/>
        <v/>
      </c>
      <c r="BK9" s="14" t="str">
        <f t="shared" si="22"/>
        <v/>
      </c>
      <c r="BL9" s="14" t="str">
        <f t="shared" si="22"/>
        <v/>
      </c>
      <c r="BM9" s="14" t="str">
        <f t="shared" si="22"/>
        <v/>
      </c>
      <c r="BN9" s="14" t="str">
        <f t="shared" si="22"/>
        <v/>
      </c>
      <c r="BO9" s="15" t="str">
        <f t="shared" si="22"/>
        <v/>
      </c>
      <c r="BP9" s="16" t="str">
        <f t="shared" si="22"/>
        <v/>
      </c>
      <c r="BQ9" s="13" t="str">
        <f t="shared" si="22"/>
        <v/>
      </c>
      <c r="BR9" s="14" t="str">
        <f t="shared" si="22"/>
        <v/>
      </c>
      <c r="BS9" s="14" t="str">
        <f t="shared" si="22"/>
        <v/>
      </c>
      <c r="BT9" s="14" t="str">
        <f t="shared" si="22"/>
        <v/>
      </c>
      <c r="BU9" s="14" t="str">
        <f t="shared" si="22"/>
        <v/>
      </c>
      <c r="BV9" s="15" t="str">
        <f t="shared" si="22"/>
        <v/>
      </c>
      <c r="BW9" s="16" t="str">
        <f t="shared" si="23"/>
        <v/>
      </c>
      <c r="BX9" s="13" t="str">
        <f t="shared" si="23"/>
        <v/>
      </c>
      <c r="BY9" s="14" t="str">
        <f t="shared" si="23"/>
        <v/>
      </c>
      <c r="BZ9" s="14" t="str">
        <f t="shared" si="23"/>
        <v/>
      </c>
      <c r="CA9" s="14" t="str">
        <f t="shared" si="23"/>
        <v/>
      </c>
      <c r="CB9" s="14" t="str">
        <f t="shared" si="23"/>
        <v/>
      </c>
      <c r="CC9" s="15" t="str">
        <f t="shared" si="23"/>
        <v/>
      </c>
      <c r="CD9" s="16" t="str">
        <f t="shared" si="23"/>
        <v/>
      </c>
      <c r="CE9" s="13" t="str">
        <f t="shared" si="23"/>
        <v/>
      </c>
      <c r="CF9" s="14" t="str">
        <f t="shared" si="23"/>
        <v/>
      </c>
      <c r="CG9" s="14" t="str">
        <f t="shared" si="23"/>
        <v/>
      </c>
      <c r="CH9" s="14" t="str">
        <f t="shared" si="23"/>
        <v/>
      </c>
      <c r="CI9" s="14" t="str">
        <f t="shared" si="23"/>
        <v/>
      </c>
      <c r="CJ9" s="15" t="str">
        <f t="shared" si="23"/>
        <v/>
      </c>
      <c r="CK9" s="16" t="str">
        <f t="shared" si="23"/>
        <v/>
      </c>
      <c r="CL9" s="13" t="str">
        <f t="shared" si="23"/>
        <v/>
      </c>
      <c r="CM9" s="14" t="str">
        <f t="shared" si="24"/>
        <v/>
      </c>
      <c r="CN9" s="14" t="str">
        <f t="shared" si="24"/>
        <v/>
      </c>
      <c r="CO9" s="14" t="str">
        <f t="shared" si="24"/>
        <v/>
      </c>
      <c r="CP9" s="14" t="str">
        <f t="shared" si="24"/>
        <v/>
      </c>
      <c r="CQ9" s="15" t="str">
        <f t="shared" si="24"/>
        <v/>
      </c>
      <c r="CR9" s="16" t="str">
        <f t="shared" si="24"/>
        <v/>
      </c>
      <c r="CS9" s="13" t="str">
        <f t="shared" si="24"/>
        <v/>
      </c>
      <c r="CT9" s="14" t="str">
        <f t="shared" si="24"/>
        <v/>
      </c>
      <c r="CU9" s="14" t="str">
        <f t="shared" si="24"/>
        <v/>
      </c>
      <c r="CV9" s="14" t="str">
        <f t="shared" si="24"/>
        <v/>
      </c>
      <c r="CW9" s="14" t="str">
        <f t="shared" si="24"/>
        <v/>
      </c>
      <c r="CX9" s="15" t="str">
        <f t="shared" si="24"/>
        <v/>
      </c>
      <c r="CY9" s="16" t="str">
        <f t="shared" si="24"/>
        <v/>
      </c>
      <c r="CZ9" s="13" t="str">
        <f t="shared" si="24"/>
        <v/>
      </c>
      <c r="DA9" s="14" t="str">
        <f t="shared" si="24"/>
        <v/>
      </c>
      <c r="DB9" s="14" t="str">
        <f t="shared" si="24"/>
        <v/>
      </c>
      <c r="DC9" s="14" t="str">
        <f t="shared" si="25"/>
        <v/>
      </c>
      <c r="DD9" s="14" t="str">
        <f t="shared" si="25"/>
        <v/>
      </c>
      <c r="DE9" s="15" t="str">
        <f t="shared" si="25"/>
        <v/>
      </c>
      <c r="DF9" s="16" t="str">
        <f t="shared" si="25"/>
        <v/>
      </c>
      <c r="DG9" s="13" t="str">
        <f t="shared" si="25"/>
        <v/>
      </c>
      <c r="DH9" s="14" t="str">
        <f t="shared" si="25"/>
        <v/>
      </c>
      <c r="DI9" s="14" t="str">
        <f t="shared" si="25"/>
        <v/>
      </c>
      <c r="DJ9" s="14" t="str">
        <f t="shared" si="25"/>
        <v/>
      </c>
      <c r="DK9" s="14" t="str">
        <f t="shared" si="25"/>
        <v/>
      </c>
      <c r="DL9" s="15" t="str">
        <f t="shared" si="25"/>
        <v/>
      </c>
      <c r="DM9" s="16" t="str">
        <f t="shared" si="25"/>
        <v/>
      </c>
      <c r="DN9" s="13" t="str">
        <f t="shared" si="25"/>
        <v/>
      </c>
      <c r="DO9" s="14" t="str">
        <f t="shared" si="25"/>
        <v/>
      </c>
      <c r="DP9" s="14" t="str">
        <f t="shared" si="25"/>
        <v/>
      </c>
      <c r="DQ9" s="14" t="str">
        <f t="shared" si="25"/>
        <v/>
      </c>
      <c r="DR9" s="14" t="str">
        <f t="shared" si="25"/>
        <v/>
      </c>
      <c r="DS9" s="15" t="str">
        <f t="shared" si="25"/>
        <v/>
      </c>
      <c r="DT9" s="16" t="str">
        <f t="shared" si="25"/>
        <v/>
      </c>
    </row>
    <row r="10" spans="1:124" s="17" customFormat="1" ht="9.75" customHeight="1">
      <c r="A10" s="586"/>
      <c r="B10" s="69" t="str">
        <f>IF(B1="SFK Freight Forwarder","","Time of recept in AILN")</f>
        <v>Time of recept in AILN</v>
      </c>
      <c r="C10" s="19" t="e">
        <f ca="1">IF(B1="SFK Freight Forwarder",0,_xlfn.XLOOKUP(A25,'VTT next'!B:B,'VTT next'!R:R,"-",0)+E9-1)</f>
        <v>#N/A</v>
      </c>
      <c r="D10" s="19" t="e">
        <f ca="1">IF(B1="SFK Freight Forwarder",0,_xlfn.XLOOKUP(A25,'VTT next'!B:B,'VTT next'!S:S,"-",0))</f>
        <v>#N/A</v>
      </c>
      <c r="E10" s="19" t="e">
        <f ca="1">IF(B1="SFK Freight Forwarder",0,(C10+D10)-1)</f>
        <v>#N/A</v>
      </c>
      <c r="F10" s="13" t="e">
        <f t="shared" ref="F10:BQ10" ca="1" si="26">IF(AND(F$5&gt;=$C10,F$5&lt;=$E10),1,"")</f>
        <v>#N/A</v>
      </c>
      <c r="G10" s="14" t="e">
        <f t="shared" ca="1" si="26"/>
        <v>#N/A</v>
      </c>
      <c r="H10" s="14" t="e">
        <f t="shared" ca="1" si="26"/>
        <v>#N/A</v>
      </c>
      <c r="I10" s="14" t="e">
        <f t="shared" ca="1" si="26"/>
        <v>#N/A</v>
      </c>
      <c r="J10" s="14" t="e">
        <f t="shared" ca="1" si="26"/>
        <v>#N/A</v>
      </c>
      <c r="K10" s="15" t="e">
        <f t="shared" ca="1" si="26"/>
        <v>#N/A</v>
      </c>
      <c r="L10" s="16" t="e">
        <f t="shared" ca="1" si="26"/>
        <v>#N/A</v>
      </c>
      <c r="M10" s="13" t="e">
        <f t="shared" ca="1" si="26"/>
        <v>#N/A</v>
      </c>
      <c r="N10" s="14" t="e">
        <f t="shared" ca="1" si="26"/>
        <v>#N/A</v>
      </c>
      <c r="O10" s="14" t="e">
        <f t="shared" ca="1" si="26"/>
        <v>#N/A</v>
      </c>
      <c r="P10" s="14" t="e">
        <f t="shared" ca="1" si="26"/>
        <v>#N/A</v>
      </c>
      <c r="Q10" s="14" t="e">
        <f t="shared" ca="1" si="26"/>
        <v>#N/A</v>
      </c>
      <c r="R10" s="15" t="e">
        <f t="shared" ca="1" si="26"/>
        <v>#N/A</v>
      </c>
      <c r="S10" s="16" t="e">
        <f t="shared" ca="1" si="26"/>
        <v>#N/A</v>
      </c>
      <c r="T10" s="13" t="e">
        <f t="shared" ca="1" si="26"/>
        <v>#N/A</v>
      </c>
      <c r="U10" s="14" t="e">
        <f t="shared" ca="1" si="26"/>
        <v>#N/A</v>
      </c>
      <c r="V10" s="14" t="e">
        <f t="shared" ca="1" si="26"/>
        <v>#N/A</v>
      </c>
      <c r="W10" s="14" t="e">
        <f t="shared" ca="1" si="26"/>
        <v>#N/A</v>
      </c>
      <c r="X10" s="14" t="e">
        <f t="shared" ca="1" si="26"/>
        <v>#N/A</v>
      </c>
      <c r="Y10" s="15" t="e">
        <f t="shared" ca="1" si="26"/>
        <v>#N/A</v>
      </c>
      <c r="Z10" s="16" t="e">
        <f t="shared" ca="1" si="26"/>
        <v>#N/A</v>
      </c>
      <c r="AA10" s="13" t="e">
        <f t="shared" ca="1" si="26"/>
        <v>#N/A</v>
      </c>
      <c r="AB10" s="14" t="e">
        <f t="shared" ca="1" si="26"/>
        <v>#N/A</v>
      </c>
      <c r="AC10" s="14" t="e">
        <f t="shared" ca="1" si="26"/>
        <v>#N/A</v>
      </c>
      <c r="AD10" s="14" t="e">
        <f t="shared" ca="1" si="26"/>
        <v>#N/A</v>
      </c>
      <c r="AE10" s="14" t="e">
        <f t="shared" ca="1" si="26"/>
        <v>#N/A</v>
      </c>
      <c r="AF10" s="15" t="e">
        <f t="shared" ca="1" si="26"/>
        <v>#N/A</v>
      </c>
      <c r="AG10" s="16" t="e">
        <f t="shared" ca="1" si="26"/>
        <v>#N/A</v>
      </c>
      <c r="AH10" s="13" t="e">
        <f t="shared" ca="1" si="26"/>
        <v>#N/A</v>
      </c>
      <c r="AI10" s="14" t="e">
        <f t="shared" ca="1" si="26"/>
        <v>#N/A</v>
      </c>
      <c r="AJ10" s="14" t="e">
        <f t="shared" ca="1" si="26"/>
        <v>#N/A</v>
      </c>
      <c r="AK10" s="14" t="e">
        <f t="shared" ca="1" si="26"/>
        <v>#N/A</v>
      </c>
      <c r="AL10" s="14" t="e">
        <f t="shared" ca="1" si="26"/>
        <v>#N/A</v>
      </c>
      <c r="AM10" s="15" t="e">
        <f t="shared" ca="1" si="26"/>
        <v>#N/A</v>
      </c>
      <c r="AN10" s="16" t="e">
        <f t="shared" ca="1" si="26"/>
        <v>#N/A</v>
      </c>
      <c r="AO10" s="13" t="e">
        <f t="shared" ca="1" si="26"/>
        <v>#N/A</v>
      </c>
      <c r="AP10" s="14" t="e">
        <f t="shared" ca="1" si="26"/>
        <v>#N/A</v>
      </c>
      <c r="AQ10" s="14" t="e">
        <f t="shared" ca="1" si="26"/>
        <v>#N/A</v>
      </c>
      <c r="AR10" s="14" t="e">
        <f t="shared" ca="1" si="26"/>
        <v>#N/A</v>
      </c>
      <c r="AS10" s="14" t="e">
        <f t="shared" ca="1" si="26"/>
        <v>#N/A</v>
      </c>
      <c r="AT10" s="15" t="e">
        <f t="shared" ca="1" si="26"/>
        <v>#N/A</v>
      </c>
      <c r="AU10" s="16" t="e">
        <f t="shared" ca="1" si="26"/>
        <v>#N/A</v>
      </c>
      <c r="AV10" s="13" t="e">
        <f t="shared" ca="1" si="26"/>
        <v>#N/A</v>
      </c>
      <c r="AW10" s="14" t="e">
        <f t="shared" ca="1" si="26"/>
        <v>#N/A</v>
      </c>
      <c r="AX10" s="14" t="e">
        <f t="shared" ca="1" si="26"/>
        <v>#N/A</v>
      </c>
      <c r="AY10" s="14" t="e">
        <f t="shared" ca="1" si="26"/>
        <v>#N/A</v>
      </c>
      <c r="AZ10" s="14" t="e">
        <f t="shared" ca="1" si="26"/>
        <v>#N/A</v>
      </c>
      <c r="BA10" s="15" t="e">
        <f t="shared" ca="1" si="26"/>
        <v>#N/A</v>
      </c>
      <c r="BB10" s="16" t="e">
        <f t="shared" ca="1" si="26"/>
        <v>#N/A</v>
      </c>
      <c r="BC10" s="13" t="e">
        <f t="shared" ca="1" si="26"/>
        <v>#N/A</v>
      </c>
      <c r="BD10" s="14" t="e">
        <f t="shared" ca="1" si="26"/>
        <v>#N/A</v>
      </c>
      <c r="BE10" s="14" t="e">
        <f t="shared" ca="1" si="26"/>
        <v>#N/A</v>
      </c>
      <c r="BF10" s="14" t="e">
        <f t="shared" ca="1" si="26"/>
        <v>#N/A</v>
      </c>
      <c r="BG10" s="14" t="e">
        <f t="shared" ca="1" si="26"/>
        <v>#N/A</v>
      </c>
      <c r="BH10" s="15" t="e">
        <f t="shared" ca="1" si="26"/>
        <v>#N/A</v>
      </c>
      <c r="BI10" s="16" t="e">
        <f t="shared" ca="1" si="26"/>
        <v>#N/A</v>
      </c>
      <c r="BJ10" s="13" t="e">
        <f t="shared" ca="1" si="26"/>
        <v>#N/A</v>
      </c>
      <c r="BK10" s="14" t="e">
        <f t="shared" ca="1" si="26"/>
        <v>#N/A</v>
      </c>
      <c r="BL10" s="14" t="e">
        <f t="shared" ca="1" si="26"/>
        <v>#N/A</v>
      </c>
      <c r="BM10" s="14" t="e">
        <f t="shared" ca="1" si="26"/>
        <v>#N/A</v>
      </c>
      <c r="BN10" s="14" t="e">
        <f t="shared" ca="1" si="26"/>
        <v>#N/A</v>
      </c>
      <c r="BO10" s="15" t="e">
        <f t="shared" ca="1" si="26"/>
        <v>#N/A</v>
      </c>
      <c r="BP10" s="16" t="e">
        <f t="shared" ca="1" si="26"/>
        <v>#N/A</v>
      </c>
      <c r="BQ10" s="13" t="e">
        <f t="shared" ca="1" si="26"/>
        <v>#N/A</v>
      </c>
      <c r="BR10" s="14" t="e">
        <f t="shared" ca="1" si="22"/>
        <v>#N/A</v>
      </c>
      <c r="BS10" s="14" t="e">
        <f t="shared" ca="1" si="22"/>
        <v>#N/A</v>
      </c>
      <c r="BT10" s="14" t="e">
        <f t="shared" ca="1" si="22"/>
        <v>#N/A</v>
      </c>
      <c r="BU10" s="14" t="e">
        <f t="shared" ca="1" si="22"/>
        <v>#N/A</v>
      </c>
      <c r="BV10" s="15" t="e">
        <f t="shared" ca="1" si="22"/>
        <v>#N/A</v>
      </c>
      <c r="BW10" s="16" t="e">
        <f t="shared" ca="1" si="23"/>
        <v>#N/A</v>
      </c>
      <c r="BX10" s="13" t="e">
        <f t="shared" ca="1" si="23"/>
        <v>#N/A</v>
      </c>
      <c r="BY10" s="14" t="e">
        <f t="shared" ca="1" si="23"/>
        <v>#N/A</v>
      </c>
      <c r="BZ10" s="14" t="e">
        <f t="shared" ca="1" si="23"/>
        <v>#N/A</v>
      </c>
      <c r="CA10" s="14" t="e">
        <f t="shared" ca="1" si="23"/>
        <v>#N/A</v>
      </c>
      <c r="CB10" s="14" t="e">
        <f t="shared" ca="1" si="23"/>
        <v>#N/A</v>
      </c>
      <c r="CC10" s="15" t="e">
        <f t="shared" ca="1" si="23"/>
        <v>#N/A</v>
      </c>
      <c r="CD10" s="16" t="e">
        <f t="shared" ca="1" si="23"/>
        <v>#N/A</v>
      </c>
      <c r="CE10" s="13" t="e">
        <f t="shared" ca="1" si="23"/>
        <v>#N/A</v>
      </c>
      <c r="CF10" s="14" t="e">
        <f t="shared" ca="1" si="23"/>
        <v>#N/A</v>
      </c>
      <c r="CG10" s="14" t="e">
        <f t="shared" ca="1" si="23"/>
        <v>#N/A</v>
      </c>
      <c r="CH10" s="14" t="e">
        <f t="shared" ca="1" si="23"/>
        <v>#N/A</v>
      </c>
      <c r="CI10" s="14" t="e">
        <f t="shared" ca="1" si="23"/>
        <v>#N/A</v>
      </c>
      <c r="CJ10" s="15" t="e">
        <f t="shared" ca="1" si="23"/>
        <v>#N/A</v>
      </c>
      <c r="CK10" s="16" t="e">
        <f t="shared" ca="1" si="23"/>
        <v>#N/A</v>
      </c>
      <c r="CL10" s="13" t="e">
        <f t="shared" ca="1" si="23"/>
        <v>#N/A</v>
      </c>
      <c r="CM10" s="14" t="e">
        <f t="shared" ca="1" si="24"/>
        <v>#N/A</v>
      </c>
      <c r="CN10" s="14" t="e">
        <f t="shared" ca="1" si="24"/>
        <v>#N/A</v>
      </c>
      <c r="CO10" s="14" t="e">
        <f t="shared" ca="1" si="24"/>
        <v>#N/A</v>
      </c>
      <c r="CP10" s="14" t="e">
        <f t="shared" ca="1" si="24"/>
        <v>#N/A</v>
      </c>
      <c r="CQ10" s="15" t="e">
        <f t="shared" ca="1" si="24"/>
        <v>#N/A</v>
      </c>
      <c r="CR10" s="16" t="e">
        <f t="shared" ca="1" si="24"/>
        <v>#N/A</v>
      </c>
      <c r="CS10" s="13" t="e">
        <f t="shared" ca="1" si="24"/>
        <v>#N/A</v>
      </c>
      <c r="CT10" s="14" t="e">
        <f t="shared" ca="1" si="24"/>
        <v>#N/A</v>
      </c>
      <c r="CU10" s="14" t="e">
        <f t="shared" ca="1" si="24"/>
        <v>#N/A</v>
      </c>
      <c r="CV10" s="14" t="e">
        <f t="shared" ca="1" si="24"/>
        <v>#N/A</v>
      </c>
      <c r="CW10" s="14" t="e">
        <f t="shared" ca="1" si="24"/>
        <v>#N/A</v>
      </c>
      <c r="CX10" s="15" t="e">
        <f t="shared" ca="1" si="24"/>
        <v>#N/A</v>
      </c>
      <c r="CY10" s="16" t="e">
        <f t="shared" ca="1" si="24"/>
        <v>#N/A</v>
      </c>
      <c r="CZ10" s="13" t="e">
        <f t="shared" ca="1" si="24"/>
        <v>#N/A</v>
      </c>
      <c r="DA10" s="14" t="e">
        <f t="shared" ca="1" si="24"/>
        <v>#N/A</v>
      </c>
      <c r="DB10" s="14" t="e">
        <f t="shared" ca="1" si="24"/>
        <v>#N/A</v>
      </c>
      <c r="DC10" s="14" t="e">
        <f t="shared" ca="1" si="25"/>
        <v>#N/A</v>
      </c>
      <c r="DD10" s="14" t="e">
        <f t="shared" ca="1" si="25"/>
        <v>#N/A</v>
      </c>
      <c r="DE10" s="15" t="e">
        <f t="shared" ca="1" si="25"/>
        <v>#N/A</v>
      </c>
      <c r="DF10" s="16" t="e">
        <f t="shared" ca="1" si="25"/>
        <v>#N/A</v>
      </c>
      <c r="DG10" s="13" t="e">
        <f t="shared" ca="1" si="25"/>
        <v>#N/A</v>
      </c>
      <c r="DH10" s="14" t="e">
        <f t="shared" ca="1" si="25"/>
        <v>#N/A</v>
      </c>
      <c r="DI10" s="14" t="e">
        <f t="shared" ca="1" si="25"/>
        <v>#N/A</v>
      </c>
      <c r="DJ10" s="14" t="e">
        <f t="shared" ca="1" si="25"/>
        <v>#N/A</v>
      </c>
      <c r="DK10" s="14" t="e">
        <f t="shared" ca="1" si="25"/>
        <v>#N/A</v>
      </c>
      <c r="DL10" s="15" t="e">
        <f t="shared" ca="1" si="25"/>
        <v>#N/A</v>
      </c>
      <c r="DM10" s="16" t="e">
        <f t="shared" ca="1" si="25"/>
        <v>#N/A</v>
      </c>
      <c r="DN10" s="13" t="e">
        <f t="shared" ca="1" si="25"/>
        <v>#N/A</v>
      </c>
      <c r="DO10" s="14" t="e">
        <f t="shared" ca="1" si="25"/>
        <v>#N/A</v>
      </c>
      <c r="DP10" s="14" t="e">
        <f t="shared" ca="1" si="25"/>
        <v>#N/A</v>
      </c>
      <c r="DQ10" s="14" t="e">
        <f t="shared" ca="1" si="25"/>
        <v>#N/A</v>
      </c>
      <c r="DR10" s="14" t="e">
        <f t="shared" ca="1" si="25"/>
        <v>#N/A</v>
      </c>
      <c r="DS10" s="15" t="e">
        <f t="shared" ca="1" si="25"/>
        <v>#N/A</v>
      </c>
      <c r="DT10" s="16" t="e">
        <f t="shared" ca="1" si="25"/>
        <v>#N/A</v>
      </c>
    </row>
    <row r="11" spans="1:124" s="17" customFormat="1" ht="9.75" customHeight="1">
      <c r="A11" s="586"/>
      <c r="B11" s="18" t="s">
        <v>41</v>
      </c>
      <c r="C11" s="19" t="e">
        <f ca="1">_xlfn.XLOOKUP(A25,'VTT next'!B:B,'VTT next'!U:U,"-",0)+1</f>
        <v>#N/A</v>
      </c>
      <c r="D11" s="19" t="e">
        <f ca="1">_xlfn.XLOOKUP(A25,'VTT next'!B:B,'VTT next'!T:T,"-",0)</f>
        <v>#N/A</v>
      </c>
      <c r="E11" s="19" t="e">
        <f t="shared" ref="E11:E24" ca="1" si="27">(C11+D11)-1</f>
        <v>#N/A</v>
      </c>
      <c r="F11" s="13" t="e">
        <f t="shared" ca="1" si="19"/>
        <v>#N/A</v>
      </c>
      <c r="G11" s="14" t="e">
        <f t="shared" ca="1" si="19"/>
        <v>#N/A</v>
      </c>
      <c r="H11" s="14" t="e">
        <f t="shared" ca="1" si="19"/>
        <v>#N/A</v>
      </c>
      <c r="I11" s="14" t="e">
        <f t="shared" ca="1" si="19"/>
        <v>#N/A</v>
      </c>
      <c r="J11" s="14" t="e">
        <f t="shared" ca="1" si="19"/>
        <v>#N/A</v>
      </c>
      <c r="K11" s="15" t="e">
        <f t="shared" ca="1" si="19"/>
        <v>#N/A</v>
      </c>
      <c r="L11" s="16" t="e">
        <f t="shared" ca="1" si="19"/>
        <v>#N/A</v>
      </c>
      <c r="M11" s="13" t="e">
        <f t="shared" ca="1" si="19"/>
        <v>#N/A</v>
      </c>
      <c r="N11" s="14" t="e">
        <f t="shared" ca="1" si="19"/>
        <v>#N/A</v>
      </c>
      <c r="O11" s="14" t="e">
        <f t="shared" ca="1" si="19"/>
        <v>#N/A</v>
      </c>
      <c r="P11" s="14" t="e">
        <f t="shared" ca="1" si="19"/>
        <v>#N/A</v>
      </c>
      <c r="Q11" s="14" t="e">
        <f t="shared" ca="1" si="19"/>
        <v>#N/A</v>
      </c>
      <c r="R11" s="15" t="e">
        <f t="shared" ca="1" si="19"/>
        <v>#N/A</v>
      </c>
      <c r="S11" s="16" t="e">
        <f t="shared" ca="1" si="19"/>
        <v>#N/A</v>
      </c>
      <c r="T11" s="13" t="e">
        <f t="shared" ca="1" si="19"/>
        <v>#N/A</v>
      </c>
      <c r="U11" s="14" t="e">
        <f t="shared" ca="1" si="19"/>
        <v>#N/A</v>
      </c>
      <c r="V11" s="14" t="e">
        <f t="shared" ca="1" si="19"/>
        <v>#N/A</v>
      </c>
      <c r="W11" s="14" t="e">
        <f t="shared" ca="1" si="19"/>
        <v>#N/A</v>
      </c>
      <c r="X11" s="14" t="e">
        <f t="shared" ca="1" si="19"/>
        <v>#N/A</v>
      </c>
      <c r="Y11" s="15" t="e">
        <f t="shared" ca="1" si="19"/>
        <v>#N/A</v>
      </c>
      <c r="Z11" s="16" t="e">
        <f t="shared" ca="1" si="19"/>
        <v>#N/A</v>
      </c>
      <c r="AA11" s="13" t="e">
        <f t="shared" ca="1" si="20"/>
        <v>#N/A</v>
      </c>
      <c r="AB11" s="14" t="e">
        <f t="shared" ca="1" si="20"/>
        <v>#N/A</v>
      </c>
      <c r="AC11" s="14" t="e">
        <f t="shared" ca="1" si="20"/>
        <v>#N/A</v>
      </c>
      <c r="AD11" s="14" t="e">
        <f t="shared" ca="1" si="20"/>
        <v>#N/A</v>
      </c>
      <c r="AE11" s="14" t="e">
        <f t="shared" ca="1" si="20"/>
        <v>#N/A</v>
      </c>
      <c r="AF11" s="15" t="e">
        <f t="shared" ca="1" si="20"/>
        <v>#N/A</v>
      </c>
      <c r="AG11" s="16" t="e">
        <f t="shared" ca="1" si="20"/>
        <v>#N/A</v>
      </c>
      <c r="AH11" s="13" t="e">
        <f t="shared" ca="1" si="20"/>
        <v>#N/A</v>
      </c>
      <c r="AI11" s="14" t="e">
        <f t="shared" ca="1" si="20"/>
        <v>#N/A</v>
      </c>
      <c r="AJ11" s="14" t="e">
        <f t="shared" ca="1" si="20"/>
        <v>#N/A</v>
      </c>
      <c r="AK11" s="14" t="e">
        <f t="shared" ca="1" si="20"/>
        <v>#N/A</v>
      </c>
      <c r="AL11" s="14" t="e">
        <f t="shared" ca="1" si="20"/>
        <v>#N/A</v>
      </c>
      <c r="AM11" s="15" t="e">
        <f t="shared" ca="1" si="20"/>
        <v>#N/A</v>
      </c>
      <c r="AN11" s="16" t="e">
        <f t="shared" ca="1" si="20"/>
        <v>#N/A</v>
      </c>
      <c r="AO11" s="13" t="e">
        <f t="shared" ca="1" si="20"/>
        <v>#N/A</v>
      </c>
      <c r="AP11" s="14" t="e">
        <f t="shared" ca="1" si="20"/>
        <v>#N/A</v>
      </c>
      <c r="AQ11" s="14" t="e">
        <f t="shared" ca="1" si="21"/>
        <v>#N/A</v>
      </c>
      <c r="AR11" s="14" t="e">
        <f t="shared" ca="1" si="21"/>
        <v>#N/A</v>
      </c>
      <c r="AS11" s="14" t="e">
        <f t="shared" ca="1" si="21"/>
        <v>#N/A</v>
      </c>
      <c r="AT11" s="15" t="e">
        <f t="shared" ca="1" si="21"/>
        <v>#N/A</v>
      </c>
      <c r="AU11" s="16" t="e">
        <f t="shared" ca="1" si="21"/>
        <v>#N/A</v>
      </c>
      <c r="AV11" s="13" t="e">
        <f t="shared" ca="1" si="21"/>
        <v>#N/A</v>
      </c>
      <c r="AW11" s="14" t="e">
        <f t="shared" ca="1" si="21"/>
        <v>#N/A</v>
      </c>
      <c r="AX11" s="14" t="e">
        <f t="shared" ca="1" si="21"/>
        <v>#N/A</v>
      </c>
      <c r="AY11" s="14" t="e">
        <f t="shared" ca="1" si="21"/>
        <v>#N/A</v>
      </c>
      <c r="AZ11" s="14" t="e">
        <f t="shared" ca="1" si="21"/>
        <v>#N/A</v>
      </c>
      <c r="BA11" s="15" t="e">
        <f t="shared" ca="1" si="21"/>
        <v>#N/A</v>
      </c>
      <c r="BB11" s="16" t="e">
        <f t="shared" ca="1" si="21"/>
        <v>#N/A</v>
      </c>
      <c r="BC11" s="13" t="e">
        <f t="shared" ca="1" si="21"/>
        <v>#N/A</v>
      </c>
      <c r="BD11" s="14" t="e">
        <f t="shared" ca="1" si="21"/>
        <v>#N/A</v>
      </c>
      <c r="BE11" s="14" t="e">
        <f t="shared" ca="1" si="21"/>
        <v>#N/A</v>
      </c>
      <c r="BF11" s="14" t="e">
        <f t="shared" ca="1" si="21"/>
        <v>#N/A</v>
      </c>
      <c r="BG11" s="14" t="e">
        <f t="shared" ca="1" si="22"/>
        <v>#N/A</v>
      </c>
      <c r="BH11" s="15" t="e">
        <f t="shared" ca="1" si="22"/>
        <v>#N/A</v>
      </c>
      <c r="BI11" s="16" t="e">
        <f t="shared" ca="1" si="22"/>
        <v>#N/A</v>
      </c>
      <c r="BJ11" s="13" t="e">
        <f t="shared" ca="1" si="22"/>
        <v>#N/A</v>
      </c>
      <c r="BK11" s="14" t="e">
        <f t="shared" ca="1" si="22"/>
        <v>#N/A</v>
      </c>
      <c r="BL11" s="14" t="e">
        <f t="shared" ca="1" si="22"/>
        <v>#N/A</v>
      </c>
      <c r="BM11" s="14" t="e">
        <f t="shared" ca="1" si="22"/>
        <v>#N/A</v>
      </c>
      <c r="BN11" s="14" t="e">
        <f t="shared" ca="1" si="22"/>
        <v>#N/A</v>
      </c>
      <c r="BO11" s="15" t="e">
        <f t="shared" ca="1" si="22"/>
        <v>#N/A</v>
      </c>
      <c r="BP11" s="16" t="e">
        <f t="shared" ca="1" si="22"/>
        <v>#N/A</v>
      </c>
      <c r="BQ11" s="13" t="e">
        <f t="shared" ca="1" si="22"/>
        <v>#N/A</v>
      </c>
      <c r="BR11" s="14" t="e">
        <f t="shared" ca="1" si="22"/>
        <v>#N/A</v>
      </c>
      <c r="BS11" s="14" t="e">
        <f t="shared" ca="1" si="22"/>
        <v>#N/A</v>
      </c>
      <c r="BT11" s="14" t="e">
        <f t="shared" ca="1" si="22"/>
        <v>#N/A</v>
      </c>
      <c r="BU11" s="14" t="e">
        <f t="shared" ca="1" si="22"/>
        <v>#N/A</v>
      </c>
      <c r="BV11" s="15" t="e">
        <f t="shared" ca="1" si="22"/>
        <v>#N/A</v>
      </c>
      <c r="BW11" s="16" t="e">
        <f t="shared" ca="1" si="23"/>
        <v>#N/A</v>
      </c>
      <c r="BX11" s="13" t="e">
        <f t="shared" ca="1" si="23"/>
        <v>#N/A</v>
      </c>
      <c r="BY11" s="14" t="e">
        <f t="shared" ca="1" si="23"/>
        <v>#N/A</v>
      </c>
      <c r="BZ11" s="14" t="e">
        <f t="shared" ca="1" si="23"/>
        <v>#N/A</v>
      </c>
      <c r="CA11" s="14" t="e">
        <f t="shared" ca="1" si="23"/>
        <v>#N/A</v>
      </c>
      <c r="CB11" s="14" t="e">
        <f t="shared" ca="1" si="23"/>
        <v>#N/A</v>
      </c>
      <c r="CC11" s="15" t="e">
        <f t="shared" ca="1" si="23"/>
        <v>#N/A</v>
      </c>
      <c r="CD11" s="16" t="e">
        <f t="shared" ca="1" si="23"/>
        <v>#N/A</v>
      </c>
      <c r="CE11" s="13" t="e">
        <f t="shared" ca="1" si="23"/>
        <v>#N/A</v>
      </c>
      <c r="CF11" s="14" t="e">
        <f t="shared" ca="1" si="23"/>
        <v>#N/A</v>
      </c>
      <c r="CG11" s="14" t="e">
        <f t="shared" ca="1" si="23"/>
        <v>#N/A</v>
      </c>
      <c r="CH11" s="14" t="e">
        <f t="shared" ca="1" si="23"/>
        <v>#N/A</v>
      </c>
      <c r="CI11" s="14" t="e">
        <f t="shared" ca="1" si="23"/>
        <v>#N/A</v>
      </c>
      <c r="CJ11" s="15" t="e">
        <f t="shared" ca="1" si="23"/>
        <v>#N/A</v>
      </c>
      <c r="CK11" s="16" t="e">
        <f t="shared" ca="1" si="23"/>
        <v>#N/A</v>
      </c>
      <c r="CL11" s="13" t="e">
        <f t="shared" ca="1" si="23"/>
        <v>#N/A</v>
      </c>
      <c r="CM11" s="14" t="e">
        <f t="shared" ca="1" si="24"/>
        <v>#N/A</v>
      </c>
      <c r="CN11" s="14" t="e">
        <f t="shared" ca="1" si="24"/>
        <v>#N/A</v>
      </c>
      <c r="CO11" s="14" t="e">
        <f t="shared" ca="1" si="24"/>
        <v>#N/A</v>
      </c>
      <c r="CP11" s="14" t="e">
        <f t="shared" ca="1" si="24"/>
        <v>#N/A</v>
      </c>
      <c r="CQ11" s="15" t="e">
        <f t="shared" ca="1" si="24"/>
        <v>#N/A</v>
      </c>
      <c r="CR11" s="16" t="e">
        <f t="shared" ca="1" si="24"/>
        <v>#N/A</v>
      </c>
      <c r="CS11" s="13" t="e">
        <f t="shared" ca="1" si="24"/>
        <v>#N/A</v>
      </c>
      <c r="CT11" s="14" t="e">
        <f t="shared" ca="1" si="24"/>
        <v>#N/A</v>
      </c>
      <c r="CU11" s="14" t="e">
        <f t="shared" ca="1" si="24"/>
        <v>#N/A</v>
      </c>
      <c r="CV11" s="14" t="e">
        <f t="shared" ca="1" si="24"/>
        <v>#N/A</v>
      </c>
      <c r="CW11" s="14" t="e">
        <f t="shared" ca="1" si="24"/>
        <v>#N/A</v>
      </c>
      <c r="CX11" s="15" t="e">
        <f t="shared" ca="1" si="24"/>
        <v>#N/A</v>
      </c>
      <c r="CY11" s="16" t="e">
        <f t="shared" ca="1" si="24"/>
        <v>#N/A</v>
      </c>
      <c r="CZ11" s="13" t="e">
        <f t="shared" ca="1" si="24"/>
        <v>#N/A</v>
      </c>
      <c r="DA11" s="14" t="e">
        <f t="shared" ca="1" si="24"/>
        <v>#N/A</v>
      </c>
      <c r="DB11" s="14" t="e">
        <f t="shared" ca="1" si="24"/>
        <v>#N/A</v>
      </c>
      <c r="DC11" s="14" t="e">
        <f t="shared" ca="1" si="25"/>
        <v>#N/A</v>
      </c>
      <c r="DD11" s="14" t="e">
        <f t="shared" ca="1" si="25"/>
        <v>#N/A</v>
      </c>
      <c r="DE11" s="15" t="e">
        <f t="shared" ca="1" si="25"/>
        <v>#N/A</v>
      </c>
      <c r="DF11" s="16" t="e">
        <f t="shared" ca="1" si="25"/>
        <v>#N/A</v>
      </c>
      <c r="DG11" s="13" t="e">
        <f t="shared" ca="1" si="25"/>
        <v>#N/A</v>
      </c>
      <c r="DH11" s="14" t="e">
        <f t="shared" ca="1" si="25"/>
        <v>#N/A</v>
      </c>
      <c r="DI11" s="14" t="e">
        <f t="shared" ca="1" si="25"/>
        <v>#N/A</v>
      </c>
      <c r="DJ11" s="14" t="e">
        <f t="shared" ca="1" si="25"/>
        <v>#N/A</v>
      </c>
      <c r="DK11" s="14" t="e">
        <f t="shared" ca="1" si="25"/>
        <v>#N/A</v>
      </c>
      <c r="DL11" s="15" t="e">
        <f t="shared" ca="1" si="25"/>
        <v>#N/A</v>
      </c>
      <c r="DM11" s="16" t="e">
        <f t="shared" ca="1" si="25"/>
        <v>#N/A</v>
      </c>
      <c r="DN11" s="13" t="e">
        <f t="shared" ca="1" si="25"/>
        <v>#N/A</v>
      </c>
      <c r="DO11" s="14" t="e">
        <f t="shared" ca="1" si="25"/>
        <v>#N/A</v>
      </c>
      <c r="DP11" s="14" t="e">
        <f t="shared" ca="1" si="25"/>
        <v>#N/A</v>
      </c>
      <c r="DQ11" s="14" t="e">
        <f t="shared" ca="1" si="25"/>
        <v>#N/A</v>
      </c>
      <c r="DR11" s="14" t="e">
        <f t="shared" ca="1" si="25"/>
        <v>#N/A</v>
      </c>
      <c r="DS11" s="15" t="e">
        <f t="shared" ca="1" si="25"/>
        <v>#N/A</v>
      </c>
      <c r="DT11" s="16" t="e">
        <f t="shared" ca="1" si="25"/>
        <v>#N/A</v>
      </c>
    </row>
    <row r="12" spans="1:124" s="17" customFormat="1" ht="9.75" customHeight="1">
      <c r="A12" s="586"/>
      <c r="B12" s="18" t="s">
        <v>42</v>
      </c>
      <c r="C12" s="19" t="e">
        <f ca="1">E11+1</f>
        <v>#N/A</v>
      </c>
      <c r="D12" s="19" t="e">
        <f ca="1">_xlfn.XLOOKUP(A25,'VTT next'!B:B,'VTT next'!V:V,"-",0)</f>
        <v>#N/A</v>
      </c>
      <c r="E12" s="21" t="e">
        <f ca="1">(C12+D12)-1</f>
        <v>#N/A</v>
      </c>
      <c r="F12" s="13" t="e">
        <f t="shared" ca="1" si="19"/>
        <v>#N/A</v>
      </c>
      <c r="G12" s="14" t="e">
        <f t="shared" ca="1" si="19"/>
        <v>#N/A</v>
      </c>
      <c r="H12" s="14" t="e">
        <f t="shared" ca="1" si="19"/>
        <v>#N/A</v>
      </c>
      <c r="I12" s="14" t="e">
        <f t="shared" ca="1" si="19"/>
        <v>#N/A</v>
      </c>
      <c r="J12" s="14" t="e">
        <f t="shared" ca="1" si="19"/>
        <v>#N/A</v>
      </c>
      <c r="K12" s="15" t="e">
        <f t="shared" ca="1" si="19"/>
        <v>#N/A</v>
      </c>
      <c r="L12" s="16" t="e">
        <f t="shared" ca="1" si="19"/>
        <v>#N/A</v>
      </c>
      <c r="M12" s="13" t="e">
        <f t="shared" ca="1" si="19"/>
        <v>#N/A</v>
      </c>
      <c r="N12" s="14" t="e">
        <f t="shared" ca="1" si="19"/>
        <v>#N/A</v>
      </c>
      <c r="O12" s="14" t="e">
        <f t="shared" ca="1" si="19"/>
        <v>#N/A</v>
      </c>
      <c r="P12" s="14" t="e">
        <f t="shared" ca="1" si="19"/>
        <v>#N/A</v>
      </c>
      <c r="Q12" s="14" t="e">
        <f t="shared" ca="1" si="19"/>
        <v>#N/A</v>
      </c>
      <c r="R12" s="15" t="e">
        <f t="shared" ca="1" si="19"/>
        <v>#N/A</v>
      </c>
      <c r="S12" s="16" t="e">
        <f t="shared" ca="1" si="19"/>
        <v>#N/A</v>
      </c>
      <c r="T12" s="13" t="e">
        <f t="shared" ca="1" si="19"/>
        <v>#N/A</v>
      </c>
      <c r="U12" s="14" t="e">
        <f t="shared" ca="1" si="19"/>
        <v>#N/A</v>
      </c>
      <c r="V12" s="14" t="e">
        <f t="shared" ca="1" si="19"/>
        <v>#N/A</v>
      </c>
      <c r="W12" s="14" t="e">
        <f t="shared" ca="1" si="19"/>
        <v>#N/A</v>
      </c>
      <c r="X12" s="14" t="e">
        <f t="shared" ca="1" si="19"/>
        <v>#N/A</v>
      </c>
      <c r="Y12" s="15" t="e">
        <f t="shared" ca="1" si="19"/>
        <v>#N/A</v>
      </c>
      <c r="Z12" s="16" t="e">
        <f t="shared" ca="1" si="19"/>
        <v>#N/A</v>
      </c>
      <c r="AA12" s="13" t="e">
        <f t="shared" ca="1" si="20"/>
        <v>#N/A</v>
      </c>
      <c r="AB12" s="14" t="e">
        <f t="shared" ca="1" si="20"/>
        <v>#N/A</v>
      </c>
      <c r="AC12" s="14" t="e">
        <f t="shared" ca="1" si="20"/>
        <v>#N/A</v>
      </c>
      <c r="AD12" s="14" t="e">
        <f t="shared" ca="1" si="20"/>
        <v>#N/A</v>
      </c>
      <c r="AE12" s="14" t="e">
        <f t="shared" ca="1" si="20"/>
        <v>#N/A</v>
      </c>
      <c r="AF12" s="15" t="e">
        <f t="shared" ca="1" si="20"/>
        <v>#N/A</v>
      </c>
      <c r="AG12" s="16" t="e">
        <f t="shared" ca="1" si="20"/>
        <v>#N/A</v>
      </c>
      <c r="AH12" s="13" t="e">
        <f t="shared" ca="1" si="20"/>
        <v>#N/A</v>
      </c>
      <c r="AI12" s="14" t="e">
        <f t="shared" ca="1" si="20"/>
        <v>#N/A</v>
      </c>
      <c r="AJ12" s="14" t="e">
        <f t="shared" ca="1" si="20"/>
        <v>#N/A</v>
      </c>
      <c r="AK12" s="14" t="e">
        <f t="shared" ca="1" si="20"/>
        <v>#N/A</v>
      </c>
      <c r="AL12" s="14" t="e">
        <f t="shared" ca="1" si="20"/>
        <v>#N/A</v>
      </c>
      <c r="AM12" s="15" t="e">
        <f t="shared" ca="1" si="20"/>
        <v>#N/A</v>
      </c>
      <c r="AN12" s="16" t="e">
        <f t="shared" ca="1" si="20"/>
        <v>#N/A</v>
      </c>
      <c r="AO12" s="13" t="e">
        <f t="shared" ca="1" si="20"/>
        <v>#N/A</v>
      </c>
      <c r="AP12" s="14" t="e">
        <f t="shared" ca="1" si="20"/>
        <v>#N/A</v>
      </c>
      <c r="AQ12" s="14" t="e">
        <f t="shared" ca="1" si="21"/>
        <v>#N/A</v>
      </c>
      <c r="AR12" s="14" t="e">
        <f t="shared" ca="1" si="21"/>
        <v>#N/A</v>
      </c>
      <c r="AS12" s="14" t="e">
        <f t="shared" ca="1" si="21"/>
        <v>#N/A</v>
      </c>
      <c r="AT12" s="15" t="e">
        <f t="shared" ca="1" si="21"/>
        <v>#N/A</v>
      </c>
      <c r="AU12" s="16" t="e">
        <f t="shared" ca="1" si="21"/>
        <v>#N/A</v>
      </c>
      <c r="AV12" s="13" t="e">
        <f t="shared" ca="1" si="21"/>
        <v>#N/A</v>
      </c>
      <c r="AW12" s="14" t="e">
        <f t="shared" ca="1" si="21"/>
        <v>#N/A</v>
      </c>
      <c r="AX12" s="14" t="e">
        <f t="shared" ca="1" si="21"/>
        <v>#N/A</v>
      </c>
      <c r="AY12" s="14" t="e">
        <f t="shared" ca="1" si="21"/>
        <v>#N/A</v>
      </c>
      <c r="AZ12" s="14" t="e">
        <f t="shared" ca="1" si="21"/>
        <v>#N/A</v>
      </c>
      <c r="BA12" s="15" t="e">
        <f t="shared" ca="1" si="21"/>
        <v>#N/A</v>
      </c>
      <c r="BB12" s="16" t="e">
        <f t="shared" ca="1" si="21"/>
        <v>#N/A</v>
      </c>
      <c r="BC12" s="13" t="e">
        <f t="shared" ca="1" si="21"/>
        <v>#N/A</v>
      </c>
      <c r="BD12" s="14" t="e">
        <f t="shared" ca="1" si="21"/>
        <v>#N/A</v>
      </c>
      <c r="BE12" s="14" t="e">
        <f t="shared" ca="1" si="21"/>
        <v>#N/A</v>
      </c>
      <c r="BF12" s="14" t="e">
        <f t="shared" ca="1" si="21"/>
        <v>#N/A</v>
      </c>
      <c r="BG12" s="14" t="e">
        <f t="shared" ca="1" si="22"/>
        <v>#N/A</v>
      </c>
      <c r="BH12" s="15" t="e">
        <f t="shared" ca="1" si="22"/>
        <v>#N/A</v>
      </c>
      <c r="BI12" s="16" t="e">
        <f t="shared" ca="1" si="22"/>
        <v>#N/A</v>
      </c>
      <c r="BJ12" s="13" t="e">
        <f t="shared" ca="1" si="22"/>
        <v>#N/A</v>
      </c>
      <c r="BK12" s="14" t="e">
        <f t="shared" ca="1" si="22"/>
        <v>#N/A</v>
      </c>
      <c r="BL12" s="14" t="e">
        <f t="shared" ca="1" si="22"/>
        <v>#N/A</v>
      </c>
      <c r="BM12" s="14" t="e">
        <f t="shared" ca="1" si="22"/>
        <v>#N/A</v>
      </c>
      <c r="BN12" s="14" t="e">
        <f t="shared" ca="1" si="22"/>
        <v>#N/A</v>
      </c>
      <c r="BO12" s="15" t="e">
        <f t="shared" ca="1" si="22"/>
        <v>#N/A</v>
      </c>
      <c r="BP12" s="16" t="e">
        <f t="shared" ca="1" si="22"/>
        <v>#N/A</v>
      </c>
      <c r="BQ12" s="13" t="e">
        <f t="shared" ca="1" si="22"/>
        <v>#N/A</v>
      </c>
      <c r="BR12" s="14" t="e">
        <f t="shared" ca="1" si="22"/>
        <v>#N/A</v>
      </c>
      <c r="BS12" s="14" t="e">
        <f t="shared" ca="1" si="22"/>
        <v>#N/A</v>
      </c>
      <c r="BT12" s="14" t="e">
        <f t="shared" ca="1" si="22"/>
        <v>#N/A</v>
      </c>
      <c r="BU12" s="14" t="e">
        <f t="shared" ca="1" si="22"/>
        <v>#N/A</v>
      </c>
      <c r="BV12" s="15" t="e">
        <f t="shared" ca="1" si="22"/>
        <v>#N/A</v>
      </c>
      <c r="BW12" s="16" t="e">
        <f t="shared" ca="1" si="23"/>
        <v>#N/A</v>
      </c>
      <c r="BX12" s="13" t="e">
        <f t="shared" ca="1" si="23"/>
        <v>#N/A</v>
      </c>
      <c r="BY12" s="14" t="e">
        <f t="shared" ca="1" si="23"/>
        <v>#N/A</v>
      </c>
      <c r="BZ12" s="14" t="e">
        <f t="shared" ca="1" si="23"/>
        <v>#N/A</v>
      </c>
      <c r="CA12" s="14" t="e">
        <f t="shared" ca="1" si="23"/>
        <v>#N/A</v>
      </c>
      <c r="CB12" s="14" t="e">
        <f t="shared" ca="1" si="23"/>
        <v>#N/A</v>
      </c>
      <c r="CC12" s="15" t="e">
        <f t="shared" ca="1" si="23"/>
        <v>#N/A</v>
      </c>
      <c r="CD12" s="16" t="e">
        <f t="shared" ca="1" si="23"/>
        <v>#N/A</v>
      </c>
      <c r="CE12" s="13" t="e">
        <f t="shared" ca="1" si="23"/>
        <v>#N/A</v>
      </c>
      <c r="CF12" s="14" t="e">
        <f t="shared" ca="1" si="23"/>
        <v>#N/A</v>
      </c>
      <c r="CG12" s="14" t="e">
        <f t="shared" ca="1" si="23"/>
        <v>#N/A</v>
      </c>
      <c r="CH12" s="14" t="e">
        <f t="shared" ca="1" si="23"/>
        <v>#N/A</v>
      </c>
      <c r="CI12" s="14" t="e">
        <f t="shared" ca="1" si="23"/>
        <v>#N/A</v>
      </c>
      <c r="CJ12" s="15" t="e">
        <f t="shared" ca="1" si="23"/>
        <v>#N/A</v>
      </c>
      <c r="CK12" s="16" t="e">
        <f t="shared" ca="1" si="23"/>
        <v>#N/A</v>
      </c>
      <c r="CL12" s="13" t="e">
        <f t="shared" ca="1" si="23"/>
        <v>#N/A</v>
      </c>
      <c r="CM12" s="14" t="e">
        <f t="shared" ca="1" si="24"/>
        <v>#N/A</v>
      </c>
      <c r="CN12" s="14" t="e">
        <f t="shared" ca="1" si="24"/>
        <v>#N/A</v>
      </c>
      <c r="CO12" s="14" t="e">
        <f t="shared" ca="1" si="24"/>
        <v>#N/A</v>
      </c>
      <c r="CP12" s="14" t="e">
        <f t="shared" ca="1" si="24"/>
        <v>#N/A</v>
      </c>
      <c r="CQ12" s="15" t="e">
        <f t="shared" ca="1" si="24"/>
        <v>#N/A</v>
      </c>
      <c r="CR12" s="16" t="e">
        <f t="shared" ca="1" si="24"/>
        <v>#N/A</v>
      </c>
      <c r="CS12" s="13" t="e">
        <f t="shared" ca="1" si="24"/>
        <v>#N/A</v>
      </c>
      <c r="CT12" s="14" t="e">
        <f t="shared" ca="1" si="24"/>
        <v>#N/A</v>
      </c>
      <c r="CU12" s="14" t="e">
        <f t="shared" ca="1" si="24"/>
        <v>#N/A</v>
      </c>
      <c r="CV12" s="14" t="e">
        <f t="shared" ca="1" si="24"/>
        <v>#N/A</v>
      </c>
      <c r="CW12" s="14" t="e">
        <f t="shared" ca="1" si="24"/>
        <v>#N/A</v>
      </c>
      <c r="CX12" s="15" t="e">
        <f t="shared" ca="1" si="24"/>
        <v>#N/A</v>
      </c>
      <c r="CY12" s="16" t="e">
        <f t="shared" ca="1" si="24"/>
        <v>#N/A</v>
      </c>
      <c r="CZ12" s="13" t="e">
        <f t="shared" ca="1" si="24"/>
        <v>#N/A</v>
      </c>
      <c r="DA12" s="14" t="e">
        <f t="shared" ca="1" si="24"/>
        <v>#N/A</v>
      </c>
      <c r="DB12" s="14" t="e">
        <f t="shared" ca="1" si="24"/>
        <v>#N/A</v>
      </c>
      <c r="DC12" s="14" t="e">
        <f t="shared" ca="1" si="25"/>
        <v>#N/A</v>
      </c>
      <c r="DD12" s="14" t="e">
        <f t="shared" ca="1" si="25"/>
        <v>#N/A</v>
      </c>
      <c r="DE12" s="15" t="e">
        <f t="shared" ca="1" si="25"/>
        <v>#N/A</v>
      </c>
      <c r="DF12" s="16" t="e">
        <f t="shared" ca="1" si="25"/>
        <v>#N/A</v>
      </c>
      <c r="DG12" s="13" t="e">
        <f t="shared" ca="1" si="25"/>
        <v>#N/A</v>
      </c>
      <c r="DH12" s="14" t="e">
        <f t="shared" ca="1" si="25"/>
        <v>#N/A</v>
      </c>
      <c r="DI12" s="14" t="e">
        <f t="shared" ca="1" si="25"/>
        <v>#N/A</v>
      </c>
      <c r="DJ12" s="14" t="e">
        <f t="shared" ca="1" si="25"/>
        <v>#N/A</v>
      </c>
      <c r="DK12" s="14" t="e">
        <f t="shared" ca="1" si="25"/>
        <v>#N/A</v>
      </c>
      <c r="DL12" s="15" t="e">
        <f t="shared" ca="1" si="25"/>
        <v>#N/A</v>
      </c>
      <c r="DM12" s="16" t="e">
        <f t="shared" ca="1" si="25"/>
        <v>#N/A</v>
      </c>
      <c r="DN12" s="13" t="e">
        <f t="shared" ca="1" si="25"/>
        <v>#N/A</v>
      </c>
      <c r="DO12" s="14" t="e">
        <f t="shared" ca="1" si="25"/>
        <v>#N/A</v>
      </c>
      <c r="DP12" s="14" t="e">
        <f t="shared" ca="1" si="25"/>
        <v>#N/A</v>
      </c>
      <c r="DQ12" s="14" t="e">
        <f t="shared" ca="1" si="25"/>
        <v>#N/A</v>
      </c>
      <c r="DR12" s="14" t="e">
        <f t="shared" ca="1" si="25"/>
        <v>#N/A</v>
      </c>
      <c r="DS12" s="15" t="e">
        <f t="shared" ca="1" si="25"/>
        <v>#N/A</v>
      </c>
      <c r="DT12" s="16" t="e">
        <f t="shared" ca="1" si="25"/>
        <v>#N/A</v>
      </c>
    </row>
    <row r="13" spans="1:124" s="17" customFormat="1" ht="9.75" customHeight="1">
      <c r="A13" s="586"/>
      <c r="B13" s="22" t="s">
        <v>43</v>
      </c>
      <c r="C13" s="19" t="e">
        <f ca="1">IF(AND(_xlfn.XLOOKUP(A25,'VTT next'!B:B,'VTT next'!W:W,"-",0)=7,INT(E12/7)=E12/7),E12,IF((ROUNDDOWN(E12/7,0)*7+_xlfn.XLOOKUP(A25,'VTT next'!B:B,'VTT next'!W:W,"-",0))&lt;E12,(ROUNDDOWN(E12/7,0)*7+_xlfn.XLOOKUP(A25,'VTT next'!B:B,'VTT next'!W:W,"-",0))+7,(ROUNDDOWN(E12/7,0)*7+_xlfn.XLOOKUP(A25,'VTT next'!B:B,'VTT next'!W:W,"-",0))))</f>
        <v>#N/A</v>
      </c>
      <c r="D13" s="20">
        <v>0</v>
      </c>
      <c r="E13" s="19" t="e">
        <f ca="1">C13+D13</f>
        <v>#N/A</v>
      </c>
      <c r="F13" s="13" t="e">
        <f t="shared" ca="1" si="19"/>
        <v>#N/A</v>
      </c>
      <c r="G13" s="14" t="e">
        <f t="shared" ca="1" si="19"/>
        <v>#N/A</v>
      </c>
      <c r="H13" s="14" t="e">
        <f t="shared" ca="1" si="19"/>
        <v>#N/A</v>
      </c>
      <c r="I13" s="14" t="e">
        <f t="shared" ca="1" si="19"/>
        <v>#N/A</v>
      </c>
      <c r="J13" s="14" t="e">
        <f t="shared" ca="1" si="19"/>
        <v>#N/A</v>
      </c>
      <c r="K13" s="15" t="e">
        <f t="shared" ca="1" si="19"/>
        <v>#N/A</v>
      </c>
      <c r="L13" s="16" t="e">
        <f t="shared" ca="1" si="19"/>
        <v>#N/A</v>
      </c>
      <c r="M13" s="13" t="e">
        <f t="shared" ca="1" si="19"/>
        <v>#N/A</v>
      </c>
      <c r="N13" s="14" t="e">
        <f t="shared" ca="1" si="19"/>
        <v>#N/A</v>
      </c>
      <c r="O13" s="14" t="e">
        <f t="shared" ca="1" si="19"/>
        <v>#N/A</v>
      </c>
      <c r="P13" s="14" t="e">
        <f t="shared" ca="1" si="19"/>
        <v>#N/A</v>
      </c>
      <c r="Q13" s="14" t="e">
        <f t="shared" ca="1" si="19"/>
        <v>#N/A</v>
      </c>
      <c r="R13" s="15" t="e">
        <f t="shared" ca="1" si="19"/>
        <v>#N/A</v>
      </c>
      <c r="S13" s="16" t="e">
        <f t="shared" ca="1" si="19"/>
        <v>#N/A</v>
      </c>
      <c r="T13" s="13" t="e">
        <f t="shared" ca="1" si="19"/>
        <v>#N/A</v>
      </c>
      <c r="U13" s="14" t="e">
        <f t="shared" ca="1" si="19"/>
        <v>#N/A</v>
      </c>
      <c r="V13" s="14" t="e">
        <f t="shared" ca="1" si="19"/>
        <v>#N/A</v>
      </c>
      <c r="W13" s="14" t="e">
        <f t="shared" ca="1" si="19"/>
        <v>#N/A</v>
      </c>
      <c r="X13" s="14" t="e">
        <f t="shared" ca="1" si="19"/>
        <v>#N/A</v>
      </c>
      <c r="Y13" s="15" t="e">
        <f t="shared" ca="1" si="19"/>
        <v>#N/A</v>
      </c>
      <c r="Z13" s="16" t="e">
        <f t="shared" ca="1" si="19"/>
        <v>#N/A</v>
      </c>
      <c r="AA13" s="13" t="e">
        <f t="shared" ca="1" si="20"/>
        <v>#N/A</v>
      </c>
      <c r="AB13" s="14" t="e">
        <f t="shared" ca="1" si="20"/>
        <v>#N/A</v>
      </c>
      <c r="AC13" s="14" t="e">
        <f t="shared" ca="1" si="20"/>
        <v>#N/A</v>
      </c>
      <c r="AD13" s="14" t="e">
        <f t="shared" ca="1" si="20"/>
        <v>#N/A</v>
      </c>
      <c r="AE13" s="14" t="e">
        <f t="shared" ca="1" si="20"/>
        <v>#N/A</v>
      </c>
      <c r="AF13" s="15" t="e">
        <f t="shared" ca="1" si="20"/>
        <v>#N/A</v>
      </c>
      <c r="AG13" s="16" t="e">
        <f t="shared" ca="1" si="20"/>
        <v>#N/A</v>
      </c>
      <c r="AH13" s="13" t="e">
        <f t="shared" ca="1" si="20"/>
        <v>#N/A</v>
      </c>
      <c r="AI13" s="14" t="e">
        <f t="shared" ca="1" si="20"/>
        <v>#N/A</v>
      </c>
      <c r="AJ13" s="14" t="e">
        <f t="shared" ca="1" si="20"/>
        <v>#N/A</v>
      </c>
      <c r="AK13" s="14" t="e">
        <f t="shared" ca="1" si="20"/>
        <v>#N/A</v>
      </c>
      <c r="AL13" s="14" t="e">
        <f t="shared" ca="1" si="20"/>
        <v>#N/A</v>
      </c>
      <c r="AM13" s="15" t="e">
        <f t="shared" ca="1" si="20"/>
        <v>#N/A</v>
      </c>
      <c r="AN13" s="16" t="e">
        <f t="shared" ca="1" si="20"/>
        <v>#N/A</v>
      </c>
      <c r="AO13" s="13" t="e">
        <f t="shared" ca="1" si="20"/>
        <v>#N/A</v>
      </c>
      <c r="AP13" s="14" t="e">
        <f t="shared" ca="1" si="20"/>
        <v>#N/A</v>
      </c>
      <c r="AQ13" s="14" t="e">
        <f t="shared" ca="1" si="21"/>
        <v>#N/A</v>
      </c>
      <c r="AR13" s="14" t="e">
        <f t="shared" ca="1" si="21"/>
        <v>#N/A</v>
      </c>
      <c r="AS13" s="14" t="e">
        <f t="shared" ca="1" si="21"/>
        <v>#N/A</v>
      </c>
      <c r="AT13" s="15" t="e">
        <f t="shared" ca="1" si="21"/>
        <v>#N/A</v>
      </c>
      <c r="AU13" s="16" t="e">
        <f t="shared" ca="1" si="21"/>
        <v>#N/A</v>
      </c>
      <c r="AV13" s="13" t="e">
        <f t="shared" ca="1" si="21"/>
        <v>#N/A</v>
      </c>
      <c r="AW13" s="14" t="e">
        <f t="shared" ca="1" si="21"/>
        <v>#N/A</v>
      </c>
      <c r="AX13" s="14" t="e">
        <f t="shared" ca="1" si="21"/>
        <v>#N/A</v>
      </c>
      <c r="AY13" s="14" t="e">
        <f t="shared" ca="1" si="21"/>
        <v>#N/A</v>
      </c>
      <c r="AZ13" s="14" t="e">
        <f t="shared" ca="1" si="21"/>
        <v>#N/A</v>
      </c>
      <c r="BA13" s="15" t="e">
        <f t="shared" ca="1" si="21"/>
        <v>#N/A</v>
      </c>
      <c r="BB13" s="16" t="e">
        <f t="shared" ca="1" si="21"/>
        <v>#N/A</v>
      </c>
      <c r="BC13" s="13" t="e">
        <f t="shared" ca="1" si="21"/>
        <v>#N/A</v>
      </c>
      <c r="BD13" s="14" t="e">
        <f t="shared" ca="1" si="21"/>
        <v>#N/A</v>
      </c>
      <c r="BE13" s="14" t="e">
        <f t="shared" ca="1" si="21"/>
        <v>#N/A</v>
      </c>
      <c r="BF13" s="14" t="e">
        <f t="shared" ca="1" si="21"/>
        <v>#N/A</v>
      </c>
      <c r="BG13" s="14" t="e">
        <f t="shared" ca="1" si="22"/>
        <v>#N/A</v>
      </c>
      <c r="BH13" s="15" t="e">
        <f t="shared" ca="1" si="22"/>
        <v>#N/A</v>
      </c>
      <c r="BI13" s="16" t="e">
        <f t="shared" ca="1" si="22"/>
        <v>#N/A</v>
      </c>
      <c r="BJ13" s="13" t="e">
        <f t="shared" ca="1" si="22"/>
        <v>#N/A</v>
      </c>
      <c r="BK13" s="14" t="e">
        <f t="shared" ca="1" si="22"/>
        <v>#N/A</v>
      </c>
      <c r="BL13" s="14" t="e">
        <f t="shared" ca="1" si="22"/>
        <v>#N/A</v>
      </c>
      <c r="BM13" s="14" t="e">
        <f t="shared" ca="1" si="22"/>
        <v>#N/A</v>
      </c>
      <c r="BN13" s="14" t="e">
        <f t="shared" ca="1" si="22"/>
        <v>#N/A</v>
      </c>
      <c r="BO13" s="15" t="e">
        <f t="shared" ca="1" si="22"/>
        <v>#N/A</v>
      </c>
      <c r="BP13" s="16" t="e">
        <f t="shared" ca="1" si="22"/>
        <v>#N/A</v>
      </c>
      <c r="BQ13" s="13" t="e">
        <f t="shared" ca="1" si="22"/>
        <v>#N/A</v>
      </c>
      <c r="BR13" s="14" t="e">
        <f t="shared" ca="1" si="22"/>
        <v>#N/A</v>
      </c>
      <c r="BS13" s="14" t="e">
        <f t="shared" ca="1" si="22"/>
        <v>#N/A</v>
      </c>
      <c r="BT13" s="14" t="e">
        <f t="shared" ca="1" si="22"/>
        <v>#N/A</v>
      </c>
      <c r="BU13" s="14" t="e">
        <f t="shared" ca="1" si="22"/>
        <v>#N/A</v>
      </c>
      <c r="BV13" s="15" t="e">
        <f t="shared" ca="1" si="22"/>
        <v>#N/A</v>
      </c>
      <c r="BW13" s="16" t="e">
        <f t="shared" ca="1" si="23"/>
        <v>#N/A</v>
      </c>
      <c r="BX13" s="13" t="e">
        <f t="shared" ca="1" si="23"/>
        <v>#N/A</v>
      </c>
      <c r="BY13" s="14" t="e">
        <f t="shared" ca="1" si="23"/>
        <v>#N/A</v>
      </c>
      <c r="BZ13" s="14" t="e">
        <f t="shared" ca="1" si="23"/>
        <v>#N/A</v>
      </c>
      <c r="CA13" s="14" t="e">
        <f t="shared" ca="1" si="23"/>
        <v>#N/A</v>
      </c>
      <c r="CB13" s="14" t="e">
        <f t="shared" ca="1" si="23"/>
        <v>#N/A</v>
      </c>
      <c r="CC13" s="15" t="e">
        <f t="shared" ca="1" si="23"/>
        <v>#N/A</v>
      </c>
      <c r="CD13" s="16" t="e">
        <f t="shared" ca="1" si="23"/>
        <v>#N/A</v>
      </c>
      <c r="CE13" s="13" t="e">
        <f t="shared" ca="1" si="23"/>
        <v>#N/A</v>
      </c>
      <c r="CF13" s="14" t="e">
        <f t="shared" ca="1" si="23"/>
        <v>#N/A</v>
      </c>
      <c r="CG13" s="14" t="e">
        <f t="shared" ca="1" si="23"/>
        <v>#N/A</v>
      </c>
      <c r="CH13" s="14" t="e">
        <f t="shared" ca="1" si="23"/>
        <v>#N/A</v>
      </c>
      <c r="CI13" s="14" t="e">
        <f t="shared" ca="1" si="23"/>
        <v>#N/A</v>
      </c>
      <c r="CJ13" s="15" t="e">
        <f t="shared" ca="1" si="23"/>
        <v>#N/A</v>
      </c>
      <c r="CK13" s="16" t="e">
        <f t="shared" ca="1" si="23"/>
        <v>#N/A</v>
      </c>
      <c r="CL13" s="13" t="e">
        <f t="shared" ca="1" si="23"/>
        <v>#N/A</v>
      </c>
      <c r="CM13" s="14" t="e">
        <f t="shared" ca="1" si="24"/>
        <v>#N/A</v>
      </c>
      <c r="CN13" s="14" t="e">
        <f t="shared" ca="1" si="24"/>
        <v>#N/A</v>
      </c>
      <c r="CO13" s="14" t="e">
        <f t="shared" ca="1" si="24"/>
        <v>#N/A</v>
      </c>
      <c r="CP13" s="14" t="e">
        <f t="shared" ca="1" si="24"/>
        <v>#N/A</v>
      </c>
      <c r="CQ13" s="15" t="e">
        <f t="shared" ca="1" si="24"/>
        <v>#N/A</v>
      </c>
      <c r="CR13" s="16" t="e">
        <f t="shared" ca="1" si="24"/>
        <v>#N/A</v>
      </c>
      <c r="CS13" s="13" t="e">
        <f t="shared" ca="1" si="24"/>
        <v>#N/A</v>
      </c>
      <c r="CT13" s="14" t="e">
        <f t="shared" ca="1" si="24"/>
        <v>#N/A</v>
      </c>
      <c r="CU13" s="14" t="e">
        <f t="shared" ca="1" si="24"/>
        <v>#N/A</v>
      </c>
      <c r="CV13" s="14" t="e">
        <f t="shared" ca="1" si="24"/>
        <v>#N/A</v>
      </c>
      <c r="CW13" s="14" t="e">
        <f t="shared" ca="1" si="24"/>
        <v>#N/A</v>
      </c>
      <c r="CX13" s="15" t="e">
        <f t="shared" ca="1" si="24"/>
        <v>#N/A</v>
      </c>
      <c r="CY13" s="16" t="e">
        <f t="shared" ca="1" si="24"/>
        <v>#N/A</v>
      </c>
      <c r="CZ13" s="13" t="e">
        <f t="shared" ca="1" si="24"/>
        <v>#N/A</v>
      </c>
      <c r="DA13" s="14" t="e">
        <f t="shared" ca="1" si="24"/>
        <v>#N/A</v>
      </c>
      <c r="DB13" s="14" t="e">
        <f t="shared" ca="1" si="24"/>
        <v>#N/A</v>
      </c>
      <c r="DC13" s="14" t="e">
        <f t="shared" ca="1" si="25"/>
        <v>#N/A</v>
      </c>
      <c r="DD13" s="14" t="e">
        <f t="shared" ca="1" si="25"/>
        <v>#N/A</v>
      </c>
      <c r="DE13" s="15" t="e">
        <f t="shared" ca="1" si="25"/>
        <v>#N/A</v>
      </c>
      <c r="DF13" s="16" t="e">
        <f t="shared" ca="1" si="25"/>
        <v>#N/A</v>
      </c>
      <c r="DG13" s="13" t="e">
        <f t="shared" ca="1" si="25"/>
        <v>#N/A</v>
      </c>
      <c r="DH13" s="14" t="e">
        <f t="shared" ca="1" si="25"/>
        <v>#N/A</v>
      </c>
      <c r="DI13" s="14" t="e">
        <f t="shared" ca="1" si="25"/>
        <v>#N/A</v>
      </c>
      <c r="DJ13" s="14" t="e">
        <f t="shared" ca="1" si="25"/>
        <v>#N/A</v>
      </c>
      <c r="DK13" s="14" t="e">
        <f t="shared" ca="1" si="25"/>
        <v>#N/A</v>
      </c>
      <c r="DL13" s="15" t="e">
        <f t="shared" ca="1" si="25"/>
        <v>#N/A</v>
      </c>
      <c r="DM13" s="16" t="e">
        <f t="shared" ca="1" si="25"/>
        <v>#N/A</v>
      </c>
      <c r="DN13" s="13" t="e">
        <f t="shared" ca="1" si="25"/>
        <v>#N/A</v>
      </c>
      <c r="DO13" s="14" t="e">
        <f t="shared" ca="1" si="25"/>
        <v>#N/A</v>
      </c>
      <c r="DP13" s="14" t="e">
        <f t="shared" ca="1" si="25"/>
        <v>#N/A</v>
      </c>
      <c r="DQ13" s="14" t="e">
        <f t="shared" ca="1" si="25"/>
        <v>#N/A</v>
      </c>
      <c r="DR13" s="14" t="e">
        <f t="shared" ca="1" si="25"/>
        <v>#N/A</v>
      </c>
      <c r="DS13" s="15" t="e">
        <f t="shared" ca="1" si="25"/>
        <v>#N/A</v>
      </c>
      <c r="DT13" s="16" t="e">
        <f t="shared" ca="1" si="25"/>
        <v>#N/A</v>
      </c>
    </row>
    <row r="14" spans="1:124" s="17" customFormat="1" ht="9.75" customHeight="1">
      <c r="A14" s="586"/>
      <c r="B14" s="22" t="s">
        <v>44</v>
      </c>
      <c r="C14" s="19" t="e">
        <f ca="1">IF((ROUNDDOWN(E13/7,0)*7+_xlfn.XLOOKUP(A25,'VTT next'!B:B,'VTT next'!AC:AC,"-",0))&lt;E13,(ROUNDDOWN(E13/7,0)*7+_xlfn.XLOOKUP(A25,'VTT next'!B:B,'VTT next'!AC:AC,"-",0))+7,(ROUNDDOWN(E13/7,0)*7+_xlfn.XLOOKUP(A25,'VTT next'!B:B,'VTT next'!AC:AC,"-",0)))</f>
        <v>#N/A</v>
      </c>
      <c r="D14" s="20">
        <v>0</v>
      </c>
      <c r="E14" s="19" t="e">
        <f ca="1">C14+D14</f>
        <v>#N/A</v>
      </c>
      <c r="F14" s="13" t="e">
        <f t="shared" ca="1" si="19"/>
        <v>#N/A</v>
      </c>
      <c r="G14" s="14" t="e">
        <f t="shared" ca="1" si="19"/>
        <v>#N/A</v>
      </c>
      <c r="H14" s="14" t="e">
        <f t="shared" ca="1" si="19"/>
        <v>#N/A</v>
      </c>
      <c r="I14" s="14" t="e">
        <f t="shared" ca="1" si="19"/>
        <v>#N/A</v>
      </c>
      <c r="J14" s="14" t="e">
        <f t="shared" ca="1" si="19"/>
        <v>#N/A</v>
      </c>
      <c r="K14" s="15" t="e">
        <f t="shared" ca="1" si="19"/>
        <v>#N/A</v>
      </c>
      <c r="L14" s="16" t="e">
        <f t="shared" ca="1" si="19"/>
        <v>#N/A</v>
      </c>
      <c r="M14" s="13" t="e">
        <f ca="1">IF(AND(M$5&gt;=$C14,M$5&lt;=$E14),1,"")</f>
        <v>#N/A</v>
      </c>
      <c r="N14" s="14" t="e">
        <f t="shared" ca="1" si="19"/>
        <v>#N/A</v>
      </c>
      <c r="O14" s="14" t="e">
        <f t="shared" ca="1" si="19"/>
        <v>#N/A</v>
      </c>
      <c r="P14" s="14" t="e">
        <f t="shared" ca="1" si="19"/>
        <v>#N/A</v>
      </c>
      <c r="Q14" s="14" t="e">
        <f t="shared" ca="1" si="19"/>
        <v>#N/A</v>
      </c>
      <c r="R14" s="15" t="e">
        <f t="shared" ca="1" si="19"/>
        <v>#N/A</v>
      </c>
      <c r="S14" s="16" t="e">
        <f t="shared" ca="1" si="19"/>
        <v>#N/A</v>
      </c>
      <c r="T14" s="13" t="e">
        <f t="shared" ca="1" si="19"/>
        <v>#N/A</v>
      </c>
      <c r="U14" s="14" t="e">
        <f t="shared" ca="1" si="19"/>
        <v>#N/A</v>
      </c>
      <c r="V14" s="14" t="e">
        <f t="shared" ca="1" si="19"/>
        <v>#N/A</v>
      </c>
      <c r="W14" s="14" t="e">
        <f t="shared" ca="1" si="19"/>
        <v>#N/A</v>
      </c>
      <c r="X14" s="14" t="e">
        <f t="shared" ca="1" si="19"/>
        <v>#N/A</v>
      </c>
      <c r="Y14" s="15" t="e">
        <f t="shared" ca="1" si="19"/>
        <v>#N/A</v>
      </c>
      <c r="Z14" s="16" t="e">
        <f t="shared" ca="1" si="19"/>
        <v>#N/A</v>
      </c>
      <c r="AA14" s="13" t="e">
        <f t="shared" ca="1" si="20"/>
        <v>#N/A</v>
      </c>
      <c r="AB14" s="14" t="e">
        <f t="shared" ca="1" si="20"/>
        <v>#N/A</v>
      </c>
      <c r="AC14" s="14" t="e">
        <f t="shared" ca="1" si="20"/>
        <v>#N/A</v>
      </c>
      <c r="AD14" s="14" t="e">
        <f t="shared" ca="1" si="20"/>
        <v>#N/A</v>
      </c>
      <c r="AE14" s="14" t="e">
        <f t="shared" ca="1" si="20"/>
        <v>#N/A</v>
      </c>
      <c r="AF14" s="15" t="e">
        <f t="shared" ca="1" si="20"/>
        <v>#N/A</v>
      </c>
      <c r="AG14" s="16" t="e">
        <f t="shared" ca="1" si="20"/>
        <v>#N/A</v>
      </c>
      <c r="AH14" s="13" t="e">
        <f t="shared" ca="1" si="20"/>
        <v>#N/A</v>
      </c>
      <c r="AI14" s="14" t="e">
        <f t="shared" ca="1" si="20"/>
        <v>#N/A</v>
      </c>
      <c r="AJ14" s="14" t="e">
        <f t="shared" ca="1" si="20"/>
        <v>#N/A</v>
      </c>
      <c r="AK14" s="14" t="e">
        <f t="shared" ca="1" si="20"/>
        <v>#N/A</v>
      </c>
      <c r="AL14" s="14" t="e">
        <f t="shared" ca="1" si="20"/>
        <v>#N/A</v>
      </c>
      <c r="AM14" s="15" t="e">
        <f t="shared" ca="1" si="20"/>
        <v>#N/A</v>
      </c>
      <c r="AN14" s="16" t="e">
        <f t="shared" ca="1" si="20"/>
        <v>#N/A</v>
      </c>
      <c r="AO14" s="13" t="e">
        <f t="shared" ca="1" si="20"/>
        <v>#N/A</v>
      </c>
      <c r="AP14" s="14" t="e">
        <f t="shared" ca="1" si="20"/>
        <v>#N/A</v>
      </c>
      <c r="AQ14" s="14" t="e">
        <f t="shared" ca="1" si="21"/>
        <v>#N/A</v>
      </c>
      <c r="AR14" s="14" t="e">
        <f t="shared" ca="1" si="21"/>
        <v>#N/A</v>
      </c>
      <c r="AS14" s="14" t="e">
        <f t="shared" ca="1" si="21"/>
        <v>#N/A</v>
      </c>
      <c r="AT14" s="15" t="e">
        <f t="shared" ca="1" si="21"/>
        <v>#N/A</v>
      </c>
      <c r="AU14" s="16" t="e">
        <f t="shared" ca="1" si="21"/>
        <v>#N/A</v>
      </c>
      <c r="AV14" s="13" t="e">
        <f t="shared" ca="1" si="21"/>
        <v>#N/A</v>
      </c>
      <c r="AW14" s="14" t="e">
        <f t="shared" ca="1" si="21"/>
        <v>#N/A</v>
      </c>
      <c r="AX14" s="14" t="e">
        <f t="shared" ca="1" si="21"/>
        <v>#N/A</v>
      </c>
      <c r="AY14" s="14" t="e">
        <f t="shared" ca="1" si="21"/>
        <v>#N/A</v>
      </c>
      <c r="AZ14" s="14" t="e">
        <f t="shared" ca="1" si="21"/>
        <v>#N/A</v>
      </c>
      <c r="BA14" s="15" t="e">
        <f t="shared" ca="1" si="21"/>
        <v>#N/A</v>
      </c>
      <c r="BB14" s="16" t="e">
        <f t="shared" ca="1" si="21"/>
        <v>#N/A</v>
      </c>
      <c r="BC14" s="13" t="e">
        <f t="shared" ca="1" si="21"/>
        <v>#N/A</v>
      </c>
      <c r="BD14" s="14" t="e">
        <f t="shared" ca="1" si="21"/>
        <v>#N/A</v>
      </c>
      <c r="BE14" s="14" t="e">
        <f t="shared" ca="1" si="21"/>
        <v>#N/A</v>
      </c>
      <c r="BF14" s="14" t="e">
        <f t="shared" ca="1" si="21"/>
        <v>#N/A</v>
      </c>
      <c r="BG14" s="14" t="e">
        <f t="shared" ca="1" si="22"/>
        <v>#N/A</v>
      </c>
      <c r="BH14" s="15" t="e">
        <f t="shared" ca="1" si="22"/>
        <v>#N/A</v>
      </c>
      <c r="BI14" s="16" t="e">
        <f t="shared" ca="1" si="22"/>
        <v>#N/A</v>
      </c>
      <c r="BJ14" s="13" t="e">
        <f t="shared" ca="1" si="22"/>
        <v>#N/A</v>
      </c>
      <c r="BK14" s="14" t="e">
        <f t="shared" ca="1" si="22"/>
        <v>#N/A</v>
      </c>
      <c r="BL14" s="14" t="e">
        <f t="shared" ca="1" si="22"/>
        <v>#N/A</v>
      </c>
      <c r="BM14" s="14" t="e">
        <f t="shared" ca="1" si="22"/>
        <v>#N/A</v>
      </c>
      <c r="BN14" s="14" t="e">
        <f t="shared" ca="1" si="22"/>
        <v>#N/A</v>
      </c>
      <c r="BO14" s="15" t="e">
        <f t="shared" ca="1" si="22"/>
        <v>#N/A</v>
      </c>
      <c r="BP14" s="16" t="e">
        <f t="shared" ca="1" si="22"/>
        <v>#N/A</v>
      </c>
      <c r="BQ14" s="13" t="e">
        <f t="shared" ca="1" si="22"/>
        <v>#N/A</v>
      </c>
      <c r="BR14" s="14" t="e">
        <f t="shared" ca="1" si="22"/>
        <v>#N/A</v>
      </c>
      <c r="BS14" s="14" t="e">
        <f t="shared" ca="1" si="22"/>
        <v>#N/A</v>
      </c>
      <c r="BT14" s="14" t="e">
        <f t="shared" ca="1" si="22"/>
        <v>#N/A</v>
      </c>
      <c r="BU14" s="14" t="e">
        <f t="shared" ca="1" si="22"/>
        <v>#N/A</v>
      </c>
      <c r="BV14" s="15" t="e">
        <f t="shared" ca="1" si="22"/>
        <v>#N/A</v>
      </c>
      <c r="BW14" s="16" t="e">
        <f t="shared" ca="1" si="23"/>
        <v>#N/A</v>
      </c>
      <c r="BX14" s="13" t="e">
        <f t="shared" ca="1" si="23"/>
        <v>#N/A</v>
      </c>
      <c r="BY14" s="14" t="e">
        <f t="shared" ca="1" si="23"/>
        <v>#N/A</v>
      </c>
      <c r="BZ14" s="14" t="e">
        <f t="shared" ca="1" si="23"/>
        <v>#N/A</v>
      </c>
      <c r="CA14" s="14" t="e">
        <f t="shared" ca="1" si="23"/>
        <v>#N/A</v>
      </c>
      <c r="CB14" s="14" t="e">
        <f t="shared" ca="1" si="23"/>
        <v>#N/A</v>
      </c>
      <c r="CC14" s="15" t="e">
        <f t="shared" ca="1" si="23"/>
        <v>#N/A</v>
      </c>
      <c r="CD14" s="16" t="e">
        <f t="shared" ca="1" si="23"/>
        <v>#N/A</v>
      </c>
      <c r="CE14" s="13" t="e">
        <f t="shared" ca="1" si="23"/>
        <v>#N/A</v>
      </c>
      <c r="CF14" s="14" t="e">
        <f t="shared" ca="1" si="23"/>
        <v>#N/A</v>
      </c>
      <c r="CG14" s="14" t="e">
        <f t="shared" ca="1" si="23"/>
        <v>#N/A</v>
      </c>
      <c r="CH14" s="14" t="e">
        <f t="shared" ca="1" si="23"/>
        <v>#N/A</v>
      </c>
      <c r="CI14" s="14" t="e">
        <f t="shared" ca="1" si="23"/>
        <v>#N/A</v>
      </c>
      <c r="CJ14" s="15" t="e">
        <f t="shared" ca="1" si="23"/>
        <v>#N/A</v>
      </c>
      <c r="CK14" s="16" t="e">
        <f t="shared" ca="1" si="23"/>
        <v>#N/A</v>
      </c>
      <c r="CL14" s="13" t="e">
        <f t="shared" ca="1" si="23"/>
        <v>#N/A</v>
      </c>
      <c r="CM14" s="14" t="e">
        <f t="shared" ca="1" si="24"/>
        <v>#N/A</v>
      </c>
      <c r="CN14" s="14" t="e">
        <f t="shared" ca="1" si="24"/>
        <v>#N/A</v>
      </c>
      <c r="CO14" s="14" t="e">
        <f t="shared" ca="1" si="24"/>
        <v>#N/A</v>
      </c>
      <c r="CP14" s="14" t="e">
        <f t="shared" ca="1" si="24"/>
        <v>#N/A</v>
      </c>
      <c r="CQ14" s="15" t="e">
        <f t="shared" ca="1" si="24"/>
        <v>#N/A</v>
      </c>
      <c r="CR14" s="16" t="e">
        <f t="shared" ca="1" si="24"/>
        <v>#N/A</v>
      </c>
      <c r="CS14" s="13" t="e">
        <f t="shared" ca="1" si="24"/>
        <v>#N/A</v>
      </c>
      <c r="CT14" s="14" t="e">
        <f t="shared" ca="1" si="24"/>
        <v>#N/A</v>
      </c>
      <c r="CU14" s="14" t="e">
        <f t="shared" ca="1" si="24"/>
        <v>#N/A</v>
      </c>
      <c r="CV14" s="14" t="e">
        <f t="shared" ca="1" si="24"/>
        <v>#N/A</v>
      </c>
      <c r="CW14" s="14" t="e">
        <f t="shared" ca="1" si="24"/>
        <v>#N/A</v>
      </c>
      <c r="CX14" s="15" t="e">
        <f t="shared" ca="1" si="24"/>
        <v>#N/A</v>
      </c>
      <c r="CY14" s="16" t="e">
        <f t="shared" ca="1" si="24"/>
        <v>#N/A</v>
      </c>
      <c r="CZ14" s="13" t="e">
        <f t="shared" ca="1" si="24"/>
        <v>#N/A</v>
      </c>
      <c r="DA14" s="14" t="e">
        <f t="shared" ca="1" si="24"/>
        <v>#N/A</v>
      </c>
      <c r="DB14" s="14" t="e">
        <f t="shared" ca="1" si="24"/>
        <v>#N/A</v>
      </c>
      <c r="DC14" s="14" t="e">
        <f t="shared" ca="1" si="25"/>
        <v>#N/A</v>
      </c>
      <c r="DD14" s="14" t="e">
        <f t="shared" ca="1" si="25"/>
        <v>#N/A</v>
      </c>
      <c r="DE14" s="15" t="e">
        <f t="shared" ca="1" si="25"/>
        <v>#N/A</v>
      </c>
      <c r="DF14" s="16" t="e">
        <f t="shared" ca="1" si="25"/>
        <v>#N/A</v>
      </c>
      <c r="DG14" s="13" t="e">
        <f t="shared" ca="1" si="25"/>
        <v>#N/A</v>
      </c>
      <c r="DH14" s="14" t="e">
        <f t="shared" ca="1" si="25"/>
        <v>#N/A</v>
      </c>
      <c r="DI14" s="14" t="e">
        <f t="shared" ca="1" si="25"/>
        <v>#N/A</v>
      </c>
      <c r="DJ14" s="14" t="e">
        <f t="shared" ca="1" si="25"/>
        <v>#N/A</v>
      </c>
      <c r="DK14" s="14" t="e">
        <f t="shared" ca="1" si="25"/>
        <v>#N/A</v>
      </c>
      <c r="DL14" s="15" t="e">
        <f t="shared" ca="1" si="25"/>
        <v>#N/A</v>
      </c>
      <c r="DM14" s="16" t="e">
        <f t="shared" ca="1" si="25"/>
        <v>#N/A</v>
      </c>
      <c r="DN14" s="13" t="e">
        <f t="shared" ca="1" si="25"/>
        <v>#N/A</v>
      </c>
      <c r="DO14" s="14" t="e">
        <f t="shared" ca="1" si="25"/>
        <v>#N/A</v>
      </c>
      <c r="DP14" s="14" t="e">
        <f t="shared" ca="1" si="25"/>
        <v>#N/A</v>
      </c>
      <c r="DQ14" s="14" t="e">
        <f t="shared" ca="1" si="25"/>
        <v>#N/A</v>
      </c>
      <c r="DR14" s="14" t="e">
        <f t="shared" ca="1" si="25"/>
        <v>#N/A</v>
      </c>
      <c r="DS14" s="15" t="e">
        <f t="shared" ca="1" si="25"/>
        <v>#N/A</v>
      </c>
      <c r="DT14" s="16" t="e">
        <f t="shared" ca="1" si="25"/>
        <v>#N/A</v>
      </c>
    </row>
    <row r="15" spans="1:124" s="17" customFormat="1" ht="9.75" customHeight="1">
      <c r="A15" s="586"/>
      <c r="B15" s="22" t="s">
        <v>45</v>
      </c>
      <c r="C15" s="19" t="e">
        <f ca="1">E14+_xlfn.XLOOKUP(A25,'VTT next'!B:B,'VTT next'!AD:AD,"-",0)-_xlfn.XLOOKUP(A25,'VTT next'!B:B,'VTT next'!AC:AC,"-",0)</f>
        <v>#N/A</v>
      </c>
      <c r="D15" s="20">
        <v>0</v>
      </c>
      <c r="E15" s="19" t="e">
        <f ca="1">C15+D15</f>
        <v>#N/A</v>
      </c>
      <c r="F15" s="13" t="e">
        <f t="shared" ca="1" si="19"/>
        <v>#N/A</v>
      </c>
      <c r="G15" s="14" t="e">
        <f t="shared" ca="1" si="19"/>
        <v>#N/A</v>
      </c>
      <c r="H15" s="14" t="e">
        <f t="shared" ca="1" si="19"/>
        <v>#N/A</v>
      </c>
      <c r="I15" s="14" t="e">
        <f t="shared" ca="1" si="19"/>
        <v>#N/A</v>
      </c>
      <c r="J15" s="14" t="e">
        <f t="shared" ca="1" si="19"/>
        <v>#N/A</v>
      </c>
      <c r="K15" s="15" t="e">
        <f t="shared" ca="1" si="19"/>
        <v>#N/A</v>
      </c>
      <c r="L15" s="16" t="e">
        <f t="shared" ca="1" si="19"/>
        <v>#N/A</v>
      </c>
      <c r="M15" s="13" t="e">
        <f t="shared" ca="1" si="19"/>
        <v>#N/A</v>
      </c>
      <c r="N15" s="14" t="e">
        <f t="shared" ca="1" si="19"/>
        <v>#N/A</v>
      </c>
      <c r="O15" s="14" t="e">
        <f t="shared" ca="1" si="19"/>
        <v>#N/A</v>
      </c>
      <c r="P15" s="14" t="e">
        <f t="shared" ca="1" si="19"/>
        <v>#N/A</v>
      </c>
      <c r="Q15" s="14" t="e">
        <f t="shared" ca="1" si="19"/>
        <v>#N/A</v>
      </c>
      <c r="R15" s="15" t="e">
        <f t="shared" ca="1" si="19"/>
        <v>#N/A</v>
      </c>
      <c r="S15" s="16" t="e">
        <f t="shared" ca="1" si="19"/>
        <v>#N/A</v>
      </c>
      <c r="T15" s="13" t="e">
        <f t="shared" ca="1" si="19"/>
        <v>#N/A</v>
      </c>
      <c r="U15" s="14" t="e">
        <f t="shared" ca="1" si="19"/>
        <v>#N/A</v>
      </c>
      <c r="V15" s="14" t="e">
        <f t="shared" ca="1" si="19"/>
        <v>#N/A</v>
      </c>
      <c r="W15" s="14" t="e">
        <f t="shared" ca="1" si="19"/>
        <v>#N/A</v>
      </c>
      <c r="X15" s="14" t="e">
        <f t="shared" ca="1" si="19"/>
        <v>#N/A</v>
      </c>
      <c r="Y15" s="15" t="e">
        <f t="shared" ca="1" si="19"/>
        <v>#N/A</v>
      </c>
      <c r="Z15" s="16" t="e">
        <f t="shared" ca="1" si="19"/>
        <v>#N/A</v>
      </c>
      <c r="AA15" s="13" t="e">
        <f t="shared" ca="1" si="20"/>
        <v>#N/A</v>
      </c>
      <c r="AB15" s="14" t="e">
        <f t="shared" ca="1" si="20"/>
        <v>#N/A</v>
      </c>
      <c r="AC15" s="14" t="e">
        <f t="shared" ca="1" si="20"/>
        <v>#N/A</v>
      </c>
      <c r="AD15" s="14" t="e">
        <f t="shared" ca="1" si="20"/>
        <v>#N/A</v>
      </c>
      <c r="AE15" s="14" t="e">
        <f t="shared" ca="1" si="20"/>
        <v>#N/A</v>
      </c>
      <c r="AF15" s="15" t="e">
        <f t="shared" ca="1" si="20"/>
        <v>#N/A</v>
      </c>
      <c r="AG15" s="16" t="e">
        <f t="shared" ca="1" si="20"/>
        <v>#N/A</v>
      </c>
      <c r="AH15" s="13" t="e">
        <f t="shared" ca="1" si="20"/>
        <v>#N/A</v>
      </c>
      <c r="AI15" s="14" t="e">
        <f t="shared" ca="1" si="20"/>
        <v>#N/A</v>
      </c>
      <c r="AJ15" s="14" t="e">
        <f t="shared" ca="1" si="20"/>
        <v>#N/A</v>
      </c>
      <c r="AK15" s="14" t="e">
        <f t="shared" ca="1" si="20"/>
        <v>#N/A</v>
      </c>
      <c r="AL15" s="14" t="e">
        <f t="shared" ca="1" si="20"/>
        <v>#N/A</v>
      </c>
      <c r="AM15" s="15" t="e">
        <f t="shared" ca="1" si="20"/>
        <v>#N/A</v>
      </c>
      <c r="AN15" s="16" t="e">
        <f t="shared" ca="1" si="20"/>
        <v>#N/A</v>
      </c>
      <c r="AO15" s="13" t="e">
        <f t="shared" ca="1" si="20"/>
        <v>#N/A</v>
      </c>
      <c r="AP15" s="14" t="e">
        <f t="shared" ca="1" si="20"/>
        <v>#N/A</v>
      </c>
      <c r="AQ15" s="14" t="e">
        <f t="shared" ca="1" si="21"/>
        <v>#N/A</v>
      </c>
      <c r="AR15" s="14" t="e">
        <f t="shared" ca="1" si="21"/>
        <v>#N/A</v>
      </c>
      <c r="AS15" s="14" t="e">
        <f t="shared" ca="1" si="21"/>
        <v>#N/A</v>
      </c>
      <c r="AT15" s="15" t="e">
        <f t="shared" ca="1" si="21"/>
        <v>#N/A</v>
      </c>
      <c r="AU15" s="16" t="e">
        <f t="shared" ca="1" si="21"/>
        <v>#N/A</v>
      </c>
      <c r="AV15" s="13" t="e">
        <f t="shared" ca="1" si="21"/>
        <v>#N/A</v>
      </c>
      <c r="AW15" s="14" t="e">
        <f t="shared" ca="1" si="21"/>
        <v>#N/A</v>
      </c>
      <c r="AX15" s="14" t="e">
        <f t="shared" ca="1" si="21"/>
        <v>#N/A</v>
      </c>
      <c r="AY15" s="14" t="e">
        <f t="shared" ca="1" si="21"/>
        <v>#N/A</v>
      </c>
      <c r="AZ15" s="14" t="e">
        <f t="shared" ca="1" si="21"/>
        <v>#N/A</v>
      </c>
      <c r="BA15" s="15" t="e">
        <f t="shared" ca="1" si="21"/>
        <v>#N/A</v>
      </c>
      <c r="BB15" s="16" t="e">
        <f t="shared" ca="1" si="21"/>
        <v>#N/A</v>
      </c>
      <c r="BC15" s="13" t="e">
        <f t="shared" ca="1" si="21"/>
        <v>#N/A</v>
      </c>
      <c r="BD15" s="14" t="e">
        <f t="shared" ca="1" si="21"/>
        <v>#N/A</v>
      </c>
      <c r="BE15" s="14" t="e">
        <f t="shared" ca="1" si="21"/>
        <v>#N/A</v>
      </c>
      <c r="BF15" s="14" t="e">
        <f t="shared" ca="1" si="21"/>
        <v>#N/A</v>
      </c>
      <c r="BG15" s="14" t="e">
        <f t="shared" ca="1" si="22"/>
        <v>#N/A</v>
      </c>
      <c r="BH15" s="15" t="e">
        <f t="shared" ca="1" si="22"/>
        <v>#N/A</v>
      </c>
      <c r="BI15" s="16" t="e">
        <f t="shared" ca="1" si="22"/>
        <v>#N/A</v>
      </c>
      <c r="BJ15" s="13" t="e">
        <f t="shared" ca="1" si="22"/>
        <v>#N/A</v>
      </c>
      <c r="BK15" s="14" t="e">
        <f t="shared" ca="1" si="22"/>
        <v>#N/A</v>
      </c>
      <c r="BL15" s="14" t="e">
        <f t="shared" ca="1" si="22"/>
        <v>#N/A</v>
      </c>
      <c r="BM15" s="14" t="e">
        <f t="shared" ca="1" si="22"/>
        <v>#N/A</v>
      </c>
      <c r="BN15" s="14" t="e">
        <f t="shared" ca="1" si="22"/>
        <v>#N/A</v>
      </c>
      <c r="BO15" s="15" t="e">
        <f t="shared" ca="1" si="22"/>
        <v>#N/A</v>
      </c>
      <c r="BP15" s="16" t="e">
        <f t="shared" ca="1" si="22"/>
        <v>#N/A</v>
      </c>
      <c r="BQ15" s="13" t="e">
        <f t="shared" ca="1" si="22"/>
        <v>#N/A</v>
      </c>
      <c r="BR15" s="14" t="e">
        <f t="shared" ca="1" si="22"/>
        <v>#N/A</v>
      </c>
      <c r="BS15" s="14" t="e">
        <f t="shared" ca="1" si="22"/>
        <v>#N/A</v>
      </c>
      <c r="BT15" s="14" t="e">
        <f t="shared" ca="1" si="22"/>
        <v>#N/A</v>
      </c>
      <c r="BU15" s="14" t="e">
        <f t="shared" ca="1" si="22"/>
        <v>#N/A</v>
      </c>
      <c r="BV15" s="15" t="e">
        <f t="shared" ca="1" si="22"/>
        <v>#N/A</v>
      </c>
      <c r="BW15" s="16" t="e">
        <f t="shared" ca="1" si="23"/>
        <v>#N/A</v>
      </c>
      <c r="BX15" s="13" t="e">
        <f t="shared" ca="1" si="23"/>
        <v>#N/A</v>
      </c>
      <c r="BY15" s="14" t="e">
        <f t="shared" ca="1" si="23"/>
        <v>#N/A</v>
      </c>
      <c r="BZ15" s="14" t="e">
        <f t="shared" ca="1" si="23"/>
        <v>#N/A</v>
      </c>
      <c r="CA15" s="14" t="e">
        <f t="shared" ca="1" si="23"/>
        <v>#N/A</v>
      </c>
      <c r="CB15" s="14" t="e">
        <f t="shared" ca="1" si="23"/>
        <v>#N/A</v>
      </c>
      <c r="CC15" s="15" t="e">
        <f t="shared" ca="1" si="23"/>
        <v>#N/A</v>
      </c>
      <c r="CD15" s="16" t="e">
        <f t="shared" ca="1" si="23"/>
        <v>#N/A</v>
      </c>
      <c r="CE15" s="13" t="e">
        <f t="shared" ca="1" si="23"/>
        <v>#N/A</v>
      </c>
      <c r="CF15" s="14" t="e">
        <f t="shared" ca="1" si="23"/>
        <v>#N/A</v>
      </c>
      <c r="CG15" s="14" t="e">
        <f t="shared" ca="1" si="23"/>
        <v>#N/A</v>
      </c>
      <c r="CH15" s="14" t="e">
        <f t="shared" ca="1" si="23"/>
        <v>#N/A</v>
      </c>
      <c r="CI15" s="14" t="e">
        <f t="shared" ca="1" si="23"/>
        <v>#N/A</v>
      </c>
      <c r="CJ15" s="15" t="e">
        <f t="shared" ca="1" si="23"/>
        <v>#N/A</v>
      </c>
      <c r="CK15" s="16" t="e">
        <f t="shared" ca="1" si="23"/>
        <v>#N/A</v>
      </c>
      <c r="CL15" s="13" t="e">
        <f t="shared" ca="1" si="23"/>
        <v>#N/A</v>
      </c>
      <c r="CM15" s="14" t="e">
        <f t="shared" ca="1" si="24"/>
        <v>#N/A</v>
      </c>
      <c r="CN15" s="14" t="e">
        <f t="shared" ca="1" si="24"/>
        <v>#N/A</v>
      </c>
      <c r="CO15" s="14" t="e">
        <f t="shared" ca="1" si="24"/>
        <v>#N/A</v>
      </c>
      <c r="CP15" s="14" t="e">
        <f t="shared" ca="1" si="24"/>
        <v>#N/A</v>
      </c>
      <c r="CQ15" s="15" t="e">
        <f t="shared" ca="1" si="24"/>
        <v>#N/A</v>
      </c>
      <c r="CR15" s="16" t="e">
        <f t="shared" ca="1" si="24"/>
        <v>#N/A</v>
      </c>
      <c r="CS15" s="13" t="e">
        <f t="shared" ca="1" si="24"/>
        <v>#N/A</v>
      </c>
      <c r="CT15" s="14" t="e">
        <f t="shared" ca="1" si="24"/>
        <v>#N/A</v>
      </c>
      <c r="CU15" s="14" t="e">
        <f t="shared" ca="1" si="24"/>
        <v>#N/A</v>
      </c>
      <c r="CV15" s="14" t="e">
        <f t="shared" ca="1" si="24"/>
        <v>#N/A</v>
      </c>
      <c r="CW15" s="14" t="e">
        <f t="shared" ca="1" si="24"/>
        <v>#N/A</v>
      </c>
      <c r="CX15" s="15" t="e">
        <f t="shared" ca="1" si="24"/>
        <v>#N/A</v>
      </c>
      <c r="CY15" s="16" t="e">
        <f t="shared" ca="1" si="24"/>
        <v>#N/A</v>
      </c>
      <c r="CZ15" s="13" t="e">
        <f t="shared" ca="1" si="24"/>
        <v>#N/A</v>
      </c>
      <c r="DA15" s="14" t="e">
        <f t="shared" ca="1" si="24"/>
        <v>#N/A</v>
      </c>
      <c r="DB15" s="14" t="e">
        <f t="shared" ca="1" si="24"/>
        <v>#N/A</v>
      </c>
      <c r="DC15" s="14" t="e">
        <f t="shared" ca="1" si="25"/>
        <v>#N/A</v>
      </c>
      <c r="DD15" s="14" t="e">
        <f t="shared" ca="1" si="25"/>
        <v>#N/A</v>
      </c>
      <c r="DE15" s="15" t="e">
        <f t="shared" ca="1" si="25"/>
        <v>#N/A</v>
      </c>
      <c r="DF15" s="16" t="e">
        <f t="shared" ca="1" si="25"/>
        <v>#N/A</v>
      </c>
      <c r="DG15" s="13" t="e">
        <f t="shared" ca="1" si="25"/>
        <v>#N/A</v>
      </c>
      <c r="DH15" s="14" t="e">
        <f t="shared" ca="1" si="25"/>
        <v>#N/A</v>
      </c>
      <c r="DI15" s="14" t="e">
        <f t="shared" ca="1" si="25"/>
        <v>#N/A</v>
      </c>
      <c r="DJ15" s="14" t="e">
        <f t="shared" ca="1" si="25"/>
        <v>#N/A</v>
      </c>
      <c r="DK15" s="14" t="e">
        <f t="shared" ca="1" si="25"/>
        <v>#N/A</v>
      </c>
      <c r="DL15" s="15" t="e">
        <f t="shared" ca="1" si="25"/>
        <v>#N/A</v>
      </c>
      <c r="DM15" s="16" t="e">
        <f t="shared" ca="1" si="25"/>
        <v>#N/A</v>
      </c>
      <c r="DN15" s="13" t="e">
        <f t="shared" ca="1" si="25"/>
        <v>#N/A</v>
      </c>
      <c r="DO15" s="14" t="e">
        <f t="shared" ca="1" si="25"/>
        <v>#N/A</v>
      </c>
      <c r="DP15" s="14" t="e">
        <f t="shared" ca="1" si="25"/>
        <v>#N/A</v>
      </c>
      <c r="DQ15" s="14" t="e">
        <f t="shared" ca="1" si="25"/>
        <v>#N/A</v>
      </c>
      <c r="DR15" s="14" t="e">
        <f t="shared" ca="1" si="25"/>
        <v>#N/A</v>
      </c>
      <c r="DS15" s="15" t="e">
        <f t="shared" ca="1" si="25"/>
        <v>#N/A</v>
      </c>
      <c r="DT15" s="16" t="e">
        <f t="shared" ca="1" si="25"/>
        <v>#N/A</v>
      </c>
    </row>
    <row r="16" spans="1:124" s="17" customFormat="1" ht="9.75" customHeight="1">
      <c r="A16" s="586"/>
      <c r="B16" s="23" t="s">
        <v>46</v>
      </c>
      <c r="C16" s="19" t="e">
        <f ca="1">E15</f>
        <v>#N/A</v>
      </c>
      <c r="D16" s="19" t="e">
        <f ca="1">_xlfn.XLOOKUP(A25,'VTT next'!B:B,'VTT next'!AF:AF,"-",0)</f>
        <v>#N/A</v>
      </c>
      <c r="E16" s="19" t="e">
        <f t="shared" ca="1" si="27"/>
        <v>#N/A</v>
      </c>
      <c r="F16" s="13" t="e">
        <f t="shared" ca="1" si="19"/>
        <v>#N/A</v>
      </c>
      <c r="G16" s="14" t="e">
        <f t="shared" ca="1" si="19"/>
        <v>#N/A</v>
      </c>
      <c r="H16" s="14" t="e">
        <f t="shared" ca="1" si="19"/>
        <v>#N/A</v>
      </c>
      <c r="I16" s="14" t="e">
        <f t="shared" ca="1" si="19"/>
        <v>#N/A</v>
      </c>
      <c r="J16" s="14" t="e">
        <f t="shared" ca="1" si="19"/>
        <v>#N/A</v>
      </c>
      <c r="K16" s="15" t="e">
        <f t="shared" ca="1" si="19"/>
        <v>#N/A</v>
      </c>
      <c r="L16" s="16" t="e">
        <f t="shared" ca="1" si="19"/>
        <v>#N/A</v>
      </c>
      <c r="M16" s="13" t="e">
        <f t="shared" ca="1" si="19"/>
        <v>#N/A</v>
      </c>
      <c r="N16" s="14" t="e">
        <f t="shared" ca="1" si="19"/>
        <v>#N/A</v>
      </c>
      <c r="O16" s="14" t="e">
        <f t="shared" ca="1" si="19"/>
        <v>#N/A</v>
      </c>
      <c r="P16" s="14" t="e">
        <f t="shared" ca="1" si="19"/>
        <v>#N/A</v>
      </c>
      <c r="Q16" s="14" t="e">
        <f t="shared" ca="1" si="19"/>
        <v>#N/A</v>
      </c>
      <c r="R16" s="15" t="e">
        <f t="shared" ca="1" si="19"/>
        <v>#N/A</v>
      </c>
      <c r="S16" s="16" t="e">
        <f t="shared" ca="1" si="19"/>
        <v>#N/A</v>
      </c>
      <c r="T16" s="13" t="e">
        <f t="shared" ca="1" si="19"/>
        <v>#N/A</v>
      </c>
      <c r="U16" s="14" t="e">
        <f t="shared" ca="1" si="19"/>
        <v>#N/A</v>
      </c>
      <c r="V16" s="14" t="e">
        <f t="shared" ca="1" si="19"/>
        <v>#N/A</v>
      </c>
      <c r="W16" s="14" t="e">
        <f t="shared" ca="1" si="19"/>
        <v>#N/A</v>
      </c>
      <c r="X16" s="14" t="e">
        <f t="shared" ca="1" si="19"/>
        <v>#N/A</v>
      </c>
      <c r="Y16" s="15" t="e">
        <f t="shared" ca="1" si="19"/>
        <v>#N/A</v>
      </c>
      <c r="Z16" s="16" t="e">
        <f t="shared" ca="1" si="19"/>
        <v>#N/A</v>
      </c>
      <c r="AA16" s="13" t="e">
        <f t="shared" ca="1" si="20"/>
        <v>#N/A</v>
      </c>
      <c r="AB16" s="14" t="e">
        <f t="shared" ca="1" si="20"/>
        <v>#N/A</v>
      </c>
      <c r="AC16" s="14" t="e">
        <f t="shared" ca="1" si="20"/>
        <v>#N/A</v>
      </c>
      <c r="AD16" s="14" t="e">
        <f t="shared" ca="1" si="20"/>
        <v>#N/A</v>
      </c>
      <c r="AE16" s="14" t="e">
        <f t="shared" ca="1" si="20"/>
        <v>#N/A</v>
      </c>
      <c r="AF16" s="15" t="e">
        <f t="shared" ca="1" si="20"/>
        <v>#N/A</v>
      </c>
      <c r="AG16" s="16" t="e">
        <f t="shared" ca="1" si="20"/>
        <v>#N/A</v>
      </c>
      <c r="AH16" s="13" t="e">
        <f t="shared" ca="1" si="20"/>
        <v>#N/A</v>
      </c>
      <c r="AI16" s="14" t="e">
        <f t="shared" ca="1" si="20"/>
        <v>#N/A</v>
      </c>
      <c r="AJ16" s="14" t="e">
        <f t="shared" ca="1" si="20"/>
        <v>#N/A</v>
      </c>
      <c r="AK16" s="14" t="e">
        <f t="shared" ca="1" si="20"/>
        <v>#N/A</v>
      </c>
      <c r="AL16" s="14" t="e">
        <f t="shared" ca="1" si="20"/>
        <v>#N/A</v>
      </c>
      <c r="AM16" s="15" t="e">
        <f t="shared" ca="1" si="20"/>
        <v>#N/A</v>
      </c>
      <c r="AN16" s="16" t="e">
        <f t="shared" ca="1" si="20"/>
        <v>#N/A</v>
      </c>
      <c r="AO16" s="13" t="e">
        <f t="shared" ca="1" si="20"/>
        <v>#N/A</v>
      </c>
      <c r="AP16" s="14" t="e">
        <f t="shared" ca="1" si="20"/>
        <v>#N/A</v>
      </c>
      <c r="AQ16" s="14" t="e">
        <f t="shared" ca="1" si="21"/>
        <v>#N/A</v>
      </c>
      <c r="AR16" s="14" t="e">
        <f t="shared" ca="1" si="21"/>
        <v>#N/A</v>
      </c>
      <c r="AS16" s="14" t="e">
        <f t="shared" ca="1" si="21"/>
        <v>#N/A</v>
      </c>
      <c r="AT16" s="15" t="e">
        <f t="shared" ca="1" si="21"/>
        <v>#N/A</v>
      </c>
      <c r="AU16" s="16" t="e">
        <f t="shared" ca="1" si="21"/>
        <v>#N/A</v>
      </c>
      <c r="AV16" s="13" t="e">
        <f t="shared" ca="1" si="21"/>
        <v>#N/A</v>
      </c>
      <c r="AW16" s="14" t="e">
        <f t="shared" ca="1" si="21"/>
        <v>#N/A</v>
      </c>
      <c r="AX16" s="14" t="e">
        <f t="shared" ca="1" si="21"/>
        <v>#N/A</v>
      </c>
      <c r="AY16" s="14" t="e">
        <f t="shared" ca="1" si="21"/>
        <v>#N/A</v>
      </c>
      <c r="AZ16" s="14" t="e">
        <f t="shared" ca="1" si="21"/>
        <v>#N/A</v>
      </c>
      <c r="BA16" s="15" t="e">
        <f t="shared" ca="1" si="21"/>
        <v>#N/A</v>
      </c>
      <c r="BB16" s="16" t="e">
        <f t="shared" ca="1" si="21"/>
        <v>#N/A</v>
      </c>
      <c r="BC16" s="13" t="e">
        <f t="shared" ca="1" si="21"/>
        <v>#N/A</v>
      </c>
      <c r="BD16" s="14" t="e">
        <f t="shared" ca="1" si="21"/>
        <v>#N/A</v>
      </c>
      <c r="BE16" s="14" t="e">
        <f t="shared" ca="1" si="21"/>
        <v>#N/A</v>
      </c>
      <c r="BF16" s="14" t="e">
        <f t="shared" ca="1" si="21"/>
        <v>#N/A</v>
      </c>
      <c r="BG16" s="14" t="e">
        <f t="shared" ca="1" si="22"/>
        <v>#N/A</v>
      </c>
      <c r="BH16" s="15" t="e">
        <f t="shared" ca="1" si="22"/>
        <v>#N/A</v>
      </c>
      <c r="BI16" s="16" t="e">
        <f t="shared" ca="1" si="22"/>
        <v>#N/A</v>
      </c>
      <c r="BJ16" s="13" t="e">
        <f t="shared" ca="1" si="22"/>
        <v>#N/A</v>
      </c>
      <c r="BK16" s="14" t="e">
        <f t="shared" ca="1" si="22"/>
        <v>#N/A</v>
      </c>
      <c r="BL16" s="14" t="e">
        <f t="shared" ca="1" si="22"/>
        <v>#N/A</v>
      </c>
      <c r="BM16" s="14" t="e">
        <f t="shared" ca="1" si="22"/>
        <v>#N/A</v>
      </c>
      <c r="BN16" s="14" t="e">
        <f t="shared" ca="1" si="22"/>
        <v>#N/A</v>
      </c>
      <c r="BO16" s="15" t="e">
        <f t="shared" ca="1" si="22"/>
        <v>#N/A</v>
      </c>
      <c r="BP16" s="16" t="e">
        <f t="shared" ca="1" si="22"/>
        <v>#N/A</v>
      </c>
      <c r="BQ16" s="13" t="e">
        <f t="shared" ca="1" si="22"/>
        <v>#N/A</v>
      </c>
      <c r="BR16" s="14" t="e">
        <f t="shared" ca="1" si="22"/>
        <v>#N/A</v>
      </c>
      <c r="BS16" s="14" t="e">
        <f t="shared" ca="1" si="22"/>
        <v>#N/A</v>
      </c>
      <c r="BT16" s="14" t="e">
        <f t="shared" ca="1" si="22"/>
        <v>#N/A</v>
      </c>
      <c r="BU16" s="14" t="e">
        <f t="shared" ca="1" si="22"/>
        <v>#N/A</v>
      </c>
      <c r="BV16" s="15" t="e">
        <f t="shared" ca="1" si="22"/>
        <v>#N/A</v>
      </c>
      <c r="BW16" s="16" t="e">
        <f t="shared" ca="1" si="23"/>
        <v>#N/A</v>
      </c>
      <c r="BX16" s="13" t="e">
        <f t="shared" ca="1" si="23"/>
        <v>#N/A</v>
      </c>
      <c r="BY16" s="14" t="e">
        <f t="shared" ca="1" si="23"/>
        <v>#N/A</v>
      </c>
      <c r="BZ16" s="14" t="e">
        <f t="shared" ca="1" si="23"/>
        <v>#N/A</v>
      </c>
      <c r="CA16" s="14" t="e">
        <f t="shared" ca="1" si="23"/>
        <v>#N/A</v>
      </c>
      <c r="CB16" s="14" t="e">
        <f t="shared" ca="1" si="23"/>
        <v>#N/A</v>
      </c>
      <c r="CC16" s="15" t="e">
        <f t="shared" ca="1" si="23"/>
        <v>#N/A</v>
      </c>
      <c r="CD16" s="16" t="e">
        <f t="shared" ca="1" si="23"/>
        <v>#N/A</v>
      </c>
      <c r="CE16" s="13" t="e">
        <f t="shared" ca="1" si="23"/>
        <v>#N/A</v>
      </c>
      <c r="CF16" s="14" t="e">
        <f t="shared" ca="1" si="23"/>
        <v>#N/A</v>
      </c>
      <c r="CG16" s="14" t="e">
        <f t="shared" ca="1" si="23"/>
        <v>#N/A</v>
      </c>
      <c r="CH16" s="14" t="e">
        <f t="shared" ca="1" si="23"/>
        <v>#N/A</v>
      </c>
      <c r="CI16" s="14" t="e">
        <f t="shared" ca="1" si="23"/>
        <v>#N/A</v>
      </c>
      <c r="CJ16" s="15" t="e">
        <f t="shared" ca="1" si="23"/>
        <v>#N/A</v>
      </c>
      <c r="CK16" s="16" t="e">
        <f t="shared" ca="1" si="23"/>
        <v>#N/A</v>
      </c>
      <c r="CL16" s="13" t="e">
        <f t="shared" ca="1" si="23"/>
        <v>#N/A</v>
      </c>
      <c r="CM16" s="14" t="e">
        <f t="shared" ca="1" si="24"/>
        <v>#N/A</v>
      </c>
      <c r="CN16" s="14" t="e">
        <f t="shared" ca="1" si="24"/>
        <v>#N/A</v>
      </c>
      <c r="CO16" s="14" t="e">
        <f t="shared" ca="1" si="24"/>
        <v>#N/A</v>
      </c>
      <c r="CP16" s="14" t="e">
        <f t="shared" ca="1" si="24"/>
        <v>#N/A</v>
      </c>
      <c r="CQ16" s="15" t="e">
        <f t="shared" ca="1" si="24"/>
        <v>#N/A</v>
      </c>
      <c r="CR16" s="16" t="e">
        <f t="shared" ca="1" si="24"/>
        <v>#N/A</v>
      </c>
      <c r="CS16" s="13" t="e">
        <f t="shared" ca="1" si="24"/>
        <v>#N/A</v>
      </c>
      <c r="CT16" s="14" t="e">
        <f t="shared" ca="1" si="24"/>
        <v>#N/A</v>
      </c>
      <c r="CU16" s="14" t="e">
        <f t="shared" ca="1" si="24"/>
        <v>#N/A</v>
      </c>
      <c r="CV16" s="14" t="e">
        <f t="shared" ca="1" si="24"/>
        <v>#N/A</v>
      </c>
      <c r="CW16" s="14" t="e">
        <f t="shared" ca="1" si="24"/>
        <v>#N/A</v>
      </c>
      <c r="CX16" s="15" t="e">
        <f t="shared" ca="1" si="24"/>
        <v>#N/A</v>
      </c>
      <c r="CY16" s="16" t="e">
        <f t="shared" ca="1" si="24"/>
        <v>#N/A</v>
      </c>
      <c r="CZ16" s="13" t="e">
        <f t="shared" ca="1" si="24"/>
        <v>#N/A</v>
      </c>
      <c r="DA16" s="14" t="e">
        <f t="shared" ca="1" si="24"/>
        <v>#N/A</v>
      </c>
      <c r="DB16" s="14" t="e">
        <f t="shared" ca="1" si="24"/>
        <v>#N/A</v>
      </c>
      <c r="DC16" s="14" t="e">
        <f t="shared" ca="1" si="25"/>
        <v>#N/A</v>
      </c>
      <c r="DD16" s="14" t="e">
        <f t="shared" ca="1" si="25"/>
        <v>#N/A</v>
      </c>
      <c r="DE16" s="15" t="e">
        <f t="shared" ca="1" si="25"/>
        <v>#N/A</v>
      </c>
      <c r="DF16" s="16" t="e">
        <f t="shared" ca="1" si="25"/>
        <v>#N/A</v>
      </c>
      <c r="DG16" s="13" t="e">
        <f t="shared" ca="1" si="25"/>
        <v>#N/A</v>
      </c>
      <c r="DH16" s="14" t="e">
        <f t="shared" ca="1" si="25"/>
        <v>#N/A</v>
      </c>
      <c r="DI16" s="14" t="e">
        <f t="shared" ca="1" si="25"/>
        <v>#N/A</v>
      </c>
      <c r="DJ16" s="14" t="e">
        <f t="shared" ca="1" si="25"/>
        <v>#N/A</v>
      </c>
      <c r="DK16" s="14" t="e">
        <f t="shared" ca="1" si="25"/>
        <v>#N/A</v>
      </c>
      <c r="DL16" s="15" t="e">
        <f t="shared" ca="1" si="25"/>
        <v>#N/A</v>
      </c>
      <c r="DM16" s="16" t="e">
        <f t="shared" ca="1" si="25"/>
        <v>#N/A</v>
      </c>
      <c r="DN16" s="13" t="e">
        <f t="shared" ca="1" si="25"/>
        <v>#N/A</v>
      </c>
      <c r="DO16" s="14" t="e">
        <f t="shared" ca="1" si="25"/>
        <v>#N/A</v>
      </c>
      <c r="DP16" s="14" t="e">
        <f t="shared" ca="1" si="25"/>
        <v>#N/A</v>
      </c>
      <c r="DQ16" s="14" t="e">
        <f t="shared" ca="1" si="25"/>
        <v>#N/A</v>
      </c>
      <c r="DR16" s="14" t="e">
        <f t="shared" ca="1" si="25"/>
        <v>#N/A</v>
      </c>
      <c r="DS16" s="15" t="e">
        <f t="shared" ca="1" si="25"/>
        <v>#N/A</v>
      </c>
      <c r="DT16" s="16" t="e">
        <f t="shared" ca="1" si="25"/>
        <v>#N/A</v>
      </c>
    </row>
    <row r="17" spans="1:124" s="17" customFormat="1" ht="9.75" customHeight="1">
      <c r="A17" s="586"/>
      <c r="B17" s="23" t="s">
        <v>47</v>
      </c>
      <c r="C17" s="19" t="e">
        <f t="shared" ref="C17:C25" ca="1" si="28">E16+1</f>
        <v>#N/A</v>
      </c>
      <c r="D17" s="19" t="e">
        <f ca="1">_xlfn.XLOOKUP(A25,'VTT next'!B:B,'VTT next'!AH:AH,"-",0)</f>
        <v>#N/A</v>
      </c>
      <c r="E17" s="19" t="e">
        <f t="shared" ca="1" si="27"/>
        <v>#N/A</v>
      </c>
      <c r="F17" s="13" t="e">
        <f t="shared" ca="1" si="19"/>
        <v>#N/A</v>
      </c>
      <c r="G17" s="14" t="e">
        <f t="shared" ca="1" si="19"/>
        <v>#N/A</v>
      </c>
      <c r="H17" s="14" t="e">
        <f t="shared" ca="1" si="19"/>
        <v>#N/A</v>
      </c>
      <c r="I17" s="14" t="e">
        <f t="shared" ca="1" si="19"/>
        <v>#N/A</v>
      </c>
      <c r="J17" s="14" t="e">
        <f t="shared" ca="1" si="19"/>
        <v>#N/A</v>
      </c>
      <c r="K17" s="15" t="e">
        <f t="shared" ca="1" si="19"/>
        <v>#N/A</v>
      </c>
      <c r="L17" s="16" t="e">
        <f t="shared" ca="1" si="19"/>
        <v>#N/A</v>
      </c>
      <c r="M17" s="13" t="e">
        <f t="shared" ca="1" si="19"/>
        <v>#N/A</v>
      </c>
      <c r="N17" s="14" t="e">
        <f t="shared" ca="1" si="19"/>
        <v>#N/A</v>
      </c>
      <c r="O17" s="14" t="e">
        <f t="shared" ca="1" si="19"/>
        <v>#N/A</v>
      </c>
      <c r="P17" s="14" t="e">
        <f t="shared" ca="1" si="19"/>
        <v>#N/A</v>
      </c>
      <c r="Q17" s="14" t="e">
        <f t="shared" ca="1" si="19"/>
        <v>#N/A</v>
      </c>
      <c r="R17" s="15" t="e">
        <f t="shared" ca="1" si="19"/>
        <v>#N/A</v>
      </c>
      <c r="S17" s="16" t="e">
        <f t="shared" ca="1" si="19"/>
        <v>#N/A</v>
      </c>
      <c r="T17" s="13" t="e">
        <f t="shared" ca="1" si="19"/>
        <v>#N/A</v>
      </c>
      <c r="U17" s="14" t="e">
        <f t="shared" ca="1" si="19"/>
        <v>#N/A</v>
      </c>
      <c r="V17" s="14" t="e">
        <f t="shared" ca="1" si="19"/>
        <v>#N/A</v>
      </c>
      <c r="W17" s="14" t="e">
        <f t="shared" ca="1" si="19"/>
        <v>#N/A</v>
      </c>
      <c r="X17" s="14" t="e">
        <f t="shared" ca="1" si="19"/>
        <v>#N/A</v>
      </c>
      <c r="Y17" s="15" t="e">
        <f t="shared" ca="1" si="19"/>
        <v>#N/A</v>
      </c>
      <c r="Z17" s="16" t="e">
        <f t="shared" ca="1" si="19"/>
        <v>#N/A</v>
      </c>
      <c r="AA17" s="13" t="e">
        <f t="shared" ca="1" si="20"/>
        <v>#N/A</v>
      </c>
      <c r="AB17" s="14" t="e">
        <f t="shared" ca="1" si="20"/>
        <v>#N/A</v>
      </c>
      <c r="AC17" s="14" t="e">
        <f t="shared" ca="1" si="20"/>
        <v>#N/A</v>
      </c>
      <c r="AD17" s="14" t="e">
        <f t="shared" ca="1" si="20"/>
        <v>#N/A</v>
      </c>
      <c r="AE17" s="14" t="e">
        <f t="shared" ca="1" si="20"/>
        <v>#N/A</v>
      </c>
      <c r="AF17" s="15" t="e">
        <f t="shared" ca="1" si="20"/>
        <v>#N/A</v>
      </c>
      <c r="AG17" s="16" t="e">
        <f t="shared" ca="1" si="20"/>
        <v>#N/A</v>
      </c>
      <c r="AH17" s="13" t="e">
        <f t="shared" ca="1" si="20"/>
        <v>#N/A</v>
      </c>
      <c r="AI17" s="14" t="e">
        <f t="shared" ca="1" si="20"/>
        <v>#N/A</v>
      </c>
      <c r="AJ17" s="14" t="e">
        <f t="shared" ca="1" si="20"/>
        <v>#N/A</v>
      </c>
      <c r="AK17" s="14" t="e">
        <f t="shared" ca="1" si="20"/>
        <v>#N/A</v>
      </c>
      <c r="AL17" s="14" t="e">
        <f t="shared" ca="1" si="20"/>
        <v>#N/A</v>
      </c>
      <c r="AM17" s="15" t="e">
        <f t="shared" ca="1" si="20"/>
        <v>#N/A</v>
      </c>
      <c r="AN17" s="16" t="e">
        <f t="shared" ca="1" si="20"/>
        <v>#N/A</v>
      </c>
      <c r="AO17" s="13" t="e">
        <f t="shared" ca="1" si="20"/>
        <v>#N/A</v>
      </c>
      <c r="AP17" s="14" t="e">
        <f t="shared" ca="1" si="20"/>
        <v>#N/A</v>
      </c>
      <c r="AQ17" s="14" t="e">
        <f t="shared" ca="1" si="21"/>
        <v>#N/A</v>
      </c>
      <c r="AR17" s="14" t="e">
        <f t="shared" ca="1" si="21"/>
        <v>#N/A</v>
      </c>
      <c r="AS17" s="14" t="e">
        <f t="shared" ca="1" si="21"/>
        <v>#N/A</v>
      </c>
      <c r="AT17" s="15" t="e">
        <f t="shared" ca="1" si="21"/>
        <v>#N/A</v>
      </c>
      <c r="AU17" s="16" t="e">
        <f t="shared" ca="1" si="21"/>
        <v>#N/A</v>
      </c>
      <c r="AV17" s="13" t="e">
        <f t="shared" ca="1" si="21"/>
        <v>#N/A</v>
      </c>
      <c r="AW17" s="14" t="e">
        <f t="shared" ca="1" si="21"/>
        <v>#N/A</v>
      </c>
      <c r="AX17" s="14" t="e">
        <f t="shared" ca="1" si="21"/>
        <v>#N/A</v>
      </c>
      <c r="AY17" s="14" t="e">
        <f t="shared" ca="1" si="21"/>
        <v>#N/A</v>
      </c>
      <c r="AZ17" s="14" t="e">
        <f t="shared" ca="1" si="21"/>
        <v>#N/A</v>
      </c>
      <c r="BA17" s="15" t="e">
        <f t="shared" ca="1" si="21"/>
        <v>#N/A</v>
      </c>
      <c r="BB17" s="16" t="e">
        <f t="shared" ca="1" si="21"/>
        <v>#N/A</v>
      </c>
      <c r="BC17" s="13" t="e">
        <f t="shared" ca="1" si="21"/>
        <v>#N/A</v>
      </c>
      <c r="BD17" s="14" t="e">
        <f t="shared" ca="1" si="21"/>
        <v>#N/A</v>
      </c>
      <c r="BE17" s="14" t="e">
        <f t="shared" ca="1" si="21"/>
        <v>#N/A</v>
      </c>
      <c r="BF17" s="14" t="e">
        <f t="shared" ca="1" si="21"/>
        <v>#N/A</v>
      </c>
      <c r="BG17" s="14" t="e">
        <f t="shared" ca="1" si="22"/>
        <v>#N/A</v>
      </c>
      <c r="BH17" s="15" t="e">
        <f t="shared" ca="1" si="22"/>
        <v>#N/A</v>
      </c>
      <c r="BI17" s="16" t="e">
        <f t="shared" ca="1" si="22"/>
        <v>#N/A</v>
      </c>
      <c r="BJ17" s="13" t="e">
        <f t="shared" ca="1" si="22"/>
        <v>#N/A</v>
      </c>
      <c r="BK17" s="14" t="e">
        <f t="shared" ca="1" si="22"/>
        <v>#N/A</v>
      </c>
      <c r="BL17" s="14" t="e">
        <f t="shared" ca="1" si="22"/>
        <v>#N/A</v>
      </c>
      <c r="BM17" s="14" t="e">
        <f t="shared" ca="1" si="22"/>
        <v>#N/A</v>
      </c>
      <c r="BN17" s="14" t="e">
        <f t="shared" ca="1" si="22"/>
        <v>#N/A</v>
      </c>
      <c r="BO17" s="15" t="e">
        <f t="shared" ca="1" si="22"/>
        <v>#N/A</v>
      </c>
      <c r="BP17" s="16" t="e">
        <f t="shared" ca="1" si="22"/>
        <v>#N/A</v>
      </c>
      <c r="BQ17" s="13" t="e">
        <f t="shared" ca="1" si="22"/>
        <v>#N/A</v>
      </c>
      <c r="BR17" s="14" t="e">
        <f t="shared" ca="1" si="22"/>
        <v>#N/A</v>
      </c>
      <c r="BS17" s="14" t="e">
        <f t="shared" ca="1" si="22"/>
        <v>#N/A</v>
      </c>
      <c r="BT17" s="14" t="e">
        <f t="shared" ca="1" si="22"/>
        <v>#N/A</v>
      </c>
      <c r="BU17" s="14" t="e">
        <f t="shared" ca="1" si="22"/>
        <v>#N/A</v>
      </c>
      <c r="BV17" s="15" t="e">
        <f t="shared" ca="1" si="22"/>
        <v>#N/A</v>
      </c>
      <c r="BW17" s="16" t="e">
        <f t="shared" ca="1" si="23"/>
        <v>#N/A</v>
      </c>
      <c r="BX17" s="13" t="e">
        <f t="shared" ca="1" si="23"/>
        <v>#N/A</v>
      </c>
      <c r="BY17" s="14" t="e">
        <f t="shared" ca="1" si="23"/>
        <v>#N/A</v>
      </c>
      <c r="BZ17" s="14" t="e">
        <f t="shared" ca="1" si="23"/>
        <v>#N/A</v>
      </c>
      <c r="CA17" s="14" t="e">
        <f t="shared" ca="1" si="23"/>
        <v>#N/A</v>
      </c>
      <c r="CB17" s="14" t="e">
        <f t="shared" ca="1" si="23"/>
        <v>#N/A</v>
      </c>
      <c r="CC17" s="15" t="e">
        <f t="shared" ca="1" si="23"/>
        <v>#N/A</v>
      </c>
      <c r="CD17" s="16" t="e">
        <f t="shared" ca="1" si="23"/>
        <v>#N/A</v>
      </c>
      <c r="CE17" s="13" t="e">
        <f t="shared" ca="1" si="23"/>
        <v>#N/A</v>
      </c>
      <c r="CF17" s="14" t="e">
        <f t="shared" ca="1" si="23"/>
        <v>#N/A</v>
      </c>
      <c r="CG17" s="14" t="e">
        <f t="shared" ca="1" si="23"/>
        <v>#N/A</v>
      </c>
      <c r="CH17" s="14" t="e">
        <f t="shared" ca="1" si="23"/>
        <v>#N/A</v>
      </c>
      <c r="CI17" s="14" t="e">
        <f t="shared" ca="1" si="23"/>
        <v>#N/A</v>
      </c>
      <c r="CJ17" s="15" t="e">
        <f t="shared" ca="1" si="23"/>
        <v>#N/A</v>
      </c>
      <c r="CK17" s="16" t="e">
        <f t="shared" ca="1" si="23"/>
        <v>#N/A</v>
      </c>
      <c r="CL17" s="13" t="e">
        <f t="shared" ca="1" si="23"/>
        <v>#N/A</v>
      </c>
      <c r="CM17" s="14" t="e">
        <f t="shared" ca="1" si="24"/>
        <v>#N/A</v>
      </c>
      <c r="CN17" s="14" t="e">
        <f t="shared" ca="1" si="24"/>
        <v>#N/A</v>
      </c>
      <c r="CO17" s="14" t="e">
        <f t="shared" ca="1" si="24"/>
        <v>#N/A</v>
      </c>
      <c r="CP17" s="14" t="e">
        <f t="shared" ca="1" si="24"/>
        <v>#N/A</v>
      </c>
      <c r="CQ17" s="15" t="e">
        <f t="shared" ca="1" si="24"/>
        <v>#N/A</v>
      </c>
      <c r="CR17" s="16" t="e">
        <f t="shared" ca="1" si="24"/>
        <v>#N/A</v>
      </c>
      <c r="CS17" s="13" t="e">
        <f t="shared" ca="1" si="24"/>
        <v>#N/A</v>
      </c>
      <c r="CT17" s="14" t="e">
        <f t="shared" ca="1" si="24"/>
        <v>#N/A</v>
      </c>
      <c r="CU17" s="14" t="e">
        <f t="shared" ca="1" si="24"/>
        <v>#N/A</v>
      </c>
      <c r="CV17" s="14" t="e">
        <f t="shared" ca="1" si="24"/>
        <v>#N/A</v>
      </c>
      <c r="CW17" s="14" t="e">
        <f t="shared" ca="1" si="24"/>
        <v>#N/A</v>
      </c>
      <c r="CX17" s="15" t="e">
        <f t="shared" ca="1" si="24"/>
        <v>#N/A</v>
      </c>
      <c r="CY17" s="16" t="e">
        <f t="shared" ca="1" si="24"/>
        <v>#N/A</v>
      </c>
      <c r="CZ17" s="13" t="e">
        <f t="shared" ca="1" si="24"/>
        <v>#N/A</v>
      </c>
      <c r="DA17" s="14" t="e">
        <f t="shared" ca="1" si="24"/>
        <v>#N/A</v>
      </c>
      <c r="DB17" s="14" t="e">
        <f t="shared" ca="1" si="24"/>
        <v>#N/A</v>
      </c>
      <c r="DC17" s="14" t="e">
        <f t="shared" ca="1" si="25"/>
        <v>#N/A</v>
      </c>
      <c r="DD17" s="14" t="e">
        <f t="shared" ca="1" si="25"/>
        <v>#N/A</v>
      </c>
      <c r="DE17" s="15" t="e">
        <f t="shared" ca="1" si="25"/>
        <v>#N/A</v>
      </c>
      <c r="DF17" s="16" t="e">
        <f t="shared" ca="1" si="25"/>
        <v>#N/A</v>
      </c>
      <c r="DG17" s="13" t="e">
        <f t="shared" ca="1" si="25"/>
        <v>#N/A</v>
      </c>
      <c r="DH17" s="14" t="e">
        <f t="shared" ca="1" si="25"/>
        <v>#N/A</v>
      </c>
      <c r="DI17" s="14" t="e">
        <f t="shared" ca="1" si="25"/>
        <v>#N/A</v>
      </c>
      <c r="DJ17" s="14" t="e">
        <f t="shared" ca="1" si="25"/>
        <v>#N/A</v>
      </c>
      <c r="DK17" s="14" t="e">
        <f t="shared" ca="1" si="25"/>
        <v>#N/A</v>
      </c>
      <c r="DL17" s="15" t="e">
        <f t="shared" ca="1" si="25"/>
        <v>#N/A</v>
      </c>
      <c r="DM17" s="16" t="e">
        <f t="shared" ca="1" si="25"/>
        <v>#N/A</v>
      </c>
      <c r="DN17" s="13" t="e">
        <f t="shared" ca="1" si="25"/>
        <v>#N/A</v>
      </c>
      <c r="DO17" s="14" t="e">
        <f t="shared" ca="1" si="25"/>
        <v>#N/A</v>
      </c>
      <c r="DP17" s="14" t="e">
        <f t="shared" ca="1" si="25"/>
        <v>#N/A</v>
      </c>
      <c r="DQ17" s="14" t="e">
        <f t="shared" ca="1" si="25"/>
        <v>#N/A</v>
      </c>
      <c r="DR17" s="14" t="e">
        <f t="shared" ca="1" si="25"/>
        <v>#N/A</v>
      </c>
      <c r="DS17" s="15" t="e">
        <f t="shared" ca="1" si="25"/>
        <v>#N/A</v>
      </c>
      <c r="DT17" s="16" t="e">
        <f t="shared" ca="1" si="25"/>
        <v>#N/A</v>
      </c>
    </row>
    <row r="18" spans="1:124" s="17" customFormat="1" ht="9.75" customHeight="1">
      <c r="A18" s="586"/>
      <c r="B18" s="26" t="s">
        <v>48</v>
      </c>
      <c r="C18" s="19" t="e">
        <f t="shared" ca="1" si="28"/>
        <v>#N/A</v>
      </c>
      <c r="D18" s="19" t="e">
        <f ca="1">_xlfn.XLOOKUP(A25,'VTT next'!B:B,'VTT next'!AI:AI,"-",0)</f>
        <v>#N/A</v>
      </c>
      <c r="E18" s="19" t="e">
        <f t="shared" ca="1" si="27"/>
        <v>#N/A</v>
      </c>
      <c r="F18" s="13" t="e">
        <f t="shared" ca="1" si="19"/>
        <v>#N/A</v>
      </c>
      <c r="G18" s="14" t="e">
        <f t="shared" ca="1" si="19"/>
        <v>#N/A</v>
      </c>
      <c r="H18" s="14" t="e">
        <f t="shared" ca="1" si="19"/>
        <v>#N/A</v>
      </c>
      <c r="I18" s="14" t="e">
        <f t="shared" ca="1" si="19"/>
        <v>#N/A</v>
      </c>
      <c r="J18" s="14" t="e">
        <f t="shared" ca="1" si="19"/>
        <v>#N/A</v>
      </c>
      <c r="K18" s="15" t="e">
        <f t="shared" ca="1" si="19"/>
        <v>#N/A</v>
      </c>
      <c r="L18" s="16" t="e">
        <f t="shared" ca="1" si="19"/>
        <v>#N/A</v>
      </c>
      <c r="M18" s="13" t="e">
        <f t="shared" ca="1" si="19"/>
        <v>#N/A</v>
      </c>
      <c r="N18" s="14" t="e">
        <f t="shared" ca="1" si="19"/>
        <v>#N/A</v>
      </c>
      <c r="O18" s="14" t="e">
        <f t="shared" ca="1" si="19"/>
        <v>#N/A</v>
      </c>
      <c r="P18" s="14" t="e">
        <f t="shared" ca="1" si="19"/>
        <v>#N/A</v>
      </c>
      <c r="Q18" s="14" t="e">
        <f t="shared" ca="1" si="19"/>
        <v>#N/A</v>
      </c>
      <c r="R18" s="15" t="e">
        <f t="shared" ca="1" si="19"/>
        <v>#N/A</v>
      </c>
      <c r="S18" s="16" t="e">
        <f t="shared" ca="1" si="19"/>
        <v>#N/A</v>
      </c>
      <c r="T18" s="13" t="e">
        <f t="shared" ca="1" si="19"/>
        <v>#N/A</v>
      </c>
      <c r="U18" s="14" t="e">
        <f t="shared" ca="1" si="19"/>
        <v>#N/A</v>
      </c>
      <c r="V18" s="14" t="e">
        <f t="shared" ca="1" si="19"/>
        <v>#N/A</v>
      </c>
      <c r="W18" s="14" t="e">
        <f t="shared" ca="1" si="19"/>
        <v>#N/A</v>
      </c>
      <c r="X18" s="14" t="e">
        <f t="shared" ca="1" si="19"/>
        <v>#N/A</v>
      </c>
      <c r="Y18" s="15" t="e">
        <f t="shared" ca="1" si="19"/>
        <v>#N/A</v>
      </c>
      <c r="Z18" s="16" t="e">
        <f t="shared" ca="1" si="19"/>
        <v>#N/A</v>
      </c>
      <c r="AA18" s="13" t="e">
        <f t="shared" ca="1" si="20"/>
        <v>#N/A</v>
      </c>
      <c r="AB18" s="14" t="e">
        <f t="shared" ca="1" si="20"/>
        <v>#N/A</v>
      </c>
      <c r="AC18" s="14" t="e">
        <f t="shared" ca="1" si="20"/>
        <v>#N/A</v>
      </c>
      <c r="AD18" s="14" t="e">
        <f t="shared" ca="1" si="20"/>
        <v>#N/A</v>
      </c>
      <c r="AE18" s="14" t="e">
        <f t="shared" ca="1" si="20"/>
        <v>#N/A</v>
      </c>
      <c r="AF18" s="15" t="e">
        <f t="shared" ca="1" si="20"/>
        <v>#N/A</v>
      </c>
      <c r="AG18" s="16" t="e">
        <f t="shared" ca="1" si="20"/>
        <v>#N/A</v>
      </c>
      <c r="AH18" s="13" t="e">
        <f t="shared" ca="1" si="20"/>
        <v>#N/A</v>
      </c>
      <c r="AI18" s="14" t="e">
        <f t="shared" ca="1" si="20"/>
        <v>#N/A</v>
      </c>
      <c r="AJ18" s="14" t="e">
        <f t="shared" ca="1" si="20"/>
        <v>#N/A</v>
      </c>
      <c r="AK18" s="14" t="e">
        <f t="shared" ca="1" si="20"/>
        <v>#N/A</v>
      </c>
      <c r="AL18" s="14" t="e">
        <f t="shared" ca="1" si="20"/>
        <v>#N/A</v>
      </c>
      <c r="AM18" s="15" t="e">
        <f t="shared" ca="1" si="20"/>
        <v>#N/A</v>
      </c>
      <c r="AN18" s="16" t="e">
        <f t="shared" ca="1" si="20"/>
        <v>#N/A</v>
      </c>
      <c r="AO18" s="13" t="e">
        <f t="shared" ca="1" si="20"/>
        <v>#N/A</v>
      </c>
      <c r="AP18" s="14" t="e">
        <f t="shared" ca="1" si="20"/>
        <v>#N/A</v>
      </c>
      <c r="AQ18" s="14" t="e">
        <f t="shared" ca="1" si="21"/>
        <v>#N/A</v>
      </c>
      <c r="AR18" s="14" t="e">
        <f t="shared" ca="1" si="21"/>
        <v>#N/A</v>
      </c>
      <c r="AS18" s="14" t="e">
        <f t="shared" ca="1" si="21"/>
        <v>#N/A</v>
      </c>
      <c r="AT18" s="15" t="e">
        <f t="shared" ca="1" si="21"/>
        <v>#N/A</v>
      </c>
      <c r="AU18" s="16" t="e">
        <f t="shared" ca="1" si="21"/>
        <v>#N/A</v>
      </c>
      <c r="AV18" s="13" t="e">
        <f t="shared" ca="1" si="21"/>
        <v>#N/A</v>
      </c>
      <c r="AW18" s="14" t="e">
        <f t="shared" ca="1" si="21"/>
        <v>#N/A</v>
      </c>
      <c r="AX18" s="14" t="e">
        <f t="shared" ca="1" si="21"/>
        <v>#N/A</v>
      </c>
      <c r="AY18" s="14" t="e">
        <f t="shared" ca="1" si="21"/>
        <v>#N/A</v>
      </c>
      <c r="AZ18" s="14" t="e">
        <f t="shared" ca="1" si="21"/>
        <v>#N/A</v>
      </c>
      <c r="BA18" s="15" t="e">
        <f t="shared" ca="1" si="21"/>
        <v>#N/A</v>
      </c>
      <c r="BB18" s="16" t="e">
        <f t="shared" ca="1" si="21"/>
        <v>#N/A</v>
      </c>
      <c r="BC18" s="13" t="e">
        <f t="shared" ca="1" si="21"/>
        <v>#N/A</v>
      </c>
      <c r="BD18" s="14" t="e">
        <f t="shared" ca="1" si="21"/>
        <v>#N/A</v>
      </c>
      <c r="BE18" s="14" t="e">
        <f t="shared" ca="1" si="21"/>
        <v>#N/A</v>
      </c>
      <c r="BF18" s="14" t="e">
        <f t="shared" ca="1" si="21"/>
        <v>#N/A</v>
      </c>
      <c r="BG18" s="14" t="e">
        <f t="shared" ca="1" si="22"/>
        <v>#N/A</v>
      </c>
      <c r="BH18" s="15" t="e">
        <f t="shared" ca="1" si="22"/>
        <v>#N/A</v>
      </c>
      <c r="BI18" s="16" t="e">
        <f t="shared" ca="1" si="22"/>
        <v>#N/A</v>
      </c>
      <c r="BJ18" s="13" t="e">
        <f t="shared" ca="1" si="22"/>
        <v>#N/A</v>
      </c>
      <c r="BK18" s="14" t="e">
        <f t="shared" ca="1" si="22"/>
        <v>#N/A</v>
      </c>
      <c r="BL18" s="14" t="e">
        <f t="shared" ca="1" si="22"/>
        <v>#N/A</v>
      </c>
      <c r="BM18" s="14" t="e">
        <f t="shared" ca="1" si="22"/>
        <v>#N/A</v>
      </c>
      <c r="BN18" s="14" t="e">
        <f t="shared" ca="1" si="22"/>
        <v>#N/A</v>
      </c>
      <c r="BO18" s="15" t="e">
        <f t="shared" ca="1" si="22"/>
        <v>#N/A</v>
      </c>
      <c r="BP18" s="16" t="e">
        <f t="shared" ca="1" si="22"/>
        <v>#N/A</v>
      </c>
      <c r="BQ18" s="13" t="e">
        <f t="shared" ca="1" si="22"/>
        <v>#N/A</v>
      </c>
      <c r="BR18" s="14" t="e">
        <f t="shared" ca="1" si="22"/>
        <v>#N/A</v>
      </c>
      <c r="BS18" s="14" t="e">
        <f t="shared" ca="1" si="22"/>
        <v>#N/A</v>
      </c>
      <c r="BT18" s="14" t="e">
        <f t="shared" ca="1" si="22"/>
        <v>#N/A</v>
      </c>
      <c r="BU18" s="14" t="e">
        <f t="shared" ca="1" si="22"/>
        <v>#N/A</v>
      </c>
      <c r="BV18" s="15" t="e">
        <f t="shared" ca="1" si="22"/>
        <v>#N/A</v>
      </c>
      <c r="BW18" s="16" t="e">
        <f t="shared" ca="1" si="23"/>
        <v>#N/A</v>
      </c>
      <c r="BX18" s="13" t="e">
        <f t="shared" ca="1" si="23"/>
        <v>#N/A</v>
      </c>
      <c r="BY18" s="14" t="e">
        <f t="shared" ca="1" si="23"/>
        <v>#N/A</v>
      </c>
      <c r="BZ18" s="14" t="e">
        <f t="shared" ca="1" si="23"/>
        <v>#N/A</v>
      </c>
      <c r="CA18" s="14" t="e">
        <f t="shared" ca="1" si="23"/>
        <v>#N/A</v>
      </c>
      <c r="CB18" s="14" t="e">
        <f t="shared" ca="1" si="23"/>
        <v>#N/A</v>
      </c>
      <c r="CC18" s="15" t="e">
        <f t="shared" ca="1" si="23"/>
        <v>#N/A</v>
      </c>
      <c r="CD18" s="16" t="e">
        <f t="shared" ca="1" si="23"/>
        <v>#N/A</v>
      </c>
      <c r="CE18" s="13" t="e">
        <f t="shared" ca="1" si="23"/>
        <v>#N/A</v>
      </c>
      <c r="CF18" s="14" t="e">
        <f t="shared" ca="1" si="23"/>
        <v>#N/A</v>
      </c>
      <c r="CG18" s="14" t="e">
        <f t="shared" ca="1" si="23"/>
        <v>#N/A</v>
      </c>
      <c r="CH18" s="14" t="e">
        <f t="shared" ca="1" si="23"/>
        <v>#N/A</v>
      </c>
      <c r="CI18" s="14" t="e">
        <f t="shared" ca="1" si="23"/>
        <v>#N/A</v>
      </c>
      <c r="CJ18" s="15" t="e">
        <f t="shared" ca="1" si="23"/>
        <v>#N/A</v>
      </c>
      <c r="CK18" s="16" t="e">
        <f t="shared" ca="1" si="23"/>
        <v>#N/A</v>
      </c>
      <c r="CL18" s="13" t="e">
        <f t="shared" ca="1" si="23"/>
        <v>#N/A</v>
      </c>
      <c r="CM18" s="14" t="e">
        <f t="shared" ca="1" si="24"/>
        <v>#N/A</v>
      </c>
      <c r="CN18" s="14" t="e">
        <f t="shared" ca="1" si="24"/>
        <v>#N/A</v>
      </c>
      <c r="CO18" s="14" t="e">
        <f t="shared" ca="1" si="24"/>
        <v>#N/A</v>
      </c>
      <c r="CP18" s="14" t="e">
        <f t="shared" ca="1" si="24"/>
        <v>#N/A</v>
      </c>
      <c r="CQ18" s="15" t="e">
        <f t="shared" ca="1" si="24"/>
        <v>#N/A</v>
      </c>
      <c r="CR18" s="16" t="e">
        <f t="shared" ca="1" si="24"/>
        <v>#N/A</v>
      </c>
      <c r="CS18" s="13" t="e">
        <f t="shared" ca="1" si="24"/>
        <v>#N/A</v>
      </c>
      <c r="CT18" s="14" t="e">
        <f t="shared" ca="1" si="24"/>
        <v>#N/A</v>
      </c>
      <c r="CU18" s="14" t="e">
        <f t="shared" ca="1" si="24"/>
        <v>#N/A</v>
      </c>
      <c r="CV18" s="14" t="e">
        <f t="shared" ca="1" si="24"/>
        <v>#N/A</v>
      </c>
      <c r="CW18" s="14" t="e">
        <f t="shared" ca="1" si="24"/>
        <v>#N/A</v>
      </c>
      <c r="CX18" s="15" t="e">
        <f t="shared" ca="1" si="24"/>
        <v>#N/A</v>
      </c>
      <c r="CY18" s="16" t="e">
        <f t="shared" ca="1" si="24"/>
        <v>#N/A</v>
      </c>
      <c r="CZ18" s="13" t="e">
        <f t="shared" ca="1" si="24"/>
        <v>#N/A</v>
      </c>
      <c r="DA18" s="14" t="e">
        <f t="shared" ca="1" si="24"/>
        <v>#N/A</v>
      </c>
      <c r="DB18" s="14" t="e">
        <f t="shared" ca="1" si="24"/>
        <v>#N/A</v>
      </c>
      <c r="DC18" s="14" t="e">
        <f t="shared" ca="1" si="25"/>
        <v>#N/A</v>
      </c>
      <c r="DD18" s="14" t="e">
        <f t="shared" ca="1" si="25"/>
        <v>#N/A</v>
      </c>
      <c r="DE18" s="15" t="e">
        <f t="shared" ca="1" si="25"/>
        <v>#N/A</v>
      </c>
      <c r="DF18" s="16" t="e">
        <f t="shared" ca="1" si="25"/>
        <v>#N/A</v>
      </c>
      <c r="DG18" s="13" t="e">
        <f t="shared" ca="1" si="25"/>
        <v>#N/A</v>
      </c>
      <c r="DH18" s="14" t="e">
        <f t="shared" ca="1" si="25"/>
        <v>#N/A</v>
      </c>
      <c r="DI18" s="14" t="e">
        <f t="shared" ca="1" si="25"/>
        <v>#N/A</v>
      </c>
      <c r="DJ18" s="14" t="e">
        <f t="shared" ca="1" si="25"/>
        <v>#N/A</v>
      </c>
      <c r="DK18" s="14" t="e">
        <f t="shared" ca="1" si="25"/>
        <v>#N/A</v>
      </c>
      <c r="DL18" s="15" t="e">
        <f t="shared" ca="1" si="25"/>
        <v>#N/A</v>
      </c>
      <c r="DM18" s="16" t="e">
        <f t="shared" ca="1" si="25"/>
        <v>#N/A</v>
      </c>
      <c r="DN18" s="13" t="e">
        <f t="shared" ca="1" si="25"/>
        <v>#N/A</v>
      </c>
      <c r="DO18" s="14" t="e">
        <f t="shared" ca="1" si="25"/>
        <v>#N/A</v>
      </c>
      <c r="DP18" s="14" t="e">
        <f t="shared" ca="1" si="25"/>
        <v>#N/A</v>
      </c>
      <c r="DQ18" s="14" t="e">
        <f t="shared" ca="1" si="25"/>
        <v>#N/A</v>
      </c>
      <c r="DR18" s="14" t="e">
        <f t="shared" ca="1" si="25"/>
        <v>#N/A</v>
      </c>
      <c r="DS18" s="15" t="e">
        <f t="shared" ca="1" si="25"/>
        <v>#N/A</v>
      </c>
      <c r="DT18" s="16" t="e">
        <f t="shared" ca="1" si="25"/>
        <v>#N/A</v>
      </c>
    </row>
    <row r="19" spans="1:124" s="17" customFormat="1" ht="9.75" customHeight="1">
      <c r="A19" s="587" t="e">
        <f ca="1">_xlfn.XLOOKUP(A25,'VTT next'!B:B,'VTT next'!AB:AB,"-",0)</f>
        <v>#N/A</v>
      </c>
      <c r="B19" s="24" t="s">
        <v>49</v>
      </c>
      <c r="C19" s="19" t="e">
        <f t="shared" ca="1" si="28"/>
        <v>#N/A</v>
      </c>
      <c r="D19" s="19" t="e">
        <f ca="1">_xlfn.XLOOKUP(A25,'VTT next'!B:B,'VTT next'!AK:AK,"-",0)</f>
        <v>#N/A</v>
      </c>
      <c r="E19" s="19" t="e">
        <f ca="1">C19-1+D19</f>
        <v>#N/A</v>
      </c>
      <c r="F19" s="13" t="e">
        <f t="shared" ca="1" si="19"/>
        <v>#N/A</v>
      </c>
      <c r="G19" s="14" t="e">
        <f t="shared" ca="1" si="19"/>
        <v>#N/A</v>
      </c>
      <c r="H19" s="14" t="e">
        <f t="shared" ca="1" si="19"/>
        <v>#N/A</v>
      </c>
      <c r="I19" s="14" t="e">
        <f t="shared" ca="1" si="19"/>
        <v>#N/A</v>
      </c>
      <c r="J19" s="14" t="e">
        <f t="shared" ca="1" si="19"/>
        <v>#N/A</v>
      </c>
      <c r="K19" s="15" t="e">
        <f t="shared" ca="1" si="19"/>
        <v>#N/A</v>
      </c>
      <c r="L19" s="16" t="e">
        <f t="shared" ca="1" si="19"/>
        <v>#N/A</v>
      </c>
      <c r="M19" s="13" t="e">
        <f t="shared" ca="1" si="19"/>
        <v>#N/A</v>
      </c>
      <c r="N19" s="14" t="e">
        <f t="shared" ca="1" si="19"/>
        <v>#N/A</v>
      </c>
      <c r="O19" s="14" t="e">
        <f t="shared" ca="1" si="19"/>
        <v>#N/A</v>
      </c>
      <c r="P19" s="14" t="e">
        <f t="shared" ca="1" si="19"/>
        <v>#N/A</v>
      </c>
      <c r="Q19" s="14" t="e">
        <f t="shared" ca="1" si="19"/>
        <v>#N/A</v>
      </c>
      <c r="R19" s="15" t="e">
        <f t="shared" ca="1" si="19"/>
        <v>#N/A</v>
      </c>
      <c r="S19" s="16" t="e">
        <f t="shared" ca="1" si="19"/>
        <v>#N/A</v>
      </c>
      <c r="T19" s="13" t="e">
        <f t="shared" ca="1" si="19"/>
        <v>#N/A</v>
      </c>
      <c r="U19" s="14" t="e">
        <f t="shared" ca="1" si="19"/>
        <v>#N/A</v>
      </c>
      <c r="V19" s="14" t="e">
        <f t="shared" ca="1" si="19"/>
        <v>#N/A</v>
      </c>
      <c r="W19" s="14" t="e">
        <f t="shared" ca="1" si="19"/>
        <v>#N/A</v>
      </c>
      <c r="X19" s="14" t="e">
        <f t="shared" ca="1" si="19"/>
        <v>#N/A</v>
      </c>
      <c r="Y19" s="15" t="e">
        <f t="shared" ca="1" si="19"/>
        <v>#N/A</v>
      </c>
      <c r="Z19" s="16" t="e">
        <f t="shared" ca="1" si="19"/>
        <v>#N/A</v>
      </c>
      <c r="AA19" s="13" t="e">
        <f t="shared" ca="1" si="20"/>
        <v>#N/A</v>
      </c>
      <c r="AB19" s="14" t="e">
        <f t="shared" ca="1" si="20"/>
        <v>#N/A</v>
      </c>
      <c r="AC19" s="14" t="e">
        <f t="shared" ca="1" si="20"/>
        <v>#N/A</v>
      </c>
      <c r="AD19" s="14" t="e">
        <f t="shared" ca="1" si="20"/>
        <v>#N/A</v>
      </c>
      <c r="AE19" s="14" t="e">
        <f t="shared" ca="1" si="20"/>
        <v>#N/A</v>
      </c>
      <c r="AF19" s="15" t="e">
        <f t="shared" ca="1" si="20"/>
        <v>#N/A</v>
      </c>
      <c r="AG19" s="16" t="e">
        <f t="shared" ca="1" si="20"/>
        <v>#N/A</v>
      </c>
      <c r="AH19" s="13" t="e">
        <f t="shared" ca="1" si="20"/>
        <v>#N/A</v>
      </c>
      <c r="AI19" s="14" t="e">
        <f t="shared" ca="1" si="20"/>
        <v>#N/A</v>
      </c>
      <c r="AJ19" s="14" t="e">
        <f t="shared" ca="1" si="20"/>
        <v>#N/A</v>
      </c>
      <c r="AK19" s="14" t="e">
        <f t="shared" ca="1" si="20"/>
        <v>#N/A</v>
      </c>
      <c r="AL19" s="14" t="e">
        <f t="shared" ca="1" si="20"/>
        <v>#N/A</v>
      </c>
      <c r="AM19" s="15" t="e">
        <f t="shared" ca="1" si="20"/>
        <v>#N/A</v>
      </c>
      <c r="AN19" s="16" t="e">
        <f t="shared" ca="1" si="20"/>
        <v>#N/A</v>
      </c>
      <c r="AO19" s="13" t="e">
        <f t="shared" ca="1" si="20"/>
        <v>#N/A</v>
      </c>
      <c r="AP19" s="14" t="e">
        <f t="shared" ca="1" si="20"/>
        <v>#N/A</v>
      </c>
      <c r="AQ19" s="14" t="e">
        <f t="shared" ca="1" si="21"/>
        <v>#N/A</v>
      </c>
      <c r="AR19" s="14" t="e">
        <f t="shared" ca="1" si="21"/>
        <v>#N/A</v>
      </c>
      <c r="AS19" s="14" t="e">
        <f t="shared" ca="1" si="21"/>
        <v>#N/A</v>
      </c>
      <c r="AT19" s="15" t="e">
        <f t="shared" ca="1" si="21"/>
        <v>#N/A</v>
      </c>
      <c r="AU19" s="16" t="e">
        <f t="shared" ca="1" si="21"/>
        <v>#N/A</v>
      </c>
      <c r="AV19" s="13" t="e">
        <f t="shared" ca="1" si="21"/>
        <v>#N/A</v>
      </c>
      <c r="AW19" s="14" t="e">
        <f t="shared" ca="1" si="21"/>
        <v>#N/A</v>
      </c>
      <c r="AX19" s="14" t="e">
        <f t="shared" ca="1" si="21"/>
        <v>#N/A</v>
      </c>
      <c r="AY19" s="14" t="e">
        <f t="shared" ca="1" si="21"/>
        <v>#N/A</v>
      </c>
      <c r="AZ19" s="14" t="e">
        <f t="shared" ca="1" si="21"/>
        <v>#N/A</v>
      </c>
      <c r="BA19" s="15" t="e">
        <f t="shared" ca="1" si="21"/>
        <v>#N/A</v>
      </c>
      <c r="BB19" s="16" t="e">
        <f t="shared" ca="1" si="21"/>
        <v>#N/A</v>
      </c>
      <c r="BC19" s="13" t="e">
        <f t="shared" ca="1" si="21"/>
        <v>#N/A</v>
      </c>
      <c r="BD19" s="14" t="e">
        <f t="shared" ca="1" si="21"/>
        <v>#N/A</v>
      </c>
      <c r="BE19" s="14" t="e">
        <f t="shared" ca="1" si="21"/>
        <v>#N/A</v>
      </c>
      <c r="BF19" s="14" t="e">
        <f t="shared" ca="1" si="21"/>
        <v>#N/A</v>
      </c>
      <c r="BG19" s="14" t="e">
        <f t="shared" ca="1" si="22"/>
        <v>#N/A</v>
      </c>
      <c r="BH19" s="15" t="e">
        <f t="shared" ca="1" si="22"/>
        <v>#N/A</v>
      </c>
      <c r="BI19" s="16" t="e">
        <f t="shared" ca="1" si="22"/>
        <v>#N/A</v>
      </c>
      <c r="BJ19" s="13" t="e">
        <f t="shared" ca="1" si="22"/>
        <v>#N/A</v>
      </c>
      <c r="BK19" s="14" t="e">
        <f t="shared" ca="1" si="22"/>
        <v>#N/A</v>
      </c>
      <c r="BL19" s="14" t="e">
        <f t="shared" ca="1" si="22"/>
        <v>#N/A</v>
      </c>
      <c r="BM19" s="14" t="e">
        <f t="shared" ca="1" si="22"/>
        <v>#N/A</v>
      </c>
      <c r="BN19" s="14" t="e">
        <f t="shared" ca="1" si="22"/>
        <v>#N/A</v>
      </c>
      <c r="BO19" s="15" t="e">
        <f t="shared" ca="1" si="22"/>
        <v>#N/A</v>
      </c>
      <c r="BP19" s="16" t="e">
        <f t="shared" ca="1" si="22"/>
        <v>#N/A</v>
      </c>
      <c r="BQ19" s="13" t="e">
        <f t="shared" ca="1" si="22"/>
        <v>#N/A</v>
      </c>
      <c r="BR19" s="14" t="e">
        <f t="shared" ca="1" si="22"/>
        <v>#N/A</v>
      </c>
      <c r="BS19" s="14" t="e">
        <f t="shared" ca="1" si="22"/>
        <v>#N/A</v>
      </c>
      <c r="BT19" s="14" t="e">
        <f t="shared" ca="1" si="22"/>
        <v>#N/A</v>
      </c>
      <c r="BU19" s="14" t="e">
        <f t="shared" ca="1" si="22"/>
        <v>#N/A</v>
      </c>
      <c r="BV19" s="15" t="e">
        <f t="shared" ca="1" si="22"/>
        <v>#N/A</v>
      </c>
      <c r="BW19" s="16" t="e">
        <f t="shared" ca="1" si="23"/>
        <v>#N/A</v>
      </c>
      <c r="BX19" s="13" t="e">
        <f t="shared" ca="1" si="23"/>
        <v>#N/A</v>
      </c>
      <c r="BY19" s="14" t="e">
        <f t="shared" ca="1" si="23"/>
        <v>#N/A</v>
      </c>
      <c r="BZ19" s="14" t="e">
        <f t="shared" ca="1" si="23"/>
        <v>#N/A</v>
      </c>
      <c r="CA19" s="14" t="e">
        <f t="shared" ca="1" si="23"/>
        <v>#N/A</v>
      </c>
      <c r="CB19" s="14" t="e">
        <f t="shared" ca="1" si="23"/>
        <v>#N/A</v>
      </c>
      <c r="CC19" s="15" t="e">
        <f t="shared" ca="1" si="23"/>
        <v>#N/A</v>
      </c>
      <c r="CD19" s="16" t="e">
        <f t="shared" ca="1" si="23"/>
        <v>#N/A</v>
      </c>
      <c r="CE19" s="13" t="e">
        <f t="shared" ca="1" si="23"/>
        <v>#N/A</v>
      </c>
      <c r="CF19" s="14" t="e">
        <f t="shared" ca="1" si="23"/>
        <v>#N/A</v>
      </c>
      <c r="CG19" s="14" t="e">
        <f t="shared" ca="1" si="23"/>
        <v>#N/A</v>
      </c>
      <c r="CH19" s="14" t="e">
        <f t="shared" ca="1" si="23"/>
        <v>#N/A</v>
      </c>
      <c r="CI19" s="14" t="e">
        <f t="shared" ca="1" si="23"/>
        <v>#N/A</v>
      </c>
      <c r="CJ19" s="15" t="e">
        <f t="shared" ca="1" si="23"/>
        <v>#N/A</v>
      </c>
      <c r="CK19" s="16" t="e">
        <f t="shared" ca="1" si="23"/>
        <v>#N/A</v>
      </c>
      <c r="CL19" s="13" t="e">
        <f t="shared" ca="1" si="23"/>
        <v>#N/A</v>
      </c>
      <c r="CM19" s="14" t="e">
        <f t="shared" ca="1" si="24"/>
        <v>#N/A</v>
      </c>
      <c r="CN19" s="14" t="e">
        <f t="shared" ca="1" si="24"/>
        <v>#N/A</v>
      </c>
      <c r="CO19" s="14" t="e">
        <f t="shared" ca="1" si="24"/>
        <v>#N/A</v>
      </c>
      <c r="CP19" s="14" t="e">
        <f t="shared" ca="1" si="24"/>
        <v>#N/A</v>
      </c>
      <c r="CQ19" s="15" t="e">
        <f t="shared" ca="1" si="24"/>
        <v>#N/A</v>
      </c>
      <c r="CR19" s="16" t="e">
        <f t="shared" ca="1" si="24"/>
        <v>#N/A</v>
      </c>
      <c r="CS19" s="13" t="e">
        <f t="shared" ca="1" si="24"/>
        <v>#N/A</v>
      </c>
      <c r="CT19" s="14" t="e">
        <f t="shared" ca="1" si="24"/>
        <v>#N/A</v>
      </c>
      <c r="CU19" s="14" t="e">
        <f t="shared" ca="1" si="24"/>
        <v>#N/A</v>
      </c>
      <c r="CV19" s="14" t="e">
        <f t="shared" ca="1" si="24"/>
        <v>#N/A</v>
      </c>
      <c r="CW19" s="14" t="e">
        <f t="shared" ca="1" si="24"/>
        <v>#N/A</v>
      </c>
      <c r="CX19" s="15" t="e">
        <f t="shared" ca="1" si="24"/>
        <v>#N/A</v>
      </c>
      <c r="CY19" s="16" t="e">
        <f t="shared" ca="1" si="24"/>
        <v>#N/A</v>
      </c>
      <c r="CZ19" s="13" t="e">
        <f t="shared" ca="1" si="24"/>
        <v>#N/A</v>
      </c>
      <c r="DA19" s="14" t="e">
        <f t="shared" ca="1" si="24"/>
        <v>#N/A</v>
      </c>
      <c r="DB19" s="14" t="e">
        <f t="shared" ca="1" si="24"/>
        <v>#N/A</v>
      </c>
      <c r="DC19" s="14" t="e">
        <f t="shared" ca="1" si="25"/>
        <v>#N/A</v>
      </c>
      <c r="DD19" s="14" t="e">
        <f t="shared" ca="1" si="25"/>
        <v>#N/A</v>
      </c>
      <c r="DE19" s="15" t="e">
        <f t="shared" ca="1" si="25"/>
        <v>#N/A</v>
      </c>
      <c r="DF19" s="16" t="e">
        <f t="shared" ca="1" si="25"/>
        <v>#N/A</v>
      </c>
      <c r="DG19" s="13" t="e">
        <f t="shared" ca="1" si="25"/>
        <v>#N/A</v>
      </c>
      <c r="DH19" s="14" t="e">
        <f t="shared" ca="1" si="25"/>
        <v>#N/A</v>
      </c>
      <c r="DI19" s="14" t="e">
        <f t="shared" ca="1" si="25"/>
        <v>#N/A</v>
      </c>
      <c r="DJ19" s="14" t="e">
        <f t="shared" ca="1" si="25"/>
        <v>#N/A</v>
      </c>
      <c r="DK19" s="14" t="e">
        <f t="shared" ca="1" si="25"/>
        <v>#N/A</v>
      </c>
      <c r="DL19" s="15" t="e">
        <f t="shared" ca="1" si="25"/>
        <v>#N/A</v>
      </c>
      <c r="DM19" s="16" t="e">
        <f t="shared" ca="1" si="25"/>
        <v>#N/A</v>
      </c>
      <c r="DN19" s="13" t="e">
        <f t="shared" ca="1" si="25"/>
        <v>#N/A</v>
      </c>
      <c r="DO19" s="14" t="e">
        <f t="shared" ca="1" si="25"/>
        <v>#N/A</v>
      </c>
      <c r="DP19" s="14" t="e">
        <f t="shared" ca="1" si="25"/>
        <v>#N/A</v>
      </c>
      <c r="DQ19" s="14" t="e">
        <f t="shared" ca="1" si="25"/>
        <v>#N/A</v>
      </c>
      <c r="DR19" s="14" t="e">
        <f t="shared" ca="1" si="25"/>
        <v>#N/A</v>
      </c>
      <c r="DS19" s="15" t="e">
        <f t="shared" ca="1" si="25"/>
        <v>#N/A</v>
      </c>
      <c r="DT19" s="16" t="e">
        <f t="shared" ca="1" si="25"/>
        <v>#N/A</v>
      </c>
    </row>
    <row r="20" spans="1:124" s="17" customFormat="1" ht="9.75" customHeight="1">
      <c r="A20" s="587"/>
      <c r="B20" s="26" t="str">
        <f>IF(COUNTIF(buffer_train[AILN],B5)&gt;0,"Buffer Train","")</f>
        <v>Buffer Train</v>
      </c>
      <c r="C20" s="19" t="e">
        <f ca="1">E19+1</f>
        <v>#N/A</v>
      </c>
      <c r="D20" s="19" t="e">
        <f ca="1">_xlfn.XLOOKUP(A25,'VTT next'!B:B,'VTT next'!AO:AO,"-",0)</f>
        <v>#N/A</v>
      </c>
      <c r="E20" s="19" t="e">
        <f ca="1">C20-1+IF(D20="-",0,D20)</f>
        <v>#N/A</v>
      </c>
      <c r="F20" s="13" t="e">
        <f ca="1">IF(AND(F$5&gt;=$C20,F$5&lt;=$E20),1,"")</f>
        <v>#N/A</v>
      </c>
      <c r="G20" s="14" t="e">
        <f t="shared" ca="1" si="19"/>
        <v>#N/A</v>
      </c>
      <c r="H20" s="14" t="e">
        <f t="shared" ca="1" si="19"/>
        <v>#N/A</v>
      </c>
      <c r="I20" s="14" t="e">
        <f t="shared" ca="1" si="19"/>
        <v>#N/A</v>
      </c>
      <c r="J20" s="14" t="e">
        <f t="shared" ca="1" si="19"/>
        <v>#N/A</v>
      </c>
      <c r="K20" s="15" t="e">
        <f t="shared" ca="1" si="19"/>
        <v>#N/A</v>
      </c>
      <c r="L20" s="16" t="e">
        <f t="shared" ca="1" si="19"/>
        <v>#N/A</v>
      </c>
      <c r="M20" s="13" t="e">
        <f t="shared" ca="1" si="19"/>
        <v>#N/A</v>
      </c>
      <c r="N20" s="14" t="e">
        <f t="shared" ca="1" si="19"/>
        <v>#N/A</v>
      </c>
      <c r="O20" s="14" t="e">
        <f t="shared" ca="1" si="19"/>
        <v>#N/A</v>
      </c>
      <c r="P20" s="14" t="e">
        <f t="shared" ca="1" si="19"/>
        <v>#N/A</v>
      </c>
      <c r="Q20" s="14" t="e">
        <f t="shared" ca="1" si="19"/>
        <v>#N/A</v>
      </c>
      <c r="R20" s="15" t="e">
        <f t="shared" ca="1" si="19"/>
        <v>#N/A</v>
      </c>
      <c r="S20" s="16" t="e">
        <f t="shared" ca="1" si="19"/>
        <v>#N/A</v>
      </c>
      <c r="T20" s="13" t="e">
        <f t="shared" ca="1" si="19"/>
        <v>#N/A</v>
      </c>
      <c r="U20" s="14" t="e">
        <f t="shared" ca="1" si="19"/>
        <v>#N/A</v>
      </c>
      <c r="V20" s="14" t="e">
        <f t="shared" ca="1" si="19"/>
        <v>#N/A</v>
      </c>
      <c r="W20" s="14" t="e">
        <f t="shared" ca="1" si="19"/>
        <v>#N/A</v>
      </c>
      <c r="X20" s="14" t="e">
        <f t="shared" ca="1" si="19"/>
        <v>#N/A</v>
      </c>
      <c r="Y20" s="15" t="e">
        <f t="shared" ca="1" si="19"/>
        <v>#N/A</v>
      </c>
      <c r="Z20" s="16" t="e">
        <f t="shared" ca="1" si="19"/>
        <v>#N/A</v>
      </c>
      <c r="AA20" s="13" t="e">
        <f t="shared" ca="1" si="20"/>
        <v>#N/A</v>
      </c>
      <c r="AB20" s="14" t="e">
        <f t="shared" ca="1" si="20"/>
        <v>#N/A</v>
      </c>
      <c r="AC20" s="14" t="e">
        <f t="shared" ca="1" si="20"/>
        <v>#N/A</v>
      </c>
      <c r="AD20" s="14" t="e">
        <f t="shared" ca="1" si="20"/>
        <v>#N/A</v>
      </c>
      <c r="AE20" s="14" t="e">
        <f t="shared" ca="1" si="20"/>
        <v>#N/A</v>
      </c>
      <c r="AF20" s="15" t="e">
        <f t="shared" ca="1" si="20"/>
        <v>#N/A</v>
      </c>
      <c r="AG20" s="16" t="e">
        <f t="shared" ca="1" si="20"/>
        <v>#N/A</v>
      </c>
      <c r="AH20" s="13" t="e">
        <f t="shared" ca="1" si="20"/>
        <v>#N/A</v>
      </c>
      <c r="AI20" s="14" t="e">
        <f t="shared" ca="1" si="20"/>
        <v>#N/A</v>
      </c>
      <c r="AJ20" s="14" t="e">
        <f t="shared" ca="1" si="20"/>
        <v>#N/A</v>
      </c>
      <c r="AK20" s="14" t="e">
        <f t="shared" ca="1" si="20"/>
        <v>#N/A</v>
      </c>
      <c r="AL20" s="14" t="e">
        <f t="shared" ca="1" si="20"/>
        <v>#N/A</v>
      </c>
      <c r="AM20" s="15" t="e">
        <f t="shared" ca="1" si="20"/>
        <v>#N/A</v>
      </c>
      <c r="AN20" s="16" t="e">
        <f t="shared" ca="1" si="20"/>
        <v>#N/A</v>
      </c>
      <c r="AO20" s="13" t="e">
        <f t="shared" ca="1" si="20"/>
        <v>#N/A</v>
      </c>
      <c r="AP20" s="14" t="e">
        <f t="shared" ca="1" si="20"/>
        <v>#N/A</v>
      </c>
      <c r="AQ20" s="14" t="e">
        <f t="shared" ca="1" si="21"/>
        <v>#N/A</v>
      </c>
      <c r="AR20" s="14" t="e">
        <f t="shared" ca="1" si="21"/>
        <v>#N/A</v>
      </c>
      <c r="AS20" s="14" t="e">
        <f t="shared" ca="1" si="21"/>
        <v>#N/A</v>
      </c>
      <c r="AT20" s="15" t="e">
        <f t="shared" ca="1" si="21"/>
        <v>#N/A</v>
      </c>
      <c r="AU20" s="16" t="e">
        <f t="shared" ca="1" si="21"/>
        <v>#N/A</v>
      </c>
      <c r="AV20" s="13" t="e">
        <f t="shared" ca="1" si="21"/>
        <v>#N/A</v>
      </c>
      <c r="AW20" s="14" t="e">
        <f t="shared" ca="1" si="21"/>
        <v>#N/A</v>
      </c>
      <c r="AX20" s="14" t="e">
        <f t="shared" ca="1" si="21"/>
        <v>#N/A</v>
      </c>
      <c r="AY20" s="14" t="e">
        <f t="shared" ca="1" si="21"/>
        <v>#N/A</v>
      </c>
      <c r="AZ20" s="14" t="e">
        <f t="shared" ca="1" si="21"/>
        <v>#N/A</v>
      </c>
      <c r="BA20" s="15" t="e">
        <f t="shared" ca="1" si="21"/>
        <v>#N/A</v>
      </c>
      <c r="BB20" s="16" t="e">
        <f t="shared" ca="1" si="21"/>
        <v>#N/A</v>
      </c>
      <c r="BC20" s="13" t="e">
        <f t="shared" ca="1" si="21"/>
        <v>#N/A</v>
      </c>
      <c r="BD20" s="14" t="e">
        <f t="shared" ca="1" si="21"/>
        <v>#N/A</v>
      </c>
      <c r="BE20" s="14" t="e">
        <f t="shared" ca="1" si="21"/>
        <v>#N/A</v>
      </c>
      <c r="BF20" s="14" t="e">
        <f t="shared" ca="1" si="21"/>
        <v>#N/A</v>
      </c>
      <c r="BG20" s="14" t="e">
        <f t="shared" ca="1" si="22"/>
        <v>#N/A</v>
      </c>
      <c r="BH20" s="15" t="e">
        <f t="shared" ca="1" si="22"/>
        <v>#N/A</v>
      </c>
      <c r="BI20" s="16" t="e">
        <f t="shared" ca="1" si="22"/>
        <v>#N/A</v>
      </c>
      <c r="BJ20" s="13" t="e">
        <f t="shared" ca="1" si="22"/>
        <v>#N/A</v>
      </c>
      <c r="BK20" s="14" t="e">
        <f t="shared" ca="1" si="22"/>
        <v>#N/A</v>
      </c>
      <c r="BL20" s="14" t="e">
        <f t="shared" ca="1" si="22"/>
        <v>#N/A</v>
      </c>
      <c r="BM20" s="14" t="e">
        <f t="shared" ca="1" si="22"/>
        <v>#N/A</v>
      </c>
      <c r="BN20" s="14" t="e">
        <f t="shared" ca="1" si="22"/>
        <v>#N/A</v>
      </c>
      <c r="BO20" s="15" t="e">
        <f t="shared" ca="1" si="22"/>
        <v>#N/A</v>
      </c>
      <c r="BP20" s="16" t="e">
        <f t="shared" ca="1" si="22"/>
        <v>#N/A</v>
      </c>
      <c r="BQ20" s="13" t="e">
        <f t="shared" ca="1" si="22"/>
        <v>#N/A</v>
      </c>
      <c r="BR20" s="14" t="e">
        <f t="shared" ca="1" si="22"/>
        <v>#N/A</v>
      </c>
      <c r="BS20" s="14" t="e">
        <f t="shared" ca="1" si="22"/>
        <v>#N/A</v>
      </c>
      <c r="BT20" s="14" t="e">
        <f t="shared" ca="1" si="22"/>
        <v>#N/A</v>
      </c>
      <c r="BU20" s="14" t="e">
        <f t="shared" ca="1" si="22"/>
        <v>#N/A</v>
      </c>
      <c r="BV20" s="15" t="e">
        <f t="shared" ca="1" si="22"/>
        <v>#N/A</v>
      </c>
      <c r="BW20" s="16" t="e">
        <f t="shared" ca="1" si="23"/>
        <v>#N/A</v>
      </c>
      <c r="BX20" s="13" t="e">
        <f t="shared" ca="1" si="23"/>
        <v>#N/A</v>
      </c>
      <c r="BY20" s="14" t="e">
        <f t="shared" ca="1" si="23"/>
        <v>#N/A</v>
      </c>
      <c r="BZ20" s="14" t="e">
        <f t="shared" ca="1" si="23"/>
        <v>#N/A</v>
      </c>
      <c r="CA20" s="14" t="e">
        <f t="shared" ca="1" si="23"/>
        <v>#N/A</v>
      </c>
      <c r="CB20" s="14" t="e">
        <f t="shared" ca="1" si="23"/>
        <v>#N/A</v>
      </c>
      <c r="CC20" s="15" t="e">
        <f t="shared" ca="1" si="23"/>
        <v>#N/A</v>
      </c>
      <c r="CD20" s="16" t="e">
        <f t="shared" ca="1" si="23"/>
        <v>#N/A</v>
      </c>
      <c r="CE20" s="13" t="e">
        <f t="shared" ca="1" si="23"/>
        <v>#N/A</v>
      </c>
      <c r="CF20" s="14" t="e">
        <f t="shared" ca="1" si="23"/>
        <v>#N/A</v>
      </c>
      <c r="CG20" s="14" t="e">
        <f t="shared" ca="1" si="23"/>
        <v>#N/A</v>
      </c>
      <c r="CH20" s="14" t="e">
        <f t="shared" ca="1" si="23"/>
        <v>#N/A</v>
      </c>
      <c r="CI20" s="14" t="e">
        <f t="shared" ca="1" si="23"/>
        <v>#N/A</v>
      </c>
      <c r="CJ20" s="15" t="e">
        <f t="shared" ca="1" si="23"/>
        <v>#N/A</v>
      </c>
      <c r="CK20" s="16" t="e">
        <f t="shared" ca="1" si="23"/>
        <v>#N/A</v>
      </c>
      <c r="CL20" s="13" t="e">
        <f t="shared" ca="1" si="23"/>
        <v>#N/A</v>
      </c>
      <c r="CM20" s="14" t="e">
        <f t="shared" ca="1" si="24"/>
        <v>#N/A</v>
      </c>
      <c r="CN20" s="14" t="e">
        <f t="shared" ca="1" si="24"/>
        <v>#N/A</v>
      </c>
      <c r="CO20" s="14" t="e">
        <f t="shared" ca="1" si="24"/>
        <v>#N/A</v>
      </c>
      <c r="CP20" s="14" t="e">
        <f t="shared" ca="1" si="24"/>
        <v>#N/A</v>
      </c>
      <c r="CQ20" s="15" t="e">
        <f t="shared" ca="1" si="24"/>
        <v>#N/A</v>
      </c>
      <c r="CR20" s="16" t="e">
        <f t="shared" ca="1" si="24"/>
        <v>#N/A</v>
      </c>
      <c r="CS20" s="13" t="e">
        <f t="shared" ca="1" si="24"/>
        <v>#N/A</v>
      </c>
      <c r="CT20" s="14" t="e">
        <f t="shared" ca="1" si="24"/>
        <v>#N/A</v>
      </c>
      <c r="CU20" s="14" t="e">
        <f t="shared" ca="1" si="24"/>
        <v>#N/A</v>
      </c>
      <c r="CV20" s="14" t="e">
        <f t="shared" ca="1" si="24"/>
        <v>#N/A</v>
      </c>
      <c r="CW20" s="14" t="e">
        <f t="shared" ca="1" si="24"/>
        <v>#N/A</v>
      </c>
      <c r="CX20" s="15" t="e">
        <f t="shared" ca="1" si="24"/>
        <v>#N/A</v>
      </c>
      <c r="CY20" s="16" t="e">
        <f t="shared" ca="1" si="24"/>
        <v>#N/A</v>
      </c>
      <c r="CZ20" s="13" t="e">
        <f t="shared" ca="1" si="24"/>
        <v>#N/A</v>
      </c>
      <c r="DA20" s="14" t="e">
        <f t="shared" ca="1" si="24"/>
        <v>#N/A</v>
      </c>
      <c r="DB20" s="14" t="e">
        <f t="shared" ca="1" si="24"/>
        <v>#N/A</v>
      </c>
      <c r="DC20" s="14" t="e">
        <f t="shared" ca="1" si="25"/>
        <v>#N/A</v>
      </c>
      <c r="DD20" s="14" t="e">
        <f t="shared" ca="1" si="25"/>
        <v>#N/A</v>
      </c>
      <c r="DE20" s="15" t="e">
        <f t="shared" ca="1" si="25"/>
        <v>#N/A</v>
      </c>
      <c r="DF20" s="16" t="e">
        <f t="shared" ca="1" si="25"/>
        <v>#N/A</v>
      </c>
      <c r="DG20" s="13" t="e">
        <f t="shared" ca="1" si="25"/>
        <v>#N/A</v>
      </c>
      <c r="DH20" s="14" t="e">
        <f t="shared" ca="1" si="25"/>
        <v>#N/A</v>
      </c>
      <c r="DI20" s="14" t="e">
        <f t="shared" ca="1" si="25"/>
        <v>#N/A</v>
      </c>
      <c r="DJ20" s="14" t="e">
        <f t="shared" ca="1" si="25"/>
        <v>#N/A</v>
      </c>
      <c r="DK20" s="14" t="e">
        <f t="shared" ca="1" si="25"/>
        <v>#N/A</v>
      </c>
      <c r="DL20" s="15" t="e">
        <f t="shared" ca="1" si="25"/>
        <v>#N/A</v>
      </c>
      <c r="DM20" s="16" t="e">
        <f t="shared" ca="1" si="25"/>
        <v>#N/A</v>
      </c>
      <c r="DN20" s="13" t="e">
        <f t="shared" ca="1" si="25"/>
        <v>#N/A</v>
      </c>
      <c r="DO20" s="14" t="e">
        <f t="shared" ca="1" si="25"/>
        <v>#N/A</v>
      </c>
      <c r="DP20" s="14" t="e">
        <f t="shared" ca="1" si="25"/>
        <v>#N/A</v>
      </c>
      <c r="DQ20" s="14" t="e">
        <f t="shared" ca="1" si="25"/>
        <v>#N/A</v>
      </c>
      <c r="DR20" s="14" t="e">
        <f t="shared" ca="1" si="25"/>
        <v>#N/A</v>
      </c>
      <c r="DS20" s="15" t="e">
        <f t="shared" ca="1" si="25"/>
        <v>#N/A</v>
      </c>
      <c r="DT20" s="16" t="e">
        <f t="shared" ca="1" si="25"/>
        <v>#N/A</v>
      </c>
    </row>
    <row r="21" spans="1:124" s="17" customFormat="1" ht="9.75" customHeight="1">
      <c r="A21" s="92"/>
      <c r="B21" s="24" t="str">
        <f>IF(B5=0,"","Transport to PFI")</f>
        <v>Transport to PFI</v>
      </c>
      <c r="C21" s="19" t="e">
        <f ca="1">E20+1</f>
        <v>#N/A</v>
      </c>
      <c r="D21" s="19" t="e">
        <f ca="1">_xlfn.XLOOKUP(A25,'VTT next'!B:B,'VTT next'!AP:AP,"-",0)</f>
        <v>#N/A</v>
      </c>
      <c r="E21" s="19" t="e">
        <f ca="1">C21-1+IF(D21="-",0,D21)</f>
        <v>#N/A</v>
      </c>
      <c r="F21" s="13" t="e">
        <f t="shared" ref="F21:BQ25" ca="1" si="29">IF(AND(F$5&gt;=$C21,F$5&lt;=$E21),1,"")</f>
        <v>#N/A</v>
      </c>
      <c r="G21" s="14" t="e">
        <f t="shared" ca="1" si="29"/>
        <v>#N/A</v>
      </c>
      <c r="H21" s="14" t="e">
        <f t="shared" ca="1" si="29"/>
        <v>#N/A</v>
      </c>
      <c r="I21" s="14" t="e">
        <f t="shared" ca="1" si="29"/>
        <v>#N/A</v>
      </c>
      <c r="J21" s="14" t="e">
        <f t="shared" ca="1" si="29"/>
        <v>#N/A</v>
      </c>
      <c r="K21" s="15" t="e">
        <f t="shared" ca="1" si="29"/>
        <v>#N/A</v>
      </c>
      <c r="L21" s="16" t="e">
        <f t="shared" ca="1" si="29"/>
        <v>#N/A</v>
      </c>
      <c r="M21" s="13" t="e">
        <f t="shared" ca="1" si="29"/>
        <v>#N/A</v>
      </c>
      <c r="N21" s="14" t="e">
        <f t="shared" ca="1" si="29"/>
        <v>#N/A</v>
      </c>
      <c r="O21" s="14" t="e">
        <f t="shared" ca="1" si="29"/>
        <v>#N/A</v>
      </c>
      <c r="P21" s="14" t="e">
        <f t="shared" ca="1" si="29"/>
        <v>#N/A</v>
      </c>
      <c r="Q21" s="14" t="e">
        <f t="shared" ca="1" si="29"/>
        <v>#N/A</v>
      </c>
      <c r="R21" s="15" t="e">
        <f t="shared" ca="1" si="29"/>
        <v>#N/A</v>
      </c>
      <c r="S21" s="16" t="e">
        <f t="shared" ca="1" si="29"/>
        <v>#N/A</v>
      </c>
      <c r="T21" s="13" t="e">
        <f t="shared" ca="1" si="29"/>
        <v>#N/A</v>
      </c>
      <c r="U21" s="14" t="e">
        <f t="shared" ca="1" si="29"/>
        <v>#N/A</v>
      </c>
      <c r="V21" s="14" t="e">
        <f t="shared" ca="1" si="29"/>
        <v>#N/A</v>
      </c>
      <c r="W21" s="14" t="e">
        <f t="shared" ca="1" si="29"/>
        <v>#N/A</v>
      </c>
      <c r="X21" s="14" t="e">
        <f t="shared" ca="1" si="29"/>
        <v>#N/A</v>
      </c>
      <c r="Y21" s="15" t="e">
        <f t="shared" ca="1" si="29"/>
        <v>#N/A</v>
      </c>
      <c r="Z21" s="16" t="e">
        <f t="shared" ca="1" si="29"/>
        <v>#N/A</v>
      </c>
      <c r="AA21" s="13" t="e">
        <f t="shared" ca="1" si="29"/>
        <v>#N/A</v>
      </c>
      <c r="AB21" s="14" t="e">
        <f t="shared" ca="1" si="29"/>
        <v>#N/A</v>
      </c>
      <c r="AC21" s="14" t="e">
        <f t="shared" ca="1" si="29"/>
        <v>#N/A</v>
      </c>
      <c r="AD21" s="14" t="e">
        <f t="shared" ca="1" si="29"/>
        <v>#N/A</v>
      </c>
      <c r="AE21" s="14" t="e">
        <f t="shared" ca="1" si="29"/>
        <v>#N/A</v>
      </c>
      <c r="AF21" s="15" t="e">
        <f t="shared" ca="1" si="29"/>
        <v>#N/A</v>
      </c>
      <c r="AG21" s="16" t="e">
        <f t="shared" ca="1" si="29"/>
        <v>#N/A</v>
      </c>
      <c r="AH21" s="13" t="e">
        <f t="shared" ca="1" si="29"/>
        <v>#N/A</v>
      </c>
      <c r="AI21" s="14" t="e">
        <f t="shared" ca="1" si="29"/>
        <v>#N/A</v>
      </c>
      <c r="AJ21" s="14" t="e">
        <f t="shared" ca="1" si="29"/>
        <v>#N/A</v>
      </c>
      <c r="AK21" s="14" t="e">
        <f t="shared" ca="1" si="29"/>
        <v>#N/A</v>
      </c>
      <c r="AL21" s="14" t="e">
        <f t="shared" ca="1" si="29"/>
        <v>#N/A</v>
      </c>
      <c r="AM21" s="15" t="e">
        <f t="shared" ca="1" si="29"/>
        <v>#N/A</v>
      </c>
      <c r="AN21" s="16" t="e">
        <f t="shared" ca="1" si="29"/>
        <v>#N/A</v>
      </c>
      <c r="AO21" s="13" t="e">
        <f t="shared" ca="1" si="29"/>
        <v>#N/A</v>
      </c>
      <c r="AP21" s="14" t="e">
        <f t="shared" ca="1" si="29"/>
        <v>#N/A</v>
      </c>
      <c r="AQ21" s="14" t="e">
        <f t="shared" ca="1" si="29"/>
        <v>#N/A</v>
      </c>
      <c r="AR21" s="14" t="e">
        <f t="shared" ca="1" si="29"/>
        <v>#N/A</v>
      </c>
      <c r="AS21" s="14" t="e">
        <f t="shared" ca="1" si="29"/>
        <v>#N/A</v>
      </c>
      <c r="AT21" s="15" t="e">
        <f t="shared" ca="1" si="29"/>
        <v>#N/A</v>
      </c>
      <c r="AU21" s="16" t="e">
        <f t="shared" ca="1" si="29"/>
        <v>#N/A</v>
      </c>
      <c r="AV21" s="13" t="e">
        <f t="shared" ca="1" si="29"/>
        <v>#N/A</v>
      </c>
      <c r="AW21" s="14" t="e">
        <f t="shared" ca="1" si="29"/>
        <v>#N/A</v>
      </c>
      <c r="AX21" s="14" t="e">
        <f t="shared" ca="1" si="29"/>
        <v>#N/A</v>
      </c>
      <c r="AY21" s="14" t="e">
        <f t="shared" ca="1" si="29"/>
        <v>#N/A</v>
      </c>
      <c r="AZ21" s="14" t="e">
        <f t="shared" ca="1" si="29"/>
        <v>#N/A</v>
      </c>
      <c r="BA21" s="15" t="e">
        <f t="shared" ca="1" si="29"/>
        <v>#N/A</v>
      </c>
      <c r="BB21" s="16" t="e">
        <f t="shared" ca="1" si="29"/>
        <v>#N/A</v>
      </c>
      <c r="BC21" s="13" t="e">
        <f t="shared" ca="1" si="29"/>
        <v>#N/A</v>
      </c>
      <c r="BD21" s="14" t="e">
        <f t="shared" ca="1" si="29"/>
        <v>#N/A</v>
      </c>
      <c r="BE21" s="14" t="e">
        <f t="shared" ca="1" si="29"/>
        <v>#N/A</v>
      </c>
      <c r="BF21" s="14" t="e">
        <f t="shared" ca="1" si="29"/>
        <v>#N/A</v>
      </c>
      <c r="BG21" s="14" t="e">
        <f t="shared" ca="1" si="29"/>
        <v>#N/A</v>
      </c>
      <c r="BH21" s="15" t="e">
        <f t="shared" ca="1" si="29"/>
        <v>#N/A</v>
      </c>
      <c r="BI21" s="16" t="e">
        <f t="shared" ca="1" si="29"/>
        <v>#N/A</v>
      </c>
      <c r="BJ21" s="13" t="e">
        <f t="shared" ca="1" si="29"/>
        <v>#N/A</v>
      </c>
      <c r="BK21" s="14" t="e">
        <f t="shared" ca="1" si="29"/>
        <v>#N/A</v>
      </c>
      <c r="BL21" s="14" t="e">
        <f t="shared" ca="1" si="29"/>
        <v>#N/A</v>
      </c>
      <c r="BM21" s="14" t="e">
        <f t="shared" ca="1" si="29"/>
        <v>#N/A</v>
      </c>
      <c r="BN21" s="14" t="e">
        <f t="shared" ca="1" si="29"/>
        <v>#N/A</v>
      </c>
      <c r="BO21" s="15" t="e">
        <f t="shared" ca="1" si="29"/>
        <v>#N/A</v>
      </c>
      <c r="BP21" s="16" t="e">
        <f t="shared" ca="1" si="29"/>
        <v>#N/A</v>
      </c>
      <c r="BQ21" s="13" t="e">
        <f t="shared" ca="1" si="29"/>
        <v>#N/A</v>
      </c>
      <c r="BR21" s="14" t="e">
        <f t="shared" ca="1" si="22"/>
        <v>#N/A</v>
      </c>
      <c r="BS21" s="14" t="e">
        <f t="shared" ca="1" si="22"/>
        <v>#N/A</v>
      </c>
      <c r="BT21" s="14" t="e">
        <f t="shared" ca="1" si="22"/>
        <v>#N/A</v>
      </c>
      <c r="BU21" s="14" t="e">
        <f t="shared" ca="1" si="22"/>
        <v>#N/A</v>
      </c>
      <c r="BV21" s="15" t="e">
        <f t="shared" ca="1" si="22"/>
        <v>#N/A</v>
      </c>
      <c r="BW21" s="16" t="e">
        <f t="shared" ca="1" si="23"/>
        <v>#N/A</v>
      </c>
      <c r="BX21" s="13" t="e">
        <f t="shared" ca="1" si="23"/>
        <v>#N/A</v>
      </c>
      <c r="BY21" s="14" t="e">
        <f t="shared" ca="1" si="23"/>
        <v>#N/A</v>
      </c>
      <c r="BZ21" s="14" t="e">
        <f t="shared" ca="1" si="23"/>
        <v>#N/A</v>
      </c>
      <c r="CA21" s="14" t="e">
        <f t="shared" ca="1" si="23"/>
        <v>#N/A</v>
      </c>
      <c r="CB21" s="14" t="e">
        <f t="shared" ca="1" si="23"/>
        <v>#N/A</v>
      </c>
      <c r="CC21" s="15" t="e">
        <f t="shared" ca="1" si="23"/>
        <v>#N/A</v>
      </c>
      <c r="CD21" s="16" t="e">
        <f t="shared" ca="1" si="23"/>
        <v>#N/A</v>
      </c>
      <c r="CE21" s="13" t="e">
        <f t="shared" ca="1" si="23"/>
        <v>#N/A</v>
      </c>
      <c r="CF21" s="14" t="e">
        <f t="shared" ca="1" si="23"/>
        <v>#N/A</v>
      </c>
      <c r="CG21" s="14" t="e">
        <f t="shared" ca="1" si="23"/>
        <v>#N/A</v>
      </c>
      <c r="CH21" s="14" t="e">
        <f t="shared" ca="1" si="23"/>
        <v>#N/A</v>
      </c>
      <c r="CI21" s="14" t="e">
        <f t="shared" ca="1" si="23"/>
        <v>#N/A</v>
      </c>
      <c r="CJ21" s="15" t="e">
        <f t="shared" ca="1" si="23"/>
        <v>#N/A</v>
      </c>
      <c r="CK21" s="16" t="e">
        <f t="shared" ca="1" si="23"/>
        <v>#N/A</v>
      </c>
      <c r="CL21" s="13" t="e">
        <f t="shared" ca="1" si="23"/>
        <v>#N/A</v>
      </c>
      <c r="CM21" s="14" t="e">
        <f t="shared" ca="1" si="24"/>
        <v>#N/A</v>
      </c>
      <c r="CN21" s="14" t="e">
        <f t="shared" ca="1" si="24"/>
        <v>#N/A</v>
      </c>
      <c r="CO21" s="14" t="e">
        <f t="shared" ca="1" si="24"/>
        <v>#N/A</v>
      </c>
      <c r="CP21" s="14" t="e">
        <f t="shared" ca="1" si="24"/>
        <v>#N/A</v>
      </c>
      <c r="CQ21" s="15" t="e">
        <f t="shared" ca="1" si="24"/>
        <v>#N/A</v>
      </c>
      <c r="CR21" s="16" t="e">
        <f t="shared" ca="1" si="24"/>
        <v>#N/A</v>
      </c>
      <c r="CS21" s="13" t="e">
        <f t="shared" ca="1" si="24"/>
        <v>#N/A</v>
      </c>
      <c r="CT21" s="14" t="e">
        <f t="shared" ca="1" si="24"/>
        <v>#N/A</v>
      </c>
      <c r="CU21" s="14" t="e">
        <f t="shared" ca="1" si="24"/>
        <v>#N/A</v>
      </c>
      <c r="CV21" s="14" t="e">
        <f t="shared" ca="1" si="24"/>
        <v>#N/A</v>
      </c>
      <c r="CW21" s="14" t="e">
        <f t="shared" ca="1" si="24"/>
        <v>#N/A</v>
      </c>
      <c r="CX21" s="15" t="e">
        <f t="shared" ca="1" si="24"/>
        <v>#N/A</v>
      </c>
      <c r="CY21" s="16" t="e">
        <f t="shared" ca="1" si="24"/>
        <v>#N/A</v>
      </c>
      <c r="CZ21" s="13" t="e">
        <f t="shared" ca="1" si="24"/>
        <v>#N/A</v>
      </c>
      <c r="DA21" s="14" t="e">
        <f t="shared" ca="1" si="24"/>
        <v>#N/A</v>
      </c>
      <c r="DB21" s="14" t="e">
        <f t="shared" ca="1" si="24"/>
        <v>#N/A</v>
      </c>
      <c r="DC21" s="14" t="e">
        <f t="shared" ca="1" si="25"/>
        <v>#N/A</v>
      </c>
      <c r="DD21" s="14" t="e">
        <f t="shared" ca="1" si="25"/>
        <v>#N/A</v>
      </c>
      <c r="DE21" s="15" t="e">
        <f t="shared" ca="1" si="25"/>
        <v>#N/A</v>
      </c>
      <c r="DF21" s="16" t="e">
        <f t="shared" ca="1" si="25"/>
        <v>#N/A</v>
      </c>
      <c r="DG21" s="13" t="e">
        <f t="shared" ca="1" si="25"/>
        <v>#N/A</v>
      </c>
      <c r="DH21" s="14" t="e">
        <f t="shared" ca="1" si="25"/>
        <v>#N/A</v>
      </c>
      <c r="DI21" s="14" t="e">
        <f t="shared" ca="1" si="25"/>
        <v>#N/A</v>
      </c>
      <c r="DJ21" s="14" t="e">
        <f t="shared" ca="1" si="25"/>
        <v>#N/A</v>
      </c>
      <c r="DK21" s="14" t="e">
        <f t="shared" ca="1" si="25"/>
        <v>#N/A</v>
      </c>
      <c r="DL21" s="15" t="e">
        <f t="shared" ca="1" si="25"/>
        <v>#N/A</v>
      </c>
      <c r="DM21" s="16" t="e">
        <f t="shared" ca="1" si="25"/>
        <v>#N/A</v>
      </c>
      <c r="DN21" s="13" t="e">
        <f t="shared" ca="1" si="25"/>
        <v>#N/A</v>
      </c>
      <c r="DO21" s="14" t="e">
        <f t="shared" ca="1" si="25"/>
        <v>#N/A</v>
      </c>
      <c r="DP21" s="14" t="e">
        <f t="shared" ca="1" si="25"/>
        <v>#N/A</v>
      </c>
      <c r="DQ21" s="14" t="e">
        <f t="shared" ca="1" si="25"/>
        <v>#N/A</v>
      </c>
      <c r="DR21" s="14" t="e">
        <f t="shared" ca="1" si="25"/>
        <v>#N/A</v>
      </c>
      <c r="DS21" s="15" t="e">
        <f t="shared" ca="1" si="25"/>
        <v>#N/A</v>
      </c>
      <c r="DT21" s="16" t="e">
        <f t="shared" ca="1" si="25"/>
        <v>#N/A</v>
      </c>
    </row>
    <row r="22" spans="1:124" s="17" customFormat="1" ht="9.75" customHeight="1">
      <c r="A22" s="25" t="s">
        <v>50</v>
      </c>
      <c r="B22" s="24" t="s">
        <v>51</v>
      </c>
      <c r="C22" s="19" t="e">
        <f t="shared" ca="1" si="28"/>
        <v>#N/A</v>
      </c>
      <c r="D22" s="19" t="e">
        <f ca="1">_xlfn.XLOOKUP(A25,'VTT next'!B:B,'VTT next'!AQ:AQ,"-",0)</f>
        <v>#N/A</v>
      </c>
      <c r="E22" s="19" t="e">
        <f ca="1">C22-1+D22</f>
        <v>#N/A</v>
      </c>
      <c r="F22" s="13" t="e">
        <f t="shared" ca="1" si="19"/>
        <v>#N/A</v>
      </c>
      <c r="G22" s="14" t="e">
        <f t="shared" ca="1" si="19"/>
        <v>#N/A</v>
      </c>
      <c r="H22" s="14" t="e">
        <f t="shared" ca="1" si="19"/>
        <v>#N/A</v>
      </c>
      <c r="I22" s="14" t="e">
        <f t="shared" ca="1" si="19"/>
        <v>#N/A</v>
      </c>
      <c r="J22" s="14" t="e">
        <f t="shared" ca="1" si="19"/>
        <v>#N/A</v>
      </c>
      <c r="K22" s="15" t="e">
        <f t="shared" ca="1" si="19"/>
        <v>#N/A</v>
      </c>
      <c r="L22" s="16" t="e">
        <f t="shared" ca="1" si="29"/>
        <v>#N/A</v>
      </c>
      <c r="M22" s="13" t="e">
        <f t="shared" ca="1" si="29"/>
        <v>#N/A</v>
      </c>
      <c r="N22" s="14" t="e">
        <f t="shared" ca="1" si="29"/>
        <v>#N/A</v>
      </c>
      <c r="O22" s="14" t="e">
        <f t="shared" ca="1" si="29"/>
        <v>#N/A</v>
      </c>
      <c r="P22" s="14" t="e">
        <f t="shared" ca="1" si="29"/>
        <v>#N/A</v>
      </c>
      <c r="Q22" s="14" t="e">
        <f t="shared" ca="1" si="29"/>
        <v>#N/A</v>
      </c>
      <c r="R22" s="15" t="e">
        <f t="shared" ca="1" si="29"/>
        <v>#N/A</v>
      </c>
      <c r="S22" s="16" t="e">
        <f t="shared" ca="1" si="29"/>
        <v>#N/A</v>
      </c>
      <c r="T22" s="13" t="e">
        <f t="shared" ca="1" si="29"/>
        <v>#N/A</v>
      </c>
      <c r="U22" s="14" t="e">
        <f t="shared" ca="1" si="29"/>
        <v>#N/A</v>
      </c>
      <c r="V22" s="14" t="e">
        <f t="shared" ca="1" si="29"/>
        <v>#N/A</v>
      </c>
      <c r="W22" s="14" t="e">
        <f t="shared" ca="1" si="29"/>
        <v>#N/A</v>
      </c>
      <c r="X22" s="14" t="e">
        <f t="shared" ca="1" si="29"/>
        <v>#N/A</v>
      </c>
      <c r="Y22" s="15" t="e">
        <f t="shared" ca="1" si="29"/>
        <v>#N/A</v>
      </c>
      <c r="Z22" s="16" t="e">
        <f t="shared" ca="1" si="29"/>
        <v>#N/A</v>
      </c>
      <c r="AA22" s="13" t="e">
        <f t="shared" ca="1" si="20"/>
        <v>#N/A</v>
      </c>
      <c r="AB22" s="14" t="e">
        <f t="shared" ca="1" si="20"/>
        <v>#N/A</v>
      </c>
      <c r="AC22" s="14" t="e">
        <f t="shared" ca="1" si="20"/>
        <v>#N/A</v>
      </c>
      <c r="AD22" s="14" t="e">
        <f t="shared" ca="1" si="20"/>
        <v>#N/A</v>
      </c>
      <c r="AE22" s="14" t="e">
        <f t="shared" ca="1" si="20"/>
        <v>#N/A</v>
      </c>
      <c r="AF22" s="15" t="e">
        <f t="shared" ca="1" si="20"/>
        <v>#N/A</v>
      </c>
      <c r="AG22" s="16" t="e">
        <f t="shared" ca="1" si="20"/>
        <v>#N/A</v>
      </c>
      <c r="AH22" s="13" t="e">
        <f t="shared" ca="1" si="20"/>
        <v>#N/A</v>
      </c>
      <c r="AI22" s="14" t="e">
        <f t="shared" ca="1" si="20"/>
        <v>#N/A</v>
      </c>
      <c r="AJ22" s="14" t="e">
        <f t="shared" ca="1" si="20"/>
        <v>#N/A</v>
      </c>
      <c r="AK22" s="14" t="e">
        <f t="shared" ca="1" si="20"/>
        <v>#N/A</v>
      </c>
      <c r="AL22" s="14" t="e">
        <f t="shared" ca="1" si="20"/>
        <v>#N/A</v>
      </c>
      <c r="AM22" s="15" t="e">
        <f t="shared" ca="1" si="20"/>
        <v>#N/A</v>
      </c>
      <c r="AN22" s="16" t="e">
        <f t="shared" ca="1" si="20"/>
        <v>#N/A</v>
      </c>
      <c r="AO22" s="13" t="e">
        <f t="shared" ca="1" si="20"/>
        <v>#N/A</v>
      </c>
      <c r="AP22" s="14" t="e">
        <f t="shared" ca="1" si="20"/>
        <v>#N/A</v>
      </c>
      <c r="AQ22" s="14" t="e">
        <f t="shared" ca="1" si="21"/>
        <v>#N/A</v>
      </c>
      <c r="AR22" s="14" t="e">
        <f t="shared" ca="1" si="21"/>
        <v>#N/A</v>
      </c>
      <c r="AS22" s="14" t="e">
        <f t="shared" ca="1" si="21"/>
        <v>#N/A</v>
      </c>
      <c r="AT22" s="15" t="e">
        <f t="shared" ca="1" si="21"/>
        <v>#N/A</v>
      </c>
      <c r="AU22" s="16" t="e">
        <f t="shared" ca="1" si="21"/>
        <v>#N/A</v>
      </c>
      <c r="AV22" s="13" t="e">
        <f t="shared" ca="1" si="21"/>
        <v>#N/A</v>
      </c>
      <c r="AW22" s="14" t="e">
        <f t="shared" ca="1" si="21"/>
        <v>#N/A</v>
      </c>
      <c r="AX22" s="14" t="e">
        <f t="shared" ca="1" si="21"/>
        <v>#N/A</v>
      </c>
      <c r="AY22" s="14" t="e">
        <f t="shared" ca="1" si="21"/>
        <v>#N/A</v>
      </c>
      <c r="AZ22" s="14" t="e">
        <f t="shared" ca="1" si="21"/>
        <v>#N/A</v>
      </c>
      <c r="BA22" s="15" t="e">
        <f t="shared" ca="1" si="21"/>
        <v>#N/A</v>
      </c>
      <c r="BB22" s="16" t="e">
        <f t="shared" ca="1" si="21"/>
        <v>#N/A</v>
      </c>
      <c r="BC22" s="13" t="e">
        <f t="shared" ca="1" si="21"/>
        <v>#N/A</v>
      </c>
      <c r="BD22" s="14" t="e">
        <f t="shared" ca="1" si="21"/>
        <v>#N/A</v>
      </c>
      <c r="BE22" s="14" t="e">
        <f t="shared" ca="1" si="21"/>
        <v>#N/A</v>
      </c>
      <c r="BF22" s="14" t="e">
        <f t="shared" ca="1" si="21"/>
        <v>#N/A</v>
      </c>
      <c r="BG22" s="14" t="e">
        <f t="shared" ca="1" si="22"/>
        <v>#N/A</v>
      </c>
      <c r="BH22" s="15" t="e">
        <f t="shared" ca="1" si="22"/>
        <v>#N/A</v>
      </c>
      <c r="BI22" s="16" t="e">
        <f t="shared" ca="1" si="22"/>
        <v>#N/A</v>
      </c>
      <c r="BJ22" s="13" t="e">
        <f t="shared" ca="1" si="22"/>
        <v>#N/A</v>
      </c>
      <c r="BK22" s="14" t="e">
        <f t="shared" ca="1" si="22"/>
        <v>#N/A</v>
      </c>
      <c r="BL22" s="14" t="e">
        <f t="shared" ca="1" si="22"/>
        <v>#N/A</v>
      </c>
      <c r="BM22" s="14" t="e">
        <f t="shared" ca="1" si="22"/>
        <v>#N/A</v>
      </c>
      <c r="BN22" s="14" t="e">
        <f t="shared" ca="1" si="22"/>
        <v>#N/A</v>
      </c>
      <c r="BO22" s="15" t="e">
        <f t="shared" ca="1" si="22"/>
        <v>#N/A</v>
      </c>
      <c r="BP22" s="16" t="e">
        <f t="shared" ca="1" si="22"/>
        <v>#N/A</v>
      </c>
      <c r="BQ22" s="13" t="e">
        <f t="shared" ca="1" si="22"/>
        <v>#N/A</v>
      </c>
      <c r="BR22" s="14" t="e">
        <f t="shared" ca="1" si="22"/>
        <v>#N/A</v>
      </c>
      <c r="BS22" s="14" t="e">
        <f t="shared" ca="1" si="22"/>
        <v>#N/A</v>
      </c>
      <c r="BT22" s="14" t="e">
        <f t="shared" ca="1" si="22"/>
        <v>#N/A</v>
      </c>
      <c r="BU22" s="14" t="e">
        <f t="shared" ca="1" si="22"/>
        <v>#N/A</v>
      </c>
      <c r="BV22" s="15" t="e">
        <f t="shared" ca="1" si="22"/>
        <v>#N/A</v>
      </c>
      <c r="BW22" s="16" t="e">
        <f t="shared" ca="1" si="23"/>
        <v>#N/A</v>
      </c>
      <c r="BX22" s="13" t="e">
        <f t="shared" ca="1" si="23"/>
        <v>#N/A</v>
      </c>
      <c r="BY22" s="14" t="e">
        <f t="shared" ca="1" si="23"/>
        <v>#N/A</v>
      </c>
      <c r="BZ22" s="14" t="e">
        <f t="shared" ca="1" si="23"/>
        <v>#N/A</v>
      </c>
      <c r="CA22" s="14" t="e">
        <f t="shared" ca="1" si="23"/>
        <v>#N/A</v>
      </c>
      <c r="CB22" s="14" t="e">
        <f t="shared" ca="1" si="23"/>
        <v>#N/A</v>
      </c>
      <c r="CC22" s="15" t="e">
        <f t="shared" ca="1" si="23"/>
        <v>#N/A</v>
      </c>
      <c r="CD22" s="16" t="e">
        <f t="shared" ca="1" si="23"/>
        <v>#N/A</v>
      </c>
      <c r="CE22" s="13" t="e">
        <f t="shared" ca="1" si="23"/>
        <v>#N/A</v>
      </c>
      <c r="CF22" s="14" t="e">
        <f t="shared" ca="1" si="23"/>
        <v>#N/A</v>
      </c>
      <c r="CG22" s="14" t="e">
        <f t="shared" ca="1" si="23"/>
        <v>#N/A</v>
      </c>
      <c r="CH22" s="14" t="e">
        <f t="shared" ca="1" si="23"/>
        <v>#N/A</v>
      </c>
      <c r="CI22" s="14" t="e">
        <f t="shared" ca="1" si="23"/>
        <v>#N/A</v>
      </c>
      <c r="CJ22" s="15" t="e">
        <f t="shared" ca="1" si="23"/>
        <v>#N/A</v>
      </c>
      <c r="CK22" s="16" t="e">
        <f t="shared" ca="1" si="23"/>
        <v>#N/A</v>
      </c>
      <c r="CL22" s="13" t="e">
        <f t="shared" ca="1" si="23"/>
        <v>#N/A</v>
      </c>
      <c r="CM22" s="14" t="e">
        <f t="shared" ca="1" si="24"/>
        <v>#N/A</v>
      </c>
      <c r="CN22" s="14" t="e">
        <f t="shared" ca="1" si="24"/>
        <v>#N/A</v>
      </c>
      <c r="CO22" s="14" t="e">
        <f t="shared" ca="1" si="24"/>
        <v>#N/A</v>
      </c>
      <c r="CP22" s="14" t="e">
        <f t="shared" ca="1" si="24"/>
        <v>#N/A</v>
      </c>
      <c r="CQ22" s="15" t="e">
        <f t="shared" ca="1" si="24"/>
        <v>#N/A</v>
      </c>
      <c r="CR22" s="16" t="e">
        <f t="shared" ca="1" si="24"/>
        <v>#N/A</v>
      </c>
      <c r="CS22" s="13" t="e">
        <f t="shared" ca="1" si="24"/>
        <v>#N/A</v>
      </c>
      <c r="CT22" s="14" t="e">
        <f t="shared" ca="1" si="24"/>
        <v>#N/A</v>
      </c>
      <c r="CU22" s="14" t="e">
        <f t="shared" ca="1" si="24"/>
        <v>#N/A</v>
      </c>
      <c r="CV22" s="14" t="e">
        <f t="shared" ca="1" si="24"/>
        <v>#N/A</v>
      </c>
      <c r="CW22" s="14" t="e">
        <f t="shared" ca="1" si="24"/>
        <v>#N/A</v>
      </c>
      <c r="CX22" s="15" t="e">
        <f t="shared" ca="1" si="24"/>
        <v>#N/A</v>
      </c>
      <c r="CY22" s="16" t="e">
        <f t="shared" ca="1" si="24"/>
        <v>#N/A</v>
      </c>
      <c r="CZ22" s="13" t="e">
        <f t="shared" ca="1" si="24"/>
        <v>#N/A</v>
      </c>
      <c r="DA22" s="14" t="e">
        <f t="shared" ca="1" si="24"/>
        <v>#N/A</v>
      </c>
      <c r="DB22" s="14" t="e">
        <f t="shared" ca="1" si="24"/>
        <v>#N/A</v>
      </c>
      <c r="DC22" s="14" t="e">
        <f t="shared" ca="1" si="25"/>
        <v>#N/A</v>
      </c>
      <c r="DD22" s="14" t="e">
        <f t="shared" ca="1" si="25"/>
        <v>#N/A</v>
      </c>
      <c r="DE22" s="15" t="e">
        <f t="shared" ca="1" si="25"/>
        <v>#N/A</v>
      </c>
      <c r="DF22" s="16" t="e">
        <f t="shared" ref="DF22:DT25" ca="1" si="30">IF(AND(DF$5&gt;=$C22,DF$5&lt;=$E22),1,"")</f>
        <v>#N/A</v>
      </c>
      <c r="DG22" s="13" t="e">
        <f t="shared" ca="1" si="30"/>
        <v>#N/A</v>
      </c>
      <c r="DH22" s="14" t="e">
        <f t="shared" ca="1" si="30"/>
        <v>#N/A</v>
      </c>
      <c r="DI22" s="14" t="e">
        <f t="shared" ca="1" si="30"/>
        <v>#N/A</v>
      </c>
      <c r="DJ22" s="14" t="e">
        <f t="shared" ca="1" si="30"/>
        <v>#N/A</v>
      </c>
      <c r="DK22" s="14" t="e">
        <f t="shared" ca="1" si="30"/>
        <v>#N/A</v>
      </c>
      <c r="DL22" s="15" t="e">
        <f t="shared" ca="1" si="30"/>
        <v>#N/A</v>
      </c>
      <c r="DM22" s="16" t="e">
        <f t="shared" ca="1" si="30"/>
        <v>#N/A</v>
      </c>
      <c r="DN22" s="13" t="e">
        <f t="shared" ca="1" si="30"/>
        <v>#N/A</v>
      </c>
      <c r="DO22" s="14" t="e">
        <f t="shared" ca="1" si="30"/>
        <v>#N/A</v>
      </c>
      <c r="DP22" s="14" t="e">
        <f t="shared" ca="1" si="30"/>
        <v>#N/A</v>
      </c>
      <c r="DQ22" s="14" t="e">
        <f t="shared" ca="1" si="30"/>
        <v>#N/A</v>
      </c>
      <c r="DR22" s="14" t="e">
        <f t="shared" ca="1" si="30"/>
        <v>#N/A</v>
      </c>
      <c r="DS22" s="15" t="e">
        <f t="shared" ca="1" si="30"/>
        <v>#N/A</v>
      </c>
      <c r="DT22" s="16" t="e">
        <f t="shared" ca="1" si="30"/>
        <v>#N/A</v>
      </c>
    </row>
    <row r="23" spans="1:124" s="17" customFormat="1" ht="9.75" customHeight="1">
      <c r="A23" s="27">
        <f ca="1">IFERROR(VLOOKUP(_xlfn.CONCAT(B7,"-","Next"),'DATA BTO'!A:D,3,FALSE),VLOOKUP(_xlfn.CONCAT(B7,"-","Inactif"),'DATA BTO'!A:D,3,FALSE))</f>
        <v>45476</v>
      </c>
      <c r="B23" s="26" t="s">
        <v>52</v>
      </c>
      <c r="C23" s="19" t="e">
        <f ca="1">E22+1</f>
        <v>#N/A</v>
      </c>
      <c r="D23" s="19" t="e">
        <f ca="1">_xlfn.XLOOKUP(A25,'VTT next'!B:B,'VTT next'!AR:AR,"-",0)</f>
        <v>#N/A</v>
      </c>
      <c r="E23" s="19" t="e">
        <f ca="1">C23+D23-1</f>
        <v>#N/A</v>
      </c>
      <c r="F23" s="13" t="e">
        <f t="shared" ref="F23:U25" ca="1" si="31">IF(AND(F$5&gt;=$C23,F$5&lt;=$E23),1,"")</f>
        <v>#N/A</v>
      </c>
      <c r="G23" s="14" t="e">
        <f t="shared" ca="1" si="31"/>
        <v>#N/A</v>
      </c>
      <c r="H23" s="14" t="e">
        <f t="shared" ca="1" si="31"/>
        <v>#N/A</v>
      </c>
      <c r="I23" s="14" t="e">
        <f t="shared" ca="1" si="31"/>
        <v>#N/A</v>
      </c>
      <c r="J23" s="14" t="e">
        <f t="shared" ca="1" si="31"/>
        <v>#N/A</v>
      </c>
      <c r="K23" s="15" t="e">
        <f t="shared" ca="1" si="31"/>
        <v>#N/A</v>
      </c>
      <c r="L23" s="16" t="e">
        <f t="shared" ca="1" si="31"/>
        <v>#N/A</v>
      </c>
      <c r="M23" s="13" t="e">
        <f t="shared" ca="1" si="31"/>
        <v>#N/A</v>
      </c>
      <c r="N23" s="14" t="e">
        <f t="shared" ca="1" si="31"/>
        <v>#N/A</v>
      </c>
      <c r="O23" s="14" t="e">
        <f t="shared" ca="1" si="31"/>
        <v>#N/A</v>
      </c>
      <c r="P23" s="14" t="e">
        <f t="shared" ca="1" si="31"/>
        <v>#N/A</v>
      </c>
      <c r="Q23" s="14" t="e">
        <f t="shared" ca="1" si="31"/>
        <v>#N/A</v>
      </c>
      <c r="R23" s="15" t="e">
        <f t="shared" ca="1" si="31"/>
        <v>#N/A</v>
      </c>
      <c r="S23" s="16" t="e">
        <f t="shared" ca="1" si="31"/>
        <v>#N/A</v>
      </c>
      <c r="T23" s="13" t="e">
        <f t="shared" ca="1" si="31"/>
        <v>#N/A</v>
      </c>
      <c r="U23" s="14" t="e">
        <f t="shared" ca="1" si="31"/>
        <v>#N/A</v>
      </c>
      <c r="V23" s="14" t="e">
        <f t="shared" ca="1" si="29"/>
        <v>#N/A</v>
      </c>
      <c r="W23" s="14" t="e">
        <f t="shared" ca="1" si="29"/>
        <v>#N/A</v>
      </c>
      <c r="X23" s="14" t="e">
        <f t="shared" ca="1" si="29"/>
        <v>#N/A</v>
      </c>
      <c r="Y23" s="15" t="e">
        <f t="shared" ca="1" si="29"/>
        <v>#N/A</v>
      </c>
      <c r="Z23" s="16" t="e">
        <f t="shared" ca="1" si="29"/>
        <v>#N/A</v>
      </c>
      <c r="AA23" s="13" t="e">
        <f t="shared" ca="1" si="20"/>
        <v>#N/A</v>
      </c>
      <c r="AB23" s="14" t="e">
        <f t="shared" ca="1" si="20"/>
        <v>#N/A</v>
      </c>
      <c r="AC23" s="14" t="e">
        <f t="shared" ca="1" si="20"/>
        <v>#N/A</v>
      </c>
      <c r="AD23" s="14" t="e">
        <f t="shared" ca="1" si="20"/>
        <v>#N/A</v>
      </c>
      <c r="AE23" s="14" t="e">
        <f t="shared" ca="1" si="20"/>
        <v>#N/A</v>
      </c>
      <c r="AF23" s="15" t="e">
        <f t="shared" ca="1" si="20"/>
        <v>#N/A</v>
      </c>
      <c r="AG23" s="16" t="e">
        <f t="shared" ca="1" si="20"/>
        <v>#N/A</v>
      </c>
      <c r="AH23" s="13" t="e">
        <f t="shared" ca="1" si="20"/>
        <v>#N/A</v>
      </c>
      <c r="AI23" s="14" t="e">
        <f t="shared" ca="1" si="20"/>
        <v>#N/A</v>
      </c>
      <c r="AJ23" s="14" t="e">
        <f t="shared" ca="1" si="20"/>
        <v>#N/A</v>
      </c>
      <c r="AK23" s="14" t="e">
        <f t="shared" ca="1" si="20"/>
        <v>#N/A</v>
      </c>
      <c r="AL23" s="14" t="e">
        <f t="shared" ca="1" si="20"/>
        <v>#N/A</v>
      </c>
      <c r="AM23" s="15" t="e">
        <f t="shared" ca="1" si="20"/>
        <v>#N/A</v>
      </c>
      <c r="AN23" s="16" t="e">
        <f t="shared" ca="1" si="20"/>
        <v>#N/A</v>
      </c>
      <c r="AO23" s="13" t="e">
        <f t="shared" ca="1" si="20"/>
        <v>#N/A</v>
      </c>
      <c r="AP23" s="14" t="e">
        <f t="shared" ca="1" si="20"/>
        <v>#N/A</v>
      </c>
      <c r="AQ23" s="14" t="e">
        <f t="shared" ca="1" si="21"/>
        <v>#N/A</v>
      </c>
      <c r="AR23" s="14" t="e">
        <f t="shared" ca="1" si="21"/>
        <v>#N/A</v>
      </c>
      <c r="AS23" s="14" t="e">
        <f t="shared" ca="1" si="21"/>
        <v>#N/A</v>
      </c>
      <c r="AT23" s="15" t="e">
        <f t="shared" ca="1" si="21"/>
        <v>#N/A</v>
      </c>
      <c r="AU23" s="16" t="e">
        <f t="shared" ca="1" si="21"/>
        <v>#N/A</v>
      </c>
      <c r="AV23" s="13" t="e">
        <f t="shared" ca="1" si="21"/>
        <v>#N/A</v>
      </c>
      <c r="AW23" s="14" t="e">
        <f t="shared" ca="1" si="21"/>
        <v>#N/A</v>
      </c>
      <c r="AX23" s="14" t="e">
        <f t="shared" ca="1" si="21"/>
        <v>#N/A</v>
      </c>
      <c r="AY23" s="14" t="e">
        <f t="shared" ca="1" si="21"/>
        <v>#N/A</v>
      </c>
      <c r="AZ23" s="14" t="e">
        <f t="shared" ca="1" si="21"/>
        <v>#N/A</v>
      </c>
      <c r="BA23" s="15" t="e">
        <f t="shared" ca="1" si="21"/>
        <v>#N/A</v>
      </c>
      <c r="BB23" s="16" t="e">
        <f t="shared" ca="1" si="21"/>
        <v>#N/A</v>
      </c>
      <c r="BC23" s="13" t="e">
        <f t="shared" ca="1" si="21"/>
        <v>#N/A</v>
      </c>
      <c r="BD23" s="14" t="e">
        <f t="shared" ca="1" si="21"/>
        <v>#N/A</v>
      </c>
      <c r="BE23" s="14" t="e">
        <f t="shared" ca="1" si="21"/>
        <v>#N/A</v>
      </c>
      <c r="BF23" s="14" t="e">
        <f t="shared" ca="1" si="21"/>
        <v>#N/A</v>
      </c>
      <c r="BG23" s="14" t="e">
        <f t="shared" ca="1" si="22"/>
        <v>#N/A</v>
      </c>
      <c r="BH23" s="15" t="e">
        <f t="shared" ca="1" si="22"/>
        <v>#N/A</v>
      </c>
      <c r="BI23" s="16" t="e">
        <f t="shared" ca="1" si="22"/>
        <v>#N/A</v>
      </c>
      <c r="BJ23" s="13" t="e">
        <f t="shared" ca="1" si="22"/>
        <v>#N/A</v>
      </c>
      <c r="BK23" s="14" t="e">
        <f t="shared" ca="1" si="22"/>
        <v>#N/A</v>
      </c>
      <c r="BL23" s="14" t="e">
        <f t="shared" ca="1" si="22"/>
        <v>#N/A</v>
      </c>
      <c r="BM23" s="14" t="e">
        <f t="shared" ca="1" si="22"/>
        <v>#N/A</v>
      </c>
      <c r="BN23" s="14" t="e">
        <f t="shared" ca="1" si="22"/>
        <v>#N/A</v>
      </c>
      <c r="BO23" s="15" t="e">
        <f t="shared" ca="1" si="22"/>
        <v>#N/A</v>
      </c>
      <c r="BP23" s="16" t="e">
        <f t="shared" ca="1" si="22"/>
        <v>#N/A</v>
      </c>
      <c r="BQ23" s="13" t="e">
        <f t="shared" ca="1" si="22"/>
        <v>#N/A</v>
      </c>
      <c r="BR23" s="14" t="e">
        <f t="shared" ca="1" si="22"/>
        <v>#N/A</v>
      </c>
      <c r="BS23" s="14" t="e">
        <f t="shared" ca="1" si="22"/>
        <v>#N/A</v>
      </c>
      <c r="BT23" s="14" t="e">
        <f t="shared" ca="1" si="22"/>
        <v>#N/A</v>
      </c>
      <c r="BU23" s="14" t="e">
        <f t="shared" ca="1" si="22"/>
        <v>#N/A</v>
      </c>
      <c r="BV23" s="15" t="e">
        <f t="shared" ca="1" si="22"/>
        <v>#N/A</v>
      </c>
      <c r="BW23" s="16" t="e">
        <f t="shared" ca="1" si="23"/>
        <v>#N/A</v>
      </c>
      <c r="BX23" s="13" t="e">
        <f t="shared" ca="1" si="23"/>
        <v>#N/A</v>
      </c>
      <c r="BY23" s="14" t="e">
        <f t="shared" ca="1" si="23"/>
        <v>#N/A</v>
      </c>
      <c r="BZ23" s="14" t="e">
        <f t="shared" ca="1" si="23"/>
        <v>#N/A</v>
      </c>
      <c r="CA23" s="14" t="e">
        <f t="shared" ca="1" si="23"/>
        <v>#N/A</v>
      </c>
      <c r="CB23" s="14" t="e">
        <f t="shared" ca="1" si="23"/>
        <v>#N/A</v>
      </c>
      <c r="CC23" s="15" t="e">
        <f t="shared" ca="1" si="23"/>
        <v>#N/A</v>
      </c>
      <c r="CD23" s="16" t="e">
        <f t="shared" ca="1" si="23"/>
        <v>#N/A</v>
      </c>
      <c r="CE23" s="13" t="e">
        <f t="shared" ca="1" si="23"/>
        <v>#N/A</v>
      </c>
      <c r="CF23" s="14" t="e">
        <f t="shared" ca="1" si="23"/>
        <v>#N/A</v>
      </c>
      <c r="CG23" s="14" t="e">
        <f t="shared" ca="1" si="23"/>
        <v>#N/A</v>
      </c>
      <c r="CH23" s="14" t="e">
        <f t="shared" ca="1" si="23"/>
        <v>#N/A</v>
      </c>
      <c r="CI23" s="14" t="e">
        <f t="shared" ca="1" si="23"/>
        <v>#N/A</v>
      </c>
      <c r="CJ23" s="15" t="e">
        <f t="shared" ca="1" si="23"/>
        <v>#N/A</v>
      </c>
      <c r="CK23" s="16" t="e">
        <f t="shared" ca="1" si="23"/>
        <v>#N/A</v>
      </c>
      <c r="CL23" s="13" t="e">
        <f t="shared" ref="CL23" ca="1" si="32">IF(AND(CL$5&gt;=$C23,CL$5&lt;=$E23),1,"")</f>
        <v>#N/A</v>
      </c>
      <c r="CM23" s="14" t="e">
        <f t="shared" ca="1" si="24"/>
        <v>#N/A</v>
      </c>
      <c r="CN23" s="14" t="e">
        <f t="shared" ca="1" si="24"/>
        <v>#N/A</v>
      </c>
      <c r="CO23" s="14" t="e">
        <f t="shared" ca="1" si="24"/>
        <v>#N/A</v>
      </c>
      <c r="CP23" s="14" t="e">
        <f t="shared" ca="1" si="24"/>
        <v>#N/A</v>
      </c>
      <c r="CQ23" s="15" t="e">
        <f t="shared" ca="1" si="24"/>
        <v>#N/A</v>
      </c>
      <c r="CR23" s="16" t="e">
        <f t="shared" ca="1" si="24"/>
        <v>#N/A</v>
      </c>
      <c r="CS23" s="13" t="e">
        <f t="shared" ca="1" si="24"/>
        <v>#N/A</v>
      </c>
      <c r="CT23" s="14" t="e">
        <f t="shared" ca="1" si="24"/>
        <v>#N/A</v>
      </c>
      <c r="CU23" s="14" t="e">
        <f t="shared" ca="1" si="24"/>
        <v>#N/A</v>
      </c>
      <c r="CV23" s="14" t="e">
        <f t="shared" ca="1" si="24"/>
        <v>#N/A</v>
      </c>
      <c r="CW23" s="14" t="e">
        <f t="shared" ca="1" si="24"/>
        <v>#N/A</v>
      </c>
      <c r="CX23" s="15" t="e">
        <f t="shared" ca="1" si="24"/>
        <v>#N/A</v>
      </c>
      <c r="CY23" s="16" t="e">
        <f t="shared" ca="1" si="24"/>
        <v>#N/A</v>
      </c>
      <c r="CZ23" s="13" t="e">
        <f t="shared" ca="1" si="24"/>
        <v>#N/A</v>
      </c>
      <c r="DA23" s="14" t="e">
        <f t="shared" ca="1" si="24"/>
        <v>#N/A</v>
      </c>
      <c r="DB23" s="14" t="e">
        <f t="shared" ref="DB23:DQ25" ca="1" si="33">IF(AND(DB$5&gt;=$C23,DB$5&lt;=$E23),1,"")</f>
        <v>#N/A</v>
      </c>
      <c r="DC23" s="14" t="e">
        <f t="shared" ca="1" si="33"/>
        <v>#N/A</v>
      </c>
      <c r="DD23" s="14" t="e">
        <f t="shared" ca="1" si="33"/>
        <v>#N/A</v>
      </c>
      <c r="DE23" s="15" t="e">
        <f t="shared" ca="1" si="33"/>
        <v>#N/A</v>
      </c>
      <c r="DF23" s="16" t="e">
        <f t="shared" ca="1" si="33"/>
        <v>#N/A</v>
      </c>
      <c r="DG23" s="13" t="e">
        <f t="shared" ca="1" si="33"/>
        <v>#N/A</v>
      </c>
      <c r="DH23" s="14" t="e">
        <f t="shared" ca="1" si="33"/>
        <v>#N/A</v>
      </c>
      <c r="DI23" s="14" t="e">
        <f t="shared" ca="1" si="33"/>
        <v>#N/A</v>
      </c>
      <c r="DJ23" s="14" t="e">
        <f t="shared" ca="1" si="33"/>
        <v>#N/A</v>
      </c>
      <c r="DK23" s="14" t="e">
        <f t="shared" ca="1" si="33"/>
        <v>#N/A</v>
      </c>
      <c r="DL23" s="15" t="e">
        <f t="shared" ca="1" si="33"/>
        <v>#N/A</v>
      </c>
      <c r="DM23" s="16" t="e">
        <f t="shared" ca="1" si="33"/>
        <v>#N/A</v>
      </c>
      <c r="DN23" s="13" t="e">
        <f t="shared" ca="1" si="33"/>
        <v>#N/A</v>
      </c>
      <c r="DO23" s="14" t="e">
        <f t="shared" ca="1" si="33"/>
        <v>#N/A</v>
      </c>
      <c r="DP23" s="14" t="e">
        <f t="shared" ca="1" si="33"/>
        <v>#N/A</v>
      </c>
      <c r="DQ23" s="14" t="e">
        <f t="shared" ca="1" si="33"/>
        <v>#N/A</v>
      </c>
      <c r="DR23" s="14" t="e">
        <f t="shared" ca="1" si="30"/>
        <v>#N/A</v>
      </c>
      <c r="DS23" s="15" t="e">
        <f t="shared" ca="1" si="30"/>
        <v>#N/A</v>
      </c>
      <c r="DT23" s="16" t="e">
        <f t="shared" ca="1" si="30"/>
        <v>#N/A</v>
      </c>
    </row>
    <row r="24" spans="1:124" s="17" customFormat="1" ht="9.75" customHeight="1">
      <c r="A24" s="27">
        <f ca="1">IFERROR(VLOOKUP(_xlfn.CONCAT(B7,"-","Next"),'DATA BTO'!A:D,4,FALSE),VLOOKUP(_xlfn.CONCAT(B7,"-","Inactif"),'DATA BTO'!A:D,4,FALSE))</f>
        <v>45777</v>
      </c>
      <c r="B24" s="28" t="s">
        <v>53</v>
      </c>
      <c r="C24" s="19" t="e">
        <f t="shared" ca="1" si="28"/>
        <v>#N/A</v>
      </c>
      <c r="D24" s="20">
        <v>7</v>
      </c>
      <c r="E24" s="19" t="e">
        <f t="shared" ca="1" si="27"/>
        <v>#N/A</v>
      </c>
      <c r="F24" s="13" t="e">
        <f t="shared" ca="1" si="31"/>
        <v>#N/A</v>
      </c>
      <c r="G24" s="14" t="e">
        <f t="shared" ca="1" si="31"/>
        <v>#N/A</v>
      </c>
      <c r="H24" s="14" t="e">
        <f t="shared" ca="1" si="31"/>
        <v>#N/A</v>
      </c>
      <c r="I24" s="14" t="e">
        <f t="shared" ca="1" si="31"/>
        <v>#N/A</v>
      </c>
      <c r="J24" s="14" t="e">
        <f t="shared" ca="1" si="31"/>
        <v>#N/A</v>
      </c>
      <c r="K24" s="15" t="e">
        <f t="shared" ca="1" si="31"/>
        <v>#N/A</v>
      </c>
      <c r="L24" s="16" t="e">
        <f t="shared" ca="1" si="31"/>
        <v>#N/A</v>
      </c>
      <c r="M24" s="13" t="e">
        <f t="shared" ca="1" si="31"/>
        <v>#N/A</v>
      </c>
      <c r="N24" s="14" t="e">
        <f t="shared" ca="1" si="31"/>
        <v>#N/A</v>
      </c>
      <c r="O24" s="14" t="e">
        <f t="shared" ca="1" si="31"/>
        <v>#N/A</v>
      </c>
      <c r="P24" s="14" t="e">
        <f t="shared" ca="1" si="31"/>
        <v>#N/A</v>
      </c>
      <c r="Q24" s="14" t="e">
        <f t="shared" ca="1" si="31"/>
        <v>#N/A</v>
      </c>
      <c r="R24" s="15" t="e">
        <f t="shared" ca="1" si="31"/>
        <v>#N/A</v>
      </c>
      <c r="S24" s="16" t="e">
        <f t="shared" ca="1" si="31"/>
        <v>#N/A</v>
      </c>
      <c r="T24" s="13" t="e">
        <f t="shared" ca="1" si="31"/>
        <v>#N/A</v>
      </c>
      <c r="U24" s="14" t="e">
        <f t="shared" ca="1" si="31"/>
        <v>#N/A</v>
      </c>
      <c r="V24" s="14" t="e">
        <f t="shared" ca="1" si="29"/>
        <v>#N/A</v>
      </c>
      <c r="W24" s="14" t="e">
        <f t="shared" ca="1" si="29"/>
        <v>#N/A</v>
      </c>
      <c r="X24" s="14" t="e">
        <f t="shared" ca="1" si="29"/>
        <v>#N/A</v>
      </c>
      <c r="Y24" s="15" t="e">
        <f t="shared" ca="1" si="29"/>
        <v>#N/A</v>
      </c>
      <c r="Z24" s="16" t="e">
        <f t="shared" ca="1" si="29"/>
        <v>#N/A</v>
      </c>
      <c r="AA24" s="13" t="e">
        <f t="shared" ca="1" si="20"/>
        <v>#N/A</v>
      </c>
      <c r="AB24" s="14" t="e">
        <f t="shared" ca="1" si="20"/>
        <v>#N/A</v>
      </c>
      <c r="AC24" s="14" t="e">
        <f t="shared" ca="1" si="20"/>
        <v>#N/A</v>
      </c>
      <c r="AD24" s="14" t="e">
        <f t="shared" ca="1" si="20"/>
        <v>#N/A</v>
      </c>
      <c r="AE24" s="14" t="e">
        <f t="shared" ca="1" si="20"/>
        <v>#N/A</v>
      </c>
      <c r="AF24" s="15" t="e">
        <f t="shared" ca="1" si="20"/>
        <v>#N/A</v>
      </c>
      <c r="AG24" s="16" t="e">
        <f t="shared" ca="1" si="20"/>
        <v>#N/A</v>
      </c>
      <c r="AH24" s="13" t="e">
        <f t="shared" ca="1" si="20"/>
        <v>#N/A</v>
      </c>
      <c r="AI24" s="14" t="e">
        <f t="shared" ca="1" si="20"/>
        <v>#N/A</v>
      </c>
      <c r="AJ24" s="14" t="e">
        <f t="shared" ca="1" si="20"/>
        <v>#N/A</v>
      </c>
      <c r="AK24" s="14" t="e">
        <f t="shared" ca="1" si="20"/>
        <v>#N/A</v>
      </c>
      <c r="AL24" s="14" t="e">
        <f t="shared" ca="1" si="20"/>
        <v>#N/A</v>
      </c>
      <c r="AM24" s="15" t="e">
        <f t="shared" ca="1" si="20"/>
        <v>#N/A</v>
      </c>
      <c r="AN24" s="16" t="e">
        <f t="shared" ca="1" si="20"/>
        <v>#N/A</v>
      </c>
      <c r="AO24" s="13" t="e">
        <f t="shared" ca="1" si="20"/>
        <v>#N/A</v>
      </c>
      <c r="AP24" s="14" t="e">
        <f t="shared" ca="1" si="20"/>
        <v>#N/A</v>
      </c>
      <c r="AQ24" s="14" t="e">
        <f t="shared" ca="1" si="21"/>
        <v>#N/A</v>
      </c>
      <c r="AR24" s="14" t="e">
        <f t="shared" ca="1" si="21"/>
        <v>#N/A</v>
      </c>
      <c r="AS24" s="14" t="e">
        <f t="shared" ca="1" si="21"/>
        <v>#N/A</v>
      </c>
      <c r="AT24" s="15" t="e">
        <f t="shared" ca="1" si="21"/>
        <v>#N/A</v>
      </c>
      <c r="AU24" s="16" t="e">
        <f t="shared" ca="1" si="21"/>
        <v>#N/A</v>
      </c>
      <c r="AV24" s="13" t="e">
        <f t="shared" ca="1" si="21"/>
        <v>#N/A</v>
      </c>
      <c r="AW24" s="14" t="e">
        <f t="shared" ca="1" si="21"/>
        <v>#N/A</v>
      </c>
      <c r="AX24" s="14" t="e">
        <f t="shared" ca="1" si="21"/>
        <v>#N/A</v>
      </c>
      <c r="AY24" s="14" t="e">
        <f t="shared" ca="1" si="21"/>
        <v>#N/A</v>
      </c>
      <c r="AZ24" s="14" t="e">
        <f t="shared" ca="1" si="21"/>
        <v>#N/A</v>
      </c>
      <c r="BA24" s="15" t="e">
        <f t="shared" ca="1" si="21"/>
        <v>#N/A</v>
      </c>
      <c r="BB24" s="16" t="e">
        <f t="shared" ca="1" si="21"/>
        <v>#N/A</v>
      </c>
      <c r="BC24" s="13" t="e">
        <f t="shared" ca="1" si="21"/>
        <v>#N/A</v>
      </c>
      <c r="BD24" s="14" t="e">
        <f t="shared" ca="1" si="21"/>
        <v>#N/A</v>
      </c>
      <c r="BE24" s="14" t="e">
        <f t="shared" ca="1" si="21"/>
        <v>#N/A</v>
      </c>
      <c r="BF24" s="14" t="e">
        <f t="shared" ca="1" si="21"/>
        <v>#N/A</v>
      </c>
      <c r="BG24" s="14" t="e">
        <f t="shared" ca="1" si="22"/>
        <v>#N/A</v>
      </c>
      <c r="BH24" s="15" t="e">
        <f t="shared" ca="1" si="22"/>
        <v>#N/A</v>
      </c>
      <c r="BI24" s="16" t="e">
        <f t="shared" ca="1" si="22"/>
        <v>#N/A</v>
      </c>
      <c r="BJ24" s="13" t="e">
        <f t="shared" ca="1" si="22"/>
        <v>#N/A</v>
      </c>
      <c r="BK24" s="14" t="e">
        <f t="shared" ca="1" si="22"/>
        <v>#N/A</v>
      </c>
      <c r="BL24" s="14" t="e">
        <f t="shared" ca="1" si="22"/>
        <v>#N/A</v>
      </c>
      <c r="BM24" s="14" t="e">
        <f t="shared" ca="1" si="22"/>
        <v>#N/A</v>
      </c>
      <c r="BN24" s="14" t="e">
        <f t="shared" ca="1" si="22"/>
        <v>#N/A</v>
      </c>
      <c r="BO24" s="15" t="e">
        <f t="shared" ca="1" si="22"/>
        <v>#N/A</v>
      </c>
      <c r="BP24" s="16" t="e">
        <f t="shared" ca="1" si="22"/>
        <v>#N/A</v>
      </c>
      <c r="BQ24" s="13" t="e">
        <f t="shared" ca="1" si="22"/>
        <v>#N/A</v>
      </c>
      <c r="BR24" s="14" t="e">
        <f t="shared" ca="1" si="22"/>
        <v>#N/A</v>
      </c>
      <c r="BS24" s="14" t="e">
        <f t="shared" ca="1" si="22"/>
        <v>#N/A</v>
      </c>
      <c r="BT24" s="14" t="e">
        <f t="shared" ca="1" si="22"/>
        <v>#N/A</v>
      </c>
      <c r="BU24" s="14" t="e">
        <f t="shared" ca="1" si="22"/>
        <v>#N/A</v>
      </c>
      <c r="BV24" s="15" t="e">
        <f t="shared" ca="1" si="22"/>
        <v>#N/A</v>
      </c>
      <c r="BW24" s="16" t="e">
        <f t="shared" ref="BW24:CL25" ca="1" si="34">IF(AND(BW$5&gt;=$C24,BW$5&lt;=$E24),1,"")</f>
        <v>#N/A</v>
      </c>
      <c r="BX24" s="13" t="e">
        <f t="shared" ca="1" si="34"/>
        <v>#N/A</v>
      </c>
      <c r="BY24" s="14" t="e">
        <f t="shared" ca="1" si="34"/>
        <v>#N/A</v>
      </c>
      <c r="BZ24" s="14" t="e">
        <f t="shared" ca="1" si="34"/>
        <v>#N/A</v>
      </c>
      <c r="CA24" s="14" t="e">
        <f t="shared" ca="1" si="34"/>
        <v>#N/A</v>
      </c>
      <c r="CB24" s="14" t="e">
        <f t="shared" ca="1" si="34"/>
        <v>#N/A</v>
      </c>
      <c r="CC24" s="15" t="e">
        <f t="shared" ca="1" si="34"/>
        <v>#N/A</v>
      </c>
      <c r="CD24" s="16" t="e">
        <f t="shared" ca="1" si="34"/>
        <v>#N/A</v>
      </c>
      <c r="CE24" s="13" t="e">
        <f t="shared" ca="1" si="34"/>
        <v>#N/A</v>
      </c>
      <c r="CF24" s="14" t="e">
        <f t="shared" ca="1" si="34"/>
        <v>#N/A</v>
      </c>
      <c r="CG24" s="14" t="e">
        <f t="shared" ca="1" si="34"/>
        <v>#N/A</v>
      </c>
      <c r="CH24" s="14" t="e">
        <f t="shared" ca="1" si="34"/>
        <v>#N/A</v>
      </c>
      <c r="CI24" s="14" t="e">
        <f t="shared" ca="1" si="34"/>
        <v>#N/A</v>
      </c>
      <c r="CJ24" s="15" t="e">
        <f t="shared" ca="1" si="34"/>
        <v>#N/A</v>
      </c>
      <c r="CK24" s="16" t="e">
        <f t="shared" ca="1" si="34"/>
        <v>#N/A</v>
      </c>
      <c r="CL24" s="13" t="e">
        <f t="shared" ca="1" si="34"/>
        <v>#N/A</v>
      </c>
      <c r="CM24" s="14" t="e">
        <f t="shared" ref="CM24:DB25" ca="1" si="35">IF(AND(CM$5&gt;=$C24,CM$5&lt;=$E24),1,"")</f>
        <v>#N/A</v>
      </c>
      <c r="CN24" s="14" t="e">
        <f t="shared" ca="1" si="35"/>
        <v>#N/A</v>
      </c>
      <c r="CO24" s="14" t="e">
        <f t="shared" ca="1" si="35"/>
        <v>#N/A</v>
      </c>
      <c r="CP24" s="14" t="e">
        <f t="shared" ca="1" si="35"/>
        <v>#N/A</v>
      </c>
      <c r="CQ24" s="15" t="e">
        <f t="shared" ca="1" si="35"/>
        <v>#N/A</v>
      </c>
      <c r="CR24" s="16" t="e">
        <f t="shared" ca="1" si="35"/>
        <v>#N/A</v>
      </c>
      <c r="CS24" s="13" t="e">
        <f t="shared" ca="1" si="35"/>
        <v>#N/A</v>
      </c>
      <c r="CT24" s="14" t="e">
        <f t="shared" ca="1" si="35"/>
        <v>#N/A</v>
      </c>
      <c r="CU24" s="14" t="e">
        <f t="shared" ca="1" si="35"/>
        <v>#N/A</v>
      </c>
      <c r="CV24" s="14" t="e">
        <f t="shared" ca="1" si="35"/>
        <v>#N/A</v>
      </c>
      <c r="CW24" s="14" t="e">
        <f t="shared" ca="1" si="35"/>
        <v>#N/A</v>
      </c>
      <c r="CX24" s="15" t="e">
        <f t="shared" ca="1" si="35"/>
        <v>#N/A</v>
      </c>
      <c r="CY24" s="16" t="e">
        <f t="shared" ca="1" si="35"/>
        <v>#N/A</v>
      </c>
      <c r="CZ24" s="13" t="e">
        <f t="shared" ca="1" si="35"/>
        <v>#N/A</v>
      </c>
      <c r="DA24" s="14" t="e">
        <f t="shared" ca="1" si="35"/>
        <v>#N/A</v>
      </c>
      <c r="DB24" s="14" t="e">
        <f t="shared" ca="1" si="35"/>
        <v>#N/A</v>
      </c>
      <c r="DC24" s="14" t="e">
        <f t="shared" ca="1" si="33"/>
        <v>#N/A</v>
      </c>
      <c r="DD24" s="14" t="e">
        <f t="shared" ca="1" si="33"/>
        <v>#N/A</v>
      </c>
      <c r="DE24" s="15" t="e">
        <f t="shared" ca="1" si="33"/>
        <v>#N/A</v>
      </c>
      <c r="DF24" s="16" t="e">
        <f t="shared" ca="1" si="33"/>
        <v>#N/A</v>
      </c>
      <c r="DG24" s="13" t="e">
        <f t="shared" ca="1" si="33"/>
        <v>#N/A</v>
      </c>
      <c r="DH24" s="14" t="e">
        <f t="shared" ca="1" si="33"/>
        <v>#N/A</v>
      </c>
      <c r="DI24" s="14" t="e">
        <f t="shared" ca="1" si="33"/>
        <v>#N/A</v>
      </c>
      <c r="DJ24" s="14" t="e">
        <f t="shared" ca="1" si="33"/>
        <v>#N/A</v>
      </c>
      <c r="DK24" s="14" t="e">
        <f t="shared" ca="1" si="33"/>
        <v>#N/A</v>
      </c>
      <c r="DL24" s="15" t="e">
        <f t="shared" ca="1" si="33"/>
        <v>#N/A</v>
      </c>
      <c r="DM24" s="16" t="e">
        <f t="shared" ca="1" si="33"/>
        <v>#N/A</v>
      </c>
      <c r="DN24" s="13" t="e">
        <f t="shared" ca="1" si="33"/>
        <v>#N/A</v>
      </c>
      <c r="DO24" s="14" t="e">
        <f t="shared" ca="1" si="33"/>
        <v>#N/A</v>
      </c>
      <c r="DP24" s="14" t="e">
        <f t="shared" ca="1" si="33"/>
        <v>#N/A</v>
      </c>
      <c r="DQ24" s="14" t="e">
        <f t="shared" ca="1" si="33"/>
        <v>#N/A</v>
      </c>
      <c r="DR24" s="14" t="e">
        <f t="shared" ca="1" si="30"/>
        <v>#N/A</v>
      </c>
      <c r="DS24" s="15" t="e">
        <f t="shared" ca="1" si="30"/>
        <v>#N/A</v>
      </c>
      <c r="DT24" s="16" t="e">
        <f t="shared" ca="1" si="30"/>
        <v>#N/A</v>
      </c>
    </row>
    <row r="25" spans="1:124" s="17" customFormat="1" ht="9.75" customHeight="1">
      <c r="A25" s="92" t="str">
        <f>_xlfn.CONCAT(B1,"-",B3,"-",B6)</f>
        <v>KWE Shanghai-KWE Shanghai-MOTORES</v>
      </c>
      <c r="B25" s="28" t="s">
        <v>54</v>
      </c>
      <c r="C25" s="19" t="e">
        <f t="shared" ca="1" si="28"/>
        <v>#N/A</v>
      </c>
      <c r="D25" s="20">
        <v>7</v>
      </c>
      <c r="E25" s="19" t="e">
        <f ca="1">(C25+D25)-1</f>
        <v>#N/A</v>
      </c>
      <c r="F25" s="13" t="e">
        <f t="shared" ca="1" si="31"/>
        <v>#N/A</v>
      </c>
      <c r="G25" s="14" t="e">
        <f t="shared" ca="1" si="31"/>
        <v>#N/A</v>
      </c>
      <c r="H25" s="14" t="e">
        <f t="shared" ca="1" si="31"/>
        <v>#N/A</v>
      </c>
      <c r="I25" s="14" t="e">
        <f t="shared" ca="1" si="31"/>
        <v>#N/A</v>
      </c>
      <c r="J25" s="14" t="e">
        <f t="shared" ca="1" si="31"/>
        <v>#N/A</v>
      </c>
      <c r="K25" s="15" t="e">
        <f t="shared" ca="1" si="31"/>
        <v>#N/A</v>
      </c>
      <c r="L25" s="16" t="e">
        <f t="shared" ca="1" si="31"/>
        <v>#N/A</v>
      </c>
      <c r="M25" s="13" t="e">
        <f t="shared" ca="1" si="31"/>
        <v>#N/A</v>
      </c>
      <c r="N25" s="14" t="e">
        <f t="shared" ca="1" si="31"/>
        <v>#N/A</v>
      </c>
      <c r="O25" s="14" t="e">
        <f t="shared" ca="1" si="31"/>
        <v>#N/A</v>
      </c>
      <c r="P25" s="14" t="e">
        <f t="shared" ca="1" si="31"/>
        <v>#N/A</v>
      </c>
      <c r="Q25" s="14" t="e">
        <f t="shared" ca="1" si="31"/>
        <v>#N/A</v>
      </c>
      <c r="R25" s="15" t="e">
        <f t="shared" ca="1" si="31"/>
        <v>#N/A</v>
      </c>
      <c r="S25" s="16" t="e">
        <f t="shared" ca="1" si="31"/>
        <v>#N/A</v>
      </c>
      <c r="T25" s="13" t="e">
        <f t="shared" ca="1" si="31"/>
        <v>#N/A</v>
      </c>
      <c r="U25" s="14" t="e">
        <f t="shared" ca="1" si="31"/>
        <v>#N/A</v>
      </c>
      <c r="V25" s="14" t="e">
        <f t="shared" ca="1" si="29"/>
        <v>#N/A</v>
      </c>
      <c r="W25" s="14" t="e">
        <f t="shared" ca="1" si="29"/>
        <v>#N/A</v>
      </c>
      <c r="X25" s="14" t="e">
        <f t="shared" ca="1" si="29"/>
        <v>#N/A</v>
      </c>
      <c r="Y25" s="15" t="e">
        <f t="shared" ca="1" si="29"/>
        <v>#N/A</v>
      </c>
      <c r="Z25" s="16" t="e">
        <f t="shared" ca="1" si="29"/>
        <v>#N/A</v>
      </c>
      <c r="AA25" s="13" t="e">
        <f t="shared" ca="1" si="20"/>
        <v>#N/A</v>
      </c>
      <c r="AB25" s="14" t="e">
        <f t="shared" ca="1" si="20"/>
        <v>#N/A</v>
      </c>
      <c r="AC25" s="14" t="e">
        <f t="shared" ca="1" si="20"/>
        <v>#N/A</v>
      </c>
      <c r="AD25" s="14" t="e">
        <f t="shared" ca="1" si="20"/>
        <v>#N/A</v>
      </c>
      <c r="AE25" s="14" t="e">
        <f t="shared" ca="1" si="20"/>
        <v>#N/A</v>
      </c>
      <c r="AF25" s="15" t="e">
        <f t="shared" ca="1" si="20"/>
        <v>#N/A</v>
      </c>
      <c r="AG25" s="16" t="e">
        <f t="shared" ca="1" si="20"/>
        <v>#N/A</v>
      </c>
      <c r="AH25" s="13" t="e">
        <f t="shared" ca="1" si="20"/>
        <v>#N/A</v>
      </c>
      <c r="AI25" s="14" t="e">
        <f t="shared" ca="1" si="20"/>
        <v>#N/A</v>
      </c>
      <c r="AJ25" s="14" t="e">
        <f t="shared" ca="1" si="20"/>
        <v>#N/A</v>
      </c>
      <c r="AK25" s="14" t="e">
        <f t="shared" ca="1" si="20"/>
        <v>#N/A</v>
      </c>
      <c r="AL25" s="14" t="e">
        <f t="shared" ca="1" si="20"/>
        <v>#N/A</v>
      </c>
      <c r="AM25" s="15" t="e">
        <f t="shared" ca="1" si="20"/>
        <v>#N/A</v>
      </c>
      <c r="AN25" s="16" t="e">
        <f t="shared" ca="1" si="20"/>
        <v>#N/A</v>
      </c>
      <c r="AO25" s="13" t="e">
        <f t="shared" ca="1" si="20"/>
        <v>#N/A</v>
      </c>
      <c r="AP25" s="14" t="e">
        <f t="shared" ref="AP25" ca="1" si="36">IF(AND(AP$5&gt;=$C25,AP$5&lt;=$E25),1,"")</f>
        <v>#N/A</v>
      </c>
      <c r="AQ25" s="14" t="e">
        <f t="shared" ca="1" si="21"/>
        <v>#N/A</v>
      </c>
      <c r="AR25" s="14" t="e">
        <f t="shared" ca="1" si="21"/>
        <v>#N/A</v>
      </c>
      <c r="AS25" s="14" t="e">
        <f t="shared" ca="1" si="21"/>
        <v>#N/A</v>
      </c>
      <c r="AT25" s="15" t="e">
        <f t="shared" ca="1" si="21"/>
        <v>#N/A</v>
      </c>
      <c r="AU25" s="16" t="e">
        <f t="shared" ca="1" si="21"/>
        <v>#N/A</v>
      </c>
      <c r="AV25" s="13" t="e">
        <f t="shared" ca="1" si="21"/>
        <v>#N/A</v>
      </c>
      <c r="AW25" s="14" t="e">
        <f t="shared" ca="1" si="21"/>
        <v>#N/A</v>
      </c>
      <c r="AX25" s="14" t="e">
        <f t="shared" ca="1" si="21"/>
        <v>#N/A</v>
      </c>
      <c r="AY25" s="14" t="e">
        <f t="shared" ca="1" si="21"/>
        <v>#N/A</v>
      </c>
      <c r="AZ25" s="14" t="e">
        <f t="shared" ca="1" si="21"/>
        <v>#N/A</v>
      </c>
      <c r="BA25" s="15" t="e">
        <f t="shared" ca="1" si="21"/>
        <v>#N/A</v>
      </c>
      <c r="BB25" s="16" t="e">
        <f t="shared" ca="1" si="21"/>
        <v>#N/A</v>
      </c>
      <c r="BC25" s="13" t="e">
        <f t="shared" ca="1" si="21"/>
        <v>#N/A</v>
      </c>
      <c r="BD25" s="14" t="e">
        <f t="shared" ca="1" si="21"/>
        <v>#N/A</v>
      </c>
      <c r="BE25" s="14" t="e">
        <f t="shared" ca="1" si="21"/>
        <v>#N/A</v>
      </c>
      <c r="BF25" s="14" t="e">
        <f t="shared" ref="BF25" ca="1" si="37">IF(AND(BF$5&gt;=$C25,BF$5&lt;=$E25),1,"")</f>
        <v>#N/A</v>
      </c>
      <c r="BG25" s="14" t="e">
        <f t="shared" ca="1" si="22"/>
        <v>#N/A</v>
      </c>
      <c r="BH25" s="15" t="e">
        <f t="shared" ca="1" si="22"/>
        <v>#N/A</v>
      </c>
      <c r="BI25" s="16" t="e">
        <f t="shared" ca="1" si="22"/>
        <v>#N/A</v>
      </c>
      <c r="BJ25" s="13" t="e">
        <f t="shared" ca="1" si="22"/>
        <v>#N/A</v>
      </c>
      <c r="BK25" s="14" t="e">
        <f t="shared" ca="1" si="22"/>
        <v>#N/A</v>
      </c>
      <c r="BL25" s="14" t="e">
        <f t="shared" ref="BL25:BV25" ca="1" si="38">IF(AND(BL$5&gt;=$C25,BL$5&lt;=$E25),1,"")</f>
        <v>#N/A</v>
      </c>
      <c r="BM25" s="14" t="e">
        <f t="shared" ca="1" si="38"/>
        <v>#N/A</v>
      </c>
      <c r="BN25" s="14" t="e">
        <f t="shared" ca="1" si="38"/>
        <v>#N/A</v>
      </c>
      <c r="BO25" s="15" t="e">
        <f t="shared" ca="1" si="38"/>
        <v>#N/A</v>
      </c>
      <c r="BP25" s="16" t="e">
        <f t="shared" ca="1" si="38"/>
        <v>#N/A</v>
      </c>
      <c r="BQ25" s="13" t="e">
        <f t="shared" ca="1" si="38"/>
        <v>#N/A</v>
      </c>
      <c r="BR25" s="14" t="e">
        <f t="shared" ca="1" si="38"/>
        <v>#N/A</v>
      </c>
      <c r="BS25" s="14" t="e">
        <f t="shared" ca="1" si="38"/>
        <v>#N/A</v>
      </c>
      <c r="BT25" s="14" t="e">
        <f t="shared" ca="1" si="38"/>
        <v>#N/A</v>
      </c>
      <c r="BU25" s="14" t="e">
        <f t="shared" ca="1" si="38"/>
        <v>#N/A</v>
      </c>
      <c r="BV25" s="15" t="e">
        <f t="shared" ca="1" si="38"/>
        <v>#N/A</v>
      </c>
      <c r="BW25" s="16" t="e">
        <f t="shared" ca="1" si="34"/>
        <v>#N/A</v>
      </c>
      <c r="BX25" s="13" t="e">
        <f t="shared" ca="1" si="34"/>
        <v>#N/A</v>
      </c>
      <c r="BY25" s="14" t="e">
        <f t="shared" ca="1" si="34"/>
        <v>#N/A</v>
      </c>
      <c r="BZ25" s="14" t="e">
        <f t="shared" ca="1" si="34"/>
        <v>#N/A</v>
      </c>
      <c r="CA25" s="14" t="e">
        <f t="shared" ca="1" si="34"/>
        <v>#N/A</v>
      </c>
      <c r="CB25" s="14" t="e">
        <f t="shared" ca="1" si="34"/>
        <v>#N/A</v>
      </c>
      <c r="CC25" s="15" t="e">
        <f t="shared" ca="1" si="34"/>
        <v>#N/A</v>
      </c>
      <c r="CD25" s="16" t="e">
        <f t="shared" ca="1" si="34"/>
        <v>#N/A</v>
      </c>
      <c r="CE25" s="13" t="e">
        <f t="shared" ca="1" si="34"/>
        <v>#N/A</v>
      </c>
      <c r="CF25" s="14" t="e">
        <f t="shared" ca="1" si="34"/>
        <v>#N/A</v>
      </c>
      <c r="CG25" s="14" t="e">
        <f t="shared" ca="1" si="34"/>
        <v>#N/A</v>
      </c>
      <c r="CH25" s="14" t="e">
        <f t="shared" ca="1" si="34"/>
        <v>#N/A</v>
      </c>
      <c r="CI25" s="14" t="e">
        <f t="shared" ca="1" si="34"/>
        <v>#N/A</v>
      </c>
      <c r="CJ25" s="15" t="e">
        <f t="shared" ca="1" si="34"/>
        <v>#N/A</v>
      </c>
      <c r="CK25" s="16" t="e">
        <f t="shared" ca="1" si="34"/>
        <v>#N/A</v>
      </c>
      <c r="CL25" s="13" t="e">
        <f t="shared" ca="1" si="34"/>
        <v>#N/A</v>
      </c>
      <c r="CM25" s="14" t="e">
        <f t="shared" ca="1" si="35"/>
        <v>#N/A</v>
      </c>
      <c r="CN25" s="14" t="e">
        <f t="shared" ca="1" si="35"/>
        <v>#N/A</v>
      </c>
      <c r="CO25" s="14" t="e">
        <f t="shared" ca="1" si="35"/>
        <v>#N/A</v>
      </c>
      <c r="CP25" s="14" t="e">
        <f t="shared" ca="1" si="35"/>
        <v>#N/A</v>
      </c>
      <c r="CQ25" s="15" t="e">
        <f t="shared" ca="1" si="35"/>
        <v>#N/A</v>
      </c>
      <c r="CR25" s="16" t="e">
        <f t="shared" ca="1" si="35"/>
        <v>#N/A</v>
      </c>
      <c r="CS25" s="13" t="e">
        <f t="shared" ca="1" si="35"/>
        <v>#N/A</v>
      </c>
      <c r="CT25" s="14" t="e">
        <f t="shared" ca="1" si="35"/>
        <v>#N/A</v>
      </c>
      <c r="CU25" s="14" t="e">
        <f t="shared" ca="1" si="35"/>
        <v>#N/A</v>
      </c>
      <c r="CV25" s="14" t="e">
        <f t="shared" ca="1" si="35"/>
        <v>#N/A</v>
      </c>
      <c r="CW25" s="14" t="e">
        <f t="shared" ca="1" si="35"/>
        <v>#N/A</v>
      </c>
      <c r="CX25" s="15" t="e">
        <f t="shared" ca="1" si="35"/>
        <v>#N/A</v>
      </c>
      <c r="CY25" s="16" t="e">
        <f t="shared" ca="1" si="35"/>
        <v>#N/A</v>
      </c>
      <c r="CZ25" s="13" t="e">
        <f t="shared" ca="1" si="35"/>
        <v>#N/A</v>
      </c>
      <c r="DA25" s="14" t="e">
        <f t="shared" ca="1" si="35"/>
        <v>#N/A</v>
      </c>
      <c r="DB25" s="14" t="e">
        <f t="shared" ca="1" si="35"/>
        <v>#N/A</v>
      </c>
      <c r="DC25" s="14" t="e">
        <f t="shared" ca="1" si="33"/>
        <v>#N/A</v>
      </c>
      <c r="DD25" s="14" t="e">
        <f t="shared" ca="1" si="33"/>
        <v>#N/A</v>
      </c>
      <c r="DE25" s="15" t="e">
        <f t="shared" ca="1" si="33"/>
        <v>#N/A</v>
      </c>
      <c r="DF25" s="16" t="e">
        <f t="shared" ca="1" si="33"/>
        <v>#N/A</v>
      </c>
      <c r="DG25" s="13" t="e">
        <f t="shared" ca="1" si="30"/>
        <v>#N/A</v>
      </c>
      <c r="DH25" s="14" t="e">
        <f t="shared" ca="1" si="30"/>
        <v>#N/A</v>
      </c>
      <c r="DI25" s="14" t="e">
        <f t="shared" ca="1" si="30"/>
        <v>#N/A</v>
      </c>
      <c r="DJ25" s="14" t="e">
        <f t="shared" ca="1" si="30"/>
        <v>#N/A</v>
      </c>
      <c r="DK25" s="14" t="e">
        <f t="shared" ca="1" si="30"/>
        <v>#N/A</v>
      </c>
      <c r="DL25" s="15" t="e">
        <f t="shared" ca="1" si="30"/>
        <v>#N/A</v>
      </c>
      <c r="DM25" s="16" t="e">
        <f t="shared" ca="1" si="30"/>
        <v>#N/A</v>
      </c>
      <c r="DN25" s="13" t="e">
        <f t="shared" ca="1" si="30"/>
        <v>#N/A</v>
      </c>
      <c r="DO25" s="14" t="e">
        <f t="shared" ca="1" si="30"/>
        <v>#N/A</v>
      </c>
      <c r="DP25" s="14" t="e">
        <f t="shared" ca="1" si="30"/>
        <v>#N/A</v>
      </c>
      <c r="DQ25" s="14" t="e">
        <f t="shared" ca="1" si="30"/>
        <v>#N/A</v>
      </c>
      <c r="DR25" s="14" t="e">
        <f t="shared" ca="1" si="30"/>
        <v>#N/A</v>
      </c>
      <c r="DS25" s="15" t="e">
        <f t="shared" ca="1" si="30"/>
        <v>#N/A</v>
      </c>
      <c r="DT25" s="16" t="e">
        <f t="shared" ca="1" si="30"/>
        <v>#N/A</v>
      </c>
    </row>
    <row r="26" spans="1:124" s="17" customFormat="1" ht="6" customHeight="1"/>
    <row r="27" spans="1:124" s="17" customFormat="1" ht="15" customHeight="1">
      <c r="A27" s="588" t="s">
        <v>55</v>
      </c>
      <c r="B27" s="588"/>
      <c r="C27" s="589" t="e">
        <f ca="1">C15-C11</f>
        <v>#N/A</v>
      </c>
      <c r="D27" s="589"/>
      <c r="E27" s="590"/>
      <c r="F27" s="14" t="e">
        <f t="shared" ref="F27:BQ27" ca="1" si="39">IF(AND(F$5&gt;=$C$11,F$5&lt;=$E$15-1),1,"")</f>
        <v>#N/A</v>
      </c>
      <c r="G27" s="14" t="e">
        <f t="shared" ca="1" si="39"/>
        <v>#N/A</v>
      </c>
      <c r="H27" s="14" t="e">
        <f t="shared" ca="1" si="39"/>
        <v>#N/A</v>
      </c>
      <c r="I27" s="14" t="e">
        <f t="shared" ca="1" si="39"/>
        <v>#N/A</v>
      </c>
      <c r="J27" s="14" t="e">
        <f t="shared" ca="1" si="39"/>
        <v>#N/A</v>
      </c>
      <c r="K27" s="15" t="e">
        <f t="shared" ca="1" si="39"/>
        <v>#N/A</v>
      </c>
      <c r="L27" s="16" t="e">
        <f t="shared" ca="1" si="39"/>
        <v>#N/A</v>
      </c>
      <c r="M27" s="13" t="e">
        <f t="shared" ca="1" si="39"/>
        <v>#N/A</v>
      </c>
      <c r="N27" s="14" t="e">
        <f t="shared" ca="1" si="39"/>
        <v>#N/A</v>
      </c>
      <c r="O27" s="14" t="e">
        <f t="shared" ca="1" si="39"/>
        <v>#N/A</v>
      </c>
      <c r="P27" s="14" t="e">
        <f t="shared" ca="1" si="39"/>
        <v>#N/A</v>
      </c>
      <c r="Q27" s="14" t="e">
        <f t="shared" ca="1" si="39"/>
        <v>#N/A</v>
      </c>
      <c r="R27" s="15" t="e">
        <f t="shared" ca="1" si="39"/>
        <v>#N/A</v>
      </c>
      <c r="S27" s="16" t="e">
        <f t="shared" ca="1" si="39"/>
        <v>#N/A</v>
      </c>
      <c r="T27" s="13" t="e">
        <f t="shared" ca="1" si="39"/>
        <v>#N/A</v>
      </c>
      <c r="U27" s="14" t="e">
        <f t="shared" ca="1" si="39"/>
        <v>#N/A</v>
      </c>
      <c r="V27" s="14" t="e">
        <f t="shared" ca="1" si="39"/>
        <v>#N/A</v>
      </c>
      <c r="W27" s="14" t="e">
        <f t="shared" ca="1" si="39"/>
        <v>#N/A</v>
      </c>
      <c r="X27" s="14" t="e">
        <f t="shared" ca="1" si="39"/>
        <v>#N/A</v>
      </c>
      <c r="Y27" s="15" t="e">
        <f t="shared" ca="1" si="39"/>
        <v>#N/A</v>
      </c>
      <c r="Z27" s="16" t="e">
        <f t="shared" ca="1" si="39"/>
        <v>#N/A</v>
      </c>
      <c r="AA27" s="13" t="e">
        <f t="shared" ca="1" si="39"/>
        <v>#N/A</v>
      </c>
      <c r="AB27" s="14" t="e">
        <f t="shared" ca="1" si="39"/>
        <v>#N/A</v>
      </c>
      <c r="AC27" s="14" t="e">
        <f t="shared" ca="1" si="39"/>
        <v>#N/A</v>
      </c>
      <c r="AD27" s="14" t="e">
        <f t="shared" ca="1" si="39"/>
        <v>#N/A</v>
      </c>
      <c r="AE27" s="14" t="e">
        <f t="shared" ca="1" si="39"/>
        <v>#N/A</v>
      </c>
      <c r="AF27" s="15" t="e">
        <f t="shared" ca="1" si="39"/>
        <v>#N/A</v>
      </c>
      <c r="AG27" s="16" t="e">
        <f t="shared" ca="1" si="39"/>
        <v>#N/A</v>
      </c>
      <c r="AH27" s="13" t="e">
        <f t="shared" ca="1" si="39"/>
        <v>#N/A</v>
      </c>
      <c r="AI27" s="14" t="e">
        <f t="shared" ca="1" si="39"/>
        <v>#N/A</v>
      </c>
      <c r="AJ27" s="14" t="e">
        <f t="shared" ca="1" si="39"/>
        <v>#N/A</v>
      </c>
      <c r="AK27" s="14" t="e">
        <f t="shared" ca="1" si="39"/>
        <v>#N/A</v>
      </c>
      <c r="AL27" s="14" t="e">
        <f t="shared" ca="1" si="39"/>
        <v>#N/A</v>
      </c>
      <c r="AM27" s="15" t="e">
        <f t="shared" ca="1" si="39"/>
        <v>#N/A</v>
      </c>
      <c r="AN27" s="16" t="e">
        <f t="shared" ca="1" si="39"/>
        <v>#N/A</v>
      </c>
      <c r="AO27" s="13" t="e">
        <f t="shared" ca="1" si="39"/>
        <v>#N/A</v>
      </c>
      <c r="AP27" s="14" t="e">
        <f t="shared" ca="1" si="39"/>
        <v>#N/A</v>
      </c>
      <c r="AQ27" s="14" t="e">
        <f t="shared" ca="1" si="39"/>
        <v>#N/A</v>
      </c>
      <c r="AR27" s="14" t="e">
        <f t="shared" ca="1" si="39"/>
        <v>#N/A</v>
      </c>
      <c r="AS27" s="14" t="e">
        <f t="shared" ca="1" si="39"/>
        <v>#N/A</v>
      </c>
      <c r="AT27" s="15" t="e">
        <f t="shared" ca="1" si="39"/>
        <v>#N/A</v>
      </c>
      <c r="AU27" s="16" t="e">
        <f t="shared" ca="1" si="39"/>
        <v>#N/A</v>
      </c>
      <c r="AV27" s="13" t="e">
        <f t="shared" ca="1" si="39"/>
        <v>#N/A</v>
      </c>
      <c r="AW27" s="14" t="e">
        <f t="shared" ca="1" si="39"/>
        <v>#N/A</v>
      </c>
      <c r="AX27" s="14" t="e">
        <f t="shared" ca="1" si="39"/>
        <v>#N/A</v>
      </c>
      <c r="AY27" s="14" t="e">
        <f t="shared" ca="1" si="39"/>
        <v>#N/A</v>
      </c>
      <c r="AZ27" s="14" t="e">
        <f t="shared" ca="1" si="39"/>
        <v>#N/A</v>
      </c>
      <c r="BA27" s="15" t="e">
        <f t="shared" ca="1" si="39"/>
        <v>#N/A</v>
      </c>
      <c r="BB27" s="16" t="e">
        <f t="shared" ca="1" si="39"/>
        <v>#N/A</v>
      </c>
      <c r="BC27" s="13" t="e">
        <f t="shared" ca="1" si="39"/>
        <v>#N/A</v>
      </c>
      <c r="BD27" s="14" t="e">
        <f t="shared" ca="1" si="39"/>
        <v>#N/A</v>
      </c>
      <c r="BE27" s="14" t="e">
        <f t="shared" ca="1" si="39"/>
        <v>#N/A</v>
      </c>
      <c r="BF27" s="14" t="e">
        <f t="shared" ca="1" si="39"/>
        <v>#N/A</v>
      </c>
      <c r="BG27" s="14" t="e">
        <f t="shared" ca="1" si="39"/>
        <v>#N/A</v>
      </c>
      <c r="BH27" s="15" t="e">
        <f t="shared" ca="1" si="39"/>
        <v>#N/A</v>
      </c>
      <c r="BI27" s="16" t="e">
        <f t="shared" ca="1" si="39"/>
        <v>#N/A</v>
      </c>
      <c r="BJ27" s="13" t="e">
        <f t="shared" ca="1" si="39"/>
        <v>#N/A</v>
      </c>
      <c r="BK27" s="14" t="e">
        <f t="shared" ca="1" si="39"/>
        <v>#N/A</v>
      </c>
      <c r="BL27" s="14" t="e">
        <f t="shared" ca="1" si="39"/>
        <v>#N/A</v>
      </c>
      <c r="BM27" s="14" t="e">
        <f t="shared" ca="1" si="39"/>
        <v>#N/A</v>
      </c>
      <c r="BN27" s="14" t="e">
        <f t="shared" ca="1" si="39"/>
        <v>#N/A</v>
      </c>
      <c r="BO27" s="15" t="e">
        <f t="shared" ca="1" si="39"/>
        <v>#N/A</v>
      </c>
      <c r="BP27" s="16" t="e">
        <f t="shared" ca="1" si="39"/>
        <v>#N/A</v>
      </c>
      <c r="BQ27" s="13" t="e">
        <f t="shared" ca="1" si="39"/>
        <v>#N/A</v>
      </c>
      <c r="BR27" s="14" t="e">
        <f t="shared" ref="BR27:DT27" ca="1" si="40">IF(AND(BR$5&gt;=$C$11,BR$5&lt;=$E$15-1),1,"")</f>
        <v>#N/A</v>
      </c>
      <c r="BS27" s="14" t="e">
        <f t="shared" ca="1" si="40"/>
        <v>#N/A</v>
      </c>
      <c r="BT27" s="14" t="e">
        <f t="shared" ca="1" si="40"/>
        <v>#N/A</v>
      </c>
      <c r="BU27" s="14" t="e">
        <f t="shared" ca="1" si="40"/>
        <v>#N/A</v>
      </c>
      <c r="BV27" s="15" t="e">
        <f t="shared" ca="1" si="40"/>
        <v>#N/A</v>
      </c>
      <c r="BW27" s="16" t="e">
        <f t="shared" ca="1" si="40"/>
        <v>#N/A</v>
      </c>
      <c r="BX27" s="13" t="e">
        <f t="shared" ca="1" si="40"/>
        <v>#N/A</v>
      </c>
      <c r="BY27" s="14" t="e">
        <f t="shared" ca="1" si="40"/>
        <v>#N/A</v>
      </c>
      <c r="BZ27" s="14" t="e">
        <f t="shared" ca="1" si="40"/>
        <v>#N/A</v>
      </c>
      <c r="CA27" s="14" t="e">
        <f t="shared" ca="1" si="40"/>
        <v>#N/A</v>
      </c>
      <c r="CB27" s="14" t="e">
        <f t="shared" ca="1" si="40"/>
        <v>#N/A</v>
      </c>
      <c r="CC27" s="15" t="e">
        <f t="shared" ca="1" si="40"/>
        <v>#N/A</v>
      </c>
      <c r="CD27" s="16" t="e">
        <f t="shared" ca="1" si="40"/>
        <v>#N/A</v>
      </c>
      <c r="CE27" s="13" t="e">
        <f t="shared" ca="1" si="40"/>
        <v>#N/A</v>
      </c>
      <c r="CF27" s="14" t="e">
        <f t="shared" ca="1" si="40"/>
        <v>#N/A</v>
      </c>
      <c r="CG27" s="14" t="e">
        <f t="shared" ca="1" si="40"/>
        <v>#N/A</v>
      </c>
      <c r="CH27" s="14" t="e">
        <f t="shared" ca="1" si="40"/>
        <v>#N/A</v>
      </c>
      <c r="CI27" s="14" t="e">
        <f t="shared" ca="1" si="40"/>
        <v>#N/A</v>
      </c>
      <c r="CJ27" s="15" t="e">
        <f t="shared" ca="1" si="40"/>
        <v>#N/A</v>
      </c>
      <c r="CK27" s="16" t="e">
        <f t="shared" ca="1" si="40"/>
        <v>#N/A</v>
      </c>
      <c r="CL27" s="13" t="e">
        <f t="shared" ca="1" si="40"/>
        <v>#N/A</v>
      </c>
      <c r="CM27" s="14" t="e">
        <f t="shared" ca="1" si="40"/>
        <v>#N/A</v>
      </c>
      <c r="CN27" s="14" t="e">
        <f t="shared" ca="1" si="40"/>
        <v>#N/A</v>
      </c>
      <c r="CO27" s="14" t="e">
        <f t="shared" ca="1" si="40"/>
        <v>#N/A</v>
      </c>
      <c r="CP27" s="14" t="e">
        <f t="shared" ca="1" si="40"/>
        <v>#N/A</v>
      </c>
      <c r="CQ27" s="15" t="e">
        <f t="shared" ca="1" si="40"/>
        <v>#N/A</v>
      </c>
      <c r="CR27" s="16" t="e">
        <f t="shared" ca="1" si="40"/>
        <v>#N/A</v>
      </c>
      <c r="CS27" s="13" t="e">
        <f t="shared" ca="1" si="40"/>
        <v>#N/A</v>
      </c>
      <c r="CT27" s="14" t="e">
        <f t="shared" ca="1" si="40"/>
        <v>#N/A</v>
      </c>
      <c r="CU27" s="14" t="e">
        <f t="shared" ca="1" si="40"/>
        <v>#N/A</v>
      </c>
      <c r="CV27" s="14" t="e">
        <f t="shared" ca="1" si="40"/>
        <v>#N/A</v>
      </c>
      <c r="CW27" s="14" t="e">
        <f t="shared" ca="1" si="40"/>
        <v>#N/A</v>
      </c>
      <c r="CX27" s="15" t="e">
        <f t="shared" ca="1" si="40"/>
        <v>#N/A</v>
      </c>
      <c r="CY27" s="16" t="e">
        <f t="shared" ca="1" si="40"/>
        <v>#N/A</v>
      </c>
      <c r="CZ27" s="13" t="e">
        <f t="shared" ca="1" si="40"/>
        <v>#N/A</v>
      </c>
      <c r="DA27" s="14" t="e">
        <f t="shared" ca="1" si="40"/>
        <v>#N/A</v>
      </c>
      <c r="DB27" s="14" t="e">
        <f t="shared" ca="1" si="40"/>
        <v>#N/A</v>
      </c>
      <c r="DC27" s="14" t="e">
        <f t="shared" ca="1" si="40"/>
        <v>#N/A</v>
      </c>
      <c r="DD27" s="14" t="e">
        <f t="shared" ca="1" si="40"/>
        <v>#N/A</v>
      </c>
      <c r="DE27" s="15" t="e">
        <f t="shared" ca="1" si="40"/>
        <v>#N/A</v>
      </c>
      <c r="DF27" s="16" t="e">
        <f t="shared" ca="1" si="40"/>
        <v>#N/A</v>
      </c>
      <c r="DG27" s="13" t="e">
        <f t="shared" ca="1" si="40"/>
        <v>#N/A</v>
      </c>
      <c r="DH27" s="14" t="e">
        <f t="shared" ca="1" si="40"/>
        <v>#N/A</v>
      </c>
      <c r="DI27" s="14" t="e">
        <f t="shared" ca="1" si="40"/>
        <v>#N/A</v>
      </c>
      <c r="DJ27" s="14" t="e">
        <f t="shared" ca="1" si="40"/>
        <v>#N/A</v>
      </c>
      <c r="DK27" s="14" t="e">
        <f t="shared" ca="1" si="40"/>
        <v>#N/A</v>
      </c>
      <c r="DL27" s="15" t="e">
        <f t="shared" ca="1" si="40"/>
        <v>#N/A</v>
      </c>
      <c r="DM27" s="16" t="e">
        <f t="shared" ca="1" si="40"/>
        <v>#N/A</v>
      </c>
      <c r="DN27" s="13" t="e">
        <f t="shared" ca="1" si="40"/>
        <v>#N/A</v>
      </c>
      <c r="DO27" s="14" t="e">
        <f t="shared" ca="1" si="40"/>
        <v>#N/A</v>
      </c>
      <c r="DP27" s="14" t="e">
        <f t="shared" ca="1" si="40"/>
        <v>#N/A</v>
      </c>
      <c r="DQ27" s="14" t="e">
        <f t="shared" ca="1" si="40"/>
        <v>#N/A</v>
      </c>
      <c r="DR27" s="14" t="e">
        <f t="shared" ca="1" si="40"/>
        <v>#N/A</v>
      </c>
      <c r="DS27" s="15" t="e">
        <f t="shared" ca="1" si="40"/>
        <v>#N/A</v>
      </c>
      <c r="DT27" s="16" t="e">
        <f t="shared" ca="1" si="40"/>
        <v>#N/A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97" t="s">
        <v>56</v>
      </c>
      <c r="B29" s="597"/>
      <c r="C29" s="598" t="e">
        <f ca="1">C15-C12+2</f>
        <v>#N/A</v>
      </c>
      <c r="D29" s="598"/>
      <c r="E29" s="599"/>
      <c r="F29" s="14" t="e">
        <f t="shared" ref="F29:AM29" ca="1" si="41">IF(AND(F$5&gt;=$E$11,F$5&lt;=$E$15),1,"")</f>
        <v>#N/A</v>
      </c>
      <c r="G29" s="14" t="e">
        <f t="shared" ca="1" si="41"/>
        <v>#N/A</v>
      </c>
      <c r="H29" s="14" t="e">
        <f t="shared" ca="1" si="41"/>
        <v>#N/A</v>
      </c>
      <c r="I29" s="14" t="e">
        <f t="shared" ca="1" si="41"/>
        <v>#N/A</v>
      </c>
      <c r="J29" s="14" t="e">
        <f t="shared" ca="1" si="41"/>
        <v>#N/A</v>
      </c>
      <c r="K29" s="15" t="e">
        <f t="shared" ca="1" si="41"/>
        <v>#N/A</v>
      </c>
      <c r="L29" s="16" t="e">
        <f t="shared" ca="1" si="41"/>
        <v>#N/A</v>
      </c>
      <c r="M29" s="13" t="e">
        <f t="shared" ca="1" si="41"/>
        <v>#N/A</v>
      </c>
      <c r="N29" s="14" t="e">
        <f t="shared" ca="1" si="41"/>
        <v>#N/A</v>
      </c>
      <c r="O29" s="14" t="e">
        <f t="shared" ca="1" si="41"/>
        <v>#N/A</v>
      </c>
      <c r="P29" s="14" t="e">
        <f t="shared" ca="1" si="41"/>
        <v>#N/A</v>
      </c>
      <c r="Q29" s="14" t="e">
        <f t="shared" ca="1" si="41"/>
        <v>#N/A</v>
      </c>
      <c r="R29" s="15" t="e">
        <f t="shared" ca="1" si="41"/>
        <v>#N/A</v>
      </c>
      <c r="S29" s="16" t="e">
        <f t="shared" ca="1" si="41"/>
        <v>#N/A</v>
      </c>
      <c r="T29" s="13" t="e">
        <f t="shared" ca="1" si="41"/>
        <v>#N/A</v>
      </c>
      <c r="U29" s="14" t="e">
        <f t="shared" ca="1" si="41"/>
        <v>#N/A</v>
      </c>
      <c r="V29" s="14" t="e">
        <f t="shared" ca="1" si="41"/>
        <v>#N/A</v>
      </c>
      <c r="W29" s="14" t="e">
        <f t="shared" ca="1" si="41"/>
        <v>#N/A</v>
      </c>
      <c r="X29" s="14" t="e">
        <f t="shared" ca="1" si="41"/>
        <v>#N/A</v>
      </c>
      <c r="Y29" s="15" t="e">
        <f t="shared" ca="1" si="41"/>
        <v>#N/A</v>
      </c>
      <c r="Z29" s="16" t="e">
        <f t="shared" ca="1" si="41"/>
        <v>#N/A</v>
      </c>
      <c r="AA29" s="13" t="e">
        <f t="shared" ca="1" si="41"/>
        <v>#N/A</v>
      </c>
      <c r="AB29" s="14" t="e">
        <f t="shared" ca="1" si="41"/>
        <v>#N/A</v>
      </c>
      <c r="AC29" s="14" t="e">
        <f t="shared" ca="1" si="41"/>
        <v>#N/A</v>
      </c>
      <c r="AD29" s="14" t="e">
        <f t="shared" ca="1" si="41"/>
        <v>#N/A</v>
      </c>
      <c r="AE29" s="14" t="e">
        <f t="shared" ca="1" si="41"/>
        <v>#N/A</v>
      </c>
      <c r="AF29" s="15" t="e">
        <f t="shared" ca="1" si="41"/>
        <v>#N/A</v>
      </c>
      <c r="AG29" s="16" t="e">
        <f t="shared" ca="1" si="41"/>
        <v>#N/A</v>
      </c>
      <c r="AH29" s="13" t="e">
        <f t="shared" ca="1" si="41"/>
        <v>#N/A</v>
      </c>
      <c r="AI29" s="14" t="e">
        <f t="shared" ca="1" si="41"/>
        <v>#N/A</v>
      </c>
      <c r="AJ29" s="14" t="e">
        <f t="shared" ca="1" si="41"/>
        <v>#N/A</v>
      </c>
      <c r="AK29" s="14" t="e">
        <f t="shared" ca="1" si="41"/>
        <v>#N/A</v>
      </c>
      <c r="AL29" s="14" t="e">
        <f t="shared" ca="1" si="41"/>
        <v>#N/A</v>
      </c>
      <c r="AM29" s="15" t="e">
        <f t="shared" ca="1" si="41"/>
        <v>#N/A</v>
      </c>
      <c r="AN29" s="16" t="e">
        <f ca="1">IF(AND(AN$5&gt;=$E$11,AN$5&lt;=$E$15),1,"")</f>
        <v>#N/A</v>
      </c>
      <c r="AO29" s="13" t="e">
        <f t="shared" ref="AO29:CZ29" ca="1" si="42">IF(AND(AO$5&gt;=$E$11,AO$5&lt;=$E$15),1,"")</f>
        <v>#N/A</v>
      </c>
      <c r="AP29" s="14" t="e">
        <f t="shared" ca="1" si="42"/>
        <v>#N/A</v>
      </c>
      <c r="AQ29" s="14" t="e">
        <f t="shared" ca="1" si="42"/>
        <v>#N/A</v>
      </c>
      <c r="AR29" s="14" t="e">
        <f t="shared" ca="1" si="42"/>
        <v>#N/A</v>
      </c>
      <c r="AS29" s="14" t="e">
        <f t="shared" ca="1" si="42"/>
        <v>#N/A</v>
      </c>
      <c r="AT29" s="15" t="e">
        <f t="shared" ca="1" si="42"/>
        <v>#N/A</v>
      </c>
      <c r="AU29" s="16" t="e">
        <f t="shared" ca="1" si="42"/>
        <v>#N/A</v>
      </c>
      <c r="AV29" s="13" t="e">
        <f t="shared" ca="1" si="42"/>
        <v>#N/A</v>
      </c>
      <c r="AW29" s="14" t="e">
        <f t="shared" ca="1" si="42"/>
        <v>#N/A</v>
      </c>
      <c r="AX29" s="14" t="e">
        <f t="shared" ca="1" si="42"/>
        <v>#N/A</v>
      </c>
      <c r="AY29" s="14" t="e">
        <f t="shared" ca="1" si="42"/>
        <v>#N/A</v>
      </c>
      <c r="AZ29" s="14" t="e">
        <f t="shared" ca="1" si="42"/>
        <v>#N/A</v>
      </c>
      <c r="BA29" s="15" t="e">
        <f t="shared" ca="1" si="42"/>
        <v>#N/A</v>
      </c>
      <c r="BB29" s="16" t="e">
        <f t="shared" ca="1" si="42"/>
        <v>#N/A</v>
      </c>
      <c r="BC29" s="13" t="e">
        <f t="shared" ca="1" si="42"/>
        <v>#N/A</v>
      </c>
      <c r="BD29" s="14" t="e">
        <f t="shared" ca="1" si="42"/>
        <v>#N/A</v>
      </c>
      <c r="BE29" s="14" t="e">
        <f t="shared" ca="1" si="42"/>
        <v>#N/A</v>
      </c>
      <c r="BF29" s="14" t="e">
        <f t="shared" ca="1" si="42"/>
        <v>#N/A</v>
      </c>
      <c r="BG29" s="14" t="e">
        <f t="shared" ca="1" si="42"/>
        <v>#N/A</v>
      </c>
      <c r="BH29" s="15" t="e">
        <f t="shared" ca="1" si="42"/>
        <v>#N/A</v>
      </c>
      <c r="BI29" s="16" t="e">
        <f t="shared" ca="1" si="42"/>
        <v>#N/A</v>
      </c>
      <c r="BJ29" s="13" t="e">
        <f t="shared" ca="1" si="42"/>
        <v>#N/A</v>
      </c>
      <c r="BK29" s="14" t="e">
        <f t="shared" ca="1" si="42"/>
        <v>#N/A</v>
      </c>
      <c r="BL29" s="14" t="e">
        <f t="shared" ca="1" si="42"/>
        <v>#N/A</v>
      </c>
      <c r="BM29" s="14" t="e">
        <f t="shared" ca="1" si="42"/>
        <v>#N/A</v>
      </c>
      <c r="BN29" s="14" t="e">
        <f t="shared" ca="1" si="42"/>
        <v>#N/A</v>
      </c>
      <c r="BO29" s="15" t="e">
        <f t="shared" ca="1" si="42"/>
        <v>#N/A</v>
      </c>
      <c r="BP29" s="16" t="e">
        <f t="shared" ca="1" si="42"/>
        <v>#N/A</v>
      </c>
      <c r="BQ29" s="13" t="e">
        <f t="shared" ca="1" si="42"/>
        <v>#N/A</v>
      </c>
      <c r="BR29" s="14" t="e">
        <f t="shared" ca="1" si="42"/>
        <v>#N/A</v>
      </c>
      <c r="BS29" s="14" t="e">
        <f t="shared" ca="1" si="42"/>
        <v>#N/A</v>
      </c>
      <c r="BT29" s="14" t="e">
        <f t="shared" ca="1" si="42"/>
        <v>#N/A</v>
      </c>
      <c r="BU29" s="14" t="e">
        <f t="shared" ca="1" si="42"/>
        <v>#N/A</v>
      </c>
      <c r="BV29" s="15" t="e">
        <f t="shared" ca="1" si="42"/>
        <v>#N/A</v>
      </c>
      <c r="BW29" s="16" t="e">
        <f t="shared" ca="1" si="42"/>
        <v>#N/A</v>
      </c>
      <c r="BX29" s="13" t="e">
        <f t="shared" ca="1" si="42"/>
        <v>#N/A</v>
      </c>
      <c r="BY29" s="14" t="e">
        <f t="shared" ca="1" si="42"/>
        <v>#N/A</v>
      </c>
      <c r="BZ29" s="14" t="e">
        <f t="shared" ca="1" si="42"/>
        <v>#N/A</v>
      </c>
      <c r="CA29" s="14" t="e">
        <f t="shared" ca="1" si="42"/>
        <v>#N/A</v>
      </c>
      <c r="CB29" s="14" t="e">
        <f t="shared" ca="1" si="42"/>
        <v>#N/A</v>
      </c>
      <c r="CC29" s="15" t="e">
        <f t="shared" ca="1" si="42"/>
        <v>#N/A</v>
      </c>
      <c r="CD29" s="16" t="e">
        <f t="shared" ca="1" si="42"/>
        <v>#N/A</v>
      </c>
      <c r="CE29" s="13" t="e">
        <f t="shared" ca="1" si="42"/>
        <v>#N/A</v>
      </c>
      <c r="CF29" s="14" t="e">
        <f t="shared" ca="1" si="42"/>
        <v>#N/A</v>
      </c>
      <c r="CG29" s="14" t="e">
        <f t="shared" ca="1" si="42"/>
        <v>#N/A</v>
      </c>
      <c r="CH29" s="14" t="e">
        <f t="shared" ca="1" si="42"/>
        <v>#N/A</v>
      </c>
      <c r="CI29" s="14" t="e">
        <f t="shared" ca="1" si="42"/>
        <v>#N/A</v>
      </c>
      <c r="CJ29" s="15" t="e">
        <f t="shared" ca="1" si="42"/>
        <v>#N/A</v>
      </c>
      <c r="CK29" s="16" t="e">
        <f t="shared" ca="1" si="42"/>
        <v>#N/A</v>
      </c>
      <c r="CL29" s="13" t="e">
        <f t="shared" ca="1" si="42"/>
        <v>#N/A</v>
      </c>
      <c r="CM29" s="14" t="e">
        <f t="shared" ca="1" si="42"/>
        <v>#N/A</v>
      </c>
      <c r="CN29" s="14" t="e">
        <f t="shared" ca="1" si="42"/>
        <v>#N/A</v>
      </c>
      <c r="CO29" s="14" t="e">
        <f t="shared" ca="1" si="42"/>
        <v>#N/A</v>
      </c>
      <c r="CP29" s="14" t="e">
        <f t="shared" ca="1" si="42"/>
        <v>#N/A</v>
      </c>
      <c r="CQ29" s="15" t="e">
        <f t="shared" ca="1" si="42"/>
        <v>#N/A</v>
      </c>
      <c r="CR29" s="16" t="e">
        <f t="shared" ca="1" si="42"/>
        <v>#N/A</v>
      </c>
      <c r="CS29" s="13" t="e">
        <f t="shared" ca="1" si="42"/>
        <v>#N/A</v>
      </c>
      <c r="CT29" s="14" t="e">
        <f t="shared" ca="1" si="42"/>
        <v>#N/A</v>
      </c>
      <c r="CU29" s="14" t="e">
        <f t="shared" ca="1" si="42"/>
        <v>#N/A</v>
      </c>
      <c r="CV29" s="14" t="e">
        <f t="shared" ca="1" si="42"/>
        <v>#N/A</v>
      </c>
      <c r="CW29" s="14" t="e">
        <f t="shared" ca="1" si="42"/>
        <v>#N/A</v>
      </c>
      <c r="CX29" s="15" t="e">
        <f t="shared" ca="1" si="42"/>
        <v>#N/A</v>
      </c>
      <c r="CY29" s="16" t="e">
        <f t="shared" ca="1" si="42"/>
        <v>#N/A</v>
      </c>
      <c r="CZ29" s="13" t="e">
        <f t="shared" ca="1" si="42"/>
        <v>#N/A</v>
      </c>
      <c r="DA29" s="14" t="e">
        <f t="shared" ref="DA29:DT29" ca="1" si="43">IF(AND(DA$5&gt;=$E$11,DA$5&lt;=$E$15),1,"")</f>
        <v>#N/A</v>
      </c>
      <c r="DB29" s="14" t="e">
        <f t="shared" ca="1" si="43"/>
        <v>#N/A</v>
      </c>
      <c r="DC29" s="14" t="e">
        <f t="shared" ca="1" si="43"/>
        <v>#N/A</v>
      </c>
      <c r="DD29" s="14" t="e">
        <f t="shared" ca="1" si="43"/>
        <v>#N/A</v>
      </c>
      <c r="DE29" s="15" t="e">
        <f t="shared" ca="1" si="43"/>
        <v>#N/A</v>
      </c>
      <c r="DF29" s="16" t="e">
        <f t="shared" ca="1" si="43"/>
        <v>#N/A</v>
      </c>
      <c r="DG29" s="13" t="e">
        <f t="shared" ca="1" si="43"/>
        <v>#N/A</v>
      </c>
      <c r="DH29" s="14" t="e">
        <f t="shared" ca="1" si="43"/>
        <v>#N/A</v>
      </c>
      <c r="DI29" s="14" t="e">
        <f t="shared" ca="1" si="43"/>
        <v>#N/A</v>
      </c>
      <c r="DJ29" s="14" t="e">
        <f t="shared" ca="1" si="43"/>
        <v>#N/A</v>
      </c>
      <c r="DK29" s="14" t="e">
        <f t="shared" ca="1" si="43"/>
        <v>#N/A</v>
      </c>
      <c r="DL29" s="15" t="e">
        <f t="shared" ca="1" si="43"/>
        <v>#N/A</v>
      </c>
      <c r="DM29" s="16" t="e">
        <f t="shared" ca="1" si="43"/>
        <v>#N/A</v>
      </c>
      <c r="DN29" s="13" t="e">
        <f t="shared" ca="1" si="43"/>
        <v>#N/A</v>
      </c>
      <c r="DO29" s="14" t="e">
        <f t="shared" ca="1" si="43"/>
        <v>#N/A</v>
      </c>
      <c r="DP29" s="14" t="e">
        <f t="shared" ca="1" si="43"/>
        <v>#N/A</v>
      </c>
      <c r="DQ29" s="14" t="e">
        <f t="shared" ca="1" si="43"/>
        <v>#N/A</v>
      </c>
      <c r="DR29" s="14" t="e">
        <f t="shared" ca="1" si="43"/>
        <v>#N/A</v>
      </c>
      <c r="DS29" s="15" t="e">
        <f t="shared" ca="1" si="43"/>
        <v>#N/A</v>
      </c>
      <c r="DT29" s="16" t="e">
        <f t="shared" ca="1" si="43"/>
        <v>#N/A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600" t="s">
        <v>57</v>
      </c>
      <c r="B31" s="600"/>
      <c r="C31" s="601" t="e">
        <f ca="1">E17-C16+1</f>
        <v>#N/A</v>
      </c>
      <c r="D31" s="601"/>
      <c r="E31" s="602"/>
      <c r="F31" s="14" t="e">
        <f t="shared" ref="F31:AJ31" ca="1" si="44">IF(AND(F$5&gt;=$C$16,F$5&lt;=$E$17),1,"")</f>
        <v>#N/A</v>
      </c>
      <c r="G31" s="14" t="e">
        <f t="shared" ca="1" si="44"/>
        <v>#N/A</v>
      </c>
      <c r="H31" s="14" t="e">
        <f t="shared" ca="1" si="44"/>
        <v>#N/A</v>
      </c>
      <c r="I31" s="14" t="e">
        <f t="shared" ca="1" si="44"/>
        <v>#N/A</v>
      </c>
      <c r="J31" s="14" t="e">
        <f t="shared" ca="1" si="44"/>
        <v>#N/A</v>
      </c>
      <c r="K31" s="15" t="e">
        <f t="shared" ca="1" si="44"/>
        <v>#N/A</v>
      </c>
      <c r="L31" s="16" t="e">
        <f t="shared" ca="1" si="44"/>
        <v>#N/A</v>
      </c>
      <c r="M31" s="13" t="e">
        <f t="shared" ca="1" si="44"/>
        <v>#N/A</v>
      </c>
      <c r="N31" s="14" t="e">
        <f t="shared" ca="1" si="44"/>
        <v>#N/A</v>
      </c>
      <c r="O31" s="14" t="e">
        <f t="shared" ca="1" si="44"/>
        <v>#N/A</v>
      </c>
      <c r="P31" s="14" t="e">
        <f t="shared" ca="1" si="44"/>
        <v>#N/A</v>
      </c>
      <c r="Q31" s="14" t="e">
        <f t="shared" ca="1" si="44"/>
        <v>#N/A</v>
      </c>
      <c r="R31" s="15" t="e">
        <f t="shared" ca="1" si="44"/>
        <v>#N/A</v>
      </c>
      <c r="S31" s="16" t="e">
        <f t="shared" ca="1" si="44"/>
        <v>#N/A</v>
      </c>
      <c r="T31" s="13" t="e">
        <f t="shared" ca="1" si="44"/>
        <v>#N/A</v>
      </c>
      <c r="U31" s="14" t="e">
        <f t="shared" ca="1" si="44"/>
        <v>#N/A</v>
      </c>
      <c r="V31" s="14" t="e">
        <f t="shared" ca="1" si="44"/>
        <v>#N/A</v>
      </c>
      <c r="W31" s="14" t="e">
        <f t="shared" ca="1" si="44"/>
        <v>#N/A</v>
      </c>
      <c r="X31" s="14" t="e">
        <f t="shared" ca="1" si="44"/>
        <v>#N/A</v>
      </c>
      <c r="Y31" s="15" t="e">
        <f t="shared" ca="1" si="44"/>
        <v>#N/A</v>
      </c>
      <c r="Z31" s="16" t="e">
        <f t="shared" ca="1" si="44"/>
        <v>#N/A</v>
      </c>
      <c r="AA31" s="13" t="e">
        <f t="shared" ca="1" si="44"/>
        <v>#N/A</v>
      </c>
      <c r="AB31" s="14" t="e">
        <f t="shared" ca="1" si="44"/>
        <v>#N/A</v>
      </c>
      <c r="AC31" s="14" t="e">
        <f t="shared" ca="1" si="44"/>
        <v>#N/A</v>
      </c>
      <c r="AD31" s="14" t="e">
        <f t="shared" ca="1" si="44"/>
        <v>#N/A</v>
      </c>
      <c r="AE31" s="14" t="e">
        <f t="shared" ca="1" si="44"/>
        <v>#N/A</v>
      </c>
      <c r="AF31" s="15" t="e">
        <f t="shared" ca="1" si="44"/>
        <v>#N/A</v>
      </c>
      <c r="AG31" s="16" t="e">
        <f t="shared" ca="1" si="44"/>
        <v>#N/A</v>
      </c>
      <c r="AH31" s="13" t="e">
        <f t="shared" ca="1" si="44"/>
        <v>#N/A</v>
      </c>
      <c r="AI31" s="14" t="e">
        <f t="shared" ca="1" si="44"/>
        <v>#N/A</v>
      </c>
      <c r="AJ31" s="14" t="e">
        <f t="shared" ca="1" si="44"/>
        <v>#N/A</v>
      </c>
      <c r="AK31" s="14" t="e">
        <f ca="1">IF(AND(AK$5&gt;=$C$16,AK$5&lt;=$E$17),1,"")</f>
        <v>#N/A</v>
      </c>
      <c r="AL31" s="14" t="e">
        <f t="shared" ref="AL31:CW31" ca="1" si="45">IF(AND(AL$5&gt;=$C$16,AL$5&lt;=$E$17),1,"")</f>
        <v>#N/A</v>
      </c>
      <c r="AM31" s="15" t="e">
        <f t="shared" ca="1" si="45"/>
        <v>#N/A</v>
      </c>
      <c r="AN31" s="16" t="e">
        <f t="shared" ca="1" si="45"/>
        <v>#N/A</v>
      </c>
      <c r="AO31" s="13" t="e">
        <f t="shared" ca="1" si="45"/>
        <v>#N/A</v>
      </c>
      <c r="AP31" s="14" t="e">
        <f t="shared" ca="1" si="45"/>
        <v>#N/A</v>
      </c>
      <c r="AQ31" s="14" t="e">
        <f t="shared" ca="1" si="45"/>
        <v>#N/A</v>
      </c>
      <c r="AR31" s="14" t="e">
        <f t="shared" ca="1" si="45"/>
        <v>#N/A</v>
      </c>
      <c r="AS31" s="14" t="e">
        <f t="shared" ca="1" si="45"/>
        <v>#N/A</v>
      </c>
      <c r="AT31" s="15" t="e">
        <f t="shared" ca="1" si="45"/>
        <v>#N/A</v>
      </c>
      <c r="AU31" s="16" t="e">
        <f t="shared" ca="1" si="45"/>
        <v>#N/A</v>
      </c>
      <c r="AV31" s="13" t="e">
        <f t="shared" ca="1" si="45"/>
        <v>#N/A</v>
      </c>
      <c r="AW31" s="14" t="e">
        <f t="shared" ca="1" si="45"/>
        <v>#N/A</v>
      </c>
      <c r="AX31" s="14" t="e">
        <f t="shared" ca="1" si="45"/>
        <v>#N/A</v>
      </c>
      <c r="AY31" s="14" t="e">
        <f t="shared" ca="1" si="45"/>
        <v>#N/A</v>
      </c>
      <c r="AZ31" s="14" t="e">
        <f t="shared" ca="1" si="45"/>
        <v>#N/A</v>
      </c>
      <c r="BA31" s="15" t="e">
        <f t="shared" ca="1" si="45"/>
        <v>#N/A</v>
      </c>
      <c r="BB31" s="16" t="e">
        <f t="shared" ca="1" si="45"/>
        <v>#N/A</v>
      </c>
      <c r="BC31" s="13" t="e">
        <f t="shared" ca="1" si="45"/>
        <v>#N/A</v>
      </c>
      <c r="BD31" s="14" t="e">
        <f t="shared" ca="1" si="45"/>
        <v>#N/A</v>
      </c>
      <c r="BE31" s="14" t="e">
        <f t="shared" ca="1" si="45"/>
        <v>#N/A</v>
      </c>
      <c r="BF31" s="14" t="e">
        <f t="shared" ca="1" si="45"/>
        <v>#N/A</v>
      </c>
      <c r="BG31" s="14" t="e">
        <f t="shared" ca="1" si="45"/>
        <v>#N/A</v>
      </c>
      <c r="BH31" s="15" t="e">
        <f t="shared" ca="1" si="45"/>
        <v>#N/A</v>
      </c>
      <c r="BI31" s="16" t="e">
        <f t="shared" ca="1" si="45"/>
        <v>#N/A</v>
      </c>
      <c r="BJ31" s="13" t="e">
        <f t="shared" ca="1" si="45"/>
        <v>#N/A</v>
      </c>
      <c r="BK31" s="14" t="e">
        <f t="shared" ca="1" si="45"/>
        <v>#N/A</v>
      </c>
      <c r="BL31" s="14" t="e">
        <f t="shared" ca="1" si="45"/>
        <v>#N/A</v>
      </c>
      <c r="BM31" s="14" t="e">
        <f t="shared" ca="1" si="45"/>
        <v>#N/A</v>
      </c>
      <c r="BN31" s="14" t="e">
        <f t="shared" ca="1" si="45"/>
        <v>#N/A</v>
      </c>
      <c r="BO31" s="15" t="e">
        <f t="shared" ca="1" si="45"/>
        <v>#N/A</v>
      </c>
      <c r="BP31" s="16" t="e">
        <f t="shared" ca="1" si="45"/>
        <v>#N/A</v>
      </c>
      <c r="BQ31" s="13" t="e">
        <f t="shared" ca="1" si="45"/>
        <v>#N/A</v>
      </c>
      <c r="BR31" s="14" t="e">
        <f t="shared" ca="1" si="45"/>
        <v>#N/A</v>
      </c>
      <c r="BS31" s="14" t="e">
        <f t="shared" ca="1" si="45"/>
        <v>#N/A</v>
      </c>
      <c r="BT31" s="14" t="e">
        <f t="shared" ca="1" si="45"/>
        <v>#N/A</v>
      </c>
      <c r="BU31" s="14" t="e">
        <f t="shared" ca="1" si="45"/>
        <v>#N/A</v>
      </c>
      <c r="BV31" s="15" t="e">
        <f t="shared" ca="1" si="45"/>
        <v>#N/A</v>
      </c>
      <c r="BW31" s="16" t="e">
        <f t="shared" ca="1" si="45"/>
        <v>#N/A</v>
      </c>
      <c r="BX31" s="13" t="e">
        <f t="shared" ca="1" si="45"/>
        <v>#N/A</v>
      </c>
      <c r="BY31" s="14" t="e">
        <f t="shared" ca="1" si="45"/>
        <v>#N/A</v>
      </c>
      <c r="BZ31" s="14" t="e">
        <f t="shared" ca="1" si="45"/>
        <v>#N/A</v>
      </c>
      <c r="CA31" s="14" t="e">
        <f t="shared" ca="1" si="45"/>
        <v>#N/A</v>
      </c>
      <c r="CB31" s="14" t="e">
        <f t="shared" ca="1" si="45"/>
        <v>#N/A</v>
      </c>
      <c r="CC31" s="15" t="e">
        <f t="shared" ca="1" si="45"/>
        <v>#N/A</v>
      </c>
      <c r="CD31" s="16" t="e">
        <f t="shared" ca="1" si="45"/>
        <v>#N/A</v>
      </c>
      <c r="CE31" s="13" t="e">
        <f t="shared" ca="1" si="45"/>
        <v>#N/A</v>
      </c>
      <c r="CF31" s="14" t="e">
        <f t="shared" ca="1" si="45"/>
        <v>#N/A</v>
      </c>
      <c r="CG31" s="14" t="e">
        <f t="shared" ca="1" si="45"/>
        <v>#N/A</v>
      </c>
      <c r="CH31" s="14" t="e">
        <f t="shared" ca="1" si="45"/>
        <v>#N/A</v>
      </c>
      <c r="CI31" s="14" t="e">
        <f t="shared" ca="1" si="45"/>
        <v>#N/A</v>
      </c>
      <c r="CJ31" s="15" t="e">
        <f t="shared" ca="1" si="45"/>
        <v>#N/A</v>
      </c>
      <c r="CK31" s="16" t="e">
        <f t="shared" ca="1" si="45"/>
        <v>#N/A</v>
      </c>
      <c r="CL31" s="13" t="e">
        <f t="shared" ca="1" si="45"/>
        <v>#N/A</v>
      </c>
      <c r="CM31" s="14" t="e">
        <f t="shared" ca="1" si="45"/>
        <v>#N/A</v>
      </c>
      <c r="CN31" s="14" t="e">
        <f t="shared" ca="1" si="45"/>
        <v>#N/A</v>
      </c>
      <c r="CO31" s="14" t="e">
        <f t="shared" ca="1" si="45"/>
        <v>#N/A</v>
      </c>
      <c r="CP31" s="14" t="e">
        <f t="shared" ca="1" si="45"/>
        <v>#N/A</v>
      </c>
      <c r="CQ31" s="15" t="e">
        <f t="shared" ca="1" si="45"/>
        <v>#N/A</v>
      </c>
      <c r="CR31" s="16" t="e">
        <f t="shared" ca="1" si="45"/>
        <v>#N/A</v>
      </c>
      <c r="CS31" s="13" t="e">
        <f t="shared" ca="1" si="45"/>
        <v>#N/A</v>
      </c>
      <c r="CT31" s="14" t="e">
        <f t="shared" ca="1" si="45"/>
        <v>#N/A</v>
      </c>
      <c r="CU31" s="14" t="e">
        <f t="shared" ca="1" si="45"/>
        <v>#N/A</v>
      </c>
      <c r="CV31" s="14" t="e">
        <f t="shared" ca="1" si="45"/>
        <v>#N/A</v>
      </c>
      <c r="CW31" s="14" t="e">
        <f t="shared" ca="1" si="45"/>
        <v>#N/A</v>
      </c>
      <c r="CX31" s="15" t="e">
        <f t="shared" ref="CX31:DT31" ca="1" si="46">IF(AND(CX$5&gt;=$C$16,CX$5&lt;=$E$17),1,"")</f>
        <v>#N/A</v>
      </c>
      <c r="CY31" s="16" t="e">
        <f t="shared" ca="1" si="46"/>
        <v>#N/A</v>
      </c>
      <c r="CZ31" s="13" t="e">
        <f t="shared" ca="1" si="46"/>
        <v>#N/A</v>
      </c>
      <c r="DA31" s="14" t="e">
        <f t="shared" ca="1" si="46"/>
        <v>#N/A</v>
      </c>
      <c r="DB31" s="14" t="e">
        <f t="shared" ca="1" si="46"/>
        <v>#N/A</v>
      </c>
      <c r="DC31" s="14" t="e">
        <f t="shared" ca="1" si="46"/>
        <v>#N/A</v>
      </c>
      <c r="DD31" s="14" t="e">
        <f t="shared" ca="1" si="46"/>
        <v>#N/A</v>
      </c>
      <c r="DE31" s="15" t="e">
        <f t="shared" ca="1" si="46"/>
        <v>#N/A</v>
      </c>
      <c r="DF31" s="16" t="e">
        <f t="shared" ca="1" si="46"/>
        <v>#N/A</v>
      </c>
      <c r="DG31" s="13" t="e">
        <f t="shared" ca="1" si="46"/>
        <v>#N/A</v>
      </c>
      <c r="DH31" s="14" t="e">
        <f t="shared" ca="1" si="46"/>
        <v>#N/A</v>
      </c>
      <c r="DI31" s="14" t="e">
        <f t="shared" ca="1" si="46"/>
        <v>#N/A</v>
      </c>
      <c r="DJ31" s="14" t="e">
        <f t="shared" ca="1" si="46"/>
        <v>#N/A</v>
      </c>
      <c r="DK31" s="14" t="e">
        <f t="shared" ca="1" si="46"/>
        <v>#N/A</v>
      </c>
      <c r="DL31" s="15" t="e">
        <f t="shared" ca="1" si="46"/>
        <v>#N/A</v>
      </c>
      <c r="DM31" s="16" t="e">
        <f t="shared" ca="1" si="46"/>
        <v>#N/A</v>
      </c>
      <c r="DN31" s="13" t="e">
        <f t="shared" ca="1" si="46"/>
        <v>#N/A</v>
      </c>
      <c r="DO31" s="14" t="e">
        <f t="shared" ca="1" si="46"/>
        <v>#N/A</v>
      </c>
      <c r="DP31" s="14" t="e">
        <f t="shared" ca="1" si="46"/>
        <v>#N/A</v>
      </c>
      <c r="DQ31" s="14" t="e">
        <f t="shared" ca="1" si="46"/>
        <v>#N/A</v>
      </c>
      <c r="DR31" s="14" t="e">
        <f t="shared" ca="1" si="46"/>
        <v>#N/A</v>
      </c>
      <c r="DS31" s="15" t="e">
        <f t="shared" ca="1" si="46"/>
        <v>#N/A</v>
      </c>
      <c r="DT31" s="16" t="e">
        <f t="shared" ca="1" si="46"/>
        <v>#N/A</v>
      </c>
    </row>
    <row r="32" spans="1:124" s="17" customFormat="1" ht="2.1" customHeight="1">
      <c r="A32" s="478"/>
      <c r="B32" s="478"/>
      <c r="C32" s="479"/>
      <c r="D32" s="479"/>
      <c r="E32" s="480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603" t="s">
        <v>58</v>
      </c>
      <c r="B33" s="603"/>
      <c r="C33" s="604" t="e">
        <f ca="1">E23-C11+1</f>
        <v>#N/A</v>
      </c>
      <c r="D33" s="604"/>
      <c r="E33" s="605"/>
      <c r="F33" s="14" t="e">
        <f t="shared" ref="F33:BQ33" ca="1" si="47">IF(AND(F$5&gt;=$C$11,F$5&lt;=$E$23),1,"")</f>
        <v>#N/A</v>
      </c>
      <c r="G33" s="14" t="e">
        <f t="shared" ca="1" si="47"/>
        <v>#N/A</v>
      </c>
      <c r="H33" s="14" t="e">
        <f t="shared" ca="1" si="47"/>
        <v>#N/A</v>
      </c>
      <c r="I33" s="14" t="e">
        <f t="shared" ca="1" si="47"/>
        <v>#N/A</v>
      </c>
      <c r="J33" s="14" t="e">
        <f t="shared" ca="1" si="47"/>
        <v>#N/A</v>
      </c>
      <c r="K33" s="15" t="e">
        <f t="shared" ca="1" si="47"/>
        <v>#N/A</v>
      </c>
      <c r="L33" s="16" t="e">
        <f t="shared" ca="1" si="47"/>
        <v>#N/A</v>
      </c>
      <c r="M33" s="13" t="e">
        <f t="shared" ca="1" si="47"/>
        <v>#N/A</v>
      </c>
      <c r="N33" s="14" t="e">
        <f t="shared" ca="1" si="47"/>
        <v>#N/A</v>
      </c>
      <c r="O33" s="14" t="e">
        <f t="shared" ca="1" si="47"/>
        <v>#N/A</v>
      </c>
      <c r="P33" s="14" t="e">
        <f t="shared" ca="1" si="47"/>
        <v>#N/A</v>
      </c>
      <c r="Q33" s="14" t="e">
        <f t="shared" ca="1" si="47"/>
        <v>#N/A</v>
      </c>
      <c r="R33" s="15" t="e">
        <f t="shared" ca="1" si="47"/>
        <v>#N/A</v>
      </c>
      <c r="S33" s="16" t="e">
        <f t="shared" ca="1" si="47"/>
        <v>#N/A</v>
      </c>
      <c r="T33" s="13" t="e">
        <f t="shared" ca="1" si="47"/>
        <v>#N/A</v>
      </c>
      <c r="U33" s="14" t="e">
        <f t="shared" ca="1" si="47"/>
        <v>#N/A</v>
      </c>
      <c r="V33" s="14" t="e">
        <f t="shared" ca="1" si="47"/>
        <v>#N/A</v>
      </c>
      <c r="W33" s="14" t="e">
        <f t="shared" ca="1" si="47"/>
        <v>#N/A</v>
      </c>
      <c r="X33" s="14" t="e">
        <f t="shared" ca="1" si="47"/>
        <v>#N/A</v>
      </c>
      <c r="Y33" s="15" t="e">
        <f t="shared" ca="1" si="47"/>
        <v>#N/A</v>
      </c>
      <c r="Z33" s="16" t="e">
        <f t="shared" ca="1" si="47"/>
        <v>#N/A</v>
      </c>
      <c r="AA33" s="13" t="e">
        <f t="shared" ca="1" si="47"/>
        <v>#N/A</v>
      </c>
      <c r="AB33" s="14" t="e">
        <f t="shared" ca="1" si="47"/>
        <v>#N/A</v>
      </c>
      <c r="AC33" s="14" t="e">
        <f t="shared" ca="1" si="47"/>
        <v>#N/A</v>
      </c>
      <c r="AD33" s="14" t="e">
        <f t="shared" ca="1" si="47"/>
        <v>#N/A</v>
      </c>
      <c r="AE33" s="14" t="e">
        <f t="shared" ca="1" si="47"/>
        <v>#N/A</v>
      </c>
      <c r="AF33" s="15" t="e">
        <f t="shared" ca="1" si="47"/>
        <v>#N/A</v>
      </c>
      <c r="AG33" s="16" t="e">
        <f t="shared" ca="1" si="47"/>
        <v>#N/A</v>
      </c>
      <c r="AH33" s="13" t="e">
        <f t="shared" ca="1" si="47"/>
        <v>#N/A</v>
      </c>
      <c r="AI33" s="14" t="e">
        <f t="shared" ca="1" si="47"/>
        <v>#N/A</v>
      </c>
      <c r="AJ33" s="14" t="e">
        <f t="shared" ca="1" si="47"/>
        <v>#N/A</v>
      </c>
      <c r="AK33" s="14" t="e">
        <f t="shared" ca="1" si="47"/>
        <v>#N/A</v>
      </c>
      <c r="AL33" s="14" t="e">
        <f t="shared" ca="1" si="47"/>
        <v>#N/A</v>
      </c>
      <c r="AM33" s="15" t="e">
        <f t="shared" ca="1" si="47"/>
        <v>#N/A</v>
      </c>
      <c r="AN33" s="16" t="e">
        <f t="shared" ca="1" si="47"/>
        <v>#N/A</v>
      </c>
      <c r="AO33" s="13" t="e">
        <f t="shared" ca="1" si="47"/>
        <v>#N/A</v>
      </c>
      <c r="AP33" s="14" t="e">
        <f t="shared" ca="1" si="47"/>
        <v>#N/A</v>
      </c>
      <c r="AQ33" s="14" t="e">
        <f t="shared" ca="1" si="47"/>
        <v>#N/A</v>
      </c>
      <c r="AR33" s="14" t="e">
        <f t="shared" ca="1" si="47"/>
        <v>#N/A</v>
      </c>
      <c r="AS33" s="14" t="e">
        <f t="shared" ca="1" si="47"/>
        <v>#N/A</v>
      </c>
      <c r="AT33" s="15" t="e">
        <f t="shared" ca="1" si="47"/>
        <v>#N/A</v>
      </c>
      <c r="AU33" s="16" t="e">
        <f t="shared" ca="1" si="47"/>
        <v>#N/A</v>
      </c>
      <c r="AV33" s="13" t="e">
        <f t="shared" ca="1" si="47"/>
        <v>#N/A</v>
      </c>
      <c r="AW33" s="14" t="e">
        <f t="shared" ca="1" si="47"/>
        <v>#N/A</v>
      </c>
      <c r="AX33" s="14" t="e">
        <f t="shared" ca="1" si="47"/>
        <v>#N/A</v>
      </c>
      <c r="AY33" s="14" t="e">
        <f t="shared" ca="1" si="47"/>
        <v>#N/A</v>
      </c>
      <c r="AZ33" s="14" t="e">
        <f t="shared" ca="1" si="47"/>
        <v>#N/A</v>
      </c>
      <c r="BA33" s="15" t="e">
        <f t="shared" ca="1" si="47"/>
        <v>#N/A</v>
      </c>
      <c r="BB33" s="16" t="e">
        <f t="shared" ca="1" si="47"/>
        <v>#N/A</v>
      </c>
      <c r="BC33" s="13" t="e">
        <f t="shared" ca="1" si="47"/>
        <v>#N/A</v>
      </c>
      <c r="BD33" s="14" t="e">
        <f t="shared" ca="1" si="47"/>
        <v>#N/A</v>
      </c>
      <c r="BE33" s="14" t="e">
        <f t="shared" ca="1" si="47"/>
        <v>#N/A</v>
      </c>
      <c r="BF33" s="14" t="e">
        <f t="shared" ca="1" si="47"/>
        <v>#N/A</v>
      </c>
      <c r="BG33" s="14" t="e">
        <f t="shared" ca="1" si="47"/>
        <v>#N/A</v>
      </c>
      <c r="BH33" s="15" t="e">
        <f t="shared" ca="1" si="47"/>
        <v>#N/A</v>
      </c>
      <c r="BI33" s="16" t="e">
        <f t="shared" ca="1" si="47"/>
        <v>#N/A</v>
      </c>
      <c r="BJ33" s="13" t="e">
        <f t="shared" ca="1" si="47"/>
        <v>#N/A</v>
      </c>
      <c r="BK33" s="14" t="e">
        <f t="shared" ca="1" si="47"/>
        <v>#N/A</v>
      </c>
      <c r="BL33" s="14" t="e">
        <f t="shared" ca="1" si="47"/>
        <v>#N/A</v>
      </c>
      <c r="BM33" s="14" t="e">
        <f t="shared" ca="1" si="47"/>
        <v>#N/A</v>
      </c>
      <c r="BN33" s="14" t="e">
        <f t="shared" ca="1" si="47"/>
        <v>#N/A</v>
      </c>
      <c r="BO33" s="15" t="e">
        <f t="shared" ca="1" si="47"/>
        <v>#N/A</v>
      </c>
      <c r="BP33" s="16" t="e">
        <f t="shared" ca="1" si="47"/>
        <v>#N/A</v>
      </c>
      <c r="BQ33" s="13" t="e">
        <f t="shared" ca="1" si="47"/>
        <v>#N/A</v>
      </c>
      <c r="BR33" s="14" t="e">
        <f t="shared" ref="BR33:DT33" ca="1" si="48">IF(AND(BR$5&gt;=$C$11,BR$5&lt;=$E$23),1,"")</f>
        <v>#N/A</v>
      </c>
      <c r="BS33" s="14" t="e">
        <f t="shared" ca="1" si="48"/>
        <v>#N/A</v>
      </c>
      <c r="BT33" s="14" t="e">
        <f t="shared" ca="1" si="48"/>
        <v>#N/A</v>
      </c>
      <c r="BU33" s="14" t="e">
        <f t="shared" ca="1" si="48"/>
        <v>#N/A</v>
      </c>
      <c r="BV33" s="15" t="e">
        <f t="shared" ca="1" si="48"/>
        <v>#N/A</v>
      </c>
      <c r="BW33" s="16" t="e">
        <f t="shared" ca="1" si="48"/>
        <v>#N/A</v>
      </c>
      <c r="BX33" s="13" t="e">
        <f t="shared" ca="1" si="48"/>
        <v>#N/A</v>
      </c>
      <c r="BY33" s="14" t="e">
        <f t="shared" ca="1" si="48"/>
        <v>#N/A</v>
      </c>
      <c r="BZ33" s="14" t="e">
        <f t="shared" ca="1" si="48"/>
        <v>#N/A</v>
      </c>
      <c r="CA33" s="14" t="e">
        <f t="shared" ca="1" si="48"/>
        <v>#N/A</v>
      </c>
      <c r="CB33" s="14" t="e">
        <f t="shared" ca="1" si="48"/>
        <v>#N/A</v>
      </c>
      <c r="CC33" s="15" t="e">
        <f t="shared" ca="1" si="48"/>
        <v>#N/A</v>
      </c>
      <c r="CD33" s="16" t="e">
        <f t="shared" ca="1" si="48"/>
        <v>#N/A</v>
      </c>
      <c r="CE33" s="13" t="e">
        <f t="shared" ca="1" si="48"/>
        <v>#N/A</v>
      </c>
      <c r="CF33" s="14" t="e">
        <f t="shared" ca="1" si="48"/>
        <v>#N/A</v>
      </c>
      <c r="CG33" s="14" t="e">
        <f t="shared" ca="1" si="48"/>
        <v>#N/A</v>
      </c>
      <c r="CH33" s="14" t="e">
        <f t="shared" ca="1" si="48"/>
        <v>#N/A</v>
      </c>
      <c r="CI33" s="14" t="e">
        <f t="shared" ca="1" si="48"/>
        <v>#N/A</v>
      </c>
      <c r="CJ33" s="15" t="e">
        <f t="shared" ca="1" si="48"/>
        <v>#N/A</v>
      </c>
      <c r="CK33" s="16" t="e">
        <f t="shared" ca="1" si="48"/>
        <v>#N/A</v>
      </c>
      <c r="CL33" s="13" t="e">
        <f t="shared" ca="1" si="48"/>
        <v>#N/A</v>
      </c>
      <c r="CM33" s="14" t="e">
        <f t="shared" ca="1" si="48"/>
        <v>#N/A</v>
      </c>
      <c r="CN33" s="14" t="e">
        <f t="shared" ca="1" si="48"/>
        <v>#N/A</v>
      </c>
      <c r="CO33" s="14" t="e">
        <f t="shared" ca="1" si="48"/>
        <v>#N/A</v>
      </c>
      <c r="CP33" s="14" t="e">
        <f t="shared" ca="1" si="48"/>
        <v>#N/A</v>
      </c>
      <c r="CQ33" s="15" t="e">
        <f t="shared" ca="1" si="48"/>
        <v>#N/A</v>
      </c>
      <c r="CR33" s="16" t="e">
        <f t="shared" ca="1" si="48"/>
        <v>#N/A</v>
      </c>
      <c r="CS33" s="13" t="e">
        <f t="shared" ca="1" si="48"/>
        <v>#N/A</v>
      </c>
      <c r="CT33" s="14" t="e">
        <f t="shared" ca="1" si="48"/>
        <v>#N/A</v>
      </c>
      <c r="CU33" s="14" t="e">
        <f t="shared" ca="1" si="48"/>
        <v>#N/A</v>
      </c>
      <c r="CV33" s="14" t="e">
        <f t="shared" ca="1" si="48"/>
        <v>#N/A</v>
      </c>
      <c r="CW33" s="14" t="e">
        <f t="shared" ca="1" si="48"/>
        <v>#N/A</v>
      </c>
      <c r="CX33" s="15" t="e">
        <f t="shared" ca="1" si="48"/>
        <v>#N/A</v>
      </c>
      <c r="CY33" s="16" t="e">
        <f t="shared" ca="1" si="48"/>
        <v>#N/A</v>
      </c>
      <c r="CZ33" s="13" t="e">
        <f t="shared" ca="1" si="48"/>
        <v>#N/A</v>
      </c>
      <c r="DA33" s="14" t="e">
        <f t="shared" ca="1" si="48"/>
        <v>#N/A</v>
      </c>
      <c r="DB33" s="14" t="e">
        <f t="shared" ca="1" si="48"/>
        <v>#N/A</v>
      </c>
      <c r="DC33" s="14" t="e">
        <f t="shared" ca="1" si="48"/>
        <v>#N/A</v>
      </c>
      <c r="DD33" s="14" t="e">
        <f t="shared" ca="1" si="48"/>
        <v>#N/A</v>
      </c>
      <c r="DE33" s="15" t="e">
        <f t="shared" ca="1" si="48"/>
        <v>#N/A</v>
      </c>
      <c r="DF33" s="16" t="e">
        <f t="shared" ca="1" si="48"/>
        <v>#N/A</v>
      </c>
      <c r="DG33" s="13" t="e">
        <f t="shared" ca="1" si="48"/>
        <v>#N/A</v>
      </c>
      <c r="DH33" s="14" t="e">
        <f t="shared" ca="1" si="48"/>
        <v>#N/A</v>
      </c>
      <c r="DI33" s="14" t="e">
        <f t="shared" ca="1" si="48"/>
        <v>#N/A</v>
      </c>
      <c r="DJ33" s="14" t="e">
        <f t="shared" ca="1" si="48"/>
        <v>#N/A</v>
      </c>
      <c r="DK33" s="14" t="e">
        <f t="shared" ca="1" si="48"/>
        <v>#N/A</v>
      </c>
      <c r="DL33" s="15" t="e">
        <f t="shared" ca="1" si="48"/>
        <v>#N/A</v>
      </c>
      <c r="DM33" s="16" t="e">
        <f t="shared" ca="1" si="48"/>
        <v>#N/A</v>
      </c>
      <c r="DN33" s="13" t="e">
        <f t="shared" ca="1" si="48"/>
        <v>#N/A</v>
      </c>
      <c r="DO33" s="14" t="e">
        <f t="shared" ca="1" si="48"/>
        <v>#N/A</v>
      </c>
      <c r="DP33" s="14" t="e">
        <f t="shared" ca="1" si="48"/>
        <v>#N/A</v>
      </c>
      <c r="DQ33" s="14" t="e">
        <f t="shared" ca="1" si="48"/>
        <v>#N/A</v>
      </c>
      <c r="DR33" s="14" t="e">
        <f t="shared" ca="1" si="48"/>
        <v>#N/A</v>
      </c>
      <c r="DS33" s="15" t="e">
        <f t="shared" ca="1" si="48"/>
        <v>#N/A</v>
      </c>
      <c r="DT33" s="16" t="e">
        <f t="shared" ca="1" si="48"/>
        <v>#N/A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91" t="s">
        <v>59</v>
      </c>
      <c r="B35" s="591"/>
      <c r="C35" s="592" t="e">
        <f ca="1">E23-C8+1</f>
        <v>#N/A</v>
      </c>
      <c r="D35" s="592"/>
      <c r="E35" s="593"/>
      <c r="F35" s="14" t="e">
        <f t="shared" ref="F35:BQ35" ca="1" si="49">IF(AND(F$5&gt;=$C$8,F$5&lt;=$E$23),1,"")</f>
        <v>#N/A</v>
      </c>
      <c r="G35" s="14" t="e">
        <f t="shared" ca="1" si="49"/>
        <v>#N/A</v>
      </c>
      <c r="H35" s="14" t="e">
        <f t="shared" ca="1" si="49"/>
        <v>#N/A</v>
      </c>
      <c r="I35" s="14" t="e">
        <f t="shared" ca="1" si="49"/>
        <v>#N/A</v>
      </c>
      <c r="J35" s="14" t="e">
        <f t="shared" ca="1" si="49"/>
        <v>#N/A</v>
      </c>
      <c r="K35" s="15" t="e">
        <f t="shared" ca="1" si="49"/>
        <v>#N/A</v>
      </c>
      <c r="L35" s="16" t="e">
        <f t="shared" ca="1" si="49"/>
        <v>#N/A</v>
      </c>
      <c r="M35" s="13" t="e">
        <f t="shared" ca="1" si="49"/>
        <v>#N/A</v>
      </c>
      <c r="N35" s="14" t="e">
        <f t="shared" ca="1" si="49"/>
        <v>#N/A</v>
      </c>
      <c r="O35" s="14" t="e">
        <f t="shared" ca="1" si="49"/>
        <v>#N/A</v>
      </c>
      <c r="P35" s="14" t="e">
        <f t="shared" ca="1" si="49"/>
        <v>#N/A</v>
      </c>
      <c r="Q35" s="14" t="e">
        <f t="shared" ca="1" si="49"/>
        <v>#N/A</v>
      </c>
      <c r="R35" s="15" t="e">
        <f t="shared" ca="1" si="49"/>
        <v>#N/A</v>
      </c>
      <c r="S35" s="16" t="e">
        <f t="shared" ca="1" si="49"/>
        <v>#N/A</v>
      </c>
      <c r="T35" s="13" t="e">
        <f t="shared" ca="1" si="49"/>
        <v>#N/A</v>
      </c>
      <c r="U35" s="14" t="e">
        <f t="shared" ca="1" si="49"/>
        <v>#N/A</v>
      </c>
      <c r="V35" s="14" t="e">
        <f t="shared" ca="1" si="49"/>
        <v>#N/A</v>
      </c>
      <c r="W35" s="14" t="e">
        <f t="shared" ca="1" si="49"/>
        <v>#N/A</v>
      </c>
      <c r="X35" s="14" t="e">
        <f t="shared" ca="1" si="49"/>
        <v>#N/A</v>
      </c>
      <c r="Y35" s="15" t="e">
        <f t="shared" ca="1" si="49"/>
        <v>#N/A</v>
      </c>
      <c r="Z35" s="16" t="e">
        <f t="shared" ca="1" si="49"/>
        <v>#N/A</v>
      </c>
      <c r="AA35" s="13" t="e">
        <f t="shared" ca="1" si="49"/>
        <v>#N/A</v>
      </c>
      <c r="AB35" s="14" t="e">
        <f t="shared" ca="1" si="49"/>
        <v>#N/A</v>
      </c>
      <c r="AC35" s="14" t="e">
        <f t="shared" ca="1" si="49"/>
        <v>#N/A</v>
      </c>
      <c r="AD35" s="14" t="e">
        <f t="shared" ca="1" si="49"/>
        <v>#N/A</v>
      </c>
      <c r="AE35" s="14" t="e">
        <f t="shared" ca="1" si="49"/>
        <v>#N/A</v>
      </c>
      <c r="AF35" s="15" t="e">
        <f t="shared" ca="1" si="49"/>
        <v>#N/A</v>
      </c>
      <c r="AG35" s="16" t="e">
        <f t="shared" ca="1" si="49"/>
        <v>#N/A</v>
      </c>
      <c r="AH35" s="13" t="e">
        <f t="shared" ca="1" si="49"/>
        <v>#N/A</v>
      </c>
      <c r="AI35" s="14" t="e">
        <f t="shared" ca="1" si="49"/>
        <v>#N/A</v>
      </c>
      <c r="AJ35" s="14" t="e">
        <f t="shared" ca="1" si="49"/>
        <v>#N/A</v>
      </c>
      <c r="AK35" s="14" t="e">
        <f t="shared" ca="1" si="49"/>
        <v>#N/A</v>
      </c>
      <c r="AL35" s="14" t="e">
        <f t="shared" ca="1" si="49"/>
        <v>#N/A</v>
      </c>
      <c r="AM35" s="15" t="e">
        <f t="shared" ca="1" si="49"/>
        <v>#N/A</v>
      </c>
      <c r="AN35" s="16" t="e">
        <f t="shared" ca="1" si="49"/>
        <v>#N/A</v>
      </c>
      <c r="AO35" s="13" t="e">
        <f t="shared" ca="1" si="49"/>
        <v>#N/A</v>
      </c>
      <c r="AP35" s="14" t="e">
        <f t="shared" ca="1" si="49"/>
        <v>#N/A</v>
      </c>
      <c r="AQ35" s="14" t="e">
        <f t="shared" ca="1" si="49"/>
        <v>#N/A</v>
      </c>
      <c r="AR35" s="14" t="e">
        <f t="shared" ca="1" si="49"/>
        <v>#N/A</v>
      </c>
      <c r="AS35" s="14" t="e">
        <f t="shared" ca="1" si="49"/>
        <v>#N/A</v>
      </c>
      <c r="AT35" s="15" t="e">
        <f t="shared" ca="1" si="49"/>
        <v>#N/A</v>
      </c>
      <c r="AU35" s="16" t="e">
        <f t="shared" ca="1" si="49"/>
        <v>#N/A</v>
      </c>
      <c r="AV35" s="13" t="e">
        <f t="shared" ca="1" si="49"/>
        <v>#N/A</v>
      </c>
      <c r="AW35" s="14" t="e">
        <f t="shared" ca="1" si="49"/>
        <v>#N/A</v>
      </c>
      <c r="AX35" s="14" t="e">
        <f t="shared" ca="1" si="49"/>
        <v>#N/A</v>
      </c>
      <c r="AY35" s="14" t="e">
        <f t="shared" ca="1" si="49"/>
        <v>#N/A</v>
      </c>
      <c r="AZ35" s="14" t="e">
        <f t="shared" ca="1" si="49"/>
        <v>#N/A</v>
      </c>
      <c r="BA35" s="15" t="e">
        <f t="shared" ca="1" si="49"/>
        <v>#N/A</v>
      </c>
      <c r="BB35" s="16" t="e">
        <f t="shared" ca="1" si="49"/>
        <v>#N/A</v>
      </c>
      <c r="BC35" s="13" t="e">
        <f t="shared" ca="1" si="49"/>
        <v>#N/A</v>
      </c>
      <c r="BD35" s="14" t="e">
        <f t="shared" ca="1" si="49"/>
        <v>#N/A</v>
      </c>
      <c r="BE35" s="14" t="e">
        <f t="shared" ca="1" si="49"/>
        <v>#N/A</v>
      </c>
      <c r="BF35" s="14" t="e">
        <f t="shared" ca="1" si="49"/>
        <v>#N/A</v>
      </c>
      <c r="BG35" s="14" t="e">
        <f t="shared" ca="1" si="49"/>
        <v>#N/A</v>
      </c>
      <c r="BH35" s="15" t="e">
        <f t="shared" ca="1" si="49"/>
        <v>#N/A</v>
      </c>
      <c r="BI35" s="16" t="e">
        <f t="shared" ca="1" si="49"/>
        <v>#N/A</v>
      </c>
      <c r="BJ35" s="13" t="e">
        <f t="shared" ca="1" si="49"/>
        <v>#N/A</v>
      </c>
      <c r="BK35" s="14" t="e">
        <f t="shared" ca="1" si="49"/>
        <v>#N/A</v>
      </c>
      <c r="BL35" s="14" t="e">
        <f t="shared" ca="1" si="49"/>
        <v>#N/A</v>
      </c>
      <c r="BM35" s="14" t="e">
        <f t="shared" ca="1" si="49"/>
        <v>#N/A</v>
      </c>
      <c r="BN35" s="14" t="e">
        <f t="shared" ca="1" si="49"/>
        <v>#N/A</v>
      </c>
      <c r="BO35" s="15" t="e">
        <f t="shared" ca="1" si="49"/>
        <v>#N/A</v>
      </c>
      <c r="BP35" s="16" t="e">
        <f t="shared" ca="1" si="49"/>
        <v>#N/A</v>
      </c>
      <c r="BQ35" s="13" t="e">
        <f t="shared" ca="1" si="49"/>
        <v>#N/A</v>
      </c>
      <c r="BR35" s="14" t="e">
        <f t="shared" ref="BR35:DT35" ca="1" si="50">IF(AND(BR$5&gt;=$C$8,BR$5&lt;=$E$23),1,"")</f>
        <v>#N/A</v>
      </c>
      <c r="BS35" s="14" t="e">
        <f t="shared" ca="1" si="50"/>
        <v>#N/A</v>
      </c>
      <c r="BT35" s="14" t="e">
        <f t="shared" ca="1" si="50"/>
        <v>#N/A</v>
      </c>
      <c r="BU35" s="14" t="e">
        <f t="shared" ca="1" si="50"/>
        <v>#N/A</v>
      </c>
      <c r="BV35" s="15" t="e">
        <f t="shared" ca="1" si="50"/>
        <v>#N/A</v>
      </c>
      <c r="BW35" s="16" t="e">
        <f t="shared" ca="1" si="50"/>
        <v>#N/A</v>
      </c>
      <c r="BX35" s="13" t="e">
        <f t="shared" ca="1" si="50"/>
        <v>#N/A</v>
      </c>
      <c r="BY35" s="14" t="e">
        <f t="shared" ca="1" si="50"/>
        <v>#N/A</v>
      </c>
      <c r="BZ35" s="14" t="e">
        <f t="shared" ca="1" si="50"/>
        <v>#N/A</v>
      </c>
      <c r="CA35" s="14" t="e">
        <f t="shared" ca="1" si="50"/>
        <v>#N/A</v>
      </c>
      <c r="CB35" s="14" t="e">
        <f t="shared" ca="1" si="50"/>
        <v>#N/A</v>
      </c>
      <c r="CC35" s="15" t="e">
        <f t="shared" ca="1" si="50"/>
        <v>#N/A</v>
      </c>
      <c r="CD35" s="16" t="e">
        <f t="shared" ca="1" si="50"/>
        <v>#N/A</v>
      </c>
      <c r="CE35" s="13" t="e">
        <f t="shared" ca="1" si="50"/>
        <v>#N/A</v>
      </c>
      <c r="CF35" s="14" t="e">
        <f t="shared" ca="1" si="50"/>
        <v>#N/A</v>
      </c>
      <c r="CG35" s="14" t="e">
        <f t="shared" ca="1" si="50"/>
        <v>#N/A</v>
      </c>
      <c r="CH35" s="14" t="e">
        <f t="shared" ca="1" si="50"/>
        <v>#N/A</v>
      </c>
      <c r="CI35" s="14" t="e">
        <f t="shared" ca="1" si="50"/>
        <v>#N/A</v>
      </c>
      <c r="CJ35" s="15" t="e">
        <f t="shared" ca="1" si="50"/>
        <v>#N/A</v>
      </c>
      <c r="CK35" s="16" t="e">
        <f t="shared" ca="1" si="50"/>
        <v>#N/A</v>
      </c>
      <c r="CL35" s="13" t="e">
        <f t="shared" ca="1" si="50"/>
        <v>#N/A</v>
      </c>
      <c r="CM35" s="14" t="e">
        <f t="shared" ca="1" si="50"/>
        <v>#N/A</v>
      </c>
      <c r="CN35" s="14" t="e">
        <f t="shared" ca="1" si="50"/>
        <v>#N/A</v>
      </c>
      <c r="CO35" s="14" t="e">
        <f t="shared" ca="1" si="50"/>
        <v>#N/A</v>
      </c>
      <c r="CP35" s="14" t="e">
        <f t="shared" ca="1" si="50"/>
        <v>#N/A</v>
      </c>
      <c r="CQ35" s="15" t="e">
        <f t="shared" ca="1" si="50"/>
        <v>#N/A</v>
      </c>
      <c r="CR35" s="16" t="e">
        <f t="shared" ca="1" si="50"/>
        <v>#N/A</v>
      </c>
      <c r="CS35" s="13" t="e">
        <f t="shared" ca="1" si="50"/>
        <v>#N/A</v>
      </c>
      <c r="CT35" s="14" t="e">
        <f t="shared" ca="1" si="50"/>
        <v>#N/A</v>
      </c>
      <c r="CU35" s="14" t="e">
        <f t="shared" ca="1" si="50"/>
        <v>#N/A</v>
      </c>
      <c r="CV35" s="14" t="e">
        <f t="shared" ca="1" si="50"/>
        <v>#N/A</v>
      </c>
      <c r="CW35" s="14" t="e">
        <f t="shared" ca="1" si="50"/>
        <v>#N/A</v>
      </c>
      <c r="CX35" s="15" t="e">
        <f t="shared" ca="1" si="50"/>
        <v>#N/A</v>
      </c>
      <c r="CY35" s="16" t="e">
        <f t="shared" ca="1" si="50"/>
        <v>#N/A</v>
      </c>
      <c r="CZ35" s="13" t="e">
        <f t="shared" ca="1" si="50"/>
        <v>#N/A</v>
      </c>
      <c r="DA35" s="14" t="e">
        <f t="shared" ca="1" si="50"/>
        <v>#N/A</v>
      </c>
      <c r="DB35" s="14" t="e">
        <f t="shared" ca="1" si="50"/>
        <v>#N/A</v>
      </c>
      <c r="DC35" s="14" t="e">
        <f t="shared" ca="1" si="50"/>
        <v>#N/A</v>
      </c>
      <c r="DD35" s="14" t="e">
        <f t="shared" ca="1" si="50"/>
        <v>#N/A</v>
      </c>
      <c r="DE35" s="15" t="e">
        <f t="shared" ca="1" si="50"/>
        <v>#N/A</v>
      </c>
      <c r="DF35" s="16" t="e">
        <f t="shared" ca="1" si="50"/>
        <v>#N/A</v>
      </c>
      <c r="DG35" s="13" t="e">
        <f t="shared" ca="1" si="50"/>
        <v>#N/A</v>
      </c>
      <c r="DH35" s="14" t="e">
        <f t="shared" ca="1" si="50"/>
        <v>#N/A</v>
      </c>
      <c r="DI35" s="14" t="e">
        <f t="shared" ca="1" si="50"/>
        <v>#N/A</v>
      </c>
      <c r="DJ35" s="14" t="e">
        <f t="shared" ca="1" si="50"/>
        <v>#N/A</v>
      </c>
      <c r="DK35" s="14" t="e">
        <f t="shared" ca="1" si="50"/>
        <v>#N/A</v>
      </c>
      <c r="DL35" s="15" t="e">
        <f t="shared" ca="1" si="50"/>
        <v>#N/A</v>
      </c>
      <c r="DM35" s="16" t="e">
        <f t="shared" ca="1" si="50"/>
        <v>#N/A</v>
      </c>
      <c r="DN35" s="13" t="e">
        <f t="shared" ca="1" si="50"/>
        <v>#N/A</v>
      </c>
      <c r="DO35" s="14" t="e">
        <f t="shared" ca="1" si="50"/>
        <v>#N/A</v>
      </c>
      <c r="DP35" s="14" t="e">
        <f t="shared" ca="1" si="50"/>
        <v>#N/A</v>
      </c>
      <c r="DQ35" s="14" t="e">
        <f t="shared" ca="1" si="50"/>
        <v>#N/A</v>
      </c>
      <c r="DR35" s="14" t="e">
        <f t="shared" ca="1" si="50"/>
        <v>#N/A</v>
      </c>
      <c r="DS35" s="15" t="e">
        <f t="shared" ca="1" si="50"/>
        <v>#N/A</v>
      </c>
      <c r="DT35" s="16" t="e">
        <f t="shared" ca="1" si="50"/>
        <v>#N/A</v>
      </c>
    </row>
    <row r="36" spans="1:124" ht="2.1" customHeight="1"/>
    <row r="37" spans="1:124" s="17" customFormat="1" ht="15" customHeight="1">
      <c r="A37" s="594" t="s">
        <v>60</v>
      </c>
      <c r="B37" s="594"/>
      <c r="C37" s="595" t="e">
        <f ca="1">E23-IF(B1="SFK Freight Forwarder",C11,C8)+1</f>
        <v>#N/A</v>
      </c>
      <c r="D37" s="595"/>
      <c r="E37" s="596"/>
      <c r="F37" s="14" t="e">
        <f t="shared" ref="F37:K37" ca="1" si="51">IF($B$1="SFK Freight Forwarder",IF(AND(F$5&gt;=$C$11,F$5&lt;=$E$23),1,""),IF(AND(F$5&gt;=$C$8,F$5&lt;=$E$23),1,""))</f>
        <v>#N/A</v>
      </c>
      <c r="G37" s="14" t="e">
        <f t="shared" ca="1" si="51"/>
        <v>#N/A</v>
      </c>
      <c r="H37" s="14" t="e">
        <f t="shared" ca="1" si="51"/>
        <v>#N/A</v>
      </c>
      <c r="I37" s="14" t="e">
        <f t="shared" ca="1" si="51"/>
        <v>#N/A</v>
      </c>
      <c r="J37" s="14" t="e">
        <f t="shared" ca="1" si="51"/>
        <v>#N/A</v>
      </c>
      <c r="K37" s="15" t="e">
        <f t="shared" ca="1" si="51"/>
        <v>#N/A</v>
      </c>
      <c r="L37" s="94" t="e">
        <f ca="1">IF($B$1="SFK Freight Forwarder",IF(AND(L$5&gt;=$C$11,L$5&lt;=$E$23),1,""),IF(AND(L$5&gt;=$C$8,L$5&lt;=$E$23),1,""))</f>
        <v>#N/A</v>
      </c>
      <c r="M37" s="13" t="e">
        <f ca="1">IF($B$1="SFK Freight Forwarder",IF(AND(M$5&gt;=$C$11,M$5&lt;=$E$23),1,""),IF(AND(M$5&gt;=$C$8,M$5&lt;=$E$23),1,""))</f>
        <v>#N/A</v>
      </c>
      <c r="N37" s="14" t="e">
        <f t="shared" ref="N37:BY37" ca="1" si="52">IF($B$1="SFK Freight Forwarder",IF(AND(N$5&gt;=$C$11,N$5&lt;=$E$23),1,""),IF(AND(N$5&gt;=$C$8,N$5&lt;=$E$23),1,""))</f>
        <v>#N/A</v>
      </c>
      <c r="O37" s="14" t="e">
        <f t="shared" ca="1" si="52"/>
        <v>#N/A</v>
      </c>
      <c r="P37" s="14" t="e">
        <f t="shared" ca="1" si="52"/>
        <v>#N/A</v>
      </c>
      <c r="Q37" s="14" t="e">
        <f t="shared" ca="1" si="52"/>
        <v>#N/A</v>
      </c>
      <c r="R37" s="15" t="e">
        <f t="shared" ca="1" si="52"/>
        <v>#N/A</v>
      </c>
      <c r="S37" s="16" t="e">
        <f t="shared" ca="1" si="52"/>
        <v>#N/A</v>
      </c>
      <c r="T37" s="13" t="e">
        <f t="shared" ca="1" si="52"/>
        <v>#N/A</v>
      </c>
      <c r="U37" s="14" t="e">
        <f t="shared" ca="1" si="52"/>
        <v>#N/A</v>
      </c>
      <c r="V37" s="14" t="e">
        <f t="shared" ca="1" si="52"/>
        <v>#N/A</v>
      </c>
      <c r="W37" s="14" t="e">
        <f t="shared" ca="1" si="52"/>
        <v>#N/A</v>
      </c>
      <c r="X37" s="14" t="e">
        <f t="shared" ca="1" si="52"/>
        <v>#N/A</v>
      </c>
      <c r="Y37" s="15" t="e">
        <f t="shared" ca="1" si="52"/>
        <v>#N/A</v>
      </c>
      <c r="Z37" s="16" t="e">
        <f t="shared" ca="1" si="52"/>
        <v>#N/A</v>
      </c>
      <c r="AA37" s="13" t="e">
        <f t="shared" ca="1" si="52"/>
        <v>#N/A</v>
      </c>
      <c r="AB37" s="14" t="e">
        <f t="shared" ca="1" si="52"/>
        <v>#N/A</v>
      </c>
      <c r="AC37" s="14" t="e">
        <f t="shared" ca="1" si="52"/>
        <v>#N/A</v>
      </c>
      <c r="AD37" s="14" t="e">
        <f t="shared" ca="1" si="52"/>
        <v>#N/A</v>
      </c>
      <c r="AE37" s="14" t="e">
        <f t="shared" ca="1" si="52"/>
        <v>#N/A</v>
      </c>
      <c r="AF37" s="15" t="e">
        <f t="shared" ca="1" si="52"/>
        <v>#N/A</v>
      </c>
      <c r="AG37" s="16" t="e">
        <f t="shared" ca="1" si="52"/>
        <v>#N/A</v>
      </c>
      <c r="AH37" s="13" t="e">
        <f t="shared" ca="1" si="52"/>
        <v>#N/A</v>
      </c>
      <c r="AI37" s="14" t="e">
        <f t="shared" ca="1" si="52"/>
        <v>#N/A</v>
      </c>
      <c r="AJ37" s="14" t="e">
        <f t="shared" ca="1" si="52"/>
        <v>#N/A</v>
      </c>
      <c r="AK37" s="14" t="e">
        <f t="shared" ca="1" si="52"/>
        <v>#N/A</v>
      </c>
      <c r="AL37" s="14" t="e">
        <f t="shared" ca="1" si="52"/>
        <v>#N/A</v>
      </c>
      <c r="AM37" s="15" t="e">
        <f t="shared" ca="1" si="52"/>
        <v>#N/A</v>
      </c>
      <c r="AN37" s="16" t="e">
        <f t="shared" ca="1" si="52"/>
        <v>#N/A</v>
      </c>
      <c r="AO37" s="13" t="e">
        <f t="shared" ca="1" si="52"/>
        <v>#N/A</v>
      </c>
      <c r="AP37" s="14" t="e">
        <f t="shared" ca="1" si="52"/>
        <v>#N/A</v>
      </c>
      <c r="AQ37" s="14" t="e">
        <f t="shared" ca="1" si="52"/>
        <v>#N/A</v>
      </c>
      <c r="AR37" s="14" t="e">
        <f t="shared" ca="1" si="52"/>
        <v>#N/A</v>
      </c>
      <c r="AS37" s="14" t="e">
        <f t="shared" ca="1" si="52"/>
        <v>#N/A</v>
      </c>
      <c r="AT37" s="15" t="e">
        <f t="shared" ca="1" si="52"/>
        <v>#N/A</v>
      </c>
      <c r="AU37" s="16" t="e">
        <f t="shared" ca="1" si="52"/>
        <v>#N/A</v>
      </c>
      <c r="AV37" s="13" t="e">
        <f t="shared" ca="1" si="52"/>
        <v>#N/A</v>
      </c>
      <c r="AW37" s="14" t="e">
        <f t="shared" ca="1" si="52"/>
        <v>#N/A</v>
      </c>
      <c r="AX37" s="14" t="e">
        <f t="shared" ca="1" si="52"/>
        <v>#N/A</v>
      </c>
      <c r="AY37" s="14" t="e">
        <f t="shared" ca="1" si="52"/>
        <v>#N/A</v>
      </c>
      <c r="AZ37" s="14" t="e">
        <f t="shared" ca="1" si="52"/>
        <v>#N/A</v>
      </c>
      <c r="BA37" s="15" t="e">
        <f t="shared" ca="1" si="52"/>
        <v>#N/A</v>
      </c>
      <c r="BB37" s="16" t="e">
        <f t="shared" ca="1" si="52"/>
        <v>#N/A</v>
      </c>
      <c r="BC37" s="13" t="e">
        <f t="shared" ca="1" si="52"/>
        <v>#N/A</v>
      </c>
      <c r="BD37" s="14" t="e">
        <f t="shared" ca="1" si="52"/>
        <v>#N/A</v>
      </c>
      <c r="BE37" s="14" t="e">
        <f t="shared" ca="1" si="52"/>
        <v>#N/A</v>
      </c>
      <c r="BF37" s="14" t="e">
        <f t="shared" ca="1" si="52"/>
        <v>#N/A</v>
      </c>
      <c r="BG37" s="14" t="e">
        <f t="shared" ca="1" si="52"/>
        <v>#N/A</v>
      </c>
      <c r="BH37" s="15" t="e">
        <f t="shared" ca="1" si="52"/>
        <v>#N/A</v>
      </c>
      <c r="BI37" s="16" t="e">
        <f t="shared" ca="1" si="52"/>
        <v>#N/A</v>
      </c>
      <c r="BJ37" s="13" t="e">
        <f t="shared" ca="1" si="52"/>
        <v>#N/A</v>
      </c>
      <c r="BK37" s="14" t="e">
        <f t="shared" ca="1" si="52"/>
        <v>#N/A</v>
      </c>
      <c r="BL37" s="14" t="e">
        <f t="shared" ca="1" si="52"/>
        <v>#N/A</v>
      </c>
      <c r="BM37" s="14" t="e">
        <f t="shared" ca="1" si="52"/>
        <v>#N/A</v>
      </c>
      <c r="BN37" s="14" t="e">
        <f t="shared" ca="1" si="52"/>
        <v>#N/A</v>
      </c>
      <c r="BO37" s="15" t="e">
        <f t="shared" ca="1" si="52"/>
        <v>#N/A</v>
      </c>
      <c r="BP37" s="16" t="e">
        <f t="shared" ca="1" si="52"/>
        <v>#N/A</v>
      </c>
      <c r="BQ37" s="13" t="e">
        <f t="shared" ca="1" si="52"/>
        <v>#N/A</v>
      </c>
      <c r="BR37" s="14" t="e">
        <f t="shared" ca="1" si="52"/>
        <v>#N/A</v>
      </c>
      <c r="BS37" s="14" t="e">
        <f t="shared" ca="1" si="52"/>
        <v>#N/A</v>
      </c>
      <c r="BT37" s="14" t="e">
        <f t="shared" ca="1" si="52"/>
        <v>#N/A</v>
      </c>
      <c r="BU37" s="14" t="e">
        <f t="shared" ca="1" si="52"/>
        <v>#N/A</v>
      </c>
      <c r="BV37" s="15" t="e">
        <f t="shared" ca="1" si="52"/>
        <v>#N/A</v>
      </c>
      <c r="BW37" s="16" t="e">
        <f t="shared" ca="1" si="52"/>
        <v>#N/A</v>
      </c>
      <c r="BX37" s="13" t="e">
        <f t="shared" ca="1" si="52"/>
        <v>#N/A</v>
      </c>
      <c r="BY37" s="14" t="e">
        <f t="shared" ca="1" si="52"/>
        <v>#N/A</v>
      </c>
      <c r="BZ37" s="14" t="e">
        <f t="shared" ref="BZ37:DT37" ca="1" si="53">IF($B$1="SFK Freight Forwarder",IF(AND(BZ$5&gt;=$C$11,BZ$5&lt;=$E$23),1,""),IF(AND(BZ$5&gt;=$C$8,BZ$5&lt;=$E$23),1,""))</f>
        <v>#N/A</v>
      </c>
      <c r="CA37" s="14" t="e">
        <f t="shared" ca="1" si="53"/>
        <v>#N/A</v>
      </c>
      <c r="CB37" s="14" t="e">
        <f t="shared" ca="1" si="53"/>
        <v>#N/A</v>
      </c>
      <c r="CC37" s="15" t="e">
        <f t="shared" ca="1" si="53"/>
        <v>#N/A</v>
      </c>
      <c r="CD37" s="16" t="e">
        <f t="shared" ca="1" si="53"/>
        <v>#N/A</v>
      </c>
      <c r="CE37" s="13" t="e">
        <f t="shared" ca="1" si="53"/>
        <v>#N/A</v>
      </c>
      <c r="CF37" s="14" t="e">
        <f t="shared" ca="1" si="53"/>
        <v>#N/A</v>
      </c>
      <c r="CG37" s="14" t="e">
        <f t="shared" ca="1" si="53"/>
        <v>#N/A</v>
      </c>
      <c r="CH37" s="14" t="e">
        <f t="shared" ca="1" si="53"/>
        <v>#N/A</v>
      </c>
      <c r="CI37" s="14" t="e">
        <f t="shared" ca="1" si="53"/>
        <v>#N/A</v>
      </c>
      <c r="CJ37" s="15" t="e">
        <f t="shared" ca="1" si="53"/>
        <v>#N/A</v>
      </c>
      <c r="CK37" s="16" t="e">
        <f t="shared" ca="1" si="53"/>
        <v>#N/A</v>
      </c>
      <c r="CL37" s="13" t="e">
        <f t="shared" ca="1" si="53"/>
        <v>#N/A</v>
      </c>
      <c r="CM37" s="14" t="e">
        <f t="shared" ca="1" si="53"/>
        <v>#N/A</v>
      </c>
      <c r="CN37" s="14" t="e">
        <f t="shared" ca="1" si="53"/>
        <v>#N/A</v>
      </c>
      <c r="CO37" s="14" t="e">
        <f t="shared" ca="1" si="53"/>
        <v>#N/A</v>
      </c>
      <c r="CP37" s="14" t="e">
        <f t="shared" ca="1" si="53"/>
        <v>#N/A</v>
      </c>
      <c r="CQ37" s="15" t="e">
        <f t="shared" ca="1" si="53"/>
        <v>#N/A</v>
      </c>
      <c r="CR37" s="16" t="e">
        <f t="shared" ca="1" si="53"/>
        <v>#N/A</v>
      </c>
      <c r="CS37" s="13" t="e">
        <f t="shared" ca="1" si="53"/>
        <v>#N/A</v>
      </c>
      <c r="CT37" s="14" t="e">
        <f t="shared" ca="1" si="53"/>
        <v>#N/A</v>
      </c>
      <c r="CU37" s="14" t="e">
        <f t="shared" ca="1" si="53"/>
        <v>#N/A</v>
      </c>
      <c r="CV37" s="14" t="e">
        <f t="shared" ca="1" si="53"/>
        <v>#N/A</v>
      </c>
      <c r="CW37" s="14" t="e">
        <f t="shared" ca="1" si="53"/>
        <v>#N/A</v>
      </c>
      <c r="CX37" s="15" t="e">
        <f t="shared" ca="1" si="53"/>
        <v>#N/A</v>
      </c>
      <c r="CY37" s="16" t="e">
        <f t="shared" ca="1" si="53"/>
        <v>#N/A</v>
      </c>
      <c r="CZ37" s="13" t="e">
        <f t="shared" ca="1" si="53"/>
        <v>#N/A</v>
      </c>
      <c r="DA37" s="14" t="e">
        <f t="shared" ca="1" si="53"/>
        <v>#N/A</v>
      </c>
      <c r="DB37" s="14" t="e">
        <f t="shared" ca="1" si="53"/>
        <v>#N/A</v>
      </c>
      <c r="DC37" s="14" t="e">
        <f t="shared" ca="1" si="53"/>
        <v>#N/A</v>
      </c>
      <c r="DD37" s="14" t="e">
        <f t="shared" ca="1" si="53"/>
        <v>#N/A</v>
      </c>
      <c r="DE37" s="15" t="e">
        <f t="shared" ca="1" si="53"/>
        <v>#N/A</v>
      </c>
      <c r="DF37" s="16" t="e">
        <f t="shared" ca="1" si="53"/>
        <v>#N/A</v>
      </c>
      <c r="DG37" s="13" t="e">
        <f t="shared" ca="1" si="53"/>
        <v>#N/A</v>
      </c>
      <c r="DH37" s="14" t="e">
        <f t="shared" ca="1" si="53"/>
        <v>#N/A</v>
      </c>
      <c r="DI37" s="14" t="e">
        <f t="shared" ca="1" si="53"/>
        <v>#N/A</v>
      </c>
      <c r="DJ37" s="14" t="e">
        <f t="shared" ca="1" si="53"/>
        <v>#N/A</v>
      </c>
      <c r="DK37" s="14" t="e">
        <f t="shared" ca="1" si="53"/>
        <v>#N/A</v>
      </c>
      <c r="DL37" s="15" t="e">
        <f t="shared" ca="1" si="53"/>
        <v>#N/A</v>
      </c>
      <c r="DM37" s="16" t="e">
        <f t="shared" ca="1" si="53"/>
        <v>#N/A</v>
      </c>
      <c r="DN37" s="13" t="e">
        <f t="shared" ca="1" si="53"/>
        <v>#N/A</v>
      </c>
      <c r="DO37" s="14" t="e">
        <f t="shared" ca="1" si="53"/>
        <v>#N/A</v>
      </c>
      <c r="DP37" s="14" t="e">
        <f t="shared" ca="1" si="53"/>
        <v>#N/A</v>
      </c>
      <c r="DQ37" s="14" t="e">
        <f t="shared" ca="1" si="53"/>
        <v>#N/A</v>
      </c>
      <c r="DR37" s="14" t="e">
        <f t="shared" ca="1" si="53"/>
        <v>#N/A</v>
      </c>
      <c r="DS37" s="15" t="e">
        <f t="shared" ca="1" si="53"/>
        <v>#N/A</v>
      </c>
      <c r="DT37" s="16" t="e">
        <f t="shared" ca="1" si="53"/>
        <v>#N/A</v>
      </c>
    </row>
  </sheetData>
  <sheetProtection algorithmName="SHA-512" hashValue="M142qB+fmmBkeauWnRsJic+juMdq83Z4K9TIzYuzUnokRSLB8YuuC8E7BtiW/TwZqGadJ8voNm9Ef0tJPusZ8A==" saltValue="qBNiKUPX8StJs7ojLk9dvA==" spinCount="100000" sheet="1" sort="0" autoFilter="0" pivotTables="0"/>
  <mergeCells count="56"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C5:E5"/>
    <mergeCell ref="C6:E6"/>
    <mergeCell ref="A8:A18"/>
    <mergeCell ref="A19:A20"/>
    <mergeCell ref="A27:B27"/>
    <mergeCell ref="C27:E27"/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</mergeCells>
  <conditionalFormatting sqref="F8:Q9 S8:DT10 F11:DT12 G10:Q10">
    <cfRule type="cellIs" dxfId="549" priority="15" stopIfTrue="1" operator="equal">
      <formula>1</formula>
    </cfRule>
  </conditionalFormatting>
  <conditionalFormatting sqref="F16:DT17">
    <cfRule type="cellIs" dxfId="548" priority="17" stopIfTrue="1" operator="equal">
      <formula>1</formula>
    </cfRule>
  </conditionalFormatting>
  <conditionalFormatting sqref="F31:DT31">
    <cfRule type="cellIs" dxfId="547" priority="22" stopIfTrue="1" operator="equal">
      <formula>1</formula>
    </cfRule>
  </conditionalFormatting>
  <conditionalFormatting sqref="F27:DT27">
    <cfRule type="cellIs" dxfId="546" priority="21" stopIfTrue="1" operator="equal">
      <formula>1</formula>
    </cfRule>
  </conditionalFormatting>
  <conditionalFormatting sqref="F19:DT19 F21:DT22">
    <cfRule type="cellIs" dxfId="545" priority="18" stopIfTrue="1" operator="equal">
      <formula>1</formula>
    </cfRule>
  </conditionalFormatting>
  <conditionalFormatting sqref="F24:DT25">
    <cfRule type="cellIs" dxfId="544" priority="20" stopIfTrue="1" operator="equal">
      <formula>1</formula>
    </cfRule>
  </conditionalFormatting>
  <conditionalFormatting sqref="F33:DT33">
    <cfRule type="cellIs" dxfId="543" priority="23" stopIfTrue="1" operator="equal">
      <formula>1</formula>
    </cfRule>
  </conditionalFormatting>
  <conditionalFormatting sqref="F35:DT35">
    <cfRule type="cellIs" dxfId="542" priority="24" stopIfTrue="1" operator="equal">
      <formula>1</formula>
    </cfRule>
  </conditionalFormatting>
  <conditionalFormatting sqref="F23:DT23">
    <cfRule type="cellIs" dxfId="541" priority="19" stopIfTrue="1" operator="equal">
      <formula>1</formula>
    </cfRule>
  </conditionalFormatting>
  <conditionalFormatting sqref="F13:DT15">
    <cfRule type="cellIs" dxfId="540" priority="16" stopIfTrue="1" operator="equal">
      <formula>1</formula>
    </cfRule>
  </conditionalFormatting>
  <conditionalFormatting sqref="F8:Q9 S8:DT10 F11:DT17 G10:Q10 F31:DT35 F21:DT28 F19:DT19">
    <cfRule type="containsErrors" dxfId="539" priority="14" stopIfTrue="1">
      <formula>ISERROR(F8)</formula>
    </cfRule>
  </conditionalFormatting>
  <conditionalFormatting sqref="R8:R10">
    <cfRule type="cellIs" dxfId="538" priority="13" stopIfTrue="1" operator="equal">
      <formula>1</formula>
    </cfRule>
  </conditionalFormatting>
  <conditionalFormatting sqref="R8:R10">
    <cfRule type="containsErrors" dxfId="537" priority="12" stopIfTrue="1">
      <formula>ISERROR(R8)</formula>
    </cfRule>
  </conditionalFormatting>
  <conditionalFormatting sqref="A24">
    <cfRule type="cellIs" dxfId="536" priority="11" operator="lessThan">
      <formula>TODAY()</formula>
    </cfRule>
  </conditionalFormatting>
  <conditionalFormatting sqref="F37:DT37">
    <cfRule type="cellIs" dxfId="535" priority="10" stopIfTrue="1" operator="equal">
      <formula>1</formula>
    </cfRule>
  </conditionalFormatting>
  <conditionalFormatting sqref="F37:DT37">
    <cfRule type="containsErrors" dxfId="534" priority="9" stopIfTrue="1">
      <formula>ISERROR(F37)</formula>
    </cfRule>
  </conditionalFormatting>
  <conditionalFormatting sqref="F10">
    <cfRule type="cellIs" dxfId="533" priority="8" stopIfTrue="1" operator="equal">
      <formula>1</formula>
    </cfRule>
  </conditionalFormatting>
  <conditionalFormatting sqref="F10">
    <cfRule type="containsErrors" dxfId="532" priority="7" stopIfTrue="1">
      <formula>ISERROR(F10)</formula>
    </cfRule>
  </conditionalFormatting>
  <conditionalFormatting sqref="F29:DT29">
    <cfRule type="cellIs" dxfId="531" priority="6" stopIfTrue="1" operator="equal">
      <formula>1</formula>
    </cfRule>
  </conditionalFormatting>
  <conditionalFormatting sqref="F29:DT30">
    <cfRule type="containsErrors" dxfId="530" priority="5" stopIfTrue="1">
      <formula>ISERROR(F29)</formula>
    </cfRule>
  </conditionalFormatting>
  <conditionalFormatting sqref="F20:DT20">
    <cfRule type="cellIs" dxfId="529" priority="4" stopIfTrue="1" operator="equal">
      <formula>1</formula>
    </cfRule>
  </conditionalFormatting>
  <conditionalFormatting sqref="F20:DT20">
    <cfRule type="containsErrors" dxfId="528" priority="3" stopIfTrue="1">
      <formula>ISERROR(F20)</formula>
    </cfRule>
  </conditionalFormatting>
  <conditionalFormatting sqref="F18:DT18">
    <cfRule type="cellIs" dxfId="527" priority="2" stopIfTrue="1" operator="equal">
      <formula>1</formula>
    </cfRule>
  </conditionalFormatting>
  <conditionalFormatting sqref="F18:DT18">
    <cfRule type="containsErrors" dxfId="526" priority="1" stopIfTrue="1">
      <formula>ISERROR(F18)</formula>
    </cfRule>
  </conditionalFormatting>
  <dataValidations count="2">
    <dataValidation type="list" allowBlank="1" showInputMessage="1" showErrorMessage="1" sqref="B3:B4" xr:uid="{A77E25B1-A533-4149-8281-BC10D19A901C}">
      <formula1>shippername</formula1>
    </dataValidation>
    <dataValidation type="list" allowBlank="1" showInputMessage="1" showErrorMessage="1" sqref="B1:B2" xr:uid="{E3D24C60-C940-46C1-BF41-814E411126E3}">
      <formula1>AILNname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8FB1FB-69FD-4BC8-8813-6E3732CB1A7A}">
          <x14:formula1>
            <xm:f>Plant_AILN!$A$2:$A$61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0C573-14D3-481C-87BE-71E98698E242}">
  <sheetPr>
    <tabColor rgb="FF7030A0"/>
  </sheetPr>
  <dimension ref="A1:EH40"/>
  <sheetViews>
    <sheetView zoomScaleNormal="100" workbookViewId="0">
      <selection activeCell="B8" sqref="B8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bestFit="1" customWidth="1"/>
    <col min="4" max="5" width="6.42578125" customWidth="1"/>
    <col min="6" max="138" width="1.42578125" customWidth="1"/>
  </cols>
  <sheetData>
    <row r="1" spans="1:138" s="11" customFormat="1" ht="9" customHeight="1" thickTop="1">
      <c r="A1" s="567" t="s">
        <v>0</v>
      </c>
      <c r="B1" s="614" t="str">
        <f>_xlfn.XLOOKUP(A25,'VTT actif'!F:F,'VTT actif'!O:O,"-",0)</f>
        <v>KWE Shanghai</v>
      </c>
      <c r="C1" s="571">
        <f>_xlfn.XLOOKUP(A25,'VTT actif'!F:F,'VTT actif'!P:P,"-",0)</f>
        <v>26037000</v>
      </c>
      <c r="D1" s="572"/>
      <c r="E1" s="573"/>
      <c r="F1" s="565" t="str">
        <f>"W"&amp;WEEKNUM(F6)</f>
        <v>W5</v>
      </c>
      <c r="G1" s="565"/>
      <c r="H1" s="565"/>
      <c r="I1" s="565"/>
      <c r="J1" s="565"/>
      <c r="K1" s="565"/>
      <c r="L1" s="566"/>
      <c r="M1" s="565" t="str">
        <f>"W"&amp;WEEKNUM(M6)</f>
        <v>W6</v>
      </c>
      <c r="N1" s="565"/>
      <c r="O1" s="565"/>
      <c r="P1" s="565"/>
      <c r="Q1" s="565"/>
      <c r="R1" s="565"/>
      <c r="S1" s="566"/>
      <c r="T1" s="565" t="str">
        <f t="shared" ref="T1" si="0">"W"&amp;WEEKNUM(T6)</f>
        <v>W7</v>
      </c>
      <c r="U1" s="565"/>
      <c r="V1" s="565"/>
      <c r="W1" s="565"/>
      <c r="X1" s="565"/>
      <c r="Y1" s="565"/>
      <c r="Z1" s="566"/>
      <c r="AA1" s="565" t="str">
        <f t="shared" ref="AA1" si="1">"W"&amp;WEEKNUM(AA6)</f>
        <v>W8</v>
      </c>
      <c r="AB1" s="565"/>
      <c r="AC1" s="565"/>
      <c r="AD1" s="565"/>
      <c r="AE1" s="565"/>
      <c r="AF1" s="565"/>
      <c r="AG1" s="566"/>
      <c r="AH1" s="565" t="str">
        <f t="shared" ref="AH1" si="2">"W"&amp;WEEKNUM(AH6)</f>
        <v>W9</v>
      </c>
      <c r="AI1" s="565"/>
      <c r="AJ1" s="565"/>
      <c r="AK1" s="565"/>
      <c r="AL1" s="565"/>
      <c r="AM1" s="565"/>
      <c r="AN1" s="566"/>
      <c r="AO1" s="565" t="str">
        <f t="shared" ref="AO1" si="3">"W"&amp;WEEKNUM(AO6)</f>
        <v>W10</v>
      </c>
      <c r="AP1" s="565"/>
      <c r="AQ1" s="565"/>
      <c r="AR1" s="565"/>
      <c r="AS1" s="565"/>
      <c r="AT1" s="565"/>
      <c r="AU1" s="566"/>
      <c r="AV1" s="565" t="str">
        <f t="shared" ref="AV1" si="4">"W"&amp;WEEKNUM(AV6)</f>
        <v>W11</v>
      </c>
      <c r="AW1" s="565"/>
      <c r="AX1" s="565"/>
      <c r="AY1" s="565"/>
      <c r="AZ1" s="565"/>
      <c r="BA1" s="565"/>
      <c r="BB1" s="566"/>
      <c r="BC1" s="565" t="str">
        <f t="shared" ref="BC1" si="5">"W"&amp;WEEKNUM(BC6)</f>
        <v>W12</v>
      </c>
      <c r="BD1" s="565"/>
      <c r="BE1" s="565"/>
      <c r="BF1" s="565"/>
      <c r="BG1" s="565"/>
      <c r="BH1" s="565"/>
      <c r="BI1" s="566"/>
      <c r="BJ1" s="565" t="str">
        <f t="shared" ref="BJ1" si="6">"W"&amp;WEEKNUM(BJ6)</f>
        <v>W13</v>
      </c>
      <c r="BK1" s="565"/>
      <c r="BL1" s="565"/>
      <c r="BM1" s="565"/>
      <c r="BN1" s="565"/>
      <c r="BO1" s="565"/>
      <c r="BP1" s="566"/>
      <c r="BQ1" s="565" t="str">
        <f t="shared" ref="BQ1" si="7">"W"&amp;WEEKNUM(BQ6)</f>
        <v>W14</v>
      </c>
      <c r="BR1" s="565"/>
      <c r="BS1" s="565"/>
      <c r="BT1" s="565"/>
      <c r="BU1" s="565"/>
      <c r="BV1" s="565"/>
      <c r="BW1" s="566"/>
      <c r="BX1" s="565" t="str">
        <f t="shared" ref="BX1" si="8">"W"&amp;WEEKNUM(BX6)</f>
        <v>W15</v>
      </c>
      <c r="BY1" s="565"/>
      <c r="BZ1" s="565"/>
      <c r="CA1" s="565"/>
      <c r="CB1" s="565"/>
      <c r="CC1" s="565"/>
      <c r="CD1" s="566"/>
      <c r="CE1" s="565" t="str">
        <f t="shared" ref="CE1" si="9">"W"&amp;WEEKNUM(CE6)</f>
        <v>W16</v>
      </c>
      <c r="CF1" s="565"/>
      <c r="CG1" s="565"/>
      <c r="CH1" s="565"/>
      <c r="CI1" s="565"/>
      <c r="CJ1" s="565"/>
      <c r="CK1" s="566"/>
      <c r="CL1" s="565" t="str">
        <f t="shared" ref="CL1" si="10">"W"&amp;WEEKNUM(CL6)</f>
        <v>W17</v>
      </c>
      <c r="CM1" s="565"/>
      <c r="CN1" s="565"/>
      <c r="CO1" s="565"/>
      <c r="CP1" s="565"/>
      <c r="CQ1" s="565"/>
      <c r="CR1" s="566"/>
      <c r="CS1" s="565" t="str">
        <f t="shared" ref="CS1" si="11">"W"&amp;WEEKNUM(CS6)</f>
        <v>W18</v>
      </c>
      <c r="CT1" s="565"/>
      <c r="CU1" s="565"/>
      <c r="CV1" s="565"/>
      <c r="CW1" s="565"/>
      <c r="CX1" s="565"/>
      <c r="CY1" s="566"/>
      <c r="CZ1" s="565" t="str">
        <f t="shared" ref="CZ1" si="12">"W"&amp;WEEKNUM(CZ6)</f>
        <v>W19</v>
      </c>
      <c r="DA1" s="565"/>
      <c r="DB1" s="565"/>
      <c r="DC1" s="565"/>
      <c r="DD1" s="565"/>
      <c r="DE1" s="565"/>
      <c r="DF1" s="566"/>
      <c r="DG1" s="565" t="str">
        <f t="shared" ref="DG1" si="13">"W"&amp;WEEKNUM(DG6)</f>
        <v>W20</v>
      </c>
      <c r="DH1" s="565"/>
      <c r="DI1" s="565"/>
      <c r="DJ1" s="565"/>
      <c r="DK1" s="565"/>
      <c r="DL1" s="565"/>
      <c r="DM1" s="566"/>
      <c r="DN1" s="565" t="str">
        <f t="shared" ref="DN1" si="14">"W"&amp;WEEKNUM(DN6)</f>
        <v>W21</v>
      </c>
      <c r="DO1" s="565"/>
      <c r="DP1" s="565"/>
      <c r="DQ1" s="565"/>
      <c r="DR1" s="565"/>
      <c r="DS1" s="565"/>
      <c r="DT1" s="566"/>
      <c r="DU1" s="565" t="str">
        <f>"W"&amp;WEEKNUM(DU6)</f>
        <v>W22</v>
      </c>
      <c r="DV1" s="565"/>
      <c r="DW1" s="565"/>
      <c r="DX1" s="565"/>
      <c r="DY1" s="565"/>
      <c r="DZ1" s="565"/>
      <c r="EA1" s="566"/>
      <c r="EB1" s="565" t="str">
        <f>"W"&amp;WEEKNUM(EB6)</f>
        <v>W23</v>
      </c>
      <c r="EC1" s="565"/>
      <c r="ED1" s="565"/>
      <c r="EE1" s="565"/>
      <c r="EF1" s="565"/>
      <c r="EG1" s="565"/>
      <c r="EH1" s="566"/>
    </row>
    <row r="2" spans="1:138" s="11" customFormat="1" ht="9" customHeight="1" thickBot="1">
      <c r="A2" s="568"/>
      <c r="B2" s="615"/>
      <c r="C2" s="574"/>
      <c r="D2" s="575"/>
      <c r="E2" s="576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  <c r="DU2" s="579" t="s">
        <v>17</v>
      </c>
      <c r="DV2" s="577"/>
      <c r="DW2" s="577"/>
      <c r="DX2" s="577"/>
      <c r="DY2" s="577"/>
      <c r="DZ2" s="577"/>
      <c r="EA2" s="578"/>
      <c r="EB2" s="579" t="s">
        <v>18</v>
      </c>
      <c r="EC2" s="577"/>
      <c r="ED2" s="577"/>
      <c r="EE2" s="577"/>
      <c r="EF2" s="577"/>
      <c r="EG2" s="577"/>
      <c r="EH2" s="578"/>
    </row>
    <row r="3" spans="1:138" s="12" customFormat="1" ht="9" customHeight="1" thickTop="1">
      <c r="A3" s="580" t="s">
        <v>19</v>
      </c>
      <c r="B3" s="612" t="str">
        <f>_xlfn.XLOOKUP(A25,'VTT actif'!F:F,'VTT actif'!X:X,"-",0)</f>
        <v>KWE Shanghai</v>
      </c>
      <c r="C3" s="572">
        <f>_xlfn.XLOOKUP(A25,'VTT actif'!F:F,'VTT actif'!Y:Y,"-",0)</f>
        <v>26037000</v>
      </c>
      <c r="D3" s="572"/>
      <c r="E3" s="573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  <c r="DU3" s="36" t="s">
        <v>20</v>
      </c>
      <c r="DV3" s="33" t="s">
        <v>21</v>
      </c>
      <c r="DW3" s="33" t="s">
        <v>21</v>
      </c>
      <c r="DX3" s="33" t="s">
        <v>22</v>
      </c>
      <c r="DY3" s="33" t="s">
        <v>23</v>
      </c>
      <c r="DZ3" s="34" t="s">
        <v>24</v>
      </c>
      <c r="EA3" s="35" t="s">
        <v>25</v>
      </c>
      <c r="EB3" s="36" t="s">
        <v>20</v>
      </c>
      <c r="EC3" s="33" t="s">
        <v>21</v>
      </c>
      <c r="ED3" s="33" t="s">
        <v>21</v>
      </c>
      <c r="EE3" s="33" t="s">
        <v>22</v>
      </c>
      <c r="EF3" s="33" t="s">
        <v>23</v>
      </c>
      <c r="EG3" s="34" t="s">
        <v>24</v>
      </c>
      <c r="EH3" s="35" t="s">
        <v>25</v>
      </c>
    </row>
    <row r="4" spans="1:138" s="12" customFormat="1" ht="9" customHeight="1" thickBot="1">
      <c r="A4" s="581"/>
      <c r="B4" s="613"/>
      <c r="C4" s="575"/>
      <c r="D4" s="575"/>
      <c r="E4" s="576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  <c r="DU4" s="36" t="s">
        <v>26</v>
      </c>
      <c r="DV4" s="33" t="s">
        <v>27</v>
      </c>
      <c r="DW4" s="33" t="s">
        <v>28</v>
      </c>
      <c r="DX4" s="33" t="s">
        <v>29</v>
      </c>
      <c r="DY4" s="33" t="s">
        <v>30</v>
      </c>
      <c r="DZ4" s="34" t="s">
        <v>31</v>
      </c>
      <c r="EA4" s="35" t="s">
        <v>32</v>
      </c>
      <c r="EB4" s="36" t="s">
        <v>26</v>
      </c>
      <c r="EC4" s="33" t="s">
        <v>27</v>
      </c>
      <c r="ED4" s="33" t="s">
        <v>28</v>
      </c>
      <c r="EE4" s="33" t="s">
        <v>29</v>
      </c>
      <c r="EF4" s="33" t="s">
        <v>30</v>
      </c>
      <c r="EG4" s="34" t="s">
        <v>31</v>
      </c>
      <c r="EH4" s="35" t="s">
        <v>32</v>
      </c>
    </row>
    <row r="5" spans="1:138" s="12" customFormat="1" ht="15" customHeight="1" thickTop="1" thickBot="1">
      <c r="A5" s="56" t="s">
        <v>33</v>
      </c>
      <c r="B5" s="58">
        <f>_xlfn.XLOOKUP(A25,'VTT actif'!F:F,'VTT actif'!AL:AL,"-",0)</f>
        <v>0</v>
      </c>
      <c r="C5" s="582" t="str">
        <f>_xlfn.XLOOKUP(A25,'VTT actif'!F:F,'VTT actif'!AM:AM,"-",0)</f>
        <v>-</v>
      </c>
      <c r="D5" s="583"/>
      <c r="E5" s="584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  <c r="DU5" s="38">
        <v>120</v>
      </c>
      <c r="DV5" s="38">
        <v>121</v>
      </c>
      <c r="DW5" s="38">
        <v>122</v>
      </c>
      <c r="DX5" s="38">
        <v>123</v>
      </c>
      <c r="DY5" s="38">
        <v>124</v>
      </c>
      <c r="DZ5" s="38">
        <v>125</v>
      </c>
      <c r="EA5" s="38">
        <v>126</v>
      </c>
      <c r="EB5" s="38">
        <v>127</v>
      </c>
      <c r="EC5" s="38">
        <v>128</v>
      </c>
      <c r="ED5" s="38">
        <v>129</v>
      </c>
      <c r="EE5" s="38">
        <v>130</v>
      </c>
      <c r="EF5" s="38">
        <v>131</v>
      </c>
      <c r="EG5" s="38">
        <v>132</v>
      </c>
      <c r="EH5" s="38">
        <v>133</v>
      </c>
    </row>
    <row r="6" spans="1:138" s="46" customFormat="1" ht="51.75" customHeight="1" thickTop="1" thickBot="1">
      <c r="A6" s="56" t="s">
        <v>34</v>
      </c>
      <c r="B6" s="58" t="str">
        <f>_xlfn.XLOOKUP(A25,'VTT actif'!F:F,'VTT actif'!L:L,"-",0)</f>
        <v>OYAK MEKA</v>
      </c>
      <c r="C6" s="571">
        <f>_xlfn.XLOOKUP(A25,'VTT actif'!F:F,'VTT actif'!M:M,"-",0)</f>
        <v>90014400</v>
      </c>
      <c r="D6" s="572"/>
      <c r="E6" s="573"/>
      <c r="F6" s="349">
        <v>46048</v>
      </c>
      <c r="G6" s="43">
        <f>F6+1</f>
        <v>46049</v>
      </c>
      <c r="H6" s="43">
        <f t="shared" ref="H6:BS6" si="15">G6+1</f>
        <v>46050</v>
      </c>
      <c r="I6" s="43">
        <f t="shared" si="15"/>
        <v>46051</v>
      </c>
      <c r="J6" s="43">
        <f t="shared" si="15"/>
        <v>46052</v>
      </c>
      <c r="K6" s="44">
        <f t="shared" si="15"/>
        <v>46053</v>
      </c>
      <c r="L6" s="45">
        <f t="shared" si="15"/>
        <v>46054</v>
      </c>
      <c r="M6" s="43">
        <f t="shared" si="15"/>
        <v>46055</v>
      </c>
      <c r="N6" s="43">
        <f t="shared" si="15"/>
        <v>46056</v>
      </c>
      <c r="O6" s="43">
        <f t="shared" si="15"/>
        <v>46057</v>
      </c>
      <c r="P6" s="43">
        <f t="shared" si="15"/>
        <v>46058</v>
      </c>
      <c r="Q6" s="43">
        <f t="shared" si="15"/>
        <v>46059</v>
      </c>
      <c r="R6" s="44">
        <f t="shared" si="15"/>
        <v>46060</v>
      </c>
      <c r="S6" s="45">
        <f t="shared" si="15"/>
        <v>46061</v>
      </c>
      <c r="T6" s="43">
        <f t="shared" si="15"/>
        <v>46062</v>
      </c>
      <c r="U6" s="43">
        <f t="shared" si="15"/>
        <v>46063</v>
      </c>
      <c r="V6" s="43">
        <f t="shared" si="15"/>
        <v>46064</v>
      </c>
      <c r="W6" s="43">
        <f t="shared" si="15"/>
        <v>46065</v>
      </c>
      <c r="X6" s="43">
        <f t="shared" si="15"/>
        <v>46066</v>
      </c>
      <c r="Y6" s="44">
        <f t="shared" si="15"/>
        <v>46067</v>
      </c>
      <c r="Z6" s="45">
        <f t="shared" si="15"/>
        <v>46068</v>
      </c>
      <c r="AA6" s="43">
        <f t="shared" si="15"/>
        <v>46069</v>
      </c>
      <c r="AB6" s="43">
        <f t="shared" si="15"/>
        <v>46070</v>
      </c>
      <c r="AC6" s="43">
        <f t="shared" si="15"/>
        <v>46071</v>
      </c>
      <c r="AD6" s="43">
        <f t="shared" si="15"/>
        <v>46072</v>
      </c>
      <c r="AE6" s="43">
        <f t="shared" si="15"/>
        <v>46073</v>
      </c>
      <c r="AF6" s="44">
        <f t="shared" si="15"/>
        <v>46074</v>
      </c>
      <c r="AG6" s="45">
        <f t="shared" si="15"/>
        <v>46075</v>
      </c>
      <c r="AH6" s="43">
        <f t="shared" si="15"/>
        <v>46076</v>
      </c>
      <c r="AI6" s="43">
        <f t="shared" si="15"/>
        <v>46077</v>
      </c>
      <c r="AJ6" s="43">
        <f t="shared" si="15"/>
        <v>46078</v>
      </c>
      <c r="AK6" s="43">
        <f t="shared" si="15"/>
        <v>46079</v>
      </c>
      <c r="AL6" s="43">
        <f t="shared" si="15"/>
        <v>46080</v>
      </c>
      <c r="AM6" s="44">
        <f t="shared" si="15"/>
        <v>46081</v>
      </c>
      <c r="AN6" s="45">
        <f t="shared" si="15"/>
        <v>46082</v>
      </c>
      <c r="AO6" s="43">
        <f t="shared" si="15"/>
        <v>46083</v>
      </c>
      <c r="AP6" s="43">
        <f t="shared" si="15"/>
        <v>46084</v>
      </c>
      <c r="AQ6" s="43">
        <f t="shared" si="15"/>
        <v>46085</v>
      </c>
      <c r="AR6" s="43">
        <f t="shared" si="15"/>
        <v>46086</v>
      </c>
      <c r="AS6" s="43">
        <f t="shared" si="15"/>
        <v>46087</v>
      </c>
      <c r="AT6" s="44">
        <f t="shared" si="15"/>
        <v>46088</v>
      </c>
      <c r="AU6" s="45">
        <f t="shared" si="15"/>
        <v>46089</v>
      </c>
      <c r="AV6" s="43">
        <f t="shared" si="15"/>
        <v>46090</v>
      </c>
      <c r="AW6" s="43">
        <f t="shared" si="15"/>
        <v>46091</v>
      </c>
      <c r="AX6" s="43">
        <f t="shared" si="15"/>
        <v>46092</v>
      </c>
      <c r="AY6" s="43">
        <f t="shared" si="15"/>
        <v>46093</v>
      </c>
      <c r="AZ6" s="43">
        <f t="shared" si="15"/>
        <v>46094</v>
      </c>
      <c r="BA6" s="44">
        <f t="shared" si="15"/>
        <v>46095</v>
      </c>
      <c r="BB6" s="45">
        <f t="shared" si="15"/>
        <v>46096</v>
      </c>
      <c r="BC6" s="43">
        <f t="shared" si="15"/>
        <v>46097</v>
      </c>
      <c r="BD6" s="43">
        <f t="shared" si="15"/>
        <v>46098</v>
      </c>
      <c r="BE6" s="43">
        <f t="shared" si="15"/>
        <v>46099</v>
      </c>
      <c r="BF6" s="43">
        <f t="shared" si="15"/>
        <v>46100</v>
      </c>
      <c r="BG6" s="43">
        <f t="shared" si="15"/>
        <v>46101</v>
      </c>
      <c r="BH6" s="44">
        <f t="shared" si="15"/>
        <v>46102</v>
      </c>
      <c r="BI6" s="45">
        <f t="shared" si="15"/>
        <v>46103</v>
      </c>
      <c r="BJ6" s="43">
        <f t="shared" si="15"/>
        <v>46104</v>
      </c>
      <c r="BK6" s="43">
        <f t="shared" si="15"/>
        <v>46105</v>
      </c>
      <c r="BL6" s="43">
        <f t="shared" si="15"/>
        <v>46106</v>
      </c>
      <c r="BM6" s="43">
        <f t="shared" si="15"/>
        <v>46107</v>
      </c>
      <c r="BN6" s="43">
        <f t="shared" si="15"/>
        <v>46108</v>
      </c>
      <c r="BO6" s="44">
        <f t="shared" si="15"/>
        <v>46109</v>
      </c>
      <c r="BP6" s="45">
        <f t="shared" si="15"/>
        <v>46110</v>
      </c>
      <c r="BQ6" s="43">
        <f t="shared" si="15"/>
        <v>46111</v>
      </c>
      <c r="BR6" s="43">
        <f t="shared" si="15"/>
        <v>46112</v>
      </c>
      <c r="BS6" s="43">
        <f t="shared" si="15"/>
        <v>46113</v>
      </c>
      <c r="BT6" s="43">
        <f t="shared" ref="BT6:EE6" si="16">BS6+1</f>
        <v>46114</v>
      </c>
      <c r="BU6" s="43">
        <f t="shared" si="16"/>
        <v>46115</v>
      </c>
      <c r="BV6" s="44">
        <f t="shared" si="16"/>
        <v>46116</v>
      </c>
      <c r="BW6" s="45">
        <f t="shared" si="16"/>
        <v>46117</v>
      </c>
      <c r="BX6" s="43">
        <f t="shared" si="16"/>
        <v>46118</v>
      </c>
      <c r="BY6" s="43">
        <f t="shared" si="16"/>
        <v>46119</v>
      </c>
      <c r="BZ6" s="43">
        <f t="shared" si="16"/>
        <v>46120</v>
      </c>
      <c r="CA6" s="43">
        <f t="shared" si="16"/>
        <v>46121</v>
      </c>
      <c r="CB6" s="43">
        <f t="shared" si="16"/>
        <v>46122</v>
      </c>
      <c r="CC6" s="44">
        <f t="shared" si="16"/>
        <v>46123</v>
      </c>
      <c r="CD6" s="45">
        <f t="shared" si="16"/>
        <v>46124</v>
      </c>
      <c r="CE6" s="43">
        <f t="shared" si="16"/>
        <v>46125</v>
      </c>
      <c r="CF6" s="43">
        <f t="shared" si="16"/>
        <v>46126</v>
      </c>
      <c r="CG6" s="43">
        <f t="shared" si="16"/>
        <v>46127</v>
      </c>
      <c r="CH6" s="43">
        <f t="shared" si="16"/>
        <v>46128</v>
      </c>
      <c r="CI6" s="43">
        <f t="shared" si="16"/>
        <v>46129</v>
      </c>
      <c r="CJ6" s="44">
        <f t="shared" si="16"/>
        <v>46130</v>
      </c>
      <c r="CK6" s="45">
        <f t="shared" si="16"/>
        <v>46131</v>
      </c>
      <c r="CL6" s="43">
        <f t="shared" si="16"/>
        <v>46132</v>
      </c>
      <c r="CM6" s="43">
        <f t="shared" si="16"/>
        <v>46133</v>
      </c>
      <c r="CN6" s="43">
        <f t="shared" si="16"/>
        <v>46134</v>
      </c>
      <c r="CO6" s="43">
        <f t="shared" si="16"/>
        <v>46135</v>
      </c>
      <c r="CP6" s="43">
        <f t="shared" si="16"/>
        <v>46136</v>
      </c>
      <c r="CQ6" s="44">
        <f t="shared" si="16"/>
        <v>46137</v>
      </c>
      <c r="CR6" s="45">
        <f t="shared" si="16"/>
        <v>46138</v>
      </c>
      <c r="CS6" s="43">
        <f t="shared" si="16"/>
        <v>46139</v>
      </c>
      <c r="CT6" s="43">
        <f t="shared" si="16"/>
        <v>46140</v>
      </c>
      <c r="CU6" s="43">
        <f t="shared" si="16"/>
        <v>46141</v>
      </c>
      <c r="CV6" s="43">
        <f t="shared" si="16"/>
        <v>46142</v>
      </c>
      <c r="CW6" s="43">
        <f t="shared" si="16"/>
        <v>46143</v>
      </c>
      <c r="CX6" s="44">
        <f t="shared" si="16"/>
        <v>46144</v>
      </c>
      <c r="CY6" s="45">
        <f t="shared" si="16"/>
        <v>46145</v>
      </c>
      <c r="CZ6" s="43">
        <f t="shared" si="16"/>
        <v>46146</v>
      </c>
      <c r="DA6" s="43">
        <f t="shared" si="16"/>
        <v>46147</v>
      </c>
      <c r="DB6" s="43">
        <f t="shared" si="16"/>
        <v>46148</v>
      </c>
      <c r="DC6" s="43">
        <f t="shared" si="16"/>
        <v>46149</v>
      </c>
      <c r="DD6" s="43">
        <f t="shared" si="16"/>
        <v>46150</v>
      </c>
      <c r="DE6" s="44">
        <f t="shared" si="16"/>
        <v>46151</v>
      </c>
      <c r="DF6" s="45">
        <f t="shared" si="16"/>
        <v>46152</v>
      </c>
      <c r="DG6" s="43">
        <f t="shared" si="16"/>
        <v>46153</v>
      </c>
      <c r="DH6" s="43">
        <f t="shared" si="16"/>
        <v>46154</v>
      </c>
      <c r="DI6" s="43">
        <f t="shared" si="16"/>
        <v>46155</v>
      </c>
      <c r="DJ6" s="43">
        <f t="shared" si="16"/>
        <v>46156</v>
      </c>
      <c r="DK6" s="43">
        <f t="shared" si="16"/>
        <v>46157</v>
      </c>
      <c r="DL6" s="44">
        <f t="shared" si="16"/>
        <v>46158</v>
      </c>
      <c r="DM6" s="45">
        <f t="shared" si="16"/>
        <v>46159</v>
      </c>
      <c r="DN6" s="43">
        <f t="shared" si="16"/>
        <v>46160</v>
      </c>
      <c r="DO6" s="43">
        <f t="shared" si="16"/>
        <v>46161</v>
      </c>
      <c r="DP6" s="43">
        <f t="shared" si="16"/>
        <v>46162</v>
      </c>
      <c r="DQ6" s="43">
        <f t="shared" si="16"/>
        <v>46163</v>
      </c>
      <c r="DR6" s="43">
        <f t="shared" si="16"/>
        <v>46164</v>
      </c>
      <c r="DS6" s="44">
        <f t="shared" si="16"/>
        <v>46165</v>
      </c>
      <c r="DT6" s="45">
        <f t="shared" si="16"/>
        <v>46166</v>
      </c>
      <c r="DU6" s="43">
        <f t="shared" si="16"/>
        <v>46167</v>
      </c>
      <c r="DV6" s="43">
        <f t="shared" si="16"/>
        <v>46168</v>
      </c>
      <c r="DW6" s="43">
        <f t="shared" si="16"/>
        <v>46169</v>
      </c>
      <c r="DX6" s="43">
        <f t="shared" si="16"/>
        <v>46170</v>
      </c>
      <c r="DY6" s="43">
        <f t="shared" si="16"/>
        <v>46171</v>
      </c>
      <c r="DZ6" s="44">
        <f t="shared" si="16"/>
        <v>46172</v>
      </c>
      <c r="EA6" s="45">
        <f t="shared" si="16"/>
        <v>46173</v>
      </c>
      <c r="EB6" s="43">
        <f t="shared" si="16"/>
        <v>46174</v>
      </c>
      <c r="EC6" s="43">
        <f t="shared" si="16"/>
        <v>46175</v>
      </c>
      <c r="ED6" s="43">
        <f t="shared" si="16"/>
        <v>46176</v>
      </c>
      <c r="EE6" s="43">
        <f t="shared" si="16"/>
        <v>46177</v>
      </c>
      <c r="EF6" s="43">
        <f t="shared" ref="EF6:EH6" si="17">EE6+1</f>
        <v>46178</v>
      </c>
      <c r="EG6" s="44">
        <f t="shared" si="17"/>
        <v>46179</v>
      </c>
      <c r="EH6" s="45">
        <f t="shared" si="17"/>
        <v>46180</v>
      </c>
    </row>
    <row r="7" spans="1:138" s="17" customFormat="1" ht="17.25" customHeight="1" thickTop="1">
      <c r="A7" s="56" t="s">
        <v>36</v>
      </c>
      <c r="B7" s="129">
        <v>927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  <c r="DU7" s="13"/>
      <c r="DV7" s="14"/>
      <c r="DW7" s="14"/>
      <c r="DX7" s="14"/>
      <c r="DY7" s="14"/>
      <c r="DZ7" s="15"/>
      <c r="EA7" s="16"/>
      <c r="EB7" s="13"/>
      <c r="EC7" s="14"/>
      <c r="ED7" s="14"/>
      <c r="EE7" s="14"/>
      <c r="EF7" s="14"/>
      <c r="EG7" s="15"/>
      <c r="EH7" s="16"/>
    </row>
    <row r="8" spans="1:138" s="17" customFormat="1" ht="9.75" customHeight="1">
      <c r="A8" s="585" t="str">
        <f ca="1">_xlfn.XLOOKUP(A25,'VTT actif'!F:F,'VTT actif'!AA:AA,"-",0)&amp;" &gt; "&amp;_xlfn.XLOOKUP(A25,'VTT actif'!F:F,'VTT actif'!AG:AG,"-",0)</f>
        <v>CNSHA &gt; TRIZT</v>
      </c>
      <c r="B8" s="18"/>
      <c r="C8" s="19">
        <f>_xlfn.XLOOKUP(A25,'VTT actif'!F:F,'VTT actif'!N:N,"-",0)</f>
        <v>2</v>
      </c>
      <c r="D8" s="20">
        <v>0</v>
      </c>
      <c r="E8" s="19">
        <f>(C8+D8)</f>
        <v>2</v>
      </c>
      <c r="F8" s="13" t="str">
        <f t="shared" ref="F8:Z20" si="18">IF(AND(F$5&gt;=$C8,F$5&lt;=$E8),1,"")</f>
        <v/>
      </c>
      <c r="G8" s="14">
        <f t="shared" si="18"/>
        <v>1</v>
      </c>
      <c r="H8" s="14" t="str">
        <f t="shared" si="18"/>
        <v/>
      </c>
      <c r="I8" s="14" t="str">
        <f t="shared" si="18"/>
        <v/>
      </c>
      <c r="J8" s="14" t="str">
        <f t="shared" si="18"/>
        <v/>
      </c>
      <c r="K8" s="15" t="s">
        <v>65</v>
      </c>
      <c r="L8" s="16" t="str">
        <f t="shared" si="18"/>
        <v/>
      </c>
      <c r="M8" s="13" t="str">
        <f t="shared" si="18"/>
        <v/>
      </c>
      <c r="N8" s="14" t="str">
        <f t="shared" si="18"/>
        <v/>
      </c>
      <c r="O8" s="14" t="str">
        <f t="shared" si="18"/>
        <v/>
      </c>
      <c r="P8" s="14" t="str">
        <f t="shared" si="18"/>
        <v/>
      </c>
      <c r="Q8" s="14" t="str">
        <f t="shared" si="18"/>
        <v/>
      </c>
      <c r="R8" s="15" t="str">
        <f t="shared" si="18"/>
        <v/>
      </c>
      <c r="S8" s="16" t="str">
        <f t="shared" si="18"/>
        <v/>
      </c>
      <c r="T8" s="13" t="str">
        <f t="shared" si="18"/>
        <v/>
      </c>
      <c r="U8" s="14" t="str">
        <f t="shared" si="18"/>
        <v/>
      </c>
      <c r="V8" s="14" t="str">
        <f t="shared" si="18"/>
        <v/>
      </c>
      <c r="W8" s="14" t="str">
        <f t="shared" si="18"/>
        <v/>
      </c>
      <c r="X8" s="14" t="str">
        <f t="shared" si="18"/>
        <v/>
      </c>
      <c r="Y8" s="15" t="str">
        <f t="shared" si="18"/>
        <v/>
      </c>
      <c r="Z8" s="16" t="str">
        <f t="shared" si="18"/>
        <v/>
      </c>
      <c r="AA8" s="13" t="str">
        <f t="shared" ref="AA8:AP24" si="19">IF(AND(AA$5&gt;=$C8,AA$5&lt;=$E8),1,"")</f>
        <v/>
      </c>
      <c r="AB8" s="14" t="str">
        <f t="shared" si="19"/>
        <v/>
      </c>
      <c r="AC8" s="14" t="str">
        <f t="shared" si="19"/>
        <v/>
      </c>
      <c r="AD8" s="14" t="str">
        <f t="shared" si="19"/>
        <v/>
      </c>
      <c r="AE8" s="14" t="str">
        <f t="shared" si="19"/>
        <v/>
      </c>
      <c r="AF8" s="15" t="str">
        <f t="shared" si="19"/>
        <v/>
      </c>
      <c r="AG8" s="16" t="str">
        <f t="shared" si="19"/>
        <v/>
      </c>
      <c r="AH8" s="13" t="str">
        <f t="shared" si="19"/>
        <v/>
      </c>
      <c r="AI8" s="14" t="str">
        <f t="shared" si="19"/>
        <v/>
      </c>
      <c r="AJ8" s="14" t="str">
        <f t="shared" si="19"/>
        <v/>
      </c>
      <c r="AK8" s="14" t="str">
        <f t="shared" si="19"/>
        <v/>
      </c>
      <c r="AL8" s="14" t="str">
        <f t="shared" si="19"/>
        <v/>
      </c>
      <c r="AM8" s="15" t="str">
        <f t="shared" si="19"/>
        <v/>
      </c>
      <c r="AN8" s="16" t="str">
        <f t="shared" si="19"/>
        <v/>
      </c>
      <c r="AO8" s="13" t="str">
        <f t="shared" si="19"/>
        <v/>
      </c>
      <c r="AP8" s="14" t="str">
        <f t="shared" si="19"/>
        <v/>
      </c>
      <c r="AQ8" s="14" t="str">
        <f t="shared" ref="AQ8:BF24" si="20">IF(AND(AQ$5&gt;=$C8,AQ$5&lt;=$E8),1,"")</f>
        <v/>
      </c>
      <c r="AR8" s="14" t="str">
        <f t="shared" si="20"/>
        <v/>
      </c>
      <c r="AS8" s="14" t="str">
        <f t="shared" si="20"/>
        <v/>
      </c>
      <c r="AT8" s="15" t="str">
        <f t="shared" si="20"/>
        <v/>
      </c>
      <c r="AU8" s="16" t="str">
        <f t="shared" si="20"/>
        <v/>
      </c>
      <c r="AV8" s="13" t="str">
        <f t="shared" si="20"/>
        <v/>
      </c>
      <c r="AW8" s="14" t="str">
        <f t="shared" si="20"/>
        <v/>
      </c>
      <c r="AX8" s="14" t="str">
        <f t="shared" si="20"/>
        <v/>
      </c>
      <c r="AY8" s="14" t="str">
        <f t="shared" si="20"/>
        <v/>
      </c>
      <c r="AZ8" s="14" t="str">
        <f t="shared" si="20"/>
        <v/>
      </c>
      <c r="BA8" s="15" t="str">
        <f t="shared" si="20"/>
        <v/>
      </c>
      <c r="BB8" s="16" t="str">
        <f t="shared" si="20"/>
        <v/>
      </c>
      <c r="BC8" s="13" t="str">
        <f t="shared" si="20"/>
        <v/>
      </c>
      <c r="BD8" s="14" t="str">
        <f t="shared" si="20"/>
        <v/>
      </c>
      <c r="BE8" s="14" t="str">
        <f t="shared" si="20"/>
        <v/>
      </c>
      <c r="BF8" s="14" t="str">
        <f t="shared" si="20"/>
        <v/>
      </c>
      <c r="BG8" s="14" t="str">
        <f t="shared" ref="BG8:BV24" si="21">IF(AND(BG$5&gt;=$C8,BG$5&lt;=$E8),1,"")</f>
        <v/>
      </c>
      <c r="BH8" s="15" t="str">
        <f t="shared" si="21"/>
        <v/>
      </c>
      <c r="BI8" s="16" t="str">
        <f t="shared" si="21"/>
        <v/>
      </c>
      <c r="BJ8" s="13" t="str">
        <f t="shared" si="21"/>
        <v/>
      </c>
      <c r="BK8" s="14" t="str">
        <f t="shared" si="21"/>
        <v/>
      </c>
      <c r="BL8" s="14" t="str">
        <f t="shared" si="21"/>
        <v/>
      </c>
      <c r="BM8" s="14" t="str">
        <f t="shared" si="21"/>
        <v/>
      </c>
      <c r="BN8" s="14" t="str">
        <f t="shared" si="21"/>
        <v/>
      </c>
      <c r="BO8" s="15" t="str">
        <f t="shared" si="21"/>
        <v/>
      </c>
      <c r="BP8" s="16" t="str">
        <f t="shared" si="21"/>
        <v/>
      </c>
      <c r="BQ8" s="13" t="str">
        <f t="shared" si="21"/>
        <v/>
      </c>
      <c r="BR8" s="14" t="str">
        <f t="shared" si="21"/>
        <v/>
      </c>
      <c r="BS8" s="14" t="str">
        <f t="shared" si="21"/>
        <v/>
      </c>
      <c r="BT8" s="14" t="str">
        <f t="shared" si="21"/>
        <v/>
      </c>
      <c r="BU8" s="14" t="str">
        <f t="shared" si="21"/>
        <v/>
      </c>
      <c r="BV8" s="15" t="str">
        <f t="shared" si="21"/>
        <v/>
      </c>
      <c r="BW8" s="16" t="str">
        <f t="shared" ref="BW8:CL23" si="22">IF(AND(BW$5&gt;=$C8,BW$5&lt;=$E8),1,"")</f>
        <v/>
      </c>
      <c r="BX8" s="13" t="str">
        <f t="shared" si="22"/>
        <v/>
      </c>
      <c r="BY8" s="14" t="str">
        <f t="shared" si="22"/>
        <v/>
      </c>
      <c r="BZ8" s="14" t="str">
        <f t="shared" si="22"/>
        <v/>
      </c>
      <c r="CA8" s="14" t="str">
        <f t="shared" si="22"/>
        <v/>
      </c>
      <c r="CB8" s="14" t="str">
        <f t="shared" si="22"/>
        <v/>
      </c>
      <c r="CC8" s="15" t="str">
        <f t="shared" si="22"/>
        <v/>
      </c>
      <c r="CD8" s="16" t="str">
        <f t="shared" si="22"/>
        <v/>
      </c>
      <c r="CE8" s="13" t="str">
        <f t="shared" si="22"/>
        <v/>
      </c>
      <c r="CF8" s="14" t="str">
        <f t="shared" si="22"/>
        <v/>
      </c>
      <c r="CG8" s="14" t="str">
        <f t="shared" si="22"/>
        <v/>
      </c>
      <c r="CH8" s="14" t="str">
        <f t="shared" si="22"/>
        <v/>
      </c>
      <c r="CI8" s="14" t="str">
        <f t="shared" si="22"/>
        <v/>
      </c>
      <c r="CJ8" s="15" t="str">
        <f t="shared" si="22"/>
        <v/>
      </c>
      <c r="CK8" s="16" t="str">
        <f t="shared" si="22"/>
        <v/>
      </c>
      <c r="CL8" s="13" t="str">
        <f t="shared" si="22"/>
        <v/>
      </c>
      <c r="CM8" s="14" t="str">
        <f t="shared" ref="CM8:DB23" si="23">IF(AND(CM$5&gt;=$C8,CM$5&lt;=$E8),1,"")</f>
        <v/>
      </c>
      <c r="CN8" s="14" t="str">
        <f t="shared" si="23"/>
        <v/>
      </c>
      <c r="CO8" s="14" t="str">
        <f t="shared" si="23"/>
        <v/>
      </c>
      <c r="CP8" s="14" t="str">
        <f t="shared" si="23"/>
        <v/>
      </c>
      <c r="CQ8" s="15" t="str">
        <f t="shared" si="23"/>
        <v/>
      </c>
      <c r="CR8" s="16" t="str">
        <f t="shared" si="23"/>
        <v/>
      </c>
      <c r="CS8" s="13" t="str">
        <f t="shared" si="23"/>
        <v/>
      </c>
      <c r="CT8" s="14" t="str">
        <f t="shared" si="23"/>
        <v/>
      </c>
      <c r="CU8" s="14" t="str">
        <f t="shared" si="23"/>
        <v/>
      </c>
      <c r="CV8" s="14" t="str">
        <f t="shared" si="23"/>
        <v/>
      </c>
      <c r="CW8" s="14" t="str">
        <f t="shared" si="23"/>
        <v/>
      </c>
      <c r="CX8" s="15" t="str">
        <f t="shared" si="23"/>
        <v/>
      </c>
      <c r="CY8" s="16" t="str">
        <f t="shared" si="23"/>
        <v/>
      </c>
      <c r="CZ8" s="13" t="str">
        <f t="shared" si="23"/>
        <v/>
      </c>
      <c r="DA8" s="14" t="str">
        <f t="shared" si="23"/>
        <v/>
      </c>
      <c r="DB8" s="14" t="str">
        <f t="shared" si="23"/>
        <v/>
      </c>
      <c r="DC8" s="14" t="str">
        <f t="shared" ref="DC8:DT22" si="24">IF(AND(DC$5&gt;=$C8,DC$5&lt;=$E8),1,"")</f>
        <v/>
      </c>
      <c r="DD8" s="14" t="str">
        <f t="shared" si="24"/>
        <v/>
      </c>
      <c r="DE8" s="15" t="str">
        <f t="shared" si="24"/>
        <v/>
      </c>
      <c r="DF8" s="16" t="str">
        <f t="shared" si="24"/>
        <v/>
      </c>
      <c r="DG8" s="13" t="str">
        <f t="shared" si="24"/>
        <v/>
      </c>
      <c r="DH8" s="14" t="str">
        <f t="shared" si="24"/>
        <v/>
      </c>
      <c r="DI8" s="14" t="str">
        <f t="shared" si="24"/>
        <v/>
      </c>
      <c r="DJ8" s="14" t="str">
        <f t="shared" si="24"/>
        <v/>
      </c>
      <c r="DK8" s="14" t="str">
        <f t="shared" si="24"/>
        <v/>
      </c>
      <c r="DL8" s="15" t="str">
        <f t="shared" si="24"/>
        <v/>
      </c>
      <c r="DM8" s="16" t="str">
        <f t="shared" si="24"/>
        <v/>
      </c>
      <c r="DN8" s="13" t="str">
        <f t="shared" si="24"/>
        <v/>
      </c>
      <c r="DO8" s="14" t="str">
        <f t="shared" si="24"/>
        <v/>
      </c>
      <c r="DP8" s="14" t="str">
        <f t="shared" si="24"/>
        <v/>
      </c>
      <c r="DQ8" s="14" t="str">
        <f t="shared" si="24"/>
        <v/>
      </c>
      <c r="DR8" s="14" t="str">
        <f t="shared" si="24"/>
        <v/>
      </c>
      <c r="DS8" s="15" t="str">
        <f t="shared" si="24"/>
        <v/>
      </c>
      <c r="DT8" s="16" t="str">
        <f t="shared" si="24"/>
        <v/>
      </c>
      <c r="DU8" s="13" t="str">
        <f t="shared" ref="DU8:EH23" si="25">IF(AND(DU$5&gt;=$C8,DU$5&lt;=$E8),1,"")</f>
        <v/>
      </c>
      <c r="DV8" s="14" t="str">
        <f t="shared" si="25"/>
        <v/>
      </c>
      <c r="DW8" s="14" t="str">
        <f t="shared" si="25"/>
        <v/>
      </c>
      <c r="DX8" s="14" t="str">
        <f t="shared" si="25"/>
        <v/>
      </c>
      <c r="DY8" s="14" t="str">
        <f t="shared" si="25"/>
        <v/>
      </c>
      <c r="DZ8" s="15" t="str">
        <f t="shared" si="25"/>
        <v/>
      </c>
      <c r="EA8" s="16" t="str">
        <f t="shared" si="25"/>
        <v/>
      </c>
      <c r="EB8" s="13" t="str">
        <f t="shared" si="25"/>
        <v/>
      </c>
      <c r="EC8" s="14" t="str">
        <f t="shared" si="25"/>
        <v/>
      </c>
      <c r="ED8" s="14" t="str">
        <f t="shared" si="25"/>
        <v/>
      </c>
      <c r="EE8" s="14" t="str">
        <f t="shared" si="25"/>
        <v/>
      </c>
      <c r="EF8" s="14" t="str">
        <f t="shared" si="25"/>
        <v/>
      </c>
      <c r="EG8" s="15" t="str">
        <f t="shared" si="25"/>
        <v/>
      </c>
      <c r="EH8" s="16" t="str">
        <f t="shared" si="25"/>
        <v/>
      </c>
    </row>
    <row r="9" spans="1:138" s="17" customFormat="1" ht="9.75" customHeight="1">
      <c r="A9" s="586"/>
      <c r="B9" s="18" t="str">
        <f>IF(B1="SFK Freight Forwarder","","Day ILN Order")</f>
        <v>Day ILN Order</v>
      </c>
      <c r="C9" s="19">
        <f>IF(B1="SFK Freight Forwarder",0,_xlfn.XLOOKUP(A25,'VTT actif'!F:F,'VTT actif'!Q:Q,"-",0))</f>
        <v>9</v>
      </c>
      <c r="D9" s="20">
        <v>0</v>
      </c>
      <c r="E9" s="19">
        <f>(C9+D9)</f>
        <v>9</v>
      </c>
      <c r="F9" s="13" t="str">
        <f t="shared" si="18"/>
        <v/>
      </c>
      <c r="G9" s="14" t="str">
        <f t="shared" si="18"/>
        <v/>
      </c>
      <c r="H9" s="14" t="str">
        <f t="shared" si="18"/>
        <v/>
      </c>
      <c r="I9" s="14" t="str">
        <f t="shared" si="18"/>
        <v/>
      </c>
      <c r="J9" s="14" t="str">
        <f t="shared" si="18"/>
        <v/>
      </c>
      <c r="K9" s="15" t="str">
        <f t="shared" si="18"/>
        <v/>
      </c>
      <c r="L9" s="16" t="str">
        <f t="shared" si="18"/>
        <v/>
      </c>
      <c r="M9" s="13" t="str">
        <f t="shared" si="18"/>
        <v/>
      </c>
      <c r="N9" s="14">
        <f t="shared" si="18"/>
        <v>1</v>
      </c>
      <c r="O9" s="14" t="str">
        <f t="shared" si="18"/>
        <v/>
      </c>
      <c r="P9" s="14" t="str">
        <f t="shared" si="18"/>
        <v/>
      </c>
      <c r="Q9" s="14" t="str">
        <f t="shared" si="18"/>
        <v/>
      </c>
      <c r="R9" s="15" t="str">
        <f t="shared" si="18"/>
        <v/>
      </c>
      <c r="S9" s="16" t="str">
        <f t="shared" si="18"/>
        <v/>
      </c>
      <c r="T9" s="13" t="str">
        <f t="shared" si="18"/>
        <v/>
      </c>
      <c r="U9" s="14" t="str">
        <f t="shared" si="18"/>
        <v/>
      </c>
      <c r="V9" s="14" t="str">
        <f t="shared" si="18"/>
        <v/>
      </c>
      <c r="W9" s="14" t="str">
        <f t="shared" si="18"/>
        <v/>
      </c>
      <c r="X9" s="14" t="str">
        <f t="shared" si="18"/>
        <v/>
      </c>
      <c r="Y9" s="15" t="str">
        <f t="shared" si="18"/>
        <v/>
      </c>
      <c r="Z9" s="16" t="str">
        <f t="shared" si="18"/>
        <v/>
      </c>
      <c r="AA9" s="13" t="str">
        <f t="shared" si="19"/>
        <v/>
      </c>
      <c r="AB9" s="14" t="str">
        <f t="shared" si="19"/>
        <v/>
      </c>
      <c r="AC9" s="14" t="str">
        <f t="shared" si="19"/>
        <v/>
      </c>
      <c r="AD9" s="14" t="str">
        <f t="shared" si="19"/>
        <v/>
      </c>
      <c r="AE9" s="14" t="str">
        <f t="shared" si="19"/>
        <v/>
      </c>
      <c r="AF9" s="15" t="str">
        <f t="shared" si="19"/>
        <v/>
      </c>
      <c r="AG9" s="16" t="str">
        <f t="shared" si="19"/>
        <v/>
      </c>
      <c r="AH9" s="13" t="str">
        <f t="shared" si="19"/>
        <v/>
      </c>
      <c r="AI9" s="14" t="str">
        <f t="shared" si="19"/>
        <v/>
      </c>
      <c r="AJ9" s="14" t="str">
        <f t="shared" si="19"/>
        <v/>
      </c>
      <c r="AK9" s="14" t="str">
        <f t="shared" si="19"/>
        <v/>
      </c>
      <c r="AL9" s="14" t="str">
        <f t="shared" si="19"/>
        <v/>
      </c>
      <c r="AM9" s="15" t="str">
        <f t="shared" si="19"/>
        <v/>
      </c>
      <c r="AN9" s="16" t="str">
        <f t="shared" si="19"/>
        <v/>
      </c>
      <c r="AO9" s="13" t="str">
        <f t="shared" si="19"/>
        <v/>
      </c>
      <c r="AP9" s="14" t="str">
        <f t="shared" si="19"/>
        <v/>
      </c>
      <c r="AQ9" s="14" t="str">
        <f t="shared" si="20"/>
        <v/>
      </c>
      <c r="AR9" s="14" t="str">
        <f t="shared" si="20"/>
        <v/>
      </c>
      <c r="AS9" s="14" t="str">
        <f t="shared" si="20"/>
        <v/>
      </c>
      <c r="AT9" s="15" t="str">
        <f t="shared" si="20"/>
        <v/>
      </c>
      <c r="AU9" s="16" t="str">
        <f t="shared" si="20"/>
        <v/>
      </c>
      <c r="AV9" s="13" t="str">
        <f t="shared" si="20"/>
        <v/>
      </c>
      <c r="AW9" s="14" t="str">
        <f t="shared" si="20"/>
        <v/>
      </c>
      <c r="AX9" s="14" t="str">
        <f t="shared" si="20"/>
        <v/>
      </c>
      <c r="AY9" s="14" t="str">
        <f t="shared" si="20"/>
        <v/>
      </c>
      <c r="AZ9" s="14" t="str">
        <f t="shared" si="20"/>
        <v/>
      </c>
      <c r="BA9" s="15" t="str">
        <f t="shared" si="20"/>
        <v/>
      </c>
      <c r="BB9" s="16" t="str">
        <f t="shared" si="20"/>
        <v/>
      </c>
      <c r="BC9" s="13" t="str">
        <f t="shared" si="20"/>
        <v/>
      </c>
      <c r="BD9" s="14" t="str">
        <f t="shared" si="20"/>
        <v/>
      </c>
      <c r="BE9" s="14" t="str">
        <f t="shared" si="20"/>
        <v/>
      </c>
      <c r="BF9" s="14" t="str">
        <f t="shared" si="20"/>
        <v/>
      </c>
      <c r="BG9" s="14" t="str">
        <f t="shared" si="21"/>
        <v/>
      </c>
      <c r="BH9" s="15" t="str">
        <f t="shared" si="21"/>
        <v/>
      </c>
      <c r="BI9" s="16" t="str">
        <f t="shared" si="21"/>
        <v/>
      </c>
      <c r="BJ9" s="13" t="str">
        <f t="shared" si="21"/>
        <v/>
      </c>
      <c r="BK9" s="14" t="str">
        <f t="shared" si="21"/>
        <v/>
      </c>
      <c r="BL9" s="14" t="str">
        <f t="shared" si="21"/>
        <v/>
      </c>
      <c r="BM9" s="14" t="str">
        <f t="shared" si="21"/>
        <v/>
      </c>
      <c r="BN9" s="14" t="str">
        <f t="shared" si="21"/>
        <v/>
      </c>
      <c r="BO9" s="15" t="str">
        <f t="shared" si="21"/>
        <v/>
      </c>
      <c r="BP9" s="16" t="str">
        <f t="shared" si="21"/>
        <v/>
      </c>
      <c r="BQ9" s="13" t="str">
        <f t="shared" si="21"/>
        <v/>
      </c>
      <c r="BR9" s="14" t="str">
        <f t="shared" si="21"/>
        <v/>
      </c>
      <c r="BS9" s="14" t="str">
        <f t="shared" si="21"/>
        <v/>
      </c>
      <c r="BT9" s="14" t="str">
        <f t="shared" si="21"/>
        <v/>
      </c>
      <c r="BU9" s="14" t="str">
        <f t="shared" si="21"/>
        <v/>
      </c>
      <c r="BV9" s="15" t="str">
        <f t="shared" si="21"/>
        <v/>
      </c>
      <c r="BW9" s="16" t="str">
        <f t="shared" si="22"/>
        <v/>
      </c>
      <c r="BX9" s="13" t="str">
        <f t="shared" si="22"/>
        <v/>
      </c>
      <c r="BY9" s="14" t="str">
        <f t="shared" si="22"/>
        <v/>
      </c>
      <c r="BZ9" s="14" t="str">
        <f t="shared" si="22"/>
        <v/>
      </c>
      <c r="CA9" s="14" t="str">
        <f t="shared" si="22"/>
        <v/>
      </c>
      <c r="CB9" s="14" t="str">
        <f t="shared" si="22"/>
        <v/>
      </c>
      <c r="CC9" s="15" t="str">
        <f t="shared" si="22"/>
        <v/>
      </c>
      <c r="CD9" s="16" t="str">
        <f t="shared" si="22"/>
        <v/>
      </c>
      <c r="CE9" s="13" t="str">
        <f t="shared" si="22"/>
        <v/>
      </c>
      <c r="CF9" s="14" t="str">
        <f t="shared" si="22"/>
        <v/>
      </c>
      <c r="CG9" s="14" t="str">
        <f t="shared" si="22"/>
        <v/>
      </c>
      <c r="CH9" s="14" t="str">
        <f t="shared" si="22"/>
        <v/>
      </c>
      <c r="CI9" s="14" t="str">
        <f t="shared" si="22"/>
        <v/>
      </c>
      <c r="CJ9" s="15" t="str">
        <f t="shared" si="22"/>
        <v/>
      </c>
      <c r="CK9" s="16" t="str">
        <f t="shared" si="22"/>
        <v/>
      </c>
      <c r="CL9" s="13" t="str">
        <f t="shared" si="22"/>
        <v/>
      </c>
      <c r="CM9" s="14" t="str">
        <f t="shared" si="23"/>
        <v/>
      </c>
      <c r="CN9" s="14" t="str">
        <f t="shared" si="23"/>
        <v/>
      </c>
      <c r="CO9" s="14" t="str">
        <f t="shared" si="23"/>
        <v/>
      </c>
      <c r="CP9" s="14" t="str">
        <f t="shared" si="23"/>
        <v/>
      </c>
      <c r="CQ9" s="15" t="str">
        <f t="shared" si="23"/>
        <v/>
      </c>
      <c r="CR9" s="16" t="str">
        <f t="shared" si="23"/>
        <v/>
      </c>
      <c r="CS9" s="13" t="str">
        <f t="shared" si="23"/>
        <v/>
      </c>
      <c r="CT9" s="14" t="str">
        <f t="shared" si="23"/>
        <v/>
      </c>
      <c r="CU9" s="14" t="str">
        <f t="shared" si="23"/>
        <v/>
      </c>
      <c r="CV9" s="14" t="str">
        <f t="shared" si="23"/>
        <v/>
      </c>
      <c r="CW9" s="14" t="str">
        <f t="shared" si="23"/>
        <v/>
      </c>
      <c r="CX9" s="15" t="str">
        <f t="shared" si="23"/>
        <v/>
      </c>
      <c r="CY9" s="16" t="str">
        <f t="shared" si="23"/>
        <v/>
      </c>
      <c r="CZ9" s="13" t="str">
        <f t="shared" si="23"/>
        <v/>
      </c>
      <c r="DA9" s="14" t="str">
        <f t="shared" si="23"/>
        <v/>
      </c>
      <c r="DB9" s="14" t="str">
        <f t="shared" si="23"/>
        <v/>
      </c>
      <c r="DC9" s="14" t="str">
        <f t="shared" si="24"/>
        <v/>
      </c>
      <c r="DD9" s="14" t="str">
        <f t="shared" si="24"/>
        <v/>
      </c>
      <c r="DE9" s="15" t="str">
        <f t="shared" si="24"/>
        <v/>
      </c>
      <c r="DF9" s="16" t="str">
        <f t="shared" si="24"/>
        <v/>
      </c>
      <c r="DG9" s="13" t="str">
        <f t="shared" si="24"/>
        <v/>
      </c>
      <c r="DH9" s="14" t="str">
        <f t="shared" si="24"/>
        <v/>
      </c>
      <c r="DI9" s="14" t="str">
        <f t="shared" si="24"/>
        <v/>
      </c>
      <c r="DJ9" s="14" t="str">
        <f t="shared" si="24"/>
        <v/>
      </c>
      <c r="DK9" s="14" t="str">
        <f t="shared" si="24"/>
        <v/>
      </c>
      <c r="DL9" s="15" t="str">
        <f t="shared" si="24"/>
        <v/>
      </c>
      <c r="DM9" s="16" t="str">
        <f t="shared" si="24"/>
        <v/>
      </c>
      <c r="DN9" s="13" t="str">
        <f t="shared" si="24"/>
        <v/>
      </c>
      <c r="DO9" s="14" t="str">
        <f t="shared" si="24"/>
        <v/>
      </c>
      <c r="DP9" s="14" t="str">
        <f t="shared" si="24"/>
        <v/>
      </c>
      <c r="DQ9" s="14" t="str">
        <f t="shared" si="24"/>
        <v/>
      </c>
      <c r="DR9" s="14" t="str">
        <f t="shared" si="24"/>
        <v/>
      </c>
      <c r="DS9" s="15" t="str">
        <f t="shared" si="24"/>
        <v/>
      </c>
      <c r="DT9" s="16" t="str">
        <f t="shared" si="24"/>
        <v/>
      </c>
      <c r="DU9" s="13" t="str">
        <f t="shared" si="25"/>
        <v/>
      </c>
      <c r="DV9" s="14" t="str">
        <f t="shared" si="25"/>
        <v/>
      </c>
      <c r="DW9" s="14" t="str">
        <f t="shared" si="25"/>
        <v/>
      </c>
      <c r="DX9" s="14" t="str">
        <f t="shared" si="25"/>
        <v/>
      </c>
      <c r="DY9" s="14" t="str">
        <f t="shared" si="25"/>
        <v/>
      </c>
      <c r="DZ9" s="15" t="str">
        <f t="shared" si="25"/>
        <v/>
      </c>
      <c r="EA9" s="16" t="str">
        <f t="shared" si="25"/>
        <v/>
      </c>
      <c r="EB9" s="13" t="str">
        <f t="shared" si="25"/>
        <v/>
      </c>
      <c r="EC9" s="14" t="str">
        <f t="shared" si="25"/>
        <v/>
      </c>
      <c r="ED9" s="14" t="str">
        <f t="shared" si="25"/>
        <v/>
      </c>
      <c r="EE9" s="14" t="str">
        <f t="shared" si="25"/>
        <v/>
      </c>
      <c r="EF9" s="14" t="str">
        <f t="shared" si="25"/>
        <v/>
      </c>
      <c r="EG9" s="15" t="str">
        <f t="shared" si="25"/>
        <v/>
      </c>
      <c r="EH9" s="16" t="str">
        <f t="shared" si="25"/>
        <v/>
      </c>
    </row>
    <row r="10" spans="1:138" s="17" customFormat="1" ht="9.75" customHeight="1">
      <c r="A10" s="586"/>
      <c r="B10" s="18" t="str">
        <f>IF(B1="SFK Freight Forwarder","","Time of recept in AILN")</f>
        <v>Time of recept in AILN</v>
      </c>
      <c r="C10" s="19">
        <f ca="1">IF(B1="SFK Freight Forwarder",0,_xlfn.XLOOKUP(A25,'VTT actif'!F:F,'VTT actif'!R:R,"-",0)+E9-1)</f>
        <v>22</v>
      </c>
      <c r="D10" s="19">
        <f ca="1">IF(B1="SFK Freight Forwarder",0,_xlfn.XLOOKUP(A25,'VTT actif'!F:F,'VTT actif'!S:S,"-",0))</f>
        <v>5</v>
      </c>
      <c r="E10" s="19">
        <f ca="1">IF(B1="SFK Freight Forwarder",0,(C10+D10)-1)</f>
        <v>26</v>
      </c>
      <c r="F10" s="13" t="str">
        <f t="shared" ca="1" si="18"/>
        <v/>
      </c>
      <c r="G10" s="14" t="str">
        <f t="shared" ca="1" si="18"/>
        <v/>
      </c>
      <c r="H10" s="14" t="str">
        <f t="shared" ca="1" si="18"/>
        <v/>
      </c>
      <c r="I10" s="14" t="str">
        <f t="shared" ca="1" si="18"/>
        <v/>
      </c>
      <c r="J10" s="14" t="str">
        <f t="shared" ca="1" si="18"/>
        <v/>
      </c>
      <c r="K10" s="15" t="str">
        <f t="shared" ca="1" si="18"/>
        <v/>
      </c>
      <c r="L10" s="16" t="str">
        <f t="shared" ca="1" si="18"/>
        <v/>
      </c>
      <c r="M10" s="13" t="str">
        <f t="shared" ca="1" si="18"/>
        <v/>
      </c>
      <c r="N10" s="14" t="str">
        <f t="shared" ca="1" si="18"/>
        <v/>
      </c>
      <c r="O10" s="14" t="str">
        <f t="shared" ca="1" si="18"/>
        <v/>
      </c>
      <c r="P10" s="14" t="str">
        <f t="shared" ca="1" si="18"/>
        <v/>
      </c>
      <c r="Q10" s="14" t="str">
        <f t="shared" ca="1" si="18"/>
        <v/>
      </c>
      <c r="R10" s="15" t="str">
        <f t="shared" ca="1" si="18"/>
        <v/>
      </c>
      <c r="S10" s="16" t="str">
        <f t="shared" ca="1" si="18"/>
        <v/>
      </c>
      <c r="T10" s="13" t="str">
        <f t="shared" ca="1" si="18"/>
        <v/>
      </c>
      <c r="U10" s="14" t="str">
        <f t="shared" ca="1" si="18"/>
        <v/>
      </c>
      <c r="V10" s="14" t="str">
        <f t="shared" ca="1" si="18"/>
        <v/>
      </c>
      <c r="W10" s="14" t="str">
        <f t="shared" ca="1" si="18"/>
        <v/>
      </c>
      <c r="X10" s="14" t="str">
        <f t="shared" ca="1" si="18"/>
        <v/>
      </c>
      <c r="Y10" s="15" t="str">
        <f t="shared" ca="1" si="18"/>
        <v/>
      </c>
      <c r="Z10" s="16" t="str">
        <f t="shared" ca="1" si="18"/>
        <v/>
      </c>
      <c r="AA10" s="13">
        <f t="shared" ca="1" si="19"/>
        <v>1</v>
      </c>
      <c r="AB10" s="14">
        <f t="shared" ca="1" si="19"/>
        <v>1</v>
      </c>
      <c r="AC10" s="14">
        <f t="shared" ca="1" si="19"/>
        <v>1</v>
      </c>
      <c r="AD10" s="14">
        <f t="shared" ca="1" si="19"/>
        <v>1</v>
      </c>
      <c r="AE10" s="14">
        <f t="shared" ca="1" si="19"/>
        <v>1</v>
      </c>
      <c r="AF10" s="15" t="str">
        <f t="shared" ca="1" si="19"/>
        <v/>
      </c>
      <c r="AG10" s="16" t="str">
        <f t="shared" ca="1" si="19"/>
        <v/>
      </c>
      <c r="AH10" s="13" t="str">
        <f t="shared" ca="1" si="19"/>
        <v/>
      </c>
      <c r="AI10" s="14" t="str">
        <f t="shared" ca="1" si="19"/>
        <v/>
      </c>
      <c r="AJ10" s="14" t="str">
        <f t="shared" ca="1" si="19"/>
        <v/>
      </c>
      <c r="AK10" s="14" t="str">
        <f t="shared" ca="1" si="19"/>
        <v/>
      </c>
      <c r="AL10" s="14" t="str">
        <f t="shared" ca="1" si="19"/>
        <v/>
      </c>
      <c r="AM10" s="15" t="str">
        <f t="shared" ca="1" si="19"/>
        <v/>
      </c>
      <c r="AN10" s="16" t="str">
        <f t="shared" ca="1" si="19"/>
        <v/>
      </c>
      <c r="AO10" s="13" t="str">
        <f t="shared" ca="1" si="19"/>
        <v/>
      </c>
      <c r="AP10" s="14" t="str">
        <f t="shared" ca="1" si="19"/>
        <v/>
      </c>
      <c r="AQ10" s="14" t="str">
        <f t="shared" ca="1" si="20"/>
        <v/>
      </c>
      <c r="AR10" s="14" t="str">
        <f t="shared" ca="1" si="20"/>
        <v/>
      </c>
      <c r="AS10" s="14" t="str">
        <f t="shared" ca="1" si="20"/>
        <v/>
      </c>
      <c r="AT10" s="15" t="str">
        <f t="shared" ca="1" si="20"/>
        <v/>
      </c>
      <c r="AU10" s="16" t="str">
        <f t="shared" ca="1" si="20"/>
        <v/>
      </c>
      <c r="AV10" s="13" t="str">
        <f t="shared" ca="1" si="20"/>
        <v/>
      </c>
      <c r="AW10" s="14" t="str">
        <f t="shared" ca="1" si="20"/>
        <v/>
      </c>
      <c r="AX10" s="14" t="str">
        <f t="shared" ca="1" si="20"/>
        <v/>
      </c>
      <c r="AY10" s="14" t="str">
        <f t="shared" ca="1" si="20"/>
        <v/>
      </c>
      <c r="AZ10" s="14" t="str">
        <f t="shared" ca="1" si="20"/>
        <v/>
      </c>
      <c r="BA10" s="15" t="str">
        <f t="shared" ca="1" si="20"/>
        <v/>
      </c>
      <c r="BB10" s="16" t="str">
        <f t="shared" ca="1" si="20"/>
        <v/>
      </c>
      <c r="BC10" s="13" t="str">
        <f t="shared" ca="1" si="20"/>
        <v/>
      </c>
      <c r="BD10" s="14" t="str">
        <f t="shared" ca="1" si="20"/>
        <v/>
      </c>
      <c r="BE10" s="14" t="str">
        <f t="shared" ca="1" si="20"/>
        <v/>
      </c>
      <c r="BF10" s="14" t="str">
        <f t="shared" ca="1" si="20"/>
        <v/>
      </c>
      <c r="BG10" s="14" t="str">
        <f t="shared" ca="1" si="21"/>
        <v/>
      </c>
      <c r="BH10" s="15" t="str">
        <f t="shared" ca="1" si="21"/>
        <v/>
      </c>
      <c r="BI10" s="16" t="str">
        <f t="shared" ca="1" si="21"/>
        <v/>
      </c>
      <c r="BJ10" s="13" t="str">
        <f t="shared" ca="1" si="21"/>
        <v/>
      </c>
      <c r="BK10" s="14" t="str">
        <f t="shared" ca="1" si="21"/>
        <v/>
      </c>
      <c r="BL10" s="14" t="str">
        <f t="shared" ca="1" si="21"/>
        <v/>
      </c>
      <c r="BM10" s="14" t="str">
        <f t="shared" ca="1" si="21"/>
        <v/>
      </c>
      <c r="BN10" s="14" t="str">
        <f t="shared" ca="1" si="21"/>
        <v/>
      </c>
      <c r="BO10" s="15" t="str">
        <f t="shared" ca="1" si="21"/>
        <v/>
      </c>
      <c r="BP10" s="16" t="str">
        <f t="shared" ca="1" si="21"/>
        <v/>
      </c>
      <c r="BQ10" s="13" t="str">
        <f t="shared" ca="1" si="21"/>
        <v/>
      </c>
      <c r="BR10" s="14" t="str">
        <f t="shared" ca="1" si="21"/>
        <v/>
      </c>
      <c r="BS10" s="14" t="str">
        <f t="shared" ca="1" si="21"/>
        <v/>
      </c>
      <c r="BT10" s="14" t="str">
        <f t="shared" ca="1" si="21"/>
        <v/>
      </c>
      <c r="BU10" s="14" t="str">
        <f t="shared" ca="1" si="21"/>
        <v/>
      </c>
      <c r="BV10" s="15" t="str">
        <f t="shared" ca="1" si="21"/>
        <v/>
      </c>
      <c r="BW10" s="16" t="str">
        <f t="shared" ca="1" si="22"/>
        <v/>
      </c>
      <c r="BX10" s="13" t="str">
        <f t="shared" ca="1" si="22"/>
        <v/>
      </c>
      <c r="BY10" s="14" t="str">
        <f t="shared" ca="1" si="22"/>
        <v/>
      </c>
      <c r="BZ10" s="14" t="str">
        <f t="shared" ca="1" si="22"/>
        <v/>
      </c>
      <c r="CA10" s="14" t="str">
        <f t="shared" ca="1" si="22"/>
        <v/>
      </c>
      <c r="CB10" s="14" t="str">
        <f t="shared" ca="1" si="22"/>
        <v/>
      </c>
      <c r="CC10" s="15" t="str">
        <f t="shared" ca="1" si="22"/>
        <v/>
      </c>
      <c r="CD10" s="16" t="str">
        <f t="shared" ca="1" si="22"/>
        <v/>
      </c>
      <c r="CE10" s="13" t="str">
        <f t="shared" ca="1" si="22"/>
        <v/>
      </c>
      <c r="CF10" s="14" t="str">
        <f t="shared" ca="1" si="22"/>
        <v/>
      </c>
      <c r="CG10" s="14" t="str">
        <f t="shared" ca="1" si="22"/>
        <v/>
      </c>
      <c r="CH10" s="14" t="str">
        <f t="shared" ca="1" si="22"/>
        <v/>
      </c>
      <c r="CI10" s="14" t="str">
        <f t="shared" ca="1" si="22"/>
        <v/>
      </c>
      <c r="CJ10" s="15" t="str">
        <f t="shared" ca="1" si="22"/>
        <v/>
      </c>
      <c r="CK10" s="16" t="str">
        <f t="shared" ca="1" si="22"/>
        <v/>
      </c>
      <c r="CL10" s="13" t="str">
        <f t="shared" ca="1" si="22"/>
        <v/>
      </c>
      <c r="CM10" s="14" t="str">
        <f t="shared" ca="1" si="23"/>
        <v/>
      </c>
      <c r="CN10" s="14" t="str">
        <f t="shared" ca="1" si="23"/>
        <v/>
      </c>
      <c r="CO10" s="14" t="str">
        <f t="shared" ca="1" si="23"/>
        <v/>
      </c>
      <c r="CP10" s="14" t="str">
        <f t="shared" ca="1" si="23"/>
        <v/>
      </c>
      <c r="CQ10" s="15" t="str">
        <f t="shared" ca="1" si="23"/>
        <v/>
      </c>
      <c r="CR10" s="16" t="str">
        <f t="shared" ca="1" si="23"/>
        <v/>
      </c>
      <c r="CS10" s="13" t="str">
        <f t="shared" ca="1" si="23"/>
        <v/>
      </c>
      <c r="CT10" s="14" t="str">
        <f t="shared" ca="1" si="23"/>
        <v/>
      </c>
      <c r="CU10" s="14" t="str">
        <f t="shared" ca="1" si="23"/>
        <v/>
      </c>
      <c r="CV10" s="14" t="str">
        <f t="shared" ca="1" si="23"/>
        <v/>
      </c>
      <c r="CW10" s="14" t="str">
        <f t="shared" ca="1" si="23"/>
        <v/>
      </c>
      <c r="CX10" s="15" t="str">
        <f t="shared" ca="1" si="23"/>
        <v/>
      </c>
      <c r="CY10" s="16" t="str">
        <f t="shared" ca="1" si="23"/>
        <v/>
      </c>
      <c r="CZ10" s="13" t="str">
        <f t="shared" ca="1" si="23"/>
        <v/>
      </c>
      <c r="DA10" s="14" t="str">
        <f t="shared" ca="1" si="23"/>
        <v/>
      </c>
      <c r="DB10" s="14" t="str">
        <f t="shared" ca="1" si="23"/>
        <v/>
      </c>
      <c r="DC10" s="14" t="str">
        <f t="shared" ca="1" si="24"/>
        <v/>
      </c>
      <c r="DD10" s="14" t="str">
        <f t="shared" ca="1" si="24"/>
        <v/>
      </c>
      <c r="DE10" s="15" t="str">
        <f t="shared" ca="1" si="24"/>
        <v/>
      </c>
      <c r="DF10" s="16" t="str">
        <f t="shared" ca="1" si="24"/>
        <v/>
      </c>
      <c r="DG10" s="13" t="str">
        <f t="shared" ca="1" si="24"/>
        <v/>
      </c>
      <c r="DH10" s="14" t="str">
        <f t="shared" ca="1" si="24"/>
        <v/>
      </c>
      <c r="DI10" s="14" t="str">
        <f t="shared" ca="1" si="24"/>
        <v/>
      </c>
      <c r="DJ10" s="14" t="str">
        <f t="shared" ca="1" si="24"/>
        <v/>
      </c>
      <c r="DK10" s="14" t="str">
        <f t="shared" ca="1" si="24"/>
        <v/>
      </c>
      <c r="DL10" s="15" t="str">
        <f t="shared" ca="1" si="24"/>
        <v/>
      </c>
      <c r="DM10" s="16" t="str">
        <f t="shared" ca="1" si="24"/>
        <v/>
      </c>
      <c r="DN10" s="13" t="str">
        <f t="shared" ca="1" si="24"/>
        <v/>
      </c>
      <c r="DO10" s="14" t="str">
        <f t="shared" ca="1" si="24"/>
        <v/>
      </c>
      <c r="DP10" s="14" t="str">
        <f t="shared" ca="1" si="24"/>
        <v/>
      </c>
      <c r="DQ10" s="14" t="str">
        <f t="shared" ca="1" si="24"/>
        <v/>
      </c>
      <c r="DR10" s="14" t="str">
        <f t="shared" ca="1" si="24"/>
        <v/>
      </c>
      <c r="DS10" s="15" t="str">
        <f t="shared" ca="1" si="24"/>
        <v/>
      </c>
      <c r="DT10" s="16" t="str">
        <f t="shared" ca="1" si="24"/>
        <v/>
      </c>
      <c r="DU10" s="13" t="str">
        <f t="shared" ca="1" si="25"/>
        <v/>
      </c>
      <c r="DV10" s="14" t="str">
        <f t="shared" ca="1" si="25"/>
        <v/>
      </c>
      <c r="DW10" s="14" t="str">
        <f t="shared" ca="1" si="25"/>
        <v/>
      </c>
      <c r="DX10" s="14" t="str">
        <f t="shared" ca="1" si="25"/>
        <v/>
      </c>
      <c r="DY10" s="14" t="str">
        <f t="shared" ca="1" si="25"/>
        <v/>
      </c>
      <c r="DZ10" s="15" t="str">
        <f t="shared" ca="1" si="25"/>
        <v/>
      </c>
      <c r="EA10" s="16" t="str">
        <f t="shared" ca="1" si="25"/>
        <v/>
      </c>
      <c r="EB10" s="13" t="str">
        <f t="shared" ca="1" si="25"/>
        <v/>
      </c>
      <c r="EC10" s="14" t="str">
        <f t="shared" ca="1" si="25"/>
        <v/>
      </c>
      <c r="ED10" s="14" t="str">
        <f t="shared" ca="1" si="25"/>
        <v/>
      </c>
      <c r="EE10" s="14" t="str">
        <f t="shared" ca="1" si="25"/>
        <v/>
      </c>
      <c r="EF10" s="14" t="str">
        <f t="shared" ca="1" si="25"/>
        <v/>
      </c>
      <c r="EG10" s="15" t="str">
        <f t="shared" ca="1" si="25"/>
        <v/>
      </c>
      <c r="EH10" s="16" t="str">
        <f t="shared" ca="1" si="25"/>
        <v/>
      </c>
    </row>
    <row r="11" spans="1:138" s="17" customFormat="1" ht="9.75" customHeight="1">
      <c r="A11" s="586"/>
      <c r="B11" s="18" t="s">
        <v>41</v>
      </c>
      <c r="C11" s="19">
        <f ca="1">_xlfn.XLOOKUP(A25,'VTT actif'!F:F,'VTT actif'!U:U,"-",0)+1</f>
        <v>23</v>
      </c>
      <c r="D11" s="19">
        <f ca="1">_xlfn.XLOOKUP(A25,'VTT actif'!F:F,'VTT actif'!T:T,"-",0)</f>
        <v>7</v>
      </c>
      <c r="E11" s="19">
        <f t="shared" ref="E11:E24" ca="1" si="26">(C11+D11)-1</f>
        <v>29</v>
      </c>
      <c r="F11" s="13" t="str">
        <f t="shared" ca="1" si="18"/>
        <v/>
      </c>
      <c r="G11" s="14" t="str">
        <f t="shared" ca="1" si="18"/>
        <v/>
      </c>
      <c r="H11" s="14" t="str">
        <f t="shared" ca="1" si="18"/>
        <v/>
      </c>
      <c r="I11" s="14" t="str">
        <f t="shared" ca="1" si="18"/>
        <v/>
      </c>
      <c r="J11" s="14" t="str">
        <f t="shared" ca="1" si="18"/>
        <v/>
      </c>
      <c r="K11" s="15" t="str">
        <f t="shared" ca="1" si="18"/>
        <v/>
      </c>
      <c r="L11" s="16" t="str">
        <f t="shared" ca="1" si="18"/>
        <v/>
      </c>
      <c r="M11" s="13" t="str">
        <f t="shared" ca="1" si="18"/>
        <v/>
      </c>
      <c r="N11" s="14" t="str">
        <f t="shared" ca="1" si="18"/>
        <v/>
      </c>
      <c r="O11" s="14" t="str">
        <f t="shared" ca="1" si="18"/>
        <v/>
      </c>
      <c r="P11" s="14" t="str">
        <f t="shared" ca="1" si="18"/>
        <v/>
      </c>
      <c r="Q11" s="14" t="str">
        <f t="shared" ca="1" si="18"/>
        <v/>
      </c>
      <c r="R11" s="15" t="str">
        <f t="shared" ca="1" si="18"/>
        <v/>
      </c>
      <c r="S11" s="16" t="str">
        <f t="shared" ca="1" si="18"/>
        <v/>
      </c>
      <c r="T11" s="13" t="str">
        <f t="shared" ca="1" si="18"/>
        <v/>
      </c>
      <c r="U11" s="14" t="str">
        <f t="shared" ca="1" si="18"/>
        <v/>
      </c>
      <c r="V11" s="14" t="str">
        <f t="shared" ca="1" si="18"/>
        <v/>
      </c>
      <c r="W11" s="14" t="str">
        <f t="shared" ca="1" si="18"/>
        <v/>
      </c>
      <c r="X11" s="14" t="str">
        <f t="shared" ca="1" si="18"/>
        <v/>
      </c>
      <c r="Y11" s="15" t="str">
        <f t="shared" ca="1" si="18"/>
        <v/>
      </c>
      <c r="Z11" s="16" t="str">
        <f t="shared" ca="1" si="18"/>
        <v/>
      </c>
      <c r="AA11" s="13" t="str">
        <f t="shared" ca="1" si="19"/>
        <v/>
      </c>
      <c r="AB11" s="14">
        <f t="shared" ca="1" si="19"/>
        <v>1</v>
      </c>
      <c r="AC11" s="14">
        <f t="shared" ca="1" si="19"/>
        <v>1</v>
      </c>
      <c r="AD11" s="14">
        <f t="shared" ca="1" si="19"/>
        <v>1</v>
      </c>
      <c r="AE11" s="14">
        <f t="shared" ca="1" si="19"/>
        <v>1</v>
      </c>
      <c r="AF11" s="15">
        <f t="shared" ca="1" si="19"/>
        <v>1</v>
      </c>
      <c r="AG11" s="16">
        <f t="shared" ca="1" si="19"/>
        <v>1</v>
      </c>
      <c r="AH11" s="13">
        <f t="shared" ca="1" si="19"/>
        <v>1</v>
      </c>
      <c r="AI11" s="14" t="str">
        <f t="shared" ca="1" si="19"/>
        <v/>
      </c>
      <c r="AJ11" s="14" t="str">
        <f t="shared" ca="1" si="19"/>
        <v/>
      </c>
      <c r="AK11" s="14" t="str">
        <f t="shared" ca="1" si="19"/>
        <v/>
      </c>
      <c r="AL11" s="14" t="str">
        <f t="shared" ca="1" si="19"/>
        <v/>
      </c>
      <c r="AM11" s="15" t="str">
        <f t="shared" ca="1" si="19"/>
        <v/>
      </c>
      <c r="AN11" s="16" t="str">
        <f t="shared" ca="1" si="19"/>
        <v/>
      </c>
      <c r="AO11" s="13" t="str">
        <f t="shared" ca="1" si="19"/>
        <v/>
      </c>
      <c r="AP11" s="14" t="str">
        <f t="shared" ca="1" si="19"/>
        <v/>
      </c>
      <c r="AQ11" s="14" t="str">
        <f t="shared" ca="1" si="20"/>
        <v/>
      </c>
      <c r="AR11" s="14" t="str">
        <f t="shared" ca="1" si="20"/>
        <v/>
      </c>
      <c r="AS11" s="14" t="str">
        <f t="shared" ca="1" si="20"/>
        <v/>
      </c>
      <c r="AT11" s="15" t="str">
        <f t="shared" ca="1" si="20"/>
        <v/>
      </c>
      <c r="AU11" s="16" t="str">
        <f t="shared" ca="1" si="20"/>
        <v/>
      </c>
      <c r="AV11" s="13" t="str">
        <f t="shared" ca="1" si="20"/>
        <v/>
      </c>
      <c r="AW11" s="14" t="str">
        <f t="shared" ca="1" si="20"/>
        <v/>
      </c>
      <c r="AX11" s="14" t="str">
        <f t="shared" ca="1" si="20"/>
        <v/>
      </c>
      <c r="AY11" s="14" t="str">
        <f t="shared" ca="1" si="20"/>
        <v/>
      </c>
      <c r="AZ11" s="14" t="str">
        <f t="shared" ca="1" si="20"/>
        <v/>
      </c>
      <c r="BA11" s="15" t="str">
        <f t="shared" ca="1" si="20"/>
        <v/>
      </c>
      <c r="BB11" s="16" t="str">
        <f t="shared" ca="1" si="20"/>
        <v/>
      </c>
      <c r="BC11" s="13" t="str">
        <f t="shared" ca="1" si="20"/>
        <v/>
      </c>
      <c r="BD11" s="14" t="str">
        <f t="shared" ca="1" si="20"/>
        <v/>
      </c>
      <c r="BE11" s="14" t="str">
        <f t="shared" ca="1" si="20"/>
        <v/>
      </c>
      <c r="BF11" s="14" t="str">
        <f t="shared" ca="1" si="20"/>
        <v/>
      </c>
      <c r="BG11" s="14" t="str">
        <f t="shared" ca="1" si="21"/>
        <v/>
      </c>
      <c r="BH11" s="15" t="str">
        <f t="shared" ca="1" si="21"/>
        <v/>
      </c>
      <c r="BI11" s="16" t="str">
        <f t="shared" ca="1" si="21"/>
        <v/>
      </c>
      <c r="BJ11" s="13" t="str">
        <f t="shared" ca="1" si="21"/>
        <v/>
      </c>
      <c r="BK11" s="14" t="str">
        <f t="shared" ca="1" si="21"/>
        <v/>
      </c>
      <c r="BL11" s="14" t="str">
        <f t="shared" ca="1" si="21"/>
        <v/>
      </c>
      <c r="BM11" s="14" t="str">
        <f t="shared" ca="1" si="21"/>
        <v/>
      </c>
      <c r="BN11" s="14" t="str">
        <f t="shared" ca="1" si="21"/>
        <v/>
      </c>
      <c r="BO11" s="15" t="str">
        <f t="shared" ca="1" si="21"/>
        <v/>
      </c>
      <c r="BP11" s="16" t="str">
        <f t="shared" ca="1" si="21"/>
        <v/>
      </c>
      <c r="BQ11" s="13" t="str">
        <f t="shared" ca="1" si="21"/>
        <v/>
      </c>
      <c r="BR11" s="14" t="str">
        <f t="shared" ca="1" si="21"/>
        <v/>
      </c>
      <c r="BS11" s="14" t="str">
        <f t="shared" ca="1" si="21"/>
        <v/>
      </c>
      <c r="BT11" s="14" t="str">
        <f t="shared" ca="1" si="21"/>
        <v/>
      </c>
      <c r="BU11" s="14" t="str">
        <f t="shared" ca="1" si="21"/>
        <v/>
      </c>
      <c r="BV11" s="15" t="str">
        <f t="shared" ca="1" si="21"/>
        <v/>
      </c>
      <c r="BW11" s="16" t="str">
        <f t="shared" ca="1" si="22"/>
        <v/>
      </c>
      <c r="BX11" s="13" t="str">
        <f t="shared" ca="1" si="22"/>
        <v/>
      </c>
      <c r="BY11" s="14" t="str">
        <f t="shared" ca="1" si="22"/>
        <v/>
      </c>
      <c r="BZ11" s="14" t="str">
        <f t="shared" ca="1" si="22"/>
        <v/>
      </c>
      <c r="CA11" s="14" t="str">
        <f t="shared" ca="1" si="22"/>
        <v/>
      </c>
      <c r="CB11" s="14" t="str">
        <f t="shared" ca="1" si="22"/>
        <v/>
      </c>
      <c r="CC11" s="15" t="str">
        <f t="shared" ca="1" si="22"/>
        <v/>
      </c>
      <c r="CD11" s="16" t="str">
        <f t="shared" ca="1" si="22"/>
        <v/>
      </c>
      <c r="CE11" s="13" t="str">
        <f t="shared" ca="1" si="22"/>
        <v/>
      </c>
      <c r="CF11" s="14" t="str">
        <f t="shared" ca="1" si="22"/>
        <v/>
      </c>
      <c r="CG11" s="14" t="str">
        <f t="shared" ca="1" si="22"/>
        <v/>
      </c>
      <c r="CH11" s="14" t="str">
        <f t="shared" ca="1" si="22"/>
        <v/>
      </c>
      <c r="CI11" s="14" t="str">
        <f t="shared" ca="1" si="22"/>
        <v/>
      </c>
      <c r="CJ11" s="15" t="str">
        <f t="shared" ca="1" si="22"/>
        <v/>
      </c>
      <c r="CK11" s="16" t="str">
        <f t="shared" ca="1" si="22"/>
        <v/>
      </c>
      <c r="CL11" s="13" t="str">
        <f t="shared" ca="1" si="22"/>
        <v/>
      </c>
      <c r="CM11" s="14" t="str">
        <f t="shared" ca="1" si="23"/>
        <v/>
      </c>
      <c r="CN11" s="14" t="str">
        <f t="shared" ca="1" si="23"/>
        <v/>
      </c>
      <c r="CO11" s="14" t="str">
        <f t="shared" ca="1" si="23"/>
        <v/>
      </c>
      <c r="CP11" s="14" t="str">
        <f t="shared" ca="1" si="23"/>
        <v/>
      </c>
      <c r="CQ11" s="15" t="str">
        <f t="shared" ca="1" si="23"/>
        <v/>
      </c>
      <c r="CR11" s="16" t="str">
        <f t="shared" ca="1" si="23"/>
        <v/>
      </c>
      <c r="CS11" s="13" t="str">
        <f t="shared" ca="1" si="23"/>
        <v/>
      </c>
      <c r="CT11" s="14" t="str">
        <f t="shared" ca="1" si="23"/>
        <v/>
      </c>
      <c r="CU11" s="14" t="str">
        <f t="shared" ca="1" si="23"/>
        <v/>
      </c>
      <c r="CV11" s="14" t="str">
        <f t="shared" ca="1" si="23"/>
        <v/>
      </c>
      <c r="CW11" s="14" t="str">
        <f t="shared" ca="1" si="23"/>
        <v/>
      </c>
      <c r="CX11" s="15" t="str">
        <f t="shared" ca="1" si="23"/>
        <v/>
      </c>
      <c r="CY11" s="16" t="str">
        <f t="shared" ca="1" si="23"/>
        <v/>
      </c>
      <c r="CZ11" s="13" t="str">
        <f t="shared" ca="1" si="23"/>
        <v/>
      </c>
      <c r="DA11" s="14" t="str">
        <f t="shared" ca="1" si="23"/>
        <v/>
      </c>
      <c r="DB11" s="14" t="str">
        <f t="shared" ca="1" si="23"/>
        <v/>
      </c>
      <c r="DC11" s="14" t="str">
        <f t="shared" ca="1" si="24"/>
        <v/>
      </c>
      <c r="DD11" s="14" t="str">
        <f t="shared" ca="1" si="24"/>
        <v/>
      </c>
      <c r="DE11" s="15" t="str">
        <f t="shared" ca="1" si="24"/>
        <v/>
      </c>
      <c r="DF11" s="16" t="str">
        <f t="shared" ca="1" si="24"/>
        <v/>
      </c>
      <c r="DG11" s="13" t="str">
        <f t="shared" ca="1" si="24"/>
        <v/>
      </c>
      <c r="DH11" s="14" t="str">
        <f t="shared" ca="1" si="24"/>
        <v/>
      </c>
      <c r="DI11" s="14" t="str">
        <f t="shared" ca="1" si="24"/>
        <v/>
      </c>
      <c r="DJ11" s="14" t="str">
        <f t="shared" ca="1" si="24"/>
        <v/>
      </c>
      <c r="DK11" s="14" t="str">
        <f t="shared" ca="1" si="24"/>
        <v/>
      </c>
      <c r="DL11" s="15" t="str">
        <f t="shared" ca="1" si="24"/>
        <v/>
      </c>
      <c r="DM11" s="16" t="str">
        <f t="shared" ca="1" si="24"/>
        <v/>
      </c>
      <c r="DN11" s="13" t="str">
        <f t="shared" ca="1" si="24"/>
        <v/>
      </c>
      <c r="DO11" s="14" t="str">
        <f t="shared" ca="1" si="24"/>
        <v/>
      </c>
      <c r="DP11" s="14" t="str">
        <f t="shared" ca="1" si="24"/>
        <v/>
      </c>
      <c r="DQ11" s="14" t="str">
        <f t="shared" ca="1" si="24"/>
        <v/>
      </c>
      <c r="DR11" s="14" t="str">
        <f t="shared" ca="1" si="24"/>
        <v/>
      </c>
      <c r="DS11" s="15" t="str">
        <f t="shared" ca="1" si="24"/>
        <v/>
      </c>
      <c r="DT11" s="16" t="str">
        <f t="shared" ca="1" si="24"/>
        <v/>
      </c>
      <c r="DU11" s="13" t="str">
        <f t="shared" ca="1" si="25"/>
        <v/>
      </c>
      <c r="DV11" s="14" t="str">
        <f t="shared" ca="1" si="25"/>
        <v/>
      </c>
      <c r="DW11" s="14" t="str">
        <f t="shared" ca="1" si="25"/>
        <v/>
      </c>
      <c r="DX11" s="14" t="str">
        <f t="shared" ca="1" si="25"/>
        <v/>
      </c>
      <c r="DY11" s="14" t="str">
        <f t="shared" ca="1" si="25"/>
        <v/>
      </c>
      <c r="DZ11" s="15" t="str">
        <f t="shared" ca="1" si="25"/>
        <v/>
      </c>
      <c r="EA11" s="16" t="str">
        <f t="shared" ca="1" si="25"/>
        <v/>
      </c>
      <c r="EB11" s="13" t="str">
        <f t="shared" ca="1" si="25"/>
        <v/>
      </c>
      <c r="EC11" s="14" t="str">
        <f t="shared" ca="1" si="25"/>
        <v/>
      </c>
      <c r="ED11" s="14" t="str">
        <f t="shared" ca="1" si="25"/>
        <v/>
      </c>
      <c r="EE11" s="14" t="str">
        <f t="shared" ca="1" si="25"/>
        <v/>
      </c>
      <c r="EF11" s="14" t="str">
        <f t="shared" ca="1" si="25"/>
        <v/>
      </c>
      <c r="EG11" s="15" t="str">
        <f t="shared" ca="1" si="25"/>
        <v/>
      </c>
      <c r="EH11" s="16" t="str">
        <f t="shared" ca="1" si="25"/>
        <v/>
      </c>
    </row>
    <row r="12" spans="1:138" s="17" customFormat="1" ht="9.75" customHeight="1">
      <c r="A12" s="586"/>
      <c r="B12" s="18" t="s">
        <v>42</v>
      </c>
      <c r="C12" s="19">
        <f ca="1">E11+1</f>
        <v>30</v>
      </c>
      <c r="D12" s="19">
        <f ca="1">_xlfn.XLOOKUP(A25,'VTT actif'!F:F,'VTT actif'!V:V,"-",0)</f>
        <v>1</v>
      </c>
      <c r="E12" s="21">
        <f t="shared" ca="1" si="26"/>
        <v>30</v>
      </c>
      <c r="F12" s="13" t="str">
        <f t="shared" ca="1" si="18"/>
        <v/>
      </c>
      <c r="G12" s="14" t="str">
        <f t="shared" ca="1" si="18"/>
        <v/>
      </c>
      <c r="H12" s="14" t="str">
        <f t="shared" ca="1" si="18"/>
        <v/>
      </c>
      <c r="I12" s="14" t="str">
        <f t="shared" ca="1" si="18"/>
        <v/>
      </c>
      <c r="J12" s="14" t="str">
        <f t="shared" ca="1" si="18"/>
        <v/>
      </c>
      <c r="K12" s="15" t="str">
        <f t="shared" ca="1" si="18"/>
        <v/>
      </c>
      <c r="L12" s="16" t="str">
        <f t="shared" ca="1" si="18"/>
        <v/>
      </c>
      <c r="M12" s="13" t="str">
        <f t="shared" ca="1" si="18"/>
        <v/>
      </c>
      <c r="N12" s="14" t="str">
        <f t="shared" ca="1" si="18"/>
        <v/>
      </c>
      <c r="O12" s="14" t="str">
        <f t="shared" ca="1" si="18"/>
        <v/>
      </c>
      <c r="P12" s="14" t="str">
        <f t="shared" ca="1" si="18"/>
        <v/>
      </c>
      <c r="Q12" s="14" t="str">
        <f t="shared" ca="1" si="18"/>
        <v/>
      </c>
      <c r="R12" s="15" t="str">
        <f t="shared" ca="1" si="18"/>
        <v/>
      </c>
      <c r="S12" s="16" t="str">
        <f t="shared" ca="1" si="18"/>
        <v/>
      </c>
      <c r="T12" s="13" t="str">
        <f t="shared" ca="1" si="18"/>
        <v/>
      </c>
      <c r="U12" s="14" t="str">
        <f t="shared" ca="1" si="18"/>
        <v/>
      </c>
      <c r="V12" s="14" t="str">
        <f t="shared" ca="1" si="18"/>
        <v/>
      </c>
      <c r="W12" s="14" t="str">
        <f t="shared" ca="1" si="18"/>
        <v/>
      </c>
      <c r="X12" s="14" t="str">
        <f t="shared" ca="1" si="18"/>
        <v/>
      </c>
      <c r="Y12" s="15" t="str">
        <f t="shared" ca="1" si="18"/>
        <v/>
      </c>
      <c r="Z12" s="16" t="str">
        <f t="shared" ca="1" si="18"/>
        <v/>
      </c>
      <c r="AA12" s="13" t="str">
        <f t="shared" ca="1" si="19"/>
        <v/>
      </c>
      <c r="AB12" s="14" t="str">
        <f t="shared" ca="1" si="19"/>
        <v/>
      </c>
      <c r="AC12" s="14" t="str">
        <f t="shared" ca="1" si="19"/>
        <v/>
      </c>
      <c r="AD12" s="14" t="str">
        <f t="shared" ca="1" si="19"/>
        <v/>
      </c>
      <c r="AE12" s="14" t="str">
        <f t="shared" ca="1" si="19"/>
        <v/>
      </c>
      <c r="AF12" s="15" t="str">
        <f t="shared" ca="1" si="19"/>
        <v/>
      </c>
      <c r="AG12" s="16" t="str">
        <f t="shared" ca="1" si="19"/>
        <v/>
      </c>
      <c r="AH12" s="13" t="str">
        <f t="shared" ca="1" si="19"/>
        <v/>
      </c>
      <c r="AI12" s="14">
        <f t="shared" ca="1" si="19"/>
        <v>1</v>
      </c>
      <c r="AJ12" s="14" t="str">
        <f t="shared" ca="1" si="19"/>
        <v/>
      </c>
      <c r="AK12" s="14" t="str">
        <f t="shared" ca="1" si="19"/>
        <v/>
      </c>
      <c r="AL12" s="14" t="str">
        <f t="shared" ca="1" si="19"/>
        <v/>
      </c>
      <c r="AM12" s="15" t="str">
        <f t="shared" ca="1" si="19"/>
        <v/>
      </c>
      <c r="AN12" s="16" t="str">
        <f t="shared" ca="1" si="19"/>
        <v/>
      </c>
      <c r="AO12" s="13" t="str">
        <f t="shared" ca="1" si="19"/>
        <v/>
      </c>
      <c r="AP12" s="14" t="str">
        <f t="shared" ca="1" si="19"/>
        <v/>
      </c>
      <c r="AQ12" s="14" t="str">
        <f t="shared" ca="1" si="20"/>
        <v/>
      </c>
      <c r="AR12" s="14" t="str">
        <f t="shared" ca="1" si="20"/>
        <v/>
      </c>
      <c r="AS12" s="14" t="str">
        <f t="shared" ca="1" si="20"/>
        <v/>
      </c>
      <c r="AT12" s="15" t="str">
        <f t="shared" ca="1" si="20"/>
        <v/>
      </c>
      <c r="AU12" s="16" t="str">
        <f t="shared" ca="1" si="20"/>
        <v/>
      </c>
      <c r="AV12" s="13" t="str">
        <f t="shared" ca="1" si="20"/>
        <v/>
      </c>
      <c r="AW12" s="14" t="str">
        <f t="shared" ca="1" si="20"/>
        <v/>
      </c>
      <c r="AX12" s="14" t="str">
        <f t="shared" ca="1" si="20"/>
        <v/>
      </c>
      <c r="AY12" s="14" t="str">
        <f t="shared" ca="1" si="20"/>
        <v/>
      </c>
      <c r="AZ12" s="14" t="str">
        <f t="shared" ca="1" si="20"/>
        <v/>
      </c>
      <c r="BA12" s="15" t="str">
        <f t="shared" ca="1" si="20"/>
        <v/>
      </c>
      <c r="BB12" s="16" t="str">
        <f t="shared" ca="1" si="20"/>
        <v/>
      </c>
      <c r="BC12" s="13" t="str">
        <f t="shared" ca="1" si="20"/>
        <v/>
      </c>
      <c r="BD12" s="14" t="str">
        <f t="shared" ca="1" si="20"/>
        <v/>
      </c>
      <c r="BE12" s="14" t="str">
        <f t="shared" ca="1" si="20"/>
        <v/>
      </c>
      <c r="BF12" s="14" t="str">
        <f t="shared" ca="1" si="20"/>
        <v/>
      </c>
      <c r="BG12" s="14" t="str">
        <f t="shared" ca="1" si="21"/>
        <v/>
      </c>
      <c r="BH12" s="15" t="str">
        <f t="shared" ca="1" si="21"/>
        <v/>
      </c>
      <c r="BI12" s="16" t="str">
        <f t="shared" ca="1" si="21"/>
        <v/>
      </c>
      <c r="BJ12" s="13" t="str">
        <f t="shared" ca="1" si="21"/>
        <v/>
      </c>
      <c r="BK12" s="14" t="str">
        <f t="shared" ca="1" si="21"/>
        <v/>
      </c>
      <c r="BL12" s="14" t="str">
        <f t="shared" ca="1" si="21"/>
        <v/>
      </c>
      <c r="BM12" s="14" t="str">
        <f t="shared" ca="1" si="21"/>
        <v/>
      </c>
      <c r="BN12" s="14" t="str">
        <f t="shared" ca="1" si="21"/>
        <v/>
      </c>
      <c r="BO12" s="15" t="str">
        <f t="shared" ca="1" si="21"/>
        <v/>
      </c>
      <c r="BP12" s="16" t="str">
        <f t="shared" ca="1" si="21"/>
        <v/>
      </c>
      <c r="BQ12" s="13" t="str">
        <f t="shared" ca="1" si="21"/>
        <v/>
      </c>
      <c r="BR12" s="14" t="str">
        <f t="shared" ca="1" si="21"/>
        <v/>
      </c>
      <c r="BS12" s="14" t="str">
        <f t="shared" ca="1" si="21"/>
        <v/>
      </c>
      <c r="BT12" s="14" t="str">
        <f t="shared" ca="1" si="21"/>
        <v/>
      </c>
      <c r="BU12" s="14" t="str">
        <f t="shared" ca="1" si="21"/>
        <v/>
      </c>
      <c r="BV12" s="15" t="str">
        <f t="shared" ca="1" si="21"/>
        <v/>
      </c>
      <c r="BW12" s="16" t="str">
        <f t="shared" ca="1" si="22"/>
        <v/>
      </c>
      <c r="BX12" s="13" t="str">
        <f t="shared" ca="1" si="22"/>
        <v/>
      </c>
      <c r="BY12" s="14" t="str">
        <f t="shared" ca="1" si="22"/>
        <v/>
      </c>
      <c r="BZ12" s="14" t="str">
        <f t="shared" ca="1" si="22"/>
        <v/>
      </c>
      <c r="CA12" s="14" t="str">
        <f t="shared" ca="1" si="22"/>
        <v/>
      </c>
      <c r="CB12" s="14" t="str">
        <f t="shared" ca="1" si="22"/>
        <v/>
      </c>
      <c r="CC12" s="15" t="str">
        <f t="shared" ca="1" si="22"/>
        <v/>
      </c>
      <c r="CD12" s="16" t="str">
        <f t="shared" ca="1" si="22"/>
        <v/>
      </c>
      <c r="CE12" s="13" t="str">
        <f t="shared" ca="1" si="22"/>
        <v/>
      </c>
      <c r="CF12" s="14" t="str">
        <f t="shared" ca="1" si="22"/>
        <v/>
      </c>
      <c r="CG12" s="14" t="str">
        <f t="shared" ca="1" si="22"/>
        <v/>
      </c>
      <c r="CH12" s="14" t="str">
        <f t="shared" ca="1" si="22"/>
        <v/>
      </c>
      <c r="CI12" s="14" t="str">
        <f t="shared" ca="1" si="22"/>
        <v/>
      </c>
      <c r="CJ12" s="15" t="str">
        <f t="shared" ca="1" si="22"/>
        <v/>
      </c>
      <c r="CK12" s="16" t="str">
        <f t="shared" ca="1" si="22"/>
        <v/>
      </c>
      <c r="CL12" s="13" t="str">
        <f t="shared" ca="1" si="22"/>
        <v/>
      </c>
      <c r="CM12" s="14" t="str">
        <f t="shared" ca="1" si="23"/>
        <v/>
      </c>
      <c r="CN12" s="14" t="str">
        <f t="shared" ca="1" si="23"/>
        <v/>
      </c>
      <c r="CO12" s="14" t="str">
        <f t="shared" ca="1" si="23"/>
        <v/>
      </c>
      <c r="CP12" s="14" t="str">
        <f t="shared" ca="1" si="23"/>
        <v/>
      </c>
      <c r="CQ12" s="15" t="str">
        <f t="shared" ca="1" si="23"/>
        <v/>
      </c>
      <c r="CR12" s="16" t="str">
        <f t="shared" ca="1" si="23"/>
        <v/>
      </c>
      <c r="CS12" s="13" t="str">
        <f t="shared" ca="1" si="23"/>
        <v/>
      </c>
      <c r="CT12" s="14" t="str">
        <f t="shared" ca="1" si="23"/>
        <v/>
      </c>
      <c r="CU12" s="14" t="str">
        <f t="shared" ca="1" si="23"/>
        <v/>
      </c>
      <c r="CV12" s="14" t="str">
        <f t="shared" ca="1" si="23"/>
        <v/>
      </c>
      <c r="CW12" s="14" t="str">
        <f t="shared" ca="1" si="23"/>
        <v/>
      </c>
      <c r="CX12" s="15" t="str">
        <f t="shared" ca="1" si="23"/>
        <v/>
      </c>
      <c r="CY12" s="16" t="str">
        <f t="shared" ca="1" si="23"/>
        <v/>
      </c>
      <c r="CZ12" s="13" t="str">
        <f t="shared" ca="1" si="23"/>
        <v/>
      </c>
      <c r="DA12" s="14" t="str">
        <f t="shared" ca="1" si="23"/>
        <v/>
      </c>
      <c r="DB12" s="14" t="str">
        <f t="shared" ca="1" si="23"/>
        <v/>
      </c>
      <c r="DC12" s="14" t="str">
        <f t="shared" ca="1" si="24"/>
        <v/>
      </c>
      <c r="DD12" s="14" t="str">
        <f t="shared" ca="1" si="24"/>
        <v/>
      </c>
      <c r="DE12" s="15" t="str">
        <f t="shared" ca="1" si="24"/>
        <v/>
      </c>
      <c r="DF12" s="16" t="str">
        <f t="shared" ca="1" si="24"/>
        <v/>
      </c>
      <c r="DG12" s="13" t="str">
        <f t="shared" ca="1" si="24"/>
        <v/>
      </c>
      <c r="DH12" s="14" t="str">
        <f t="shared" ca="1" si="24"/>
        <v/>
      </c>
      <c r="DI12" s="14" t="str">
        <f t="shared" ca="1" si="24"/>
        <v/>
      </c>
      <c r="DJ12" s="14" t="str">
        <f t="shared" ca="1" si="24"/>
        <v/>
      </c>
      <c r="DK12" s="14" t="str">
        <f t="shared" ca="1" si="24"/>
        <v/>
      </c>
      <c r="DL12" s="15" t="str">
        <f t="shared" ca="1" si="24"/>
        <v/>
      </c>
      <c r="DM12" s="16" t="str">
        <f t="shared" ca="1" si="24"/>
        <v/>
      </c>
      <c r="DN12" s="13" t="str">
        <f t="shared" ca="1" si="24"/>
        <v/>
      </c>
      <c r="DO12" s="14" t="str">
        <f t="shared" ca="1" si="24"/>
        <v/>
      </c>
      <c r="DP12" s="14" t="str">
        <f t="shared" ca="1" si="24"/>
        <v/>
      </c>
      <c r="DQ12" s="14" t="str">
        <f t="shared" ca="1" si="24"/>
        <v/>
      </c>
      <c r="DR12" s="14" t="str">
        <f t="shared" ca="1" si="24"/>
        <v/>
      </c>
      <c r="DS12" s="15" t="str">
        <f t="shared" ca="1" si="24"/>
        <v/>
      </c>
      <c r="DT12" s="16" t="str">
        <f t="shared" ca="1" si="24"/>
        <v/>
      </c>
      <c r="DU12" s="13" t="str">
        <f t="shared" ca="1" si="25"/>
        <v/>
      </c>
      <c r="DV12" s="14" t="str">
        <f t="shared" ca="1" si="25"/>
        <v/>
      </c>
      <c r="DW12" s="14" t="str">
        <f t="shared" ca="1" si="25"/>
        <v/>
      </c>
      <c r="DX12" s="14" t="str">
        <f t="shared" ca="1" si="25"/>
        <v/>
      </c>
      <c r="DY12" s="14" t="str">
        <f t="shared" ca="1" si="25"/>
        <v/>
      </c>
      <c r="DZ12" s="15" t="str">
        <f t="shared" ca="1" si="25"/>
        <v/>
      </c>
      <c r="EA12" s="16" t="str">
        <f t="shared" ca="1" si="25"/>
        <v/>
      </c>
      <c r="EB12" s="13" t="str">
        <f t="shared" ca="1" si="25"/>
        <v/>
      </c>
      <c r="EC12" s="14" t="str">
        <f t="shared" ca="1" si="25"/>
        <v/>
      </c>
      <c r="ED12" s="14" t="str">
        <f t="shared" ca="1" si="25"/>
        <v/>
      </c>
      <c r="EE12" s="14" t="str">
        <f t="shared" ca="1" si="25"/>
        <v/>
      </c>
      <c r="EF12" s="14" t="str">
        <f t="shared" ca="1" si="25"/>
        <v/>
      </c>
      <c r="EG12" s="15" t="str">
        <f t="shared" ca="1" si="25"/>
        <v/>
      </c>
      <c r="EH12" s="16" t="str">
        <f t="shared" ca="1" si="25"/>
        <v/>
      </c>
    </row>
    <row r="13" spans="1:138" s="17" customFormat="1" ht="9.75" customHeight="1">
      <c r="A13" s="586"/>
      <c r="B13" s="22" t="s">
        <v>43</v>
      </c>
      <c r="C13" s="19">
        <f ca="1">IF(AND(_xlfn.XLOOKUP(A25,'VTT actif'!F:F,'VTT actif'!W:W,"-",0)=7,INT(E12/7)=E12/7),E12,IF((ROUNDDOWN(E12/7,0)*7+_xlfn.XLOOKUP(A25,'VTT actif'!F:F,'VTT actif'!W:W,"-",0))&lt;E12,(ROUNDDOWN(E12/7,0)*7+_xlfn.XLOOKUP(A25,'VTT actif'!F:F,'VTT actif'!W:W,"-",0))+7,(ROUNDDOWN(E12/7,0)*7+_xlfn.XLOOKUP(A25,'VTT actif'!F:F,'VTT actif'!W:W,"-",0))))</f>
        <v>30</v>
      </c>
      <c r="D13" s="20">
        <v>0</v>
      </c>
      <c r="E13" s="19">
        <f ca="1">C13+D13</f>
        <v>30</v>
      </c>
      <c r="F13" s="13" t="str">
        <f t="shared" ca="1" si="18"/>
        <v/>
      </c>
      <c r="G13" s="14" t="str">
        <f t="shared" ca="1" si="18"/>
        <v/>
      </c>
      <c r="H13" s="14" t="str">
        <f t="shared" ca="1" si="18"/>
        <v/>
      </c>
      <c r="I13" s="14" t="str">
        <f t="shared" ca="1" si="18"/>
        <v/>
      </c>
      <c r="J13" s="14" t="str">
        <f t="shared" ca="1" si="18"/>
        <v/>
      </c>
      <c r="K13" s="15" t="str">
        <f t="shared" ca="1" si="18"/>
        <v/>
      </c>
      <c r="L13" s="16" t="str">
        <f t="shared" ca="1" si="18"/>
        <v/>
      </c>
      <c r="M13" s="13" t="str">
        <f t="shared" ca="1" si="18"/>
        <v/>
      </c>
      <c r="N13" s="14" t="str">
        <f t="shared" ca="1" si="18"/>
        <v/>
      </c>
      <c r="O13" s="14" t="str">
        <f t="shared" ca="1" si="18"/>
        <v/>
      </c>
      <c r="P13" s="14" t="str">
        <f t="shared" ca="1" si="18"/>
        <v/>
      </c>
      <c r="Q13" s="14" t="str">
        <f t="shared" ca="1" si="18"/>
        <v/>
      </c>
      <c r="R13" s="15" t="str">
        <f t="shared" ca="1" si="18"/>
        <v/>
      </c>
      <c r="S13" s="16" t="str">
        <f t="shared" ca="1" si="18"/>
        <v/>
      </c>
      <c r="T13" s="13" t="str">
        <f t="shared" ca="1" si="18"/>
        <v/>
      </c>
      <c r="U13" s="14" t="str">
        <f t="shared" ca="1" si="18"/>
        <v/>
      </c>
      <c r="V13" s="14" t="str">
        <f t="shared" ca="1" si="18"/>
        <v/>
      </c>
      <c r="W13" s="14" t="str">
        <f t="shared" ca="1" si="18"/>
        <v/>
      </c>
      <c r="X13" s="14" t="str">
        <f t="shared" ca="1" si="18"/>
        <v/>
      </c>
      <c r="Y13" s="15" t="str">
        <f t="shared" ca="1" si="18"/>
        <v/>
      </c>
      <c r="Z13" s="16" t="str">
        <f t="shared" ca="1" si="18"/>
        <v/>
      </c>
      <c r="AA13" s="13" t="str">
        <f t="shared" ca="1" si="19"/>
        <v/>
      </c>
      <c r="AB13" s="14" t="str">
        <f t="shared" ca="1" si="19"/>
        <v/>
      </c>
      <c r="AC13" s="14" t="str">
        <f t="shared" ca="1" si="19"/>
        <v/>
      </c>
      <c r="AD13" s="14" t="str">
        <f t="shared" ca="1" si="19"/>
        <v/>
      </c>
      <c r="AE13" s="14" t="str">
        <f t="shared" ca="1" si="19"/>
        <v/>
      </c>
      <c r="AF13" s="15" t="str">
        <f t="shared" ca="1" si="19"/>
        <v/>
      </c>
      <c r="AG13" s="16" t="str">
        <f t="shared" ca="1" si="19"/>
        <v/>
      </c>
      <c r="AH13" s="13" t="str">
        <f t="shared" ca="1" si="19"/>
        <v/>
      </c>
      <c r="AI13" s="14">
        <f t="shared" ca="1" si="19"/>
        <v>1</v>
      </c>
      <c r="AJ13" s="14" t="str">
        <f t="shared" ca="1" si="19"/>
        <v/>
      </c>
      <c r="AK13" s="14" t="str">
        <f t="shared" ca="1" si="19"/>
        <v/>
      </c>
      <c r="AL13" s="14" t="str">
        <f t="shared" ca="1" si="19"/>
        <v/>
      </c>
      <c r="AM13" s="15" t="str">
        <f t="shared" ca="1" si="19"/>
        <v/>
      </c>
      <c r="AN13" s="16" t="str">
        <f t="shared" ca="1" si="19"/>
        <v/>
      </c>
      <c r="AO13" s="13" t="str">
        <f t="shared" ca="1" si="19"/>
        <v/>
      </c>
      <c r="AP13" s="14" t="str">
        <f t="shared" ca="1" si="19"/>
        <v/>
      </c>
      <c r="AQ13" s="14" t="str">
        <f t="shared" ca="1" si="20"/>
        <v/>
      </c>
      <c r="AR13" s="14" t="str">
        <f t="shared" ca="1" si="20"/>
        <v/>
      </c>
      <c r="AS13" s="14" t="str">
        <f t="shared" ca="1" si="20"/>
        <v/>
      </c>
      <c r="AT13" s="15" t="str">
        <f t="shared" ca="1" si="20"/>
        <v/>
      </c>
      <c r="AU13" s="16" t="str">
        <f t="shared" ca="1" si="20"/>
        <v/>
      </c>
      <c r="AV13" s="13" t="str">
        <f t="shared" ca="1" si="20"/>
        <v/>
      </c>
      <c r="AW13" s="14" t="str">
        <f t="shared" ca="1" si="20"/>
        <v/>
      </c>
      <c r="AX13" s="14" t="str">
        <f t="shared" ca="1" si="20"/>
        <v/>
      </c>
      <c r="AY13" s="14" t="str">
        <f t="shared" ca="1" si="20"/>
        <v/>
      </c>
      <c r="AZ13" s="14" t="str">
        <f t="shared" ca="1" si="20"/>
        <v/>
      </c>
      <c r="BA13" s="15" t="str">
        <f t="shared" ca="1" si="20"/>
        <v/>
      </c>
      <c r="BB13" s="16" t="str">
        <f t="shared" ca="1" si="20"/>
        <v/>
      </c>
      <c r="BC13" s="13" t="str">
        <f t="shared" ca="1" si="20"/>
        <v/>
      </c>
      <c r="BD13" s="14" t="str">
        <f t="shared" ca="1" si="20"/>
        <v/>
      </c>
      <c r="BE13" s="14" t="str">
        <f t="shared" ca="1" si="20"/>
        <v/>
      </c>
      <c r="BF13" s="14" t="str">
        <f t="shared" ca="1" si="20"/>
        <v/>
      </c>
      <c r="BG13" s="14" t="str">
        <f t="shared" ca="1" si="21"/>
        <v/>
      </c>
      <c r="BH13" s="15" t="str">
        <f t="shared" ca="1" si="21"/>
        <v/>
      </c>
      <c r="BI13" s="16" t="str">
        <f t="shared" ca="1" si="21"/>
        <v/>
      </c>
      <c r="BJ13" s="13" t="str">
        <f t="shared" ca="1" si="21"/>
        <v/>
      </c>
      <c r="BK13" s="14" t="str">
        <f t="shared" ca="1" si="21"/>
        <v/>
      </c>
      <c r="BL13" s="14" t="str">
        <f t="shared" ca="1" si="21"/>
        <v/>
      </c>
      <c r="BM13" s="14" t="str">
        <f t="shared" ca="1" si="21"/>
        <v/>
      </c>
      <c r="BN13" s="14" t="str">
        <f t="shared" ca="1" si="21"/>
        <v/>
      </c>
      <c r="BO13" s="15" t="str">
        <f t="shared" ca="1" si="21"/>
        <v/>
      </c>
      <c r="BP13" s="16" t="str">
        <f t="shared" ca="1" si="21"/>
        <v/>
      </c>
      <c r="BQ13" s="13" t="str">
        <f t="shared" ca="1" si="21"/>
        <v/>
      </c>
      <c r="BR13" s="14" t="str">
        <f t="shared" ca="1" si="21"/>
        <v/>
      </c>
      <c r="BS13" s="14" t="str">
        <f t="shared" ca="1" si="21"/>
        <v/>
      </c>
      <c r="BT13" s="14" t="str">
        <f t="shared" ca="1" si="21"/>
        <v/>
      </c>
      <c r="BU13" s="14" t="str">
        <f t="shared" ca="1" si="21"/>
        <v/>
      </c>
      <c r="BV13" s="15" t="str">
        <f t="shared" ca="1" si="21"/>
        <v/>
      </c>
      <c r="BW13" s="16" t="str">
        <f t="shared" ca="1" si="22"/>
        <v/>
      </c>
      <c r="BX13" s="13" t="str">
        <f t="shared" ca="1" si="22"/>
        <v/>
      </c>
      <c r="BY13" s="14" t="str">
        <f t="shared" ca="1" si="22"/>
        <v/>
      </c>
      <c r="BZ13" s="14" t="str">
        <f t="shared" ca="1" si="22"/>
        <v/>
      </c>
      <c r="CA13" s="14" t="str">
        <f t="shared" ca="1" si="22"/>
        <v/>
      </c>
      <c r="CB13" s="14" t="str">
        <f t="shared" ca="1" si="22"/>
        <v/>
      </c>
      <c r="CC13" s="15" t="str">
        <f t="shared" ca="1" si="22"/>
        <v/>
      </c>
      <c r="CD13" s="16" t="str">
        <f t="shared" ca="1" si="22"/>
        <v/>
      </c>
      <c r="CE13" s="13" t="str">
        <f t="shared" ca="1" si="22"/>
        <v/>
      </c>
      <c r="CF13" s="14" t="str">
        <f t="shared" ca="1" si="22"/>
        <v/>
      </c>
      <c r="CG13" s="14" t="str">
        <f t="shared" ca="1" si="22"/>
        <v/>
      </c>
      <c r="CH13" s="14" t="str">
        <f t="shared" ca="1" si="22"/>
        <v/>
      </c>
      <c r="CI13" s="14" t="str">
        <f t="shared" ca="1" si="22"/>
        <v/>
      </c>
      <c r="CJ13" s="15" t="str">
        <f t="shared" ca="1" si="22"/>
        <v/>
      </c>
      <c r="CK13" s="16" t="str">
        <f t="shared" ca="1" si="22"/>
        <v/>
      </c>
      <c r="CL13" s="13" t="str">
        <f t="shared" ca="1" si="22"/>
        <v/>
      </c>
      <c r="CM13" s="14" t="str">
        <f t="shared" ca="1" si="23"/>
        <v/>
      </c>
      <c r="CN13" s="14" t="str">
        <f t="shared" ca="1" si="23"/>
        <v/>
      </c>
      <c r="CO13" s="14" t="str">
        <f t="shared" ca="1" si="23"/>
        <v/>
      </c>
      <c r="CP13" s="14" t="str">
        <f t="shared" ca="1" si="23"/>
        <v/>
      </c>
      <c r="CQ13" s="15" t="str">
        <f t="shared" ca="1" si="23"/>
        <v/>
      </c>
      <c r="CR13" s="16" t="str">
        <f t="shared" ca="1" si="23"/>
        <v/>
      </c>
      <c r="CS13" s="13" t="str">
        <f t="shared" ca="1" si="23"/>
        <v/>
      </c>
      <c r="CT13" s="14" t="str">
        <f t="shared" ca="1" si="23"/>
        <v/>
      </c>
      <c r="CU13" s="14" t="str">
        <f t="shared" ca="1" si="23"/>
        <v/>
      </c>
      <c r="CV13" s="14" t="str">
        <f t="shared" ca="1" si="23"/>
        <v/>
      </c>
      <c r="CW13" s="14" t="str">
        <f t="shared" ca="1" si="23"/>
        <v/>
      </c>
      <c r="CX13" s="15" t="str">
        <f t="shared" ca="1" si="23"/>
        <v/>
      </c>
      <c r="CY13" s="16" t="str">
        <f t="shared" ca="1" si="23"/>
        <v/>
      </c>
      <c r="CZ13" s="13" t="str">
        <f t="shared" ca="1" si="23"/>
        <v/>
      </c>
      <c r="DA13" s="14" t="str">
        <f t="shared" ca="1" si="23"/>
        <v/>
      </c>
      <c r="DB13" s="14" t="str">
        <f t="shared" ca="1" si="23"/>
        <v/>
      </c>
      <c r="DC13" s="14" t="str">
        <f t="shared" ca="1" si="24"/>
        <v/>
      </c>
      <c r="DD13" s="14" t="str">
        <f t="shared" ca="1" si="24"/>
        <v/>
      </c>
      <c r="DE13" s="15" t="str">
        <f t="shared" ca="1" si="24"/>
        <v/>
      </c>
      <c r="DF13" s="16" t="str">
        <f t="shared" ca="1" si="24"/>
        <v/>
      </c>
      <c r="DG13" s="13" t="str">
        <f t="shared" ca="1" si="24"/>
        <v/>
      </c>
      <c r="DH13" s="14" t="str">
        <f t="shared" ca="1" si="24"/>
        <v/>
      </c>
      <c r="DI13" s="14" t="str">
        <f t="shared" ca="1" si="24"/>
        <v/>
      </c>
      <c r="DJ13" s="14" t="str">
        <f t="shared" ca="1" si="24"/>
        <v/>
      </c>
      <c r="DK13" s="14" t="str">
        <f t="shared" ca="1" si="24"/>
        <v/>
      </c>
      <c r="DL13" s="15" t="str">
        <f t="shared" ca="1" si="24"/>
        <v/>
      </c>
      <c r="DM13" s="16" t="str">
        <f t="shared" ca="1" si="24"/>
        <v/>
      </c>
      <c r="DN13" s="13" t="str">
        <f t="shared" ca="1" si="24"/>
        <v/>
      </c>
      <c r="DO13" s="14" t="str">
        <f t="shared" ca="1" si="24"/>
        <v/>
      </c>
      <c r="DP13" s="14" t="str">
        <f t="shared" ca="1" si="24"/>
        <v/>
      </c>
      <c r="DQ13" s="14" t="str">
        <f t="shared" ca="1" si="24"/>
        <v/>
      </c>
      <c r="DR13" s="14" t="str">
        <f t="shared" ca="1" si="24"/>
        <v/>
      </c>
      <c r="DS13" s="15" t="str">
        <f t="shared" ca="1" si="24"/>
        <v/>
      </c>
      <c r="DT13" s="16" t="str">
        <f t="shared" ca="1" si="24"/>
        <v/>
      </c>
      <c r="DU13" s="13" t="str">
        <f t="shared" ca="1" si="25"/>
        <v/>
      </c>
      <c r="DV13" s="14" t="str">
        <f t="shared" ca="1" si="25"/>
        <v/>
      </c>
      <c r="DW13" s="14" t="str">
        <f t="shared" ca="1" si="25"/>
        <v/>
      </c>
      <c r="DX13" s="14" t="str">
        <f t="shared" ca="1" si="25"/>
        <v/>
      </c>
      <c r="DY13" s="14" t="str">
        <f t="shared" ca="1" si="25"/>
        <v/>
      </c>
      <c r="DZ13" s="15" t="str">
        <f t="shared" ca="1" si="25"/>
        <v/>
      </c>
      <c r="EA13" s="16" t="str">
        <f t="shared" ca="1" si="25"/>
        <v/>
      </c>
      <c r="EB13" s="13" t="str">
        <f t="shared" ca="1" si="25"/>
        <v/>
      </c>
      <c r="EC13" s="14" t="str">
        <f t="shared" ca="1" si="25"/>
        <v/>
      </c>
      <c r="ED13" s="14" t="str">
        <f t="shared" ca="1" si="25"/>
        <v/>
      </c>
      <c r="EE13" s="14" t="str">
        <f t="shared" ca="1" si="25"/>
        <v/>
      </c>
      <c r="EF13" s="14" t="str">
        <f t="shared" ca="1" si="25"/>
        <v/>
      </c>
      <c r="EG13" s="15" t="str">
        <f t="shared" ca="1" si="25"/>
        <v/>
      </c>
      <c r="EH13" s="16" t="str">
        <f t="shared" ca="1" si="25"/>
        <v/>
      </c>
    </row>
    <row r="14" spans="1:138" s="17" customFormat="1" ht="9.75" customHeight="1">
      <c r="A14" s="586"/>
      <c r="B14" s="22" t="s">
        <v>44</v>
      </c>
      <c r="C14" s="19">
        <f ca="1">IF((ROUNDDOWN(E13/7,0)*7+_xlfn.XLOOKUP(A25,'VTT actif'!F:F,'VTT actif'!AC:AC,"-",0))&lt;E13,(ROUNDDOWN(E13/7,0)*7+_xlfn.XLOOKUP(A25,'VTT actif'!F:F,'VTT actif'!AC:AC,"-",0))+7,(ROUNDDOWN(E13/7,0)*7+_xlfn.XLOOKUP(A25,'VTT actif'!F:F,'VTT actif'!AC:AC,"-",0)))</f>
        <v>30</v>
      </c>
      <c r="D14" s="20">
        <v>0</v>
      </c>
      <c r="E14" s="19">
        <f ca="1">C14+D14</f>
        <v>30</v>
      </c>
      <c r="F14" s="13" t="str">
        <f t="shared" ca="1" si="18"/>
        <v/>
      </c>
      <c r="G14" s="14" t="str">
        <f t="shared" ca="1" si="18"/>
        <v/>
      </c>
      <c r="H14" s="14" t="str">
        <f t="shared" ca="1" si="18"/>
        <v/>
      </c>
      <c r="I14" s="14" t="str">
        <f t="shared" ca="1" si="18"/>
        <v/>
      </c>
      <c r="J14" s="14" t="str">
        <f t="shared" ca="1" si="18"/>
        <v/>
      </c>
      <c r="K14" s="15" t="str">
        <f t="shared" ca="1" si="18"/>
        <v/>
      </c>
      <c r="L14" s="16" t="str">
        <f t="shared" ca="1" si="18"/>
        <v/>
      </c>
      <c r="M14" s="13" t="str">
        <f t="shared" ca="1" si="18"/>
        <v/>
      </c>
      <c r="N14" s="14" t="str">
        <f t="shared" ca="1" si="18"/>
        <v/>
      </c>
      <c r="O14" s="14" t="str">
        <f t="shared" ca="1" si="18"/>
        <v/>
      </c>
      <c r="P14" s="14" t="str">
        <f t="shared" ca="1" si="18"/>
        <v/>
      </c>
      <c r="Q14" s="14" t="str">
        <f t="shared" ca="1" si="18"/>
        <v/>
      </c>
      <c r="R14" s="15" t="str">
        <f t="shared" ca="1" si="18"/>
        <v/>
      </c>
      <c r="S14" s="16" t="str">
        <f t="shared" ca="1" si="18"/>
        <v/>
      </c>
      <c r="T14" s="13" t="str">
        <f t="shared" ca="1" si="18"/>
        <v/>
      </c>
      <c r="U14" s="14" t="str">
        <f t="shared" ca="1" si="18"/>
        <v/>
      </c>
      <c r="V14" s="14" t="str">
        <f t="shared" ca="1" si="18"/>
        <v/>
      </c>
      <c r="W14" s="14" t="str">
        <f t="shared" ca="1" si="18"/>
        <v/>
      </c>
      <c r="X14" s="14" t="str">
        <f t="shared" ca="1" si="18"/>
        <v/>
      </c>
      <c r="Y14" s="15" t="str">
        <f t="shared" ca="1" si="18"/>
        <v/>
      </c>
      <c r="Z14" s="16" t="str">
        <f t="shared" ca="1" si="18"/>
        <v/>
      </c>
      <c r="AA14" s="13" t="str">
        <f t="shared" ca="1" si="19"/>
        <v/>
      </c>
      <c r="AB14" s="14" t="str">
        <f t="shared" ca="1" si="19"/>
        <v/>
      </c>
      <c r="AC14" s="14" t="str">
        <f t="shared" ca="1" si="19"/>
        <v/>
      </c>
      <c r="AD14" s="14" t="str">
        <f t="shared" ca="1" si="19"/>
        <v/>
      </c>
      <c r="AE14" s="14" t="str">
        <f t="shared" ca="1" si="19"/>
        <v/>
      </c>
      <c r="AF14" s="15" t="str">
        <f t="shared" ca="1" si="19"/>
        <v/>
      </c>
      <c r="AG14" s="16" t="str">
        <f t="shared" ca="1" si="19"/>
        <v/>
      </c>
      <c r="AH14" s="13" t="str">
        <f t="shared" ca="1" si="19"/>
        <v/>
      </c>
      <c r="AI14" s="14">
        <f t="shared" ca="1" si="19"/>
        <v>1</v>
      </c>
      <c r="AJ14" s="14" t="str">
        <f t="shared" ca="1" si="19"/>
        <v/>
      </c>
      <c r="AK14" s="14" t="str">
        <f t="shared" ca="1" si="19"/>
        <v/>
      </c>
      <c r="AL14" s="14" t="str">
        <f t="shared" ca="1" si="19"/>
        <v/>
      </c>
      <c r="AM14" s="15" t="str">
        <f t="shared" ca="1" si="19"/>
        <v/>
      </c>
      <c r="AN14" s="16" t="str">
        <f t="shared" ca="1" si="19"/>
        <v/>
      </c>
      <c r="AO14" s="13" t="str">
        <f t="shared" ca="1" si="19"/>
        <v/>
      </c>
      <c r="AP14" s="14" t="str">
        <f t="shared" ca="1" si="19"/>
        <v/>
      </c>
      <c r="AQ14" s="14" t="str">
        <f t="shared" ca="1" si="20"/>
        <v/>
      </c>
      <c r="AR14" s="14" t="str">
        <f t="shared" ca="1" si="20"/>
        <v/>
      </c>
      <c r="AS14" s="14" t="str">
        <f t="shared" ca="1" si="20"/>
        <v/>
      </c>
      <c r="AT14" s="15" t="str">
        <f t="shared" ca="1" si="20"/>
        <v/>
      </c>
      <c r="AU14" s="16" t="str">
        <f t="shared" ca="1" si="20"/>
        <v/>
      </c>
      <c r="AV14" s="13" t="str">
        <f t="shared" ca="1" si="20"/>
        <v/>
      </c>
      <c r="AW14" s="14" t="str">
        <f t="shared" ca="1" si="20"/>
        <v/>
      </c>
      <c r="AX14" s="14" t="str">
        <f t="shared" ca="1" si="20"/>
        <v/>
      </c>
      <c r="AY14" s="14" t="str">
        <f t="shared" ca="1" si="20"/>
        <v/>
      </c>
      <c r="AZ14" s="14" t="str">
        <f t="shared" ca="1" si="20"/>
        <v/>
      </c>
      <c r="BA14" s="15" t="str">
        <f t="shared" ca="1" si="20"/>
        <v/>
      </c>
      <c r="BB14" s="16" t="str">
        <f t="shared" ca="1" si="20"/>
        <v/>
      </c>
      <c r="BC14" s="13" t="str">
        <f t="shared" ca="1" si="20"/>
        <v/>
      </c>
      <c r="BD14" s="14" t="str">
        <f t="shared" ca="1" si="20"/>
        <v/>
      </c>
      <c r="BE14" s="14" t="str">
        <f t="shared" ca="1" si="20"/>
        <v/>
      </c>
      <c r="BF14" s="14" t="str">
        <f t="shared" ca="1" si="20"/>
        <v/>
      </c>
      <c r="BG14" s="14" t="str">
        <f t="shared" ca="1" si="21"/>
        <v/>
      </c>
      <c r="BH14" s="15" t="str">
        <f t="shared" ca="1" si="21"/>
        <v/>
      </c>
      <c r="BI14" s="16" t="str">
        <f t="shared" ca="1" si="21"/>
        <v/>
      </c>
      <c r="BJ14" s="13" t="str">
        <f t="shared" ca="1" si="21"/>
        <v/>
      </c>
      <c r="BK14" s="14" t="str">
        <f t="shared" ca="1" si="21"/>
        <v/>
      </c>
      <c r="BL14" s="14" t="str">
        <f t="shared" ca="1" si="21"/>
        <v/>
      </c>
      <c r="BM14" s="14" t="str">
        <f t="shared" ca="1" si="21"/>
        <v/>
      </c>
      <c r="BN14" s="14" t="str">
        <f t="shared" ca="1" si="21"/>
        <v/>
      </c>
      <c r="BO14" s="15" t="str">
        <f t="shared" ca="1" si="21"/>
        <v/>
      </c>
      <c r="BP14" s="16" t="str">
        <f t="shared" ca="1" si="21"/>
        <v/>
      </c>
      <c r="BQ14" s="13" t="str">
        <f t="shared" ca="1" si="21"/>
        <v/>
      </c>
      <c r="BR14" s="14" t="str">
        <f t="shared" ca="1" si="21"/>
        <v/>
      </c>
      <c r="BS14" s="14" t="str">
        <f t="shared" ca="1" si="21"/>
        <v/>
      </c>
      <c r="BT14" s="14" t="str">
        <f t="shared" ca="1" si="21"/>
        <v/>
      </c>
      <c r="BU14" s="14" t="str">
        <f t="shared" ca="1" si="21"/>
        <v/>
      </c>
      <c r="BV14" s="15" t="str">
        <f t="shared" ca="1" si="21"/>
        <v/>
      </c>
      <c r="BW14" s="16" t="str">
        <f t="shared" ca="1" si="22"/>
        <v/>
      </c>
      <c r="BX14" s="13" t="str">
        <f t="shared" ca="1" si="22"/>
        <v/>
      </c>
      <c r="BY14" s="14" t="str">
        <f t="shared" ca="1" si="22"/>
        <v/>
      </c>
      <c r="BZ14" s="14" t="str">
        <f t="shared" ca="1" si="22"/>
        <v/>
      </c>
      <c r="CA14" s="14" t="str">
        <f t="shared" ca="1" si="22"/>
        <v/>
      </c>
      <c r="CB14" s="14" t="str">
        <f t="shared" ca="1" si="22"/>
        <v/>
      </c>
      <c r="CC14" s="15" t="str">
        <f t="shared" ca="1" si="22"/>
        <v/>
      </c>
      <c r="CD14" s="16" t="str">
        <f t="shared" ca="1" si="22"/>
        <v/>
      </c>
      <c r="CE14" s="13" t="str">
        <f t="shared" ca="1" si="22"/>
        <v/>
      </c>
      <c r="CF14" s="14" t="str">
        <f t="shared" ca="1" si="22"/>
        <v/>
      </c>
      <c r="CG14" s="14" t="str">
        <f t="shared" ca="1" si="22"/>
        <v/>
      </c>
      <c r="CH14" s="14" t="str">
        <f t="shared" ca="1" si="22"/>
        <v/>
      </c>
      <c r="CI14" s="14" t="str">
        <f t="shared" ca="1" si="22"/>
        <v/>
      </c>
      <c r="CJ14" s="15" t="str">
        <f t="shared" ca="1" si="22"/>
        <v/>
      </c>
      <c r="CK14" s="16" t="str">
        <f t="shared" ca="1" si="22"/>
        <v/>
      </c>
      <c r="CL14" s="13" t="str">
        <f t="shared" ca="1" si="22"/>
        <v/>
      </c>
      <c r="CM14" s="14" t="str">
        <f t="shared" ca="1" si="23"/>
        <v/>
      </c>
      <c r="CN14" s="14" t="str">
        <f t="shared" ca="1" si="23"/>
        <v/>
      </c>
      <c r="CO14" s="14" t="str">
        <f t="shared" ca="1" si="23"/>
        <v/>
      </c>
      <c r="CP14" s="14" t="str">
        <f t="shared" ca="1" si="23"/>
        <v/>
      </c>
      <c r="CQ14" s="15" t="str">
        <f t="shared" ca="1" si="23"/>
        <v/>
      </c>
      <c r="CR14" s="16" t="str">
        <f t="shared" ca="1" si="23"/>
        <v/>
      </c>
      <c r="CS14" s="13" t="str">
        <f t="shared" ca="1" si="23"/>
        <v/>
      </c>
      <c r="CT14" s="14" t="str">
        <f t="shared" ca="1" si="23"/>
        <v/>
      </c>
      <c r="CU14" s="14" t="str">
        <f t="shared" ca="1" si="23"/>
        <v/>
      </c>
      <c r="CV14" s="14" t="str">
        <f t="shared" ca="1" si="23"/>
        <v/>
      </c>
      <c r="CW14" s="14" t="str">
        <f t="shared" ca="1" si="23"/>
        <v/>
      </c>
      <c r="CX14" s="15" t="str">
        <f t="shared" ca="1" si="23"/>
        <v/>
      </c>
      <c r="CY14" s="16" t="str">
        <f t="shared" ca="1" si="23"/>
        <v/>
      </c>
      <c r="CZ14" s="13" t="str">
        <f t="shared" ca="1" si="23"/>
        <v/>
      </c>
      <c r="DA14" s="14" t="str">
        <f t="shared" ca="1" si="23"/>
        <v/>
      </c>
      <c r="DB14" s="14" t="str">
        <f t="shared" ca="1" si="23"/>
        <v/>
      </c>
      <c r="DC14" s="14" t="str">
        <f t="shared" ca="1" si="24"/>
        <v/>
      </c>
      <c r="DD14" s="14" t="str">
        <f t="shared" ca="1" si="24"/>
        <v/>
      </c>
      <c r="DE14" s="15" t="str">
        <f t="shared" ca="1" si="24"/>
        <v/>
      </c>
      <c r="DF14" s="16" t="str">
        <f t="shared" ca="1" si="24"/>
        <v/>
      </c>
      <c r="DG14" s="13" t="str">
        <f t="shared" ca="1" si="24"/>
        <v/>
      </c>
      <c r="DH14" s="14" t="str">
        <f t="shared" ca="1" si="24"/>
        <v/>
      </c>
      <c r="DI14" s="14" t="str">
        <f t="shared" ca="1" si="24"/>
        <v/>
      </c>
      <c r="DJ14" s="14" t="str">
        <f t="shared" ca="1" si="24"/>
        <v/>
      </c>
      <c r="DK14" s="14" t="str">
        <f t="shared" ca="1" si="24"/>
        <v/>
      </c>
      <c r="DL14" s="15" t="str">
        <f t="shared" ca="1" si="24"/>
        <v/>
      </c>
      <c r="DM14" s="16" t="str">
        <f t="shared" ca="1" si="24"/>
        <v/>
      </c>
      <c r="DN14" s="13" t="str">
        <f t="shared" ca="1" si="24"/>
        <v/>
      </c>
      <c r="DO14" s="14" t="str">
        <f t="shared" ca="1" si="24"/>
        <v/>
      </c>
      <c r="DP14" s="14" t="str">
        <f t="shared" ca="1" si="24"/>
        <v/>
      </c>
      <c r="DQ14" s="14" t="str">
        <f t="shared" ca="1" si="24"/>
        <v/>
      </c>
      <c r="DR14" s="14" t="str">
        <f t="shared" ca="1" si="24"/>
        <v/>
      </c>
      <c r="DS14" s="15" t="str">
        <f t="shared" ca="1" si="24"/>
        <v/>
      </c>
      <c r="DT14" s="16" t="str">
        <f t="shared" ca="1" si="24"/>
        <v/>
      </c>
      <c r="DU14" s="13" t="str">
        <f t="shared" ca="1" si="25"/>
        <v/>
      </c>
      <c r="DV14" s="14" t="str">
        <f t="shared" ca="1" si="25"/>
        <v/>
      </c>
      <c r="DW14" s="14" t="str">
        <f t="shared" ca="1" si="25"/>
        <v/>
      </c>
      <c r="DX14" s="14" t="str">
        <f t="shared" ca="1" si="25"/>
        <v/>
      </c>
      <c r="DY14" s="14" t="str">
        <f t="shared" ca="1" si="25"/>
        <v/>
      </c>
      <c r="DZ14" s="15" t="str">
        <f t="shared" ca="1" si="25"/>
        <v/>
      </c>
      <c r="EA14" s="16" t="str">
        <f t="shared" ca="1" si="25"/>
        <v/>
      </c>
      <c r="EB14" s="13" t="str">
        <f t="shared" ca="1" si="25"/>
        <v/>
      </c>
      <c r="EC14" s="14" t="str">
        <f t="shared" ca="1" si="25"/>
        <v/>
      </c>
      <c r="ED14" s="14" t="str">
        <f t="shared" ca="1" si="25"/>
        <v/>
      </c>
      <c r="EE14" s="14" t="str">
        <f t="shared" ca="1" si="25"/>
        <v/>
      </c>
      <c r="EF14" s="14" t="str">
        <f t="shared" ca="1" si="25"/>
        <v/>
      </c>
      <c r="EG14" s="15" t="str">
        <f t="shared" ca="1" si="25"/>
        <v/>
      </c>
      <c r="EH14" s="16" t="str">
        <f t="shared" ca="1" si="25"/>
        <v/>
      </c>
    </row>
    <row r="15" spans="1:138" s="17" customFormat="1" ht="9.75" customHeight="1">
      <c r="A15" s="586"/>
      <c r="B15" s="22" t="s">
        <v>45</v>
      </c>
      <c r="C15" s="19">
        <f ca="1">E14+_xlfn.XLOOKUP(A25,'VTT actif'!F:F,'VTT actif'!AD:AD,"-",0)-_xlfn.XLOOKUP(A25,'VTT actif'!F:F,'VTT actif'!AC:AC,"-",0)</f>
        <v>32</v>
      </c>
      <c r="D15" s="20">
        <v>0</v>
      </c>
      <c r="E15" s="19">
        <f ca="1">C15+D15</f>
        <v>32</v>
      </c>
      <c r="F15" s="13" t="str">
        <f t="shared" ca="1" si="18"/>
        <v/>
      </c>
      <c r="G15" s="14" t="str">
        <f t="shared" ca="1" si="18"/>
        <v/>
      </c>
      <c r="H15" s="14" t="str">
        <f t="shared" ca="1" si="18"/>
        <v/>
      </c>
      <c r="I15" s="14" t="str">
        <f t="shared" ca="1" si="18"/>
        <v/>
      </c>
      <c r="J15" s="14" t="str">
        <f t="shared" ca="1" si="18"/>
        <v/>
      </c>
      <c r="K15" s="15" t="str">
        <f t="shared" ca="1" si="18"/>
        <v/>
      </c>
      <c r="L15" s="16" t="str">
        <f t="shared" ca="1" si="18"/>
        <v/>
      </c>
      <c r="M15" s="13" t="str">
        <f t="shared" ca="1" si="18"/>
        <v/>
      </c>
      <c r="N15" s="14" t="str">
        <f t="shared" ca="1" si="18"/>
        <v/>
      </c>
      <c r="O15" s="14" t="str">
        <f t="shared" ca="1" si="18"/>
        <v/>
      </c>
      <c r="P15" s="14" t="str">
        <f t="shared" ca="1" si="18"/>
        <v/>
      </c>
      <c r="Q15" s="14" t="str">
        <f t="shared" ca="1" si="18"/>
        <v/>
      </c>
      <c r="R15" s="15" t="str">
        <f t="shared" ca="1" si="18"/>
        <v/>
      </c>
      <c r="S15" s="16" t="str">
        <f t="shared" ca="1" si="18"/>
        <v/>
      </c>
      <c r="T15" s="13" t="str">
        <f t="shared" ca="1" si="18"/>
        <v/>
      </c>
      <c r="U15" s="14" t="str">
        <f t="shared" ca="1" si="18"/>
        <v/>
      </c>
      <c r="V15" s="14" t="str">
        <f t="shared" ca="1" si="18"/>
        <v/>
      </c>
      <c r="W15" s="14" t="str">
        <f t="shared" ca="1" si="18"/>
        <v/>
      </c>
      <c r="X15" s="14" t="str">
        <f t="shared" ca="1" si="18"/>
        <v/>
      </c>
      <c r="Y15" s="15" t="str">
        <f t="shared" ca="1" si="18"/>
        <v/>
      </c>
      <c r="Z15" s="16" t="str">
        <f t="shared" ca="1" si="18"/>
        <v/>
      </c>
      <c r="AA15" s="13" t="str">
        <f t="shared" ca="1" si="19"/>
        <v/>
      </c>
      <c r="AB15" s="14" t="str">
        <f t="shared" ca="1" si="19"/>
        <v/>
      </c>
      <c r="AC15" s="14" t="str">
        <f t="shared" ca="1" si="19"/>
        <v/>
      </c>
      <c r="AD15" s="14" t="str">
        <f t="shared" ca="1" si="19"/>
        <v/>
      </c>
      <c r="AE15" s="14" t="str">
        <f t="shared" ca="1" si="19"/>
        <v/>
      </c>
      <c r="AF15" s="15" t="str">
        <f t="shared" ca="1" si="19"/>
        <v/>
      </c>
      <c r="AG15" s="16" t="str">
        <f t="shared" ca="1" si="19"/>
        <v/>
      </c>
      <c r="AH15" s="13" t="str">
        <f t="shared" ca="1" si="19"/>
        <v/>
      </c>
      <c r="AI15" s="14" t="str">
        <f t="shared" ca="1" si="19"/>
        <v/>
      </c>
      <c r="AJ15" s="14" t="str">
        <f t="shared" ca="1" si="19"/>
        <v/>
      </c>
      <c r="AK15" s="14">
        <f t="shared" ca="1" si="19"/>
        <v>1</v>
      </c>
      <c r="AL15" s="14" t="str">
        <f t="shared" ca="1" si="19"/>
        <v/>
      </c>
      <c r="AM15" s="15" t="str">
        <f t="shared" ca="1" si="19"/>
        <v/>
      </c>
      <c r="AN15" s="16" t="str">
        <f t="shared" ca="1" si="19"/>
        <v/>
      </c>
      <c r="AO15" s="13" t="str">
        <f t="shared" ca="1" si="19"/>
        <v/>
      </c>
      <c r="AP15" s="14" t="str">
        <f t="shared" ca="1" si="19"/>
        <v/>
      </c>
      <c r="AQ15" s="14" t="str">
        <f t="shared" ca="1" si="20"/>
        <v/>
      </c>
      <c r="AR15" s="14" t="str">
        <f t="shared" ca="1" si="20"/>
        <v/>
      </c>
      <c r="AS15" s="14" t="str">
        <f t="shared" ca="1" si="20"/>
        <v/>
      </c>
      <c r="AT15" s="15" t="str">
        <f t="shared" ca="1" si="20"/>
        <v/>
      </c>
      <c r="AU15" s="16" t="str">
        <f t="shared" ca="1" si="20"/>
        <v/>
      </c>
      <c r="AV15" s="13" t="str">
        <f t="shared" ca="1" si="20"/>
        <v/>
      </c>
      <c r="AW15" s="14" t="str">
        <f t="shared" ca="1" si="20"/>
        <v/>
      </c>
      <c r="AX15" s="14" t="str">
        <f t="shared" ca="1" si="20"/>
        <v/>
      </c>
      <c r="AY15" s="14" t="str">
        <f t="shared" ca="1" si="20"/>
        <v/>
      </c>
      <c r="AZ15" s="14" t="str">
        <f t="shared" ca="1" si="20"/>
        <v/>
      </c>
      <c r="BA15" s="15" t="str">
        <f t="shared" ca="1" si="20"/>
        <v/>
      </c>
      <c r="BB15" s="16" t="str">
        <f t="shared" ca="1" si="20"/>
        <v/>
      </c>
      <c r="BC15" s="13" t="str">
        <f t="shared" ca="1" si="20"/>
        <v/>
      </c>
      <c r="BD15" s="14" t="str">
        <f t="shared" ca="1" si="20"/>
        <v/>
      </c>
      <c r="BE15" s="14" t="str">
        <f t="shared" ca="1" si="20"/>
        <v/>
      </c>
      <c r="BF15" s="14" t="str">
        <f t="shared" ca="1" si="20"/>
        <v/>
      </c>
      <c r="BG15" s="14" t="str">
        <f t="shared" ca="1" si="21"/>
        <v/>
      </c>
      <c r="BH15" s="15" t="str">
        <f t="shared" ca="1" si="21"/>
        <v/>
      </c>
      <c r="BI15" s="16" t="str">
        <f t="shared" ca="1" si="21"/>
        <v/>
      </c>
      <c r="BJ15" s="13" t="str">
        <f t="shared" ca="1" si="21"/>
        <v/>
      </c>
      <c r="BK15" s="14" t="str">
        <f t="shared" ca="1" si="21"/>
        <v/>
      </c>
      <c r="BL15" s="14" t="str">
        <f t="shared" ca="1" si="21"/>
        <v/>
      </c>
      <c r="BM15" s="14" t="str">
        <f t="shared" ca="1" si="21"/>
        <v/>
      </c>
      <c r="BN15" s="14" t="str">
        <f t="shared" ca="1" si="21"/>
        <v/>
      </c>
      <c r="BO15" s="15" t="str">
        <f t="shared" ca="1" si="21"/>
        <v/>
      </c>
      <c r="BP15" s="16" t="str">
        <f t="shared" ca="1" si="21"/>
        <v/>
      </c>
      <c r="BQ15" s="13" t="str">
        <f t="shared" ca="1" si="21"/>
        <v/>
      </c>
      <c r="BR15" s="14" t="str">
        <f t="shared" ca="1" si="21"/>
        <v/>
      </c>
      <c r="BS15" s="14" t="str">
        <f t="shared" ca="1" si="21"/>
        <v/>
      </c>
      <c r="BT15" s="14" t="str">
        <f t="shared" ca="1" si="21"/>
        <v/>
      </c>
      <c r="BU15" s="14" t="str">
        <f t="shared" ca="1" si="21"/>
        <v/>
      </c>
      <c r="BV15" s="15" t="str">
        <f t="shared" ca="1" si="21"/>
        <v/>
      </c>
      <c r="BW15" s="16" t="str">
        <f t="shared" ca="1" si="22"/>
        <v/>
      </c>
      <c r="BX15" s="13" t="str">
        <f t="shared" ca="1" si="22"/>
        <v/>
      </c>
      <c r="BY15" s="14" t="str">
        <f t="shared" ca="1" si="22"/>
        <v/>
      </c>
      <c r="BZ15" s="14" t="str">
        <f t="shared" ca="1" si="22"/>
        <v/>
      </c>
      <c r="CA15" s="14" t="str">
        <f t="shared" ca="1" si="22"/>
        <v/>
      </c>
      <c r="CB15" s="14" t="str">
        <f t="shared" ca="1" si="22"/>
        <v/>
      </c>
      <c r="CC15" s="15" t="str">
        <f t="shared" ca="1" si="22"/>
        <v/>
      </c>
      <c r="CD15" s="16" t="str">
        <f t="shared" ca="1" si="22"/>
        <v/>
      </c>
      <c r="CE15" s="13" t="str">
        <f t="shared" ca="1" si="22"/>
        <v/>
      </c>
      <c r="CF15" s="14" t="str">
        <f t="shared" ca="1" si="22"/>
        <v/>
      </c>
      <c r="CG15" s="14" t="str">
        <f t="shared" ca="1" si="22"/>
        <v/>
      </c>
      <c r="CH15" s="14" t="str">
        <f t="shared" ca="1" si="22"/>
        <v/>
      </c>
      <c r="CI15" s="14" t="str">
        <f t="shared" ca="1" si="22"/>
        <v/>
      </c>
      <c r="CJ15" s="15" t="str">
        <f t="shared" ca="1" si="22"/>
        <v/>
      </c>
      <c r="CK15" s="16" t="str">
        <f t="shared" ca="1" si="22"/>
        <v/>
      </c>
      <c r="CL15" s="13" t="str">
        <f t="shared" ca="1" si="22"/>
        <v/>
      </c>
      <c r="CM15" s="14" t="str">
        <f t="shared" ca="1" si="23"/>
        <v/>
      </c>
      <c r="CN15" s="14" t="str">
        <f t="shared" ca="1" si="23"/>
        <v/>
      </c>
      <c r="CO15" s="14" t="str">
        <f t="shared" ca="1" si="23"/>
        <v/>
      </c>
      <c r="CP15" s="14" t="str">
        <f t="shared" ca="1" si="23"/>
        <v/>
      </c>
      <c r="CQ15" s="15" t="str">
        <f t="shared" ca="1" si="23"/>
        <v/>
      </c>
      <c r="CR15" s="16" t="str">
        <f t="shared" ca="1" si="23"/>
        <v/>
      </c>
      <c r="CS15" s="13" t="str">
        <f t="shared" ca="1" si="23"/>
        <v/>
      </c>
      <c r="CT15" s="14" t="str">
        <f t="shared" ca="1" si="23"/>
        <v/>
      </c>
      <c r="CU15" s="14" t="str">
        <f t="shared" ca="1" si="23"/>
        <v/>
      </c>
      <c r="CV15" s="14" t="str">
        <f t="shared" ca="1" si="23"/>
        <v/>
      </c>
      <c r="CW15" s="14" t="str">
        <f t="shared" ca="1" si="23"/>
        <v/>
      </c>
      <c r="CX15" s="15" t="str">
        <f t="shared" ca="1" si="23"/>
        <v/>
      </c>
      <c r="CY15" s="16" t="str">
        <f t="shared" ca="1" si="23"/>
        <v/>
      </c>
      <c r="CZ15" s="13" t="str">
        <f t="shared" ca="1" si="23"/>
        <v/>
      </c>
      <c r="DA15" s="14" t="str">
        <f t="shared" ca="1" si="23"/>
        <v/>
      </c>
      <c r="DB15" s="14" t="str">
        <f t="shared" ca="1" si="23"/>
        <v/>
      </c>
      <c r="DC15" s="14" t="str">
        <f t="shared" ca="1" si="24"/>
        <v/>
      </c>
      <c r="DD15" s="14" t="str">
        <f t="shared" ca="1" si="24"/>
        <v/>
      </c>
      <c r="DE15" s="15" t="str">
        <f t="shared" ca="1" si="24"/>
        <v/>
      </c>
      <c r="DF15" s="16" t="str">
        <f t="shared" ca="1" si="24"/>
        <v/>
      </c>
      <c r="DG15" s="13" t="str">
        <f t="shared" ca="1" si="24"/>
        <v/>
      </c>
      <c r="DH15" s="14" t="str">
        <f t="shared" ca="1" si="24"/>
        <v/>
      </c>
      <c r="DI15" s="14" t="str">
        <f t="shared" ca="1" si="24"/>
        <v/>
      </c>
      <c r="DJ15" s="14" t="str">
        <f t="shared" ca="1" si="24"/>
        <v/>
      </c>
      <c r="DK15" s="14" t="str">
        <f t="shared" ca="1" si="24"/>
        <v/>
      </c>
      <c r="DL15" s="15" t="str">
        <f t="shared" ca="1" si="24"/>
        <v/>
      </c>
      <c r="DM15" s="16" t="str">
        <f t="shared" ca="1" si="24"/>
        <v/>
      </c>
      <c r="DN15" s="13" t="str">
        <f t="shared" ca="1" si="24"/>
        <v/>
      </c>
      <c r="DO15" s="14" t="str">
        <f t="shared" ca="1" si="24"/>
        <v/>
      </c>
      <c r="DP15" s="14" t="str">
        <f t="shared" ca="1" si="24"/>
        <v/>
      </c>
      <c r="DQ15" s="14" t="str">
        <f t="shared" ca="1" si="24"/>
        <v/>
      </c>
      <c r="DR15" s="14" t="str">
        <f t="shared" ca="1" si="24"/>
        <v/>
      </c>
      <c r="DS15" s="15" t="str">
        <f t="shared" ca="1" si="24"/>
        <v/>
      </c>
      <c r="DT15" s="16" t="str">
        <f t="shared" ca="1" si="24"/>
        <v/>
      </c>
      <c r="DU15" s="13" t="str">
        <f t="shared" ca="1" si="25"/>
        <v/>
      </c>
      <c r="DV15" s="14" t="str">
        <f t="shared" ca="1" si="25"/>
        <v/>
      </c>
      <c r="DW15" s="14" t="str">
        <f t="shared" ca="1" si="25"/>
        <v/>
      </c>
      <c r="DX15" s="14" t="str">
        <f t="shared" ca="1" si="25"/>
        <v/>
      </c>
      <c r="DY15" s="14" t="str">
        <f t="shared" ca="1" si="25"/>
        <v/>
      </c>
      <c r="DZ15" s="15" t="str">
        <f t="shared" ca="1" si="25"/>
        <v/>
      </c>
      <c r="EA15" s="16" t="str">
        <f t="shared" ca="1" si="25"/>
        <v/>
      </c>
      <c r="EB15" s="13" t="str">
        <f t="shared" ca="1" si="25"/>
        <v/>
      </c>
      <c r="EC15" s="14" t="str">
        <f t="shared" ca="1" si="25"/>
        <v/>
      </c>
      <c r="ED15" s="14" t="str">
        <f t="shared" ca="1" si="25"/>
        <v/>
      </c>
      <c r="EE15" s="14" t="str">
        <f t="shared" ca="1" si="25"/>
        <v/>
      </c>
      <c r="EF15" s="14" t="str">
        <f t="shared" ca="1" si="25"/>
        <v/>
      </c>
      <c r="EG15" s="15" t="str">
        <f t="shared" ca="1" si="25"/>
        <v/>
      </c>
      <c r="EH15" s="16" t="str">
        <f t="shared" ca="1" si="25"/>
        <v/>
      </c>
    </row>
    <row r="16" spans="1:138" s="17" customFormat="1" ht="9.75" customHeight="1">
      <c r="A16" s="586"/>
      <c r="B16" s="23" t="s">
        <v>46</v>
      </c>
      <c r="C16" s="19">
        <f ca="1">E15</f>
        <v>32</v>
      </c>
      <c r="D16" s="19">
        <f ca="1">_xlfn.XLOOKUP(A25,'VTT actif'!F:F,'VTT actif'!AF:AF,"-",0)</f>
        <v>46</v>
      </c>
      <c r="E16" s="19">
        <f t="shared" ca="1" si="26"/>
        <v>77</v>
      </c>
      <c r="F16" s="13" t="str">
        <f t="shared" ca="1" si="18"/>
        <v/>
      </c>
      <c r="G16" s="14" t="str">
        <f t="shared" ca="1" si="18"/>
        <v/>
      </c>
      <c r="H16" s="14" t="str">
        <f t="shared" ca="1" si="18"/>
        <v/>
      </c>
      <c r="I16" s="14" t="str">
        <f t="shared" ca="1" si="18"/>
        <v/>
      </c>
      <c r="J16" s="14" t="str">
        <f t="shared" ca="1" si="18"/>
        <v/>
      </c>
      <c r="K16" s="15" t="str">
        <f t="shared" ca="1" si="18"/>
        <v/>
      </c>
      <c r="L16" s="16" t="str">
        <f t="shared" ca="1" si="18"/>
        <v/>
      </c>
      <c r="M16" s="13" t="str">
        <f t="shared" ca="1" si="18"/>
        <v/>
      </c>
      <c r="N16" s="14" t="str">
        <f t="shared" ca="1" si="18"/>
        <v/>
      </c>
      <c r="O16" s="14" t="str">
        <f t="shared" ca="1" si="18"/>
        <v/>
      </c>
      <c r="P16" s="14" t="str">
        <f t="shared" ca="1" si="18"/>
        <v/>
      </c>
      <c r="Q16" s="14" t="str">
        <f t="shared" ca="1" si="18"/>
        <v/>
      </c>
      <c r="R16" s="15" t="str">
        <f t="shared" ca="1" si="18"/>
        <v/>
      </c>
      <c r="S16" s="16" t="str">
        <f t="shared" ca="1" si="18"/>
        <v/>
      </c>
      <c r="T16" s="13" t="str">
        <f t="shared" ca="1" si="18"/>
        <v/>
      </c>
      <c r="U16" s="14" t="str">
        <f t="shared" ca="1" si="18"/>
        <v/>
      </c>
      <c r="V16" s="14" t="str">
        <f t="shared" ca="1" si="18"/>
        <v/>
      </c>
      <c r="W16" s="14" t="str">
        <f t="shared" ca="1" si="18"/>
        <v/>
      </c>
      <c r="X16" s="14" t="str">
        <f t="shared" ca="1" si="18"/>
        <v/>
      </c>
      <c r="Y16" s="15" t="str">
        <f t="shared" ca="1" si="18"/>
        <v/>
      </c>
      <c r="Z16" s="16" t="str">
        <f t="shared" ca="1" si="18"/>
        <v/>
      </c>
      <c r="AA16" s="13" t="str">
        <f t="shared" ca="1" si="19"/>
        <v/>
      </c>
      <c r="AB16" s="14" t="str">
        <f t="shared" ca="1" si="19"/>
        <v/>
      </c>
      <c r="AC16" s="14" t="str">
        <f t="shared" ca="1" si="19"/>
        <v/>
      </c>
      <c r="AD16" s="14" t="str">
        <f t="shared" ca="1" si="19"/>
        <v/>
      </c>
      <c r="AE16" s="14" t="str">
        <f t="shared" ca="1" si="19"/>
        <v/>
      </c>
      <c r="AF16" s="15" t="str">
        <f t="shared" ca="1" si="19"/>
        <v/>
      </c>
      <c r="AG16" s="16" t="str">
        <f t="shared" ca="1" si="19"/>
        <v/>
      </c>
      <c r="AH16" s="13" t="str">
        <f t="shared" ca="1" si="19"/>
        <v/>
      </c>
      <c r="AI16" s="14" t="str">
        <f t="shared" ca="1" si="19"/>
        <v/>
      </c>
      <c r="AJ16" s="14" t="str">
        <f t="shared" ca="1" si="19"/>
        <v/>
      </c>
      <c r="AK16" s="14">
        <f t="shared" ca="1" si="19"/>
        <v>1</v>
      </c>
      <c r="AL16" s="14">
        <f t="shared" ca="1" si="19"/>
        <v>1</v>
      </c>
      <c r="AM16" s="15">
        <f t="shared" ca="1" si="19"/>
        <v>1</v>
      </c>
      <c r="AN16" s="16">
        <f t="shared" ca="1" si="19"/>
        <v>1</v>
      </c>
      <c r="AO16" s="13">
        <f t="shared" ca="1" si="19"/>
        <v>1</v>
      </c>
      <c r="AP16" s="14">
        <f t="shared" ca="1" si="19"/>
        <v>1</v>
      </c>
      <c r="AQ16" s="14">
        <f t="shared" ca="1" si="20"/>
        <v>1</v>
      </c>
      <c r="AR16" s="14">
        <f t="shared" ca="1" si="20"/>
        <v>1</v>
      </c>
      <c r="AS16" s="14">
        <f t="shared" ca="1" si="20"/>
        <v>1</v>
      </c>
      <c r="AT16" s="15">
        <f t="shared" ca="1" si="20"/>
        <v>1</v>
      </c>
      <c r="AU16" s="16">
        <f t="shared" ca="1" si="20"/>
        <v>1</v>
      </c>
      <c r="AV16" s="13">
        <f t="shared" ca="1" si="20"/>
        <v>1</v>
      </c>
      <c r="AW16" s="14">
        <f t="shared" ca="1" si="20"/>
        <v>1</v>
      </c>
      <c r="AX16" s="14">
        <f t="shared" ca="1" si="20"/>
        <v>1</v>
      </c>
      <c r="AY16" s="14">
        <f t="shared" ca="1" si="20"/>
        <v>1</v>
      </c>
      <c r="AZ16" s="14">
        <f t="shared" ca="1" si="20"/>
        <v>1</v>
      </c>
      <c r="BA16" s="15">
        <f t="shared" ca="1" si="20"/>
        <v>1</v>
      </c>
      <c r="BB16" s="16">
        <f t="shared" ca="1" si="20"/>
        <v>1</v>
      </c>
      <c r="BC16" s="13">
        <f t="shared" ca="1" si="20"/>
        <v>1</v>
      </c>
      <c r="BD16" s="14">
        <f t="shared" ca="1" si="20"/>
        <v>1</v>
      </c>
      <c r="BE16" s="14">
        <f t="shared" ca="1" si="20"/>
        <v>1</v>
      </c>
      <c r="BF16" s="14">
        <f t="shared" ca="1" si="20"/>
        <v>1</v>
      </c>
      <c r="BG16" s="14">
        <f t="shared" ca="1" si="21"/>
        <v>1</v>
      </c>
      <c r="BH16" s="15">
        <f t="shared" ca="1" si="21"/>
        <v>1</v>
      </c>
      <c r="BI16" s="16">
        <f t="shared" ca="1" si="21"/>
        <v>1</v>
      </c>
      <c r="BJ16" s="13">
        <f t="shared" ca="1" si="21"/>
        <v>1</v>
      </c>
      <c r="BK16" s="14">
        <f t="shared" ca="1" si="21"/>
        <v>1</v>
      </c>
      <c r="BL16" s="14">
        <f t="shared" ca="1" si="21"/>
        <v>1</v>
      </c>
      <c r="BM16" s="14">
        <f t="shared" ca="1" si="21"/>
        <v>1</v>
      </c>
      <c r="BN16" s="14">
        <f t="shared" ca="1" si="21"/>
        <v>1</v>
      </c>
      <c r="BO16" s="15">
        <f t="shared" ca="1" si="21"/>
        <v>1</v>
      </c>
      <c r="BP16" s="16">
        <f t="shared" ca="1" si="21"/>
        <v>1</v>
      </c>
      <c r="BQ16" s="13">
        <f t="shared" ca="1" si="21"/>
        <v>1</v>
      </c>
      <c r="BR16" s="14">
        <f t="shared" ca="1" si="21"/>
        <v>1</v>
      </c>
      <c r="BS16" s="14">
        <f t="shared" ca="1" si="21"/>
        <v>1</v>
      </c>
      <c r="BT16" s="14">
        <f t="shared" ca="1" si="21"/>
        <v>1</v>
      </c>
      <c r="BU16" s="14">
        <f t="shared" ca="1" si="21"/>
        <v>1</v>
      </c>
      <c r="BV16" s="15">
        <f t="shared" ca="1" si="21"/>
        <v>1</v>
      </c>
      <c r="BW16" s="16">
        <f t="shared" ca="1" si="22"/>
        <v>1</v>
      </c>
      <c r="BX16" s="13">
        <f t="shared" ca="1" si="22"/>
        <v>1</v>
      </c>
      <c r="BY16" s="14">
        <f t="shared" ca="1" si="22"/>
        <v>1</v>
      </c>
      <c r="BZ16" s="14">
        <f t="shared" ca="1" si="22"/>
        <v>1</v>
      </c>
      <c r="CA16" s="14">
        <f t="shared" ca="1" si="22"/>
        <v>1</v>
      </c>
      <c r="CB16" s="14">
        <f t="shared" ca="1" si="22"/>
        <v>1</v>
      </c>
      <c r="CC16" s="15">
        <f t="shared" ca="1" si="22"/>
        <v>1</v>
      </c>
      <c r="CD16" s="16">
        <f t="shared" ca="1" si="22"/>
        <v>1</v>
      </c>
      <c r="CE16" s="13" t="str">
        <f t="shared" ca="1" si="22"/>
        <v/>
      </c>
      <c r="CF16" s="14" t="str">
        <f t="shared" ca="1" si="22"/>
        <v/>
      </c>
      <c r="CG16" s="14" t="str">
        <f t="shared" ca="1" si="22"/>
        <v/>
      </c>
      <c r="CH16" s="14" t="str">
        <f t="shared" ca="1" si="22"/>
        <v/>
      </c>
      <c r="CI16" s="14" t="str">
        <f t="shared" ca="1" si="22"/>
        <v/>
      </c>
      <c r="CJ16" s="15" t="str">
        <f t="shared" ca="1" si="22"/>
        <v/>
      </c>
      <c r="CK16" s="16" t="str">
        <f t="shared" ca="1" si="22"/>
        <v/>
      </c>
      <c r="CL16" s="13" t="str">
        <f t="shared" ca="1" si="22"/>
        <v/>
      </c>
      <c r="CM16" s="14" t="str">
        <f t="shared" ca="1" si="23"/>
        <v/>
      </c>
      <c r="CN16" s="14" t="str">
        <f t="shared" ca="1" si="23"/>
        <v/>
      </c>
      <c r="CO16" s="14" t="str">
        <f t="shared" ca="1" si="23"/>
        <v/>
      </c>
      <c r="CP16" s="14" t="str">
        <f t="shared" ca="1" si="23"/>
        <v/>
      </c>
      <c r="CQ16" s="15" t="str">
        <f t="shared" ca="1" si="23"/>
        <v/>
      </c>
      <c r="CR16" s="16" t="str">
        <f t="shared" ca="1" si="23"/>
        <v/>
      </c>
      <c r="CS16" s="13" t="str">
        <f t="shared" ca="1" si="23"/>
        <v/>
      </c>
      <c r="CT16" s="14" t="str">
        <f t="shared" ca="1" si="23"/>
        <v/>
      </c>
      <c r="CU16" s="14" t="str">
        <f t="shared" ca="1" si="23"/>
        <v/>
      </c>
      <c r="CV16" s="14" t="str">
        <f t="shared" ca="1" si="23"/>
        <v/>
      </c>
      <c r="CW16" s="14" t="str">
        <f t="shared" ca="1" si="23"/>
        <v/>
      </c>
      <c r="CX16" s="15" t="str">
        <f t="shared" ca="1" si="23"/>
        <v/>
      </c>
      <c r="CY16" s="16" t="str">
        <f t="shared" ca="1" si="23"/>
        <v/>
      </c>
      <c r="CZ16" s="13" t="str">
        <f t="shared" ca="1" si="23"/>
        <v/>
      </c>
      <c r="DA16" s="14" t="str">
        <f t="shared" ca="1" si="23"/>
        <v/>
      </c>
      <c r="DB16" s="14" t="str">
        <f t="shared" ca="1" si="23"/>
        <v/>
      </c>
      <c r="DC16" s="14" t="str">
        <f t="shared" ca="1" si="24"/>
        <v/>
      </c>
      <c r="DD16" s="14" t="str">
        <f t="shared" ca="1" si="24"/>
        <v/>
      </c>
      <c r="DE16" s="15" t="str">
        <f t="shared" ca="1" si="24"/>
        <v/>
      </c>
      <c r="DF16" s="16" t="str">
        <f t="shared" ca="1" si="24"/>
        <v/>
      </c>
      <c r="DG16" s="13" t="str">
        <f t="shared" ca="1" si="24"/>
        <v/>
      </c>
      <c r="DH16" s="14" t="str">
        <f t="shared" ca="1" si="24"/>
        <v/>
      </c>
      <c r="DI16" s="14" t="str">
        <f t="shared" ca="1" si="24"/>
        <v/>
      </c>
      <c r="DJ16" s="14" t="str">
        <f t="shared" ca="1" si="24"/>
        <v/>
      </c>
      <c r="DK16" s="14" t="str">
        <f t="shared" ca="1" si="24"/>
        <v/>
      </c>
      <c r="DL16" s="15" t="str">
        <f t="shared" ca="1" si="24"/>
        <v/>
      </c>
      <c r="DM16" s="16" t="str">
        <f t="shared" ca="1" si="24"/>
        <v/>
      </c>
      <c r="DN16" s="13" t="str">
        <f t="shared" ca="1" si="24"/>
        <v/>
      </c>
      <c r="DO16" s="14" t="str">
        <f t="shared" ca="1" si="24"/>
        <v/>
      </c>
      <c r="DP16" s="14" t="str">
        <f t="shared" ca="1" si="24"/>
        <v/>
      </c>
      <c r="DQ16" s="14" t="str">
        <f t="shared" ca="1" si="24"/>
        <v/>
      </c>
      <c r="DR16" s="14" t="str">
        <f t="shared" ca="1" si="24"/>
        <v/>
      </c>
      <c r="DS16" s="15" t="str">
        <f t="shared" ca="1" si="24"/>
        <v/>
      </c>
      <c r="DT16" s="16" t="str">
        <f t="shared" ca="1" si="24"/>
        <v/>
      </c>
      <c r="DU16" s="13" t="str">
        <f t="shared" ca="1" si="25"/>
        <v/>
      </c>
      <c r="DV16" s="14" t="str">
        <f t="shared" ca="1" si="25"/>
        <v/>
      </c>
      <c r="DW16" s="14" t="str">
        <f t="shared" ca="1" si="25"/>
        <v/>
      </c>
      <c r="DX16" s="14" t="str">
        <f t="shared" ca="1" si="25"/>
        <v/>
      </c>
      <c r="DY16" s="14" t="str">
        <f t="shared" ca="1" si="25"/>
        <v/>
      </c>
      <c r="DZ16" s="15" t="str">
        <f t="shared" ca="1" si="25"/>
        <v/>
      </c>
      <c r="EA16" s="16" t="str">
        <f t="shared" ca="1" si="25"/>
        <v/>
      </c>
      <c r="EB16" s="13" t="str">
        <f t="shared" ca="1" si="25"/>
        <v/>
      </c>
      <c r="EC16" s="14" t="str">
        <f t="shared" ca="1" si="25"/>
        <v/>
      </c>
      <c r="ED16" s="14" t="str">
        <f t="shared" ca="1" si="25"/>
        <v/>
      </c>
      <c r="EE16" s="14" t="str">
        <f t="shared" ca="1" si="25"/>
        <v/>
      </c>
      <c r="EF16" s="14" t="str">
        <f t="shared" ca="1" si="25"/>
        <v/>
      </c>
      <c r="EG16" s="15" t="str">
        <f t="shared" ca="1" si="25"/>
        <v/>
      </c>
      <c r="EH16" s="16" t="str">
        <f t="shared" ca="1" si="25"/>
        <v/>
      </c>
    </row>
    <row r="17" spans="1:138" s="17" customFormat="1" ht="9.75" customHeight="1">
      <c r="A17" s="586"/>
      <c r="B17" s="23" t="s">
        <v>66</v>
      </c>
      <c r="C17" s="19">
        <f t="shared" ref="C17:C25" ca="1" si="27">E16+1</f>
        <v>78</v>
      </c>
      <c r="D17" s="19">
        <f ca="1">_xlfn.XLOOKUP(A25,'VTT actif'!F:F,'VTT actif'!AH:AH,"-",0)</f>
        <v>3</v>
      </c>
      <c r="E17" s="19">
        <f t="shared" ca="1" si="26"/>
        <v>80</v>
      </c>
      <c r="F17" s="13" t="str">
        <f t="shared" ca="1" si="18"/>
        <v/>
      </c>
      <c r="G17" s="14" t="str">
        <f t="shared" ca="1" si="18"/>
        <v/>
      </c>
      <c r="H17" s="14" t="str">
        <f t="shared" ca="1" si="18"/>
        <v/>
      </c>
      <c r="I17" s="14" t="str">
        <f t="shared" ca="1" si="18"/>
        <v/>
      </c>
      <c r="J17" s="14" t="str">
        <f t="shared" ca="1" si="18"/>
        <v/>
      </c>
      <c r="K17" s="15" t="str">
        <f t="shared" ca="1" si="18"/>
        <v/>
      </c>
      <c r="L17" s="16" t="str">
        <f t="shared" ca="1" si="18"/>
        <v/>
      </c>
      <c r="M17" s="13" t="str">
        <f t="shared" ca="1" si="18"/>
        <v/>
      </c>
      <c r="N17" s="14" t="str">
        <f t="shared" ca="1" si="18"/>
        <v/>
      </c>
      <c r="O17" s="14" t="str">
        <f t="shared" ca="1" si="18"/>
        <v/>
      </c>
      <c r="P17" s="14" t="str">
        <f t="shared" ca="1" si="18"/>
        <v/>
      </c>
      <c r="Q17" s="14" t="str">
        <f t="shared" ca="1" si="18"/>
        <v/>
      </c>
      <c r="R17" s="15" t="str">
        <f t="shared" ca="1" si="18"/>
        <v/>
      </c>
      <c r="S17" s="16" t="str">
        <f t="shared" ca="1" si="18"/>
        <v/>
      </c>
      <c r="T17" s="13" t="str">
        <f t="shared" ca="1" si="18"/>
        <v/>
      </c>
      <c r="U17" s="14" t="str">
        <f t="shared" ca="1" si="18"/>
        <v/>
      </c>
      <c r="V17" s="14" t="str">
        <f t="shared" ca="1" si="18"/>
        <v/>
      </c>
      <c r="W17" s="14" t="str">
        <f t="shared" ca="1" si="18"/>
        <v/>
      </c>
      <c r="X17" s="14" t="str">
        <f t="shared" ca="1" si="18"/>
        <v/>
      </c>
      <c r="Y17" s="15" t="str">
        <f t="shared" ca="1" si="18"/>
        <v/>
      </c>
      <c r="Z17" s="16" t="str">
        <f t="shared" ca="1" si="18"/>
        <v/>
      </c>
      <c r="AA17" s="13" t="str">
        <f t="shared" ca="1" si="19"/>
        <v/>
      </c>
      <c r="AB17" s="14" t="str">
        <f t="shared" ca="1" si="19"/>
        <v/>
      </c>
      <c r="AC17" s="14" t="str">
        <f t="shared" ca="1" si="19"/>
        <v/>
      </c>
      <c r="AD17" s="14" t="str">
        <f t="shared" ca="1" si="19"/>
        <v/>
      </c>
      <c r="AE17" s="14" t="str">
        <f t="shared" ca="1" si="19"/>
        <v/>
      </c>
      <c r="AF17" s="15" t="str">
        <f t="shared" ca="1" si="19"/>
        <v/>
      </c>
      <c r="AG17" s="16" t="str">
        <f t="shared" ca="1" si="19"/>
        <v/>
      </c>
      <c r="AH17" s="13" t="str">
        <f t="shared" ca="1" si="19"/>
        <v/>
      </c>
      <c r="AI17" s="14" t="str">
        <f t="shared" ca="1" si="19"/>
        <v/>
      </c>
      <c r="AJ17" s="14" t="str">
        <f t="shared" ca="1" si="19"/>
        <v/>
      </c>
      <c r="AK17" s="14" t="str">
        <f t="shared" ca="1" si="19"/>
        <v/>
      </c>
      <c r="AL17" s="14" t="str">
        <f t="shared" ca="1" si="19"/>
        <v/>
      </c>
      <c r="AM17" s="15" t="str">
        <f t="shared" ca="1" si="19"/>
        <v/>
      </c>
      <c r="AN17" s="16" t="str">
        <f t="shared" ca="1" si="19"/>
        <v/>
      </c>
      <c r="AO17" s="13" t="str">
        <f t="shared" ca="1" si="19"/>
        <v/>
      </c>
      <c r="AP17" s="14" t="str">
        <f t="shared" ca="1" si="19"/>
        <v/>
      </c>
      <c r="AQ17" s="14" t="str">
        <f t="shared" ca="1" si="20"/>
        <v/>
      </c>
      <c r="AR17" s="14" t="str">
        <f t="shared" ca="1" si="20"/>
        <v/>
      </c>
      <c r="AS17" s="14" t="str">
        <f t="shared" ca="1" si="20"/>
        <v/>
      </c>
      <c r="AT17" s="15" t="str">
        <f t="shared" ca="1" si="20"/>
        <v/>
      </c>
      <c r="AU17" s="16" t="str">
        <f t="shared" ca="1" si="20"/>
        <v/>
      </c>
      <c r="AV17" s="13" t="str">
        <f t="shared" ca="1" si="20"/>
        <v/>
      </c>
      <c r="AW17" s="14" t="str">
        <f t="shared" ca="1" si="20"/>
        <v/>
      </c>
      <c r="AX17" s="14" t="str">
        <f t="shared" ca="1" si="20"/>
        <v/>
      </c>
      <c r="AY17" s="14" t="str">
        <f t="shared" ca="1" si="20"/>
        <v/>
      </c>
      <c r="AZ17" s="14" t="str">
        <f t="shared" ca="1" si="20"/>
        <v/>
      </c>
      <c r="BA17" s="15" t="str">
        <f t="shared" ca="1" si="20"/>
        <v/>
      </c>
      <c r="BB17" s="16" t="str">
        <f t="shared" ca="1" si="20"/>
        <v/>
      </c>
      <c r="BC17" s="13" t="str">
        <f t="shared" ca="1" si="20"/>
        <v/>
      </c>
      <c r="BD17" s="14" t="str">
        <f t="shared" ca="1" si="20"/>
        <v/>
      </c>
      <c r="BE17" s="14" t="str">
        <f t="shared" ca="1" si="20"/>
        <v/>
      </c>
      <c r="BF17" s="14" t="str">
        <f t="shared" ca="1" si="20"/>
        <v/>
      </c>
      <c r="BG17" s="14" t="str">
        <f t="shared" ca="1" si="21"/>
        <v/>
      </c>
      <c r="BH17" s="15" t="str">
        <f t="shared" ca="1" si="21"/>
        <v/>
      </c>
      <c r="BI17" s="16" t="str">
        <f t="shared" ca="1" si="21"/>
        <v/>
      </c>
      <c r="BJ17" s="13" t="str">
        <f t="shared" ca="1" si="21"/>
        <v/>
      </c>
      <c r="BK17" s="14" t="str">
        <f t="shared" ca="1" si="21"/>
        <v/>
      </c>
      <c r="BL17" s="14" t="str">
        <f t="shared" ca="1" si="21"/>
        <v/>
      </c>
      <c r="BM17" s="14" t="str">
        <f t="shared" ca="1" si="21"/>
        <v/>
      </c>
      <c r="BN17" s="14" t="str">
        <f t="shared" ca="1" si="21"/>
        <v/>
      </c>
      <c r="BO17" s="15" t="str">
        <f t="shared" ca="1" si="21"/>
        <v/>
      </c>
      <c r="BP17" s="16" t="str">
        <f t="shared" ca="1" si="21"/>
        <v/>
      </c>
      <c r="BQ17" s="13" t="str">
        <f t="shared" ca="1" si="21"/>
        <v/>
      </c>
      <c r="BR17" s="14" t="str">
        <f t="shared" ca="1" si="21"/>
        <v/>
      </c>
      <c r="BS17" s="14" t="str">
        <f t="shared" ca="1" si="21"/>
        <v/>
      </c>
      <c r="BT17" s="14" t="str">
        <f t="shared" ca="1" si="21"/>
        <v/>
      </c>
      <c r="BU17" s="14" t="str">
        <f t="shared" ca="1" si="21"/>
        <v/>
      </c>
      <c r="BV17" s="15" t="str">
        <f t="shared" ca="1" si="21"/>
        <v/>
      </c>
      <c r="BW17" s="16" t="str">
        <f t="shared" ca="1" si="22"/>
        <v/>
      </c>
      <c r="BX17" s="13" t="str">
        <f t="shared" ca="1" si="22"/>
        <v/>
      </c>
      <c r="BY17" s="14" t="str">
        <f t="shared" ca="1" si="22"/>
        <v/>
      </c>
      <c r="BZ17" s="14" t="str">
        <f t="shared" ca="1" si="22"/>
        <v/>
      </c>
      <c r="CA17" s="14" t="str">
        <f t="shared" ca="1" si="22"/>
        <v/>
      </c>
      <c r="CB17" s="14" t="str">
        <f t="shared" ca="1" si="22"/>
        <v/>
      </c>
      <c r="CC17" s="15" t="str">
        <f t="shared" ca="1" si="22"/>
        <v/>
      </c>
      <c r="CD17" s="16" t="str">
        <f t="shared" ca="1" si="22"/>
        <v/>
      </c>
      <c r="CE17" s="13">
        <f t="shared" ca="1" si="22"/>
        <v>1</v>
      </c>
      <c r="CF17" s="14">
        <f t="shared" ca="1" si="22"/>
        <v>1</v>
      </c>
      <c r="CG17" s="14">
        <f t="shared" ca="1" si="22"/>
        <v>1</v>
      </c>
      <c r="CH17" s="14" t="str">
        <f t="shared" ca="1" si="22"/>
        <v/>
      </c>
      <c r="CI17" s="14" t="str">
        <f t="shared" ca="1" si="22"/>
        <v/>
      </c>
      <c r="CJ17" s="15" t="str">
        <f t="shared" ca="1" si="22"/>
        <v/>
      </c>
      <c r="CK17" s="16" t="str">
        <f t="shared" ca="1" si="22"/>
        <v/>
      </c>
      <c r="CL17" s="13" t="str">
        <f t="shared" ca="1" si="22"/>
        <v/>
      </c>
      <c r="CM17" s="14" t="str">
        <f t="shared" ca="1" si="23"/>
        <v/>
      </c>
      <c r="CN17" s="14" t="str">
        <f t="shared" ca="1" si="23"/>
        <v/>
      </c>
      <c r="CO17" s="14" t="str">
        <f t="shared" ca="1" si="23"/>
        <v/>
      </c>
      <c r="CP17" s="14" t="str">
        <f t="shared" ca="1" si="23"/>
        <v/>
      </c>
      <c r="CQ17" s="15" t="str">
        <f t="shared" ca="1" si="23"/>
        <v/>
      </c>
      <c r="CR17" s="16" t="str">
        <f t="shared" ca="1" si="23"/>
        <v/>
      </c>
      <c r="CS17" s="13" t="str">
        <f t="shared" ca="1" si="23"/>
        <v/>
      </c>
      <c r="CT17" s="14" t="str">
        <f t="shared" ca="1" si="23"/>
        <v/>
      </c>
      <c r="CU17" s="14" t="str">
        <f t="shared" ca="1" si="23"/>
        <v/>
      </c>
      <c r="CV17" s="14" t="str">
        <f t="shared" ca="1" si="23"/>
        <v/>
      </c>
      <c r="CW17" s="14" t="str">
        <f t="shared" ca="1" si="23"/>
        <v/>
      </c>
      <c r="CX17" s="15" t="str">
        <f t="shared" ca="1" si="23"/>
        <v/>
      </c>
      <c r="CY17" s="16" t="str">
        <f t="shared" ca="1" si="23"/>
        <v/>
      </c>
      <c r="CZ17" s="13" t="str">
        <f t="shared" ca="1" si="23"/>
        <v/>
      </c>
      <c r="DA17" s="14" t="str">
        <f t="shared" ca="1" si="23"/>
        <v/>
      </c>
      <c r="DB17" s="14" t="str">
        <f t="shared" ca="1" si="23"/>
        <v/>
      </c>
      <c r="DC17" s="14" t="str">
        <f t="shared" ca="1" si="24"/>
        <v/>
      </c>
      <c r="DD17" s="14" t="str">
        <f t="shared" ca="1" si="24"/>
        <v/>
      </c>
      <c r="DE17" s="15" t="str">
        <f t="shared" ca="1" si="24"/>
        <v/>
      </c>
      <c r="DF17" s="16" t="str">
        <f t="shared" ca="1" si="24"/>
        <v/>
      </c>
      <c r="DG17" s="13" t="str">
        <f t="shared" ca="1" si="24"/>
        <v/>
      </c>
      <c r="DH17" s="14" t="str">
        <f t="shared" ca="1" si="24"/>
        <v/>
      </c>
      <c r="DI17" s="14" t="str">
        <f t="shared" ca="1" si="24"/>
        <v/>
      </c>
      <c r="DJ17" s="14" t="str">
        <f t="shared" ca="1" si="24"/>
        <v/>
      </c>
      <c r="DK17" s="14" t="str">
        <f t="shared" ca="1" si="24"/>
        <v/>
      </c>
      <c r="DL17" s="15" t="str">
        <f t="shared" ca="1" si="24"/>
        <v/>
      </c>
      <c r="DM17" s="16" t="str">
        <f t="shared" ca="1" si="24"/>
        <v/>
      </c>
      <c r="DN17" s="13" t="str">
        <f t="shared" ca="1" si="24"/>
        <v/>
      </c>
      <c r="DO17" s="14" t="str">
        <f t="shared" ca="1" si="24"/>
        <v/>
      </c>
      <c r="DP17" s="14" t="str">
        <f t="shared" ca="1" si="24"/>
        <v/>
      </c>
      <c r="DQ17" s="14" t="str">
        <f t="shared" ca="1" si="24"/>
        <v/>
      </c>
      <c r="DR17" s="14" t="str">
        <f t="shared" ca="1" si="24"/>
        <v/>
      </c>
      <c r="DS17" s="15"/>
      <c r="DT17" s="16"/>
      <c r="DU17" s="13" t="str">
        <f t="shared" ca="1" si="25"/>
        <v/>
      </c>
      <c r="DV17" s="14" t="str">
        <f t="shared" ca="1" si="25"/>
        <v/>
      </c>
      <c r="DW17" s="14" t="str">
        <f t="shared" ca="1" si="25"/>
        <v/>
      </c>
      <c r="DX17" s="14" t="str">
        <f t="shared" ca="1" si="25"/>
        <v/>
      </c>
      <c r="DY17" s="14" t="str">
        <f t="shared" ca="1" si="25"/>
        <v/>
      </c>
      <c r="DZ17" s="15" t="str">
        <f t="shared" ca="1" si="25"/>
        <v/>
      </c>
      <c r="EA17" s="16" t="str">
        <f t="shared" ca="1" si="25"/>
        <v/>
      </c>
      <c r="EB17" s="13" t="str">
        <f t="shared" ca="1" si="25"/>
        <v/>
      </c>
      <c r="EC17" s="14" t="str">
        <f t="shared" ca="1" si="25"/>
        <v/>
      </c>
      <c r="ED17" s="14" t="str">
        <f t="shared" ca="1" si="25"/>
        <v/>
      </c>
      <c r="EE17" s="14" t="str">
        <f t="shared" ca="1" si="25"/>
        <v/>
      </c>
      <c r="EF17" s="14" t="str">
        <f t="shared" ca="1" si="25"/>
        <v/>
      </c>
      <c r="EG17" s="15"/>
      <c r="EH17" s="16"/>
    </row>
    <row r="18" spans="1:138" s="17" customFormat="1" ht="9.75" customHeight="1">
      <c r="A18" s="586"/>
      <c r="B18" s="26" t="s">
        <v>67</v>
      </c>
      <c r="C18" s="19">
        <f t="shared" ca="1" si="27"/>
        <v>81</v>
      </c>
      <c r="D18" s="19">
        <f ca="1">_xlfn.XLOOKUP(A25,'VTT actif'!F:F,'VTT actif'!AI:AI,"-",0)</f>
        <v>14</v>
      </c>
      <c r="E18" s="19">
        <f t="shared" ca="1" si="26"/>
        <v>94</v>
      </c>
      <c r="F18" s="13" t="str">
        <f t="shared" ca="1" si="18"/>
        <v/>
      </c>
      <c r="G18" s="14" t="str">
        <f t="shared" ca="1" si="18"/>
        <v/>
      </c>
      <c r="H18" s="14" t="str">
        <f t="shared" ca="1" si="18"/>
        <v/>
      </c>
      <c r="I18" s="14" t="str">
        <f t="shared" ca="1" si="18"/>
        <v/>
      </c>
      <c r="J18" s="14" t="str">
        <f t="shared" ca="1" si="18"/>
        <v/>
      </c>
      <c r="K18" s="15" t="str">
        <f t="shared" ca="1" si="18"/>
        <v/>
      </c>
      <c r="L18" s="16" t="str">
        <f t="shared" ca="1" si="18"/>
        <v/>
      </c>
      <c r="M18" s="13" t="str">
        <f t="shared" ca="1" si="18"/>
        <v/>
      </c>
      <c r="N18" s="14" t="str">
        <f t="shared" ca="1" si="18"/>
        <v/>
      </c>
      <c r="O18" s="14" t="str">
        <f t="shared" ca="1" si="18"/>
        <v/>
      </c>
      <c r="P18" s="14" t="str">
        <f t="shared" ca="1" si="18"/>
        <v/>
      </c>
      <c r="Q18" s="14" t="str">
        <f t="shared" ca="1" si="18"/>
        <v/>
      </c>
      <c r="R18" s="15" t="str">
        <f t="shared" ca="1" si="18"/>
        <v/>
      </c>
      <c r="S18" s="16" t="str">
        <f t="shared" ca="1" si="18"/>
        <v/>
      </c>
      <c r="T18" s="13" t="str">
        <f t="shared" ca="1" si="18"/>
        <v/>
      </c>
      <c r="U18" s="14" t="str">
        <f t="shared" ca="1" si="18"/>
        <v/>
      </c>
      <c r="V18" s="14" t="str">
        <f t="shared" ca="1" si="18"/>
        <v/>
      </c>
      <c r="W18" s="14" t="str">
        <f t="shared" ca="1" si="18"/>
        <v/>
      </c>
      <c r="X18" s="14" t="str">
        <f t="shared" ca="1" si="18"/>
        <v/>
      </c>
      <c r="Y18" s="15" t="str">
        <f t="shared" ca="1" si="18"/>
        <v/>
      </c>
      <c r="Z18" s="16" t="str">
        <f t="shared" ca="1" si="18"/>
        <v/>
      </c>
      <c r="AA18" s="13" t="str">
        <f t="shared" ca="1" si="19"/>
        <v/>
      </c>
      <c r="AB18" s="14" t="str">
        <f t="shared" ca="1" si="19"/>
        <v/>
      </c>
      <c r="AC18" s="14" t="str">
        <f t="shared" ca="1" si="19"/>
        <v/>
      </c>
      <c r="AD18" s="14" t="str">
        <f t="shared" ca="1" si="19"/>
        <v/>
      </c>
      <c r="AE18" s="14" t="str">
        <f t="shared" ca="1" si="19"/>
        <v/>
      </c>
      <c r="AF18" s="15" t="str">
        <f t="shared" ca="1" si="19"/>
        <v/>
      </c>
      <c r="AG18" s="16" t="str">
        <f t="shared" ca="1" si="19"/>
        <v/>
      </c>
      <c r="AH18" s="13" t="str">
        <f t="shared" ca="1" si="19"/>
        <v/>
      </c>
      <c r="AI18" s="14" t="str">
        <f t="shared" ca="1" si="19"/>
        <v/>
      </c>
      <c r="AJ18" s="14" t="str">
        <f t="shared" ca="1" si="19"/>
        <v/>
      </c>
      <c r="AK18" s="14" t="str">
        <f t="shared" ca="1" si="19"/>
        <v/>
      </c>
      <c r="AL18" s="14" t="str">
        <f t="shared" ca="1" si="19"/>
        <v/>
      </c>
      <c r="AM18" s="15" t="str">
        <f t="shared" ca="1" si="19"/>
        <v/>
      </c>
      <c r="AN18" s="16" t="str">
        <f t="shared" ca="1" si="19"/>
        <v/>
      </c>
      <c r="AO18" s="13" t="str">
        <f t="shared" ca="1" si="19"/>
        <v/>
      </c>
      <c r="AP18" s="14" t="str">
        <f t="shared" ca="1" si="19"/>
        <v/>
      </c>
      <c r="AQ18" s="14" t="str">
        <f t="shared" ca="1" si="20"/>
        <v/>
      </c>
      <c r="AR18" s="14" t="str">
        <f t="shared" ca="1" si="20"/>
        <v/>
      </c>
      <c r="AS18" s="14" t="str">
        <f t="shared" ca="1" si="20"/>
        <v/>
      </c>
      <c r="AT18" s="15" t="str">
        <f t="shared" ca="1" si="20"/>
        <v/>
      </c>
      <c r="AU18" s="16" t="str">
        <f t="shared" ca="1" si="20"/>
        <v/>
      </c>
      <c r="AV18" s="13" t="str">
        <f t="shared" ca="1" si="20"/>
        <v/>
      </c>
      <c r="AW18" s="14" t="str">
        <f t="shared" ca="1" si="20"/>
        <v/>
      </c>
      <c r="AX18" s="14" t="str">
        <f t="shared" ca="1" si="20"/>
        <v/>
      </c>
      <c r="AY18" s="14" t="str">
        <f t="shared" ca="1" si="20"/>
        <v/>
      </c>
      <c r="AZ18" s="14" t="str">
        <f t="shared" ca="1" si="20"/>
        <v/>
      </c>
      <c r="BA18" s="15" t="str">
        <f t="shared" ca="1" si="20"/>
        <v/>
      </c>
      <c r="BB18" s="16" t="str">
        <f t="shared" ca="1" si="20"/>
        <v/>
      </c>
      <c r="BC18" s="13" t="str">
        <f t="shared" ca="1" si="20"/>
        <v/>
      </c>
      <c r="BD18" s="14" t="str">
        <f t="shared" ca="1" si="20"/>
        <v/>
      </c>
      <c r="BE18" s="14" t="str">
        <f t="shared" ca="1" si="20"/>
        <v/>
      </c>
      <c r="BF18" s="14" t="str">
        <f t="shared" ca="1" si="20"/>
        <v/>
      </c>
      <c r="BG18" s="14" t="str">
        <f t="shared" ca="1" si="21"/>
        <v/>
      </c>
      <c r="BH18" s="15" t="str">
        <f t="shared" ca="1" si="21"/>
        <v/>
      </c>
      <c r="BI18" s="16" t="str">
        <f t="shared" ca="1" si="21"/>
        <v/>
      </c>
      <c r="BJ18" s="13" t="str">
        <f t="shared" ca="1" si="21"/>
        <v/>
      </c>
      <c r="BK18" s="14" t="str">
        <f t="shared" ca="1" si="21"/>
        <v/>
      </c>
      <c r="BL18" s="14" t="str">
        <f t="shared" ca="1" si="21"/>
        <v/>
      </c>
      <c r="BM18" s="14" t="str">
        <f t="shared" ca="1" si="21"/>
        <v/>
      </c>
      <c r="BN18" s="14" t="str">
        <f t="shared" ca="1" si="21"/>
        <v/>
      </c>
      <c r="BO18" s="15" t="str">
        <f t="shared" ca="1" si="21"/>
        <v/>
      </c>
      <c r="BP18" s="16" t="str">
        <f t="shared" ca="1" si="21"/>
        <v/>
      </c>
      <c r="BQ18" s="13" t="str">
        <f t="shared" ca="1" si="21"/>
        <v/>
      </c>
      <c r="BR18" s="14" t="str">
        <f t="shared" ca="1" si="21"/>
        <v/>
      </c>
      <c r="BS18" s="14" t="str">
        <f t="shared" ca="1" si="21"/>
        <v/>
      </c>
      <c r="BT18" s="14" t="str">
        <f t="shared" ca="1" si="21"/>
        <v/>
      </c>
      <c r="BU18" s="14" t="str">
        <f t="shared" ca="1" si="21"/>
        <v/>
      </c>
      <c r="BV18" s="15" t="str">
        <f t="shared" ca="1" si="21"/>
        <v/>
      </c>
      <c r="BW18" s="16" t="str">
        <f t="shared" ca="1" si="22"/>
        <v/>
      </c>
      <c r="BX18" s="13" t="str">
        <f t="shared" ca="1" si="22"/>
        <v/>
      </c>
      <c r="BY18" s="14" t="str">
        <f t="shared" ca="1" si="22"/>
        <v/>
      </c>
      <c r="BZ18" s="14" t="str">
        <f t="shared" ca="1" si="22"/>
        <v/>
      </c>
      <c r="CA18" s="14" t="str">
        <f t="shared" ca="1" si="22"/>
        <v/>
      </c>
      <c r="CB18" s="14" t="str">
        <f t="shared" ca="1" si="22"/>
        <v/>
      </c>
      <c r="CC18" s="15" t="str">
        <f t="shared" ca="1" si="22"/>
        <v/>
      </c>
      <c r="CD18" s="16" t="str">
        <f t="shared" ca="1" si="22"/>
        <v/>
      </c>
      <c r="CE18" s="13" t="str">
        <f t="shared" ca="1" si="22"/>
        <v/>
      </c>
      <c r="CF18" s="14" t="str">
        <f t="shared" ca="1" si="22"/>
        <v/>
      </c>
      <c r="CG18" s="14" t="str">
        <f t="shared" ca="1" si="22"/>
        <v/>
      </c>
      <c r="CH18" s="14">
        <f t="shared" ca="1" si="22"/>
        <v>1</v>
      </c>
      <c r="CI18" s="14">
        <f t="shared" ca="1" si="22"/>
        <v>1</v>
      </c>
      <c r="CJ18" s="15">
        <f t="shared" ca="1" si="22"/>
        <v>1</v>
      </c>
      <c r="CK18" s="16">
        <f t="shared" ca="1" si="22"/>
        <v>1</v>
      </c>
      <c r="CL18" s="13">
        <f t="shared" ca="1" si="22"/>
        <v>1</v>
      </c>
      <c r="CM18" s="14">
        <f t="shared" ca="1" si="23"/>
        <v>1</v>
      </c>
      <c r="CN18" s="14">
        <f t="shared" ca="1" si="23"/>
        <v>1</v>
      </c>
      <c r="CO18" s="14">
        <f t="shared" ca="1" si="23"/>
        <v>1</v>
      </c>
      <c r="CP18" s="14">
        <f t="shared" ca="1" si="23"/>
        <v>1</v>
      </c>
      <c r="CQ18" s="15">
        <f t="shared" ca="1" si="23"/>
        <v>1</v>
      </c>
      <c r="CR18" s="16">
        <f t="shared" ca="1" si="23"/>
        <v>1</v>
      </c>
      <c r="CS18" s="13">
        <f t="shared" ca="1" si="23"/>
        <v>1</v>
      </c>
      <c r="CT18" s="14">
        <f t="shared" ca="1" si="23"/>
        <v>1</v>
      </c>
      <c r="CU18" s="14">
        <f t="shared" ca="1" si="23"/>
        <v>1</v>
      </c>
      <c r="CV18" s="14" t="str">
        <f t="shared" ca="1" si="23"/>
        <v/>
      </c>
      <c r="CW18" s="14" t="str">
        <f t="shared" ca="1" si="23"/>
        <v/>
      </c>
      <c r="CX18" s="15" t="str">
        <f t="shared" ca="1" si="23"/>
        <v/>
      </c>
      <c r="CY18" s="16" t="str">
        <f t="shared" ca="1" si="23"/>
        <v/>
      </c>
      <c r="CZ18" s="13" t="str">
        <f t="shared" ca="1" si="23"/>
        <v/>
      </c>
      <c r="DA18" s="14" t="str">
        <f t="shared" ca="1" si="23"/>
        <v/>
      </c>
      <c r="DB18" s="14" t="str">
        <f t="shared" ca="1" si="23"/>
        <v/>
      </c>
      <c r="DC18" s="14" t="str">
        <f t="shared" ca="1" si="24"/>
        <v/>
      </c>
      <c r="DD18" s="14" t="str">
        <f t="shared" ca="1" si="24"/>
        <v/>
      </c>
      <c r="DE18" s="15" t="str">
        <f t="shared" ca="1" si="24"/>
        <v/>
      </c>
      <c r="DF18" s="16" t="str">
        <f t="shared" ca="1" si="24"/>
        <v/>
      </c>
      <c r="DG18" s="13" t="str">
        <f t="shared" ca="1" si="24"/>
        <v/>
      </c>
      <c r="DH18" s="14" t="str">
        <f t="shared" ca="1" si="24"/>
        <v/>
      </c>
      <c r="DI18" s="14" t="str">
        <f t="shared" ca="1" si="24"/>
        <v/>
      </c>
      <c r="DJ18" s="14" t="str">
        <f t="shared" ca="1" si="24"/>
        <v/>
      </c>
      <c r="DK18" s="14" t="str">
        <f t="shared" ca="1" si="24"/>
        <v/>
      </c>
      <c r="DL18" s="15" t="str">
        <f t="shared" ca="1" si="24"/>
        <v/>
      </c>
      <c r="DM18" s="16" t="str">
        <f t="shared" ca="1" si="24"/>
        <v/>
      </c>
      <c r="DN18" s="13" t="str">
        <f t="shared" ca="1" si="24"/>
        <v/>
      </c>
      <c r="DO18" s="14" t="str">
        <f t="shared" ca="1" si="24"/>
        <v/>
      </c>
      <c r="DP18" s="14" t="str">
        <f t="shared" ca="1" si="24"/>
        <v/>
      </c>
      <c r="DQ18" s="14" t="str">
        <f t="shared" ca="1" si="24"/>
        <v/>
      </c>
      <c r="DR18" s="14" t="str">
        <f t="shared" ca="1" si="24"/>
        <v/>
      </c>
      <c r="DS18" s="15" t="str">
        <f t="shared" ca="1" si="24"/>
        <v/>
      </c>
      <c r="DT18" s="16" t="str">
        <f t="shared" ca="1" si="24"/>
        <v/>
      </c>
      <c r="DU18" s="13" t="str">
        <f t="shared" ca="1" si="25"/>
        <v/>
      </c>
      <c r="DV18" s="14" t="str">
        <f t="shared" ca="1" si="25"/>
        <v/>
      </c>
      <c r="DW18" s="14" t="str">
        <f t="shared" ca="1" si="25"/>
        <v/>
      </c>
      <c r="DX18" s="14" t="str">
        <f t="shared" ca="1" si="25"/>
        <v/>
      </c>
      <c r="DY18" s="14" t="str">
        <f t="shared" ca="1" si="25"/>
        <v/>
      </c>
      <c r="DZ18" s="15" t="str">
        <f t="shared" ca="1" si="25"/>
        <v/>
      </c>
      <c r="EA18" s="16" t="str">
        <f t="shared" ca="1" si="25"/>
        <v/>
      </c>
      <c r="EB18" s="13" t="str">
        <f t="shared" ca="1" si="25"/>
        <v/>
      </c>
      <c r="EC18" s="14" t="str">
        <f t="shared" ca="1" si="25"/>
        <v/>
      </c>
      <c r="ED18" s="14" t="str">
        <f t="shared" ca="1" si="25"/>
        <v/>
      </c>
      <c r="EE18" s="14" t="str">
        <f t="shared" ca="1" si="25"/>
        <v/>
      </c>
      <c r="EF18" s="14" t="str">
        <f t="shared" ca="1" si="25"/>
        <v/>
      </c>
      <c r="EG18" s="15" t="str">
        <f t="shared" ca="1" si="25"/>
        <v/>
      </c>
      <c r="EH18" s="16" t="str">
        <f t="shared" ca="1" si="25"/>
        <v/>
      </c>
    </row>
    <row r="19" spans="1:138" s="17" customFormat="1" ht="9.75" customHeight="1">
      <c r="A19" s="587" t="str">
        <f ca="1">_xlfn.XLOOKUP(A25,'VTT actif'!F:F,'VTT actif'!AB:AB,"-",0)</f>
        <v>Hapag Lloyd</v>
      </c>
      <c r="B19" s="24" t="s">
        <v>49</v>
      </c>
      <c r="C19" s="19">
        <f t="shared" ca="1" si="27"/>
        <v>95</v>
      </c>
      <c r="D19" s="19">
        <f ca="1">_xlfn.XLOOKUP(A25,'VTT actif'!F:F,'VTT actif'!AK:AK,"-",0)</f>
        <v>4</v>
      </c>
      <c r="E19" s="19">
        <f ca="1">C19-1+D19</f>
        <v>98</v>
      </c>
      <c r="F19" s="13" t="str">
        <f t="shared" ca="1" si="18"/>
        <v/>
      </c>
      <c r="G19" s="14" t="str">
        <f t="shared" ca="1" si="18"/>
        <v/>
      </c>
      <c r="H19" s="14" t="str">
        <f t="shared" ca="1" si="18"/>
        <v/>
      </c>
      <c r="I19" s="14" t="str">
        <f t="shared" ca="1" si="18"/>
        <v/>
      </c>
      <c r="J19" s="14" t="str">
        <f t="shared" ca="1" si="18"/>
        <v/>
      </c>
      <c r="K19" s="15" t="str">
        <f t="shared" ca="1" si="18"/>
        <v/>
      </c>
      <c r="L19" s="16" t="str">
        <f t="shared" ca="1" si="18"/>
        <v/>
      </c>
      <c r="M19" s="13" t="str">
        <f t="shared" ca="1" si="18"/>
        <v/>
      </c>
      <c r="N19" s="14" t="str">
        <f t="shared" ca="1" si="18"/>
        <v/>
      </c>
      <c r="O19" s="14" t="str">
        <f t="shared" ca="1" si="18"/>
        <v/>
      </c>
      <c r="P19" s="14" t="str">
        <f t="shared" ca="1" si="18"/>
        <v/>
      </c>
      <c r="Q19" s="14" t="str">
        <f t="shared" ca="1" si="18"/>
        <v/>
      </c>
      <c r="R19" s="15" t="str">
        <f t="shared" ca="1" si="18"/>
        <v/>
      </c>
      <c r="S19" s="16" t="str">
        <f t="shared" ca="1" si="18"/>
        <v/>
      </c>
      <c r="T19" s="13" t="str">
        <f t="shared" ca="1" si="18"/>
        <v/>
      </c>
      <c r="U19" s="14" t="str">
        <f t="shared" ca="1" si="18"/>
        <v/>
      </c>
      <c r="V19" s="14" t="str">
        <f t="shared" ca="1" si="18"/>
        <v/>
      </c>
      <c r="W19" s="14" t="str">
        <f t="shared" ca="1" si="18"/>
        <v/>
      </c>
      <c r="X19" s="14" t="str">
        <f t="shared" ca="1" si="18"/>
        <v/>
      </c>
      <c r="Y19" s="15" t="str">
        <f t="shared" ca="1" si="18"/>
        <v/>
      </c>
      <c r="Z19" s="16" t="str">
        <f t="shared" ca="1" si="18"/>
        <v/>
      </c>
      <c r="AA19" s="13" t="str">
        <f t="shared" ca="1" si="19"/>
        <v/>
      </c>
      <c r="AB19" s="14" t="str">
        <f t="shared" ca="1" si="19"/>
        <v/>
      </c>
      <c r="AC19" s="14" t="str">
        <f t="shared" ca="1" si="19"/>
        <v/>
      </c>
      <c r="AD19" s="14" t="str">
        <f t="shared" ca="1" si="19"/>
        <v/>
      </c>
      <c r="AE19" s="14" t="str">
        <f t="shared" ca="1" si="19"/>
        <v/>
      </c>
      <c r="AF19" s="15" t="str">
        <f t="shared" ca="1" si="19"/>
        <v/>
      </c>
      <c r="AG19" s="16" t="str">
        <f t="shared" ca="1" si="19"/>
        <v/>
      </c>
      <c r="AH19" s="13" t="str">
        <f t="shared" ca="1" si="19"/>
        <v/>
      </c>
      <c r="AI19" s="14" t="str">
        <f t="shared" ca="1" si="19"/>
        <v/>
      </c>
      <c r="AJ19" s="14" t="str">
        <f t="shared" ca="1" si="19"/>
        <v/>
      </c>
      <c r="AK19" s="14" t="str">
        <f t="shared" ca="1" si="19"/>
        <v/>
      </c>
      <c r="AL19" s="14" t="str">
        <f t="shared" ca="1" si="19"/>
        <v/>
      </c>
      <c r="AM19" s="15" t="str">
        <f t="shared" ca="1" si="19"/>
        <v/>
      </c>
      <c r="AN19" s="16" t="str">
        <f t="shared" ca="1" si="19"/>
        <v/>
      </c>
      <c r="AO19" s="13" t="str">
        <f t="shared" ca="1" si="19"/>
        <v/>
      </c>
      <c r="AP19" s="14" t="str">
        <f t="shared" ca="1" si="19"/>
        <v/>
      </c>
      <c r="AQ19" s="14" t="str">
        <f t="shared" ca="1" si="20"/>
        <v/>
      </c>
      <c r="AR19" s="14" t="str">
        <f t="shared" ca="1" si="20"/>
        <v/>
      </c>
      <c r="AS19" s="14" t="str">
        <f t="shared" ca="1" si="20"/>
        <v/>
      </c>
      <c r="AT19" s="15" t="str">
        <f t="shared" ca="1" si="20"/>
        <v/>
      </c>
      <c r="AU19" s="16" t="str">
        <f t="shared" ca="1" si="20"/>
        <v/>
      </c>
      <c r="AV19" s="13" t="str">
        <f t="shared" ca="1" si="20"/>
        <v/>
      </c>
      <c r="AW19" s="14" t="str">
        <f t="shared" ca="1" si="20"/>
        <v/>
      </c>
      <c r="AX19" s="14" t="str">
        <f t="shared" ca="1" si="20"/>
        <v/>
      </c>
      <c r="AY19" s="14" t="str">
        <f t="shared" ca="1" si="20"/>
        <v/>
      </c>
      <c r="AZ19" s="14" t="str">
        <f t="shared" ca="1" si="20"/>
        <v/>
      </c>
      <c r="BA19" s="15" t="str">
        <f t="shared" ca="1" si="20"/>
        <v/>
      </c>
      <c r="BB19" s="16" t="str">
        <f t="shared" ca="1" si="20"/>
        <v/>
      </c>
      <c r="BC19" s="13" t="str">
        <f t="shared" ca="1" si="20"/>
        <v/>
      </c>
      <c r="BD19" s="14" t="str">
        <f t="shared" ca="1" si="20"/>
        <v/>
      </c>
      <c r="BE19" s="14" t="str">
        <f t="shared" ca="1" si="20"/>
        <v/>
      </c>
      <c r="BF19" s="14" t="str">
        <f t="shared" ca="1" si="20"/>
        <v/>
      </c>
      <c r="BG19" s="14" t="str">
        <f t="shared" ca="1" si="21"/>
        <v/>
      </c>
      <c r="BH19" s="15" t="str">
        <f t="shared" ca="1" si="21"/>
        <v/>
      </c>
      <c r="BI19" s="16" t="str">
        <f t="shared" ca="1" si="21"/>
        <v/>
      </c>
      <c r="BJ19" s="13" t="str">
        <f t="shared" ca="1" si="21"/>
        <v/>
      </c>
      <c r="BK19" s="14" t="str">
        <f t="shared" ca="1" si="21"/>
        <v/>
      </c>
      <c r="BL19" s="14" t="str">
        <f t="shared" ca="1" si="21"/>
        <v/>
      </c>
      <c r="BM19" s="14" t="str">
        <f t="shared" ca="1" si="21"/>
        <v/>
      </c>
      <c r="BN19" s="14" t="str">
        <f t="shared" ca="1" si="21"/>
        <v/>
      </c>
      <c r="BO19" s="15" t="str">
        <f t="shared" ca="1" si="21"/>
        <v/>
      </c>
      <c r="BP19" s="16" t="str">
        <f t="shared" ca="1" si="21"/>
        <v/>
      </c>
      <c r="BQ19" s="13" t="str">
        <f t="shared" ca="1" si="21"/>
        <v/>
      </c>
      <c r="BR19" s="14" t="str">
        <f t="shared" ca="1" si="21"/>
        <v/>
      </c>
      <c r="BS19" s="14" t="str">
        <f t="shared" ca="1" si="21"/>
        <v/>
      </c>
      <c r="BT19" s="14" t="str">
        <f t="shared" ca="1" si="21"/>
        <v/>
      </c>
      <c r="BU19" s="14" t="str">
        <f t="shared" ca="1" si="21"/>
        <v/>
      </c>
      <c r="BV19" s="15" t="str">
        <f t="shared" ca="1" si="21"/>
        <v/>
      </c>
      <c r="BW19" s="16" t="str">
        <f t="shared" ca="1" si="22"/>
        <v/>
      </c>
      <c r="BX19" s="13" t="str">
        <f t="shared" ca="1" si="22"/>
        <v/>
      </c>
      <c r="BY19" s="14" t="str">
        <f t="shared" ca="1" si="22"/>
        <v/>
      </c>
      <c r="BZ19" s="14" t="str">
        <f t="shared" ca="1" si="22"/>
        <v/>
      </c>
      <c r="CA19" s="14" t="str">
        <f t="shared" ca="1" si="22"/>
        <v/>
      </c>
      <c r="CB19" s="14" t="str">
        <f t="shared" ca="1" si="22"/>
        <v/>
      </c>
      <c r="CC19" s="15" t="str">
        <f t="shared" ca="1" si="22"/>
        <v/>
      </c>
      <c r="CD19" s="16" t="str">
        <f t="shared" ca="1" si="22"/>
        <v/>
      </c>
      <c r="CE19" s="13" t="str">
        <f t="shared" ca="1" si="22"/>
        <v/>
      </c>
      <c r="CF19" s="14" t="str">
        <f t="shared" ca="1" si="22"/>
        <v/>
      </c>
      <c r="CG19" s="14" t="str">
        <f t="shared" ca="1" si="22"/>
        <v/>
      </c>
      <c r="CH19" s="14" t="str">
        <f t="shared" ca="1" si="22"/>
        <v/>
      </c>
      <c r="CI19" s="14" t="str">
        <f t="shared" ca="1" si="22"/>
        <v/>
      </c>
      <c r="CJ19" s="15" t="str">
        <f t="shared" ca="1" si="22"/>
        <v/>
      </c>
      <c r="CK19" s="16" t="str">
        <f t="shared" ca="1" si="22"/>
        <v/>
      </c>
      <c r="CL19" s="13" t="str">
        <f t="shared" ca="1" si="22"/>
        <v/>
      </c>
      <c r="CM19" s="14" t="str">
        <f t="shared" ca="1" si="23"/>
        <v/>
      </c>
      <c r="CN19" s="14" t="str">
        <f t="shared" ca="1" si="23"/>
        <v/>
      </c>
      <c r="CO19" s="14" t="str">
        <f t="shared" ca="1" si="23"/>
        <v/>
      </c>
      <c r="CP19" s="14" t="str">
        <f t="shared" ca="1" si="23"/>
        <v/>
      </c>
      <c r="CQ19" s="15" t="str">
        <f t="shared" ca="1" si="23"/>
        <v/>
      </c>
      <c r="CR19" s="16" t="str">
        <f t="shared" ca="1" si="23"/>
        <v/>
      </c>
      <c r="CS19" s="13" t="str">
        <f t="shared" ca="1" si="23"/>
        <v/>
      </c>
      <c r="CT19" s="14" t="str">
        <f t="shared" ca="1" si="23"/>
        <v/>
      </c>
      <c r="CU19" s="14" t="str">
        <f t="shared" ca="1" si="23"/>
        <v/>
      </c>
      <c r="CV19" s="14">
        <f t="shared" ca="1" si="23"/>
        <v>1</v>
      </c>
      <c r="CW19" s="14">
        <f t="shared" ca="1" si="23"/>
        <v>1</v>
      </c>
      <c r="CX19" s="15">
        <f t="shared" ca="1" si="23"/>
        <v>1</v>
      </c>
      <c r="CY19" s="16">
        <f t="shared" ca="1" si="23"/>
        <v>1</v>
      </c>
      <c r="CZ19" s="13" t="str">
        <f t="shared" ca="1" si="23"/>
        <v/>
      </c>
      <c r="DA19" s="14" t="str">
        <f t="shared" ca="1" si="23"/>
        <v/>
      </c>
      <c r="DB19" s="14" t="str">
        <f t="shared" ca="1" si="23"/>
        <v/>
      </c>
      <c r="DC19" s="14" t="str">
        <f t="shared" ca="1" si="24"/>
        <v/>
      </c>
      <c r="DD19" s="14" t="str">
        <f t="shared" ca="1" si="24"/>
        <v/>
      </c>
      <c r="DE19" s="15" t="str">
        <f t="shared" ca="1" si="24"/>
        <v/>
      </c>
      <c r="DF19" s="16" t="str">
        <f t="shared" ca="1" si="24"/>
        <v/>
      </c>
      <c r="DG19" s="13" t="str">
        <f t="shared" ca="1" si="24"/>
        <v/>
      </c>
      <c r="DH19" s="14" t="str">
        <f t="shared" ca="1" si="24"/>
        <v/>
      </c>
      <c r="DI19" s="14" t="str">
        <f t="shared" ca="1" si="24"/>
        <v/>
      </c>
      <c r="DJ19" s="14" t="str">
        <f t="shared" ca="1" si="24"/>
        <v/>
      </c>
      <c r="DK19" s="14" t="str">
        <f t="shared" ca="1" si="24"/>
        <v/>
      </c>
      <c r="DL19" s="15" t="str">
        <f t="shared" ca="1" si="24"/>
        <v/>
      </c>
      <c r="DM19" s="16" t="str">
        <f t="shared" ca="1" si="24"/>
        <v/>
      </c>
      <c r="DN19" s="13" t="str">
        <f t="shared" ca="1" si="24"/>
        <v/>
      </c>
      <c r="DO19" s="14" t="str">
        <f t="shared" ca="1" si="24"/>
        <v/>
      </c>
      <c r="DP19" s="14" t="str">
        <f t="shared" ca="1" si="24"/>
        <v/>
      </c>
      <c r="DQ19" s="14" t="str">
        <f t="shared" ca="1" si="24"/>
        <v/>
      </c>
      <c r="DR19" s="14" t="str">
        <f t="shared" ca="1" si="24"/>
        <v/>
      </c>
      <c r="DS19" s="15" t="str">
        <f t="shared" ca="1" si="24"/>
        <v/>
      </c>
      <c r="DT19" s="16" t="str">
        <f t="shared" ca="1" si="24"/>
        <v/>
      </c>
      <c r="DU19" s="13" t="str">
        <f t="shared" ca="1" si="25"/>
        <v/>
      </c>
      <c r="DV19" s="14" t="str">
        <f t="shared" ca="1" si="25"/>
        <v/>
      </c>
      <c r="DW19" s="14" t="str">
        <f t="shared" ca="1" si="25"/>
        <v/>
      </c>
      <c r="DX19" s="14" t="str">
        <f t="shared" ca="1" si="25"/>
        <v/>
      </c>
      <c r="DY19" s="14" t="str">
        <f t="shared" ca="1" si="25"/>
        <v/>
      </c>
      <c r="DZ19" s="15" t="str">
        <f t="shared" ca="1" si="25"/>
        <v/>
      </c>
      <c r="EA19" s="16" t="str">
        <f t="shared" ca="1" si="25"/>
        <v/>
      </c>
      <c r="EB19" s="13" t="str">
        <f t="shared" ca="1" si="25"/>
        <v/>
      </c>
      <c r="EC19" s="14" t="str">
        <f t="shared" ca="1" si="25"/>
        <v/>
      </c>
      <c r="ED19" s="14" t="str">
        <f t="shared" ca="1" si="25"/>
        <v/>
      </c>
      <c r="EE19" s="14" t="str">
        <f t="shared" ca="1" si="25"/>
        <v/>
      </c>
      <c r="EF19" s="14" t="str">
        <f t="shared" ca="1" si="25"/>
        <v/>
      </c>
      <c r="EG19" s="15" t="str">
        <f t="shared" ca="1" si="25"/>
        <v/>
      </c>
      <c r="EH19" s="16" t="str">
        <f t="shared" ca="1" si="25"/>
        <v/>
      </c>
    </row>
    <row r="20" spans="1:138" s="17" customFormat="1" ht="9.75" customHeight="1">
      <c r="A20" s="587"/>
      <c r="B20" s="26" t="str">
        <f>IF(COUNTIF(buffer_train[AILN],B5)&gt;0,"Buffer Train","")</f>
        <v/>
      </c>
      <c r="C20" s="19">
        <f ca="1">E19+1</f>
        <v>99</v>
      </c>
      <c r="D20" s="19" t="str">
        <f>_xlfn.XLOOKUP(A25,'VTT actif'!F:F,'VTT actif'!AO:AO,"-",0)</f>
        <v>-</v>
      </c>
      <c r="E20" s="19">
        <f ca="1">C20-1+IF(D20="-",0,D20)</f>
        <v>98</v>
      </c>
      <c r="F20" s="13" t="str">
        <f ca="1">IF(AND(F$5&gt;=$C20,F$5&lt;=$E20),1,"")</f>
        <v/>
      </c>
      <c r="G20" s="14" t="str">
        <f t="shared" ca="1" si="18"/>
        <v/>
      </c>
      <c r="H20" s="14" t="str">
        <f t="shared" ca="1" si="18"/>
        <v/>
      </c>
      <c r="I20" s="14" t="str">
        <f t="shared" ca="1" si="18"/>
        <v/>
      </c>
      <c r="J20" s="14" t="str">
        <f t="shared" ref="J20:Z20" ca="1" si="28">IF(AND(J$5&gt;=$C20,J$5&lt;=$E20),1,"")</f>
        <v/>
      </c>
      <c r="K20" s="15" t="str">
        <f t="shared" ca="1" si="28"/>
        <v/>
      </c>
      <c r="L20" s="16" t="str">
        <f t="shared" ca="1" si="28"/>
        <v/>
      </c>
      <c r="M20" s="13" t="str">
        <f t="shared" ca="1" si="28"/>
        <v/>
      </c>
      <c r="N20" s="14" t="str">
        <f t="shared" ca="1" si="28"/>
        <v/>
      </c>
      <c r="O20" s="14" t="str">
        <f t="shared" ca="1" si="28"/>
        <v/>
      </c>
      <c r="P20" s="14" t="str">
        <f t="shared" ca="1" si="28"/>
        <v/>
      </c>
      <c r="Q20" s="14" t="str">
        <f t="shared" ca="1" si="28"/>
        <v/>
      </c>
      <c r="R20" s="15" t="str">
        <f t="shared" ca="1" si="28"/>
        <v/>
      </c>
      <c r="S20" s="16" t="str">
        <f t="shared" ca="1" si="28"/>
        <v/>
      </c>
      <c r="T20" s="13" t="str">
        <f t="shared" ca="1" si="28"/>
        <v/>
      </c>
      <c r="U20" s="14" t="str">
        <f t="shared" ca="1" si="28"/>
        <v/>
      </c>
      <c r="V20" s="14" t="str">
        <f t="shared" ca="1" si="28"/>
        <v/>
      </c>
      <c r="W20" s="14" t="str">
        <f t="shared" ca="1" si="28"/>
        <v/>
      </c>
      <c r="X20" s="14" t="str">
        <f t="shared" ca="1" si="28"/>
        <v/>
      </c>
      <c r="Y20" s="15" t="str">
        <f t="shared" ca="1" si="28"/>
        <v/>
      </c>
      <c r="Z20" s="16" t="str">
        <f t="shared" ca="1" si="28"/>
        <v/>
      </c>
      <c r="AA20" s="13" t="str">
        <f t="shared" ca="1" si="19"/>
        <v/>
      </c>
      <c r="AB20" s="14" t="str">
        <f t="shared" ca="1" si="19"/>
        <v/>
      </c>
      <c r="AC20" s="14" t="str">
        <f t="shared" ca="1" si="19"/>
        <v/>
      </c>
      <c r="AD20" s="14" t="str">
        <f t="shared" ca="1" si="19"/>
        <v/>
      </c>
      <c r="AE20" s="14" t="str">
        <f t="shared" ca="1" si="19"/>
        <v/>
      </c>
      <c r="AF20" s="15" t="str">
        <f t="shared" ca="1" si="19"/>
        <v/>
      </c>
      <c r="AG20" s="16" t="str">
        <f t="shared" ca="1" si="19"/>
        <v/>
      </c>
      <c r="AH20" s="13" t="str">
        <f t="shared" ca="1" si="19"/>
        <v/>
      </c>
      <c r="AI20" s="14" t="str">
        <f t="shared" ca="1" si="19"/>
        <v/>
      </c>
      <c r="AJ20" s="14" t="str">
        <f t="shared" ca="1" si="19"/>
        <v/>
      </c>
      <c r="AK20" s="14" t="str">
        <f t="shared" ca="1" si="19"/>
        <v/>
      </c>
      <c r="AL20" s="14" t="str">
        <f t="shared" ca="1" si="19"/>
        <v/>
      </c>
      <c r="AM20" s="15" t="str">
        <f t="shared" ca="1" si="19"/>
        <v/>
      </c>
      <c r="AN20" s="16" t="str">
        <f t="shared" ca="1" si="19"/>
        <v/>
      </c>
      <c r="AO20" s="13" t="str">
        <f t="shared" ca="1" si="19"/>
        <v/>
      </c>
      <c r="AP20" s="14" t="str">
        <f t="shared" ca="1" si="19"/>
        <v/>
      </c>
      <c r="AQ20" s="14" t="str">
        <f t="shared" ca="1" si="20"/>
        <v/>
      </c>
      <c r="AR20" s="14" t="str">
        <f t="shared" ca="1" si="20"/>
        <v/>
      </c>
      <c r="AS20" s="14" t="str">
        <f t="shared" ca="1" si="20"/>
        <v/>
      </c>
      <c r="AT20" s="15" t="str">
        <f t="shared" ca="1" si="20"/>
        <v/>
      </c>
      <c r="AU20" s="16" t="str">
        <f t="shared" ca="1" si="20"/>
        <v/>
      </c>
      <c r="AV20" s="13" t="str">
        <f t="shared" ca="1" si="20"/>
        <v/>
      </c>
      <c r="AW20" s="14" t="str">
        <f t="shared" ca="1" si="20"/>
        <v/>
      </c>
      <c r="AX20" s="14" t="str">
        <f t="shared" ca="1" si="20"/>
        <v/>
      </c>
      <c r="AY20" s="14" t="str">
        <f t="shared" ca="1" si="20"/>
        <v/>
      </c>
      <c r="AZ20" s="14" t="str">
        <f t="shared" ca="1" si="20"/>
        <v/>
      </c>
      <c r="BA20" s="15" t="str">
        <f t="shared" ca="1" si="20"/>
        <v/>
      </c>
      <c r="BB20" s="16" t="str">
        <f t="shared" ca="1" si="20"/>
        <v/>
      </c>
      <c r="BC20" s="13" t="str">
        <f t="shared" ca="1" si="20"/>
        <v/>
      </c>
      <c r="BD20" s="14" t="str">
        <f t="shared" ca="1" si="20"/>
        <v/>
      </c>
      <c r="BE20" s="14" t="str">
        <f t="shared" ca="1" si="20"/>
        <v/>
      </c>
      <c r="BF20" s="14" t="str">
        <f t="shared" ca="1" si="20"/>
        <v/>
      </c>
      <c r="BG20" s="14" t="str">
        <f t="shared" ca="1" si="21"/>
        <v/>
      </c>
      <c r="BH20" s="15" t="str">
        <f t="shared" ca="1" si="21"/>
        <v/>
      </c>
      <c r="BI20" s="16" t="str">
        <f t="shared" ca="1" si="21"/>
        <v/>
      </c>
      <c r="BJ20" s="13" t="str">
        <f t="shared" ca="1" si="21"/>
        <v/>
      </c>
      <c r="BK20" s="14" t="str">
        <f t="shared" ca="1" si="21"/>
        <v/>
      </c>
      <c r="BL20" s="14" t="str">
        <f t="shared" ca="1" si="21"/>
        <v/>
      </c>
      <c r="BM20" s="14" t="str">
        <f t="shared" ca="1" si="21"/>
        <v/>
      </c>
      <c r="BN20" s="14" t="str">
        <f t="shared" ca="1" si="21"/>
        <v/>
      </c>
      <c r="BO20" s="15" t="str">
        <f t="shared" ca="1" si="21"/>
        <v/>
      </c>
      <c r="BP20" s="16" t="str">
        <f t="shared" ca="1" si="21"/>
        <v/>
      </c>
      <c r="BQ20" s="13" t="str">
        <f t="shared" ca="1" si="21"/>
        <v/>
      </c>
      <c r="BR20" s="14" t="str">
        <f t="shared" ca="1" si="21"/>
        <v/>
      </c>
      <c r="BS20" s="14" t="str">
        <f t="shared" ca="1" si="21"/>
        <v/>
      </c>
      <c r="BT20" s="14" t="str">
        <f t="shared" ca="1" si="21"/>
        <v/>
      </c>
      <c r="BU20" s="14" t="str">
        <f t="shared" ca="1" si="21"/>
        <v/>
      </c>
      <c r="BV20" s="15" t="str">
        <f t="shared" ca="1" si="21"/>
        <v/>
      </c>
      <c r="BW20" s="16" t="str">
        <f t="shared" ca="1" si="22"/>
        <v/>
      </c>
      <c r="BX20" s="13" t="str">
        <f t="shared" ca="1" si="22"/>
        <v/>
      </c>
      <c r="BY20" s="14" t="str">
        <f t="shared" ca="1" si="22"/>
        <v/>
      </c>
      <c r="BZ20" s="14" t="str">
        <f t="shared" ca="1" si="22"/>
        <v/>
      </c>
      <c r="CA20" s="14" t="str">
        <f t="shared" ca="1" si="22"/>
        <v/>
      </c>
      <c r="CB20" s="14" t="str">
        <f t="shared" ca="1" si="22"/>
        <v/>
      </c>
      <c r="CC20" s="15" t="str">
        <f t="shared" ca="1" si="22"/>
        <v/>
      </c>
      <c r="CD20" s="16" t="str">
        <f t="shared" ca="1" si="22"/>
        <v/>
      </c>
      <c r="CE20" s="13" t="str">
        <f t="shared" ca="1" si="22"/>
        <v/>
      </c>
      <c r="CF20" s="14" t="str">
        <f t="shared" ca="1" si="22"/>
        <v/>
      </c>
      <c r="CG20" s="14" t="str">
        <f t="shared" ca="1" si="22"/>
        <v/>
      </c>
      <c r="CH20" s="14" t="str">
        <f t="shared" ca="1" si="22"/>
        <v/>
      </c>
      <c r="CI20" s="14" t="str">
        <f t="shared" ca="1" si="22"/>
        <v/>
      </c>
      <c r="CJ20" s="15" t="str">
        <f t="shared" ca="1" si="22"/>
        <v/>
      </c>
      <c r="CK20" s="16" t="str">
        <f t="shared" ca="1" si="22"/>
        <v/>
      </c>
      <c r="CL20" s="13" t="str">
        <f t="shared" ca="1" si="22"/>
        <v/>
      </c>
      <c r="CM20" s="14" t="str">
        <f t="shared" ca="1" si="23"/>
        <v/>
      </c>
      <c r="CN20" s="14" t="str">
        <f t="shared" ca="1" si="23"/>
        <v/>
      </c>
      <c r="CO20" s="14" t="str">
        <f t="shared" ca="1" si="23"/>
        <v/>
      </c>
      <c r="CP20" s="14" t="str">
        <f t="shared" ca="1" si="23"/>
        <v/>
      </c>
      <c r="CQ20" s="15" t="str">
        <f t="shared" ca="1" si="23"/>
        <v/>
      </c>
      <c r="CR20" s="16" t="str">
        <f t="shared" ca="1" si="23"/>
        <v/>
      </c>
      <c r="CS20" s="13" t="str">
        <f t="shared" ca="1" si="23"/>
        <v/>
      </c>
      <c r="CT20" s="14" t="str">
        <f t="shared" ca="1" si="23"/>
        <v/>
      </c>
      <c r="CU20" s="14" t="str">
        <f t="shared" ca="1" si="23"/>
        <v/>
      </c>
      <c r="CV20" s="14" t="str">
        <f t="shared" ca="1" si="23"/>
        <v/>
      </c>
      <c r="CW20" s="14" t="str">
        <f t="shared" ca="1" si="23"/>
        <v/>
      </c>
      <c r="CX20" s="15" t="str">
        <f t="shared" ca="1" si="23"/>
        <v/>
      </c>
      <c r="CY20" s="16" t="str">
        <f t="shared" ca="1" si="23"/>
        <v/>
      </c>
      <c r="CZ20" s="13" t="str">
        <f t="shared" ca="1" si="23"/>
        <v/>
      </c>
      <c r="DA20" s="14" t="str">
        <f t="shared" ca="1" si="23"/>
        <v/>
      </c>
      <c r="DB20" s="14" t="str">
        <f t="shared" ca="1" si="23"/>
        <v/>
      </c>
      <c r="DC20" s="14" t="str">
        <f t="shared" ca="1" si="24"/>
        <v/>
      </c>
      <c r="DD20" s="14" t="str">
        <f t="shared" ca="1" si="24"/>
        <v/>
      </c>
      <c r="DE20" s="15" t="str">
        <f t="shared" ca="1" si="24"/>
        <v/>
      </c>
      <c r="DF20" s="16" t="str">
        <f t="shared" ca="1" si="24"/>
        <v/>
      </c>
      <c r="DG20" s="13" t="str">
        <f t="shared" ca="1" si="24"/>
        <v/>
      </c>
      <c r="DH20" s="14" t="str">
        <f t="shared" ca="1" si="24"/>
        <v/>
      </c>
      <c r="DI20" s="14" t="str">
        <f t="shared" ca="1" si="24"/>
        <v/>
      </c>
      <c r="DJ20" s="14" t="str">
        <f t="shared" ca="1" si="24"/>
        <v/>
      </c>
      <c r="DK20" s="14" t="str">
        <f t="shared" ca="1" si="24"/>
        <v/>
      </c>
      <c r="DL20" s="15" t="str">
        <f t="shared" ca="1" si="24"/>
        <v/>
      </c>
      <c r="DM20" s="16" t="str">
        <f t="shared" ca="1" si="24"/>
        <v/>
      </c>
      <c r="DN20" s="13" t="str">
        <f t="shared" ca="1" si="24"/>
        <v/>
      </c>
      <c r="DO20" s="14" t="str">
        <f t="shared" ca="1" si="24"/>
        <v/>
      </c>
      <c r="DP20" s="14" t="str">
        <f t="shared" ca="1" si="24"/>
        <v/>
      </c>
      <c r="DQ20" s="14" t="str">
        <f t="shared" ca="1" si="24"/>
        <v/>
      </c>
      <c r="DR20" s="14" t="str">
        <f t="shared" ca="1" si="24"/>
        <v/>
      </c>
      <c r="DS20" s="15" t="str">
        <f t="shared" ca="1" si="24"/>
        <v/>
      </c>
      <c r="DT20" s="16" t="str">
        <f t="shared" ca="1" si="24"/>
        <v/>
      </c>
      <c r="DU20" s="13" t="str">
        <f t="shared" ca="1" si="25"/>
        <v/>
      </c>
      <c r="DV20" s="14" t="str">
        <f t="shared" ca="1" si="25"/>
        <v/>
      </c>
      <c r="DW20" s="14" t="str">
        <f t="shared" ca="1" si="25"/>
        <v/>
      </c>
      <c r="DX20" s="14" t="str">
        <f t="shared" ca="1" si="25"/>
        <v/>
      </c>
      <c r="DY20" s="14" t="str">
        <f t="shared" ca="1" si="25"/>
        <v/>
      </c>
      <c r="DZ20" s="15" t="str">
        <f t="shared" ca="1" si="25"/>
        <v/>
      </c>
      <c r="EA20" s="16" t="str">
        <f t="shared" ca="1" si="25"/>
        <v/>
      </c>
      <c r="EB20" s="13" t="str">
        <f t="shared" ca="1" si="25"/>
        <v/>
      </c>
      <c r="EC20" s="14" t="str">
        <f t="shared" ca="1" si="25"/>
        <v/>
      </c>
      <c r="ED20" s="14" t="str">
        <f t="shared" ca="1" si="25"/>
        <v/>
      </c>
      <c r="EE20" s="14" t="str">
        <f t="shared" ca="1" si="25"/>
        <v/>
      </c>
      <c r="EF20" s="14" t="str">
        <f t="shared" ca="1" si="25"/>
        <v/>
      </c>
      <c r="EG20" s="15" t="str">
        <f t="shared" ca="1" si="25"/>
        <v/>
      </c>
      <c r="EH20" s="16" t="str">
        <f t="shared" ca="1" si="25"/>
        <v/>
      </c>
    </row>
    <row r="21" spans="1:138" s="17" customFormat="1" ht="9.75" customHeight="1">
      <c r="A21" s="92" t="str">
        <f>_xlfn.CONCAT(B3,"-","Actif")</f>
        <v>KWE Shanghai-Actif</v>
      </c>
      <c r="B21" s="24" t="str">
        <f>IF(B5=0,"","Transport to PFI")</f>
        <v/>
      </c>
      <c r="C21" s="19">
        <f ca="1">E20+1</f>
        <v>99</v>
      </c>
      <c r="D21" s="19">
        <f ca="1">_xlfn.XLOOKUP(A25,'VTT actif'!F:F,'VTT actif'!AP:AP,"-",0)</f>
        <v>0</v>
      </c>
      <c r="E21" s="19">
        <f ca="1">C21-1+IF(D21="-",0,D21)</f>
        <v>98</v>
      </c>
      <c r="F21" s="13" t="str">
        <f t="shared" ref="F21:BQ24" ca="1" si="29">IF(AND(F$5&gt;=$C21,F$5&lt;=$E21),1,"")</f>
        <v/>
      </c>
      <c r="G21" s="14" t="str">
        <f t="shared" ca="1" si="29"/>
        <v/>
      </c>
      <c r="H21" s="14" t="str">
        <f t="shared" ca="1" si="29"/>
        <v/>
      </c>
      <c r="I21" s="14" t="str">
        <f t="shared" ca="1" si="29"/>
        <v/>
      </c>
      <c r="J21" s="14" t="str">
        <f t="shared" ca="1" si="29"/>
        <v/>
      </c>
      <c r="K21" s="15" t="str">
        <f t="shared" ca="1" si="29"/>
        <v/>
      </c>
      <c r="L21" s="16" t="str">
        <f t="shared" ca="1" si="29"/>
        <v/>
      </c>
      <c r="M21" s="13" t="str">
        <f t="shared" ca="1" si="29"/>
        <v/>
      </c>
      <c r="N21" s="14" t="str">
        <f t="shared" ca="1" si="29"/>
        <v/>
      </c>
      <c r="O21" s="14" t="str">
        <f t="shared" ca="1" si="29"/>
        <v/>
      </c>
      <c r="P21" s="14" t="str">
        <f t="shared" ca="1" si="29"/>
        <v/>
      </c>
      <c r="Q21" s="14" t="str">
        <f t="shared" ca="1" si="29"/>
        <v/>
      </c>
      <c r="R21" s="15" t="str">
        <f t="shared" ca="1" si="29"/>
        <v/>
      </c>
      <c r="S21" s="16" t="str">
        <f t="shared" ca="1" si="29"/>
        <v/>
      </c>
      <c r="T21" s="13" t="str">
        <f t="shared" ca="1" si="29"/>
        <v/>
      </c>
      <c r="U21" s="14" t="str">
        <f t="shared" ca="1" si="29"/>
        <v/>
      </c>
      <c r="V21" s="14" t="str">
        <f t="shared" ca="1" si="29"/>
        <v/>
      </c>
      <c r="W21" s="14" t="str">
        <f t="shared" ca="1" si="29"/>
        <v/>
      </c>
      <c r="X21" s="14" t="str">
        <f t="shared" ca="1" si="29"/>
        <v/>
      </c>
      <c r="Y21" s="15" t="str">
        <f t="shared" ca="1" si="29"/>
        <v/>
      </c>
      <c r="Z21" s="16" t="str">
        <f t="shared" ca="1" si="29"/>
        <v/>
      </c>
      <c r="AA21" s="13" t="str">
        <f t="shared" ca="1" si="29"/>
        <v/>
      </c>
      <c r="AB21" s="14" t="str">
        <f t="shared" ca="1" si="29"/>
        <v/>
      </c>
      <c r="AC21" s="14" t="str">
        <f t="shared" ca="1" si="29"/>
        <v/>
      </c>
      <c r="AD21" s="14" t="str">
        <f t="shared" ca="1" si="29"/>
        <v/>
      </c>
      <c r="AE21" s="14" t="str">
        <f t="shared" ca="1" si="29"/>
        <v/>
      </c>
      <c r="AF21" s="15" t="str">
        <f t="shared" ca="1" si="29"/>
        <v/>
      </c>
      <c r="AG21" s="16" t="str">
        <f t="shared" ca="1" si="29"/>
        <v/>
      </c>
      <c r="AH21" s="13" t="str">
        <f t="shared" ca="1" si="29"/>
        <v/>
      </c>
      <c r="AI21" s="14" t="str">
        <f t="shared" ca="1" si="29"/>
        <v/>
      </c>
      <c r="AJ21" s="14" t="str">
        <f t="shared" ca="1" si="29"/>
        <v/>
      </c>
      <c r="AK21" s="14" t="str">
        <f t="shared" ca="1" si="29"/>
        <v/>
      </c>
      <c r="AL21" s="14" t="str">
        <f t="shared" ca="1" si="29"/>
        <v/>
      </c>
      <c r="AM21" s="15" t="str">
        <f t="shared" ca="1" si="29"/>
        <v/>
      </c>
      <c r="AN21" s="16" t="str">
        <f t="shared" ca="1" si="29"/>
        <v/>
      </c>
      <c r="AO21" s="13" t="str">
        <f t="shared" ca="1" si="29"/>
        <v/>
      </c>
      <c r="AP21" s="14" t="str">
        <f t="shared" ca="1" si="29"/>
        <v/>
      </c>
      <c r="AQ21" s="14" t="str">
        <f t="shared" ca="1" si="29"/>
        <v/>
      </c>
      <c r="AR21" s="14" t="str">
        <f t="shared" ca="1" si="29"/>
        <v/>
      </c>
      <c r="AS21" s="14" t="str">
        <f t="shared" ca="1" si="29"/>
        <v/>
      </c>
      <c r="AT21" s="15" t="str">
        <f t="shared" ca="1" si="29"/>
        <v/>
      </c>
      <c r="AU21" s="16" t="str">
        <f t="shared" ca="1" si="29"/>
        <v/>
      </c>
      <c r="AV21" s="13" t="str">
        <f t="shared" ca="1" si="29"/>
        <v/>
      </c>
      <c r="AW21" s="14" t="str">
        <f t="shared" ca="1" si="29"/>
        <v/>
      </c>
      <c r="AX21" s="14" t="str">
        <f t="shared" ca="1" si="29"/>
        <v/>
      </c>
      <c r="AY21" s="14" t="str">
        <f t="shared" ca="1" si="29"/>
        <v/>
      </c>
      <c r="AZ21" s="14" t="str">
        <f t="shared" ca="1" si="29"/>
        <v/>
      </c>
      <c r="BA21" s="15" t="str">
        <f t="shared" ca="1" si="29"/>
        <v/>
      </c>
      <c r="BB21" s="16" t="str">
        <f t="shared" ca="1" si="29"/>
        <v/>
      </c>
      <c r="BC21" s="13" t="str">
        <f t="shared" ca="1" si="29"/>
        <v/>
      </c>
      <c r="BD21" s="14" t="str">
        <f t="shared" ca="1" si="29"/>
        <v/>
      </c>
      <c r="BE21" s="14" t="str">
        <f t="shared" ca="1" si="29"/>
        <v/>
      </c>
      <c r="BF21" s="14" t="str">
        <f t="shared" ca="1" si="29"/>
        <v/>
      </c>
      <c r="BG21" s="14" t="str">
        <f t="shared" ca="1" si="29"/>
        <v/>
      </c>
      <c r="BH21" s="15" t="str">
        <f t="shared" ca="1" si="29"/>
        <v/>
      </c>
      <c r="BI21" s="16" t="str">
        <f t="shared" ca="1" si="29"/>
        <v/>
      </c>
      <c r="BJ21" s="13" t="str">
        <f t="shared" ca="1" si="29"/>
        <v/>
      </c>
      <c r="BK21" s="14" t="str">
        <f t="shared" ca="1" si="29"/>
        <v/>
      </c>
      <c r="BL21" s="14" t="str">
        <f t="shared" ca="1" si="29"/>
        <v/>
      </c>
      <c r="BM21" s="14" t="str">
        <f t="shared" ca="1" si="29"/>
        <v/>
      </c>
      <c r="BN21" s="14" t="str">
        <f t="shared" ca="1" si="29"/>
        <v/>
      </c>
      <c r="BO21" s="15" t="str">
        <f t="shared" ca="1" si="29"/>
        <v/>
      </c>
      <c r="BP21" s="16" t="str">
        <f t="shared" ca="1" si="29"/>
        <v/>
      </c>
      <c r="BQ21" s="13" t="str">
        <f t="shared" ca="1" si="29"/>
        <v/>
      </c>
      <c r="BR21" s="14" t="str">
        <f t="shared" ca="1" si="21"/>
        <v/>
      </c>
      <c r="BS21" s="14" t="str">
        <f t="shared" ca="1" si="21"/>
        <v/>
      </c>
      <c r="BT21" s="14" t="str">
        <f t="shared" ca="1" si="21"/>
        <v/>
      </c>
      <c r="BU21" s="14" t="str">
        <f t="shared" ca="1" si="21"/>
        <v/>
      </c>
      <c r="BV21" s="15" t="str">
        <f t="shared" ca="1" si="21"/>
        <v/>
      </c>
      <c r="BW21" s="16" t="str">
        <f t="shared" ca="1" si="22"/>
        <v/>
      </c>
      <c r="BX21" s="13" t="str">
        <f t="shared" ca="1" si="22"/>
        <v/>
      </c>
      <c r="BY21" s="14" t="str">
        <f t="shared" ca="1" si="22"/>
        <v/>
      </c>
      <c r="BZ21" s="14" t="str">
        <f t="shared" ca="1" si="22"/>
        <v/>
      </c>
      <c r="CA21" s="14" t="str">
        <f t="shared" ca="1" si="22"/>
        <v/>
      </c>
      <c r="CB21" s="14" t="str">
        <f t="shared" ca="1" si="22"/>
        <v/>
      </c>
      <c r="CC21" s="15" t="str">
        <f t="shared" ca="1" si="22"/>
        <v/>
      </c>
      <c r="CD21" s="16" t="str">
        <f t="shared" ca="1" si="22"/>
        <v/>
      </c>
      <c r="CE21" s="13" t="str">
        <f t="shared" ca="1" si="22"/>
        <v/>
      </c>
      <c r="CF21" s="14" t="str">
        <f t="shared" ca="1" si="22"/>
        <v/>
      </c>
      <c r="CG21" s="14" t="str">
        <f t="shared" ca="1" si="22"/>
        <v/>
      </c>
      <c r="CH21" s="14" t="str">
        <f t="shared" ca="1" si="22"/>
        <v/>
      </c>
      <c r="CI21" s="14" t="str">
        <f t="shared" ca="1" si="22"/>
        <v/>
      </c>
      <c r="CJ21" s="15" t="str">
        <f t="shared" ca="1" si="22"/>
        <v/>
      </c>
      <c r="CK21" s="16" t="str">
        <f t="shared" ca="1" si="22"/>
        <v/>
      </c>
      <c r="CL21" s="13" t="str">
        <f t="shared" ca="1" si="22"/>
        <v/>
      </c>
      <c r="CM21" s="14" t="str">
        <f t="shared" ca="1" si="23"/>
        <v/>
      </c>
      <c r="CN21" s="14" t="str">
        <f t="shared" ca="1" si="23"/>
        <v/>
      </c>
      <c r="CO21" s="14" t="str">
        <f t="shared" ca="1" si="23"/>
        <v/>
      </c>
      <c r="CP21" s="14" t="str">
        <f t="shared" ca="1" si="23"/>
        <v/>
      </c>
      <c r="CQ21" s="15" t="str">
        <f t="shared" ca="1" si="23"/>
        <v/>
      </c>
      <c r="CR21" s="16" t="str">
        <f t="shared" ca="1" si="23"/>
        <v/>
      </c>
      <c r="CS21" s="13" t="str">
        <f t="shared" ca="1" si="23"/>
        <v/>
      </c>
      <c r="CT21" s="14" t="str">
        <f t="shared" ca="1" si="23"/>
        <v/>
      </c>
      <c r="CU21" s="14" t="str">
        <f t="shared" ca="1" si="23"/>
        <v/>
      </c>
      <c r="CV21" s="14" t="str">
        <f t="shared" ca="1" si="23"/>
        <v/>
      </c>
      <c r="CW21" s="14" t="str">
        <f t="shared" ca="1" si="23"/>
        <v/>
      </c>
      <c r="CX21" s="15" t="str">
        <f t="shared" ca="1" si="23"/>
        <v/>
      </c>
      <c r="CY21" s="16" t="str">
        <f t="shared" ca="1" si="23"/>
        <v/>
      </c>
      <c r="CZ21" s="13" t="str">
        <f t="shared" ca="1" si="23"/>
        <v/>
      </c>
      <c r="DA21" s="14" t="str">
        <f t="shared" ca="1" si="23"/>
        <v/>
      </c>
      <c r="DB21" s="14" t="str">
        <f t="shared" ca="1" si="23"/>
        <v/>
      </c>
      <c r="DC21" s="14" t="str">
        <f t="shared" ca="1" si="24"/>
        <v/>
      </c>
      <c r="DD21" s="14" t="str">
        <f t="shared" ca="1" si="24"/>
        <v/>
      </c>
      <c r="DE21" s="15" t="str">
        <f t="shared" ca="1" si="24"/>
        <v/>
      </c>
      <c r="DF21" s="16" t="str">
        <f t="shared" ca="1" si="24"/>
        <v/>
      </c>
      <c r="DG21" s="13" t="str">
        <f t="shared" ca="1" si="24"/>
        <v/>
      </c>
      <c r="DH21" s="14" t="str">
        <f t="shared" ca="1" si="24"/>
        <v/>
      </c>
      <c r="DI21" s="14" t="str">
        <f t="shared" ca="1" si="24"/>
        <v/>
      </c>
      <c r="DJ21" s="14" t="str">
        <f t="shared" ca="1" si="24"/>
        <v/>
      </c>
      <c r="DK21" s="14" t="str">
        <f t="shared" ca="1" si="24"/>
        <v/>
      </c>
      <c r="DL21" s="15" t="str">
        <f t="shared" ca="1" si="24"/>
        <v/>
      </c>
      <c r="DM21" s="16" t="str">
        <f t="shared" ca="1" si="24"/>
        <v/>
      </c>
      <c r="DN21" s="13" t="str">
        <f t="shared" ca="1" si="24"/>
        <v/>
      </c>
      <c r="DO21" s="14" t="str">
        <f t="shared" ca="1" si="24"/>
        <v/>
      </c>
      <c r="DP21" s="14" t="str">
        <f t="shared" ca="1" si="24"/>
        <v/>
      </c>
      <c r="DQ21" s="14" t="str">
        <f t="shared" ca="1" si="24"/>
        <v/>
      </c>
      <c r="DR21" s="14" t="str">
        <f t="shared" ca="1" si="24"/>
        <v/>
      </c>
      <c r="DS21" s="15" t="str">
        <f t="shared" ca="1" si="24"/>
        <v/>
      </c>
      <c r="DT21" s="16" t="str">
        <f t="shared" ca="1" si="24"/>
        <v/>
      </c>
      <c r="DU21" s="13" t="str">
        <f t="shared" ca="1" si="25"/>
        <v/>
      </c>
      <c r="DV21" s="14" t="str">
        <f t="shared" ca="1" si="25"/>
        <v/>
      </c>
      <c r="DW21" s="14" t="str">
        <f t="shared" ca="1" si="25"/>
        <v/>
      </c>
      <c r="DX21" s="14" t="str">
        <f t="shared" ca="1" si="25"/>
        <v/>
      </c>
      <c r="DY21" s="14" t="str">
        <f t="shared" ca="1" si="25"/>
        <v/>
      </c>
      <c r="DZ21" s="15" t="str">
        <f t="shared" ca="1" si="25"/>
        <v/>
      </c>
      <c r="EA21" s="16" t="str">
        <f t="shared" ca="1" si="25"/>
        <v/>
      </c>
      <c r="EB21" s="13" t="str">
        <f t="shared" ca="1" si="25"/>
        <v/>
      </c>
      <c r="EC21" s="14" t="str">
        <f t="shared" ca="1" si="25"/>
        <v/>
      </c>
      <c r="ED21" s="14" t="str">
        <f t="shared" ca="1" si="25"/>
        <v/>
      </c>
      <c r="EE21" s="14" t="str">
        <f t="shared" ca="1" si="25"/>
        <v/>
      </c>
      <c r="EF21" s="14" t="str">
        <f t="shared" ca="1" si="25"/>
        <v/>
      </c>
      <c r="EG21" s="15" t="str">
        <f t="shared" ca="1" si="25"/>
        <v/>
      </c>
      <c r="EH21" s="16" t="str">
        <f t="shared" ca="1" si="25"/>
        <v/>
      </c>
    </row>
    <row r="22" spans="1:138" s="17" customFormat="1" ht="9.75" customHeight="1">
      <c r="A22" s="25" t="s">
        <v>50</v>
      </c>
      <c r="B22" s="24" t="s">
        <v>51</v>
      </c>
      <c r="C22" s="19">
        <f t="shared" ca="1" si="27"/>
        <v>99</v>
      </c>
      <c r="D22" s="19">
        <f ca="1">_xlfn.XLOOKUP(A25,'VTT actif'!F:F,'VTT actif'!AQ:AQ,"-",0)</f>
        <v>3</v>
      </c>
      <c r="E22" s="19">
        <f ca="1">C22-1+D22</f>
        <v>101</v>
      </c>
      <c r="F22" s="13" t="str">
        <f t="shared" ca="1" si="29"/>
        <v/>
      </c>
      <c r="G22" s="14" t="str">
        <f t="shared" ca="1" si="29"/>
        <v/>
      </c>
      <c r="H22" s="14" t="str">
        <f t="shared" ca="1" si="29"/>
        <v/>
      </c>
      <c r="I22" s="14" t="str">
        <f t="shared" ca="1" si="29"/>
        <v/>
      </c>
      <c r="J22" s="14" t="str">
        <f t="shared" ca="1" si="29"/>
        <v/>
      </c>
      <c r="K22" s="15" t="str">
        <f t="shared" ca="1" si="29"/>
        <v/>
      </c>
      <c r="L22" s="16" t="str">
        <f t="shared" ca="1" si="29"/>
        <v/>
      </c>
      <c r="M22" s="13" t="str">
        <f t="shared" ca="1" si="29"/>
        <v/>
      </c>
      <c r="N22" s="14" t="str">
        <f t="shared" ca="1" si="29"/>
        <v/>
      </c>
      <c r="O22" s="14" t="str">
        <f t="shared" ca="1" si="29"/>
        <v/>
      </c>
      <c r="P22" s="14" t="str">
        <f t="shared" ca="1" si="29"/>
        <v/>
      </c>
      <c r="Q22" s="14" t="str">
        <f t="shared" ca="1" si="29"/>
        <v/>
      </c>
      <c r="R22" s="15" t="str">
        <f t="shared" ca="1" si="29"/>
        <v/>
      </c>
      <c r="S22" s="16" t="str">
        <f t="shared" ca="1" si="29"/>
        <v/>
      </c>
      <c r="T22" s="13" t="str">
        <f t="shared" ca="1" si="29"/>
        <v/>
      </c>
      <c r="U22" s="14" t="str">
        <f t="shared" ca="1" si="29"/>
        <v/>
      </c>
      <c r="V22" s="14" t="str">
        <f t="shared" ca="1" si="29"/>
        <v/>
      </c>
      <c r="W22" s="14" t="str">
        <f t="shared" ca="1" si="29"/>
        <v/>
      </c>
      <c r="X22" s="14" t="str">
        <f t="shared" ca="1" si="29"/>
        <v/>
      </c>
      <c r="Y22" s="15" t="str">
        <f t="shared" ca="1" si="29"/>
        <v/>
      </c>
      <c r="Z22" s="16" t="str">
        <f t="shared" ca="1" si="29"/>
        <v/>
      </c>
      <c r="AA22" s="13" t="str">
        <f t="shared" ca="1" si="19"/>
        <v/>
      </c>
      <c r="AB22" s="14" t="str">
        <f t="shared" ca="1" si="19"/>
        <v/>
      </c>
      <c r="AC22" s="14" t="str">
        <f t="shared" ca="1" si="19"/>
        <v/>
      </c>
      <c r="AD22" s="14" t="str">
        <f t="shared" ca="1" si="19"/>
        <v/>
      </c>
      <c r="AE22" s="14" t="str">
        <f t="shared" ca="1" si="19"/>
        <v/>
      </c>
      <c r="AF22" s="15" t="str">
        <f t="shared" ca="1" si="19"/>
        <v/>
      </c>
      <c r="AG22" s="16" t="str">
        <f t="shared" ca="1" si="19"/>
        <v/>
      </c>
      <c r="AH22" s="13" t="str">
        <f t="shared" ca="1" si="19"/>
        <v/>
      </c>
      <c r="AI22" s="14" t="str">
        <f t="shared" ca="1" si="19"/>
        <v/>
      </c>
      <c r="AJ22" s="14" t="str">
        <f t="shared" ca="1" si="19"/>
        <v/>
      </c>
      <c r="AK22" s="14" t="str">
        <f t="shared" ca="1" si="19"/>
        <v/>
      </c>
      <c r="AL22" s="14" t="str">
        <f t="shared" ca="1" si="19"/>
        <v/>
      </c>
      <c r="AM22" s="15" t="str">
        <f t="shared" ca="1" si="19"/>
        <v/>
      </c>
      <c r="AN22" s="16" t="str">
        <f t="shared" ca="1" si="19"/>
        <v/>
      </c>
      <c r="AO22" s="13" t="str">
        <f t="shared" ca="1" si="19"/>
        <v/>
      </c>
      <c r="AP22" s="14" t="str">
        <f t="shared" ca="1" si="19"/>
        <v/>
      </c>
      <c r="AQ22" s="14" t="str">
        <f t="shared" ca="1" si="20"/>
        <v/>
      </c>
      <c r="AR22" s="14" t="str">
        <f t="shared" ca="1" si="20"/>
        <v/>
      </c>
      <c r="AS22" s="14" t="str">
        <f t="shared" ca="1" si="20"/>
        <v/>
      </c>
      <c r="AT22" s="15" t="str">
        <f t="shared" ca="1" si="20"/>
        <v/>
      </c>
      <c r="AU22" s="16" t="str">
        <f t="shared" ca="1" si="20"/>
        <v/>
      </c>
      <c r="AV22" s="13" t="str">
        <f t="shared" ca="1" si="20"/>
        <v/>
      </c>
      <c r="AW22" s="14" t="str">
        <f t="shared" ca="1" si="20"/>
        <v/>
      </c>
      <c r="AX22" s="14" t="str">
        <f t="shared" ca="1" si="20"/>
        <v/>
      </c>
      <c r="AY22" s="14" t="str">
        <f t="shared" ca="1" si="20"/>
        <v/>
      </c>
      <c r="AZ22" s="14" t="str">
        <f t="shared" ca="1" si="20"/>
        <v/>
      </c>
      <c r="BA22" s="15" t="str">
        <f t="shared" ca="1" si="20"/>
        <v/>
      </c>
      <c r="BB22" s="16" t="str">
        <f t="shared" ca="1" si="20"/>
        <v/>
      </c>
      <c r="BC22" s="13" t="str">
        <f t="shared" ca="1" si="20"/>
        <v/>
      </c>
      <c r="BD22" s="14" t="str">
        <f t="shared" ca="1" si="20"/>
        <v/>
      </c>
      <c r="BE22" s="14" t="str">
        <f t="shared" ca="1" si="20"/>
        <v/>
      </c>
      <c r="BF22" s="14" t="str">
        <f t="shared" ca="1" si="20"/>
        <v/>
      </c>
      <c r="BG22" s="14" t="str">
        <f t="shared" ca="1" si="21"/>
        <v/>
      </c>
      <c r="BH22" s="15" t="str">
        <f t="shared" ca="1" si="21"/>
        <v/>
      </c>
      <c r="BI22" s="16" t="str">
        <f t="shared" ca="1" si="21"/>
        <v/>
      </c>
      <c r="BJ22" s="13" t="str">
        <f t="shared" ca="1" si="21"/>
        <v/>
      </c>
      <c r="BK22" s="14" t="str">
        <f t="shared" ca="1" si="21"/>
        <v/>
      </c>
      <c r="BL22" s="14" t="str">
        <f t="shared" ca="1" si="21"/>
        <v/>
      </c>
      <c r="BM22" s="14" t="str">
        <f t="shared" ca="1" si="21"/>
        <v/>
      </c>
      <c r="BN22" s="14" t="str">
        <f t="shared" ca="1" si="21"/>
        <v/>
      </c>
      <c r="BO22" s="15" t="str">
        <f t="shared" ca="1" si="21"/>
        <v/>
      </c>
      <c r="BP22" s="16" t="str">
        <f t="shared" ca="1" si="21"/>
        <v/>
      </c>
      <c r="BQ22" s="13" t="str">
        <f t="shared" ca="1" si="21"/>
        <v/>
      </c>
      <c r="BR22" s="14" t="str">
        <f t="shared" ca="1" si="21"/>
        <v/>
      </c>
      <c r="BS22" s="14" t="str">
        <f t="shared" ca="1" si="21"/>
        <v/>
      </c>
      <c r="BT22" s="14" t="str">
        <f t="shared" ca="1" si="21"/>
        <v/>
      </c>
      <c r="BU22" s="14" t="str">
        <f t="shared" ca="1" si="21"/>
        <v/>
      </c>
      <c r="BV22" s="15" t="str">
        <f t="shared" ca="1" si="21"/>
        <v/>
      </c>
      <c r="BW22" s="16" t="str">
        <f t="shared" ca="1" si="22"/>
        <v/>
      </c>
      <c r="BX22" s="13" t="str">
        <f t="shared" ca="1" si="22"/>
        <v/>
      </c>
      <c r="BY22" s="14" t="str">
        <f t="shared" ca="1" si="22"/>
        <v/>
      </c>
      <c r="BZ22" s="14" t="str">
        <f t="shared" ca="1" si="22"/>
        <v/>
      </c>
      <c r="CA22" s="14" t="str">
        <f t="shared" ca="1" si="22"/>
        <v/>
      </c>
      <c r="CB22" s="14" t="str">
        <f t="shared" ca="1" si="22"/>
        <v/>
      </c>
      <c r="CC22" s="15" t="str">
        <f t="shared" ca="1" si="22"/>
        <v/>
      </c>
      <c r="CD22" s="16" t="str">
        <f t="shared" ca="1" si="22"/>
        <v/>
      </c>
      <c r="CE22" s="13" t="str">
        <f t="shared" ca="1" si="22"/>
        <v/>
      </c>
      <c r="CF22" s="14" t="str">
        <f t="shared" ca="1" si="22"/>
        <v/>
      </c>
      <c r="CG22" s="14" t="str">
        <f t="shared" ca="1" si="22"/>
        <v/>
      </c>
      <c r="CH22" s="14" t="str">
        <f t="shared" ca="1" si="22"/>
        <v/>
      </c>
      <c r="CI22" s="14" t="str">
        <f t="shared" ca="1" si="22"/>
        <v/>
      </c>
      <c r="CJ22" s="15" t="str">
        <f t="shared" ca="1" si="22"/>
        <v/>
      </c>
      <c r="CK22" s="16" t="str">
        <f t="shared" ca="1" si="22"/>
        <v/>
      </c>
      <c r="CL22" s="13" t="str">
        <f t="shared" ca="1" si="22"/>
        <v/>
      </c>
      <c r="CM22" s="14" t="str">
        <f t="shared" ca="1" si="23"/>
        <v/>
      </c>
      <c r="CN22" s="14" t="str">
        <f t="shared" ca="1" si="23"/>
        <v/>
      </c>
      <c r="CO22" s="14" t="str">
        <f t="shared" ca="1" si="23"/>
        <v/>
      </c>
      <c r="CP22" s="14" t="str">
        <f t="shared" ca="1" si="23"/>
        <v/>
      </c>
      <c r="CQ22" s="15" t="str">
        <f t="shared" ca="1" si="23"/>
        <v/>
      </c>
      <c r="CR22" s="16" t="str">
        <f t="shared" ca="1" si="23"/>
        <v/>
      </c>
      <c r="CS22" s="13" t="str">
        <f t="shared" ca="1" si="23"/>
        <v/>
      </c>
      <c r="CT22" s="14" t="str">
        <f t="shared" ca="1" si="23"/>
        <v/>
      </c>
      <c r="CU22" s="14" t="str">
        <f t="shared" ca="1" si="23"/>
        <v/>
      </c>
      <c r="CV22" s="14" t="str">
        <f t="shared" ca="1" si="23"/>
        <v/>
      </c>
      <c r="CW22" s="14" t="str">
        <f t="shared" ca="1" si="23"/>
        <v/>
      </c>
      <c r="CX22" s="15" t="str">
        <f t="shared" ca="1" si="23"/>
        <v/>
      </c>
      <c r="CY22" s="16" t="str">
        <f t="shared" ca="1" si="23"/>
        <v/>
      </c>
      <c r="CZ22" s="13">
        <f t="shared" ca="1" si="23"/>
        <v>1</v>
      </c>
      <c r="DA22" s="14">
        <f t="shared" ca="1" si="23"/>
        <v>1</v>
      </c>
      <c r="DB22" s="14">
        <f t="shared" ca="1" si="23"/>
        <v>1</v>
      </c>
      <c r="DC22" s="14" t="str">
        <f t="shared" ca="1" si="24"/>
        <v/>
      </c>
      <c r="DD22" s="14" t="str">
        <f t="shared" ca="1" si="24"/>
        <v/>
      </c>
      <c r="DE22" s="15" t="str">
        <f t="shared" ca="1" si="24"/>
        <v/>
      </c>
      <c r="DF22" s="16" t="str">
        <f t="shared" ca="1" si="24"/>
        <v/>
      </c>
      <c r="DG22" s="13" t="str">
        <f t="shared" ca="1" si="24"/>
        <v/>
      </c>
      <c r="DH22" s="14" t="str">
        <f t="shared" ref="DH22:DY24" ca="1" si="30">IF(AND(DH$5&gt;=$C22,DH$5&lt;=$E22),1,"")</f>
        <v/>
      </c>
      <c r="DI22" s="14" t="str">
        <f t="shared" ca="1" si="30"/>
        <v/>
      </c>
      <c r="DJ22" s="14" t="str">
        <f t="shared" ca="1" si="30"/>
        <v/>
      </c>
      <c r="DK22" s="14" t="str">
        <f t="shared" ca="1" si="30"/>
        <v/>
      </c>
      <c r="DL22" s="15" t="str">
        <f t="shared" ca="1" si="30"/>
        <v/>
      </c>
      <c r="DM22" s="16" t="str">
        <f t="shared" ca="1" si="30"/>
        <v/>
      </c>
      <c r="DN22" s="13" t="str">
        <f t="shared" ca="1" si="30"/>
        <v/>
      </c>
      <c r="DO22" s="14" t="str">
        <f t="shared" ca="1" si="30"/>
        <v/>
      </c>
      <c r="DP22" s="14" t="str">
        <f t="shared" ca="1" si="30"/>
        <v/>
      </c>
      <c r="DQ22" s="14" t="str">
        <f t="shared" ca="1" si="30"/>
        <v/>
      </c>
      <c r="DR22" s="14" t="str">
        <f t="shared" ca="1" si="30"/>
        <v/>
      </c>
      <c r="DS22" s="15" t="str">
        <f t="shared" ca="1" si="30"/>
        <v/>
      </c>
      <c r="DT22" s="16" t="str">
        <f t="shared" ca="1" si="30"/>
        <v/>
      </c>
      <c r="DU22" s="13" t="str">
        <f t="shared" ca="1" si="25"/>
        <v/>
      </c>
      <c r="DV22" s="14" t="str">
        <f t="shared" ca="1" si="25"/>
        <v/>
      </c>
      <c r="DW22" s="14" t="str">
        <f t="shared" ca="1" si="25"/>
        <v/>
      </c>
      <c r="DX22" s="14" t="str">
        <f t="shared" ca="1" si="25"/>
        <v/>
      </c>
      <c r="DY22" s="14" t="str">
        <f t="shared" ca="1" si="25"/>
        <v/>
      </c>
      <c r="DZ22" s="15" t="str">
        <f t="shared" ca="1" si="25"/>
        <v/>
      </c>
      <c r="EA22" s="16" t="str">
        <f t="shared" ca="1" si="25"/>
        <v/>
      </c>
      <c r="EB22" s="13" t="str">
        <f t="shared" ca="1" si="25"/>
        <v/>
      </c>
      <c r="EC22" s="14" t="str">
        <f t="shared" ca="1" si="25"/>
        <v/>
      </c>
      <c r="ED22" s="14" t="str">
        <f t="shared" ca="1" si="25"/>
        <v/>
      </c>
      <c r="EE22" s="14" t="str">
        <f t="shared" ca="1" si="25"/>
        <v/>
      </c>
      <c r="EF22" s="14" t="str">
        <f t="shared" ca="1" si="25"/>
        <v/>
      </c>
      <c r="EG22" s="15" t="str">
        <f t="shared" ca="1" si="25"/>
        <v/>
      </c>
      <c r="EH22" s="16" t="str">
        <f t="shared" ca="1" si="25"/>
        <v/>
      </c>
    </row>
    <row r="23" spans="1:138" s="17" customFormat="1" ht="9.75" customHeight="1">
      <c r="A23" s="27">
        <f ca="1">IFERROR(VLOOKUP(_xlfn.CONCAT(B7,"-","Actif"),'DATA BTO'!A:D,3,FALSE),VLOOKUP(_xlfn.CONCAT(B7,"-","Inactif"),'DATA BTO'!A:D,3,FALSE))</f>
        <v>46143</v>
      </c>
      <c r="B23" s="26" t="s">
        <v>52</v>
      </c>
      <c r="C23" s="19">
        <f ca="1">E22+1</f>
        <v>102</v>
      </c>
      <c r="D23" s="19">
        <f ca="1">_xlfn.XLOOKUP(A25,'VTT actif'!F:F,'VTT actif'!AR:AR,"-",0)</f>
        <v>4</v>
      </c>
      <c r="E23" s="19">
        <f ca="1">C23+D23-1</f>
        <v>105</v>
      </c>
      <c r="F23" s="13" t="str">
        <f t="shared" ca="1" si="29"/>
        <v/>
      </c>
      <c r="G23" s="14" t="str">
        <f t="shared" ca="1" si="29"/>
        <v/>
      </c>
      <c r="H23" s="14" t="str">
        <f t="shared" ca="1" si="29"/>
        <v/>
      </c>
      <c r="I23" s="14" t="str">
        <f t="shared" ca="1" si="29"/>
        <v/>
      </c>
      <c r="J23" s="14" t="str">
        <f t="shared" ca="1" si="29"/>
        <v/>
      </c>
      <c r="K23" s="15" t="str">
        <f t="shared" ca="1" si="29"/>
        <v/>
      </c>
      <c r="L23" s="16" t="str">
        <f t="shared" ca="1" si="29"/>
        <v/>
      </c>
      <c r="M23" s="13" t="str">
        <f t="shared" ca="1" si="29"/>
        <v/>
      </c>
      <c r="N23" s="14" t="str">
        <f t="shared" ca="1" si="29"/>
        <v/>
      </c>
      <c r="O23" s="14" t="str">
        <f t="shared" ca="1" si="29"/>
        <v/>
      </c>
      <c r="P23" s="14" t="str">
        <f t="shared" ca="1" si="29"/>
        <v/>
      </c>
      <c r="Q23" s="14" t="str">
        <f t="shared" ca="1" si="29"/>
        <v/>
      </c>
      <c r="R23" s="15" t="str">
        <f t="shared" ca="1" si="29"/>
        <v/>
      </c>
      <c r="S23" s="16" t="str">
        <f t="shared" ca="1" si="29"/>
        <v/>
      </c>
      <c r="T23" s="13" t="str">
        <f t="shared" ca="1" si="29"/>
        <v/>
      </c>
      <c r="U23" s="14" t="str">
        <f t="shared" ca="1" si="29"/>
        <v/>
      </c>
      <c r="V23" s="14" t="str">
        <f t="shared" ca="1" si="29"/>
        <v/>
      </c>
      <c r="W23" s="14" t="str">
        <f t="shared" ca="1" si="29"/>
        <v/>
      </c>
      <c r="X23" s="14" t="str">
        <f t="shared" ca="1" si="29"/>
        <v/>
      </c>
      <c r="Y23" s="15" t="str">
        <f t="shared" ca="1" si="29"/>
        <v/>
      </c>
      <c r="Z23" s="16" t="str">
        <f t="shared" ca="1" si="29"/>
        <v/>
      </c>
      <c r="AA23" s="13" t="str">
        <f t="shared" ca="1" si="19"/>
        <v/>
      </c>
      <c r="AB23" s="14" t="str">
        <f t="shared" ca="1" si="19"/>
        <v/>
      </c>
      <c r="AC23" s="14" t="str">
        <f t="shared" ca="1" si="19"/>
        <v/>
      </c>
      <c r="AD23" s="14" t="str">
        <f t="shared" ca="1" si="19"/>
        <v/>
      </c>
      <c r="AE23" s="14" t="str">
        <f t="shared" ca="1" si="19"/>
        <v/>
      </c>
      <c r="AF23" s="15" t="str">
        <f t="shared" ca="1" si="19"/>
        <v/>
      </c>
      <c r="AG23" s="16" t="str">
        <f t="shared" ca="1" si="19"/>
        <v/>
      </c>
      <c r="AH23" s="13" t="str">
        <f t="shared" ca="1" si="19"/>
        <v/>
      </c>
      <c r="AI23" s="14" t="str">
        <f t="shared" ca="1" si="19"/>
        <v/>
      </c>
      <c r="AJ23" s="14" t="str">
        <f t="shared" ca="1" si="19"/>
        <v/>
      </c>
      <c r="AK23" s="14" t="str">
        <f t="shared" ca="1" si="19"/>
        <v/>
      </c>
      <c r="AL23" s="14" t="str">
        <f t="shared" ca="1" si="19"/>
        <v/>
      </c>
      <c r="AM23" s="15" t="str">
        <f t="shared" ca="1" si="19"/>
        <v/>
      </c>
      <c r="AN23" s="16" t="str">
        <f t="shared" ca="1" si="19"/>
        <v/>
      </c>
      <c r="AO23" s="13" t="str">
        <f t="shared" ca="1" si="19"/>
        <v/>
      </c>
      <c r="AP23" s="14" t="str">
        <f t="shared" ca="1" si="19"/>
        <v/>
      </c>
      <c r="AQ23" s="14" t="str">
        <f t="shared" ca="1" si="20"/>
        <v/>
      </c>
      <c r="AR23" s="14" t="str">
        <f t="shared" ca="1" si="20"/>
        <v/>
      </c>
      <c r="AS23" s="14" t="str">
        <f t="shared" ca="1" si="20"/>
        <v/>
      </c>
      <c r="AT23" s="15" t="str">
        <f t="shared" ca="1" si="20"/>
        <v/>
      </c>
      <c r="AU23" s="16" t="str">
        <f t="shared" ca="1" si="20"/>
        <v/>
      </c>
      <c r="AV23" s="13" t="str">
        <f t="shared" ca="1" si="20"/>
        <v/>
      </c>
      <c r="AW23" s="14" t="str">
        <f t="shared" ca="1" si="20"/>
        <v/>
      </c>
      <c r="AX23" s="14" t="str">
        <f t="shared" ca="1" si="20"/>
        <v/>
      </c>
      <c r="AY23" s="14" t="str">
        <f t="shared" ca="1" si="20"/>
        <v/>
      </c>
      <c r="AZ23" s="14" t="str">
        <f t="shared" ca="1" si="20"/>
        <v/>
      </c>
      <c r="BA23" s="15" t="str">
        <f t="shared" ca="1" si="20"/>
        <v/>
      </c>
      <c r="BB23" s="16" t="str">
        <f t="shared" ca="1" si="20"/>
        <v/>
      </c>
      <c r="BC23" s="13" t="str">
        <f t="shared" ca="1" si="20"/>
        <v/>
      </c>
      <c r="BD23" s="14" t="str">
        <f t="shared" ca="1" si="20"/>
        <v/>
      </c>
      <c r="BE23" s="14" t="str">
        <f t="shared" ca="1" si="20"/>
        <v/>
      </c>
      <c r="BF23" s="14" t="str">
        <f t="shared" ca="1" si="20"/>
        <v/>
      </c>
      <c r="BG23" s="14" t="str">
        <f t="shared" ca="1" si="21"/>
        <v/>
      </c>
      <c r="BH23" s="15" t="str">
        <f t="shared" ca="1" si="21"/>
        <v/>
      </c>
      <c r="BI23" s="16" t="str">
        <f t="shared" ca="1" si="21"/>
        <v/>
      </c>
      <c r="BJ23" s="13" t="str">
        <f t="shared" ca="1" si="21"/>
        <v/>
      </c>
      <c r="BK23" s="14" t="str">
        <f t="shared" ca="1" si="21"/>
        <v/>
      </c>
      <c r="BL23" s="14" t="str">
        <f t="shared" ca="1" si="21"/>
        <v/>
      </c>
      <c r="BM23" s="14" t="str">
        <f t="shared" ca="1" si="21"/>
        <v/>
      </c>
      <c r="BN23" s="14" t="str">
        <f t="shared" ca="1" si="21"/>
        <v/>
      </c>
      <c r="BO23" s="15" t="str">
        <f t="shared" ca="1" si="21"/>
        <v/>
      </c>
      <c r="BP23" s="16" t="str">
        <f t="shared" ca="1" si="21"/>
        <v/>
      </c>
      <c r="BQ23" s="13" t="str">
        <f t="shared" ca="1" si="21"/>
        <v/>
      </c>
      <c r="BR23" s="14" t="str">
        <f t="shared" ca="1" si="21"/>
        <v/>
      </c>
      <c r="BS23" s="14" t="str">
        <f t="shared" ca="1" si="21"/>
        <v/>
      </c>
      <c r="BT23" s="14" t="str">
        <f t="shared" ca="1" si="21"/>
        <v/>
      </c>
      <c r="BU23" s="14" t="str">
        <f t="shared" ca="1" si="21"/>
        <v/>
      </c>
      <c r="BV23" s="15" t="str">
        <f t="shared" ca="1" si="21"/>
        <v/>
      </c>
      <c r="BW23" s="16" t="str">
        <f t="shared" ca="1" si="22"/>
        <v/>
      </c>
      <c r="BX23" s="13" t="str">
        <f t="shared" ca="1" si="22"/>
        <v/>
      </c>
      <c r="BY23" s="14" t="str">
        <f t="shared" ca="1" si="22"/>
        <v/>
      </c>
      <c r="BZ23" s="14" t="str">
        <f t="shared" ca="1" si="22"/>
        <v/>
      </c>
      <c r="CA23" s="14" t="str">
        <f t="shared" ca="1" si="22"/>
        <v/>
      </c>
      <c r="CB23" s="14" t="str">
        <f t="shared" ca="1" si="22"/>
        <v/>
      </c>
      <c r="CC23" s="15" t="str">
        <f t="shared" ca="1" si="22"/>
        <v/>
      </c>
      <c r="CD23" s="16" t="str">
        <f t="shared" ca="1" si="22"/>
        <v/>
      </c>
      <c r="CE23" s="13" t="str">
        <f t="shared" ca="1" si="22"/>
        <v/>
      </c>
      <c r="CF23" s="14" t="str">
        <f t="shared" ca="1" si="22"/>
        <v/>
      </c>
      <c r="CG23" s="14" t="str">
        <f t="shared" ca="1" si="22"/>
        <v/>
      </c>
      <c r="CH23" s="14" t="str">
        <f t="shared" ca="1" si="22"/>
        <v/>
      </c>
      <c r="CI23" s="14" t="str">
        <f t="shared" ca="1" si="22"/>
        <v/>
      </c>
      <c r="CJ23" s="15" t="str">
        <f t="shared" ca="1" si="22"/>
        <v/>
      </c>
      <c r="CK23" s="16" t="str">
        <f t="shared" ca="1" si="22"/>
        <v/>
      </c>
      <c r="CL23" s="13" t="str">
        <f t="shared" ref="CL23" ca="1" si="31">IF(AND(CL$5&gt;=$C23,CL$5&lt;=$E23),1,"")</f>
        <v/>
      </c>
      <c r="CM23" s="14" t="str">
        <f t="shared" ca="1" si="23"/>
        <v/>
      </c>
      <c r="CN23" s="14" t="str">
        <f t="shared" ca="1" si="23"/>
        <v/>
      </c>
      <c r="CO23" s="14" t="str">
        <f t="shared" ca="1" si="23"/>
        <v/>
      </c>
      <c r="CP23" s="14" t="str">
        <f t="shared" ca="1" si="23"/>
        <v/>
      </c>
      <c r="CQ23" s="15" t="str">
        <f t="shared" ca="1" si="23"/>
        <v/>
      </c>
      <c r="CR23" s="16" t="str">
        <f t="shared" ca="1" si="23"/>
        <v/>
      </c>
      <c r="CS23" s="13" t="str">
        <f t="shared" ca="1" si="23"/>
        <v/>
      </c>
      <c r="CT23" s="14" t="str">
        <f t="shared" ca="1" si="23"/>
        <v/>
      </c>
      <c r="CU23" s="14" t="str">
        <f t="shared" ca="1" si="23"/>
        <v/>
      </c>
      <c r="CV23" s="14" t="str">
        <f t="shared" ca="1" si="23"/>
        <v/>
      </c>
      <c r="CW23" s="14" t="str">
        <f t="shared" ca="1" si="23"/>
        <v/>
      </c>
      <c r="CX23" s="15" t="str">
        <f t="shared" ca="1" si="23"/>
        <v/>
      </c>
      <c r="CY23" s="16" t="str">
        <f t="shared" ca="1" si="23"/>
        <v/>
      </c>
      <c r="CZ23" s="13" t="str">
        <f t="shared" ca="1" si="23"/>
        <v/>
      </c>
      <c r="DA23" s="14" t="str">
        <f t="shared" ca="1" si="23"/>
        <v/>
      </c>
      <c r="DB23" s="14" t="str">
        <f t="shared" ref="DB23:DQ24" ca="1" si="32">IF(AND(DB$5&gt;=$C23,DB$5&lt;=$E23),1,"")</f>
        <v/>
      </c>
      <c r="DC23" s="14">
        <f t="shared" ca="1" si="32"/>
        <v>1</v>
      </c>
      <c r="DD23" s="14">
        <f t="shared" ca="1" si="32"/>
        <v>1</v>
      </c>
      <c r="DE23" s="15">
        <f t="shared" ca="1" si="32"/>
        <v>1</v>
      </c>
      <c r="DF23" s="16">
        <f t="shared" ca="1" si="32"/>
        <v>1</v>
      </c>
      <c r="DG23" s="13" t="str">
        <f t="shared" ca="1" si="32"/>
        <v/>
      </c>
      <c r="DH23" s="14" t="str">
        <f t="shared" ca="1" si="32"/>
        <v/>
      </c>
      <c r="DI23" s="14" t="str">
        <f t="shared" ca="1" si="32"/>
        <v/>
      </c>
      <c r="DJ23" s="14" t="str">
        <f t="shared" ca="1" si="32"/>
        <v/>
      </c>
      <c r="DK23" s="14" t="str">
        <f t="shared" ca="1" si="32"/>
        <v/>
      </c>
      <c r="DL23" s="15" t="str">
        <f t="shared" ca="1" si="32"/>
        <v/>
      </c>
      <c r="DM23" s="16" t="str">
        <f t="shared" ca="1" si="32"/>
        <v/>
      </c>
      <c r="DN23" s="13" t="str">
        <f t="shared" ca="1" si="32"/>
        <v/>
      </c>
      <c r="DO23" s="14" t="str">
        <f t="shared" ca="1" si="32"/>
        <v/>
      </c>
      <c r="DP23" s="14" t="str">
        <f t="shared" ca="1" si="32"/>
        <v/>
      </c>
      <c r="DQ23" s="14" t="str">
        <f t="shared" ca="1" si="32"/>
        <v/>
      </c>
      <c r="DR23" s="14" t="str">
        <f t="shared" ca="1" si="30"/>
        <v/>
      </c>
      <c r="DS23" s="15" t="str">
        <f t="shared" ca="1" si="30"/>
        <v/>
      </c>
      <c r="DT23" s="16" t="str">
        <f t="shared" ca="1" si="30"/>
        <v/>
      </c>
      <c r="DU23" s="13" t="str">
        <f t="shared" ca="1" si="25"/>
        <v/>
      </c>
      <c r="DV23" s="14" t="str">
        <f t="shared" ca="1" si="25"/>
        <v/>
      </c>
      <c r="DW23" s="14" t="str">
        <f t="shared" ca="1" si="25"/>
        <v/>
      </c>
      <c r="DX23" s="14" t="str">
        <f t="shared" ca="1" si="25"/>
        <v/>
      </c>
      <c r="DY23" s="14" t="str">
        <f t="shared" ca="1" si="25"/>
        <v/>
      </c>
      <c r="DZ23" s="15" t="str">
        <f t="shared" ca="1" si="25"/>
        <v/>
      </c>
      <c r="EA23" s="16" t="str">
        <f t="shared" ca="1" si="25"/>
        <v/>
      </c>
      <c r="EB23" s="13" t="str">
        <f t="shared" ca="1" si="25"/>
        <v/>
      </c>
      <c r="EC23" s="14" t="str">
        <f t="shared" ca="1" si="25"/>
        <v/>
      </c>
      <c r="ED23" s="14" t="str">
        <f t="shared" ca="1" si="25"/>
        <v/>
      </c>
      <c r="EE23" s="14" t="str">
        <f t="shared" ca="1" si="25"/>
        <v/>
      </c>
      <c r="EF23" s="14" t="str">
        <f t="shared" ca="1" si="25"/>
        <v/>
      </c>
      <c r="EG23" s="15" t="str">
        <f t="shared" ca="1" si="25"/>
        <v/>
      </c>
      <c r="EH23" s="16" t="str">
        <f t="shared" ca="1" si="25"/>
        <v/>
      </c>
    </row>
    <row r="24" spans="1:138" s="17" customFormat="1" ht="9.75" customHeight="1">
      <c r="A24" s="27">
        <f ca="1">IFERROR(VLOOKUP(_xlfn.CONCAT(B7,"-","Actif"),'DATA BTO'!A:D,4,FALSE),VLOOKUP(_xlfn.CONCAT(B7,"-","Inactif"),'DATA BTO'!A:D,4,FALSE))</f>
        <v>46507</v>
      </c>
      <c r="B24" s="28" t="s">
        <v>53</v>
      </c>
      <c r="C24" s="19">
        <f t="shared" ca="1" si="27"/>
        <v>106</v>
      </c>
      <c r="D24" s="20">
        <v>7</v>
      </c>
      <c r="E24" s="19">
        <f t="shared" ca="1" si="26"/>
        <v>112</v>
      </c>
      <c r="F24" s="13" t="str">
        <f t="shared" ca="1" si="29"/>
        <v/>
      </c>
      <c r="G24" s="14" t="str">
        <f t="shared" ca="1" si="29"/>
        <v/>
      </c>
      <c r="H24" s="14" t="str">
        <f t="shared" ca="1" si="29"/>
        <v/>
      </c>
      <c r="I24" s="14" t="str">
        <f t="shared" ca="1" si="29"/>
        <v/>
      </c>
      <c r="J24" s="14" t="str">
        <f t="shared" ca="1" si="29"/>
        <v/>
      </c>
      <c r="K24" s="15" t="str">
        <f t="shared" ca="1" si="29"/>
        <v/>
      </c>
      <c r="L24" s="16" t="str">
        <f t="shared" ca="1" si="29"/>
        <v/>
      </c>
      <c r="M24" s="13" t="str">
        <f t="shared" ca="1" si="29"/>
        <v/>
      </c>
      <c r="N24" s="14" t="str">
        <f t="shared" ca="1" si="29"/>
        <v/>
      </c>
      <c r="O24" s="14" t="str">
        <f t="shared" ca="1" si="29"/>
        <v/>
      </c>
      <c r="P24" s="14" t="str">
        <f t="shared" ca="1" si="29"/>
        <v/>
      </c>
      <c r="Q24" s="14" t="str">
        <f t="shared" ca="1" si="29"/>
        <v/>
      </c>
      <c r="R24" s="15" t="str">
        <f t="shared" ca="1" si="29"/>
        <v/>
      </c>
      <c r="S24" s="16" t="str">
        <f t="shared" ca="1" si="29"/>
        <v/>
      </c>
      <c r="T24" s="13" t="str">
        <f t="shared" ca="1" si="29"/>
        <v/>
      </c>
      <c r="U24" s="14" t="str">
        <f t="shared" ca="1" si="29"/>
        <v/>
      </c>
      <c r="V24" s="14" t="str">
        <f t="shared" ca="1" si="29"/>
        <v/>
      </c>
      <c r="W24" s="14" t="str">
        <f t="shared" ca="1" si="29"/>
        <v/>
      </c>
      <c r="X24" s="14" t="str">
        <f t="shared" ca="1" si="29"/>
        <v/>
      </c>
      <c r="Y24" s="15" t="str">
        <f t="shared" ca="1" si="29"/>
        <v/>
      </c>
      <c r="Z24" s="16" t="str">
        <f t="shared" ca="1" si="29"/>
        <v/>
      </c>
      <c r="AA24" s="13" t="str">
        <f t="shared" ca="1" si="19"/>
        <v/>
      </c>
      <c r="AB24" s="14" t="str">
        <f t="shared" ca="1" si="19"/>
        <v/>
      </c>
      <c r="AC24" s="14" t="str">
        <f t="shared" ca="1" si="19"/>
        <v/>
      </c>
      <c r="AD24" s="14" t="str">
        <f t="shared" ca="1" si="19"/>
        <v/>
      </c>
      <c r="AE24" s="14" t="str">
        <f t="shared" ca="1" si="19"/>
        <v/>
      </c>
      <c r="AF24" s="15" t="str">
        <f t="shared" ca="1" si="19"/>
        <v/>
      </c>
      <c r="AG24" s="16" t="str">
        <f t="shared" ca="1" si="19"/>
        <v/>
      </c>
      <c r="AH24" s="13" t="str">
        <f t="shared" ca="1" si="19"/>
        <v/>
      </c>
      <c r="AI24" s="14" t="str">
        <f t="shared" ca="1" si="19"/>
        <v/>
      </c>
      <c r="AJ24" s="14" t="str">
        <f t="shared" ca="1" si="19"/>
        <v/>
      </c>
      <c r="AK24" s="14" t="str">
        <f t="shared" ca="1" si="19"/>
        <v/>
      </c>
      <c r="AL24" s="14" t="str">
        <f t="shared" ca="1" si="19"/>
        <v/>
      </c>
      <c r="AM24" s="15" t="str">
        <f t="shared" ca="1" si="19"/>
        <v/>
      </c>
      <c r="AN24" s="16" t="str">
        <f t="shared" ca="1" si="19"/>
        <v/>
      </c>
      <c r="AO24" s="13" t="str">
        <f t="shared" ca="1" si="19"/>
        <v/>
      </c>
      <c r="AP24" s="14" t="str">
        <f t="shared" ref="AP24" ca="1" si="33">IF(AND(AP$5&gt;=$C24,AP$5&lt;=$E24),1,"")</f>
        <v/>
      </c>
      <c r="AQ24" s="14" t="str">
        <f t="shared" ca="1" si="20"/>
        <v/>
      </c>
      <c r="AR24" s="14" t="str">
        <f t="shared" ca="1" si="20"/>
        <v/>
      </c>
      <c r="AS24" s="14" t="str">
        <f t="shared" ca="1" si="20"/>
        <v/>
      </c>
      <c r="AT24" s="15" t="str">
        <f t="shared" ca="1" si="20"/>
        <v/>
      </c>
      <c r="AU24" s="16" t="str">
        <f t="shared" ca="1" si="20"/>
        <v/>
      </c>
      <c r="AV24" s="13" t="str">
        <f t="shared" ca="1" si="20"/>
        <v/>
      </c>
      <c r="AW24" s="14" t="str">
        <f t="shared" ca="1" si="20"/>
        <v/>
      </c>
      <c r="AX24" s="14" t="str">
        <f t="shared" ca="1" si="20"/>
        <v/>
      </c>
      <c r="AY24" s="14" t="str">
        <f t="shared" ca="1" si="20"/>
        <v/>
      </c>
      <c r="AZ24" s="14" t="str">
        <f t="shared" ca="1" si="20"/>
        <v/>
      </c>
      <c r="BA24" s="15" t="str">
        <f t="shared" ca="1" si="20"/>
        <v/>
      </c>
      <c r="BB24" s="16" t="str">
        <f t="shared" ca="1" si="20"/>
        <v/>
      </c>
      <c r="BC24" s="13" t="str">
        <f t="shared" ca="1" si="20"/>
        <v/>
      </c>
      <c r="BD24" s="14" t="str">
        <f t="shared" ca="1" si="20"/>
        <v/>
      </c>
      <c r="BE24" s="14" t="str">
        <f t="shared" ca="1" si="20"/>
        <v/>
      </c>
      <c r="BF24" s="14" t="str">
        <f t="shared" ref="BF24" ca="1" si="34">IF(AND(BF$5&gt;=$C24,BF$5&lt;=$E24),1,"")</f>
        <v/>
      </c>
      <c r="BG24" s="14" t="str">
        <f t="shared" ca="1" si="21"/>
        <v/>
      </c>
      <c r="BH24" s="15" t="str">
        <f t="shared" ca="1" si="21"/>
        <v/>
      </c>
      <c r="BI24" s="16" t="str">
        <f t="shared" ca="1" si="21"/>
        <v/>
      </c>
      <c r="BJ24" s="13" t="str">
        <f t="shared" ca="1" si="21"/>
        <v/>
      </c>
      <c r="BK24" s="14" t="str">
        <f t="shared" ca="1" si="21"/>
        <v/>
      </c>
      <c r="BL24" s="14" t="str">
        <f t="shared" ca="1" si="21"/>
        <v/>
      </c>
      <c r="BM24" s="14" t="str">
        <f t="shared" ca="1" si="21"/>
        <v/>
      </c>
      <c r="BN24" s="14" t="str">
        <f t="shared" ca="1" si="21"/>
        <v/>
      </c>
      <c r="BO24" s="15" t="str">
        <f t="shared" ca="1" si="21"/>
        <v/>
      </c>
      <c r="BP24" s="16" t="str">
        <f t="shared" ca="1" si="21"/>
        <v/>
      </c>
      <c r="BQ24" s="13" t="str">
        <f t="shared" ref="BQ24:CF24" ca="1" si="35">IF(AND(BQ$5&gt;=$C24,BQ$5&lt;=$E24),1,"")</f>
        <v/>
      </c>
      <c r="BR24" s="14" t="str">
        <f t="shared" ca="1" si="35"/>
        <v/>
      </c>
      <c r="BS24" s="14" t="str">
        <f t="shared" ca="1" si="35"/>
        <v/>
      </c>
      <c r="BT24" s="14" t="str">
        <f t="shared" ca="1" si="35"/>
        <v/>
      </c>
      <c r="BU24" s="14" t="str">
        <f t="shared" ca="1" si="35"/>
        <v/>
      </c>
      <c r="BV24" s="15" t="str">
        <f t="shared" ca="1" si="35"/>
        <v/>
      </c>
      <c r="BW24" s="16" t="str">
        <f t="shared" ca="1" si="35"/>
        <v/>
      </c>
      <c r="BX24" s="13" t="str">
        <f t="shared" ca="1" si="35"/>
        <v/>
      </c>
      <c r="BY24" s="14" t="str">
        <f t="shared" ca="1" si="35"/>
        <v/>
      </c>
      <c r="BZ24" s="14" t="str">
        <f t="shared" ca="1" si="35"/>
        <v/>
      </c>
      <c r="CA24" s="14" t="str">
        <f t="shared" ca="1" si="35"/>
        <v/>
      </c>
      <c r="CB24" s="14" t="str">
        <f t="shared" ca="1" si="35"/>
        <v/>
      </c>
      <c r="CC24" s="15" t="str">
        <f t="shared" ca="1" si="35"/>
        <v/>
      </c>
      <c r="CD24" s="16" t="str">
        <f t="shared" ca="1" si="35"/>
        <v/>
      </c>
      <c r="CE24" s="13" t="str">
        <f t="shared" ca="1" si="35"/>
        <v/>
      </c>
      <c r="CF24" s="14" t="str">
        <f t="shared" ca="1" si="35"/>
        <v/>
      </c>
      <c r="CG24" s="14" t="str">
        <f t="shared" ref="CG24:CV24" ca="1" si="36">IF(AND(CG$5&gt;=$C24,CG$5&lt;=$E24),1,"")</f>
        <v/>
      </c>
      <c r="CH24" s="14" t="str">
        <f t="shared" ca="1" si="36"/>
        <v/>
      </c>
      <c r="CI24" s="14" t="str">
        <f t="shared" ca="1" si="36"/>
        <v/>
      </c>
      <c r="CJ24" s="15" t="str">
        <f t="shared" ca="1" si="36"/>
        <v/>
      </c>
      <c r="CK24" s="16" t="str">
        <f t="shared" ca="1" si="36"/>
        <v/>
      </c>
      <c r="CL24" s="13" t="str">
        <f t="shared" ca="1" si="36"/>
        <v/>
      </c>
      <c r="CM24" s="14" t="str">
        <f t="shared" ca="1" si="36"/>
        <v/>
      </c>
      <c r="CN24" s="14" t="str">
        <f t="shared" ca="1" si="36"/>
        <v/>
      </c>
      <c r="CO24" s="14" t="str">
        <f t="shared" ca="1" si="36"/>
        <v/>
      </c>
      <c r="CP24" s="14" t="str">
        <f t="shared" ca="1" si="36"/>
        <v/>
      </c>
      <c r="CQ24" s="15" t="str">
        <f t="shared" ca="1" si="36"/>
        <v/>
      </c>
      <c r="CR24" s="16" t="str">
        <f t="shared" ca="1" si="36"/>
        <v/>
      </c>
      <c r="CS24" s="13" t="str">
        <f ca="1">IF(AND(CS$5&gt;=$C24,CS$5&lt;=$E24),1,"")</f>
        <v/>
      </c>
      <c r="CT24" s="14" t="str">
        <f t="shared" ca="1" si="36"/>
        <v/>
      </c>
      <c r="CU24" s="14" t="str">
        <f t="shared" ca="1" si="36"/>
        <v/>
      </c>
      <c r="CV24" s="14" t="str">
        <f t="shared" ca="1" si="36"/>
        <v/>
      </c>
      <c r="CW24" s="14" t="str">
        <f t="shared" ref="CW24:DB24" ca="1" si="37">IF(AND(CW$5&gt;=$C24,CW$5&lt;=$E24),1,"")</f>
        <v/>
      </c>
      <c r="CX24" s="15" t="str">
        <f t="shared" ca="1" si="37"/>
        <v/>
      </c>
      <c r="CY24" s="16" t="str">
        <f t="shared" ca="1" si="37"/>
        <v/>
      </c>
      <c r="CZ24" s="13" t="str">
        <f t="shared" ca="1" si="37"/>
        <v/>
      </c>
      <c r="DA24" s="14" t="str">
        <f t="shared" ca="1" si="37"/>
        <v/>
      </c>
      <c r="DB24" s="14" t="str">
        <f t="shared" ca="1" si="37"/>
        <v/>
      </c>
      <c r="DC24" s="14" t="str">
        <f t="shared" ca="1" si="32"/>
        <v/>
      </c>
      <c r="DD24" s="14" t="str">
        <f t="shared" ca="1" si="32"/>
        <v/>
      </c>
      <c r="DE24" s="15" t="str">
        <f t="shared" ca="1" si="32"/>
        <v/>
      </c>
      <c r="DF24" s="16" t="str">
        <f t="shared" ca="1" si="32"/>
        <v/>
      </c>
      <c r="DG24" s="13">
        <f t="shared" ca="1" si="32"/>
        <v>1</v>
      </c>
      <c r="DH24" s="14">
        <f t="shared" ca="1" si="32"/>
        <v>1</v>
      </c>
      <c r="DI24" s="14">
        <f t="shared" ca="1" si="32"/>
        <v>1</v>
      </c>
      <c r="DJ24" s="14">
        <f t="shared" ca="1" si="32"/>
        <v>1</v>
      </c>
      <c r="DK24" s="14">
        <f t="shared" ca="1" si="32"/>
        <v>1</v>
      </c>
      <c r="DL24" s="15">
        <f t="shared" ca="1" si="32"/>
        <v>1</v>
      </c>
      <c r="DM24" s="16">
        <f t="shared" ca="1" si="32"/>
        <v>1</v>
      </c>
      <c r="DN24" s="13" t="str">
        <f t="shared" ca="1" si="32"/>
        <v/>
      </c>
      <c r="DO24" s="14" t="str">
        <f t="shared" ca="1" si="32"/>
        <v/>
      </c>
      <c r="DP24" s="14" t="str">
        <f t="shared" ca="1" si="32"/>
        <v/>
      </c>
      <c r="DQ24" s="14" t="str">
        <f t="shared" ca="1" si="32"/>
        <v/>
      </c>
      <c r="DR24" s="14" t="str">
        <f t="shared" ca="1" si="30"/>
        <v/>
      </c>
      <c r="DS24" s="15" t="str">
        <f t="shared" ca="1" si="30"/>
        <v/>
      </c>
      <c r="DT24" s="16" t="str">
        <f t="shared" ca="1" si="30"/>
        <v/>
      </c>
      <c r="DU24" s="13" t="str">
        <f t="shared" ca="1" si="30"/>
        <v/>
      </c>
      <c r="DV24" s="14" t="str">
        <f t="shared" ca="1" si="30"/>
        <v/>
      </c>
      <c r="DW24" s="14" t="str">
        <f t="shared" ca="1" si="30"/>
        <v/>
      </c>
      <c r="DX24" s="14" t="str">
        <f t="shared" ca="1" si="30"/>
        <v/>
      </c>
      <c r="DY24" s="14" t="str">
        <f t="shared" ca="1" si="30"/>
        <v/>
      </c>
      <c r="DZ24" s="15" t="str">
        <f t="shared" ref="DZ24:EH24" ca="1" si="38">IF(AND(DZ$5&gt;=$C24,DZ$5&lt;=$E24),1,"")</f>
        <v/>
      </c>
      <c r="EA24" s="16" t="str">
        <f t="shared" ca="1" si="38"/>
        <v/>
      </c>
      <c r="EB24" s="13" t="str">
        <f t="shared" ca="1" si="38"/>
        <v/>
      </c>
      <c r="EC24" s="14" t="str">
        <f t="shared" ca="1" si="38"/>
        <v/>
      </c>
      <c r="ED24" s="14" t="str">
        <f t="shared" ca="1" si="38"/>
        <v/>
      </c>
      <c r="EE24" s="14" t="str">
        <f t="shared" ca="1" si="38"/>
        <v/>
      </c>
      <c r="EF24" s="14" t="str">
        <f t="shared" ca="1" si="38"/>
        <v/>
      </c>
      <c r="EG24" s="15" t="str">
        <f t="shared" ca="1" si="38"/>
        <v/>
      </c>
      <c r="EH24" s="16" t="str">
        <f t="shared" ca="1" si="38"/>
        <v/>
      </c>
    </row>
    <row r="25" spans="1:138" s="17" customFormat="1" ht="9.75" customHeight="1">
      <c r="A25" s="92" t="str">
        <f>_xlfn.CONCAT(B7,"-","Actif")</f>
        <v>927-Actif</v>
      </c>
      <c r="B25" s="28" t="s">
        <v>54</v>
      </c>
      <c r="C25" s="19">
        <f t="shared" ca="1" si="27"/>
        <v>113</v>
      </c>
      <c r="D25" s="20">
        <v>7</v>
      </c>
      <c r="E25" s="19">
        <f ca="1">(C25+D25+C40)-1</f>
        <v>133</v>
      </c>
      <c r="F25" s="13" t="str">
        <f t="shared" ref="F25:BQ25" ca="1" si="39">IF(AND(F$5&gt;=$C25+$C$40,F$5&lt;=$E25),1,"")</f>
        <v/>
      </c>
      <c r="G25" s="14" t="str">
        <f t="shared" ca="1" si="39"/>
        <v/>
      </c>
      <c r="H25" s="14" t="str">
        <f t="shared" ca="1" si="39"/>
        <v/>
      </c>
      <c r="I25" s="14" t="str">
        <f t="shared" ca="1" si="39"/>
        <v/>
      </c>
      <c r="J25" s="14" t="str">
        <f t="shared" ca="1" si="39"/>
        <v/>
      </c>
      <c r="K25" s="15" t="str">
        <f t="shared" ca="1" si="39"/>
        <v/>
      </c>
      <c r="L25" s="16" t="str">
        <f t="shared" ca="1" si="39"/>
        <v/>
      </c>
      <c r="M25" s="13" t="str">
        <f t="shared" ca="1" si="39"/>
        <v/>
      </c>
      <c r="N25" s="14" t="str">
        <f t="shared" ca="1" si="39"/>
        <v/>
      </c>
      <c r="O25" s="14" t="str">
        <f t="shared" ca="1" si="39"/>
        <v/>
      </c>
      <c r="P25" s="14" t="str">
        <f t="shared" ca="1" si="39"/>
        <v/>
      </c>
      <c r="Q25" s="14" t="str">
        <f t="shared" ca="1" si="39"/>
        <v/>
      </c>
      <c r="R25" s="15" t="str">
        <f t="shared" ca="1" si="39"/>
        <v/>
      </c>
      <c r="S25" s="16" t="str">
        <f t="shared" ca="1" si="39"/>
        <v/>
      </c>
      <c r="T25" s="13" t="str">
        <f t="shared" ca="1" si="39"/>
        <v/>
      </c>
      <c r="U25" s="14" t="str">
        <f t="shared" ca="1" si="39"/>
        <v/>
      </c>
      <c r="V25" s="14" t="str">
        <f t="shared" ca="1" si="39"/>
        <v/>
      </c>
      <c r="W25" s="14" t="str">
        <f t="shared" ca="1" si="39"/>
        <v/>
      </c>
      <c r="X25" s="14" t="str">
        <f t="shared" ca="1" si="39"/>
        <v/>
      </c>
      <c r="Y25" s="15" t="str">
        <f t="shared" ca="1" si="39"/>
        <v/>
      </c>
      <c r="Z25" s="16" t="str">
        <f t="shared" ca="1" si="39"/>
        <v/>
      </c>
      <c r="AA25" s="13" t="str">
        <f t="shared" ca="1" si="39"/>
        <v/>
      </c>
      <c r="AB25" s="14" t="str">
        <f t="shared" ca="1" si="39"/>
        <v/>
      </c>
      <c r="AC25" s="14" t="str">
        <f t="shared" ca="1" si="39"/>
        <v/>
      </c>
      <c r="AD25" s="14" t="str">
        <f t="shared" ca="1" si="39"/>
        <v/>
      </c>
      <c r="AE25" s="14" t="str">
        <f t="shared" ca="1" si="39"/>
        <v/>
      </c>
      <c r="AF25" s="15" t="str">
        <f t="shared" ca="1" si="39"/>
        <v/>
      </c>
      <c r="AG25" s="16" t="str">
        <f t="shared" ca="1" si="39"/>
        <v/>
      </c>
      <c r="AH25" s="13" t="str">
        <f t="shared" ca="1" si="39"/>
        <v/>
      </c>
      <c r="AI25" s="14" t="str">
        <f t="shared" ca="1" si="39"/>
        <v/>
      </c>
      <c r="AJ25" s="14" t="str">
        <f t="shared" ca="1" si="39"/>
        <v/>
      </c>
      <c r="AK25" s="14" t="str">
        <f t="shared" ca="1" si="39"/>
        <v/>
      </c>
      <c r="AL25" s="14" t="str">
        <f t="shared" ca="1" si="39"/>
        <v/>
      </c>
      <c r="AM25" s="15" t="str">
        <f t="shared" ca="1" si="39"/>
        <v/>
      </c>
      <c r="AN25" s="16" t="str">
        <f t="shared" ca="1" si="39"/>
        <v/>
      </c>
      <c r="AO25" s="13" t="str">
        <f t="shared" ca="1" si="39"/>
        <v/>
      </c>
      <c r="AP25" s="14" t="str">
        <f t="shared" ca="1" si="39"/>
        <v/>
      </c>
      <c r="AQ25" s="14" t="str">
        <f t="shared" ca="1" si="39"/>
        <v/>
      </c>
      <c r="AR25" s="14" t="str">
        <f t="shared" ca="1" si="39"/>
        <v/>
      </c>
      <c r="AS25" s="14" t="str">
        <f t="shared" ca="1" si="39"/>
        <v/>
      </c>
      <c r="AT25" s="15" t="str">
        <f t="shared" ca="1" si="39"/>
        <v/>
      </c>
      <c r="AU25" s="16" t="str">
        <f t="shared" ca="1" si="39"/>
        <v/>
      </c>
      <c r="AV25" s="13" t="str">
        <f t="shared" ca="1" si="39"/>
        <v/>
      </c>
      <c r="AW25" s="14" t="str">
        <f t="shared" ca="1" si="39"/>
        <v/>
      </c>
      <c r="AX25" s="14" t="str">
        <f t="shared" ca="1" si="39"/>
        <v/>
      </c>
      <c r="AY25" s="14" t="str">
        <f t="shared" ca="1" si="39"/>
        <v/>
      </c>
      <c r="AZ25" s="14" t="str">
        <f t="shared" ca="1" si="39"/>
        <v/>
      </c>
      <c r="BA25" s="15" t="str">
        <f t="shared" ca="1" si="39"/>
        <v/>
      </c>
      <c r="BB25" s="16" t="str">
        <f t="shared" ca="1" si="39"/>
        <v/>
      </c>
      <c r="BC25" s="13" t="str">
        <f t="shared" ca="1" si="39"/>
        <v/>
      </c>
      <c r="BD25" s="14" t="str">
        <f t="shared" ca="1" si="39"/>
        <v/>
      </c>
      <c r="BE25" s="14" t="str">
        <f t="shared" ca="1" si="39"/>
        <v/>
      </c>
      <c r="BF25" s="14" t="str">
        <f t="shared" ca="1" si="39"/>
        <v/>
      </c>
      <c r="BG25" s="14" t="str">
        <f t="shared" ca="1" si="39"/>
        <v/>
      </c>
      <c r="BH25" s="15" t="str">
        <f t="shared" ca="1" si="39"/>
        <v/>
      </c>
      <c r="BI25" s="16" t="str">
        <f t="shared" ca="1" si="39"/>
        <v/>
      </c>
      <c r="BJ25" s="13" t="str">
        <f t="shared" ca="1" si="39"/>
        <v/>
      </c>
      <c r="BK25" s="14" t="str">
        <f t="shared" ca="1" si="39"/>
        <v/>
      </c>
      <c r="BL25" s="14" t="str">
        <f t="shared" ca="1" si="39"/>
        <v/>
      </c>
      <c r="BM25" s="14" t="str">
        <f t="shared" ca="1" si="39"/>
        <v/>
      </c>
      <c r="BN25" s="14" t="str">
        <f t="shared" ca="1" si="39"/>
        <v/>
      </c>
      <c r="BO25" s="15" t="str">
        <f t="shared" ca="1" si="39"/>
        <v/>
      </c>
      <c r="BP25" s="16" t="str">
        <f t="shared" ca="1" si="39"/>
        <v/>
      </c>
      <c r="BQ25" s="13" t="str">
        <f t="shared" ca="1" si="39"/>
        <v/>
      </c>
      <c r="BR25" s="14" t="str">
        <f t="shared" ref="BR25:EC25" ca="1" si="40">IF(AND(BR$5&gt;=$C25+$C$40,BR$5&lt;=$E25),1,"")</f>
        <v/>
      </c>
      <c r="BS25" s="14" t="str">
        <f t="shared" ca="1" si="40"/>
        <v/>
      </c>
      <c r="BT25" s="14" t="str">
        <f t="shared" ca="1" si="40"/>
        <v/>
      </c>
      <c r="BU25" s="14" t="str">
        <f t="shared" ca="1" si="40"/>
        <v/>
      </c>
      <c r="BV25" s="15" t="str">
        <f t="shared" ca="1" si="40"/>
        <v/>
      </c>
      <c r="BW25" s="16" t="str">
        <f t="shared" ca="1" si="40"/>
        <v/>
      </c>
      <c r="BX25" s="13" t="str">
        <f t="shared" ca="1" si="40"/>
        <v/>
      </c>
      <c r="BY25" s="14" t="str">
        <f t="shared" ca="1" si="40"/>
        <v/>
      </c>
      <c r="BZ25" s="14" t="str">
        <f t="shared" ca="1" si="40"/>
        <v/>
      </c>
      <c r="CA25" s="14" t="str">
        <f t="shared" ca="1" si="40"/>
        <v/>
      </c>
      <c r="CB25" s="14" t="str">
        <f t="shared" ca="1" si="40"/>
        <v/>
      </c>
      <c r="CC25" s="15" t="str">
        <f t="shared" ca="1" si="40"/>
        <v/>
      </c>
      <c r="CD25" s="16" t="str">
        <f t="shared" ca="1" si="40"/>
        <v/>
      </c>
      <c r="CE25" s="13" t="str">
        <f t="shared" ca="1" si="40"/>
        <v/>
      </c>
      <c r="CF25" s="14" t="str">
        <f t="shared" ca="1" si="40"/>
        <v/>
      </c>
      <c r="CG25" s="14" t="str">
        <f t="shared" ca="1" si="40"/>
        <v/>
      </c>
      <c r="CH25" s="14" t="str">
        <f t="shared" ca="1" si="40"/>
        <v/>
      </c>
      <c r="CI25" s="14" t="str">
        <f t="shared" ca="1" si="40"/>
        <v/>
      </c>
      <c r="CJ25" s="15" t="str">
        <f t="shared" ca="1" si="40"/>
        <v/>
      </c>
      <c r="CK25" s="16" t="str">
        <f t="shared" ca="1" si="40"/>
        <v/>
      </c>
      <c r="CL25" s="13" t="str">
        <f t="shared" ca="1" si="40"/>
        <v/>
      </c>
      <c r="CM25" s="14" t="str">
        <f t="shared" ca="1" si="40"/>
        <v/>
      </c>
      <c r="CN25" s="14" t="str">
        <f t="shared" ca="1" si="40"/>
        <v/>
      </c>
      <c r="CO25" s="14" t="str">
        <f t="shared" ca="1" si="40"/>
        <v/>
      </c>
      <c r="CP25" s="14" t="str">
        <f t="shared" ca="1" si="40"/>
        <v/>
      </c>
      <c r="CQ25" s="15" t="str">
        <f t="shared" ca="1" si="40"/>
        <v/>
      </c>
      <c r="CR25" s="16" t="str">
        <f t="shared" ca="1" si="40"/>
        <v/>
      </c>
      <c r="CS25" s="13" t="str">
        <f t="shared" ca="1" si="40"/>
        <v/>
      </c>
      <c r="CT25" s="14" t="str">
        <f t="shared" ca="1" si="40"/>
        <v/>
      </c>
      <c r="CU25" s="14" t="str">
        <f t="shared" ca="1" si="40"/>
        <v/>
      </c>
      <c r="CV25" s="14" t="str">
        <f t="shared" ca="1" si="40"/>
        <v/>
      </c>
      <c r="CW25" s="14" t="str">
        <f t="shared" ca="1" si="40"/>
        <v/>
      </c>
      <c r="CX25" s="15" t="str">
        <f t="shared" ca="1" si="40"/>
        <v/>
      </c>
      <c r="CY25" s="16" t="str">
        <f t="shared" ca="1" si="40"/>
        <v/>
      </c>
      <c r="CZ25" s="13" t="str">
        <f t="shared" ca="1" si="40"/>
        <v/>
      </c>
      <c r="DA25" s="14" t="str">
        <f t="shared" ca="1" si="40"/>
        <v/>
      </c>
      <c r="DB25" s="14" t="str">
        <f t="shared" ca="1" si="40"/>
        <v/>
      </c>
      <c r="DC25" s="14" t="str">
        <f t="shared" ca="1" si="40"/>
        <v/>
      </c>
      <c r="DD25" s="14" t="str">
        <f t="shared" ca="1" si="40"/>
        <v/>
      </c>
      <c r="DE25" s="15" t="str">
        <f t="shared" ca="1" si="40"/>
        <v/>
      </c>
      <c r="DF25" s="16" t="str">
        <f t="shared" ca="1" si="40"/>
        <v/>
      </c>
      <c r="DG25" s="13" t="str">
        <f t="shared" ca="1" si="40"/>
        <v/>
      </c>
      <c r="DH25" s="14" t="str">
        <f t="shared" ca="1" si="40"/>
        <v/>
      </c>
      <c r="DI25" s="14" t="str">
        <f t="shared" ca="1" si="40"/>
        <v/>
      </c>
      <c r="DJ25" s="14" t="str">
        <f t="shared" ca="1" si="40"/>
        <v/>
      </c>
      <c r="DK25" s="14" t="str">
        <f t="shared" ca="1" si="40"/>
        <v/>
      </c>
      <c r="DL25" s="15" t="str">
        <f t="shared" ca="1" si="40"/>
        <v/>
      </c>
      <c r="DM25" s="16" t="str">
        <f t="shared" ca="1" si="40"/>
        <v/>
      </c>
      <c r="DN25" s="13" t="str">
        <f t="shared" ca="1" si="40"/>
        <v/>
      </c>
      <c r="DO25" s="14" t="str">
        <f t="shared" ca="1" si="40"/>
        <v/>
      </c>
      <c r="DP25" s="14" t="str">
        <f t="shared" ca="1" si="40"/>
        <v/>
      </c>
      <c r="DQ25" s="14" t="str">
        <f t="shared" ca="1" si="40"/>
        <v/>
      </c>
      <c r="DR25" s="14" t="str">
        <f t="shared" ca="1" si="40"/>
        <v/>
      </c>
      <c r="DS25" s="15" t="str">
        <f t="shared" ca="1" si="40"/>
        <v/>
      </c>
      <c r="DT25" s="16" t="str">
        <f t="shared" ca="1" si="40"/>
        <v/>
      </c>
      <c r="DU25" s="13" t="str">
        <f t="shared" ca="1" si="40"/>
        <v/>
      </c>
      <c r="DV25" s="14" t="str">
        <f t="shared" ca="1" si="40"/>
        <v/>
      </c>
      <c r="DW25" s="14" t="str">
        <f t="shared" ca="1" si="40"/>
        <v/>
      </c>
      <c r="DX25" s="14" t="str">
        <f t="shared" ca="1" si="40"/>
        <v/>
      </c>
      <c r="DY25" s="14" t="str">
        <f t="shared" ca="1" si="40"/>
        <v/>
      </c>
      <c r="DZ25" s="15" t="str">
        <f t="shared" ca="1" si="40"/>
        <v/>
      </c>
      <c r="EA25" s="16" t="str">
        <f t="shared" ca="1" si="40"/>
        <v/>
      </c>
      <c r="EB25" s="13">
        <f t="shared" ca="1" si="40"/>
        <v>1</v>
      </c>
      <c r="EC25" s="14">
        <f t="shared" ca="1" si="40"/>
        <v>1</v>
      </c>
      <c r="ED25" s="14">
        <f t="shared" ref="ED25:EH25" ca="1" si="41">IF(AND(ED$5&gt;=$C25+$C$40,ED$5&lt;=$E25),1,"")</f>
        <v>1</v>
      </c>
      <c r="EE25" s="14">
        <f t="shared" ca="1" si="41"/>
        <v>1</v>
      </c>
      <c r="EF25" s="14">
        <f t="shared" ca="1" si="41"/>
        <v>1</v>
      </c>
      <c r="EG25" s="15">
        <f t="shared" ca="1" si="41"/>
        <v>1</v>
      </c>
      <c r="EH25" s="16">
        <f t="shared" ca="1" si="41"/>
        <v>1</v>
      </c>
    </row>
    <row r="26" spans="1:138" s="17" customFormat="1" ht="6" customHeight="1"/>
    <row r="27" spans="1:138" s="17" customFormat="1" ht="15" customHeight="1">
      <c r="A27" s="588" t="s">
        <v>55</v>
      </c>
      <c r="B27" s="588"/>
      <c r="C27" s="589">
        <f ca="1">C15-C11</f>
        <v>9</v>
      </c>
      <c r="D27" s="589"/>
      <c r="E27" s="590"/>
      <c r="F27" s="14" t="str">
        <f t="shared" ref="F27:BQ27" ca="1" si="42">IF(AND(F$5&gt;=$C$11,F$5&lt;=$E$15-1),1,"")</f>
        <v/>
      </c>
      <c r="G27" s="14" t="str">
        <f t="shared" ca="1" si="42"/>
        <v/>
      </c>
      <c r="H27" s="14" t="str">
        <f t="shared" ca="1" si="42"/>
        <v/>
      </c>
      <c r="I27" s="14" t="str">
        <f t="shared" ca="1" si="42"/>
        <v/>
      </c>
      <c r="J27" s="14" t="str">
        <f t="shared" ca="1" si="42"/>
        <v/>
      </c>
      <c r="K27" s="15" t="str">
        <f t="shared" ca="1" si="42"/>
        <v/>
      </c>
      <c r="L27" s="16" t="str">
        <f t="shared" ca="1" si="42"/>
        <v/>
      </c>
      <c r="M27" s="13" t="str">
        <f t="shared" ca="1" si="42"/>
        <v/>
      </c>
      <c r="N27" s="14" t="str">
        <f t="shared" ca="1" si="42"/>
        <v/>
      </c>
      <c r="O27" s="14" t="str">
        <f t="shared" ca="1" si="42"/>
        <v/>
      </c>
      <c r="P27" s="14" t="str">
        <f t="shared" ca="1" si="42"/>
        <v/>
      </c>
      <c r="Q27" s="14" t="str">
        <f t="shared" ca="1" si="42"/>
        <v/>
      </c>
      <c r="R27" s="15" t="str">
        <f t="shared" ca="1" si="42"/>
        <v/>
      </c>
      <c r="S27" s="16" t="str">
        <f t="shared" ca="1" si="42"/>
        <v/>
      </c>
      <c r="T27" s="13" t="str">
        <f t="shared" ca="1" si="42"/>
        <v/>
      </c>
      <c r="U27" s="14" t="str">
        <f t="shared" ca="1" si="42"/>
        <v/>
      </c>
      <c r="V27" s="14" t="str">
        <f t="shared" ca="1" si="42"/>
        <v/>
      </c>
      <c r="W27" s="14" t="str">
        <f t="shared" ca="1" si="42"/>
        <v/>
      </c>
      <c r="X27" s="14" t="str">
        <f t="shared" ca="1" si="42"/>
        <v/>
      </c>
      <c r="Y27" s="15" t="str">
        <f t="shared" ca="1" si="42"/>
        <v/>
      </c>
      <c r="Z27" s="16" t="str">
        <f t="shared" ca="1" si="42"/>
        <v/>
      </c>
      <c r="AA27" s="13" t="str">
        <f t="shared" ca="1" si="42"/>
        <v/>
      </c>
      <c r="AB27" s="14">
        <f t="shared" ca="1" si="42"/>
        <v>1</v>
      </c>
      <c r="AC27" s="14">
        <f t="shared" ca="1" si="42"/>
        <v>1</v>
      </c>
      <c r="AD27" s="14">
        <f t="shared" ca="1" si="42"/>
        <v>1</v>
      </c>
      <c r="AE27" s="14">
        <f t="shared" ca="1" si="42"/>
        <v>1</v>
      </c>
      <c r="AF27" s="15">
        <f t="shared" ca="1" si="42"/>
        <v>1</v>
      </c>
      <c r="AG27" s="16">
        <f t="shared" ca="1" si="42"/>
        <v>1</v>
      </c>
      <c r="AH27" s="13">
        <f t="shared" ca="1" si="42"/>
        <v>1</v>
      </c>
      <c r="AI27" s="14">
        <f t="shared" ca="1" si="42"/>
        <v>1</v>
      </c>
      <c r="AJ27" s="14">
        <f t="shared" ca="1" si="42"/>
        <v>1</v>
      </c>
      <c r="AK27" s="14" t="str">
        <f t="shared" ca="1" si="42"/>
        <v/>
      </c>
      <c r="AL27" s="14" t="str">
        <f t="shared" ca="1" si="42"/>
        <v/>
      </c>
      <c r="AM27" s="15" t="str">
        <f t="shared" ca="1" si="42"/>
        <v/>
      </c>
      <c r="AN27" s="16" t="str">
        <f t="shared" ca="1" si="42"/>
        <v/>
      </c>
      <c r="AO27" s="13" t="str">
        <f t="shared" ca="1" si="42"/>
        <v/>
      </c>
      <c r="AP27" s="14" t="str">
        <f t="shared" ca="1" si="42"/>
        <v/>
      </c>
      <c r="AQ27" s="14" t="str">
        <f t="shared" ca="1" si="42"/>
        <v/>
      </c>
      <c r="AR27" s="14" t="str">
        <f t="shared" ca="1" si="42"/>
        <v/>
      </c>
      <c r="AS27" s="14" t="str">
        <f t="shared" ca="1" si="42"/>
        <v/>
      </c>
      <c r="AT27" s="15" t="str">
        <f t="shared" ca="1" si="42"/>
        <v/>
      </c>
      <c r="AU27" s="16" t="str">
        <f t="shared" ca="1" si="42"/>
        <v/>
      </c>
      <c r="AV27" s="13" t="str">
        <f t="shared" ca="1" si="42"/>
        <v/>
      </c>
      <c r="AW27" s="14" t="str">
        <f t="shared" ca="1" si="42"/>
        <v/>
      </c>
      <c r="AX27" s="14" t="str">
        <f t="shared" ca="1" si="42"/>
        <v/>
      </c>
      <c r="AY27" s="14" t="str">
        <f t="shared" ca="1" si="42"/>
        <v/>
      </c>
      <c r="AZ27" s="14" t="str">
        <f t="shared" ca="1" si="42"/>
        <v/>
      </c>
      <c r="BA27" s="15" t="str">
        <f t="shared" ca="1" si="42"/>
        <v/>
      </c>
      <c r="BB27" s="16" t="str">
        <f t="shared" ca="1" si="42"/>
        <v/>
      </c>
      <c r="BC27" s="13" t="str">
        <f t="shared" ca="1" si="42"/>
        <v/>
      </c>
      <c r="BD27" s="14" t="str">
        <f t="shared" ca="1" si="42"/>
        <v/>
      </c>
      <c r="BE27" s="14" t="str">
        <f t="shared" ca="1" si="42"/>
        <v/>
      </c>
      <c r="BF27" s="14" t="str">
        <f t="shared" ca="1" si="42"/>
        <v/>
      </c>
      <c r="BG27" s="14" t="str">
        <f t="shared" ca="1" si="42"/>
        <v/>
      </c>
      <c r="BH27" s="15" t="str">
        <f t="shared" ca="1" si="42"/>
        <v/>
      </c>
      <c r="BI27" s="16" t="str">
        <f t="shared" ca="1" si="42"/>
        <v/>
      </c>
      <c r="BJ27" s="13" t="str">
        <f t="shared" ca="1" si="42"/>
        <v/>
      </c>
      <c r="BK27" s="14" t="str">
        <f t="shared" ca="1" si="42"/>
        <v/>
      </c>
      <c r="BL27" s="14" t="str">
        <f t="shared" ca="1" si="42"/>
        <v/>
      </c>
      <c r="BM27" s="14" t="str">
        <f t="shared" ca="1" si="42"/>
        <v/>
      </c>
      <c r="BN27" s="14" t="str">
        <f t="shared" ca="1" si="42"/>
        <v/>
      </c>
      <c r="BO27" s="15" t="str">
        <f t="shared" ca="1" si="42"/>
        <v/>
      </c>
      <c r="BP27" s="16" t="str">
        <f t="shared" ca="1" si="42"/>
        <v/>
      </c>
      <c r="BQ27" s="13" t="str">
        <f t="shared" ca="1" si="42"/>
        <v/>
      </c>
      <c r="BR27" s="14" t="str">
        <f t="shared" ref="BR27:EC27" ca="1" si="43">IF(AND(BR$5&gt;=$C$11,BR$5&lt;=$E$15-1),1,"")</f>
        <v/>
      </c>
      <c r="BS27" s="14" t="str">
        <f t="shared" ca="1" si="43"/>
        <v/>
      </c>
      <c r="BT27" s="14" t="str">
        <f t="shared" ca="1" si="43"/>
        <v/>
      </c>
      <c r="BU27" s="14" t="str">
        <f t="shared" ca="1" si="43"/>
        <v/>
      </c>
      <c r="BV27" s="15" t="str">
        <f t="shared" ca="1" si="43"/>
        <v/>
      </c>
      <c r="BW27" s="16" t="str">
        <f t="shared" ca="1" si="43"/>
        <v/>
      </c>
      <c r="BX27" s="13" t="str">
        <f t="shared" ca="1" si="43"/>
        <v/>
      </c>
      <c r="BY27" s="14" t="str">
        <f t="shared" ca="1" si="43"/>
        <v/>
      </c>
      <c r="BZ27" s="14" t="str">
        <f t="shared" ca="1" si="43"/>
        <v/>
      </c>
      <c r="CA27" s="14" t="str">
        <f t="shared" ca="1" si="43"/>
        <v/>
      </c>
      <c r="CB27" s="14" t="str">
        <f t="shared" ca="1" si="43"/>
        <v/>
      </c>
      <c r="CC27" s="15" t="str">
        <f t="shared" ca="1" si="43"/>
        <v/>
      </c>
      <c r="CD27" s="16" t="str">
        <f t="shared" ca="1" si="43"/>
        <v/>
      </c>
      <c r="CE27" s="13" t="str">
        <f t="shared" ca="1" si="43"/>
        <v/>
      </c>
      <c r="CF27" s="14" t="str">
        <f t="shared" ca="1" si="43"/>
        <v/>
      </c>
      <c r="CG27" s="14" t="str">
        <f t="shared" ca="1" si="43"/>
        <v/>
      </c>
      <c r="CH27" s="14" t="str">
        <f t="shared" ca="1" si="43"/>
        <v/>
      </c>
      <c r="CI27" s="14" t="str">
        <f t="shared" ca="1" si="43"/>
        <v/>
      </c>
      <c r="CJ27" s="15" t="str">
        <f t="shared" ca="1" si="43"/>
        <v/>
      </c>
      <c r="CK27" s="16" t="str">
        <f t="shared" ca="1" si="43"/>
        <v/>
      </c>
      <c r="CL27" s="13" t="str">
        <f t="shared" ca="1" si="43"/>
        <v/>
      </c>
      <c r="CM27" s="14" t="str">
        <f t="shared" ca="1" si="43"/>
        <v/>
      </c>
      <c r="CN27" s="14" t="str">
        <f t="shared" ca="1" si="43"/>
        <v/>
      </c>
      <c r="CO27" s="14" t="str">
        <f t="shared" ca="1" si="43"/>
        <v/>
      </c>
      <c r="CP27" s="14" t="str">
        <f t="shared" ca="1" si="43"/>
        <v/>
      </c>
      <c r="CQ27" s="15" t="str">
        <f t="shared" ca="1" si="43"/>
        <v/>
      </c>
      <c r="CR27" s="16" t="str">
        <f t="shared" ca="1" si="43"/>
        <v/>
      </c>
      <c r="CS27" s="13" t="str">
        <f t="shared" ca="1" si="43"/>
        <v/>
      </c>
      <c r="CT27" s="14" t="str">
        <f t="shared" ca="1" si="43"/>
        <v/>
      </c>
      <c r="CU27" s="14" t="str">
        <f t="shared" ca="1" si="43"/>
        <v/>
      </c>
      <c r="CV27" s="14" t="str">
        <f t="shared" ca="1" si="43"/>
        <v/>
      </c>
      <c r="CW27" s="14" t="str">
        <f t="shared" ca="1" si="43"/>
        <v/>
      </c>
      <c r="CX27" s="15" t="str">
        <f t="shared" ca="1" si="43"/>
        <v/>
      </c>
      <c r="CY27" s="16" t="str">
        <f t="shared" ca="1" si="43"/>
        <v/>
      </c>
      <c r="CZ27" s="13" t="str">
        <f t="shared" ca="1" si="43"/>
        <v/>
      </c>
      <c r="DA27" s="14" t="str">
        <f t="shared" ca="1" si="43"/>
        <v/>
      </c>
      <c r="DB27" s="14" t="str">
        <f t="shared" ca="1" si="43"/>
        <v/>
      </c>
      <c r="DC27" s="14" t="str">
        <f t="shared" ca="1" si="43"/>
        <v/>
      </c>
      <c r="DD27" s="14" t="str">
        <f t="shared" ca="1" si="43"/>
        <v/>
      </c>
      <c r="DE27" s="15" t="str">
        <f t="shared" ca="1" si="43"/>
        <v/>
      </c>
      <c r="DF27" s="16" t="str">
        <f t="shared" ca="1" si="43"/>
        <v/>
      </c>
      <c r="DG27" s="13" t="str">
        <f t="shared" ca="1" si="43"/>
        <v/>
      </c>
      <c r="DH27" s="14" t="str">
        <f t="shared" ca="1" si="43"/>
        <v/>
      </c>
      <c r="DI27" s="14" t="str">
        <f t="shared" ca="1" si="43"/>
        <v/>
      </c>
      <c r="DJ27" s="14" t="str">
        <f t="shared" ca="1" si="43"/>
        <v/>
      </c>
      <c r="DK27" s="14" t="str">
        <f t="shared" ca="1" si="43"/>
        <v/>
      </c>
      <c r="DL27" s="15" t="str">
        <f t="shared" ca="1" si="43"/>
        <v/>
      </c>
      <c r="DM27" s="16" t="str">
        <f t="shared" ca="1" si="43"/>
        <v/>
      </c>
      <c r="DN27" s="13" t="str">
        <f t="shared" ca="1" si="43"/>
        <v/>
      </c>
      <c r="DO27" s="14" t="str">
        <f t="shared" ca="1" si="43"/>
        <v/>
      </c>
      <c r="DP27" s="14" t="str">
        <f t="shared" ca="1" si="43"/>
        <v/>
      </c>
      <c r="DQ27" s="14" t="str">
        <f t="shared" ca="1" si="43"/>
        <v/>
      </c>
      <c r="DR27" s="14" t="str">
        <f t="shared" ca="1" si="43"/>
        <v/>
      </c>
      <c r="DS27" s="15" t="str">
        <f t="shared" ca="1" si="43"/>
        <v/>
      </c>
      <c r="DT27" s="16" t="str">
        <f t="shared" ca="1" si="43"/>
        <v/>
      </c>
      <c r="DU27" s="13" t="str">
        <f t="shared" ca="1" si="43"/>
        <v/>
      </c>
      <c r="DV27" s="14" t="str">
        <f t="shared" ca="1" si="43"/>
        <v/>
      </c>
      <c r="DW27" s="14" t="str">
        <f t="shared" ca="1" si="43"/>
        <v/>
      </c>
      <c r="DX27" s="14" t="str">
        <f t="shared" ca="1" si="43"/>
        <v/>
      </c>
      <c r="DY27" s="14" t="str">
        <f t="shared" ca="1" si="43"/>
        <v/>
      </c>
      <c r="DZ27" s="15" t="str">
        <f t="shared" ca="1" si="43"/>
        <v/>
      </c>
      <c r="EA27" s="16" t="str">
        <f t="shared" ca="1" si="43"/>
        <v/>
      </c>
      <c r="EB27" s="13" t="str">
        <f t="shared" ca="1" si="43"/>
        <v/>
      </c>
      <c r="EC27" s="14" t="str">
        <f t="shared" ca="1" si="43"/>
        <v/>
      </c>
      <c r="ED27" s="14" t="str">
        <f t="shared" ref="ED27:EH27" ca="1" si="44">IF(AND(ED$5&gt;=$C$11,ED$5&lt;=$E$15-1),1,"")</f>
        <v/>
      </c>
      <c r="EE27" s="14" t="str">
        <f t="shared" ca="1" si="44"/>
        <v/>
      </c>
      <c r="EF27" s="14" t="str">
        <f t="shared" ca="1" si="44"/>
        <v/>
      </c>
      <c r="EG27" s="15" t="str">
        <f t="shared" ca="1" si="44"/>
        <v/>
      </c>
      <c r="EH27" s="16" t="str">
        <f t="shared" ca="1" si="44"/>
        <v/>
      </c>
    </row>
    <row r="28" spans="1:138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  <c r="DU28" s="13"/>
      <c r="DV28" s="14"/>
      <c r="DW28" s="14"/>
      <c r="DX28" s="14"/>
      <c r="DY28" s="14"/>
      <c r="DZ28" s="15"/>
      <c r="EA28" s="16"/>
      <c r="EB28" s="13"/>
      <c r="EC28" s="14"/>
      <c r="ED28" s="14"/>
      <c r="EE28" s="14"/>
      <c r="EF28" s="14"/>
      <c r="EG28" s="15"/>
      <c r="EH28" s="16"/>
    </row>
    <row r="29" spans="1:138" s="17" customFormat="1" ht="15" customHeight="1">
      <c r="A29" s="597" t="s">
        <v>56</v>
      </c>
      <c r="B29" s="597"/>
      <c r="C29" s="598">
        <f ca="1">C15-C12+2</f>
        <v>4</v>
      </c>
      <c r="D29" s="598"/>
      <c r="E29" s="599"/>
      <c r="F29" s="14" t="str">
        <f t="shared" ref="F29:AM29" ca="1" si="45">IF(AND(F$5&gt;=$E$11,F$5&lt;=$E$15),1,"")</f>
        <v/>
      </c>
      <c r="G29" s="14" t="str">
        <f t="shared" ca="1" si="45"/>
        <v/>
      </c>
      <c r="H29" s="14" t="str">
        <f t="shared" ca="1" si="45"/>
        <v/>
      </c>
      <c r="I29" s="14" t="str">
        <f t="shared" ca="1" si="45"/>
        <v/>
      </c>
      <c r="J29" s="14" t="str">
        <f t="shared" ca="1" si="45"/>
        <v/>
      </c>
      <c r="K29" s="15" t="str">
        <f t="shared" ca="1" si="45"/>
        <v/>
      </c>
      <c r="L29" s="16" t="str">
        <f t="shared" ca="1" si="45"/>
        <v/>
      </c>
      <c r="M29" s="13" t="str">
        <f t="shared" ca="1" si="45"/>
        <v/>
      </c>
      <c r="N29" s="14" t="str">
        <f t="shared" ca="1" si="45"/>
        <v/>
      </c>
      <c r="O29" s="14" t="str">
        <f t="shared" ca="1" si="45"/>
        <v/>
      </c>
      <c r="P29" s="14" t="str">
        <f t="shared" ca="1" si="45"/>
        <v/>
      </c>
      <c r="Q29" s="14" t="str">
        <f t="shared" ca="1" si="45"/>
        <v/>
      </c>
      <c r="R29" s="15" t="str">
        <f t="shared" ca="1" si="45"/>
        <v/>
      </c>
      <c r="S29" s="16" t="str">
        <f t="shared" ca="1" si="45"/>
        <v/>
      </c>
      <c r="T29" s="13" t="str">
        <f t="shared" ca="1" si="45"/>
        <v/>
      </c>
      <c r="U29" s="14" t="str">
        <f t="shared" ca="1" si="45"/>
        <v/>
      </c>
      <c r="V29" s="14" t="str">
        <f t="shared" ca="1" si="45"/>
        <v/>
      </c>
      <c r="W29" s="14" t="str">
        <f t="shared" ca="1" si="45"/>
        <v/>
      </c>
      <c r="X29" s="14" t="str">
        <f t="shared" ca="1" si="45"/>
        <v/>
      </c>
      <c r="Y29" s="15" t="str">
        <f t="shared" ca="1" si="45"/>
        <v/>
      </c>
      <c r="Z29" s="16" t="str">
        <f t="shared" ca="1" si="45"/>
        <v/>
      </c>
      <c r="AA29" s="13" t="str">
        <f ca="1">IF(AND(AA$5&gt;=$E$11,AA$5&lt;=$E$15),1,"")</f>
        <v/>
      </c>
      <c r="AB29" s="14" t="str">
        <f t="shared" ca="1" si="45"/>
        <v/>
      </c>
      <c r="AC29" s="14" t="str">
        <f t="shared" ca="1" si="45"/>
        <v/>
      </c>
      <c r="AD29" s="14" t="str">
        <f t="shared" ca="1" si="45"/>
        <v/>
      </c>
      <c r="AE29" s="14" t="str">
        <f t="shared" ca="1" si="45"/>
        <v/>
      </c>
      <c r="AF29" s="15" t="str">
        <f ca="1">IF(AND(AF$5&gt;=$E$11,AF$5&lt;=$E$15),1,"")</f>
        <v/>
      </c>
      <c r="AG29" s="16" t="str">
        <f t="shared" ca="1" si="45"/>
        <v/>
      </c>
      <c r="AH29" s="13">
        <f t="shared" ca="1" si="45"/>
        <v>1</v>
      </c>
      <c r="AI29" s="14">
        <f t="shared" ca="1" si="45"/>
        <v>1</v>
      </c>
      <c r="AJ29" s="14">
        <f t="shared" ca="1" si="45"/>
        <v>1</v>
      </c>
      <c r="AK29" s="14">
        <f t="shared" ca="1" si="45"/>
        <v>1</v>
      </c>
      <c r="AL29" s="14" t="str">
        <f t="shared" ca="1" si="45"/>
        <v/>
      </c>
      <c r="AM29" s="15" t="str">
        <f t="shared" ca="1" si="45"/>
        <v/>
      </c>
      <c r="AN29" s="16" t="str">
        <f ca="1">IF(AND(AN$5&gt;=$E$11,AN$5&lt;=$E$15),1,"")</f>
        <v/>
      </c>
      <c r="AO29" s="13" t="str">
        <f t="shared" ref="AO29:CZ29" ca="1" si="46">IF(AND(AO$5&gt;=$E$11,AO$5&lt;=$E$15),1,"")</f>
        <v/>
      </c>
      <c r="AP29" s="14" t="str">
        <f t="shared" ca="1" si="46"/>
        <v/>
      </c>
      <c r="AQ29" s="14" t="str">
        <f t="shared" ca="1" si="46"/>
        <v/>
      </c>
      <c r="AR29" s="14" t="str">
        <f t="shared" ca="1" si="46"/>
        <v/>
      </c>
      <c r="AS29" s="14" t="str">
        <f t="shared" ca="1" si="46"/>
        <v/>
      </c>
      <c r="AT29" s="15" t="str">
        <f t="shared" ca="1" si="46"/>
        <v/>
      </c>
      <c r="AU29" s="16" t="str">
        <f t="shared" ca="1" si="46"/>
        <v/>
      </c>
      <c r="AV29" s="13" t="str">
        <f t="shared" ca="1" si="46"/>
        <v/>
      </c>
      <c r="AW29" s="14" t="str">
        <f t="shared" ca="1" si="46"/>
        <v/>
      </c>
      <c r="AX29" s="14" t="str">
        <f t="shared" ca="1" si="46"/>
        <v/>
      </c>
      <c r="AY29" s="14" t="str">
        <f t="shared" ca="1" si="46"/>
        <v/>
      </c>
      <c r="AZ29" s="14" t="str">
        <f t="shared" ca="1" si="46"/>
        <v/>
      </c>
      <c r="BA29" s="15" t="str">
        <f t="shared" ca="1" si="46"/>
        <v/>
      </c>
      <c r="BB29" s="16" t="str">
        <f t="shared" ca="1" si="46"/>
        <v/>
      </c>
      <c r="BC29" s="13" t="str">
        <f t="shared" ca="1" si="46"/>
        <v/>
      </c>
      <c r="BD29" s="14" t="str">
        <f t="shared" ca="1" si="46"/>
        <v/>
      </c>
      <c r="BE29" s="14" t="str">
        <f t="shared" ca="1" si="46"/>
        <v/>
      </c>
      <c r="BF29" s="14" t="str">
        <f t="shared" ca="1" si="46"/>
        <v/>
      </c>
      <c r="BG29" s="14" t="str">
        <f t="shared" ca="1" si="46"/>
        <v/>
      </c>
      <c r="BH29" s="15" t="str">
        <f t="shared" ca="1" si="46"/>
        <v/>
      </c>
      <c r="BI29" s="16" t="str">
        <f t="shared" ca="1" si="46"/>
        <v/>
      </c>
      <c r="BJ29" s="13" t="str">
        <f t="shared" ca="1" si="46"/>
        <v/>
      </c>
      <c r="BK29" s="14" t="str">
        <f t="shared" ca="1" si="46"/>
        <v/>
      </c>
      <c r="BL29" s="14" t="str">
        <f t="shared" ca="1" si="46"/>
        <v/>
      </c>
      <c r="BM29" s="14" t="str">
        <f t="shared" ca="1" si="46"/>
        <v/>
      </c>
      <c r="BN29" s="14" t="str">
        <f t="shared" ca="1" si="46"/>
        <v/>
      </c>
      <c r="BO29" s="15" t="str">
        <f t="shared" ca="1" si="46"/>
        <v/>
      </c>
      <c r="BP29" s="16" t="str">
        <f t="shared" ca="1" si="46"/>
        <v/>
      </c>
      <c r="BQ29" s="13" t="str">
        <f t="shared" ca="1" si="46"/>
        <v/>
      </c>
      <c r="BR29" s="14" t="str">
        <f t="shared" ca="1" si="46"/>
        <v/>
      </c>
      <c r="BS29" s="14" t="str">
        <f t="shared" ca="1" si="46"/>
        <v/>
      </c>
      <c r="BT29" s="14" t="str">
        <f t="shared" ca="1" si="46"/>
        <v/>
      </c>
      <c r="BU29" s="14" t="str">
        <f t="shared" ca="1" si="46"/>
        <v/>
      </c>
      <c r="BV29" s="15" t="str">
        <f t="shared" ca="1" si="46"/>
        <v/>
      </c>
      <c r="BW29" s="16" t="str">
        <f t="shared" ca="1" si="46"/>
        <v/>
      </c>
      <c r="BX29" s="13" t="str">
        <f t="shared" ca="1" si="46"/>
        <v/>
      </c>
      <c r="BY29" s="14" t="str">
        <f t="shared" ca="1" si="46"/>
        <v/>
      </c>
      <c r="BZ29" s="14" t="str">
        <f t="shared" ca="1" si="46"/>
        <v/>
      </c>
      <c r="CA29" s="14" t="str">
        <f t="shared" ca="1" si="46"/>
        <v/>
      </c>
      <c r="CB29" s="14" t="str">
        <f t="shared" ca="1" si="46"/>
        <v/>
      </c>
      <c r="CC29" s="15" t="str">
        <f t="shared" ca="1" si="46"/>
        <v/>
      </c>
      <c r="CD29" s="16" t="str">
        <f t="shared" ca="1" si="46"/>
        <v/>
      </c>
      <c r="CE29" s="13" t="str">
        <f t="shared" ca="1" si="46"/>
        <v/>
      </c>
      <c r="CF29" s="14" t="str">
        <f t="shared" ca="1" si="46"/>
        <v/>
      </c>
      <c r="CG29" s="14" t="str">
        <f t="shared" ca="1" si="46"/>
        <v/>
      </c>
      <c r="CH29" s="14" t="str">
        <f t="shared" ca="1" si="46"/>
        <v/>
      </c>
      <c r="CI29" s="14" t="str">
        <f t="shared" ca="1" si="46"/>
        <v/>
      </c>
      <c r="CJ29" s="15" t="str">
        <f t="shared" ca="1" si="46"/>
        <v/>
      </c>
      <c r="CK29" s="16" t="str">
        <f t="shared" ca="1" si="46"/>
        <v/>
      </c>
      <c r="CL29" s="13" t="str">
        <f t="shared" ca="1" si="46"/>
        <v/>
      </c>
      <c r="CM29" s="14" t="str">
        <f t="shared" ca="1" si="46"/>
        <v/>
      </c>
      <c r="CN29" s="14" t="str">
        <f t="shared" ca="1" si="46"/>
        <v/>
      </c>
      <c r="CO29" s="14" t="str">
        <f t="shared" ca="1" si="46"/>
        <v/>
      </c>
      <c r="CP29" s="14" t="str">
        <f t="shared" ca="1" si="46"/>
        <v/>
      </c>
      <c r="CQ29" s="15" t="str">
        <f t="shared" ca="1" si="46"/>
        <v/>
      </c>
      <c r="CR29" s="16" t="str">
        <f t="shared" ca="1" si="46"/>
        <v/>
      </c>
      <c r="CS29" s="13" t="str">
        <f t="shared" ca="1" si="46"/>
        <v/>
      </c>
      <c r="CT29" s="14" t="str">
        <f t="shared" ca="1" si="46"/>
        <v/>
      </c>
      <c r="CU29" s="14" t="str">
        <f t="shared" ca="1" si="46"/>
        <v/>
      </c>
      <c r="CV29" s="14" t="str">
        <f t="shared" ca="1" si="46"/>
        <v/>
      </c>
      <c r="CW29" s="14" t="str">
        <f t="shared" ca="1" si="46"/>
        <v/>
      </c>
      <c r="CX29" s="15" t="str">
        <f t="shared" ca="1" si="46"/>
        <v/>
      </c>
      <c r="CY29" s="16" t="str">
        <f t="shared" ca="1" si="46"/>
        <v/>
      </c>
      <c r="CZ29" s="13" t="str">
        <f t="shared" ca="1" si="46"/>
        <v/>
      </c>
      <c r="DA29" s="14" t="str">
        <f t="shared" ref="DA29:EH29" ca="1" si="47">IF(AND(DA$5&gt;=$E$11,DA$5&lt;=$E$15),1,"")</f>
        <v/>
      </c>
      <c r="DB29" s="14" t="str">
        <f t="shared" ca="1" si="47"/>
        <v/>
      </c>
      <c r="DC29" s="14" t="str">
        <f t="shared" ca="1" si="47"/>
        <v/>
      </c>
      <c r="DD29" s="14" t="str">
        <f t="shared" ca="1" si="47"/>
        <v/>
      </c>
      <c r="DE29" s="15" t="str">
        <f t="shared" ca="1" si="47"/>
        <v/>
      </c>
      <c r="DF29" s="16" t="str">
        <f t="shared" ca="1" si="47"/>
        <v/>
      </c>
      <c r="DG29" s="13" t="str">
        <f t="shared" ca="1" si="47"/>
        <v/>
      </c>
      <c r="DH29" s="14" t="str">
        <f t="shared" ca="1" si="47"/>
        <v/>
      </c>
      <c r="DI29" s="14" t="str">
        <f t="shared" ca="1" si="47"/>
        <v/>
      </c>
      <c r="DJ29" s="14" t="str">
        <f t="shared" ca="1" si="47"/>
        <v/>
      </c>
      <c r="DK29" s="14" t="str">
        <f t="shared" ca="1" si="47"/>
        <v/>
      </c>
      <c r="DL29" s="15" t="str">
        <f t="shared" ca="1" si="47"/>
        <v/>
      </c>
      <c r="DM29" s="16" t="str">
        <f t="shared" ca="1" si="47"/>
        <v/>
      </c>
      <c r="DN29" s="13" t="str">
        <f t="shared" ca="1" si="47"/>
        <v/>
      </c>
      <c r="DO29" s="14" t="str">
        <f t="shared" ca="1" si="47"/>
        <v/>
      </c>
      <c r="DP29" s="14" t="str">
        <f t="shared" ca="1" si="47"/>
        <v/>
      </c>
      <c r="DQ29" s="14" t="str">
        <f t="shared" ca="1" si="47"/>
        <v/>
      </c>
      <c r="DR29" s="14" t="str">
        <f t="shared" ca="1" si="47"/>
        <v/>
      </c>
      <c r="DS29" s="15" t="str">
        <f t="shared" ca="1" si="47"/>
        <v/>
      </c>
      <c r="DT29" s="16" t="str">
        <f t="shared" ca="1" si="47"/>
        <v/>
      </c>
      <c r="DU29" s="13" t="str">
        <f t="shared" ca="1" si="47"/>
        <v/>
      </c>
      <c r="DV29" s="14" t="str">
        <f t="shared" ca="1" si="47"/>
        <v/>
      </c>
      <c r="DW29" s="14" t="str">
        <f t="shared" ca="1" si="47"/>
        <v/>
      </c>
      <c r="DX29" s="14" t="str">
        <f t="shared" ca="1" si="47"/>
        <v/>
      </c>
      <c r="DY29" s="14" t="str">
        <f t="shared" ca="1" si="47"/>
        <v/>
      </c>
      <c r="DZ29" s="15" t="str">
        <f t="shared" ca="1" si="47"/>
        <v/>
      </c>
      <c r="EA29" s="16" t="str">
        <f t="shared" ca="1" si="47"/>
        <v/>
      </c>
      <c r="EB29" s="13" t="str">
        <f t="shared" ca="1" si="47"/>
        <v/>
      </c>
      <c r="EC29" s="14" t="str">
        <f t="shared" ca="1" si="47"/>
        <v/>
      </c>
      <c r="ED29" s="14" t="str">
        <f t="shared" ca="1" si="47"/>
        <v/>
      </c>
      <c r="EE29" s="14" t="str">
        <f t="shared" ca="1" si="47"/>
        <v/>
      </c>
      <c r="EF29" s="14" t="str">
        <f t="shared" ca="1" si="47"/>
        <v/>
      </c>
      <c r="EG29" s="15" t="str">
        <f t="shared" ca="1" si="47"/>
        <v/>
      </c>
      <c r="EH29" s="16" t="str">
        <f t="shared" ca="1" si="47"/>
        <v/>
      </c>
    </row>
    <row r="30" spans="1:138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  <c r="DU30" s="13"/>
      <c r="DV30" s="14"/>
      <c r="DW30" s="14"/>
      <c r="DX30" s="14"/>
      <c r="DY30" s="14"/>
      <c r="DZ30" s="15"/>
      <c r="EA30" s="16"/>
      <c r="EB30" s="13"/>
      <c r="EC30" s="14"/>
      <c r="ED30" s="14"/>
      <c r="EE30" s="14"/>
      <c r="EF30" s="14"/>
      <c r="EG30" s="15"/>
      <c r="EH30" s="16"/>
    </row>
    <row r="31" spans="1:138" s="17" customFormat="1" ht="15" customHeight="1">
      <c r="A31" s="609" t="s">
        <v>57</v>
      </c>
      <c r="B31" s="609"/>
      <c r="C31" s="610">
        <f ca="1">E17-C16+1</f>
        <v>49</v>
      </c>
      <c r="D31" s="610"/>
      <c r="E31" s="611"/>
      <c r="F31" s="14" t="str">
        <f ca="1">IF(AND(F$5&gt;=$C$16,F$5&lt;=$E$17),1,"")</f>
        <v/>
      </c>
      <c r="G31" s="14" t="str">
        <f t="shared" ref="G31:BR31" ca="1" si="48">IF(AND(G$5&gt;=$C$16,G$5&lt;=$E$17),1,"")</f>
        <v/>
      </c>
      <c r="H31" s="14" t="str">
        <f t="shared" ca="1" si="48"/>
        <v/>
      </c>
      <c r="I31" s="14" t="str">
        <f t="shared" ca="1" si="48"/>
        <v/>
      </c>
      <c r="J31" s="14" t="str">
        <f t="shared" ca="1" si="48"/>
        <v/>
      </c>
      <c r="K31" s="15" t="str">
        <f t="shared" ca="1" si="48"/>
        <v/>
      </c>
      <c r="L31" s="16" t="str">
        <f t="shared" ca="1" si="48"/>
        <v/>
      </c>
      <c r="M31" s="13" t="str">
        <f t="shared" ca="1" si="48"/>
        <v/>
      </c>
      <c r="N31" s="14" t="str">
        <f t="shared" ca="1" si="48"/>
        <v/>
      </c>
      <c r="O31" s="14" t="str">
        <f t="shared" ca="1" si="48"/>
        <v/>
      </c>
      <c r="P31" s="14" t="str">
        <f t="shared" ca="1" si="48"/>
        <v/>
      </c>
      <c r="Q31" s="14" t="str">
        <f t="shared" ca="1" si="48"/>
        <v/>
      </c>
      <c r="R31" s="15" t="str">
        <f t="shared" ca="1" si="48"/>
        <v/>
      </c>
      <c r="S31" s="16" t="str">
        <f t="shared" ca="1" si="48"/>
        <v/>
      </c>
      <c r="T31" s="13" t="str">
        <f t="shared" ca="1" si="48"/>
        <v/>
      </c>
      <c r="U31" s="14" t="str">
        <f t="shared" ca="1" si="48"/>
        <v/>
      </c>
      <c r="V31" s="14" t="str">
        <f t="shared" ca="1" si="48"/>
        <v/>
      </c>
      <c r="W31" s="14" t="str">
        <f t="shared" ca="1" si="48"/>
        <v/>
      </c>
      <c r="X31" s="14" t="str">
        <f t="shared" ca="1" si="48"/>
        <v/>
      </c>
      <c r="Y31" s="15" t="str">
        <f t="shared" ca="1" si="48"/>
        <v/>
      </c>
      <c r="Z31" s="16" t="str">
        <f t="shared" ca="1" si="48"/>
        <v/>
      </c>
      <c r="AA31" s="13" t="str">
        <f t="shared" ca="1" si="48"/>
        <v/>
      </c>
      <c r="AB31" s="14" t="str">
        <f t="shared" ca="1" si="48"/>
        <v/>
      </c>
      <c r="AC31" s="14" t="str">
        <f t="shared" ca="1" si="48"/>
        <v/>
      </c>
      <c r="AD31" s="14" t="str">
        <f t="shared" ca="1" si="48"/>
        <v/>
      </c>
      <c r="AE31" s="14" t="str">
        <f t="shared" ca="1" si="48"/>
        <v/>
      </c>
      <c r="AF31" s="15" t="str">
        <f t="shared" ca="1" si="48"/>
        <v/>
      </c>
      <c r="AG31" s="16" t="str">
        <f t="shared" ca="1" si="48"/>
        <v/>
      </c>
      <c r="AH31" s="13" t="str">
        <f t="shared" ca="1" si="48"/>
        <v/>
      </c>
      <c r="AI31" s="14" t="str">
        <f t="shared" ca="1" si="48"/>
        <v/>
      </c>
      <c r="AJ31" s="14" t="str">
        <f t="shared" ca="1" si="48"/>
        <v/>
      </c>
      <c r="AK31" s="14">
        <f ca="1">IF(AND(AK$5&gt;=$C$16,AK$5&lt;=$E$17),1,"")</f>
        <v>1</v>
      </c>
      <c r="AL31" s="14">
        <f t="shared" ca="1" si="48"/>
        <v>1</v>
      </c>
      <c r="AM31" s="15">
        <f t="shared" ca="1" si="48"/>
        <v>1</v>
      </c>
      <c r="AN31" s="16">
        <f t="shared" ca="1" si="48"/>
        <v>1</v>
      </c>
      <c r="AO31" s="13">
        <f t="shared" ca="1" si="48"/>
        <v>1</v>
      </c>
      <c r="AP31" s="14">
        <f t="shared" ca="1" si="48"/>
        <v>1</v>
      </c>
      <c r="AQ31" s="14">
        <f t="shared" ca="1" si="48"/>
        <v>1</v>
      </c>
      <c r="AR31" s="14">
        <f t="shared" ca="1" si="48"/>
        <v>1</v>
      </c>
      <c r="AS31" s="14">
        <f t="shared" ca="1" si="48"/>
        <v>1</v>
      </c>
      <c r="AT31" s="15">
        <f t="shared" ca="1" si="48"/>
        <v>1</v>
      </c>
      <c r="AU31" s="16">
        <f t="shared" ca="1" si="48"/>
        <v>1</v>
      </c>
      <c r="AV31" s="13">
        <f t="shared" ca="1" si="48"/>
        <v>1</v>
      </c>
      <c r="AW31" s="14">
        <f t="shared" ca="1" si="48"/>
        <v>1</v>
      </c>
      <c r="AX31" s="14">
        <f t="shared" ca="1" si="48"/>
        <v>1</v>
      </c>
      <c r="AY31" s="14">
        <f t="shared" ca="1" si="48"/>
        <v>1</v>
      </c>
      <c r="AZ31" s="14">
        <f t="shared" ca="1" si="48"/>
        <v>1</v>
      </c>
      <c r="BA31" s="15">
        <f t="shared" ca="1" si="48"/>
        <v>1</v>
      </c>
      <c r="BB31" s="16">
        <f t="shared" ca="1" si="48"/>
        <v>1</v>
      </c>
      <c r="BC31" s="13">
        <f t="shared" ca="1" si="48"/>
        <v>1</v>
      </c>
      <c r="BD31" s="14">
        <f t="shared" ca="1" si="48"/>
        <v>1</v>
      </c>
      <c r="BE31" s="14">
        <f t="shared" ca="1" si="48"/>
        <v>1</v>
      </c>
      <c r="BF31" s="14">
        <f t="shared" ca="1" si="48"/>
        <v>1</v>
      </c>
      <c r="BG31" s="14">
        <f t="shared" ca="1" si="48"/>
        <v>1</v>
      </c>
      <c r="BH31" s="15">
        <f t="shared" ca="1" si="48"/>
        <v>1</v>
      </c>
      <c r="BI31" s="16">
        <f t="shared" ca="1" si="48"/>
        <v>1</v>
      </c>
      <c r="BJ31" s="13">
        <f t="shared" ca="1" si="48"/>
        <v>1</v>
      </c>
      <c r="BK31" s="14">
        <f t="shared" ca="1" si="48"/>
        <v>1</v>
      </c>
      <c r="BL31" s="14">
        <f t="shared" ca="1" si="48"/>
        <v>1</v>
      </c>
      <c r="BM31" s="14">
        <f t="shared" ca="1" si="48"/>
        <v>1</v>
      </c>
      <c r="BN31" s="14">
        <f t="shared" ca="1" si="48"/>
        <v>1</v>
      </c>
      <c r="BO31" s="15">
        <f t="shared" ca="1" si="48"/>
        <v>1</v>
      </c>
      <c r="BP31" s="16">
        <f t="shared" ca="1" si="48"/>
        <v>1</v>
      </c>
      <c r="BQ31" s="13">
        <f t="shared" ca="1" si="48"/>
        <v>1</v>
      </c>
      <c r="BR31" s="14">
        <f t="shared" ca="1" si="48"/>
        <v>1</v>
      </c>
      <c r="BS31" s="14">
        <f t="shared" ref="BS31:ED31" ca="1" si="49">IF(AND(BS$5&gt;=$C$16,BS$5&lt;=$E$17),1,"")</f>
        <v>1</v>
      </c>
      <c r="BT31" s="14">
        <f t="shared" ca="1" si="49"/>
        <v>1</v>
      </c>
      <c r="BU31" s="14">
        <f t="shared" ca="1" si="49"/>
        <v>1</v>
      </c>
      <c r="BV31" s="15">
        <f t="shared" ca="1" si="49"/>
        <v>1</v>
      </c>
      <c r="BW31" s="16">
        <f t="shared" ca="1" si="49"/>
        <v>1</v>
      </c>
      <c r="BX31" s="13">
        <f t="shared" ca="1" si="49"/>
        <v>1</v>
      </c>
      <c r="BY31" s="14">
        <f t="shared" ca="1" si="49"/>
        <v>1</v>
      </c>
      <c r="BZ31" s="14">
        <f t="shared" ca="1" si="49"/>
        <v>1</v>
      </c>
      <c r="CA31" s="14">
        <f t="shared" ca="1" si="49"/>
        <v>1</v>
      </c>
      <c r="CB31" s="14">
        <f t="shared" ca="1" si="49"/>
        <v>1</v>
      </c>
      <c r="CC31" s="15">
        <f t="shared" ca="1" si="49"/>
        <v>1</v>
      </c>
      <c r="CD31" s="16">
        <f t="shared" ca="1" si="49"/>
        <v>1</v>
      </c>
      <c r="CE31" s="13">
        <f t="shared" ca="1" si="49"/>
        <v>1</v>
      </c>
      <c r="CF31" s="14">
        <f t="shared" ca="1" si="49"/>
        <v>1</v>
      </c>
      <c r="CG31" s="14">
        <f t="shared" ca="1" si="49"/>
        <v>1</v>
      </c>
      <c r="CH31" s="14" t="str">
        <f t="shared" ca="1" si="49"/>
        <v/>
      </c>
      <c r="CI31" s="14" t="str">
        <f t="shared" ca="1" si="49"/>
        <v/>
      </c>
      <c r="CJ31" s="15" t="str">
        <f t="shared" ca="1" si="49"/>
        <v/>
      </c>
      <c r="CK31" s="16" t="str">
        <f t="shared" ca="1" si="49"/>
        <v/>
      </c>
      <c r="CL31" s="13" t="str">
        <f t="shared" ca="1" si="49"/>
        <v/>
      </c>
      <c r="CM31" s="14" t="str">
        <f t="shared" ca="1" si="49"/>
        <v/>
      </c>
      <c r="CN31" s="14" t="str">
        <f t="shared" ca="1" si="49"/>
        <v/>
      </c>
      <c r="CO31" s="14" t="str">
        <f t="shared" ca="1" si="49"/>
        <v/>
      </c>
      <c r="CP31" s="14" t="str">
        <f t="shared" ca="1" si="49"/>
        <v/>
      </c>
      <c r="CQ31" s="15" t="str">
        <f t="shared" ca="1" si="49"/>
        <v/>
      </c>
      <c r="CR31" s="16" t="str">
        <f t="shared" ca="1" si="49"/>
        <v/>
      </c>
      <c r="CS31" s="13" t="str">
        <f t="shared" ca="1" si="49"/>
        <v/>
      </c>
      <c r="CT31" s="14" t="str">
        <f t="shared" ca="1" si="49"/>
        <v/>
      </c>
      <c r="CU31" s="14" t="str">
        <f t="shared" ca="1" si="49"/>
        <v/>
      </c>
      <c r="CV31" s="14" t="str">
        <f t="shared" ca="1" si="49"/>
        <v/>
      </c>
      <c r="CW31" s="14" t="str">
        <f t="shared" ca="1" si="49"/>
        <v/>
      </c>
      <c r="CX31" s="15" t="str">
        <f t="shared" ca="1" si="49"/>
        <v/>
      </c>
      <c r="CY31" s="16" t="str">
        <f t="shared" ca="1" si="49"/>
        <v/>
      </c>
      <c r="CZ31" s="13" t="str">
        <f t="shared" ca="1" si="49"/>
        <v/>
      </c>
      <c r="DA31" s="14" t="str">
        <f t="shared" ca="1" si="49"/>
        <v/>
      </c>
      <c r="DB31" s="14" t="str">
        <f t="shared" ca="1" si="49"/>
        <v/>
      </c>
      <c r="DC31" s="14" t="str">
        <f t="shared" ca="1" si="49"/>
        <v/>
      </c>
      <c r="DD31" s="14" t="str">
        <f t="shared" ca="1" si="49"/>
        <v/>
      </c>
      <c r="DE31" s="15" t="str">
        <f t="shared" ca="1" si="49"/>
        <v/>
      </c>
      <c r="DF31" s="16" t="str">
        <f t="shared" ca="1" si="49"/>
        <v/>
      </c>
      <c r="DG31" s="13" t="str">
        <f t="shared" ca="1" si="49"/>
        <v/>
      </c>
      <c r="DH31" s="14" t="str">
        <f t="shared" ca="1" si="49"/>
        <v/>
      </c>
      <c r="DI31" s="14" t="str">
        <f t="shared" ca="1" si="49"/>
        <v/>
      </c>
      <c r="DJ31" s="14" t="str">
        <f t="shared" ca="1" si="49"/>
        <v/>
      </c>
      <c r="DK31" s="14" t="str">
        <f t="shared" ca="1" si="49"/>
        <v/>
      </c>
      <c r="DL31" s="15" t="str">
        <f t="shared" ca="1" si="49"/>
        <v/>
      </c>
      <c r="DM31" s="16" t="str">
        <f t="shared" ca="1" si="49"/>
        <v/>
      </c>
      <c r="DN31" s="13" t="str">
        <f t="shared" ca="1" si="49"/>
        <v/>
      </c>
      <c r="DO31" s="14" t="str">
        <f t="shared" ca="1" si="49"/>
        <v/>
      </c>
      <c r="DP31" s="14" t="str">
        <f t="shared" ca="1" si="49"/>
        <v/>
      </c>
      <c r="DQ31" s="14" t="str">
        <f t="shared" ca="1" si="49"/>
        <v/>
      </c>
      <c r="DR31" s="14" t="str">
        <f t="shared" ca="1" si="49"/>
        <v/>
      </c>
      <c r="DS31" s="15" t="str">
        <f t="shared" ca="1" si="49"/>
        <v/>
      </c>
      <c r="DT31" s="16" t="str">
        <f t="shared" ca="1" si="49"/>
        <v/>
      </c>
      <c r="DU31" s="13" t="str">
        <f t="shared" ca="1" si="49"/>
        <v/>
      </c>
      <c r="DV31" s="14" t="str">
        <f t="shared" ca="1" si="49"/>
        <v/>
      </c>
      <c r="DW31" s="14" t="str">
        <f t="shared" ca="1" si="49"/>
        <v/>
      </c>
      <c r="DX31" s="14" t="str">
        <f t="shared" ca="1" si="49"/>
        <v/>
      </c>
      <c r="DY31" s="14" t="str">
        <f t="shared" ca="1" si="49"/>
        <v/>
      </c>
      <c r="DZ31" s="15" t="str">
        <f t="shared" ca="1" si="49"/>
        <v/>
      </c>
      <c r="EA31" s="16" t="str">
        <f t="shared" ca="1" si="49"/>
        <v/>
      </c>
      <c r="EB31" s="13" t="str">
        <f t="shared" ca="1" si="49"/>
        <v/>
      </c>
      <c r="EC31" s="14" t="str">
        <f t="shared" ca="1" si="49"/>
        <v/>
      </c>
      <c r="ED31" s="14" t="str">
        <f t="shared" ca="1" si="49"/>
        <v/>
      </c>
      <c r="EE31" s="14" t="str">
        <f t="shared" ref="EE31:EH31" ca="1" si="50">IF(AND(EE$5&gt;=$C$16,EE$5&lt;=$E$17),1,"")</f>
        <v/>
      </c>
      <c r="EF31" s="14" t="str">
        <f t="shared" ca="1" si="50"/>
        <v/>
      </c>
      <c r="EG31" s="15" t="str">
        <f t="shared" ca="1" si="50"/>
        <v/>
      </c>
      <c r="EH31" s="16" t="str">
        <f t="shared" ca="1" si="50"/>
        <v/>
      </c>
    </row>
    <row r="32" spans="1:138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  <c r="DU32" s="13"/>
      <c r="DV32" s="14"/>
      <c r="DW32" s="14"/>
      <c r="DX32" s="14"/>
      <c r="DY32" s="14"/>
      <c r="DZ32" s="15"/>
      <c r="EA32" s="16"/>
      <c r="EB32" s="13"/>
      <c r="EC32" s="14"/>
      <c r="ED32" s="14"/>
      <c r="EE32" s="14"/>
      <c r="EF32" s="14"/>
      <c r="EG32" s="15"/>
      <c r="EH32" s="16"/>
    </row>
    <row r="33" spans="1:138" s="17" customFormat="1" ht="15" customHeight="1">
      <c r="A33" s="603" t="s">
        <v>58</v>
      </c>
      <c r="B33" s="603"/>
      <c r="C33" s="604">
        <f ca="1">E23-C11+1</f>
        <v>83</v>
      </c>
      <c r="D33" s="604"/>
      <c r="E33" s="605"/>
      <c r="F33" s="14" t="str">
        <f t="shared" ref="F33:BQ33" ca="1" si="51">IF(AND(F$5&gt;=$C$11,F$5&lt;=$E$23),1,"")</f>
        <v/>
      </c>
      <c r="G33" s="14" t="str">
        <f t="shared" ca="1" si="51"/>
        <v/>
      </c>
      <c r="H33" s="14" t="str">
        <f t="shared" ca="1" si="51"/>
        <v/>
      </c>
      <c r="I33" s="14" t="str">
        <f t="shared" ca="1" si="51"/>
        <v/>
      </c>
      <c r="J33" s="14" t="str">
        <f t="shared" ca="1" si="51"/>
        <v/>
      </c>
      <c r="K33" s="15" t="str">
        <f t="shared" ca="1" si="51"/>
        <v/>
      </c>
      <c r="L33" s="16" t="str">
        <f t="shared" ca="1" si="51"/>
        <v/>
      </c>
      <c r="M33" s="13" t="str">
        <f t="shared" ca="1" si="51"/>
        <v/>
      </c>
      <c r="N33" s="14" t="str">
        <f t="shared" ca="1" si="51"/>
        <v/>
      </c>
      <c r="O33" s="14" t="str">
        <f t="shared" ca="1" si="51"/>
        <v/>
      </c>
      <c r="P33" s="14" t="str">
        <f t="shared" ca="1" si="51"/>
        <v/>
      </c>
      <c r="Q33" s="14" t="str">
        <f t="shared" ca="1" si="51"/>
        <v/>
      </c>
      <c r="R33" s="15" t="str">
        <f t="shared" ca="1" si="51"/>
        <v/>
      </c>
      <c r="S33" s="16" t="str">
        <f t="shared" ca="1" si="51"/>
        <v/>
      </c>
      <c r="T33" s="13" t="str">
        <f t="shared" ca="1" si="51"/>
        <v/>
      </c>
      <c r="U33" s="14" t="str">
        <f ca="1">IF(AND(U$5&gt;=$C$11,U$5&lt;=$E$23),1,"")</f>
        <v/>
      </c>
      <c r="V33" s="14" t="str">
        <f t="shared" ca="1" si="51"/>
        <v/>
      </c>
      <c r="W33" s="14" t="str">
        <f t="shared" ca="1" si="51"/>
        <v/>
      </c>
      <c r="X33" s="14" t="str">
        <f t="shared" ca="1" si="51"/>
        <v/>
      </c>
      <c r="Y33" s="15" t="str">
        <f t="shared" ca="1" si="51"/>
        <v/>
      </c>
      <c r="Z33" s="16" t="str">
        <f t="shared" ca="1" si="51"/>
        <v/>
      </c>
      <c r="AA33" s="13" t="str">
        <f t="shared" ca="1" si="51"/>
        <v/>
      </c>
      <c r="AB33" s="14">
        <f t="shared" ca="1" si="51"/>
        <v>1</v>
      </c>
      <c r="AC33" s="14">
        <f t="shared" ca="1" si="51"/>
        <v>1</v>
      </c>
      <c r="AD33" s="14">
        <f t="shared" ca="1" si="51"/>
        <v>1</v>
      </c>
      <c r="AE33" s="14">
        <f t="shared" ca="1" si="51"/>
        <v>1</v>
      </c>
      <c r="AF33" s="15">
        <f t="shared" ca="1" si="51"/>
        <v>1</v>
      </c>
      <c r="AG33" s="16">
        <f t="shared" ca="1" si="51"/>
        <v>1</v>
      </c>
      <c r="AH33" s="13">
        <f t="shared" ca="1" si="51"/>
        <v>1</v>
      </c>
      <c r="AI33" s="14">
        <f t="shared" ca="1" si="51"/>
        <v>1</v>
      </c>
      <c r="AJ33" s="14">
        <f t="shared" ca="1" si="51"/>
        <v>1</v>
      </c>
      <c r="AK33" s="14">
        <f t="shared" ca="1" si="51"/>
        <v>1</v>
      </c>
      <c r="AL33" s="14">
        <f t="shared" ca="1" si="51"/>
        <v>1</v>
      </c>
      <c r="AM33" s="15">
        <f t="shared" ca="1" si="51"/>
        <v>1</v>
      </c>
      <c r="AN33" s="16">
        <f t="shared" ca="1" si="51"/>
        <v>1</v>
      </c>
      <c r="AO33" s="13">
        <f t="shared" ca="1" si="51"/>
        <v>1</v>
      </c>
      <c r="AP33" s="14">
        <f t="shared" ca="1" si="51"/>
        <v>1</v>
      </c>
      <c r="AQ33" s="14">
        <f t="shared" ca="1" si="51"/>
        <v>1</v>
      </c>
      <c r="AR33" s="14">
        <f t="shared" ca="1" si="51"/>
        <v>1</v>
      </c>
      <c r="AS33" s="14">
        <f t="shared" ca="1" si="51"/>
        <v>1</v>
      </c>
      <c r="AT33" s="15">
        <f t="shared" ca="1" si="51"/>
        <v>1</v>
      </c>
      <c r="AU33" s="16">
        <f t="shared" ca="1" si="51"/>
        <v>1</v>
      </c>
      <c r="AV33" s="13">
        <f t="shared" ca="1" si="51"/>
        <v>1</v>
      </c>
      <c r="AW33" s="14">
        <f t="shared" ca="1" si="51"/>
        <v>1</v>
      </c>
      <c r="AX33" s="14">
        <f t="shared" ca="1" si="51"/>
        <v>1</v>
      </c>
      <c r="AY33" s="14">
        <f t="shared" ca="1" si="51"/>
        <v>1</v>
      </c>
      <c r="AZ33" s="14">
        <f t="shared" ca="1" si="51"/>
        <v>1</v>
      </c>
      <c r="BA33" s="15">
        <f t="shared" ca="1" si="51"/>
        <v>1</v>
      </c>
      <c r="BB33" s="16">
        <f t="shared" ca="1" si="51"/>
        <v>1</v>
      </c>
      <c r="BC33" s="13">
        <f t="shared" ca="1" si="51"/>
        <v>1</v>
      </c>
      <c r="BD33" s="14">
        <f t="shared" ca="1" si="51"/>
        <v>1</v>
      </c>
      <c r="BE33" s="14">
        <f t="shared" ca="1" si="51"/>
        <v>1</v>
      </c>
      <c r="BF33" s="14">
        <f t="shared" ca="1" si="51"/>
        <v>1</v>
      </c>
      <c r="BG33" s="14">
        <f t="shared" ca="1" si="51"/>
        <v>1</v>
      </c>
      <c r="BH33" s="15">
        <f t="shared" ca="1" si="51"/>
        <v>1</v>
      </c>
      <c r="BI33" s="16">
        <f t="shared" ca="1" si="51"/>
        <v>1</v>
      </c>
      <c r="BJ33" s="13">
        <f t="shared" ca="1" si="51"/>
        <v>1</v>
      </c>
      <c r="BK33" s="14">
        <f t="shared" ca="1" si="51"/>
        <v>1</v>
      </c>
      <c r="BL33" s="14">
        <f t="shared" ca="1" si="51"/>
        <v>1</v>
      </c>
      <c r="BM33" s="14">
        <f t="shared" ca="1" si="51"/>
        <v>1</v>
      </c>
      <c r="BN33" s="14">
        <f t="shared" ca="1" si="51"/>
        <v>1</v>
      </c>
      <c r="BO33" s="15">
        <f t="shared" ca="1" si="51"/>
        <v>1</v>
      </c>
      <c r="BP33" s="16">
        <f t="shared" ca="1" si="51"/>
        <v>1</v>
      </c>
      <c r="BQ33" s="13">
        <f t="shared" ca="1" si="51"/>
        <v>1</v>
      </c>
      <c r="BR33" s="14">
        <f t="shared" ref="BR33:EC33" ca="1" si="52">IF(AND(BR$5&gt;=$C$11,BR$5&lt;=$E$23),1,"")</f>
        <v>1</v>
      </c>
      <c r="BS33" s="14">
        <f t="shared" ca="1" si="52"/>
        <v>1</v>
      </c>
      <c r="BT33" s="14">
        <f t="shared" ca="1" si="52"/>
        <v>1</v>
      </c>
      <c r="BU33" s="14">
        <f t="shared" ca="1" si="52"/>
        <v>1</v>
      </c>
      <c r="BV33" s="15">
        <f t="shared" ca="1" si="52"/>
        <v>1</v>
      </c>
      <c r="BW33" s="16">
        <f t="shared" ca="1" si="52"/>
        <v>1</v>
      </c>
      <c r="BX33" s="13">
        <f t="shared" ca="1" si="52"/>
        <v>1</v>
      </c>
      <c r="BY33" s="14">
        <f t="shared" ca="1" si="52"/>
        <v>1</v>
      </c>
      <c r="BZ33" s="14">
        <f t="shared" ca="1" si="52"/>
        <v>1</v>
      </c>
      <c r="CA33" s="14">
        <f t="shared" ca="1" si="52"/>
        <v>1</v>
      </c>
      <c r="CB33" s="14">
        <f t="shared" ca="1" si="52"/>
        <v>1</v>
      </c>
      <c r="CC33" s="15">
        <f t="shared" ca="1" si="52"/>
        <v>1</v>
      </c>
      <c r="CD33" s="16">
        <f t="shared" ca="1" si="52"/>
        <v>1</v>
      </c>
      <c r="CE33" s="13">
        <f t="shared" ca="1" si="52"/>
        <v>1</v>
      </c>
      <c r="CF33" s="14">
        <f t="shared" ca="1" si="52"/>
        <v>1</v>
      </c>
      <c r="CG33" s="14">
        <f t="shared" ca="1" si="52"/>
        <v>1</v>
      </c>
      <c r="CH33" s="14">
        <f t="shared" ca="1" si="52"/>
        <v>1</v>
      </c>
      <c r="CI33" s="14">
        <f t="shared" ca="1" si="52"/>
        <v>1</v>
      </c>
      <c r="CJ33" s="15">
        <f t="shared" ca="1" si="52"/>
        <v>1</v>
      </c>
      <c r="CK33" s="16">
        <f t="shared" ca="1" si="52"/>
        <v>1</v>
      </c>
      <c r="CL33" s="13">
        <f t="shared" ca="1" si="52"/>
        <v>1</v>
      </c>
      <c r="CM33" s="14">
        <f t="shared" ca="1" si="52"/>
        <v>1</v>
      </c>
      <c r="CN33" s="14">
        <f t="shared" ca="1" si="52"/>
        <v>1</v>
      </c>
      <c r="CO33" s="14">
        <f t="shared" ca="1" si="52"/>
        <v>1</v>
      </c>
      <c r="CP33" s="14">
        <f t="shared" ca="1" si="52"/>
        <v>1</v>
      </c>
      <c r="CQ33" s="15">
        <f t="shared" ca="1" si="52"/>
        <v>1</v>
      </c>
      <c r="CR33" s="16">
        <f t="shared" ca="1" si="52"/>
        <v>1</v>
      </c>
      <c r="CS33" s="13">
        <f t="shared" ca="1" si="52"/>
        <v>1</v>
      </c>
      <c r="CT33" s="14">
        <f t="shared" ca="1" si="52"/>
        <v>1</v>
      </c>
      <c r="CU33" s="14">
        <f t="shared" ca="1" si="52"/>
        <v>1</v>
      </c>
      <c r="CV33" s="14">
        <f t="shared" ca="1" si="52"/>
        <v>1</v>
      </c>
      <c r="CW33" s="14">
        <f t="shared" ca="1" si="52"/>
        <v>1</v>
      </c>
      <c r="CX33" s="15">
        <f t="shared" ca="1" si="52"/>
        <v>1</v>
      </c>
      <c r="CY33" s="16">
        <f t="shared" ca="1" si="52"/>
        <v>1</v>
      </c>
      <c r="CZ33" s="13">
        <f t="shared" ca="1" si="52"/>
        <v>1</v>
      </c>
      <c r="DA33" s="14">
        <f t="shared" ca="1" si="52"/>
        <v>1</v>
      </c>
      <c r="DB33" s="14">
        <f t="shared" ca="1" si="52"/>
        <v>1</v>
      </c>
      <c r="DC33" s="14">
        <f t="shared" ca="1" si="52"/>
        <v>1</v>
      </c>
      <c r="DD33" s="14">
        <f t="shared" ca="1" si="52"/>
        <v>1</v>
      </c>
      <c r="DE33" s="15">
        <f t="shared" ca="1" si="52"/>
        <v>1</v>
      </c>
      <c r="DF33" s="16">
        <f t="shared" ca="1" si="52"/>
        <v>1</v>
      </c>
      <c r="DG33" s="13" t="str">
        <f t="shared" ca="1" si="52"/>
        <v/>
      </c>
      <c r="DH33" s="14" t="str">
        <f t="shared" ca="1" si="52"/>
        <v/>
      </c>
      <c r="DI33" s="14" t="str">
        <f t="shared" ca="1" si="52"/>
        <v/>
      </c>
      <c r="DJ33" s="14" t="str">
        <f t="shared" ca="1" si="52"/>
        <v/>
      </c>
      <c r="DK33" s="14" t="str">
        <f t="shared" ca="1" si="52"/>
        <v/>
      </c>
      <c r="DL33" s="15" t="str">
        <f t="shared" ca="1" si="52"/>
        <v/>
      </c>
      <c r="DM33" s="16" t="str">
        <f t="shared" ca="1" si="52"/>
        <v/>
      </c>
      <c r="DN33" s="13" t="str">
        <f t="shared" ca="1" si="52"/>
        <v/>
      </c>
      <c r="DO33" s="14" t="str">
        <f t="shared" ca="1" si="52"/>
        <v/>
      </c>
      <c r="DP33" s="14" t="str">
        <f t="shared" ca="1" si="52"/>
        <v/>
      </c>
      <c r="DQ33" s="14" t="str">
        <f t="shared" ca="1" si="52"/>
        <v/>
      </c>
      <c r="DR33" s="14" t="str">
        <f t="shared" ca="1" si="52"/>
        <v/>
      </c>
      <c r="DS33" s="15" t="str">
        <f t="shared" ca="1" si="52"/>
        <v/>
      </c>
      <c r="DT33" s="16" t="str">
        <f t="shared" ca="1" si="52"/>
        <v/>
      </c>
      <c r="DU33" s="13" t="str">
        <f t="shared" ca="1" si="52"/>
        <v/>
      </c>
      <c r="DV33" s="14" t="str">
        <f t="shared" ca="1" si="52"/>
        <v/>
      </c>
      <c r="DW33" s="14" t="str">
        <f t="shared" ca="1" si="52"/>
        <v/>
      </c>
      <c r="DX33" s="14" t="str">
        <f t="shared" ca="1" si="52"/>
        <v/>
      </c>
      <c r="DY33" s="14" t="str">
        <f t="shared" ca="1" si="52"/>
        <v/>
      </c>
      <c r="DZ33" s="15" t="str">
        <f t="shared" ca="1" si="52"/>
        <v/>
      </c>
      <c r="EA33" s="16" t="str">
        <f t="shared" ca="1" si="52"/>
        <v/>
      </c>
      <c r="EB33" s="13" t="str">
        <f t="shared" ca="1" si="52"/>
        <v/>
      </c>
      <c r="EC33" s="14" t="str">
        <f t="shared" ca="1" si="52"/>
        <v/>
      </c>
      <c r="ED33" s="14" t="str">
        <f t="shared" ref="ED33:EH33" ca="1" si="53">IF(AND(ED$5&gt;=$C$11,ED$5&lt;=$E$23),1,"")</f>
        <v/>
      </c>
      <c r="EE33" s="14" t="str">
        <f t="shared" ca="1" si="53"/>
        <v/>
      </c>
      <c r="EF33" s="14" t="str">
        <f t="shared" ca="1" si="53"/>
        <v/>
      </c>
      <c r="EG33" s="15" t="str">
        <f t="shared" ca="1" si="53"/>
        <v/>
      </c>
      <c r="EH33" s="16" t="str">
        <f t="shared" ca="1" si="53"/>
        <v/>
      </c>
    </row>
    <row r="34" spans="1:138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  <c r="DU34" s="13"/>
      <c r="DV34" s="14"/>
      <c r="DW34" s="14"/>
      <c r="DX34" s="14"/>
      <c r="DY34" s="14"/>
      <c r="DZ34" s="15"/>
      <c r="EA34" s="16"/>
      <c r="EB34" s="13"/>
      <c r="EC34" s="14"/>
      <c r="ED34" s="14"/>
      <c r="EE34" s="14"/>
      <c r="EF34" s="14"/>
      <c r="EG34" s="15"/>
      <c r="EH34" s="16"/>
    </row>
    <row r="35" spans="1:138" s="17" customFormat="1" ht="15" customHeight="1">
      <c r="A35" s="591" t="s">
        <v>59</v>
      </c>
      <c r="B35" s="591"/>
      <c r="C35" s="592">
        <f ca="1">E23-C8+1</f>
        <v>104</v>
      </c>
      <c r="D35" s="592"/>
      <c r="E35" s="593"/>
      <c r="F35" s="14" t="str">
        <f t="shared" ref="F35:BQ35" ca="1" si="54">IF(AND(F$5&gt;=$C$8,F$5&lt;=$E$23),1,"")</f>
        <v/>
      </c>
      <c r="G35" s="14">
        <f t="shared" ca="1" si="54"/>
        <v>1</v>
      </c>
      <c r="H35" s="14">
        <f t="shared" ca="1" si="54"/>
        <v>1</v>
      </c>
      <c r="I35" s="14">
        <f t="shared" ca="1" si="54"/>
        <v>1</v>
      </c>
      <c r="J35" s="14">
        <f t="shared" ca="1" si="54"/>
        <v>1</v>
      </c>
      <c r="K35" s="15">
        <f t="shared" ca="1" si="54"/>
        <v>1</v>
      </c>
      <c r="L35" s="16">
        <f ca="1">IF(AND(L$5&gt;=$C$8,L$5&lt;=$E$23),1,"")</f>
        <v>1</v>
      </c>
      <c r="M35" s="13">
        <f t="shared" ca="1" si="54"/>
        <v>1</v>
      </c>
      <c r="N35" s="14">
        <f t="shared" ca="1" si="54"/>
        <v>1</v>
      </c>
      <c r="O35" s="14">
        <f t="shared" ca="1" si="54"/>
        <v>1</v>
      </c>
      <c r="P35" s="14">
        <f t="shared" ca="1" si="54"/>
        <v>1</v>
      </c>
      <c r="Q35" s="14">
        <f t="shared" ca="1" si="54"/>
        <v>1</v>
      </c>
      <c r="R35" s="15">
        <f t="shared" ca="1" si="54"/>
        <v>1</v>
      </c>
      <c r="S35" s="16">
        <f t="shared" ca="1" si="54"/>
        <v>1</v>
      </c>
      <c r="T35" s="13">
        <f t="shared" ca="1" si="54"/>
        <v>1</v>
      </c>
      <c r="U35" s="14">
        <f t="shared" ca="1" si="54"/>
        <v>1</v>
      </c>
      <c r="V35" s="14">
        <f t="shared" ca="1" si="54"/>
        <v>1</v>
      </c>
      <c r="W35" s="14">
        <f t="shared" ca="1" si="54"/>
        <v>1</v>
      </c>
      <c r="X35" s="14">
        <f t="shared" ca="1" si="54"/>
        <v>1</v>
      </c>
      <c r="Y35" s="15">
        <f t="shared" ca="1" si="54"/>
        <v>1</v>
      </c>
      <c r="Z35" s="16">
        <f t="shared" ca="1" si="54"/>
        <v>1</v>
      </c>
      <c r="AA35" s="13">
        <f t="shared" ca="1" si="54"/>
        <v>1</v>
      </c>
      <c r="AB35" s="14">
        <f t="shared" ca="1" si="54"/>
        <v>1</v>
      </c>
      <c r="AC35" s="14">
        <f t="shared" ca="1" si="54"/>
        <v>1</v>
      </c>
      <c r="AD35" s="14">
        <f t="shared" ca="1" si="54"/>
        <v>1</v>
      </c>
      <c r="AE35" s="14">
        <f t="shared" ca="1" si="54"/>
        <v>1</v>
      </c>
      <c r="AF35" s="15">
        <f t="shared" ca="1" si="54"/>
        <v>1</v>
      </c>
      <c r="AG35" s="16">
        <f t="shared" ca="1" si="54"/>
        <v>1</v>
      </c>
      <c r="AH35" s="13">
        <f t="shared" ca="1" si="54"/>
        <v>1</v>
      </c>
      <c r="AI35" s="14">
        <f t="shared" ca="1" si="54"/>
        <v>1</v>
      </c>
      <c r="AJ35" s="14">
        <f t="shared" ca="1" si="54"/>
        <v>1</v>
      </c>
      <c r="AK35" s="14">
        <f t="shared" ca="1" si="54"/>
        <v>1</v>
      </c>
      <c r="AL35" s="14">
        <f t="shared" ca="1" si="54"/>
        <v>1</v>
      </c>
      <c r="AM35" s="15">
        <f t="shared" ca="1" si="54"/>
        <v>1</v>
      </c>
      <c r="AN35" s="16">
        <f t="shared" ca="1" si="54"/>
        <v>1</v>
      </c>
      <c r="AO35" s="13">
        <f t="shared" ca="1" si="54"/>
        <v>1</v>
      </c>
      <c r="AP35" s="14">
        <f t="shared" ca="1" si="54"/>
        <v>1</v>
      </c>
      <c r="AQ35" s="14">
        <f t="shared" ca="1" si="54"/>
        <v>1</v>
      </c>
      <c r="AR35" s="14">
        <f t="shared" ca="1" si="54"/>
        <v>1</v>
      </c>
      <c r="AS35" s="14">
        <f t="shared" ca="1" si="54"/>
        <v>1</v>
      </c>
      <c r="AT35" s="15">
        <f t="shared" ca="1" si="54"/>
        <v>1</v>
      </c>
      <c r="AU35" s="16">
        <f t="shared" ca="1" si="54"/>
        <v>1</v>
      </c>
      <c r="AV35" s="13">
        <f t="shared" ca="1" si="54"/>
        <v>1</v>
      </c>
      <c r="AW35" s="14">
        <f t="shared" ca="1" si="54"/>
        <v>1</v>
      </c>
      <c r="AX35" s="14">
        <f t="shared" ca="1" si="54"/>
        <v>1</v>
      </c>
      <c r="AY35" s="14">
        <f t="shared" ca="1" si="54"/>
        <v>1</v>
      </c>
      <c r="AZ35" s="14">
        <f t="shared" ca="1" si="54"/>
        <v>1</v>
      </c>
      <c r="BA35" s="15">
        <f t="shared" ca="1" si="54"/>
        <v>1</v>
      </c>
      <c r="BB35" s="16">
        <f t="shared" ca="1" si="54"/>
        <v>1</v>
      </c>
      <c r="BC35" s="13">
        <f t="shared" ca="1" si="54"/>
        <v>1</v>
      </c>
      <c r="BD35" s="14">
        <f t="shared" ca="1" si="54"/>
        <v>1</v>
      </c>
      <c r="BE35" s="14">
        <f t="shared" ca="1" si="54"/>
        <v>1</v>
      </c>
      <c r="BF35" s="14">
        <f t="shared" ca="1" si="54"/>
        <v>1</v>
      </c>
      <c r="BG35" s="14">
        <f t="shared" ca="1" si="54"/>
        <v>1</v>
      </c>
      <c r="BH35" s="15">
        <f t="shared" ca="1" si="54"/>
        <v>1</v>
      </c>
      <c r="BI35" s="16">
        <f t="shared" ca="1" si="54"/>
        <v>1</v>
      </c>
      <c r="BJ35" s="13">
        <f t="shared" ca="1" si="54"/>
        <v>1</v>
      </c>
      <c r="BK35" s="14">
        <f t="shared" ca="1" si="54"/>
        <v>1</v>
      </c>
      <c r="BL35" s="14">
        <f t="shared" ca="1" si="54"/>
        <v>1</v>
      </c>
      <c r="BM35" s="14">
        <f t="shared" ca="1" si="54"/>
        <v>1</v>
      </c>
      <c r="BN35" s="14">
        <f t="shared" ca="1" si="54"/>
        <v>1</v>
      </c>
      <c r="BO35" s="15">
        <f t="shared" ca="1" si="54"/>
        <v>1</v>
      </c>
      <c r="BP35" s="16">
        <f t="shared" ca="1" si="54"/>
        <v>1</v>
      </c>
      <c r="BQ35" s="13">
        <f t="shared" ca="1" si="54"/>
        <v>1</v>
      </c>
      <c r="BR35" s="14">
        <f t="shared" ref="BR35:EC35" ca="1" si="55">IF(AND(BR$5&gt;=$C$8,BR$5&lt;=$E$23),1,"")</f>
        <v>1</v>
      </c>
      <c r="BS35" s="14">
        <f t="shared" ca="1" si="55"/>
        <v>1</v>
      </c>
      <c r="BT35" s="14">
        <f t="shared" ca="1" si="55"/>
        <v>1</v>
      </c>
      <c r="BU35" s="14">
        <f t="shared" ca="1" si="55"/>
        <v>1</v>
      </c>
      <c r="BV35" s="15">
        <f t="shared" ca="1" si="55"/>
        <v>1</v>
      </c>
      <c r="BW35" s="16">
        <f t="shared" ca="1" si="55"/>
        <v>1</v>
      </c>
      <c r="BX35" s="13">
        <f t="shared" ca="1" si="55"/>
        <v>1</v>
      </c>
      <c r="BY35" s="14">
        <f t="shared" ca="1" si="55"/>
        <v>1</v>
      </c>
      <c r="BZ35" s="14">
        <f t="shared" ca="1" si="55"/>
        <v>1</v>
      </c>
      <c r="CA35" s="14">
        <f t="shared" ca="1" si="55"/>
        <v>1</v>
      </c>
      <c r="CB35" s="14">
        <f t="shared" ca="1" si="55"/>
        <v>1</v>
      </c>
      <c r="CC35" s="15">
        <f t="shared" ca="1" si="55"/>
        <v>1</v>
      </c>
      <c r="CD35" s="16">
        <f t="shared" ca="1" si="55"/>
        <v>1</v>
      </c>
      <c r="CE35" s="13">
        <f t="shared" ca="1" si="55"/>
        <v>1</v>
      </c>
      <c r="CF35" s="14">
        <f t="shared" ca="1" si="55"/>
        <v>1</v>
      </c>
      <c r="CG35" s="14">
        <f t="shared" ca="1" si="55"/>
        <v>1</v>
      </c>
      <c r="CH35" s="14">
        <f t="shared" ca="1" si="55"/>
        <v>1</v>
      </c>
      <c r="CI35" s="14">
        <f t="shared" ca="1" si="55"/>
        <v>1</v>
      </c>
      <c r="CJ35" s="15">
        <f t="shared" ca="1" si="55"/>
        <v>1</v>
      </c>
      <c r="CK35" s="16">
        <f t="shared" ca="1" si="55"/>
        <v>1</v>
      </c>
      <c r="CL35" s="13">
        <f t="shared" ca="1" si="55"/>
        <v>1</v>
      </c>
      <c r="CM35" s="14">
        <f t="shared" ca="1" si="55"/>
        <v>1</v>
      </c>
      <c r="CN35" s="14">
        <f t="shared" ca="1" si="55"/>
        <v>1</v>
      </c>
      <c r="CO35" s="14">
        <f t="shared" ca="1" si="55"/>
        <v>1</v>
      </c>
      <c r="CP35" s="14">
        <f t="shared" ca="1" si="55"/>
        <v>1</v>
      </c>
      <c r="CQ35" s="15">
        <f t="shared" ca="1" si="55"/>
        <v>1</v>
      </c>
      <c r="CR35" s="16">
        <f t="shared" ca="1" si="55"/>
        <v>1</v>
      </c>
      <c r="CS35" s="13">
        <f t="shared" ca="1" si="55"/>
        <v>1</v>
      </c>
      <c r="CT35" s="14">
        <f t="shared" ca="1" si="55"/>
        <v>1</v>
      </c>
      <c r="CU35" s="14">
        <f t="shared" ca="1" si="55"/>
        <v>1</v>
      </c>
      <c r="CV35" s="14">
        <f t="shared" ca="1" si="55"/>
        <v>1</v>
      </c>
      <c r="CW35" s="14">
        <f t="shared" ca="1" si="55"/>
        <v>1</v>
      </c>
      <c r="CX35" s="15">
        <f t="shared" ca="1" si="55"/>
        <v>1</v>
      </c>
      <c r="CY35" s="16">
        <f t="shared" ca="1" si="55"/>
        <v>1</v>
      </c>
      <c r="CZ35" s="13">
        <f t="shared" ca="1" si="55"/>
        <v>1</v>
      </c>
      <c r="DA35" s="14">
        <f t="shared" ca="1" si="55"/>
        <v>1</v>
      </c>
      <c r="DB35" s="14">
        <f t="shared" ca="1" si="55"/>
        <v>1</v>
      </c>
      <c r="DC35" s="14">
        <f t="shared" ca="1" si="55"/>
        <v>1</v>
      </c>
      <c r="DD35" s="14">
        <f t="shared" ca="1" si="55"/>
        <v>1</v>
      </c>
      <c r="DE35" s="15">
        <f t="shared" ca="1" si="55"/>
        <v>1</v>
      </c>
      <c r="DF35" s="16">
        <f t="shared" ca="1" si="55"/>
        <v>1</v>
      </c>
      <c r="DG35" s="13" t="str">
        <f t="shared" ca="1" si="55"/>
        <v/>
      </c>
      <c r="DH35" s="14" t="str">
        <f t="shared" ca="1" si="55"/>
        <v/>
      </c>
      <c r="DI35" s="14" t="str">
        <f t="shared" ca="1" si="55"/>
        <v/>
      </c>
      <c r="DJ35" s="14" t="str">
        <f t="shared" ca="1" si="55"/>
        <v/>
      </c>
      <c r="DK35" s="14" t="str">
        <f t="shared" ca="1" si="55"/>
        <v/>
      </c>
      <c r="DL35" s="15" t="str">
        <f t="shared" ca="1" si="55"/>
        <v/>
      </c>
      <c r="DM35" s="16" t="str">
        <f t="shared" ca="1" si="55"/>
        <v/>
      </c>
      <c r="DN35" s="13" t="str">
        <f t="shared" ca="1" si="55"/>
        <v/>
      </c>
      <c r="DO35" s="14" t="str">
        <f t="shared" ca="1" si="55"/>
        <v/>
      </c>
      <c r="DP35" s="14" t="str">
        <f t="shared" ca="1" si="55"/>
        <v/>
      </c>
      <c r="DQ35" s="14" t="str">
        <f t="shared" ca="1" si="55"/>
        <v/>
      </c>
      <c r="DR35" s="14" t="str">
        <f t="shared" ca="1" si="55"/>
        <v/>
      </c>
      <c r="DS35" s="15" t="str">
        <f t="shared" ca="1" si="55"/>
        <v/>
      </c>
      <c r="DT35" s="16" t="str">
        <f t="shared" ca="1" si="55"/>
        <v/>
      </c>
      <c r="DU35" s="13" t="str">
        <f t="shared" ca="1" si="55"/>
        <v/>
      </c>
      <c r="DV35" s="14" t="str">
        <f t="shared" ca="1" si="55"/>
        <v/>
      </c>
      <c r="DW35" s="14" t="str">
        <f t="shared" ca="1" si="55"/>
        <v/>
      </c>
      <c r="DX35" s="14" t="str">
        <f t="shared" ca="1" si="55"/>
        <v/>
      </c>
      <c r="DY35" s="14" t="str">
        <f t="shared" ca="1" si="55"/>
        <v/>
      </c>
      <c r="DZ35" s="15" t="str">
        <f t="shared" ca="1" si="55"/>
        <v/>
      </c>
      <c r="EA35" s="16" t="str">
        <f t="shared" ca="1" si="55"/>
        <v/>
      </c>
      <c r="EB35" s="13" t="str">
        <f t="shared" ca="1" si="55"/>
        <v/>
      </c>
      <c r="EC35" s="14" t="str">
        <f t="shared" ca="1" si="55"/>
        <v/>
      </c>
      <c r="ED35" s="14" t="str">
        <f t="shared" ref="ED35:EH35" ca="1" si="56">IF(AND(ED$5&gt;=$C$8,ED$5&lt;=$E$23),1,"")</f>
        <v/>
      </c>
      <c r="EE35" s="14" t="str">
        <f t="shared" ca="1" si="56"/>
        <v/>
      </c>
      <c r="EF35" s="14" t="str">
        <f t="shared" ca="1" si="56"/>
        <v/>
      </c>
      <c r="EG35" s="15" t="str">
        <f t="shared" ca="1" si="56"/>
        <v/>
      </c>
      <c r="EH35" s="16" t="str">
        <f t="shared" ca="1" si="56"/>
        <v/>
      </c>
    </row>
    <row r="36" spans="1:138" ht="2.1" customHeight="1"/>
    <row r="37" spans="1:138" s="17" customFormat="1" ht="15" customHeight="1">
      <c r="A37" s="594" t="s">
        <v>68</v>
      </c>
      <c r="B37" s="594"/>
      <c r="C37" s="595">
        <f ca="1">E23-IF(B1="SFK Freight Forwarder",C11,C8)+1</f>
        <v>104</v>
      </c>
      <c r="D37" s="595"/>
      <c r="E37" s="596"/>
      <c r="F37" s="14" t="str">
        <f t="shared" ref="F37:K37" ca="1" si="57">IF($B$1="SFK Freight Forwarder",IF(AND(F$5&gt;=$C$11,F$5&lt;=$E$23),1,""),IF(AND(F$5&gt;=$C$8,F$5&lt;=$E$23),1,""))</f>
        <v/>
      </c>
      <c r="G37" s="14">
        <f t="shared" ca="1" si="57"/>
        <v>1</v>
      </c>
      <c r="H37" s="14">
        <f t="shared" ca="1" si="57"/>
        <v>1</v>
      </c>
      <c r="I37" s="14">
        <f t="shared" ca="1" si="57"/>
        <v>1</v>
      </c>
      <c r="J37" s="14">
        <f t="shared" ca="1" si="57"/>
        <v>1</v>
      </c>
      <c r="K37" s="15">
        <f t="shared" ca="1" si="57"/>
        <v>1</v>
      </c>
      <c r="L37" s="94">
        <f ca="1">IF($B$1="SFK Freight Forwarder",IF(AND(L$5&gt;=$C$11,L$5&lt;=$E$23),1,""),IF(AND(L$5&gt;=$C$8,L$5&lt;=$E$23),1,""))</f>
        <v>1</v>
      </c>
      <c r="M37" s="13">
        <f t="shared" ref="M37:BX37" ca="1" si="58">IF($B$1="SFK Freight Forwarder",IF(AND(M$5&gt;=$C$11,M$5&lt;=$E$23),1,""),IF(AND(M$5&gt;=$C$8,M$5&lt;=$E$23),1,""))</f>
        <v>1</v>
      </c>
      <c r="N37" s="14">
        <f t="shared" ca="1" si="58"/>
        <v>1</v>
      </c>
      <c r="O37" s="14">
        <f t="shared" ca="1" si="58"/>
        <v>1</v>
      </c>
      <c r="P37" s="14">
        <f t="shared" ca="1" si="58"/>
        <v>1</v>
      </c>
      <c r="Q37" s="14">
        <f t="shared" ca="1" si="58"/>
        <v>1</v>
      </c>
      <c r="R37" s="15">
        <f t="shared" ca="1" si="58"/>
        <v>1</v>
      </c>
      <c r="S37" s="16">
        <f t="shared" ca="1" si="58"/>
        <v>1</v>
      </c>
      <c r="T37" s="13">
        <f t="shared" ca="1" si="58"/>
        <v>1</v>
      </c>
      <c r="U37" s="14">
        <f t="shared" ca="1" si="58"/>
        <v>1</v>
      </c>
      <c r="V37" s="14">
        <f t="shared" ca="1" si="58"/>
        <v>1</v>
      </c>
      <c r="W37" s="14">
        <f t="shared" ca="1" si="58"/>
        <v>1</v>
      </c>
      <c r="X37" s="14">
        <f t="shared" ca="1" si="58"/>
        <v>1</v>
      </c>
      <c r="Y37" s="15">
        <f t="shared" ca="1" si="58"/>
        <v>1</v>
      </c>
      <c r="Z37" s="16">
        <f t="shared" ca="1" si="58"/>
        <v>1</v>
      </c>
      <c r="AA37" s="13">
        <f t="shared" ca="1" si="58"/>
        <v>1</v>
      </c>
      <c r="AB37" s="14">
        <f t="shared" ca="1" si="58"/>
        <v>1</v>
      </c>
      <c r="AC37" s="14">
        <f t="shared" ca="1" si="58"/>
        <v>1</v>
      </c>
      <c r="AD37" s="14">
        <f t="shared" ca="1" si="58"/>
        <v>1</v>
      </c>
      <c r="AE37" s="14">
        <f t="shared" ca="1" si="58"/>
        <v>1</v>
      </c>
      <c r="AF37" s="15">
        <f t="shared" ca="1" si="58"/>
        <v>1</v>
      </c>
      <c r="AG37" s="16">
        <f t="shared" ca="1" si="58"/>
        <v>1</v>
      </c>
      <c r="AH37" s="13">
        <f t="shared" ca="1" si="58"/>
        <v>1</v>
      </c>
      <c r="AI37" s="14">
        <f t="shared" ca="1" si="58"/>
        <v>1</v>
      </c>
      <c r="AJ37" s="14">
        <f t="shared" ca="1" si="58"/>
        <v>1</v>
      </c>
      <c r="AK37" s="14">
        <f t="shared" ca="1" si="58"/>
        <v>1</v>
      </c>
      <c r="AL37" s="14">
        <f t="shared" ca="1" si="58"/>
        <v>1</v>
      </c>
      <c r="AM37" s="15">
        <f t="shared" ca="1" si="58"/>
        <v>1</v>
      </c>
      <c r="AN37" s="16">
        <f t="shared" ca="1" si="58"/>
        <v>1</v>
      </c>
      <c r="AO37" s="13">
        <f t="shared" ca="1" si="58"/>
        <v>1</v>
      </c>
      <c r="AP37" s="14">
        <f t="shared" ca="1" si="58"/>
        <v>1</v>
      </c>
      <c r="AQ37" s="14">
        <f t="shared" ca="1" si="58"/>
        <v>1</v>
      </c>
      <c r="AR37" s="14">
        <f t="shared" ca="1" si="58"/>
        <v>1</v>
      </c>
      <c r="AS37" s="14">
        <f t="shared" ca="1" si="58"/>
        <v>1</v>
      </c>
      <c r="AT37" s="15">
        <f t="shared" ca="1" si="58"/>
        <v>1</v>
      </c>
      <c r="AU37" s="16">
        <f t="shared" ca="1" si="58"/>
        <v>1</v>
      </c>
      <c r="AV37" s="13">
        <f t="shared" ca="1" si="58"/>
        <v>1</v>
      </c>
      <c r="AW37" s="14">
        <f t="shared" ca="1" si="58"/>
        <v>1</v>
      </c>
      <c r="AX37" s="14">
        <f t="shared" ca="1" si="58"/>
        <v>1</v>
      </c>
      <c r="AY37" s="14">
        <f t="shared" ca="1" si="58"/>
        <v>1</v>
      </c>
      <c r="AZ37" s="14">
        <f t="shared" ca="1" si="58"/>
        <v>1</v>
      </c>
      <c r="BA37" s="15">
        <f t="shared" ca="1" si="58"/>
        <v>1</v>
      </c>
      <c r="BB37" s="16">
        <f t="shared" ca="1" si="58"/>
        <v>1</v>
      </c>
      <c r="BC37" s="13">
        <f t="shared" ca="1" si="58"/>
        <v>1</v>
      </c>
      <c r="BD37" s="14">
        <f t="shared" ca="1" si="58"/>
        <v>1</v>
      </c>
      <c r="BE37" s="14">
        <f t="shared" ca="1" si="58"/>
        <v>1</v>
      </c>
      <c r="BF37" s="14">
        <f t="shared" ca="1" si="58"/>
        <v>1</v>
      </c>
      <c r="BG37" s="14">
        <f t="shared" ca="1" si="58"/>
        <v>1</v>
      </c>
      <c r="BH37" s="15">
        <f t="shared" ca="1" si="58"/>
        <v>1</v>
      </c>
      <c r="BI37" s="16">
        <f t="shared" ca="1" si="58"/>
        <v>1</v>
      </c>
      <c r="BJ37" s="13">
        <f t="shared" ca="1" si="58"/>
        <v>1</v>
      </c>
      <c r="BK37" s="14">
        <f t="shared" ca="1" si="58"/>
        <v>1</v>
      </c>
      <c r="BL37" s="14">
        <f t="shared" ca="1" si="58"/>
        <v>1</v>
      </c>
      <c r="BM37" s="14">
        <f t="shared" ca="1" si="58"/>
        <v>1</v>
      </c>
      <c r="BN37" s="14">
        <f t="shared" ca="1" si="58"/>
        <v>1</v>
      </c>
      <c r="BO37" s="15">
        <f t="shared" ca="1" si="58"/>
        <v>1</v>
      </c>
      <c r="BP37" s="16">
        <f t="shared" ca="1" si="58"/>
        <v>1</v>
      </c>
      <c r="BQ37" s="13">
        <f t="shared" ca="1" si="58"/>
        <v>1</v>
      </c>
      <c r="BR37" s="14">
        <f t="shared" ca="1" si="58"/>
        <v>1</v>
      </c>
      <c r="BS37" s="14">
        <f t="shared" ca="1" si="58"/>
        <v>1</v>
      </c>
      <c r="BT37" s="14">
        <f t="shared" ca="1" si="58"/>
        <v>1</v>
      </c>
      <c r="BU37" s="14">
        <f t="shared" ca="1" si="58"/>
        <v>1</v>
      </c>
      <c r="BV37" s="15">
        <f t="shared" ca="1" si="58"/>
        <v>1</v>
      </c>
      <c r="BW37" s="16">
        <f t="shared" ca="1" si="58"/>
        <v>1</v>
      </c>
      <c r="BX37" s="13">
        <f t="shared" ca="1" si="58"/>
        <v>1</v>
      </c>
      <c r="BY37" s="14">
        <f t="shared" ref="BY37:EH37" ca="1" si="59">IF($B$1="SFK Freight Forwarder",IF(AND(BY$5&gt;=$C$11,BY$5&lt;=$E$23),1,""),IF(AND(BY$5&gt;=$C$8,BY$5&lt;=$E$23),1,""))</f>
        <v>1</v>
      </c>
      <c r="BZ37" s="14">
        <f t="shared" ca="1" si="59"/>
        <v>1</v>
      </c>
      <c r="CA37" s="14">
        <f t="shared" ca="1" si="59"/>
        <v>1</v>
      </c>
      <c r="CB37" s="14">
        <f t="shared" ca="1" si="59"/>
        <v>1</v>
      </c>
      <c r="CC37" s="15">
        <f t="shared" ca="1" si="59"/>
        <v>1</v>
      </c>
      <c r="CD37" s="16">
        <f t="shared" ca="1" si="59"/>
        <v>1</v>
      </c>
      <c r="CE37" s="13">
        <f t="shared" ca="1" si="59"/>
        <v>1</v>
      </c>
      <c r="CF37" s="14">
        <f t="shared" ca="1" si="59"/>
        <v>1</v>
      </c>
      <c r="CG37" s="14">
        <f t="shared" ca="1" si="59"/>
        <v>1</v>
      </c>
      <c r="CH37" s="14">
        <f t="shared" ca="1" si="59"/>
        <v>1</v>
      </c>
      <c r="CI37" s="14">
        <f t="shared" ca="1" si="59"/>
        <v>1</v>
      </c>
      <c r="CJ37" s="15">
        <f t="shared" ca="1" si="59"/>
        <v>1</v>
      </c>
      <c r="CK37" s="16">
        <f t="shared" ca="1" si="59"/>
        <v>1</v>
      </c>
      <c r="CL37" s="13">
        <f t="shared" ca="1" si="59"/>
        <v>1</v>
      </c>
      <c r="CM37" s="14">
        <f t="shared" ca="1" si="59"/>
        <v>1</v>
      </c>
      <c r="CN37" s="14">
        <f t="shared" ca="1" si="59"/>
        <v>1</v>
      </c>
      <c r="CO37" s="14">
        <f t="shared" ca="1" si="59"/>
        <v>1</v>
      </c>
      <c r="CP37" s="14">
        <f t="shared" ca="1" si="59"/>
        <v>1</v>
      </c>
      <c r="CQ37" s="15">
        <f t="shared" ca="1" si="59"/>
        <v>1</v>
      </c>
      <c r="CR37" s="16">
        <f t="shared" ca="1" si="59"/>
        <v>1</v>
      </c>
      <c r="CS37" s="13">
        <f t="shared" ca="1" si="59"/>
        <v>1</v>
      </c>
      <c r="CT37" s="14">
        <f t="shared" ca="1" si="59"/>
        <v>1</v>
      </c>
      <c r="CU37" s="14">
        <f t="shared" ca="1" si="59"/>
        <v>1</v>
      </c>
      <c r="CV37" s="14">
        <f t="shared" ca="1" si="59"/>
        <v>1</v>
      </c>
      <c r="CW37" s="14">
        <f t="shared" ca="1" si="59"/>
        <v>1</v>
      </c>
      <c r="CX37" s="15">
        <f t="shared" ca="1" si="59"/>
        <v>1</v>
      </c>
      <c r="CY37" s="16">
        <f t="shared" ca="1" si="59"/>
        <v>1</v>
      </c>
      <c r="CZ37" s="13">
        <f t="shared" ca="1" si="59"/>
        <v>1</v>
      </c>
      <c r="DA37" s="14">
        <f t="shared" ca="1" si="59"/>
        <v>1</v>
      </c>
      <c r="DB37" s="14">
        <f t="shared" ca="1" si="59"/>
        <v>1</v>
      </c>
      <c r="DC37" s="14">
        <f t="shared" ca="1" si="59"/>
        <v>1</v>
      </c>
      <c r="DD37" s="14">
        <f t="shared" ca="1" si="59"/>
        <v>1</v>
      </c>
      <c r="DE37" s="15">
        <f t="shared" ca="1" si="59"/>
        <v>1</v>
      </c>
      <c r="DF37" s="16">
        <f t="shared" ca="1" si="59"/>
        <v>1</v>
      </c>
      <c r="DG37" s="13" t="str">
        <f t="shared" ca="1" si="59"/>
        <v/>
      </c>
      <c r="DH37" s="14" t="str">
        <f t="shared" ca="1" si="59"/>
        <v/>
      </c>
      <c r="DI37" s="14" t="str">
        <f t="shared" ca="1" si="59"/>
        <v/>
      </c>
      <c r="DJ37" s="14" t="str">
        <f t="shared" ca="1" si="59"/>
        <v/>
      </c>
      <c r="DK37" s="14" t="str">
        <f t="shared" ca="1" si="59"/>
        <v/>
      </c>
      <c r="DL37" s="15" t="str">
        <f t="shared" ca="1" si="59"/>
        <v/>
      </c>
      <c r="DM37" s="16" t="str">
        <f t="shared" ca="1" si="59"/>
        <v/>
      </c>
      <c r="DN37" s="13" t="str">
        <f t="shared" ca="1" si="59"/>
        <v/>
      </c>
      <c r="DO37" s="14" t="str">
        <f t="shared" ca="1" si="59"/>
        <v/>
      </c>
      <c r="DP37" s="14" t="str">
        <f t="shared" ca="1" si="59"/>
        <v/>
      </c>
      <c r="DQ37" s="14" t="str">
        <f t="shared" ca="1" si="59"/>
        <v/>
      </c>
      <c r="DR37" s="14" t="str">
        <f t="shared" ca="1" si="59"/>
        <v/>
      </c>
      <c r="DS37" s="15" t="str">
        <f t="shared" ca="1" si="59"/>
        <v/>
      </c>
      <c r="DT37" s="16" t="str">
        <f t="shared" ca="1" si="59"/>
        <v/>
      </c>
      <c r="DU37" s="13" t="str">
        <f t="shared" ca="1" si="59"/>
        <v/>
      </c>
      <c r="DV37" s="14" t="str">
        <f t="shared" ca="1" si="59"/>
        <v/>
      </c>
      <c r="DW37" s="14" t="str">
        <f t="shared" ca="1" si="59"/>
        <v/>
      </c>
      <c r="DX37" s="14" t="str">
        <f t="shared" ca="1" si="59"/>
        <v/>
      </c>
      <c r="DY37" s="14" t="str">
        <f t="shared" ca="1" si="59"/>
        <v/>
      </c>
      <c r="DZ37" s="15" t="str">
        <f t="shared" ca="1" si="59"/>
        <v/>
      </c>
      <c r="EA37" s="16" t="str">
        <f t="shared" ca="1" si="59"/>
        <v/>
      </c>
      <c r="EB37" s="13" t="str">
        <f t="shared" ca="1" si="59"/>
        <v/>
      </c>
      <c r="EC37" s="14" t="str">
        <f t="shared" ca="1" si="59"/>
        <v/>
      </c>
      <c r="ED37" s="14" t="str">
        <f t="shared" ca="1" si="59"/>
        <v/>
      </c>
      <c r="EE37" s="14" t="str">
        <f t="shared" ca="1" si="59"/>
        <v/>
      </c>
      <c r="EF37" s="14" t="str">
        <f t="shared" ca="1" si="59"/>
        <v/>
      </c>
      <c r="EG37" s="15" t="str">
        <f t="shared" ca="1" si="59"/>
        <v/>
      </c>
      <c r="EH37" s="16" t="str">
        <f t="shared" ca="1" si="59"/>
        <v/>
      </c>
    </row>
    <row r="38" spans="1:138" ht="2.25" customHeight="1"/>
    <row r="39" spans="1:138" ht="2.1" customHeight="1"/>
    <row r="40" spans="1:138" s="17" customFormat="1" ht="15.75">
      <c r="A40" s="606" t="s">
        <v>69</v>
      </c>
      <c r="B40" s="606"/>
      <c r="C40" s="607">
        <f ca="1">VLOOKUP(B7&amp;"-Actif",'DATA BTO'!A:Q,17,FALSE)</f>
        <v>14</v>
      </c>
      <c r="D40" s="607"/>
      <c r="E40" s="608"/>
      <c r="F40" s="14" t="str">
        <f ca="1">IF(AND(F$5&gt;$C$35+$C$8+$D$24-1,F$5&lt;=(VLOOKUP($B$7&amp;"-Actif",'DATA BTO'!$A:$Q,17,FALSE)+$C$35+$D$24)+$C$8-1),1,"")</f>
        <v/>
      </c>
      <c r="G40" s="14" t="str">
        <f ca="1">IF(AND(G$5&gt;$C$35+$C$8+$D$24-1,G$5&lt;=(VLOOKUP($B$7&amp;"-Actif",'DATA BTO'!$A:$Q,17,FALSE)+$C$35+$D$24)+$C$8-1),1,"")</f>
        <v/>
      </c>
      <c r="H40" s="14" t="str">
        <f ca="1">IF(AND(H$5&gt;$C$35+$C$8+$D$24-1,H$5&lt;=(VLOOKUP($B$7&amp;"-Actif",'DATA BTO'!$A:$Q,17,FALSE)+$C$35+$D$24)+$C$8-1),1,"")</f>
        <v/>
      </c>
      <c r="I40" s="14" t="str">
        <f ca="1">IF(AND(I$5&gt;$C$35+$C$8+$D$24-1,I$5&lt;=(VLOOKUP($B$7&amp;"-Actif",'DATA BTO'!$A:$Q,17,FALSE)+$C$35+$D$24)+$C$8-1),1,"")</f>
        <v/>
      </c>
      <c r="J40" s="14" t="str">
        <f ca="1">IF(AND(J$5&gt;$C$35+$C$8+$D$24-1,J$5&lt;=(VLOOKUP($B$7&amp;"-Actif",'DATA BTO'!$A:$Q,17,FALSE)+$C$35+$D$24)+$C$8-1),1,"")</f>
        <v/>
      </c>
      <c r="K40" s="15" t="str">
        <f ca="1">IF(AND(K$5&gt;$C$35+$C$8+$D$24-1,K$5&lt;=(VLOOKUP($B$7&amp;"-Actif",'DATA BTO'!$A:$Q,17,FALSE)+$C$35+$D$24)+$C$8-1),1,"")</f>
        <v/>
      </c>
      <c r="L40" s="94" t="str">
        <f ca="1">IF(AND(L$5&gt;$C$35+$C$8+$D$24-1,L$5&lt;=(VLOOKUP($B$7&amp;"-Actif",'DATA BTO'!$A:$Q,17,FALSE)+$C$35+$D$24)+$C$8-1),1,"")</f>
        <v/>
      </c>
      <c r="M40" s="13" t="str">
        <f ca="1">IF(AND(M$5&gt;$C$35+$C$8+$D$24-1,M$5&lt;=(VLOOKUP($B$7&amp;"-Actif",'DATA BTO'!$A:$Q,17,FALSE)+$C$35+$D$24)+$C$8-1),1,"")</f>
        <v/>
      </c>
      <c r="N40" s="14" t="str">
        <f ca="1">IF(AND(N$5&gt;$C$35+$C$8+$D$24-1,N$5&lt;=(VLOOKUP($B$7&amp;"-Actif",'DATA BTO'!$A:$Q,17,FALSE)+$C$35+$D$24)+$C$8-1),1,"")</f>
        <v/>
      </c>
      <c r="O40" s="14" t="str">
        <f ca="1">IF(AND(O$5&gt;$C$35+$C$8+$D$24-1,O$5&lt;=(VLOOKUP($B$7&amp;"-Actif",'DATA BTO'!$A:$Q,17,FALSE)+$C$35+$D$24)+$C$8-1),1,"")</f>
        <v/>
      </c>
      <c r="P40" s="14" t="str">
        <f ca="1">IF(AND(P$5&gt;$C$35+$C$8+$D$24-1,P$5&lt;=(VLOOKUP($B$7&amp;"-Actif",'DATA BTO'!$A:$Q,17,FALSE)+$C$35+$D$24)+$C$8-1),1,"")</f>
        <v/>
      </c>
      <c r="Q40" s="14" t="str">
        <f ca="1">IF(AND(Q$5&gt;$C$35+$C$8+$D$24-1,Q$5&lt;=(VLOOKUP($B$7&amp;"-Actif",'DATA BTO'!$A:$Q,17,FALSE)+$C$35+$D$24)+$C$8-1),1,"")</f>
        <v/>
      </c>
      <c r="R40" s="15" t="str">
        <f ca="1">IF(AND(R$5&gt;$C$35+$C$8+$D$24-1,R$5&lt;=(VLOOKUP($B$7&amp;"-Actif",'DATA BTO'!$A:$Q,17,FALSE)+$C$35+$D$24)+$C$8-1),1,"")</f>
        <v/>
      </c>
      <c r="S40" s="16" t="str">
        <f ca="1">IF(AND(S$5&gt;$C$35+$C$8+$D$24-1,S$5&lt;=(VLOOKUP($B$7&amp;"-Actif",'DATA BTO'!$A:$Q,17,FALSE)+$C$35+$D$24)+$C$8-1),1,"")</f>
        <v/>
      </c>
      <c r="T40" s="13" t="str">
        <f ca="1">IF(AND(T$5&gt;$C$35+$C$8+$D$24-1,T$5&lt;=(VLOOKUP($B$7&amp;"-Actif",'DATA BTO'!$A:$Q,17,FALSE)+$C$35+$D$24)+$C$8-1),1,"")</f>
        <v/>
      </c>
      <c r="U40" s="14" t="str">
        <f ca="1">IF(AND(U$5&gt;$C$35+$C$8+$D$24-1,U$5&lt;=(VLOOKUP($B$7&amp;"-Actif",'DATA BTO'!$A:$Q,17,FALSE)+$C$35+$D$24)+$C$8-1),1,"")</f>
        <v/>
      </c>
      <c r="V40" s="14" t="str">
        <f ca="1">IF(AND(V$5&gt;$C$35+$C$8+$D$24-1,V$5&lt;=(VLOOKUP($B$7&amp;"-Actif",'DATA BTO'!$A:$Q,17,FALSE)+$C$35+$D$24)+$C$8-1),1,"")</f>
        <v/>
      </c>
      <c r="W40" s="14" t="str">
        <f ca="1">IF(AND(W$5&gt;$C$35+$C$8+$D$24-1,W$5&lt;=(VLOOKUP($B$7&amp;"-Actif",'DATA BTO'!$A:$Q,17,FALSE)+$C$35+$D$24)+$C$8-1),1,"")</f>
        <v/>
      </c>
      <c r="X40" s="14" t="str">
        <f ca="1">IF(AND(X$5&gt;$C$35+$C$8+$D$24-1,X$5&lt;=(VLOOKUP($B$7&amp;"-Actif",'DATA BTO'!$A:$Q,17,FALSE)+$C$35+$D$24)+$C$8-1),1,"")</f>
        <v/>
      </c>
      <c r="Y40" s="15" t="str">
        <f ca="1">IF(AND(Y$5&gt;$C$35+$C$8+$D$24-1,Y$5&lt;=(VLOOKUP($B$7&amp;"-Actif",'DATA BTO'!$A:$Q,17,FALSE)+$C$35+$D$24)+$C$8-1),1,"")</f>
        <v/>
      </c>
      <c r="Z40" s="16" t="str">
        <f ca="1">IF(AND(Z$5&gt;$C$35+$C$8+$D$24-1,Z$5&lt;=(VLOOKUP($B$7&amp;"-Actif",'DATA BTO'!$A:$Q,17,FALSE)+$C$35+$D$24)+$C$8-1),1,"")</f>
        <v/>
      </c>
      <c r="AA40" s="13" t="str">
        <f ca="1">IF(AND(AA$5&gt;$C$35+$C$8+$D$24-1,AA$5&lt;=(VLOOKUP($B$7&amp;"-Actif",'DATA BTO'!$A:$Q,17,FALSE)+$C$35+$D$24)+$C$8-1),1,"")</f>
        <v/>
      </c>
      <c r="AB40" s="14" t="str">
        <f ca="1">IF(AND(AB$5&gt;$C$35+$C$8+$D$24-1,AB$5&lt;=(VLOOKUP($B$7&amp;"-Actif",'DATA BTO'!$A:$Q,17,FALSE)+$C$35+$D$24)+$C$8-1),1,"")</f>
        <v/>
      </c>
      <c r="AC40" s="14" t="str">
        <f ca="1">IF(AND(AC$5&gt;$C$35+$C$8+$D$24-1,AC$5&lt;=(VLOOKUP($B$7&amp;"-Actif",'DATA BTO'!$A:$Q,17,FALSE)+$C$35+$D$24)+$C$8-1),1,"")</f>
        <v/>
      </c>
      <c r="AD40" s="14" t="str">
        <f ca="1">IF(AND(AD$5&gt;$C$35+$C$8+$D$24-1,AD$5&lt;=(VLOOKUP($B$7&amp;"-Actif",'DATA BTO'!$A:$Q,17,FALSE)+$C$35+$D$24)+$C$8-1),1,"")</f>
        <v/>
      </c>
      <c r="AE40" s="14" t="str">
        <f ca="1">IF(AND(AE$5&gt;$C$35+$C$8+$D$24-1,AE$5&lt;=(VLOOKUP($B$7&amp;"-Actif",'DATA BTO'!$A:$Q,17,FALSE)+$C$35+$D$24)+$C$8-1),1,"")</f>
        <v/>
      </c>
      <c r="AF40" s="15" t="str">
        <f ca="1">IF(AND(AF$5&gt;$C$35+$C$8+$D$24-1,AF$5&lt;=(VLOOKUP($B$7&amp;"-Actif",'DATA BTO'!$A:$Q,17,FALSE)+$C$35+$D$24)+$C$8-1),1,"")</f>
        <v/>
      </c>
      <c r="AG40" s="16" t="str">
        <f ca="1">IF(AND(AG$5&gt;$C$35+$C$8+$D$24-1,AG$5&lt;=(VLOOKUP($B$7&amp;"-Actif",'DATA BTO'!$A:$Q,17,FALSE)+$C$35+$D$24)+$C$8-1),1,"")</f>
        <v/>
      </c>
      <c r="AH40" s="13" t="str">
        <f ca="1">IF(AND(AH$5&gt;$C$35+$C$8+$D$24-1,AH$5&lt;=(VLOOKUP($B$7&amp;"-Actif",'DATA BTO'!$A:$Q,17,FALSE)+$C$35+$D$24)+$C$8-1),1,"")</f>
        <v/>
      </c>
      <c r="AI40" s="14" t="str">
        <f ca="1">IF(AND(AI$5&gt;$C$35+$C$8+$D$24-1,AI$5&lt;=(VLOOKUP($B$7&amp;"-Actif",'DATA BTO'!$A:$Q,17,FALSE)+$C$35+$D$24)+$C$8-1),1,"")</f>
        <v/>
      </c>
      <c r="AJ40" s="14" t="str">
        <f ca="1">IF(AND(AJ$5&gt;$C$35+$C$8+$D$24-1,AJ$5&lt;=(VLOOKUP($B$7&amp;"-Actif",'DATA BTO'!$A:$Q,17,FALSE)+$C$35+$D$24)+$C$8-1),1,"")</f>
        <v/>
      </c>
      <c r="AK40" s="14" t="str">
        <f ca="1">IF(AND(AK$5&gt;$C$35+$C$8+$D$24-1,AK$5&lt;=(VLOOKUP($B$7&amp;"-Actif",'DATA BTO'!$A:$Q,17,FALSE)+$C$35+$D$24)+$C$8-1),1,"")</f>
        <v/>
      </c>
      <c r="AL40" s="14" t="str">
        <f ca="1">IF(AND(AL$5&gt;$C$35+$C$8+$D$24-1,AL$5&lt;=(VLOOKUP($B$7&amp;"-Actif",'DATA BTO'!$A:$Q,17,FALSE)+$C$35+$D$24)+$C$8-1),1,"")</f>
        <v/>
      </c>
      <c r="AM40" s="15" t="str">
        <f ca="1">IF(AND(AM$5&gt;$C$35+$C$8+$D$24-1,AM$5&lt;=(VLOOKUP($B$7&amp;"-Actif",'DATA BTO'!$A:$Q,17,FALSE)+$C$35+$D$24)+$C$8-1),1,"")</f>
        <v/>
      </c>
      <c r="AN40" s="16" t="str">
        <f ca="1">IF(AND(AN$5&gt;$C$35+$C$8+$D$24-1,AN$5&lt;=(VLOOKUP($B$7&amp;"-Actif",'DATA BTO'!$A:$Q,17,FALSE)+$C$35+$D$24)+$C$8-1),1,"")</f>
        <v/>
      </c>
      <c r="AO40" s="13" t="str">
        <f ca="1">IF(AND(AO$5&gt;$C$35+$C$8+$D$24-1,AO$5&lt;=(VLOOKUP($B$7&amp;"-Actif",'DATA BTO'!$A:$Q,17,FALSE)+$C$35+$D$24)+$C$8-1),1,"")</f>
        <v/>
      </c>
      <c r="AP40" s="14" t="str">
        <f ca="1">IF(AND(AP$5&gt;$C$35+$C$8+$D$24-1,AP$5&lt;=(VLOOKUP($B$7&amp;"-Actif",'DATA BTO'!$A:$Q,17,FALSE)+$C$35+$D$24)+$C$8-1),1,"")</f>
        <v/>
      </c>
      <c r="AQ40" s="14" t="str">
        <f ca="1">IF(AND(AQ$5&gt;$C$35+$C$8+$D$24-1,AQ$5&lt;=(VLOOKUP($B$7&amp;"-Actif",'DATA BTO'!$A:$Q,17,FALSE)+$C$35+$D$24)+$C$8-1),1,"")</f>
        <v/>
      </c>
      <c r="AR40" s="14" t="str">
        <f ca="1">IF(AND(AR$5&gt;$C$35+$C$8+$D$24-1,AR$5&lt;=(VLOOKUP($B$7&amp;"-Actif",'DATA BTO'!$A:$Q,17,FALSE)+$C$35+$D$24)+$C$8-1),1,"")</f>
        <v/>
      </c>
      <c r="AS40" s="14" t="str">
        <f ca="1">IF(AND(AS$5&gt;$C$35+$C$8+$D$24-1,AS$5&lt;=(VLOOKUP($B$7&amp;"-Actif",'DATA BTO'!$A:$Q,17,FALSE)+$C$35+$D$24)+$C$8-1),1,"")</f>
        <v/>
      </c>
      <c r="AT40" s="15" t="str">
        <f ca="1">IF(AND(AT$5&gt;$C$35+$C$8+$D$24-1,AT$5&lt;=(VLOOKUP($B$7&amp;"-Actif",'DATA BTO'!$A:$Q,17,FALSE)+$C$35+$D$24)+$C$8-1),1,"")</f>
        <v/>
      </c>
      <c r="AU40" s="16" t="str">
        <f ca="1">IF(AND(AU$5&gt;$C$35+$C$8+$D$24-1,AU$5&lt;=(VLOOKUP($B$7&amp;"-Actif",'DATA BTO'!$A:$Q,17,FALSE)+$C$35+$D$24)+$C$8-1),1,"")</f>
        <v/>
      </c>
      <c r="AV40" s="13" t="str">
        <f ca="1">IF(AND(AV$5&gt;$C$35+$C$8+$D$24-1,AV$5&lt;=(VLOOKUP($B$7&amp;"-Actif",'DATA BTO'!$A:$Q,17,FALSE)+$C$35+$D$24)+$C$8-1),1,"")</f>
        <v/>
      </c>
      <c r="AW40" s="14" t="str">
        <f ca="1">IF(AND(AW$5&gt;$C$35+$C$8+$D$24-1,AW$5&lt;=(VLOOKUP($B$7&amp;"-Actif",'DATA BTO'!$A:$Q,17,FALSE)+$C$35+$D$24)+$C$8-1),1,"")</f>
        <v/>
      </c>
      <c r="AX40" s="14" t="str">
        <f ca="1">IF(AND(AX$5&gt;$C$35+$C$8+$D$24-1,AX$5&lt;=(VLOOKUP($B$7&amp;"-Actif",'DATA BTO'!$A:$Q,17,FALSE)+$C$35+$D$24)+$C$8-1),1,"")</f>
        <v/>
      </c>
      <c r="AY40" s="14" t="str">
        <f ca="1">IF(AND(AY$5&gt;$C$35+$C$8+$D$24-1,AY$5&lt;=(VLOOKUP($B$7&amp;"-Actif",'DATA BTO'!$A:$Q,17,FALSE)+$C$35+$D$24)+$C$8-1),1,"")</f>
        <v/>
      </c>
      <c r="AZ40" s="14" t="str">
        <f ca="1">IF(AND(AZ$5&gt;$C$35+$C$8+$D$24-1,AZ$5&lt;=(VLOOKUP($B$7&amp;"-Actif",'DATA BTO'!$A:$Q,17,FALSE)+$C$35+$D$24)+$C$8-1),1,"")</f>
        <v/>
      </c>
      <c r="BA40" s="15" t="str">
        <f ca="1">IF(AND(BA$5&gt;$C$35+$C$8+$D$24-1,BA$5&lt;=(VLOOKUP($B$7&amp;"-Actif",'DATA BTO'!$A:$Q,17,FALSE)+$C$35+$D$24)+$C$8-1),1,"")</f>
        <v/>
      </c>
      <c r="BB40" s="16" t="str">
        <f ca="1">IF(AND(BB$5&gt;$C$35+$C$8+$D$24-1,BB$5&lt;=(VLOOKUP($B$7&amp;"-Actif",'DATA BTO'!$A:$Q,17,FALSE)+$C$35+$D$24)+$C$8-1),1,"")</f>
        <v/>
      </c>
      <c r="BC40" s="13" t="str">
        <f ca="1">IF(AND(BC$5&gt;$C$35+$C$8+$D$24-1,BC$5&lt;=(VLOOKUP($B$7&amp;"-Actif",'DATA BTO'!$A:$Q,17,FALSE)+$C$35+$D$24)+$C$8-1),1,"")</f>
        <v/>
      </c>
      <c r="BD40" s="14" t="str">
        <f ca="1">IF(AND(BD$5&gt;$C$35+$C$8+$D$24-1,BD$5&lt;=(VLOOKUP($B$7&amp;"-Actif",'DATA BTO'!$A:$Q,17,FALSE)+$C$35+$D$24)+$C$8-1),1,"")</f>
        <v/>
      </c>
      <c r="BE40" s="14" t="str">
        <f ca="1">IF(AND(BE$5&gt;$C$35+$C$8+$D$24-1,BE$5&lt;=(VLOOKUP($B$7&amp;"-Actif",'DATA BTO'!$A:$Q,17,FALSE)+$C$35+$D$24)+$C$8-1),1,"")</f>
        <v/>
      </c>
      <c r="BF40" s="14" t="str">
        <f ca="1">IF(AND(BF$5&gt;$C$35+$C$8+$D$24-1,BF$5&lt;=(VLOOKUP($B$7&amp;"-Actif",'DATA BTO'!$A:$Q,17,FALSE)+$C$35+$D$24)+$C$8-1),1,"")</f>
        <v/>
      </c>
      <c r="BG40" s="14" t="str">
        <f ca="1">IF(AND(BG$5&gt;$C$35+$C$8+$D$24-1,BG$5&lt;=(VLOOKUP($B$7&amp;"-Actif",'DATA BTO'!$A:$Q,17,FALSE)+$C$35+$D$24)+$C$8-1),1,"")</f>
        <v/>
      </c>
      <c r="BH40" s="15" t="str">
        <f ca="1">IF(AND(BH$5&gt;$C$35+$C$8+$D$24-1,BH$5&lt;=(VLOOKUP($B$7&amp;"-Actif",'DATA BTO'!$A:$Q,17,FALSE)+$C$35+$D$24)+$C$8-1),1,"")</f>
        <v/>
      </c>
      <c r="BI40" s="16" t="str">
        <f ca="1">IF(AND(BI$5&gt;$C$35+$C$8+$D$24-1,BI$5&lt;=(VLOOKUP($B$7&amp;"-Actif",'DATA BTO'!$A:$Q,17,FALSE)+$C$35+$D$24)+$C$8-1),1,"")</f>
        <v/>
      </c>
      <c r="BJ40" s="13" t="str">
        <f ca="1">IF(AND(BJ$5&gt;$C$35+$C$8+$D$24-1,BJ$5&lt;=(VLOOKUP($B$7&amp;"-Actif",'DATA BTO'!$A:$Q,17,FALSE)+$C$35+$D$24)+$C$8-1),1,"")</f>
        <v/>
      </c>
      <c r="BK40" s="14" t="str">
        <f ca="1">IF(AND(BK$5&gt;$C$35+$C$8+$D$24-1,BK$5&lt;=(VLOOKUP($B$7&amp;"-Actif",'DATA BTO'!$A:$Q,17,FALSE)+$C$35+$D$24)+$C$8-1),1,"")</f>
        <v/>
      </c>
      <c r="BL40" s="14" t="str">
        <f ca="1">IF(AND(BL$5&gt;$C$35+$C$8+$D$24-1,BL$5&lt;=(VLOOKUP($B$7&amp;"-Actif",'DATA BTO'!$A:$Q,17,FALSE)+$C$35+$D$24)+$C$8-1),1,"")</f>
        <v/>
      </c>
      <c r="BM40" s="14" t="str">
        <f ca="1">IF(AND(BM$5&gt;$C$35+$C$8+$D$24-1,BM$5&lt;=(VLOOKUP($B$7&amp;"-Actif",'DATA BTO'!$A:$Q,17,FALSE)+$C$35+$D$24)+$C$8-1),1,"")</f>
        <v/>
      </c>
      <c r="BN40" s="14" t="str">
        <f ca="1">IF(AND(BN$5&gt;$C$35+$C$8+$D$24-1,BN$5&lt;=(VLOOKUP($B$7&amp;"-Actif",'DATA BTO'!$A:$Q,17,FALSE)+$C$35+$D$24)+$C$8-1),1,"")</f>
        <v/>
      </c>
      <c r="BO40" s="15" t="str">
        <f ca="1">IF(AND(BO$5&gt;$C$35+$C$8+$D$24-1,BO$5&lt;=(VLOOKUP($B$7&amp;"-Actif",'DATA BTO'!$A:$Q,17,FALSE)+$C$35+$D$24)+$C$8-1),1,"")</f>
        <v/>
      </c>
      <c r="BP40" s="16" t="str">
        <f ca="1">IF(AND(BP$5&gt;$C$35+$C$8+$D$24-1,BP$5&lt;=(VLOOKUP($B$7&amp;"-Actif",'DATA BTO'!$A:$Q,17,FALSE)+$C$35+$D$24)+$C$8-1),1,"")</f>
        <v/>
      </c>
      <c r="BQ40" s="13" t="str">
        <f ca="1">IF(AND(BQ$5&gt;$C$35+$C$8+$D$24-1,BQ$5&lt;=(VLOOKUP($B$7&amp;"-Actif",'DATA BTO'!$A:$Q,17,FALSE)+$C$35+$D$24)+$C$8-1),1,"")</f>
        <v/>
      </c>
      <c r="BR40" s="14" t="str">
        <f ca="1">IF(AND(BR$5&gt;$C$35+$C$8+$D$24-1,BR$5&lt;=(VLOOKUP($B$7&amp;"-Actif",'DATA BTO'!$A:$Q,17,FALSE)+$C$35+$D$24)+$C$8-1),1,"")</f>
        <v/>
      </c>
      <c r="BS40" s="14" t="str">
        <f ca="1">IF(AND(BS$5&gt;$C$35+$C$8+$D$24-1,BS$5&lt;=(VLOOKUP($B$7&amp;"-Actif",'DATA BTO'!$A:$Q,17,FALSE)+$C$35+$D$24)+$C$8-1),1,"")</f>
        <v/>
      </c>
      <c r="BT40" s="14" t="str">
        <f ca="1">IF(AND(BT$5&gt;$C$35+$C$8+$D$24-1,BT$5&lt;=(VLOOKUP($B$7&amp;"-Actif",'DATA BTO'!$A:$Q,17,FALSE)+$C$35+$D$24)+$C$8-1),1,"")</f>
        <v/>
      </c>
      <c r="BU40" s="14" t="str">
        <f ca="1">IF(AND(BU$5&gt;$C$35+$C$8+$D$24-1,BU$5&lt;=(VLOOKUP($B$7&amp;"-Actif",'DATA BTO'!$A:$Q,17,FALSE)+$C$35+$D$24)+$C$8-1),1,"")</f>
        <v/>
      </c>
      <c r="BV40" s="15" t="str">
        <f ca="1">IF(AND(BV$5&gt;$C$35+$C$8+$D$24-1,BV$5&lt;=(VLOOKUP($B$7&amp;"-Actif",'DATA BTO'!$A:$Q,17,FALSE)+$C$35+$D$24)+$C$8-1),1,"")</f>
        <v/>
      </c>
      <c r="BW40" s="16" t="str">
        <f ca="1">IF(AND(BW$5&gt;$C$35+$C$8+$D$24-1,BW$5&lt;=(VLOOKUP($B$7&amp;"-Actif",'DATA BTO'!$A:$Q,17,FALSE)+$C$35+$D$24)+$C$8-1),1,"")</f>
        <v/>
      </c>
      <c r="BX40" s="13" t="str">
        <f ca="1">IF(AND(BX$5&gt;$C$35+$C$8+$D$24-1,BX$5&lt;=(VLOOKUP($B$7&amp;"-Actif",'DATA BTO'!$A:$Q,17,FALSE)+$C$35+$D$24)+$C$8-1),1,"")</f>
        <v/>
      </c>
      <c r="BY40" s="14" t="str">
        <f ca="1">IF(AND(BY$5&gt;$C$35+$C$8+$D$24-1,BY$5&lt;=(VLOOKUP($B$7&amp;"-Actif",'DATA BTO'!$A:$Q,17,FALSE)+$C$35+$D$24)+$C$8-1),1,"")</f>
        <v/>
      </c>
      <c r="BZ40" s="14" t="str">
        <f ca="1">IF(AND(BZ$5&gt;$C$35+$C$8+$D$24-1,BZ$5&lt;=(VLOOKUP($B$7&amp;"-Actif",'DATA BTO'!$A:$Q,17,FALSE)+$C$35+$D$24)+$C$8-1),1,"")</f>
        <v/>
      </c>
      <c r="CA40" s="14" t="str">
        <f ca="1">IF(AND(CA$5&gt;$C$35+$C$8+$D$24-1,CA$5&lt;=(VLOOKUP($B$7&amp;"-Actif",'DATA BTO'!$A:$Q,17,FALSE)+$C$35+$D$24)+$C$8-1),1,"")</f>
        <v/>
      </c>
      <c r="CB40" s="14" t="str">
        <f ca="1">IF(AND(CB$5&gt;$C$35+$C$8+$D$24-1,CB$5&lt;=(VLOOKUP($B$7&amp;"-Actif",'DATA BTO'!$A:$Q,17,FALSE)+$C$35+$D$24)+$C$8-1),1,"")</f>
        <v/>
      </c>
      <c r="CC40" s="15" t="str">
        <f ca="1">IF(AND(CC$5&gt;$C$35+$C$8+$D$24-1,CC$5&lt;=(VLOOKUP($B$7&amp;"-Actif",'DATA BTO'!$A:$Q,17,FALSE)+$C$35+$D$24)+$C$8-1),1,"")</f>
        <v/>
      </c>
      <c r="CD40" s="16" t="str">
        <f ca="1">IF(AND(CD$5&gt;$C$35+$C$8+$D$24-1,CD$5&lt;=(VLOOKUP($B$7&amp;"-Actif",'DATA BTO'!$A:$Q,17,FALSE)+$C$35+$D$24)+$C$8-1),1,"")</f>
        <v/>
      </c>
      <c r="CE40" s="13" t="str">
        <f ca="1">IF(AND(CE$5&gt;$C$35+$C$8+$D$24-1,CE$5&lt;=(VLOOKUP($B$7&amp;"-Actif",'DATA BTO'!$A:$Q,17,FALSE)+$C$35+$D$24)+$C$8-1),1,"")</f>
        <v/>
      </c>
      <c r="CF40" s="14" t="str">
        <f ca="1">IF(AND(CF$5&gt;$C$35+$C$8+$D$24-1,CF$5&lt;=(VLOOKUP($B$7&amp;"-Actif",'DATA BTO'!$A:$Q,17,FALSE)+$C$35+$D$24)+$C$8-1),1,"")</f>
        <v/>
      </c>
      <c r="CG40" s="14" t="str">
        <f ca="1">IF(AND(CG$5&gt;$C$35+$C$8+$D$24-1,CG$5&lt;=(VLOOKUP($B$7&amp;"-Actif",'DATA BTO'!$A:$Q,17,FALSE)+$C$35+$D$24)+$C$8-1),1,"")</f>
        <v/>
      </c>
      <c r="CH40" s="14" t="str">
        <f ca="1">IF(AND(CH$5&gt;$C$35+$C$8+$D$24-1,CH$5&lt;=(VLOOKUP($B$7&amp;"-Actif",'DATA BTO'!$A:$Q,17,FALSE)+$C$35+$D$24)+$C$8-1),1,"")</f>
        <v/>
      </c>
      <c r="CI40" s="14" t="str">
        <f ca="1">IF(AND(CI$5&gt;$C$35+$C$8+$D$24-1,CI$5&lt;=(VLOOKUP($B$7&amp;"-Actif",'DATA BTO'!$A:$Q,17,FALSE)+$C$35+$D$24)+$C$8-1),1,"")</f>
        <v/>
      </c>
      <c r="CJ40" s="15" t="str">
        <f ca="1">IF(AND(CJ$5&gt;$C$35+$C$8+$D$24-1,CJ$5&lt;=(VLOOKUP($B$7&amp;"-Actif",'DATA BTO'!$A:$Q,17,FALSE)+$C$35+$D$24)+$C$8-1),1,"")</f>
        <v/>
      </c>
      <c r="CK40" s="16" t="str">
        <f ca="1">IF(AND(CK$5&gt;$C$35+$C$8+$D$24-1,CK$5&lt;=(VLOOKUP($B$7&amp;"-Actif",'DATA BTO'!$A:$Q,17,FALSE)+$C$35+$D$24)+$C$8-1),1,"")</f>
        <v/>
      </c>
      <c r="CL40" s="13" t="str">
        <f ca="1">IF(AND(CL$5&gt;$C$35+$C$8+$D$24-1,CL$5&lt;=(VLOOKUP($B$7&amp;"-Actif",'DATA BTO'!$A:$Q,17,FALSE)+$C$35+$D$24)+$C$8-1),1,"")</f>
        <v/>
      </c>
      <c r="CM40" s="14" t="str">
        <f ca="1">IF(AND(CM$5&gt;$C$35+$C$8+$D$24-1,CM$5&lt;=(VLOOKUP($B$7&amp;"-Actif",'DATA BTO'!$A:$Q,17,FALSE)+$C$35+$D$24)+$C$8-1),1,"")</f>
        <v/>
      </c>
      <c r="CN40" s="14" t="str">
        <f ca="1">IF(AND(CN$5&gt;$C$35+$C$8+$D$24-1,CN$5&lt;=(VLOOKUP($B$7&amp;"-Actif",'DATA BTO'!$A:$Q,17,FALSE)+$C$35+$D$24)+$C$8-1),1,"")</f>
        <v/>
      </c>
      <c r="CO40" s="14" t="str">
        <f ca="1">IF(AND(CO$5&gt;$C$35+$C$8+$D$24-1,CO$5&lt;=(VLOOKUP($B$7&amp;"-Actif",'DATA BTO'!$A:$Q,17,FALSE)+$C$35+$D$24)+$C$8-1),1,"")</f>
        <v/>
      </c>
      <c r="CP40" s="14" t="str">
        <f ca="1">IF(AND(CP$5&gt;$C$35+$C$8+$D$24-1,CP$5&lt;=(VLOOKUP($B$7&amp;"-Actif",'DATA BTO'!$A:$Q,17,FALSE)+$C$35+$D$24)+$C$8-1),1,"")</f>
        <v/>
      </c>
      <c r="CQ40" s="15" t="str">
        <f ca="1">IF(AND(CQ$5&gt;$C$35+$C$8+$D$24-1,CQ$5&lt;=(VLOOKUP($B$7&amp;"-Actif",'DATA BTO'!$A:$Q,17,FALSE)+$C$35+$D$24)+$C$8-1),1,"")</f>
        <v/>
      </c>
      <c r="CR40" s="16" t="str">
        <f ca="1">IF(AND(CR$5&gt;$C$35+$C$8+$D$24-1,CR$5&lt;=(VLOOKUP($B$7&amp;"-Actif",'DATA BTO'!$A:$Q,17,FALSE)+$C$35+$D$24)+$C$8-1),1,"")</f>
        <v/>
      </c>
      <c r="CS40" s="13" t="str">
        <f ca="1">IF(AND(CS$5&gt;$C$35+$C$8+$D$24-1,CS$5&lt;=(VLOOKUP($B$7&amp;"-Actif",'DATA BTO'!$A:$Q,17,FALSE)+$C$35+$D$24)+$C$8-1),1,"")</f>
        <v/>
      </c>
      <c r="CT40" s="14" t="str">
        <f ca="1">IF(AND(CT$5&gt;$C$35+$C$8+$D$24-1,CT$5&lt;=(VLOOKUP($B$7&amp;"-Actif",'DATA BTO'!$A:$Q,17,FALSE)+$C$35+$D$24)+$C$8-1),1,"")</f>
        <v/>
      </c>
      <c r="CU40" s="14" t="str">
        <f ca="1">IF(AND(CU$5&gt;$C$35+$C$8+$D$24-1,CU$5&lt;=(VLOOKUP($B$7&amp;"-Actif",'DATA BTO'!$A:$Q,17,FALSE)+$C$35+$D$24)+$C$8-1),1,"")</f>
        <v/>
      </c>
      <c r="CV40" s="14" t="str">
        <f ca="1">IF(AND(CV$5&gt;$C$35+$C$8+$D$24-1,CV$5&lt;=(VLOOKUP($B$7&amp;"-Actif",'DATA BTO'!$A:$Q,17,FALSE)+$C$35+$D$24)+$C$8-1),1,"")</f>
        <v/>
      </c>
      <c r="CW40" s="14" t="str">
        <f ca="1">IF(AND(CW$5&gt;$C$35+$C$8+$D$24-1,CW$5&lt;=(VLOOKUP($B$7&amp;"-Actif",'DATA BTO'!$A:$Q,17,FALSE)+$C$35+$D$24)+$C$8-1),1,"")</f>
        <v/>
      </c>
      <c r="CX40" s="15" t="str">
        <f ca="1">IF(AND(CX$5&gt;$C$35+$C$8+$D$24-1,CX$5&lt;=(VLOOKUP($B$7&amp;"-Actif",'DATA BTO'!$A:$Q,17,FALSE)+$C$35+$D$24)+$C$8-1),1,"")</f>
        <v/>
      </c>
      <c r="CY40" s="16" t="str">
        <f ca="1">IF(AND(CY$5&gt;$C$35+$C$8+$D$24-1,CY$5&lt;=(VLOOKUP($B$7&amp;"-Actif",'DATA BTO'!$A:$Q,17,FALSE)+$C$35+$D$24)+$C$8-1),1,"")</f>
        <v/>
      </c>
      <c r="CZ40" s="13" t="str">
        <f ca="1">IF(AND(CZ$5&gt;$C$35+$C$8+$D$24-1,CZ$5&lt;=(VLOOKUP($B$7&amp;"-Actif",'DATA BTO'!$A:$Q,17,FALSE)+$C$35+$D$24)+$C$8-1),1,"")</f>
        <v/>
      </c>
      <c r="DA40" s="14" t="str">
        <f ca="1">IF(AND(DA$5&gt;$C$35+$C$8+$D$24-1,DA$5&lt;=(VLOOKUP($B$7&amp;"-Actif",'DATA BTO'!$A:$Q,17,FALSE)+$C$35+$D$24)+$C$8-1),1,"")</f>
        <v/>
      </c>
      <c r="DB40" s="14" t="str">
        <f ca="1">IF(AND(DB$5&gt;$C$35+$C$8+$D$24-1,DB$5&lt;=(VLOOKUP($B$7&amp;"-Actif",'DATA BTO'!$A:$Q,17,FALSE)+$C$35+$D$24)+$C$8-1),1,"")</f>
        <v/>
      </c>
      <c r="DC40" s="14" t="str">
        <f ca="1">IF(AND(DC$5&gt;$C$35+$C$8+$D$24-1,DC$5&lt;=(VLOOKUP($B$7&amp;"-Actif",'DATA BTO'!$A:$Q,17,FALSE)+$C$35+$D$24)+$C$8-1),1,"")</f>
        <v/>
      </c>
      <c r="DD40" s="14" t="str">
        <f ca="1">IF(AND(DD$5&gt;$C$35+$C$8+$D$24-1,DD$5&lt;=(VLOOKUP($B$7&amp;"-Actif",'DATA BTO'!$A:$Q,17,FALSE)+$C$35+$D$24)+$C$8-1),1,"")</f>
        <v/>
      </c>
      <c r="DE40" s="15" t="str">
        <f ca="1">IF(AND(DE$5&gt;$C$35+$C$8+$D$24-1,DE$5&lt;=(VLOOKUP($B$7&amp;"-Actif",'DATA BTO'!$A:$Q,17,FALSE)+$C$35+$D$24)+$C$8-1),1,"")</f>
        <v/>
      </c>
      <c r="DF40" s="16" t="str">
        <f ca="1">IF(AND(DF$5&gt;$C$35+$C$8+$D$24-1,DF$5&lt;=(VLOOKUP($B$7&amp;"-Actif",'DATA BTO'!$A:$Q,17,FALSE)+$C$35+$D$24)+$C$8-1),1,"")</f>
        <v/>
      </c>
      <c r="DG40" s="13" t="str">
        <f ca="1">IF(AND(DG$5&gt;$C$35+$C$8+$D$24-1,DG$5&lt;=(VLOOKUP($B$7&amp;"-Actif",'DATA BTO'!$A:$Q,17,FALSE)+$C$35+$D$24)+$C$8-1),1,"")</f>
        <v/>
      </c>
      <c r="DH40" s="14" t="str">
        <f ca="1">IF(AND(DH$5&gt;$C$35+$C$8+$D$24-1,DH$5&lt;=(VLOOKUP($B$7&amp;"-Actif",'DATA BTO'!$A:$Q,17,FALSE)+$C$35+$D$24)+$C$8-1),1,"")</f>
        <v/>
      </c>
      <c r="DI40" s="14" t="str">
        <f ca="1">IF(AND(DI$5&gt;$C$35+$C$8+$D$24-1,DI$5&lt;=(VLOOKUP($B$7&amp;"-Actif",'DATA BTO'!$A:$Q,17,FALSE)+$C$35+$D$24)+$C$8-1),1,"")</f>
        <v/>
      </c>
      <c r="DJ40" s="14" t="str">
        <f ca="1">IF(AND(DJ$5&gt;$C$35+$C$8+$D$24-1,DJ$5&lt;=(VLOOKUP($B$7&amp;"-Actif",'DATA BTO'!$A:$Q,17,FALSE)+$C$35+$D$24)+$C$8-1),1,"")</f>
        <v/>
      </c>
      <c r="DK40" s="14" t="str">
        <f ca="1">IF(AND(DK$5&gt;$C$35+$C$8+$D$24-1,DK$5&lt;=(VLOOKUP($B$7&amp;"-Actif",'DATA BTO'!$A:$Q,17,FALSE)+$C$35+$D$24)+$C$8-1),1,"")</f>
        <v/>
      </c>
      <c r="DL40" s="15" t="str">
        <f ca="1">IF(AND(DL$5&gt;$C$35+$C$8+$D$24-1,DL$5&lt;=(VLOOKUP($B$7&amp;"-Actif",'DATA BTO'!$A:$Q,17,FALSE)+$C$35+$D$24)+$C$8-1),1,"")</f>
        <v/>
      </c>
      <c r="DM40" s="16" t="str">
        <f ca="1">IF(AND(DM$5&gt;$C$35+$C$8+$D$24-1,DM$5&lt;=(VLOOKUP($B$7&amp;"-Actif",'DATA BTO'!$A:$Q,17,FALSE)+$C$35+$D$24)+$C$8-1),1,"")</f>
        <v/>
      </c>
      <c r="DN40" s="13">
        <f ca="1">IF(AND(DN$5&gt;$C$35+$C$8+$D$24-1,DN$5&lt;=(VLOOKUP($B$7&amp;"-Actif",'DATA BTO'!$A:$Q,17,FALSE)+$C$35+$D$24)+$C$8-1),1,"")</f>
        <v>1</v>
      </c>
      <c r="DO40" s="14">
        <f ca="1">IF(AND(DO$5&gt;$C$35+$C$8+$D$24-1,DO$5&lt;=(VLOOKUP($B$7&amp;"-Actif",'DATA BTO'!$A:$Q,17,FALSE)+$C$35+$D$24)+$C$8-1),1,"")</f>
        <v>1</v>
      </c>
      <c r="DP40" s="14">
        <f ca="1">IF(AND(DP$5&gt;$C$35+$C$8+$D$24-1,DP$5&lt;=(VLOOKUP($B$7&amp;"-Actif",'DATA BTO'!$A:$Q,17,FALSE)+$C$35+$D$24)+$C$8-1),1,"")</f>
        <v>1</v>
      </c>
      <c r="DQ40" s="14">
        <f ca="1">IF(AND(DQ$5&gt;$C$35+$C$8+$D$24-1,DQ$5&lt;=(VLOOKUP($B$7&amp;"-Actif",'DATA BTO'!$A:$Q,17,FALSE)+$C$35+$D$24)+$C$8-1),1,"")</f>
        <v>1</v>
      </c>
      <c r="DR40" s="14">
        <f ca="1">IF(AND(DR$5&gt;$C$35+$C$8+$D$24-1,DR$5&lt;=(VLOOKUP($B$7&amp;"-Actif",'DATA BTO'!$A:$Q,17,FALSE)+$C$35+$D$24)+$C$8-1),1,"")</f>
        <v>1</v>
      </c>
      <c r="DS40" s="15">
        <f ca="1">IF(AND(DS$5&gt;$C$35+$C$8+$D$24-1,DS$5&lt;=(VLOOKUP($B$7&amp;"-Actif",'DATA BTO'!$A:$Q,17,FALSE)+$C$35+$D$24)+$C$8-1),1,"")</f>
        <v>1</v>
      </c>
      <c r="DT40" s="16">
        <f ca="1">IF(AND(DT$5&gt;$C$35+$C$8+$D$24-1,DT$5&lt;=(VLOOKUP($B$7&amp;"-Actif",'DATA BTO'!$A:$Q,17,FALSE)+$C$35+$D$24)+$C$8-1),1,"")</f>
        <v>1</v>
      </c>
      <c r="DU40" s="13">
        <f ca="1">IF(AND(DU$5&gt;$C$35+$C$8+$D$24-1,DU$5&lt;=(VLOOKUP($B$7&amp;"-Actif",'DATA BTO'!$A:$Q,17,FALSE)+$C$35+$D$24)+$C$8-1),1,"")</f>
        <v>1</v>
      </c>
      <c r="DV40" s="14">
        <f ca="1">IF(AND(DV$5&gt;$C$35+$C$8+$D$24-1,DV$5&lt;=(VLOOKUP($B$7&amp;"-Actif",'DATA BTO'!$A:$Q,17,FALSE)+$C$35+$D$24)+$C$8-1),1,"")</f>
        <v>1</v>
      </c>
      <c r="DW40" s="14">
        <f ca="1">IF(AND(DW$5&gt;$C$35+$C$8+$D$24-1,DW$5&lt;=(VLOOKUP($B$7&amp;"-Actif",'DATA BTO'!$A:$Q,17,FALSE)+$C$35+$D$24)+$C$8-1),1,"")</f>
        <v>1</v>
      </c>
      <c r="DX40" s="14">
        <f ca="1">IF(AND(DX$5&gt;$C$35+$C$8+$D$24-1,DX$5&lt;=(VLOOKUP($B$7&amp;"-Actif",'DATA BTO'!$A:$Q,17,FALSE)+$C$35+$D$24)+$C$8-1),1,"")</f>
        <v>1</v>
      </c>
      <c r="DY40" s="14">
        <f ca="1">IF(AND(DY$5&gt;$C$35+$C$8+$D$24-1,DY$5&lt;=(VLOOKUP($B$7&amp;"-Actif",'DATA BTO'!$A:$Q,17,FALSE)+$C$35+$D$24)+$C$8-1),1,"")</f>
        <v>1</v>
      </c>
      <c r="DZ40" s="15">
        <f ca="1">IF(AND(DZ$5&gt;$C$35+$C$8+$D$24-1,DZ$5&lt;=(VLOOKUP($B$7&amp;"-Actif",'DATA BTO'!$A:$Q,17,FALSE)+$C$35+$D$24)+$C$8-1),1,"")</f>
        <v>1</v>
      </c>
      <c r="EA40" s="16">
        <f ca="1">IF(AND(EA$5&gt;$C$35+$C$8+$D$24-1,EA$5&lt;=(VLOOKUP($B$7&amp;"-Actif",'DATA BTO'!$A:$Q,17,FALSE)+$C$35+$D$24)+$C$8-1),1,"")</f>
        <v>1</v>
      </c>
      <c r="EB40" s="13" t="str">
        <f ca="1">IF(AND(EB$5&gt;$C$35+$C$8+$D$24-1,EB$5&lt;=(VLOOKUP($B$7&amp;"-Actif",'DATA BTO'!$A:$Q,17,FALSE)+$C$35+$D$24)+$C$8-1),1,"")</f>
        <v/>
      </c>
      <c r="EC40" s="14" t="str">
        <f ca="1">IF(AND(EC$5&gt;$C$35+$C$8+$D$24-1,EC$5&lt;=(VLOOKUP($B$7&amp;"-Actif",'DATA BTO'!$A:$Q,17,FALSE)+$C$35+$D$24)+$C$8-1),1,"")</f>
        <v/>
      </c>
      <c r="ED40" s="14" t="str">
        <f ca="1">IF(AND(ED$5&gt;$C$35+$C$8+$D$24-1,ED$5&lt;=(VLOOKUP($B$7&amp;"-Actif",'DATA BTO'!$A:$Q,17,FALSE)+$C$35+$D$24)+$C$8-1),1,"")</f>
        <v/>
      </c>
      <c r="EE40" s="14" t="str">
        <f ca="1">IF(AND(EE$5&gt;$C$35+$C$8+$D$24-1,EE$5&lt;=(VLOOKUP($B$7&amp;"-Actif",'DATA BTO'!$A:$Q,17,FALSE)+$C$35+$D$24)+$C$8-1),1,"")</f>
        <v/>
      </c>
      <c r="EF40" s="14" t="str">
        <f ca="1">IF(AND(EF$5&gt;$C$35+$C$8+$D$24-1,EF$5&lt;=(VLOOKUP($B$7&amp;"-Actif",'DATA BTO'!$A:$Q,17,FALSE)+$C$35+$D$24)+$C$8-1),1,"")</f>
        <v/>
      </c>
      <c r="EG40" s="15" t="str">
        <f ca="1">IF(AND(EG$5&gt;$C$35+$C$8+$D$24-1,EG$5&lt;=(VLOOKUP($B$7&amp;"-Actif",'DATA BTO'!$A:$Q,17,FALSE)+$C$35+$D$24)+$C$8-1),1,"")</f>
        <v/>
      </c>
      <c r="EH40" s="16" t="str">
        <f ca="1">IF(AND(EH$5&gt;$C$35+$C$8+$D$24-1,EH$5&lt;=(VLOOKUP($B$7&amp;"-Actif",'DATA BTO'!$A:$Q,17,FALSE)+$C$35+$D$24)+$C$8-1),1,"")</f>
        <v/>
      </c>
    </row>
  </sheetData>
  <sheetProtection algorithmName="SHA-512" hashValue="BLpUL8qJrzKzhL0PaaHvocobHQvuCOhktLrCRnYXihjApiPTQwUHyPOyAOX3fYPEd5yYsFT3IDH8MUmLCq1ZwQ==" saltValue="rUKJhFBkOgr6DUX2NrFlPw==" spinCount="100000" sheet="1" objects="1" scenarios="1"/>
  <mergeCells count="62"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DU1:EA1"/>
    <mergeCell ref="EB1:EH1"/>
    <mergeCell ref="F2:L2"/>
    <mergeCell ref="M2:S2"/>
    <mergeCell ref="T2:Z2"/>
    <mergeCell ref="AA2:AG2"/>
    <mergeCell ref="AH2:AN2"/>
    <mergeCell ref="AO2:AU2"/>
    <mergeCell ref="BQ1:BW1"/>
    <mergeCell ref="BX1:CD1"/>
    <mergeCell ref="CE1:CK1"/>
    <mergeCell ref="CL1:CR1"/>
    <mergeCell ref="CS1:CY1"/>
    <mergeCell ref="CZ1:DF1"/>
    <mergeCell ref="C6:E6"/>
    <mergeCell ref="CL2:CR2"/>
    <mergeCell ref="CS2:CY2"/>
    <mergeCell ref="CZ2:DF2"/>
    <mergeCell ref="DG2:DM2"/>
    <mergeCell ref="AV2:BB2"/>
    <mergeCell ref="BC2:BI2"/>
    <mergeCell ref="BJ2:BP2"/>
    <mergeCell ref="BQ2:BW2"/>
    <mergeCell ref="BX2:CD2"/>
    <mergeCell ref="CE2:CK2"/>
    <mergeCell ref="EB2:EH2"/>
    <mergeCell ref="A3:A4"/>
    <mergeCell ref="B3:B4"/>
    <mergeCell ref="C3:E4"/>
    <mergeCell ref="C5:E5"/>
    <mergeCell ref="DN2:DT2"/>
    <mergeCell ref="DU2:EA2"/>
    <mergeCell ref="A8:A18"/>
    <mergeCell ref="A19:A20"/>
    <mergeCell ref="A27:B27"/>
    <mergeCell ref="C27:E27"/>
    <mergeCell ref="A29:B29"/>
    <mergeCell ref="C29:E29"/>
    <mergeCell ref="A37:B37"/>
    <mergeCell ref="C37:E37"/>
    <mergeCell ref="A40:B40"/>
    <mergeCell ref="C40:E40"/>
    <mergeCell ref="A31:B31"/>
    <mergeCell ref="C31:E31"/>
    <mergeCell ref="A33:B33"/>
    <mergeCell ref="C33:E33"/>
    <mergeCell ref="A35:B35"/>
    <mergeCell ref="C35:E35"/>
  </mergeCells>
  <phoneticPr fontId="77" type="noConversion"/>
  <conditionalFormatting sqref="F11:DT12 S8:DT10 F8:Q10">
    <cfRule type="cellIs" dxfId="525" priority="22" stopIfTrue="1" operator="equal">
      <formula>1</formula>
    </cfRule>
  </conditionalFormatting>
  <conditionalFormatting sqref="F16:DT17">
    <cfRule type="cellIs" dxfId="524" priority="24" stopIfTrue="1" operator="equal">
      <formula>1</formula>
    </cfRule>
  </conditionalFormatting>
  <conditionalFormatting sqref="F31:EH31">
    <cfRule type="cellIs" dxfId="523" priority="29" stopIfTrue="1" operator="equal">
      <formula>1</formula>
    </cfRule>
  </conditionalFormatting>
  <conditionalFormatting sqref="F27:EH27">
    <cfRule type="cellIs" dxfId="522" priority="28" stopIfTrue="1" operator="equal">
      <formula>1</formula>
    </cfRule>
  </conditionalFormatting>
  <conditionalFormatting sqref="F19:EH19 F21:EH22">
    <cfRule type="cellIs" dxfId="521" priority="25" stopIfTrue="1" operator="equal">
      <formula>1</formula>
    </cfRule>
  </conditionalFormatting>
  <conditionalFormatting sqref="F24:DT25">
    <cfRule type="cellIs" dxfId="520" priority="27" stopIfTrue="1" operator="equal">
      <formula>1</formula>
    </cfRule>
  </conditionalFormatting>
  <conditionalFormatting sqref="F33:EH33">
    <cfRule type="cellIs" dxfId="519" priority="30" stopIfTrue="1" operator="equal">
      <formula>1</formula>
    </cfRule>
  </conditionalFormatting>
  <conditionalFormatting sqref="F35:EH35">
    <cfRule type="cellIs" dxfId="518" priority="31" stopIfTrue="1" operator="equal">
      <formula>1</formula>
    </cfRule>
  </conditionalFormatting>
  <conditionalFormatting sqref="F23:EH23">
    <cfRule type="cellIs" dxfId="517" priority="26" stopIfTrue="1" operator="equal">
      <formula>1</formula>
    </cfRule>
  </conditionalFormatting>
  <conditionalFormatting sqref="F13:DT15">
    <cfRule type="cellIs" dxfId="516" priority="23" stopIfTrue="1" operator="equal">
      <formula>1</formula>
    </cfRule>
  </conditionalFormatting>
  <conditionalFormatting sqref="F11:DT17 S8:DT10 F8:Q10 DU8:EH17 F31:EH35 F21:EH28 F19:EH19">
    <cfRule type="containsErrors" dxfId="515" priority="21" stopIfTrue="1">
      <formula>ISERROR(F8)</formula>
    </cfRule>
  </conditionalFormatting>
  <conditionalFormatting sqref="R8:R10">
    <cfRule type="cellIs" dxfId="514" priority="20" stopIfTrue="1" operator="equal">
      <formula>1</formula>
    </cfRule>
  </conditionalFormatting>
  <conditionalFormatting sqref="R8:R10">
    <cfRule type="containsErrors" dxfId="513" priority="19" stopIfTrue="1">
      <formula>ISERROR(R8)</formula>
    </cfRule>
  </conditionalFormatting>
  <conditionalFormatting sqref="A24">
    <cfRule type="cellIs" dxfId="512" priority="18" operator="lessThan">
      <formula>TODAY()</formula>
    </cfRule>
  </conditionalFormatting>
  <conditionalFormatting sqref="F37:EH37">
    <cfRule type="cellIs" dxfId="511" priority="17" stopIfTrue="1" operator="equal">
      <formula>1</formula>
    </cfRule>
  </conditionalFormatting>
  <conditionalFormatting sqref="F37:EH37">
    <cfRule type="containsErrors" dxfId="510" priority="16" stopIfTrue="1">
      <formula>ISERROR(F37)</formula>
    </cfRule>
  </conditionalFormatting>
  <conditionalFormatting sqref="F29:EH29">
    <cfRule type="cellIs" dxfId="509" priority="15" stopIfTrue="1" operator="equal">
      <formula>1</formula>
    </cfRule>
  </conditionalFormatting>
  <conditionalFormatting sqref="F29:DT30">
    <cfRule type="containsErrors" dxfId="508" priority="14" stopIfTrue="1">
      <formula>ISERROR(F29)</formula>
    </cfRule>
  </conditionalFormatting>
  <conditionalFormatting sqref="F20:EH20">
    <cfRule type="cellIs" dxfId="507" priority="13" stopIfTrue="1" operator="equal">
      <formula>1</formula>
    </cfRule>
  </conditionalFormatting>
  <conditionalFormatting sqref="F20:EH20">
    <cfRule type="containsErrors" dxfId="506" priority="12" stopIfTrue="1">
      <formula>ISERROR(F20)</formula>
    </cfRule>
  </conditionalFormatting>
  <conditionalFormatting sqref="F18:EH18">
    <cfRule type="cellIs" dxfId="505" priority="11" stopIfTrue="1" operator="equal">
      <formula>1</formula>
    </cfRule>
  </conditionalFormatting>
  <conditionalFormatting sqref="F18:EH18">
    <cfRule type="containsErrors" dxfId="504" priority="10" stopIfTrue="1">
      <formula>ISERROR(F18)</formula>
    </cfRule>
  </conditionalFormatting>
  <conditionalFormatting sqref="G40:EH40">
    <cfRule type="cellIs" dxfId="503" priority="9" stopIfTrue="1" operator="equal">
      <formula>1</formula>
    </cfRule>
  </conditionalFormatting>
  <conditionalFormatting sqref="G40:EH40">
    <cfRule type="containsErrors" dxfId="502" priority="8" stopIfTrue="1">
      <formula>ISERROR(G40)</formula>
    </cfRule>
  </conditionalFormatting>
  <conditionalFormatting sqref="F40">
    <cfRule type="cellIs" dxfId="501" priority="7" stopIfTrue="1" operator="equal">
      <formula>1</formula>
    </cfRule>
  </conditionalFormatting>
  <conditionalFormatting sqref="F40">
    <cfRule type="containsErrors" dxfId="500" priority="6" stopIfTrue="1">
      <formula>ISERROR(F40)</formula>
    </cfRule>
  </conditionalFormatting>
  <conditionalFormatting sqref="DU8:EH12">
    <cfRule type="cellIs" dxfId="499" priority="2" stopIfTrue="1" operator="equal">
      <formula>1</formula>
    </cfRule>
  </conditionalFormatting>
  <conditionalFormatting sqref="DU16:EH17">
    <cfRule type="cellIs" dxfId="498" priority="4" stopIfTrue="1" operator="equal">
      <formula>1</formula>
    </cfRule>
  </conditionalFormatting>
  <conditionalFormatting sqref="DU24:EH25">
    <cfRule type="cellIs" dxfId="497" priority="5" stopIfTrue="1" operator="equal">
      <formula>1</formula>
    </cfRule>
  </conditionalFormatting>
  <conditionalFormatting sqref="DU13:EH15">
    <cfRule type="cellIs" dxfId="496" priority="3" stopIfTrue="1" operator="equal">
      <formula>1</formula>
    </cfRule>
  </conditionalFormatting>
  <conditionalFormatting sqref="DU29:EH30">
    <cfRule type="containsErrors" dxfId="495" priority="1" stopIfTrue="1">
      <formula>ISERROR(DU29)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68359-E08F-4659-9FD3-1441C36C8396}">
  <sheetPr>
    <tabColor rgb="FF7030A0"/>
  </sheetPr>
  <dimension ref="A1:FC41"/>
  <sheetViews>
    <sheetView tabSelected="1" zoomScaleNormal="115" workbookViewId="0">
      <selection activeCell="BZ43" sqref="BZ43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bestFit="1" customWidth="1"/>
    <col min="4" max="5" width="6.42578125" customWidth="1"/>
    <col min="6" max="159" width="1.42578125" customWidth="1"/>
  </cols>
  <sheetData>
    <row r="1" spans="1:159" s="11" customFormat="1" ht="9" customHeight="1" thickTop="1">
      <c r="A1" s="567" t="s">
        <v>0</v>
      </c>
      <c r="B1" s="614" t="str">
        <f>_xlfn.XLOOKUP(A25,'VTT next'!F:F,'VTT next'!O:O,"-",0)</f>
        <v>KWE Shanghai</v>
      </c>
      <c r="C1" s="571">
        <f>_xlfn.XLOOKUP(A25,'VTT next'!F:F,'VTT next'!P:P,"-",0)</f>
        <v>26037000</v>
      </c>
      <c r="D1" s="572"/>
      <c r="E1" s="573"/>
      <c r="F1" s="565" t="str">
        <f>"W"&amp;WEEKNUM(F6)</f>
        <v>W16</v>
      </c>
      <c r="G1" s="565"/>
      <c r="H1" s="565"/>
      <c r="I1" s="565"/>
      <c r="J1" s="565"/>
      <c r="K1" s="565"/>
      <c r="L1" s="566"/>
      <c r="M1" s="565" t="str">
        <f>"W"&amp;WEEKNUM(M6)</f>
        <v>W17</v>
      </c>
      <c r="N1" s="565"/>
      <c r="O1" s="565"/>
      <c r="P1" s="565"/>
      <c r="Q1" s="565"/>
      <c r="R1" s="565"/>
      <c r="S1" s="566"/>
      <c r="T1" s="565" t="str">
        <f t="shared" ref="T1" si="0">"W"&amp;WEEKNUM(T6)</f>
        <v>W18</v>
      </c>
      <c r="U1" s="565"/>
      <c r="V1" s="565"/>
      <c r="W1" s="565"/>
      <c r="X1" s="565"/>
      <c r="Y1" s="565"/>
      <c r="Z1" s="566"/>
      <c r="AA1" s="565" t="str">
        <f t="shared" ref="AA1" si="1">"W"&amp;WEEKNUM(AA6)</f>
        <v>W19</v>
      </c>
      <c r="AB1" s="565"/>
      <c r="AC1" s="565"/>
      <c r="AD1" s="565"/>
      <c r="AE1" s="565"/>
      <c r="AF1" s="565"/>
      <c r="AG1" s="566"/>
      <c r="AH1" s="565" t="str">
        <f t="shared" ref="AH1" si="2">"W"&amp;WEEKNUM(AH6)</f>
        <v>W20</v>
      </c>
      <c r="AI1" s="565"/>
      <c r="AJ1" s="565"/>
      <c r="AK1" s="565"/>
      <c r="AL1" s="565"/>
      <c r="AM1" s="565"/>
      <c r="AN1" s="566"/>
      <c r="AO1" s="565" t="str">
        <f t="shared" ref="AO1" si="3">"W"&amp;WEEKNUM(AO6)</f>
        <v>W21</v>
      </c>
      <c r="AP1" s="565"/>
      <c r="AQ1" s="565"/>
      <c r="AR1" s="565"/>
      <c r="AS1" s="565"/>
      <c r="AT1" s="565"/>
      <c r="AU1" s="566"/>
      <c r="AV1" s="565" t="str">
        <f t="shared" ref="AV1" si="4">"W"&amp;WEEKNUM(AV6)</f>
        <v>W22</v>
      </c>
      <c r="AW1" s="565"/>
      <c r="AX1" s="565"/>
      <c r="AY1" s="565"/>
      <c r="AZ1" s="565"/>
      <c r="BA1" s="565"/>
      <c r="BB1" s="566"/>
      <c r="BC1" s="565" t="str">
        <f t="shared" ref="BC1" si="5">"W"&amp;WEEKNUM(BC6)</f>
        <v>W23</v>
      </c>
      <c r="BD1" s="565"/>
      <c r="BE1" s="565"/>
      <c r="BF1" s="565"/>
      <c r="BG1" s="565"/>
      <c r="BH1" s="565"/>
      <c r="BI1" s="566"/>
      <c r="BJ1" s="565" t="str">
        <f t="shared" ref="BJ1" si="6">"W"&amp;WEEKNUM(BJ6)</f>
        <v>W24</v>
      </c>
      <c r="BK1" s="565"/>
      <c r="BL1" s="565"/>
      <c r="BM1" s="565"/>
      <c r="BN1" s="565"/>
      <c r="BO1" s="565"/>
      <c r="BP1" s="566"/>
      <c r="BQ1" s="565" t="str">
        <f t="shared" ref="BQ1" si="7">"W"&amp;WEEKNUM(BQ6)</f>
        <v>W25</v>
      </c>
      <c r="BR1" s="565"/>
      <c r="BS1" s="565"/>
      <c r="BT1" s="565"/>
      <c r="BU1" s="565"/>
      <c r="BV1" s="565"/>
      <c r="BW1" s="566"/>
      <c r="BX1" s="565" t="str">
        <f t="shared" ref="BX1" si="8">"W"&amp;WEEKNUM(BX6)</f>
        <v>W26</v>
      </c>
      <c r="BY1" s="565"/>
      <c r="BZ1" s="565"/>
      <c r="CA1" s="565"/>
      <c r="CB1" s="565"/>
      <c r="CC1" s="565"/>
      <c r="CD1" s="566"/>
      <c r="CE1" s="565" t="str">
        <f t="shared" ref="CE1" si="9">"W"&amp;WEEKNUM(CE6)</f>
        <v>W27</v>
      </c>
      <c r="CF1" s="565"/>
      <c r="CG1" s="565"/>
      <c r="CH1" s="565"/>
      <c r="CI1" s="565"/>
      <c r="CJ1" s="565"/>
      <c r="CK1" s="566"/>
      <c r="CL1" s="565" t="str">
        <f t="shared" ref="CL1" si="10">"W"&amp;WEEKNUM(CL6)</f>
        <v>W28</v>
      </c>
      <c r="CM1" s="565"/>
      <c r="CN1" s="565"/>
      <c r="CO1" s="565"/>
      <c r="CP1" s="565"/>
      <c r="CQ1" s="565"/>
      <c r="CR1" s="566"/>
      <c r="CS1" s="565" t="str">
        <f t="shared" ref="CS1" si="11">"W"&amp;WEEKNUM(CS6)</f>
        <v>W29</v>
      </c>
      <c r="CT1" s="565"/>
      <c r="CU1" s="565"/>
      <c r="CV1" s="565"/>
      <c r="CW1" s="565"/>
      <c r="CX1" s="565"/>
      <c r="CY1" s="566"/>
      <c r="CZ1" s="565" t="str">
        <f>"W"&amp;WEEKNUM(CZ6)</f>
        <v>W30</v>
      </c>
      <c r="DA1" s="565"/>
      <c r="DB1" s="565"/>
      <c r="DC1" s="565"/>
      <c r="DD1" s="565"/>
      <c r="DE1" s="565"/>
      <c r="DF1" s="566"/>
      <c r="DG1" s="565" t="str">
        <f>"W"&amp;WEEKNUM(DG6)</f>
        <v>W31</v>
      </c>
      <c r="DH1" s="565"/>
      <c r="DI1" s="565"/>
      <c r="DJ1" s="565"/>
      <c r="DK1" s="565"/>
      <c r="DL1" s="565"/>
      <c r="DM1" s="566"/>
      <c r="DN1" s="565" t="str">
        <f>"W"&amp;WEEKNUM(DN6)</f>
        <v>W32</v>
      </c>
      <c r="DO1" s="565"/>
      <c r="DP1" s="565"/>
      <c r="DQ1" s="565"/>
      <c r="DR1" s="565"/>
      <c r="DS1" s="565"/>
      <c r="DT1" s="566"/>
      <c r="DU1" s="565" t="str">
        <f>"W"&amp;WEEKNUM(DU6)</f>
        <v>W33</v>
      </c>
      <c r="DV1" s="565"/>
      <c r="DW1" s="565"/>
      <c r="DX1" s="565"/>
      <c r="DY1" s="565"/>
      <c r="DZ1" s="565"/>
      <c r="EA1" s="566"/>
      <c r="EB1" s="565" t="str">
        <f>"W"&amp;WEEKNUM(EB6)</f>
        <v>W34</v>
      </c>
      <c r="EC1" s="565"/>
      <c r="ED1" s="565"/>
      <c r="EE1" s="565"/>
      <c r="EF1" s="565"/>
      <c r="EG1" s="565"/>
      <c r="EH1" s="566"/>
      <c r="EI1" s="565" t="str">
        <f>"W"&amp;WEEKNUM(EI6)</f>
        <v>W35</v>
      </c>
      <c r="EJ1" s="565"/>
      <c r="EK1" s="565"/>
      <c r="EL1" s="565"/>
      <c r="EM1" s="565"/>
      <c r="EN1" s="565"/>
      <c r="EO1" s="566"/>
      <c r="EP1" s="565" t="str">
        <f>"W"&amp;WEEKNUM(EP6)</f>
        <v>W36</v>
      </c>
      <c r="EQ1" s="565"/>
      <c r="ER1" s="565"/>
      <c r="ES1" s="565"/>
      <c r="ET1" s="565"/>
      <c r="EU1" s="565"/>
      <c r="EV1" s="566"/>
      <c r="EW1" s="565" t="str">
        <f>"W"&amp;WEEKNUM(EW6)</f>
        <v>W37</v>
      </c>
      <c r="EX1" s="565"/>
      <c r="EY1" s="565"/>
      <c r="EZ1" s="565"/>
      <c r="FA1" s="565"/>
      <c r="FB1" s="565"/>
      <c r="FC1" s="566"/>
    </row>
    <row r="2" spans="1:159" s="11" customFormat="1" ht="9" customHeight="1" thickBot="1">
      <c r="A2" s="568"/>
      <c r="B2" s="615"/>
      <c r="C2" s="574"/>
      <c r="D2" s="575"/>
      <c r="E2" s="576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  <c r="DU2" s="579" t="s">
        <v>70</v>
      </c>
      <c r="DV2" s="577"/>
      <c r="DW2" s="577"/>
      <c r="DX2" s="577"/>
      <c r="DY2" s="577"/>
      <c r="DZ2" s="577"/>
      <c r="EA2" s="578"/>
      <c r="EB2" s="579" t="s">
        <v>71</v>
      </c>
      <c r="EC2" s="577"/>
      <c r="ED2" s="577"/>
      <c r="EE2" s="577"/>
      <c r="EF2" s="577"/>
      <c r="EG2" s="577"/>
      <c r="EH2" s="578"/>
      <c r="EI2" s="579" t="s">
        <v>72</v>
      </c>
      <c r="EJ2" s="577"/>
      <c r="EK2" s="577"/>
      <c r="EL2" s="577"/>
      <c r="EM2" s="577"/>
      <c r="EN2" s="577"/>
      <c r="EO2" s="578"/>
      <c r="EP2" s="579" t="s">
        <v>73</v>
      </c>
      <c r="EQ2" s="577"/>
      <c r="ER2" s="577"/>
      <c r="ES2" s="577"/>
      <c r="ET2" s="577"/>
      <c r="EU2" s="577"/>
      <c r="EV2" s="578"/>
      <c r="EW2" s="579" t="s">
        <v>74</v>
      </c>
      <c r="EX2" s="577"/>
      <c r="EY2" s="577"/>
      <c r="EZ2" s="577"/>
      <c r="FA2" s="577"/>
      <c r="FB2" s="577"/>
      <c r="FC2" s="578"/>
    </row>
    <row r="3" spans="1:159" s="12" customFormat="1" ht="9" customHeight="1" thickTop="1">
      <c r="A3" s="580" t="s">
        <v>19</v>
      </c>
      <c r="B3" s="612" t="str">
        <f>_xlfn.XLOOKUP(A25,'VTT next'!F:F,'VTT next'!X:X,"-",0)</f>
        <v>KWE Shanghai</v>
      </c>
      <c r="C3" s="572">
        <f>_xlfn.XLOOKUP(A25,'VTT next'!F:F,'VTT next'!Y:Y,"-",0)</f>
        <v>26037000</v>
      </c>
      <c r="D3" s="572"/>
      <c r="E3" s="573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  <c r="DU3" s="36" t="s">
        <v>20</v>
      </c>
      <c r="DV3" s="33" t="s">
        <v>21</v>
      </c>
      <c r="DW3" s="33" t="s">
        <v>21</v>
      </c>
      <c r="DX3" s="33" t="s">
        <v>22</v>
      </c>
      <c r="DY3" s="33" t="s">
        <v>23</v>
      </c>
      <c r="DZ3" s="34" t="s">
        <v>24</v>
      </c>
      <c r="EA3" s="35" t="s">
        <v>25</v>
      </c>
      <c r="EB3" s="36" t="s">
        <v>20</v>
      </c>
      <c r="EC3" s="33" t="s">
        <v>21</v>
      </c>
      <c r="ED3" s="33" t="s">
        <v>21</v>
      </c>
      <c r="EE3" s="33" t="s">
        <v>22</v>
      </c>
      <c r="EF3" s="33" t="s">
        <v>23</v>
      </c>
      <c r="EG3" s="34" t="s">
        <v>24</v>
      </c>
      <c r="EH3" s="35" t="s">
        <v>25</v>
      </c>
      <c r="EI3" s="36" t="s">
        <v>20</v>
      </c>
      <c r="EJ3" s="33" t="s">
        <v>21</v>
      </c>
      <c r="EK3" s="33" t="s">
        <v>21</v>
      </c>
      <c r="EL3" s="33" t="s">
        <v>22</v>
      </c>
      <c r="EM3" s="33" t="s">
        <v>23</v>
      </c>
      <c r="EN3" s="34" t="s">
        <v>24</v>
      </c>
      <c r="EO3" s="35" t="s">
        <v>25</v>
      </c>
      <c r="EP3" s="36" t="s">
        <v>20</v>
      </c>
      <c r="EQ3" s="33" t="s">
        <v>21</v>
      </c>
      <c r="ER3" s="33" t="s">
        <v>21</v>
      </c>
      <c r="ES3" s="33" t="s">
        <v>22</v>
      </c>
      <c r="ET3" s="33" t="s">
        <v>23</v>
      </c>
      <c r="EU3" s="34" t="s">
        <v>24</v>
      </c>
      <c r="EV3" s="35" t="s">
        <v>25</v>
      </c>
      <c r="EW3" s="36" t="s">
        <v>20</v>
      </c>
      <c r="EX3" s="33" t="s">
        <v>21</v>
      </c>
      <c r="EY3" s="33" t="s">
        <v>21</v>
      </c>
      <c r="EZ3" s="33" t="s">
        <v>22</v>
      </c>
      <c r="FA3" s="33" t="s">
        <v>23</v>
      </c>
      <c r="FB3" s="34" t="s">
        <v>24</v>
      </c>
      <c r="FC3" s="35" t="s">
        <v>25</v>
      </c>
    </row>
    <row r="4" spans="1:159" s="12" customFormat="1" ht="9" customHeight="1" thickBot="1">
      <c r="A4" s="581"/>
      <c r="B4" s="613"/>
      <c r="C4" s="575"/>
      <c r="D4" s="575"/>
      <c r="E4" s="576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  <c r="DU4" s="36" t="s">
        <v>26</v>
      </c>
      <c r="DV4" s="33" t="s">
        <v>27</v>
      </c>
      <c r="DW4" s="33" t="s">
        <v>28</v>
      </c>
      <c r="DX4" s="33" t="s">
        <v>29</v>
      </c>
      <c r="DY4" s="33" t="s">
        <v>30</v>
      </c>
      <c r="DZ4" s="34" t="s">
        <v>31</v>
      </c>
      <c r="EA4" s="35" t="s">
        <v>32</v>
      </c>
      <c r="EB4" s="36" t="s">
        <v>26</v>
      </c>
      <c r="EC4" s="33" t="s">
        <v>27</v>
      </c>
      <c r="ED4" s="33" t="s">
        <v>28</v>
      </c>
      <c r="EE4" s="33" t="s">
        <v>29</v>
      </c>
      <c r="EF4" s="33" t="s">
        <v>30</v>
      </c>
      <c r="EG4" s="34" t="s">
        <v>31</v>
      </c>
      <c r="EH4" s="35" t="s">
        <v>32</v>
      </c>
      <c r="EI4" s="36" t="s">
        <v>26</v>
      </c>
      <c r="EJ4" s="33" t="s">
        <v>27</v>
      </c>
      <c r="EK4" s="33" t="s">
        <v>28</v>
      </c>
      <c r="EL4" s="33" t="s">
        <v>29</v>
      </c>
      <c r="EM4" s="33" t="s">
        <v>30</v>
      </c>
      <c r="EN4" s="34" t="s">
        <v>31</v>
      </c>
      <c r="EO4" s="35" t="s">
        <v>32</v>
      </c>
      <c r="EP4" s="36" t="s">
        <v>26</v>
      </c>
      <c r="EQ4" s="33" t="s">
        <v>27</v>
      </c>
      <c r="ER4" s="33" t="s">
        <v>28</v>
      </c>
      <c r="ES4" s="33" t="s">
        <v>29</v>
      </c>
      <c r="ET4" s="33" t="s">
        <v>30</v>
      </c>
      <c r="EU4" s="34" t="s">
        <v>31</v>
      </c>
      <c r="EV4" s="35" t="s">
        <v>32</v>
      </c>
      <c r="EW4" s="36" t="s">
        <v>26</v>
      </c>
      <c r="EX4" s="33" t="s">
        <v>27</v>
      </c>
      <c r="EY4" s="33" t="s">
        <v>28</v>
      </c>
      <c r="EZ4" s="33" t="s">
        <v>29</v>
      </c>
      <c r="FA4" s="33" t="s">
        <v>30</v>
      </c>
      <c r="FB4" s="34" t="s">
        <v>31</v>
      </c>
      <c r="FC4" s="35" t="s">
        <v>32</v>
      </c>
    </row>
    <row r="5" spans="1:159" s="12" customFormat="1" ht="15" customHeight="1" thickTop="1" thickBot="1">
      <c r="A5" s="56" t="s">
        <v>33</v>
      </c>
      <c r="B5" s="58">
        <f>_xlfn.XLOOKUP(A25,'VTT next'!F:F,'VTT next'!AL:AL,"-",0)</f>
        <v>0</v>
      </c>
      <c r="C5" s="582" t="str">
        <f>_xlfn.XLOOKUP(A25,'VTT next'!F:F,'VTT next'!AM:AM,"-",0)</f>
        <v>-</v>
      </c>
      <c r="D5" s="583"/>
      <c r="E5" s="584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  <c r="DU5" s="38">
        <v>120</v>
      </c>
      <c r="DV5" s="38">
        <v>121</v>
      </c>
      <c r="DW5" s="38">
        <v>122</v>
      </c>
      <c r="DX5" s="38">
        <v>123</v>
      </c>
      <c r="DY5" s="38">
        <v>124</v>
      </c>
      <c r="DZ5" s="38">
        <v>125</v>
      </c>
      <c r="EA5" s="38">
        <v>126</v>
      </c>
      <c r="EB5" s="38">
        <v>127</v>
      </c>
      <c r="EC5" s="38">
        <v>128</v>
      </c>
      <c r="ED5" s="38">
        <v>129</v>
      </c>
      <c r="EE5" s="38">
        <v>130</v>
      </c>
      <c r="EF5" s="38">
        <v>131</v>
      </c>
      <c r="EG5" s="38">
        <v>132</v>
      </c>
      <c r="EH5" s="38">
        <v>133</v>
      </c>
      <c r="EI5" s="38">
        <v>134</v>
      </c>
      <c r="EJ5" s="38">
        <v>135</v>
      </c>
      <c r="EK5" s="38">
        <v>136</v>
      </c>
      <c r="EL5" s="38">
        <v>137</v>
      </c>
      <c r="EM5" s="38">
        <v>138</v>
      </c>
      <c r="EN5" s="38">
        <v>139</v>
      </c>
      <c r="EO5" s="38">
        <v>140</v>
      </c>
      <c r="EP5" s="38">
        <v>141</v>
      </c>
      <c r="EQ5" s="38">
        <v>142</v>
      </c>
      <c r="ER5" s="38">
        <v>143</v>
      </c>
      <c r="ES5" s="38">
        <v>144</v>
      </c>
      <c r="ET5" s="38">
        <v>145</v>
      </c>
      <c r="EU5" s="38">
        <v>146</v>
      </c>
      <c r="EV5" s="38">
        <v>147</v>
      </c>
      <c r="EW5" s="38">
        <v>148</v>
      </c>
      <c r="EX5" s="38">
        <v>149</v>
      </c>
      <c r="EY5" s="38">
        <v>150</v>
      </c>
      <c r="EZ5" s="38">
        <v>151</v>
      </c>
      <c r="FA5" s="38">
        <v>152</v>
      </c>
      <c r="FB5" s="38">
        <v>153</v>
      </c>
      <c r="FC5" s="38">
        <v>154</v>
      </c>
    </row>
    <row r="6" spans="1:159" s="46" customFormat="1" ht="33" customHeight="1" thickTop="1" thickBot="1">
      <c r="A6" s="56" t="s">
        <v>34</v>
      </c>
      <c r="B6" s="58" t="str">
        <f>_xlfn.XLOOKUP(A25,'VTT next'!F:F,'VTT next'!L:L,"-",0)</f>
        <v>OYAK MEKA</v>
      </c>
      <c r="C6" s="571">
        <f>_xlfn.XLOOKUP(A25,'VTT next'!F:F,'VTT next'!M:M,"-",0)</f>
        <v>90014400</v>
      </c>
      <c r="D6" s="572"/>
      <c r="E6" s="573"/>
      <c r="F6" s="349">
        <v>46125</v>
      </c>
      <c r="G6" s="43">
        <f>F6+1</f>
        <v>46126</v>
      </c>
      <c r="H6" s="43">
        <f t="shared" ref="H6:BS6" si="12">G6+1</f>
        <v>46127</v>
      </c>
      <c r="I6" s="43">
        <f t="shared" si="12"/>
        <v>46128</v>
      </c>
      <c r="J6" s="43">
        <f t="shared" si="12"/>
        <v>46129</v>
      </c>
      <c r="K6" s="44">
        <f t="shared" si="12"/>
        <v>46130</v>
      </c>
      <c r="L6" s="45">
        <f t="shared" si="12"/>
        <v>46131</v>
      </c>
      <c r="M6" s="43">
        <f t="shared" si="12"/>
        <v>46132</v>
      </c>
      <c r="N6" s="43">
        <f t="shared" si="12"/>
        <v>46133</v>
      </c>
      <c r="O6" s="43">
        <f t="shared" si="12"/>
        <v>46134</v>
      </c>
      <c r="P6" s="43">
        <f t="shared" si="12"/>
        <v>46135</v>
      </c>
      <c r="Q6" s="43">
        <f t="shared" si="12"/>
        <v>46136</v>
      </c>
      <c r="R6" s="44">
        <f t="shared" si="12"/>
        <v>46137</v>
      </c>
      <c r="S6" s="45">
        <f t="shared" si="12"/>
        <v>46138</v>
      </c>
      <c r="T6" s="43">
        <f t="shared" si="12"/>
        <v>46139</v>
      </c>
      <c r="U6" s="43">
        <f t="shared" si="12"/>
        <v>46140</v>
      </c>
      <c r="V6" s="43">
        <f t="shared" si="12"/>
        <v>46141</v>
      </c>
      <c r="W6" s="43">
        <f t="shared" si="12"/>
        <v>46142</v>
      </c>
      <c r="X6" s="43">
        <f t="shared" si="12"/>
        <v>46143</v>
      </c>
      <c r="Y6" s="44">
        <f t="shared" si="12"/>
        <v>46144</v>
      </c>
      <c r="Z6" s="45">
        <f t="shared" si="12"/>
        <v>46145</v>
      </c>
      <c r="AA6" s="43">
        <f t="shared" si="12"/>
        <v>46146</v>
      </c>
      <c r="AB6" s="43">
        <f t="shared" si="12"/>
        <v>46147</v>
      </c>
      <c r="AC6" s="43">
        <f t="shared" si="12"/>
        <v>46148</v>
      </c>
      <c r="AD6" s="43">
        <f t="shared" si="12"/>
        <v>46149</v>
      </c>
      <c r="AE6" s="43">
        <f t="shared" si="12"/>
        <v>46150</v>
      </c>
      <c r="AF6" s="44">
        <f t="shared" si="12"/>
        <v>46151</v>
      </c>
      <c r="AG6" s="45">
        <f t="shared" si="12"/>
        <v>46152</v>
      </c>
      <c r="AH6" s="43">
        <f t="shared" si="12"/>
        <v>46153</v>
      </c>
      <c r="AI6" s="43">
        <f t="shared" si="12"/>
        <v>46154</v>
      </c>
      <c r="AJ6" s="43">
        <f t="shared" si="12"/>
        <v>46155</v>
      </c>
      <c r="AK6" s="43">
        <f t="shared" si="12"/>
        <v>46156</v>
      </c>
      <c r="AL6" s="43">
        <f t="shared" si="12"/>
        <v>46157</v>
      </c>
      <c r="AM6" s="44">
        <f t="shared" si="12"/>
        <v>46158</v>
      </c>
      <c r="AN6" s="45">
        <f t="shared" si="12"/>
        <v>46159</v>
      </c>
      <c r="AO6" s="43">
        <f t="shared" si="12"/>
        <v>46160</v>
      </c>
      <c r="AP6" s="43">
        <f t="shared" si="12"/>
        <v>46161</v>
      </c>
      <c r="AQ6" s="43">
        <f t="shared" si="12"/>
        <v>46162</v>
      </c>
      <c r="AR6" s="43">
        <f t="shared" si="12"/>
        <v>46163</v>
      </c>
      <c r="AS6" s="43">
        <f t="shared" si="12"/>
        <v>46164</v>
      </c>
      <c r="AT6" s="44">
        <f t="shared" si="12"/>
        <v>46165</v>
      </c>
      <c r="AU6" s="45">
        <f t="shared" si="12"/>
        <v>46166</v>
      </c>
      <c r="AV6" s="43">
        <f t="shared" si="12"/>
        <v>46167</v>
      </c>
      <c r="AW6" s="43">
        <f t="shared" si="12"/>
        <v>46168</v>
      </c>
      <c r="AX6" s="43">
        <f t="shared" si="12"/>
        <v>46169</v>
      </c>
      <c r="AY6" s="43">
        <f t="shared" si="12"/>
        <v>46170</v>
      </c>
      <c r="AZ6" s="43">
        <f t="shared" si="12"/>
        <v>46171</v>
      </c>
      <c r="BA6" s="44">
        <f t="shared" si="12"/>
        <v>46172</v>
      </c>
      <c r="BB6" s="45">
        <f t="shared" si="12"/>
        <v>46173</v>
      </c>
      <c r="BC6" s="43">
        <f t="shared" si="12"/>
        <v>46174</v>
      </c>
      <c r="BD6" s="43">
        <f t="shared" si="12"/>
        <v>46175</v>
      </c>
      <c r="BE6" s="43">
        <f t="shared" si="12"/>
        <v>46176</v>
      </c>
      <c r="BF6" s="43">
        <f t="shared" si="12"/>
        <v>46177</v>
      </c>
      <c r="BG6" s="43">
        <f t="shared" si="12"/>
        <v>46178</v>
      </c>
      <c r="BH6" s="44">
        <f t="shared" si="12"/>
        <v>46179</v>
      </c>
      <c r="BI6" s="45">
        <f t="shared" si="12"/>
        <v>46180</v>
      </c>
      <c r="BJ6" s="43">
        <f t="shared" si="12"/>
        <v>46181</v>
      </c>
      <c r="BK6" s="43">
        <f t="shared" si="12"/>
        <v>46182</v>
      </c>
      <c r="BL6" s="43">
        <f t="shared" si="12"/>
        <v>46183</v>
      </c>
      <c r="BM6" s="43">
        <f t="shared" si="12"/>
        <v>46184</v>
      </c>
      <c r="BN6" s="43">
        <f t="shared" si="12"/>
        <v>46185</v>
      </c>
      <c r="BO6" s="44">
        <f t="shared" si="12"/>
        <v>46186</v>
      </c>
      <c r="BP6" s="45">
        <f t="shared" si="12"/>
        <v>46187</v>
      </c>
      <c r="BQ6" s="43">
        <f t="shared" si="12"/>
        <v>46188</v>
      </c>
      <c r="BR6" s="43">
        <f t="shared" si="12"/>
        <v>46189</v>
      </c>
      <c r="BS6" s="43">
        <f t="shared" si="12"/>
        <v>46190</v>
      </c>
      <c r="BT6" s="43">
        <f t="shared" ref="BT6:EE6" si="13">BS6+1</f>
        <v>46191</v>
      </c>
      <c r="BU6" s="43">
        <f t="shared" si="13"/>
        <v>46192</v>
      </c>
      <c r="BV6" s="44">
        <f t="shared" si="13"/>
        <v>46193</v>
      </c>
      <c r="BW6" s="45">
        <f t="shared" si="13"/>
        <v>46194</v>
      </c>
      <c r="BX6" s="43">
        <f t="shared" si="13"/>
        <v>46195</v>
      </c>
      <c r="BY6" s="43">
        <f t="shared" si="13"/>
        <v>46196</v>
      </c>
      <c r="BZ6" s="43">
        <f t="shared" si="13"/>
        <v>46197</v>
      </c>
      <c r="CA6" s="43">
        <f t="shared" si="13"/>
        <v>46198</v>
      </c>
      <c r="CB6" s="43">
        <f t="shared" si="13"/>
        <v>46199</v>
      </c>
      <c r="CC6" s="44">
        <f t="shared" si="13"/>
        <v>46200</v>
      </c>
      <c r="CD6" s="45">
        <f t="shared" si="13"/>
        <v>46201</v>
      </c>
      <c r="CE6" s="43">
        <f t="shared" si="13"/>
        <v>46202</v>
      </c>
      <c r="CF6" s="43">
        <f t="shared" si="13"/>
        <v>46203</v>
      </c>
      <c r="CG6" s="43">
        <f t="shared" si="13"/>
        <v>46204</v>
      </c>
      <c r="CH6" s="43">
        <f t="shared" si="13"/>
        <v>46205</v>
      </c>
      <c r="CI6" s="43">
        <f t="shared" si="13"/>
        <v>46206</v>
      </c>
      <c r="CJ6" s="44">
        <f t="shared" si="13"/>
        <v>46207</v>
      </c>
      <c r="CK6" s="45">
        <f t="shared" si="13"/>
        <v>46208</v>
      </c>
      <c r="CL6" s="43">
        <f t="shared" si="13"/>
        <v>46209</v>
      </c>
      <c r="CM6" s="43">
        <f t="shared" si="13"/>
        <v>46210</v>
      </c>
      <c r="CN6" s="43">
        <f t="shared" si="13"/>
        <v>46211</v>
      </c>
      <c r="CO6" s="43">
        <f t="shared" si="13"/>
        <v>46212</v>
      </c>
      <c r="CP6" s="43">
        <f t="shared" si="13"/>
        <v>46213</v>
      </c>
      <c r="CQ6" s="44">
        <f t="shared" si="13"/>
        <v>46214</v>
      </c>
      <c r="CR6" s="45">
        <f t="shared" si="13"/>
        <v>46215</v>
      </c>
      <c r="CS6" s="43">
        <f t="shared" si="13"/>
        <v>46216</v>
      </c>
      <c r="CT6" s="43">
        <f t="shared" si="13"/>
        <v>46217</v>
      </c>
      <c r="CU6" s="43">
        <f t="shared" si="13"/>
        <v>46218</v>
      </c>
      <c r="CV6" s="43">
        <f t="shared" si="13"/>
        <v>46219</v>
      </c>
      <c r="CW6" s="43">
        <f t="shared" si="13"/>
        <v>46220</v>
      </c>
      <c r="CX6" s="44">
        <f t="shared" si="13"/>
        <v>46221</v>
      </c>
      <c r="CY6" s="45">
        <f t="shared" si="13"/>
        <v>46222</v>
      </c>
      <c r="CZ6" s="43">
        <f t="shared" si="13"/>
        <v>46223</v>
      </c>
      <c r="DA6" s="43">
        <f t="shared" si="13"/>
        <v>46224</v>
      </c>
      <c r="DB6" s="43">
        <f t="shared" si="13"/>
        <v>46225</v>
      </c>
      <c r="DC6" s="43">
        <f t="shared" si="13"/>
        <v>46226</v>
      </c>
      <c r="DD6" s="43">
        <f t="shared" si="13"/>
        <v>46227</v>
      </c>
      <c r="DE6" s="44">
        <f t="shared" si="13"/>
        <v>46228</v>
      </c>
      <c r="DF6" s="45">
        <f t="shared" si="13"/>
        <v>46229</v>
      </c>
      <c r="DG6" s="43">
        <f t="shared" si="13"/>
        <v>46230</v>
      </c>
      <c r="DH6" s="43">
        <f t="shared" si="13"/>
        <v>46231</v>
      </c>
      <c r="DI6" s="43">
        <f t="shared" si="13"/>
        <v>46232</v>
      </c>
      <c r="DJ6" s="43">
        <f t="shared" si="13"/>
        <v>46233</v>
      </c>
      <c r="DK6" s="43">
        <f t="shared" si="13"/>
        <v>46234</v>
      </c>
      <c r="DL6" s="44">
        <f t="shared" si="13"/>
        <v>46235</v>
      </c>
      <c r="DM6" s="45">
        <f t="shared" si="13"/>
        <v>46236</v>
      </c>
      <c r="DN6" s="43">
        <f t="shared" si="13"/>
        <v>46237</v>
      </c>
      <c r="DO6" s="43">
        <f t="shared" si="13"/>
        <v>46238</v>
      </c>
      <c r="DP6" s="43">
        <f t="shared" si="13"/>
        <v>46239</v>
      </c>
      <c r="DQ6" s="43">
        <f t="shared" si="13"/>
        <v>46240</v>
      </c>
      <c r="DR6" s="43">
        <f t="shared" si="13"/>
        <v>46241</v>
      </c>
      <c r="DS6" s="44">
        <f t="shared" si="13"/>
        <v>46242</v>
      </c>
      <c r="DT6" s="45">
        <f t="shared" si="13"/>
        <v>46243</v>
      </c>
      <c r="DU6" s="43">
        <f t="shared" si="13"/>
        <v>46244</v>
      </c>
      <c r="DV6" s="43">
        <f t="shared" si="13"/>
        <v>46245</v>
      </c>
      <c r="DW6" s="43">
        <f t="shared" si="13"/>
        <v>46246</v>
      </c>
      <c r="DX6" s="43">
        <f t="shared" si="13"/>
        <v>46247</v>
      </c>
      <c r="DY6" s="43">
        <f t="shared" si="13"/>
        <v>46248</v>
      </c>
      <c r="DZ6" s="44">
        <f t="shared" si="13"/>
        <v>46249</v>
      </c>
      <c r="EA6" s="45">
        <f t="shared" si="13"/>
        <v>46250</v>
      </c>
      <c r="EB6" s="43">
        <f t="shared" si="13"/>
        <v>46251</v>
      </c>
      <c r="EC6" s="43">
        <f t="shared" si="13"/>
        <v>46252</v>
      </c>
      <c r="ED6" s="43">
        <f t="shared" si="13"/>
        <v>46253</v>
      </c>
      <c r="EE6" s="43">
        <f t="shared" si="13"/>
        <v>46254</v>
      </c>
      <c r="EF6" s="43">
        <f t="shared" ref="EF6:EH6" si="14">EE6+1</f>
        <v>46255</v>
      </c>
      <c r="EG6" s="44">
        <f t="shared" si="14"/>
        <v>46256</v>
      </c>
      <c r="EH6" s="45">
        <f t="shared" si="14"/>
        <v>46257</v>
      </c>
      <c r="EI6" s="43">
        <f t="shared" ref="EI6:FC6" si="15">EH6+1</f>
        <v>46258</v>
      </c>
      <c r="EJ6" s="43">
        <f t="shared" si="15"/>
        <v>46259</v>
      </c>
      <c r="EK6" s="43">
        <f t="shared" si="15"/>
        <v>46260</v>
      </c>
      <c r="EL6" s="43">
        <f t="shared" si="15"/>
        <v>46261</v>
      </c>
      <c r="EM6" s="43">
        <f t="shared" si="15"/>
        <v>46262</v>
      </c>
      <c r="EN6" s="44">
        <f t="shared" si="15"/>
        <v>46263</v>
      </c>
      <c r="EO6" s="45">
        <f t="shared" si="15"/>
        <v>46264</v>
      </c>
      <c r="EP6" s="43">
        <f t="shared" si="15"/>
        <v>46265</v>
      </c>
      <c r="EQ6" s="43">
        <f t="shared" si="15"/>
        <v>46266</v>
      </c>
      <c r="ER6" s="43">
        <f t="shared" si="15"/>
        <v>46267</v>
      </c>
      <c r="ES6" s="43">
        <f t="shared" si="15"/>
        <v>46268</v>
      </c>
      <c r="ET6" s="43">
        <f t="shared" si="15"/>
        <v>46269</v>
      </c>
      <c r="EU6" s="44">
        <f t="shared" si="15"/>
        <v>46270</v>
      </c>
      <c r="EV6" s="45">
        <f t="shared" si="15"/>
        <v>46271</v>
      </c>
      <c r="EW6" s="43">
        <f t="shared" si="15"/>
        <v>46272</v>
      </c>
      <c r="EX6" s="43">
        <f t="shared" si="15"/>
        <v>46273</v>
      </c>
      <c r="EY6" s="43">
        <f t="shared" si="15"/>
        <v>46274</v>
      </c>
      <c r="EZ6" s="43">
        <f t="shared" si="15"/>
        <v>46275</v>
      </c>
      <c r="FA6" s="43">
        <f t="shared" si="15"/>
        <v>46276</v>
      </c>
      <c r="FB6" s="44">
        <f t="shared" si="15"/>
        <v>46277</v>
      </c>
      <c r="FC6" s="45">
        <f t="shared" si="15"/>
        <v>46278</v>
      </c>
    </row>
    <row r="7" spans="1:159" s="17" customFormat="1" ht="17.25" customHeight="1" thickTop="1">
      <c r="A7" s="56" t="s">
        <v>75</v>
      </c>
      <c r="B7" s="129">
        <v>927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  <c r="DU7" s="13"/>
      <c r="DV7" s="14"/>
      <c r="DW7" s="14"/>
      <c r="DX7" s="14"/>
      <c r="DY7" s="14"/>
      <c r="DZ7" s="15"/>
      <c r="EA7" s="16"/>
      <c r="EB7" s="13"/>
      <c r="EC7" s="14"/>
      <c r="ED7" s="14"/>
      <c r="EE7" s="14"/>
      <c r="EF7" s="14"/>
      <c r="EG7" s="15"/>
      <c r="EH7" s="16"/>
      <c r="EI7" s="13"/>
      <c r="EJ7" s="14"/>
      <c r="EK7" s="14"/>
      <c r="EL7" s="14"/>
      <c r="EM7" s="14"/>
      <c r="EN7" s="15"/>
      <c r="EO7" s="16"/>
      <c r="EP7" s="13"/>
      <c r="EQ7" s="14"/>
      <c r="ER7" s="14"/>
      <c r="ES7" s="14"/>
      <c r="ET7" s="14"/>
      <c r="EU7" s="15"/>
      <c r="EV7" s="16"/>
      <c r="EW7" s="13"/>
      <c r="EX7" s="14"/>
      <c r="EY7" s="14"/>
      <c r="EZ7" s="14"/>
      <c r="FA7" s="14"/>
      <c r="FB7" s="15"/>
      <c r="FC7" s="16"/>
    </row>
    <row r="8" spans="1:159" s="17" customFormat="1" ht="9.75" customHeight="1">
      <c r="A8" s="585" t="str">
        <f ca="1">_xlfn.XLOOKUP(B7&amp;"-"&amp;"Next",'DATA BTO'!A:A,'DATA BTO'!E:E,"-",0)&amp;" &gt; "&amp;_xlfn.XLOOKUP(B7&amp;"-"&amp;"Next",'DATA BTO'!A:A,'DATA BTO'!J:J,"-",0)</f>
        <v>- &gt; -</v>
      </c>
      <c r="B8" s="18"/>
      <c r="C8" s="19">
        <f>_xlfn.XLOOKUP(A25,'VTT next'!F:F,'VTT next'!N:N,"-",0)</f>
        <v>2</v>
      </c>
      <c r="D8" s="20">
        <v>0</v>
      </c>
      <c r="E8" s="19">
        <f>(C8+D8)</f>
        <v>2</v>
      </c>
      <c r="F8" s="13" t="str">
        <f t="shared" ref="F8:Z20" si="16">IF(AND(F$5&gt;=$C8,F$5&lt;=$E8),1,"")</f>
        <v/>
      </c>
      <c r="G8" s="14">
        <f t="shared" si="16"/>
        <v>1</v>
      </c>
      <c r="H8" s="14" t="str">
        <f t="shared" si="16"/>
        <v/>
      </c>
      <c r="I8" s="14" t="str">
        <f t="shared" si="16"/>
        <v/>
      </c>
      <c r="J8" s="14" t="str">
        <f t="shared" si="16"/>
        <v/>
      </c>
      <c r="K8" s="15" t="str">
        <f t="shared" si="16"/>
        <v/>
      </c>
      <c r="L8" s="16" t="str">
        <f t="shared" si="16"/>
        <v/>
      </c>
      <c r="M8" s="13" t="str">
        <f t="shared" si="16"/>
        <v/>
      </c>
      <c r="N8" s="14" t="str">
        <f t="shared" si="16"/>
        <v/>
      </c>
      <c r="O8" s="14" t="str">
        <f t="shared" si="16"/>
        <v/>
      </c>
      <c r="P8" s="14" t="str">
        <f t="shared" si="16"/>
        <v/>
      </c>
      <c r="Q8" s="14" t="str">
        <f t="shared" si="16"/>
        <v/>
      </c>
      <c r="R8" s="15" t="str">
        <f t="shared" si="16"/>
        <v/>
      </c>
      <c r="S8" s="16" t="str">
        <f t="shared" si="16"/>
        <v/>
      </c>
      <c r="T8" s="13" t="str">
        <f t="shared" si="16"/>
        <v/>
      </c>
      <c r="U8" s="14" t="str">
        <f t="shared" si="16"/>
        <v/>
      </c>
      <c r="V8" s="14" t="str">
        <f t="shared" si="16"/>
        <v/>
      </c>
      <c r="W8" s="14" t="str">
        <f t="shared" si="16"/>
        <v/>
      </c>
      <c r="X8" s="14" t="str">
        <f t="shared" si="16"/>
        <v/>
      </c>
      <c r="Y8" s="15" t="str">
        <f t="shared" si="16"/>
        <v/>
      </c>
      <c r="Z8" s="16" t="str">
        <f t="shared" si="16"/>
        <v/>
      </c>
      <c r="AA8" s="13" t="str">
        <f t="shared" ref="AA8:AP24" si="17">IF(AND(AA$5&gt;=$C8,AA$5&lt;=$E8),1,"")</f>
        <v/>
      </c>
      <c r="AB8" s="14" t="str">
        <f t="shared" si="17"/>
        <v/>
      </c>
      <c r="AC8" s="14" t="str">
        <f t="shared" si="17"/>
        <v/>
      </c>
      <c r="AD8" s="14" t="str">
        <f t="shared" si="17"/>
        <v/>
      </c>
      <c r="AE8" s="14" t="str">
        <f t="shared" si="17"/>
        <v/>
      </c>
      <c r="AF8" s="15" t="str">
        <f t="shared" si="17"/>
        <v/>
      </c>
      <c r="AG8" s="16" t="str">
        <f t="shared" si="17"/>
        <v/>
      </c>
      <c r="AH8" s="13" t="str">
        <f t="shared" si="17"/>
        <v/>
      </c>
      <c r="AI8" s="14" t="str">
        <f t="shared" si="17"/>
        <v/>
      </c>
      <c r="AJ8" s="14" t="str">
        <f t="shared" si="17"/>
        <v/>
      </c>
      <c r="AK8" s="14" t="str">
        <f t="shared" si="17"/>
        <v/>
      </c>
      <c r="AL8" s="14" t="str">
        <f t="shared" si="17"/>
        <v/>
      </c>
      <c r="AM8" s="15" t="str">
        <f t="shared" si="17"/>
        <v/>
      </c>
      <c r="AN8" s="16" t="str">
        <f t="shared" si="17"/>
        <v/>
      </c>
      <c r="AO8" s="13" t="str">
        <f t="shared" si="17"/>
        <v/>
      </c>
      <c r="AP8" s="14" t="str">
        <f t="shared" si="17"/>
        <v/>
      </c>
      <c r="AQ8" s="14" t="str">
        <f t="shared" ref="AQ8:BF24" si="18">IF(AND(AQ$5&gt;=$C8,AQ$5&lt;=$E8),1,"")</f>
        <v/>
      </c>
      <c r="AR8" s="14" t="str">
        <f t="shared" si="18"/>
        <v/>
      </c>
      <c r="AS8" s="14" t="str">
        <f t="shared" si="18"/>
        <v/>
      </c>
      <c r="AT8" s="15" t="str">
        <f t="shared" si="18"/>
        <v/>
      </c>
      <c r="AU8" s="16" t="str">
        <f t="shared" si="18"/>
        <v/>
      </c>
      <c r="AV8" s="13" t="str">
        <f t="shared" si="18"/>
        <v/>
      </c>
      <c r="AW8" s="14" t="str">
        <f t="shared" si="18"/>
        <v/>
      </c>
      <c r="AX8" s="14" t="str">
        <f t="shared" si="18"/>
        <v/>
      </c>
      <c r="AY8" s="14" t="str">
        <f t="shared" si="18"/>
        <v/>
      </c>
      <c r="AZ8" s="14" t="str">
        <f t="shared" si="18"/>
        <v/>
      </c>
      <c r="BA8" s="15" t="str">
        <f t="shared" si="18"/>
        <v/>
      </c>
      <c r="BB8" s="16" t="str">
        <f t="shared" si="18"/>
        <v/>
      </c>
      <c r="BC8" s="13" t="str">
        <f t="shared" si="18"/>
        <v/>
      </c>
      <c r="BD8" s="14" t="str">
        <f t="shared" si="18"/>
        <v/>
      </c>
      <c r="BE8" s="14" t="str">
        <f t="shared" si="18"/>
        <v/>
      </c>
      <c r="BF8" s="14" t="str">
        <f t="shared" si="18"/>
        <v/>
      </c>
      <c r="BG8" s="14" t="str">
        <f t="shared" ref="BG8:BV24" si="19">IF(AND(BG$5&gt;=$C8,BG$5&lt;=$E8),1,"")</f>
        <v/>
      </c>
      <c r="BH8" s="15" t="str">
        <f t="shared" si="19"/>
        <v/>
      </c>
      <c r="BI8" s="16" t="str">
        <f t="shared" si="19"/>
        <v/>
      </c>
      <c r="BJ8" s="13" t="str">
        <f t="shared" si="19"/>
        <v/>
      </c>
      <c r="BK8" s="14" t="str">
        <f t="shared" si="19"/>
        <v/>
      </c>
      <c r="BL8" s="14" t="str">
        <f t="shared" si="19"/>
        <v/>
      </c>
      <c r="BM8" s="14" t="str">
        <f t="shared" si="19"/>
        <v/>
      </c>
      <c r="BN8" s="14" t="str">
        <f t="shared" si="19"/>
        <v/>
      </c>
      <c r="BO8" s="15" t="str">
        <f t="shared" si="19"/>
        <v/>
      </c>
      <c r="BP8" s="16" t="str">
        <f t="shared" si="19"/>
        <v/>
      </c>
      <c r="BQ8" s="13" t="str">
        <f t="shared" si="19"/>
        <v/>
      </c>
      <c r="BR8" s="14" t="str">
        <f t="shared" si="19"/>
        <v/>
      </c>
      <c r="BS8" s="14" t="str">
        <f t="shared" si="19"/>
        <v/>
      </c>
      <c r="BT8" s="14" t="str">
        <f t="shared" si="19"/>
        <v/>
      </c>
      <c r="BU8" s="14" t="str">
        <f t="shared" si="19"/>
        <v/>
      </c>
      <c r="BV8" s="15" t="str">
        <f t="shared" si="19"/>
        <v/>
      </c>
      <c r="BW8" s="16" t="str">
        <f t="shared" ref="BW8:CL23" si="20">IF(AND(BW$5&gt;=$C8,BW$5&lt;=$E8),1,"")</f>
        <v/>
      </c>
      <c r="BX8" s="13" t="str">
        <f t="shared" si="20"/>
        <v/>
      </c>
      <c r="BY8" s="14" t="str">
        <f t="shared" si="20"/>
        <v/>
      </c>
      <c r="BZ8" s="14" t="str">
        <f t="shared" si="20"/>
        <v/>
      </c>
      <c r="CA8" s="14" t="str">
        <f t="shared" si="20"/>
        <v/>
      </c>
      <c r="CB8" s="14" t="str">
        <f t="shared" si="20"/>
        <v/>
      </c>
      <c r="CC8" s="15" t="str">
        <f t="shared" si="20"/>
        <v/>
      </c>
      <c r="CD8" s="16" t="str">
        <f t="shared" si="20"/>
        <v/>
      </c>
      <c r="CE8" s="13" t="str">
        <f t="shared" si="20"/>
        <v/>
      </c>
      <c r="CF8" s="14" t="str">
        <f t="shared" si="20"/>
        <v/>
      </c>
      <c r="CG8" s="14" t="str">
        <f t="shared" si="20"/>
        <v/>
      </c>
      <c r="CH8" s="14" t="str">
        <f t="shared" si="20"/>
        <v/>
      </c>
      <c r="CI8" s="14" t="str">
        <f t="shared" si="20"/>
        <v/>
      </c>
      <c r="CJ8" s="15" t="str">
        <f t="shared" si="20"/>
        <v/>
      </c>
      <c r="CK8" s="16" t="str">
        <f t="shared" si="20"/>
        <v/>
      </c>
      <c r="CL8" s="13" t="str">
        <f t="shared" si="20"/>
        <v/>
      </c>
      <c r="CM8" s="14" t="str">
        <f t="shared" ref="CM8:DB23" si="21">IF(AND(CM$5&gt;=$C8,CM$5&lt;=$E8),1,"")</f>
        <v/>
      </c>
      <c r="CN8" s="14" t="str">
        <f t="shared" si="21"/>
        <v/>
      </c>
      <c r="CO8" s="14" t="str">
        <f t="shared" si="21"/>
        <v/>
      </c>
      <c r="CP8" s="14" t="str">
        <f t="shared" si="21"/>
        <v/>
      </c>
      <c r="CQ8" s="15" t="str">
        <f t="shared" si="21"/>
        <v/>
      </c>
      <c r="CR8" s="16" t="str">
        <f t="shared" si="21"/>
        <v/>
      </c>
      <c r="CS8" s="13" t="str">
        <f t="shared" si="21"/>
        <v/>
      </c>
      <c r="CT8" s="14" t="str">
        <f t="shared" si="21"/>
        <v/>
      </c>
      <c r="CU8" s="14" t="str">
        <f t="shared" si="21"/>
        <v/>
      </c>
      <c r="CV8" s="14" t="str">
        <f t="shared" si="21"/>
        <v/>
      </c>
      <c r="CW8" s="14" t="str">
        <f t="shared" si="21"/>
        <v/>
      </c>
      <c r="CX8" s="15" t="str">
        <f t="shared" si="21"/>
        <v/>
      </c>
      <c r="CY8" s="16" t="str">
        <f t="shared" si="21"/>
        <v/>
      </c>
      <c r="CZ8" s="13" t="str">
        <f t="shared" si="21"/>
        <v/>
      </c>
      <c r="DA8" s="14" t="str">
        <f t="shared" si="21"/>
        <v/>
      </c>
      <c r="DB8" s="14" t="str">
        <f t="shared" si="21"/>
        <v/>
      </c>
      <c r="DC8" s="14" t="str">
        <f t="shared" ref="DC8:DT22" si="22">IF(AND(DC$5&gt;=$C8,DC$5&lt;=$E8),1,"")</f>
        <v/>
      </c>
      <c r="DD8" s="14" t="str">
        <f t="shared" si="22"/>
        <v/>
      </c>
      <c r="DE8" s="15" t="str">
        <f t="shared" si="22"/>
        <v/>
      </c>
      <c r="DF8" s="16" t="str">
        <f t="shared" si="22"/>
        <v/>
      </c>
      <c r="DG8" s="13" t="str">
        <f t="shared" si="22"/>
        <v/>
      </c>
      <c r="DH8" s="14" t="str">
        <f t="shared" si="22"/>
        <v/>
      </c>
      <c r="DI8" s="14" t="str">
        <f t="shared" si="22"/>
        <v/>
      </c>
      <c r="DJ8" s="14" t="str">
        <f t="shared" si="22"/>
        <v/>
      </c>
      <c r="DK8" s="14" t="str">
        <f t="shared" si="22"/>
        <v/>
      </c>
      <c r="DL8" s="15" t="str">
        <f t="shared" si="22"/>
        <v/>
      </c>
      <c r="DM8" s="16" t="str">
        <f t="shared" si="22"/>
        <v/>
      </c>
      <c r="DN8" s="13" t="str">
        <f t="shared" si="22"/>
        <v/>
      </c>
      <c r="DO8" s="14" t="str">
        <f t="shared" si="22"/>
        <v/>
      </c>
      <c r="DP8" s="14" t="str">
        <f t="shared" si="22"/>
        <v/>
      </c>
      <c r="DQ8" s="14" t="str">
        <f t="shared" si="22"/>
        <v/>
      </c>
      <c r="DR8" s="14" t="str">
        <f t="shared" si="22"/>
        <v/>
      </c>
      <c r="DS8" s="15" t="str">
        <f t="shared" si="22"/>
        <v/>
      </c>
      <c r="DT8" s="16" t="str">
        <f t="shared" si="22"/>
        <v/>
      </c>
      <c r="DU8" s="13" t="str">
        <f t="shared" ref="DU8:EH23" si="23">IF(AND(DU$5&gt;=$C8,DU$5&lt;=$E8),1,"")</f>
        <v/>
      </c>
      <c r="DV8" s="14" t="str">
        <f t="shared" si="23"/>
        <v/>
      </c>
      <c r="DW8" s="14" t="str">
        <f t="shared" si="23"/>
        <v/>
      </c>
      <c r="DX8" s="14" t="str">
        <f t="shared" si="23"/>
        <v/>
      </c>
      <c r="DY8" s="14" t="str">
        <f t="shared" si="23"/>
        <v/>
      </c>
      <c r="DZ8" s="15" t="str">
        <f t="shared" si="23"/>
        <v/>
      </c>
      <c r="EA8" s="16" t="str">
        <f t="shared" si="23"/>
        <v/>
      </c>
      <c r="EB8" s="13" t="str">
        <f t="shared" si="23"/>
        <v/>
      </c>
      <c r="EC8" s="14" t="str">
        <f t="shared" si="23"/>
        <v/>
      </c>
      <c r="ED8" s="14" t="str">
        <f t="shared" si="23"/>
        <v/>
      </c>
      <c r="EE8" s="14" t="str">
        <f t="shared" si="23"/>
        <v/>
      </c>
      <c r="EF8" s="14" t="str">
        <f t="shared" si="23"/>
        <v/>
      </c>
      <c r="EG8" s="15" t="str">
        <f t="shared" si="23"/>
        <v/>
      </c>
      <c r="EH8" s="16" t="str">
        <f t="shared" si="23"/>
        <v/>
      </c>
      <c r="EI8" s="13" t="str">
        <f t="shared" ref="EI8:ER16" si="24">IF(AND(EI$5&gt;=$C8,EI$5&lt;=$E8),1,"")</f>
        <v/>
      </c>
      <c r="EJ8" s="14" t="str">
        <f t="shared" si="24"/>
        <v/>
      </c>
      <c r="EK8" s="14" t="str">
        <f t="shared" si="24"/>
        <v/>
      </c>
      <c r="EL8" s="14" t="str">
        <f t="shared" si="24"/>
        <v/>
      </c>
      <c r="EM8" s="14" t="str">
        <f t="shared" si="24"/>
        <v/>
      </c>
      <c r="EN8" s="15" t="str">
        <f t="shared" si="24"/>
        <v/>
      </c>
      <c r="EO8" s="16" t="str">
        <f t="shared" si="24"/>
        <v/>
      </c>
      <c r="EP8" s="13" t="str">
        <f t="shared" si="24"/>
        <v/>
      </c>
      <c r="EQ8" s="14" t="str">
        <f t="shared" si="24"/>
        <v/>
      </c>
      <c r="ER8" s="14" t="str">
        <f t="shared" si="24"/>
        <v/>
      </c>
      <c r="ES8" s="14" t="str">
        <f t="shared" ref="ES8:FC16" si="25">IF(AND(ES$5&gt;=$C8,ES$5&lt;=$E8),1,"")</f>
        <v/>
      </c>
      <c r="ET8" s="14" t="str">
        <f t="shared" si="25"/>
        <v/>
      </c>
      <c r="EU8" s="15" t="str">
        <f t="shared" si="25"/>
        <v/>
      </c>
      <c r="EV8" s="16" t="str">
        <f t="shared" si="25"/>
        <v/>
      </c>
      <c r="EW8" s="13" t="str">
        <f t="shared" si="25"/>
        <v/>
      </c>
      <c r="EX8" s="14" t="str">
        <f t="shared" si="25"/>
        <v/>
      </c>
      <c r="EY8" s="14" t="str">
        <f t="shared" si="25"/>
        <v/>
      </c>
      <c r="EZ8" s="14" t="str">
        <f t="shared" si="25"/>
        <v/>
      </c>
      <c r="FA8" s="14" t="str">
        <f t="shared" si="25"/>
        <v/>
      </c>
      <c r="FB8" s="15" t="str">
        <f t="shared" si="25"/>
        <v/>
      </c>
      <c r="FC8" s="16" t="str">
        <f t="shared" si="25"/>
        <v/>
      </c>
    </row>
    <row r="9" spans="1:159" s="17" customFormat="1" ht="9.75" customHeight="1">
      <c r="A9" s="586"/>
      <c r="B9" s="18" t="str">
        <f>IF(B1="SFK Freight Forwarder","","Day ILN Order")</f>
        <v>Day ILN Order</v>
      </c>
      <c r="C9" s="19">
        <f>IF(B1="SFK Freight Forwarder",0,_xlfn.XLOOKUP(A25,'VTT next'!F:F,'VTT next'!Q:Q,"-",0))</f>
        <v>9</v>
      </c>
      <c r="D9" s="20">
        <v>0</v>
      </c>
      <c r="E9" s="19">
        <f>(C9+D9)</f>
        <v>9</v>
      </c>
      <c r="F9" s="13" t="str">
        <f t="shared" si="16"/>
        <v/>
      </c>
      <c r="G9" s="14" t="str">
        <f t="shared" si="16"/>
        <v/>
      </c>
      <c r="H9" s="14" t="str">
        <f t="shared" si="16"/>
        <v/>
      </c>
      <c r="I9" s="14" t="str">
        <f t="shared" si="16"/>
        <v/>
      </c>
      <c r="J9" s="14" t="str">
        <f t="shared" si="16"/>
        <v/>
      </c>
      <c r="K9" s="15" t="str">
        <f t="shared" si="16"/>
        <v/>
      </c>
      <c r="L9" s="16" t="str">
        <f t="shared" si="16"/>
        <v/>
      </c>
      <c r="M9" s="13" t="str">
        <f t="shared" si="16"/>
        <v/>
      </c>
      <c r="N9" s="14">
        <f t="shared" si="16"/>
        <v>1</v>
      </c>
      <c r="O9" s="14" t="str">
        <f t="shared" si="16"/>
        <v/>
      </c>
      <c r="P9" s="14" t="str">
        <f t="shared" si="16"/>
        <v/>
      </c>
      <c r="Q9" s="14" t="str">
        <f t="shared" si="16"/>
        <v/>
      </c>
      <c r="R9" s="15" t="str">
        <f t="shared" si="16"/>
        <v/>
      </c>
      <c r="S9" s="16" t="str">
        <f t="shared" si="16"/>
        <v/>
      </c>
      <c r="T9" s="13" t="str">
        <f t="shared" si="16"/>
        <v/>
      </c>
      <c r="U9" s="14" t="str">
        <f t="shared" si="16"/>
        <v/>
      </c>
      <c r="V9" s="14" t="str">
        <f t="shared" si="16"/>
        <v/>
      </c>
      <c r="W9" s="14" t="str">
        <f t="shared" si="16"/>
        <v/>
      </c>
      <c r="X9" s="14" t="str">
        <f t="shared" si="16"/>
        <v/>
      </c>
      <c r="Y9" s="15" t="str">
        <f t="shared" si="16"/>
        <v/>
      </c>
      <c r="Z9" s="16" t="str">
        <f t="shared" si="16"/>
        <v/>
      </c>
      <c r="AA9" s="13" t="str">
        <f t="shared" si="17"/>
        <v/>
      </c>
      <c r="AB9" s="14" t="str">
        <f t="shared" si="17"/>
        <v/>
      </c>
      <c r="AC9" s="14" t="str">
        <f t="shared" si="17"/>
        <v/>
      </c>
      <c r="AD9" s="14" t="str">
        <f t="shared" si="17"/>
        <v/>
      </c>
      <c r="AE9" s="14" t="str">
        <f t="shared" si="17"/>
        <v/>
      </c>
      <c r="AF9" s="15" t="str">
        <f t="shared" si="17"/>
        <v/>
      </c>
      <c r="AG9" s="16" t="str">
        <f t="shared" si="17"/>
        <v/>
      </c>
      <c r="AH9" s="13" t="str">
        <f t="shared" si="17"/>
        <v/>
      </c>
      <c r="AI9" s="14" t="str">
        <f t="shared" si="17"/>
        <v/>
      </c>
      <c r="AJ9" s="14" t="str">
        <f t="shared" si="17"/>
        <v/>
      </c>
      <c r="AK9" s="14" t="str">
        <f t="shared" si="17"/>
        <v/>
      </c>
      <c r="AL9" s="14" t="str">
        <f t="shared" si="17"/>
        <v/>
      </c>
      <c r="AM9" s="15" t="str">
        <f t="shared" si="17"/>
        <v/>
      </c>
      <c r="AN9" s="16" t="str">
        <f t="shared" si="17"/>
        <v/>
      </c>
      <c r="AO9" s="13" t="str">
        <f t="shared" si="17"/>
        <v/>
      </c>
      <c r="AP9" s="14" t="str">
        <f t="shared" si="17"/>
        <v/>
      </c>
      <c r="AQ9" s="14" t="str">
        <f t="shared" si="18"/>
        <v/>
      </c>
      <c r="AR9" s="14" t="str">
        <f t="shared" si="18"/>
        <v/>
      </c>
      <c r="AS9" s="14" t="str">
        <f t="shared" si="18"/>
        <v/>
      </c>
      <c r="AT9" s="15" t="str">
        <f t="shared" si="18"/>
        <v/>
      </c>
      <c r="AU9" s="16" t="str">
        <f t="shared" si="18"/>
        <v/>
      </c>
      <c r="AV9" s="13" t="str">
        <f t="shared" si="18"/>
        <v/>
      </c>
      <c r="AW9" s="14" t="str">
        <f t="shared" si="18"/>
        <v/>
      </c>
      <c r="AX9" s="14" t="str">
        <f t="shared" si="18"/>
        <v/>
      </c>
      <c r="AY9" s="14" t="str">
        <f t="shared" si="18"/>
        <v/>
      </c>
      <c r="AZ9" s="14" t="str">
        <f t="shared" si="18"/>
        <v/>
      </c>
      <c r="BA9" s="15" t="str">
        <f t="shared" si="18"/>
        <v/>
      </c>
      <c r="BB9" s="16" t="str">
        <f t="shared" si="18"/>
        <v/>
      </c>
      <c r="BC9" s="13" t="str">
        <f t="shared" si="18"/>
        <v/>
      </c>
      <c r="BD9" s="14" t="str">
        <f t="shared" si="18"/>
        <v/>
      </c>
      <c r="BE9" s="14" t="str">
        <f t="shared" si="18"/>
        <v/>
      </c>
      <c r="BF9" s="14" t="str">
        <f t="shared" si="18"/>
        <v/>
      </c>
      <c r="BG9" s="14" t="str">
        <f t="shared" si="19"/>
        <v/>
      </c>
      <c r="BH9" s="15" t="str">
        <f t="shared" si="19"/>
        <v/>
      </c>
      <c r="BI9" s="16" t="str">
        <f t="shared" si="19"/>
        <v/>
      </c>
      <c r="BJ9" s="13" t="str">
        <f t="shared" si="19"/>
        <v/>
      </c>
      <c r="BK9" s="14" t="str">
        <f t="shared" si="19"/>
        <v/>
      </c>
      <c r="BL9" s="14" t="str">
        <f t="shared" si="19"/>
        <v/>
      </c>
      <c r="BM9" s="14" t="str">
        <f t="shared" si="19"/>
        <v/>
      </c>
      <c r="BN9" s="14" t="str">
        <f t="shared" si="19"/>
        <v/>
      </c>
      <c r="BO9" s="15" t="str">
        <f t="shared" si="19"/>
        <v/>
      </c>
      <c r="BP9" s="16" t="str">
        <f t="shared" si="19"/>
        <v/>
      </c>
      <c r="BQ9" s="13" t="str">
        <f t="shared" si="19"/>
        <v/>
      </c>
      <c r="BR9" s="14" t="str">
        <f t="shared" si="19"/>
        <v/>
      </c>
      <c r="BS9" s="14" t="str">
        <f t="shared" si="19"/>
        <v/>
      </c>
      <c r="BT9" s="14" t="str">
        <f t="shared" si="19"/>
        <v/>
      </c>
      <c r="BU9" s="14" t="str">
        <f t="shared" si="19"/>
        <v/>
      </c>
      <c r="BV9" s="15" t="str">
        <f t="shared" si="19"/>
        <v/>
      </c>
      <c r="BW9" s="16" t="str">
        <f t="shared" si="20"/>
        <v/>
      </c>
      <c r="BX9" s="13" t="str">
        <f t="shared" si="20"/>
        <v/>
      </c>
      <c r="BY9" s="14" t="str">
        <f t="shared" si="20"/>
        <v/>
      </c>
      <c r="BZ9" s="14" t="str">
        <f t="shared" si="20"/>
        <v/>
      </c>
      <c r="CA9" s="14" t="str">
        <f t="shared" si="20"/>
        <v/>
      </c>
      <c r="CB9" s="14" t="str">
        <f t="shared" si="20"/>
        <v/>
      </c>
      <c r="CC9" s="15" t="str">
        <f t="shared" si="20"/>
        <v/>
      </c>
      <c r="CD9" s="16" t="str">
        <f t="shared" si="20"/>
        <v/>
      </c>
      <c r="CE9" s="13" t="str">
        <f t="shared" si="20"/>
        <v/>
      </c>
      <c r="CF9" s="14" t="str">
        <f t="shared" si="20"/>
        <v/>
      </c>
      <c r="CG9" s="14" t="str">
        <f t="shared" si="20"/>
        <v/>
      </c>
      <c r="CH9" s="14" t="str">
        <f t="shared" si="20"/>
        <v/>
      </c>
      <c r="CI9" s="14" t="str">
        <f t="shared" si="20"/>
        <v/>
      </c>
      <c r="CJ9" s="15" t="str">
        <f t="shared" si="20"/>
        <v/>
      </c>
      <c r="CK9" s="16" t="str">
        <f t="shared" si="20"/>
        <v/>
      </c>
      <c r="CL9" s="13" t="str">
        <f t="shared" si="20"/>
        <v/>
      </c>
      <c r="CM9" s="14" t="str">
        <f t="shared" si="21"/>
        <v/>
      </c>
      <c r="CN9" s="14" t="str">
        <f t="shared" si="21"/>
        <v/>
      </c>
      <c r="CO9" s="14" t="str">
        <f t="shared" si="21"/>
        <v/>
      </c>
      <c r="CP9" s="14" t="str">
        <f t="shared" si="21"/>
        <v/>
      </c>
      <c r="CQ9" s="15" t="str">
        <f t="shared" si="21"/>
        <v/>
      </c>
      <c r="CR9" s="16" t="str">
        <f t="shared" si="21"/>
        <v/>
      </c>
      <c r="CS9" s="13" t="str">
        <f t="shared" si="21"/>
        <v/>
      </c>
      <c r="CT9" s="14" t="str">
        <f t="shared" si="21"/>
        <v/>
      </c>
      <c r="CU9" s="14" t="str">
        <f t="shared" si="21"/>
        <v/>
      </c>
      <c r="CV9" s="14" t="str">
        <f t="shared" si="21"/>
        <v/>
      </c>
      <c r="CW9" s="14" t="str">
        <f t="shared" si="21"/>
        <v/>
      </c>
      <c r="CX9" s="15" t="str">
        <f t="shared" si="21"/>
        <v/>
      </c>
      <c r="CY9" s="16" t="str">
        <f t="shared" si="21"/>
        <v/>
      </c>
      <c r="CZ9" s="13" t="str">
        <f t="shared" si="21"/>
        <v/>
      </c>
      <c r="DA9" s="14" t="str">
        <f t="shared" si="21"/>
        <v/>
      </c>
      <c r="DB9" s="14" t="str">
        <f t="shared" si="21"/>
        <v/>
      </c>
      <c r="DC9" s="14" t="str">
        <f t="shared" si="22"/>
        <v/>
      </c>
      <c r="DD9" s="14" t="str">
        <f t="shared" si="22"/>
        <v/>
      </c>
      <c r="DE9" s="15" t="str">
        <f t="shared" si="22"/>
        <v/>
      </c>
      <c r="DF9" s="16" t="str">
        <f t="shared" si="22"/>
        <v/>
      </c>
      <c r="DG9" s="13" t="str">
        <f t="shared" si="22"/>
        <v/>
      </c>
      <c r="DH9" s="14" t="str">
        <f t="shared" si="22"/>
        <v/>
      </c>
      <c r="DI9" s="14" t="str">
        <f t="shared" si="22"/>
        <v/>
      </c>
      <c r="DJ9" s="14" t="str">
        <f t="shared" si="22"/>
        <v/>
      </c>
      <c r="DK9" s="14" t="str">
        <f t="shared" si="22"/>
        <v/>
      </c>
      <c r="DL9" s="15" t="str">
        <f t="shared" si="22"/>
        <v/>
      </c>
      <c r="DM9" s="16" t="str">
        <f t="shared" si="22"/>
        <v/>
      </c>
      <c r="DN9" s="13" t="str">
        <f t="shared" si="22"/>
        <v/>
      </c>
      <c r="DO9" s="14" t="str">
        <f t="shared" si="22"/>
        <v/>
      </c>
      <c r="DP9" s="14" t="str">
        <f t="shared" si="22"/>
        <v/>
      </c>
      <c r="DQ9" s="14" t="str">
        <f t="shared" si="22"/>
        <v/>
      </c>
      <c r="DR9" s="14" t="str">
        <f t="shared" si="22"/>
        <v/>
      </c>
      <c r="DS9" s="15" t="str">
        <f t="shared" si="22"/>
        <v/>
      </c>
      <c r="DT9" s="16" t="str">
        <f t="shared" si="22"/>
        <v/>
      </c>
      <c r="DU9" s="13" t="str">
        <f t="shared" si="23"/>
        <v/>
      </c>
      <c r="DV9" s="14" t="str">
        <f t="shared" si="23"/>
        <v/>
      </c>
      <c r="DW9" s="14" t="str">
        <f t="shared" si="23"/>
        <v/>
      </c>
      <c r="DX9" s="14" t="str">
        <f t="shared" si="23"/>
        <v/>
      </c>
      <c r="DY9" s="14" t="str">
        <f t="shared" si="23"/>
        <v/>
      </c>
      <c r="DZ9" s="15" t="str">
        <f t="shared" si="23"/>
        <v/>
      </c>
      <c r="EA9" s="16" t="str">
        <f t="shared" si="23"/>
        <v/>
      </c>
      <c r="EB9" s="13" t="str">
        <f t="shared" si="23"/>
        <v/>
      </c>
      <c r="EC9" s="14" t="str">
        <f t="shared" si="23"/>
        <v/>
      </c>
      <c r="ED9" s="14" t="str">
        <f t="shared" si="23"/>
        <v/>
      </c>
      <c r="EE9" s="14" t="str">
        <f t="shared" si="23"/>
        <v/>
      </c>
      <c r="EF9" s="14" t="str">
        <f t="shared" si="23"/>
        <v/>
      </c>
      <c r="EG9" s="15" t="str">
        <f t="shared" si="23"/>
        <v/>
      </c>
      <c r="EH9" s="16" t="str">
        <f t="shared" si="23"/>
        <v/>
      </c>
      <c r="EI9" s="13" t="str">
        <f t="shared" si="24"/>
        <v/>
      </c>
      <c r="EJ9" s="14" t="str">
        <f t="shared" si="24"/>
        <v/>
      </c>
      <c r="EK9" s="14" t="str">
        <f t="shared" si="24"/>
        <v/>
      </c>
      <c r="EL9" s="14" t="str">
        <f t="shared" si="24"/>
        <v/>
      </c>
      <c r="EM9" s="14" t="str">
        <f t="shared" si="24"/>
        <v/>
      </c>
      <c r="EN9" s="15" t="str">
        <f t="shared" si="24"/>
        <v/>
      </c>
      <c r="EO9" s="16" t="str">
        <f t="shared" si="24"/>
        <v/>
      </c>
      <c r="EP9" s="13" t="str">
        <f t="shared" si="24"/>
        <v/>
      </c>
      <c r="EQ9" s="14" t="str">
        <f t="shared" si="24"/>
        <v/>
      </c>
      <c r="ER9" s="14" t="str">
        <f t="shared" si="24"/>
        <v/>
      </c>
      <c r="ES9" s="14" t="str">
        <f t="shared" si="25"/>
        <v/>
      </c>
      <c r="ET9" s="14" t="str">
        <f t="shared" si="25"/>
        <v/>
      </c>
      <c r="EU9" s="15" t="str">
        <f t="shared" si="25"/>
        <v/>
      </c>
      <c r="EV9" s="16" t="str">
        <f t="shared" si="25"/>
        <v/>
      </c>
      <c r="EW9" s="13" t="str">
        <f t="shared" si="25"/>
        <v/>
      </c>
      <c r="EX9" s="14" t="str">
        <f t="shared" si="25"/>
        <v/>
      </c>
      <c r="EY9" s="14" t="str">
        <f t="shared" si="25"/>
        <v/>
      </c>
      <c r="EZ9" s="14" t="str">
        <f t="shared" si="25"/>
        <v/>
      </c>
      <c r="FA9" s="14" t="str">
        <f t="shared" si="25"/>
        <v/>
      </c>
      <c r="FB9" s="15" t="str">
        <f t="shared" si="25"/>
        <v/>
      </c>
      <c r="FC9" s="16" t="str">
        <f t="shared" si="25"/>
        <v/>
      </c>
    </row>
    <row r="10" spans="1:159" s="17" customFormat="1" ht="9.75" customHeight="1">
      <c r="A10" s="586"/>
      <c r="B10" s="18" t="str">
        <f>IF(B1="SFK Freight Forwarder","","Time of recept in AILN")</f>
        <v>Time of recept in AILN</v>
      </c>
      <c r="C10" s="19" t="e">
        <f ca="1">IF(B1="SFK Freight Forwarder",0,_xlfn.XLOOKUP(A25,'VTT next'!F:F,'VTT next'!R:R,"-",0)+E9-1)</f>
        <v>#N/A</v>
      </c>
      <c r="D10" s="19" t="e">
        <f ca="1">IF(B1="SFK Freight Forwarder",0,_xlfn.XLOOKUP(A25,'VTT next'!F:F,'VTT next'!S:S,"-",0))</f>
        <v>#N/A</v>
      </c>
      <c r="E10" s="19" t="e">
        <f ca="1">IF(B1="SFK Freight Forwarder",0,(C10+D10)-1)</f>
        <v>#N/A</v>
      </c>
      <c r="F10" s="13" t="e">
        <f t="shared" ca="1" si="16"/>
        <v>#N/A</v>
      </c>
      <c r="G10" s="14" t="e">
        <f t="shared" ca="1" si="16"/>
        <v>#N/A</v>
      </c>
      <c r="H10" s="14" t="e">
        <f t="shared" ca="1" si="16"/>
        <v>#N/A</v>
      </c>
      <c r="I10" s="14" t="e">
        <f t="shared" ca="1" si="16"/>
        <v>#N/A</v>
      </c>
      <c r="J10" s="14" t="e">
        <f t="shared" ca="1" si="16"/>
        <v>#N/A</v>
      </c>
      <c r="K10" s="15" t="e">
        <f t="shared" ca="1" si="16"/>
        <v>#N/A</v>
      </c>
      <c r="L10" s="16" t="e">
        <f t="shared" ca="1" si="16"/>
        <v>#N/A</v>
      </c>
      <c r="M10" s="13" t="e">
        <f t="shared" ca="1" si="16"/>
        <v>#N/A</v>
      </c>
      <c r="N10" s="14" t="e">
        <f t="shared" ca="1" si="16"/>
        <v>#N/A</v>
      </c>
      <c r="O10" s="14" t="e">
        <f t="shared" ca="1" si="16"/>
        <v>#N/A</v>
      </c>
      <c r="P10" s="14" t="e">
        <f t="shared" ca="1" si="16"/>
        <v>#N/A</v>
      </c>
      <c r="Q10" s="14" t="e">
        <f t="shared" ca="1" si="16"/>
        <v>#N/A</v>
      </c>
      <c r="R10" s="15" t="e">
        <f t="shared" ca="1" si="16"/>
        <v>#N/A</v>
      </c>
      <c r="S10" s="16" t="e">
        <f t="shared" ca="1" si="16"/>
        <v>#N/A</v>
      </c>
      <c r="T10" s="13" t="e">
        <f t="shared" ca="1" si="16"/>
        <v>#N/A</v>
      </c>
      <c r="U10" s="14" t="e">
        <f t="shared" ca="1" si="16"/>
        <v>#N/A</v>
      </c>
      <c r="V10" s="14" t="e">
        <f t="shared" ca="1" si="16"/>
        <v>#N/A</v>
      </c>
      <c r="W10" s="14" t="e">
        <f t="shared" ca="1" si="16"/>
        <v>#N/A</v>
      </c>
      <c r="X10" s="14" t="e">
        <f t="shared" ca="1" si="16"/>
        <v>#N/A</v>
      </c>
      <c r="Y10" s="15" t="e">
        <f t="shared" ca="1" si="16"/>
        <v>#N/A</v>
      </c>
      <c r="Z10" s="16" t="e">
        <f t="shared" ca="1" si="16"/>
        <v>#N/A</v>
      </c>
      <c r="AA10" s="13" t="e">
        <f t="shared" ca="1" si="17"/>
        <v>#N/A</v>
      </c>
      <c r="AB10" s="14" t="e">
        <f t="shared" ca="1" si="17"/>
        <v>#N/A</v>
      </c>
      <c r="AC10" s="14" t="e">
        <f t="shared" ca="1" si="17"/>
        <v>#N/A</v>
      </c>
      <c r="AD10" s="14" t="e">
        <f t="shared" ca="1" si="17"/>
        <v>#N/A</v>
      </c>
      <c r="AE10" s="14" t="e">
        <f t="shared" ca="1" si="17"/>
        <v>#N/A</v>
      </c>
      <c r="AF10" s="15" t="e">
        <f t="shared" ca="1" si="17"/>
        <v>#N/A</v>
      </c>
      <c r="AG10" s="16" t="e">
        <f t="shared" ca="1" si="17"/>
        <v>#N/A</v>
      </c>
      <c r="AH10" s="13" t="e">
        <f t="shared" ca="1" si="17"/>
        <v>#N/A</v>
      </c>
      <c r="AI10" s="14" t="e">
        <f t="shared" ca="1" si="17"/>
        <v>#N/A</v>
      </c>
      <c r="AJ10" s="14" t="e">
        <f t="shared" ca="1" si="17"/>
        <v>#N/A</v>
      </c>
      <c r="AK10" s="14" t="e">
        <f t="shared" ca="1" si="17"/>
        <v>#N/A</v>
      </c>
      <c r="AL10" s="14" t="e">
        <f t="shared" ca="1" si="17"/>
        <v>#N/A</v>
      </c>
      <c r="AM10" s="15" t="e">
        <f t="shared" ca="1" si="17"/>
        <v>#N/A</v>
      </c>
      <c r="AN10" s="16" t="e">
        <f t="shared" ca="1" si="17"/>
        <v>#N/A</v>
      </c>
      <c r="AO10" s="13" t="e">
        <f t="shared" ca="1" si="17"/>
        <v>#N/A</v>
      </c>
      <c r="AP10" s="14" t="e">
        <f t="shared" ca="1" si="17"/>
        <v>#N/A</v>
      </c>
      <c r="AQ10" s="14" t="e">
        <f t="shared" ca="1" si="18"/>
        <v>#N/A</v>
      </c>
      <c r="AR10" s="14" t="e">
        <f t="shared" ca="1" si="18"/>
        <v>#N/A</v>
      </c>
      <c r="AS10" s="14" t="e">
        <f t="shared" ca="1" si="18"/>
        <v>#N/A</v>
      </c>
      <c r="AT10" s="15" t="e">
        <f t="shared" ca="1" si="18"/>
        <v>#N/A</v>
      </c>
      <c r="AU10" s="16" t="e">
        <f t="shared" ca="1" si="18"/>
        <v>#N/A</v>
      </c>
      <c r="AV10" s="13" t="e">
        <f t="shared" ca="1" si="18"/>
        <v>#N/A</v>
      </c>
      <c r="AW10" s="14" t="e">
        <f t="shared" ca="1" si="18"/>
        <v>#N/A</v>
      </c>
      <c r="AX10" s="14" t="e">
        <f t="shared" ca="1" si="18"/>
        <v>#N/A</v>
      </c>
      <c r="AY10" s="14" t="e">
        <f t="shared" ca="1" si="18"/>
        <v>#N/A</v>
      </c>
      <c r="AZ10" s="14" t="e">
        <f t="shared" ca="1" si="18"/>
        <v>#N/A</v>
      </c>
      <c r="BA10" s="15" t="e">
        <f t="shared" ca="1" si="18"/>
        <v>#N/A</v>
      </c>
      <c r="BB10" s="16" t="e">
        <f t="shared" ca="1" si="18"/>
        <v>#N/A</v>
      </c>
      <c r="BC10" s="13" t="e">
        <f t="shared" ca="1" si="18"/>
        <v>#N/A</v>
      </c>
      <c r="BD10" s="14" t="e">
        <f t="shared" ca="1" si="18"/>
        <v>#N/A</v>
      </c>
      <c r="BE10" s="14" t="e">
        <f t="shared" ca="1" si="18"/>
        <v>#N/A</v>
      </c>
      <c r="BF10" s="14" t="e">
        <f t="shared" ca="1" si="18"/>
        <v>#N/A</v>
      </c>
      <c r="BG10" s="14" t="e">
        <f t="shared" ca="1" si="19"/>
        <v>#N/A</v>
      </c>
      <c r="BH10" s="15" t="e">
        <f t="shared" ca="1" si="19"/>
        <v>#N/A</v>
      </c>
      <c r="BI10" s="16" t="e">
        <f t="shared" ca="1" si="19"/>
        <v>#N/A</v>
      </c>
      <c r="BJ10" s="13" t="e">
        <f t="shared" ca="1" si="19"/>
        <v>#N/A</v>
      </c>
      <c r="BK10" s="14" t="e">
        <f t="shared" ca="1" si="19"/>
        <v>#N/A</v>
      </c>
      <c r="BL10" s="14" t="e">
        <f t="shared" ca="1" si="19"/>
        <v>#N/A</v>
      </c>
      <c r="BM10" s="14" t="e">
        <f t="shared" ca="1" si="19"/>
        <v>#N/A</v>
      </c>
      <c r="BN10" s="14" t="e">
        <f t="shared" ca="1" si="19"/>
        <v>#N/A</v>
      </c>
      <c r="BO10" s="15" t="e">
        <f t="shared" ca="1" si="19"/>
        <v>#N/A</v>
      </c>
      <c r="BP10" s="16" t="e">
        <f t="shared" ca="1" si="19"/>
        <v>#N/A</v>
      </c>
      <c r="BQ10" s="13" t="e">
        <f t="shared" ca="1" si="19"/>
        <v>#N/A</v>
      </c>
      <c r="BR10" s="14" t="e">
        <f t="shared" ca="1" si="19"/>
        <v>#N/A</v>
      </c>
      <c r="BS10" s="14" t="e">
        <f t="shared" ca="1" si="19"/>
        <v>#N/A</v>
      </c>
      <c r="BT10" s="14" t="e">
        <f t="shared" ca="1" si="19"/>
        <v>#N/A</v>
      </c>
      <c r="BU10" s="14" t="e">
        <f t="shared" ca="1" si="19"/>
        <v>#N/A</v>
      </c>
      <c r="BV10" s="15" t="e">
        <f t="shared" ca="1" si="19"/>
        <v>#N/A</v>
      </c>
      <c r="BW10" s="16" t="e">
        <f t="shared" ca="1" si="20"/>
        <v>#N/A</v>
      </c>
      <c r="BX10" s="13" t="e">
        <f t="shared" ca="1" si="20"/>
        <v>#N/A</v>
      </c>
      <c r="BY10" s="14" t="e">
        <f t="shared" ca="1" si="20"/>
        <v>#N/A</v>
      </c>
      <c r="BZ10" s="14" t="e">
        <f t="shared" ca="1" si="20"/>
        <v>#N/A</v>
      </c>
      <c r="CA10" s="14" t="e">
        <f t="shared" ca="1" si="20"/>
        <v>#N/A</v>
      </c>
      <c r="CB10" s="14" t="e">
        <f t="shared" ca="1" si="20"/>
        <v>#N/A</v>
      </c>
      <c r="CC10" s="15" t="e">
        <f t="shared" ca="1" si="20"/>
        <v>#N/A</v>
      </c>
      <c r="CD10" s="16" t="e">
        <f t="shared" ca="1" si="20"/>
        <v>#N/A</v>
      </c>
      <c r="CE10" s="13" t="e">
        <f t="shared" ca="1" si="20"/>
        <v>#N/A</v>
      </c>
      <c r="CF10" s="14" t="e">
        <f t="shared" ca="1" si="20"/>
        <v>#N/A</v>
      </c>
      <c r="CG10" s="14" t="e">
        <f t="shared" ca="1" si="20"/>
        <v>#N/A</v>
      </c>
      <c r="CH10" s="14" t="e">
        <f t="shared" ca="1" si="20"/>
        <v>#N/A</v>
      </c>
      <c r="CI10" s="14" t="e">
        <f t="shared" ca="1" si="20"/>
        <v>#N/A</v>
      </c>
      <c r="CJ10" s="15" t="e">
        <f t="shared" ca="1" si="20"/>
        <v>#N/A</v>
      </c>
      <c r="CK10" s="16" t="e">
        <f t="shared" ca="1" si="20"/>
        <v>#N/A</v>
      </c>
      <c r="CL10" s="13" t="e">
        <f t="shared" ca="1" si="20"/>
        <v>#N/A</v>
      </c>
      <c r="CM10" s="14" t="e">
        <f t="shared" ca="1" si="21"/>
        <v>#N/A</v>
      </c>
      <c r="CN10" s="14" t="e">
        <f t="shared" ca="1" si="21"/>
        <v>#N/A</v>
      </c>
      <c r="CO10" s="14" t="e">
        <f t="shared" ca="1" si="21"/>
        <v>#N/A</v>
      </c>
      <c r="CP10" s="14" t="e">
        <f t="shared" ca="1" si="21"/>
        <v>#N/A</v>
      </c>
      <c r="CQ10" s="15" t="e">
        <f t="shared" ca="1" si="21"/>
        <v>#N/A</v>
      </c>
      <c r="CR10" s="16" t="e">
        <f t="shared" ca="1" si="21"/>
        <v>#N/A</v>
      </c>
      <c r="CS10" s="13" t="e">
        <f t="shared" ca="1" si="21"/>
        <v>#N/A</v>
      </c>
      <c r="CT10" s="14" t="e">
        <f t="shared" ca="1" si="21"/>
        <v>#N/A</v>
      </c>
      <c r="CU10" s="14" t="e">
        <f t="shared" ca="1" si="21"/>
        <v>#N/A</v>
      </c>
      <c r="CV10" s="14" t="e">
        <f t="shared" ca="1" si="21"/>
        <v>#N/A</v>
      </c>
      <c r="CW10" s="14" t="e">
        <f t="shared" ca="1" si="21"/>
        <v>#N/A</v>
      </c>
      <c r="CX10" s="15" t="e">
        <f t="shared" ca="1" si="21"/>
        <v>#N/A</v>
      </c>
      <c r="CY10" s="16" t="e">
        <f t="shared" ca="1" si="21"/>
        <v>#N/A</v>
      </c>
      <c r="CZ10" s="13" t="e">
        <f t="shared" ca="1" si="21"/>
        <v>#N/A</v>
      </c>
      <c r="DA10" s="14" t="e">
        <f t="shared" ca="1" si="21"/>
        <v>#N/A</v>
      </c>
      <c r="DB10" s="14" t="e">
        <f t="shared" ca="1" si="21"/>
        <v>#N/A</v>
      </c>
      <c r="DC10" s="14" t="e">
        <f t="shared" ca="1" si="22"/>
        <v>#N/A</v>
      </c>
      <c r="DD10" s="14" t="e">
        <f t="shared" ca="1" si="22"/>
        <v>#N/A</v>
      </c>
      <c r="DE10" s="15" t="e">
        <f t="shared" ca="1" si="22"/>
        <v>#N/A</v>
      </c>
      <c r="DF10" s="16" t="e">
        <f t="shared" ca="1" si="22"/>
        <v>#N/A</v>
      </c>
      <c r="DG10" s="13" t="e">
        <f t="shared" ca="1" si="22"/>
        <v>#N/A</v>
      </c>
      <c r="DH10" s="14" t="e">
        <f t="shared" ca="1" si="22"/>
        <v>#N/A</v>
      </c>
      <c r="DI10" s="14" t="e">
        <f t="shared" ca="1" si="22"/>
        <v>#N/A</v>
      </c>
      <c r="DJ10" s="14" t="e">
        <f t="shared" ca="1" si="22"/>
        <v>#N/A</v>
      </c>
      <c r="DK10" s="14" t="e">
        <f t="shared" ca="1" si="22"/>
        <v>#N/A</v>
      </c>
      <c r="DL10" s="15" t="e">
        <f t="shared" ca="1" si="22"/>
        <v>#N/A</v>
      </c>
      <c r="DM10" s="16" t="e">
        <f t="shared" ca="1" si="22"/>
        <v>#N/A</v>
      </c>
      <c r="DN10" s="13" t="e">
        <f t="shared" ca="1" si="22"/>
        <v>#N/A</v>
      </c>
      <c r="DO10" s="14" t="e">
        <f t="shared" ca="1" si="22"/>
        <v>#N/A</v>
      </c>
      <c r="DP10" s="14" t="e">
        <f t="shared" ca="1" si="22"/>
        <v>#N/A</v>
      </c>
      <c r="DQ10" s="14" t="e">
        <f t="shared" ca="1" si="22"/>
        <v>#N/A</v>
      </c>
      <c r="DR10" s="14" t="e">
        <f t="shared" ca="1" si="22"/>
        <v>#N/A</v>
      </c>
      <c r="DS10" s="15" t="e">
        <f t="shared" ca="1" si="22"/>
        <v>#N/A</v>
      </c>
      <c r="DT10" s="16" t="e">
        <f t="shared" ca="1" si="22"/>
        <v>#N/A</v>
      </c>
      <c r="DU10" s="13" t="e">
        <f t="shared" ca="1" si="23"/>
        <v>#N/A</v>
      </c>
      <c r="DV10" s="14" t="e">
        <f t="shared" ca="1" si="23"/>
        <v>#N/A</v>
      </c>
      <c r="DW10" s="14" t="e">
        <f t="shared" ca="1" si="23"/>
        <v>#N/A</v>
      </c>
      <c r="DX10" s="14" t="e">
        <f t="shared" ca="1" si="23"/>
        <v>#N/A</v>
      </c>
      <c r="DY10" s="14" t="e">
        <f t="shared" ca="1" si="23"/>
        <v>#N/A</v>
      </c>
      <c r="DZ10" s="15" t="e">
        <f t="shared" ca="1" si="23"/>
        <v>#N/A</v>
      </c>
      <c r="EA10" s="16" t="e">
        <f t="shared" ca="1" si="23"/>
        <v>#N/A</v>
      </c>
      <c r="EB10" s="13" t="e">
        <f t="shared" ca="1" si="23"/>
        <v>#N/A</v>
      </c>
      <c r="EC10" s="14" t="e">
        <f t="shared" ca="1" si="23"/>
        <v>#N/A</v>
      </c>
      <c r="ED10" s="14" t="e">
        <f t="shared" ca="1" si="23"/>
        <v>#N/A</v>
      </c>
      <c r="EE10" s="14" t="e">
        <f t="shared" ca="1" si="23"/>
        <v>#N/A</v>
      </c>
      <c r="EF10" s="14" t="e">
        <f t="shared" ca="1" si="23"/>
        <v>#N/A</v>
      </c>
      <c r="EG10" s="15" t="e">
        <f t="shared" ca="1" si="23"/>
        <v>#N/A</v>
      </c>
      <c r="EH10" s="16" t="e">
        <f t="shared" ca="1" si="23"/>
        <v>#N/A</v>
      </c>
      <c r="EI10" s="13" t="e">
        <f t="shared" ca="1" si="24"/>
        <v>#N/A</v>
      </c>
      <c r="EJ10" s="14" t="e">
        <f t="shared" ca="1" si="24"/>
        <v>#N/A</v>
      </c>
      <c r="EK10" s="14" t="e">
        <f t="shared" ca="1" si="24"/>
        <v>#N/A</v>
      </c>
      <c r="EL10" s="14" t="e">
        <f t="shared" ca="1" si="24"/>
        <v>#N/A</v>
      </c>
      <c r="EM10" s="14" t="e">
        <f t="shared" ca="1" si="24"/>
        <v>#N/A</v>
      </c>
      <c r="EN10" s="15" t="e">
        <f t="shared" ca="1" si="24"/>
        <v>#N/A</v>
      </c>
      <c r="EO10" s="16" t="e">
        <f t="shared" ca="1" si="24"/>
        <v>#N/A</v>
      </c>
      <c r="EP10" s="13" t="e">
        <f t="shared" ca="1" si="24"/>
        <v>#N/A</v>
      </c>
      <c r="EQ10" s="14" t="e">
        <f t="shared" ca="1" si="24"/>
        <v>#N/A</v>
      </c>
      <c r="ER10" s="14" t="e">
        <f t="shared" ca="1" si="24"/>
        <v>#N/A</v>
      </c>
      <c r="ES10" s="14" t="e">
        <f t="shared" ca="1" si="25"/>
        <v>#N/A</v>
      </c>
      <c r="ET10" s="14" t="e">
        <f t="shared" ca="1" si="25"/>
        <v>#N/A</v>
      </c>
      <c r="EU10" s="15" t="e">
        <f t="shared" ca="1" si="25"/>
        <v>#N/A</v>
      </c>
      <c r="EV10" s="16" t="e">
        <f t="shared" ca="1" si="25"/>
        <v>#N/A</v>
      </c>
      <c r="EW10" s="13" t="e">
        <f t="shared" ca="1" si="25"/>
        <v>#N/A</v>
      </c>
      <c r="EX10" s="14" t="e">
        <f t="shared" ca="1" si="25"/>
        <v>#N/A</v>
      </c>
      <c r="EY10" s="14" t="e">
        <f t="shared" ca="1" si="25"/>
        <v>#N/A</v>
      </c>
      <c r="EZ10" s="14" t="e">
        <f t="shared" ca="1" si="25"/>
        <v>#N/A</v>
      </c>
      <c r="FA10" s="14" t="e">
        <f t="shared" ca="1" si="25"/>
        <v>#N/A</v>
      </c>
      <c r="FB10" s="15" t="e">
        <f t="shared" ca="1" si="25"/>
        <v>#N/A</v>
      </c>
      <c r="FC10" s="16" t="e">
        <f t="shared" ca="1" si="25"/>
        <v>#N/A</v>
      </c>
    </row>
    <row r="11" spans="1:159" s="17" customFormat="1" ht="9.75" customHeight="1">
      <c r="A11" s="586"/>
      <c r="B11" s="18" t="s">
        <v>41</v>
      </c>
      <c r="C11" s="19" t="e">
        <f ca="1">_xlfn.XLOOKUP(A25,'VTT next'!F:F,'VTT next'!U:U,"-",0)+1</f>
        <v>#N/A</v>
      </c>
      <c r="D11" s="19" t="e">
        <f ca="1">_xlfn.XLOOKUP(A25,'VTT next'!F:F,'VTT next'!T:T,"-",0)</f>
        <v>#N/A</v>
      </c>
      <c r="E11" s="19" t="e">
        <f t="shared" ref="E11:E24" ca="1" si="26">(C11+D11)-1</f>
        <v>#N/A</v>
      </c>
      <c r="F11" s="13" t="e">
        <f t="shared" ca="1" si="16"/>
        <v>#N/A</v>
      </c>
      <c r="G11" s="14" t="e">
        <f t="shared" ca="1" si="16"/>
        <v>#N/A</v>
      </c>
      <c r="H11" s="14" t="e">
        <f t="shared" ca="1" si="16"/>
        <v>#N/A</v>
      </c>
      <c r="I11" s="14" t="e">
        <f t="shared" ca="1" si="16"/>
        <v>#N/A</v>
      </c>
      <c r="J11" s="14" t="e">
        <f t="shared" ca="1" si="16"/>
        <v>#N/A</v>
      </c>
      <c r="K11" s="15" t="e">
        <f t="shared" ca="1" si="16"/>
        <v>#N/A</v>
      </c>
      <c r="L11" s="16" t="e">
        <f t="shared" ca="1" si="16"/>
        <v>#N/A</v>
      </c>
      <c r="M11" s="13" t="e">
        <f t="shared" ca="1" si="16"/>
        <v>#N/A</v>
      </c>
      <c r="N11" s="14" t="e">
        <f t="shared" ca="1" si="16"/>
        <v>#N/A</v>
      </c>
      <c r="O11" s="14" t="e">
        <f t="shared" ca="1" si="16"/>
        <v>#N/A</v>
      </c>
      <c r="P11" s="14" t="e">
        <f t="shared" ca="1" si="16"/>
        <v>#N/A</v>
      </c>
      <c r="Q11" s="14" t="e">
        <f t="shared" ca="1" si="16"/>
        <v>#N/A</v>
      </c>
      <c r="R11" s="15" t="e">
        <f t="shared" ca="1" si="16"/>
        <v>#N/A</v>
      </c>
      <c r="S11" s="16" t="e">
        <f t="shared" ca="1" si="16"/>
        <v>#N/A</v>
      </c>
      <c r="T11" s="13" t="e">
        <f t="shared" ca="1" si="16"/>
        <v>#N/A</v>
      </c>
      <c r="U11" s="14" t="e">
        <f t="shared" ca="1" si="16"/>
        <v>#N/A</v>
      </c>
      <c r="V11" s="14" t="e">
        <f t="shared" ca="1" si="16"/>
        <v>#N/A</v>
      </c>
      <c r="W11" s="14" t="e">
        <f t="shared" ca="1" si="16"/>
        <v>#N/A</v>
      </c>
      <c r="X11" s="14" t="e">
        <f t="shared" ca="1" si="16"/>
        <v>#N/A</v>
      </c>
      <c r="Y11" s="15" t="e">
        <f t="shared" ca="1" si="16"/>
        <v>#N/A</v>
      </c>
      <c r="Z11" s="16" t="e">
        <f t="shared" ca="1" si="16"/>
        <v>#N/A</v>
      </c>
      <c r="AA11" s="13" t="e">
        <f t="shared" ca="1" si="17"/>
        <v>#N/A</v>
      </c>
      <c r="AB11" s="14" t="e">
        <f t="shared" ca="1" si="17"/>
        <v>#N/A</v>
      </c>
      <c r="AC11" s="14" t="e">
        <f t="shared" ca="1" si="17"/>
        <v>#N/A</v>
      </c>
      <c r="AD11" s="14" t="e">
        <f t="shared" ca="1" si="17"/>
        <v>#N/A</v>
      </c>
      <c r="AE11" s="14" t="e">
        <f t="shared" ca="1" si="17"/>
        <v>#N/A</v>
      </c>
      <c r="AF11" s="15" t="e">
        <f t="shared" ca="1" si="17"/>
        <v>#N/A</v>
      </c>
      <c r="AG11" s="16" t="e">
        <f t="shared" ca="1" si="17"/>
        <v>#N/A</v>
      </c>
      <c r="AH11" s="13" t="e">
        <f t="shared" ca="1" si="17"/>
        <v>#N/A</v>
      </c>
      <c r="AI11" s="14" t="e">
        <f t="shared" ca="1" si="17"/>
        <v>#N/A</v>
      </c>
      <c r="AJ11" s="14" t="e">
        <f t="shared" ca="1" si="17"/>
        <v>#N/A</v>
      </c>
      <c r="AK11" s="14" t="e">
        <f t="shared" ca="1" si="17"/>
        <v>#N/A</v>
      </c>
      <c r="AL11" s="14" t="e">
        <f t="shared" ca="1" si="17"/>
        <v>#N/A</v>
      </c>
      <c r="AM11" s="15" t="e">
        <f t="shared" ca="1" si="17"/>
        <v>#N/A</v>
      </c>
      <c r="AN11" s="16" t="e">
        <f t="shared" ca="1" si="17"/>
        <v>#N/A</v>
      </c>
      <c r="AO11" s="13" t="e">
        <f t="shared" ca="1" si="17"/>
        <v>#N/A</v>
      </c>
      <c r="AP11" s="14" t="e">
        <f t="shared" ca="1" si="17"/>
        <v>#N/A</v>
      </c>
      <c r="AQ11" s="14" t="e">
        <f t="shared" ca="1" si="18"/>
        <v>#N/A</v>
      </c>
      <c r="AR11" s="14" t="e">
        <f t="shared" ca="1" si="18"/>
        <v>#N/A</v>
      </c>
      <c r="AS11" s="14" t="e">
        <f t="shared" ca="1" si="18"/>
        <v>#N/A</v>
      </c>
      <c r="AT11" s="15" t="e">
        <f t="shared" ca="1" si="18"/>
        <v>#N/A</v>
      </c>
      <c r="AU11" s="16" t="e">
        <f t="shared" ca="1" si="18"/>
        <v>#N/A</v>
      </c>
      <c r="AV11" s="13" t="e">
        <f t="shared" ca="1" si="18"/>
        <v>#N/A</v>
      </c>
      <c r="AW11" s="14" t="e">
        <f t="shared" ca="1" si="18"/>
        <v>#N/A</v>
      </c>
      <c r="AX11" s="14" t="e">
        <f t="shared" ca="1" si="18"/>
        <v>#N/A</v>
      </c>
      <c r="AY11" s="14" t="e">
        <f t="shared" ca="1" si="18"/>
        <v>#N/A</v>
      </c>
      <c r="AZ11" s="14" t="e">
        <f t="shared" ca="1" si="18"/>
        <v>#N/A</v>
      </c>
      <c r="BA11" s="15" t="e">
        <f t="shared" ca="1" si="18"/>
        <v>#N/A</v>
      </c>
      <c r="BB11" s="16" t="e">
        <f t="shared" ca="1" si="18"/>
        <v>#N/A</v>
      </c>
      <c r="BC11" s="13" t="e">
        <f t="shared" ca="1" si="18"/>
        <v>#N/A</v>
      </c>
      <c r="BD11" s="14" t="e">
        <f t="shared" ca="1" si="18"/>
        <v>#N/A</v>
      </c>
      <c r="BE11" s="14" t="e">
        <f t="shared" ca="1" si="18"/>
        <v>#N/A</v>
      </c>
      <c r="BF11" s="14" t="e">
        <f t="shared" ca="1" si="18"/>
        <v>#N/A</v>
      </c>
      <c r="BG11" s="14" t="e">
        <f t="shared" ca="1" si="19"/>
        <v>#N/A</v>
      </c>
      <c r="BH11" s="15" t="e">
        <f t="shared" ca="1" si="19"/>
        <v>#N/A</v>
      </c>
      <c r="BI11" s="16" t="e">
        <f t="shared" ca="1" si="19"/>
        <v>#N/A</v>
      </c>
      <c r="BJ11" s="13" t="e">
        <f t="shared" ca="1" si="19"/>
        <v>#N/A</v>
      </c>
      <c r="BK11" s="14" t="e">
        <f t="shared" ca="1" si="19"/>
        <v>#N/A</v>
      </c>
      <c r="BL11" s="14" t="e">
        <f t="shared" ca="1" si="19"/>
        <v>#N/A</v>
      </c>
      <c r="BM11" s="14" t="e">
        <f t="shared" ca="1" si="19"/>
        <v>#N/A</v>
      </c>
      <c r="BN11" s="14" t="e">
        <f t="shared" ca="1" si="19"/>
        <v>#N/A</v>
      </c>
      <c r="BO11" s="15" t="e">
        <f t="shared" ca="1" si="19"/>
        <v>#N/A</v>
      </c>
      <c r="BP11" s="16" t="e">
        <f t="shared" ca="1" si="19"/>
        <v>#N/A</v>
      </c>
      <c r="BQ11" s="13" t="e">
        <f t="shared" ca="1" si="19"/>
        <v>#N/A</v>
      </c>
      <c r="BR11" s="14" t="e">
        <f t="shared" ca="1" si="19"/>
        <v>#N/A</v>
      </c>
      <c r="BS11" s="14" t="e">
        <f t="shared" ca="1" si="19"/>
        <v>#N/A</v>
      </c>
      <c r="BT11" s="14" t="e">
        <f t="shared" ca="1" si="19"/>
        <v>#N/A</v>
      </c>
      <c r="BU11" s="14" t="e">
        <f t="shared" ca="1" si="19"/>
        <v>#N/A</v>
      </c>
      <c r="BV11" s="15" t="e">
        <f t="shared" ca="1" si="19"/>
        <v>#N/A</v>
      </c>
      <c r="BW11" s="16" t="e">
        <f t="shared" ca="1" si="20"/>
        <v>#N/A</v>
      </c>
      <c r="BX11" s="13" t="e">
        <f t="shared" ca="1" si="20"/>
        <v>#N/A</v>
      </c>
      <c r="BY11" s="14" t="e">
        <f t="shared" ca="1" si="20"/>
        <v>#N/A</v>
      </c>
      <c r="BZ11" s="14" t="e">
        <f t="shared" ca="1" si="20"/>
        <v>#N/A</v>
      </c>
      <c r="CA11" s="14" t="e">
        <f t="shared" ca="1" si="20"/>
        <v>#N/A</v>
      </c>
      <c r="CB11" s="14" t="e">
        <f t="shared" ca="1" si="20"/>
        <v>#N/A</v>
      </c>
      <c r="CC11" s="15" t="e">
        <f t="shared" ca="1" si="20"/>
        <v>#N/A</v>
      </c>
      <c r="CD11" s="16" t="e">
        <f t="shared" ca="1" si="20"/>
        <v>#N/A</v>
      </c>
      <c r="CE11" s="13" t="e">
        <f t="shared" ca="1" si="20"/>
        <v>#N/A</v>
      </c>
      <c r="CF11" s="14" t="e">
        <f t="shared" ca="1" si="20"/>
        <v>#N/A</v>
      </c>
      <c r="CG11" s="14" t="e">
        <f t="shared" ca="1" si="20"/>
        <v>#N/A</v>
      </c>
      <c r="CH11" s="14" t="e">
        <f t="shared" ca="1" si="20"/>
        <v>#N/A</v>
      </c>
      <c r="CI11" s="14" t="e">
        <f t="shared" ca="1" si="20"/>
        <v>#N/A</v>
      </c>
      <c r="CJ11" s="15" t="e">
        <f t="shared" ca="1" si="20"/>
        <v>#N/A</v>
      </c>
      <c r="CK11" s="16" t="e">
        <f t="shared" ca="1" si="20"/>
        <v>#N/A</v>
      </c>
      <c r="CL11" s="13" t="e">
        <f t="shared" ca="1" si="20"/>
        <v>#N/A</v>
      </c>
      <c r="CM11" s="14" t="e">
        <f t="shared" ca="1" si="21"/>
        <v>#N/A</v>
      </c>
      <c r="CN11" s="14" t="e">
        <f t="shared" ca="1" si="21"/>
        <v>#N/A</v>
      </c>
      <c r="CO11" s="14" t="e">
        <f t="shared" ca="1" si="21"/>
        <v>#N/A</v>
      </c>
      <c r="CP11" s="14" t="e">
        <f t="shared" ca="1" si="21"/>
        <v>#N/A</v>
      </c>
      <c r="CQ11" s="15" t="e">
        <f t="shared" ca="1" si="21"/>
        <v>#N/A</v>
      </c>
      <c r="CR11" s="16" t="e">
        <f t="shared" ca="1" si="21"/>
        <v>#N/A</v>
      </c>
      <c r="CS11" s="13" t="e">
        <f t="shared" ca="1" si="21"/>
        <v>#N/A</v>
      </c>
      <c r="CT11" s="14" t="e">
        <f t="shared" ca="1" si="21"/>
        <v>#N/A</v>
      </c>
      <c r="CU11" s="14" t="e">
        <f t="shared" ca="1" si="21"/>
        <v>#N/A</v>
      </c>
      <c r="CV11" s="14" t="e">
        <f t="shared" ca="1" si="21"/>
        <v>#N/A</v>
      </c>
      <c r="CW11" s="14" t="e">
        <f t="shared" ca="1" si="21"/>
        <v>#N/A</v>
      </c>
      <c r="CX11" s="15" t="e">
        <f t="shared" ca="1" si="21"/>
        <v>#N/A</v>
      </c>
      <c r="CY11" s="16" t="e">
        <f t="shared" ca="1" si="21"/>
        <v>#N/A</v>
      </c>
      <c r="CZ11" s="13" t="e">
        <f t="shared" ca="1" si="21"/>
        <v>#N/A</v>
      </c>
      <c r="DA11" s="14" t="e">
        <f t="shared" ca="1" si="21"/>
        <v>#N/A</v>
      </c>
      <c r="DB11" s="14" t="e">
        <f t="shared" ca="1" si="21"/>
        <v>#N/A</v>
      </c>
      <c r="DC11" s="14" t="e">
        <f t="shared" ca="1" si="22"/>
        <v>#N/A</v>
      </c>
      <c r="DD11" s="14" t="e">
        <f t="shared" ca="1" si="22"/>
        <v>#N/A</v>
      </c>
      <c r="DE11" s="15" t="e">
        <f t="shared" ca="1" si="22"/>
        <v>#N/A</v>
      </c>
      <c r="DF11" s="16" t="e">
        <f t="shared" ca="1" si="22"/>
        <v>#N/A</v>
      </c>
      <c r="DG11" s="13" t="e">
        <f t="shared" ca="1" si="22"/>
        <v>#N/A</v>
      </c>
      <c r="DH11" s="14" t="e">
        <f t="shared" ca="1" si="22"/>
        <v>#N/A</v>
      </c>
      <c r="DI11" s="14" t="e">
        <f t="shared" ca="1" si="22"/>
        <v>#N/A</v>
      </c>
      <c r="DJ11" s="14" t="e">
        <f t="shared" ca="1" si="22"/>
        <v>#N/A</v>
      </c>
      <c r="DK11" s="14" t="e">
        <f t="shared" ca="1" si="22"/>
        <v>#N/A</v>
      </c>
      <c r="DL11" s="15" t="e">
        <f t="shared" ca="1" si="22"/>
        <v>#N/A</v>
      </c>
      <c r="DM11" s="16" t="e">
        <f t="shared" ca="1" si="22"/>
        <v>#N/A</v>
      </c>
      <c r="DN11" s="13" t="e">
        <f t="shared" ca="1" si="22"/>
        <v>#N/A</v>
      </c>
      <c r="DO11" s="14" t="e">
        <f t="shared" ca="1" si="22"/>
        <v>#N/A</v>
      </c>
      <c r="DP11" s="14" t="e">
        <f t="shared" ca="1" si="22"/>
        <v>#N/A</v>
      </c>
      <c r="DQ11" s="14" t="e">
        <f t="shared" ca="1" si="22"/>
        <v>#N/A</v>
      </c>
      <c r="DR11" s="14" t="e">
        <f t="shared" ca="1" si="22"/>
        <v>#N/A</v>
      </c>
      <c r="DS11" s="15" t="e">
        <f t="shared" ca="1" si="22"/>
        <v>#N/A</v>
      </c>
      <c r="DT11" s="16" t="e">
        <f t="shared" ca="1" si="22"/>
        <v>#N/A</v>
      </c>
      <c r="DU11" s="13" t="e">
        <f t="shared" ca="1" si="23"/>
        <v>#N/A</v>
      </c>
      <c r="DV11" s="14" t="e">
        <f t="shared" ca="1" si="23"/>
        <v>#N/A</v>
      </c>
      <c r="DW11" s="14" t="e">
        <f t="shared" ca="1" si="23"/>
        <v>#N/A</v>
      </c>
      <c r="DX11" s="14" t="e">
        <f t="shared" ca="1" si="23"/>
        <v>#N/A</v>
      </c>
      <c r="DY11" s="14" t="e">
        <f t="shared" ca="1" si="23"/>
        <v>#N/A</v>
      </c>
      <c r="DZ11" s="15" t="e">
        <f t="shared" ca="1" si="23"/>
        <v>#N/A</v>
      </c>
      <c r="EA11" s="16" t="e">
        <f t="shared" ca="1" si="23"/>
        <v>#N/A</v>
      </c>
      <c r="EB11" s="13" t="e">
        <f t="shared" ca="1" si="23"/>
        <v>#N/A</v>
      </c>
      <c r="EC11" s="14" t="e">
        <f t="shared" ca="1" si="23"/>
        <v>#N/A</v>
      </c>
      <c r="ED11" s="14" t="e">
        <f t="shared" ca="1" si="23"/>
        <v>#N/A</v>
      </c>
      <c r="EE11" s="14" t="e">
        <f t="shared" ca="1" si="23"/>
        <v>#N/A</v>
      </c>
      <c r="EF11" s="14" t="e">
        <f t="shared" ca="1" si="23"/>
        <v>#N/A</v>
      </c>
      <c r="EG11" s="15" t="e">
        <f t="shared" ca="1" si="23"/>
        <v>#N/A</v>
      </c>
      <c r="EH11" s="16" t="e">
        <f t="shared" ca="1" si="23"/>
        <v>#N/A</v>
      </c>
      <c r="EI11" s="13" t="e">
        <f t="shared" ca="1" si="24"/>
        <v>#N/A</v>
      </c>
      <c r="EJ11" s="14" t="e">
        <f t="shared" ca="1" si="24"/>
        <v>#N/A</v>
      </c>
      <c r="EK11" s="14" t="e">
        <f t="shared" ca="1" si="24"/>
        <v>#N/A</v>
      </c>
      <c r="EL11" s="14" t="e">
        <f t="shared" ca="1" si="24"/>
        <v>#N/A</v>
      </c>
      <c r="EM11" s="14" t="e">
        <f t="shared" ca="1" si="24"/>
        <v>#N/A</v>
      </c>
      <c r="EN11" s="15" t="e">
        <f t="shared" ca="1" si="24"/>
        <v>#N/A</v>
      </c>
      <c r="EO11" s="16" t="e">
        <f t="shared" ca="1" si="24"/>
        <v>#N/A</v>
      </c>
      <c r="EP11" s="13" t="e">
        <f t="shared" ca="1" si="24"/>
        <v>#N/A</v>
      </c>
      <c r="EQ11" s="14" t="e">
        <f t="shared" ca="1" si="24"/>
        <v>#N/A</v>
      </c>
      <c r="ER11" s="14" t="e">
        <f t="shared" ca="1" si="24"/>
        <v>#N/A</v>
      </c>
      <c r="ES11" s="14" t="e">
        <f t="shared" ca="1" si="25"/>
        <v>#N/A</v>
      </c>
      <c r="ET11" s="14" t="e">
        <f t="shared" ca="1" si="25"/>
        <v>#N/A</v>
      </c>
      <c r="EU11" s="15" t="e">
        <f t="shared" ca="1" si="25"/>
        <v>#N/A</v>
      </c>
      <c r="EV11" s="16" t="e">
        <f t="shared" ca="1" si="25"/>
        <v>#N/A</v>
      </c>
      <c r="EW11" s="13" t="e">
        <f t="shared" ca="1" si="25"/>
        <v>#N/A</v>
      </c>
      <c r="EX11" s="14" t="e">
        <f t="shared" ca="1" si="25"/>
        <v>#N/A</v>
      </c>
      <c r="EY11" s="14" t="e">
        <f t="shared" ca="1" si="25"/>
        <v>#N/A</v>
      </c>
      <c r="EZ11" s="14" t="e">
        <f t="shared" ca="1" si="25"/>
        <v>#N/A</v>
      </c>
      <c r="FA11" s="14" t="e">
        <f t="shared" ca="1" si="25"/>
        <v>#N/A</v>
      </c>
      <c r="FB11" s="15" t="e">
        <f t="shared" ca="1" si="25"/>
        <v>#N/A</v>
      </c>
      <c r="FC11" s="16" t="e">
        <f t="shared" ca="1" si="25"/>
        <v>#N/A</v>
      </c>
    </row>
    <row r="12" spans="1:159" s="17" customFormat="1" ht="9.75" customHeight="1">
      <c r="A12" s="586"/>
      <c r="B12" s="18" t="s">
        <v>42</v>
      </c>
      <c r="C12" s="19" t="e">
        <f ca="1">E11+1</f>
        <v>#N/A</v>
      </c>
      <c r="D12" s="19" t="e">
        <f ca="1">_xlfn.XLOOKUP(A25,'VTT next'!F:F,'VTT next'!V:V,"-",0)</f>
        <v>#N/A</v>
      </c>
      <c r="E12" s="21" t="e">
        <f t="shared" ca="1" si="26"/>
        <v>#N/A</v>
      </c>
      <c r="F12" s="13" t="e">
        <f t="shared" ca="1" si="16"/>
        <v>#N/A</v>
      </c>
      <c r="G12" s="14" t="e">
        <f t="shared" ca="1" si="16"/>
        <v>#N/A</v>
      </c>
      <c r="H12" s="14" t="e">
        <f t="shared" ca="1" si="16"/>
        <v>#N/A</v>
      </c>
      <c r="I12" s="14" t="e">
        <f t="shared" ca="1" si="16"/>
        <v>#N/A</v>
      </c>
      <c r="J12" s="14" t="e">
        <f t="shared" ca="1" si="16"/>
        <v>#N/A</v>
      </c>
      <c r="K12" s="15" t="e">
        <f t="shared" ca="1" si="16"/>
        <v>#N/A</v>
      </c>
      <c r="L12" s="16" t="e">
        <f t="shared" ca="1" si="16"/>
        <v>#N/A</v>
      </c>
      <c r="M12" s="13" t="e">
        <f t="shared" ca="1" si="16"/>
        <v>#N/A</v>
      </c>
      <c r="N12" s="14" t="e">
        <f t="shared" ca="1" si="16"/>
        <v>#N/A</v>
      </c>
      <c r="O12" s="14" t="e">
        <f t="shared" ca="1" si="16"/>
        <v>#N/A</v>
      </c>
      <c r="P12" s="14" t="e">
        <f t="shared" ca="1" si="16"/>
        <v>#N/A</v>
      </c>
      <c r="Q12" s="14" t="e">
        <f t="shared" ca="1" si="16"/>
        <v>#N/A</v>
      </c>
      <c r="R12" s="15" t="e">
        <f t="shared" ca="1" si="16"/>
        <v>#N/A</v>
      </c>
      <c r="S12" s="16" t="e">
        <f t="shared" ca="1" si="16"/>
        <v>#N/A</v>
      </c>
      <c r="T12" s="13" t="e">
        <f t="shared" ca="1" si="16"/>
        <v>#N/A</v>
      </c>
      <c r="U12" s="14" t="e">
        <f t="shared" ca="1" si="16"/>
        <v>#N/A</v>
      </c>
      <c r="V12" s="14" t="e">
        <f t="shared" ca="1" si="16"/>
        <v>#N/A</v>
      </c>
      <c r="W12" s="14" t="e">
        <f t="shared" ca="1" si="16"/>
        <v>#N/A</v>
      </c>
      <c r="X12" s="14" t="e">
        <f t="shared" ca="1" si="16"/>
        <v>#N/A</v>
      </c>
      <c r="Y12" s="15" t="e">
        <f t="shared" ca="1" si="16"/>
        <v>#N/A</v>
      </c>
      <c r="Z12" s="16" t="e">
        <f t="shared" ca="1" si="16"/>
        <v>#N/A</v>
      </c>
      <c r="AA12" s="13" t="e">
        <f t="shared" ca="1" si="17"/>
        <v>#N/A</v>
      </c>
      <c r="AB12" s="14" t="e">
        <f t="shared" ca="1" si="17"/>
        <v>#N/A</v>
      </c>
      <c r="AC12" s="14" t="e">
        <f t="shared" ca="1" si="17"/>
        <v>#N/A</v>
      </c>
      <c r="AD12" s="14" t="e">
        <f t="shared" ca="1" si="17"/>
        <v>#N/A</v>
      </c>
      <c r="AE12" s="14" t="e">
        <f t="shared" ca="1" si="17"/>
        <v>#N/A</v>
      </c>
      <c r="AF12" s="15" t="e">
        <f t="shared" ca="1" si="17"/>
        <v>#N/A</v>
      </c>
      <c r="AG12" s="16" t="e">
        <f t="shared" ca="1" si="17"/>
        <v>#N/A</v>
      </c>
      <c r="AH12" s="13" t="e">
        <f t="shared" ca="1" si="17"/>
        <v>#N/A</v>
      </c>
      <c r="AI12" s="14" t="e">
        <f t="shared" ca="1" si="17"/>
        <v>#N/A</v>
      </c>
      <c r="AJ12" s="14" t="e">
        <f t="shared" ca="1" si="17"/>
        <v>#N/A</v>
      </c>
      <c r="AK12" s="14" t="e">
        <f t="shared" ca="1" si="17"/>
        <v>#N/A</v>
      </c>
      <c r="AL12" s="14" t="e">
        <f t="shared" ca="1" si="17"/>
        <v>#N/A</v>
      </c>
      <c r="AM12" s="15" t="e">
        <f t="shared" ca="1" si="17"/>
        <v>#N/A</v>
      </c>
      <c r="AN12" s="16" t="e">
        <f t="shared" ca="1" si="17"/>
        <v>#N/A</v>
      </c>
      <c r="AO12" s="13" t="e">
        <f t="shared" ca="1" si="17"/>
        <v>#N/A</v>
      </c>
      <c r="AP12" s="14" t="e">
        <f t="shared" ca="1" si="17"/>
        <v>#N/A</v>
      </c>
      <c r="AQ12" s="14" t="e">
        <f t="shared" ca="1" si="18"/>
        <v>#N/A</v>
      </c>
      <c r="AR12" s="14" t="e">
        <f t="shared" ca="1" si="18"/>
        <v>#N/A</v>
      </c>
      <c r="AS12" s="14" t="e">
        <f t="shared" ca="1" si="18"/>
        <v>#N/A</v>
      </c>
      <c r="AT12" s="15" t="e">
        <f t="shared" ca="1" si="18"/>
        <v>#N/A</v>
      </c>
      <c r="AU12" s="16" t="e">
        <f t="shared" ca="1" si="18"/>
        <v>#N/A</v>
      </c>
      <c r="AV12" s="13" t="e">
        <f t="shared" ca="1" si="18"/>
        <v>#N/A</v>
      </c>
      <c r="AW12" s="14" t="e">
        <f t="shared" ca="1" si="18"/>
        <v>#N/A</v>
      </c>
      <c r="AX12" s="14" t="e">
        <f t="shared" ca="1" si="18"/>
        <v>#N/A</v>
      </c>
      <c r="AY12" s="14" t="e">
        <f t="shared" ca="1" si="18"/>
        <v>#N/A</v>
      </c>
      <c r="AZ12" s="14" t="e">
        <f t="shared" ca="1" si="18"/>
        <v>#N/A</v>
      </c>
      <c r="BA12" s="15" t="e">
        <f t="shared" ca="1" si="18"/>
        <v>#N/A</v>
      </c>
      <c r="BB12" s="16" t="e">
        <f t="shared" ca="1" si="18"/>
        <v>#N/A</v>
      </c>
      <c r="BC12" s="13" t="e">
        <f t="shared" ca="1" si="18"/>
        <v>#N/A</v>
      </c>
      <c r="BD12" s="14" t="e">
        <f t="shared" ca="1" si="18"/>
        <v>#N/A</v>
      </c>
      <c r="BE12" s="14" t="e">
        <f t="shared" ca="1" si="18"/>
        <v>#N/A</v>
      </c>
      <c r="BF12" s="14" t="e">
        <f t="shared" ca="1" si="18"/>
        <v>#N/A</v>
      </c>
      <c r="BG12" s="14" t="e">
        <f t="shared" ca="1" si="19"/>
        <v>#N/A</v>
      </c>
      <c r="BH12" s="15" t="e">
        <f t="shared" ca="1" si="19"/>
        <v>#N/A</v>
      </c>
      <c r="BI12" s="16" t="e">
        <f t="shared" ca="1" si="19"/>
        <v>#N/A</v>
      </c>
      <c r="BJ12" s="13" t="e">
        <f t="shared" ca="1" si="19"/>
        <v>#N/A</v>
      </c>
      <c r="BK12" s="14" t="e">
        <f t="shared" ca="1" si="19"/>
        <v>#N/A</v>
      </c>
      <c r="BL12" s="14" t="e">
        <f t="shared" ca="1" si="19"/>
        <v>#N/A</v>
      </c>
      <c r="BM12" s="14" t="e">
        <f t="shared" ca="1" si="19"/>
        <v>#N/A</v>
      </c>
      <c r="BN12" s="14" t="e">
        <f t="shared" ca="1" si="19"/>
        <v>#N/A</v>
      </c>
      <c r="BO12" s="15" t="e">
        <f t="shared" ca="1" si="19"/>
        <v>#N/A</v>
      </c>
      <c r="BP12" s="16" t="e">
        <f t="shared" ca="1" si="19"/>
        <v>#N/A</v>
      </c>
      <c r="BQ12" s="13" t="e">
        <f t="shared" ca="1" si="19"/>
        <v>#N/A</v>
      </c>
      <c r="BR12" s="14" t="e">
        <f t="shared" ca="1" si="19"/>
        <v>#N/A</v>
      </c>
      <c r="BS12" s="14" t="e">
        <f t="shared" ca="1" si="19"/>
        <v>#N/A</v>
      </c>
      <c r="BT12" s="14" t="e">
        <f t="shared" ca="1" si="19"/>
        <v>#N/A</v>
      </c>
      <c r="BU12" s="14" t="e">
        <f t="shared" ca="1" si="19"/>
        <v>#N/A</v>
      </c>
      <c r="BV12" s="15" t="e">
        <f t="shared" ca="1" si="19"/>
        <v>#N/A</v>
      </c>
      <c r="BW12" s="16" t="e">
        <f t="shared" ca="1" si="20"/>
        <v>#N/A</v>
      </c>
      <c r="BX12" s="13" t="e">
        <f t="shared" ca="1" si="20"/>
        <v>#N/A</v>
      </c>
      <c r="BY12" s="14" t="e">
        <f t="shared" ca="1" si="20"/>
        <v>#N/A</v>
      </c>
      <c r="BZ12" s="14" t="e">
        <f t="shared" ca="1" si="20"/>
        <v>#N/A</v>
      </c>
      <c r="CA12" s="14" t="e">
        <f t="shared" ca="1" si="20"/>
        <v>#N/A</v>
      </c>
      <c r="CB12" s="14" t="e">
        <f t="shared" ca="1" si="20"/>
        <v>#N/A</v>
      </c>
      <c r="CC12" s="15" t="e">
        <f t="shared" ca="1" si="20"/>
        <v>#N/A</v>
      </c>
      <c r="CD12" s="16" t="e">
        <f t="shared" ca="1" si="20"/>
        <v>#N/A</v>
      </c>
      <c r="CE12" s="13" t="e">
        <f t="shared" ca="1" si="20"/>
        <v>#N/A</v>
      </c>
      <c r="CF12" s="14" t="e">
        <f t="shared" ca="1" si="20"/>
        <v>#N/A</v>
      </c>
      <c r="CG12" s="14" t="e">
        <f t="shared" ca="1" si="20"/>
        <v>#N/A</v>
      </c>
      <c r="CH12" s="14" t="e">
        <f t="shared" ca="1" si="20"/>
        <v>#N/A</v>
      </c>
      <c r="CI12" s="14" t="e">
        <f t="shared" ca="1" si="20"/>
        <v>#N/A</v>
      </c>
      <c r="CJ12" s="15" t="e">
        <f t="shared" ca="1" si="20"/>
        <v>#N/A</v>
      </c>
      <c r="CK12" s="16" t="e">
        <f t="shared" ca="1" si="20"/>
        <v>#N/A</v>
      </c>
      <c r="CL12" s="13" t="e">
        <f t="shared" ca="1" si="20"/>
        <v>#N/A</v>
      </c>
      <c r="CM12" s="14" t="e">
        <f t="shared" ca="1" si="21"/>
        <v>#N/A</v>
      </c>
      <c r="CN12" s="14" t="e">
        <f t="shared" ca="1" si="21"/>
        <v>#N/A</v>
      </c>
      <c r="CO12" s="14" t="e">
        <f t="shared" ca="1" si="21"/>
        <v>#N/A</v>
      </c>
      <c r="CP12" s="14" t="e">
        <f t="shared" ca="1" si="21"/>
        <v>#N/A</v>
      </c>
      <c r="CQ12" s="15" t="e">
        <f t="shared" ca="1" si="21"/>
        <v>#N/A</v>
      </c>
      <c r="CR12" s="16" t="e">
        <f t="shared" ca="1" si="21"/>
        <v>#N/A</v>
      </c>
      <c r="CS12" s="13" t="e">
        <f t="shared" ca="1" si="21"/>
        <v>#N/A</v>
      </c>
      <c r="CT12" s="14" t="e">
        <f t="shared" ca="1" si="21"/>
        <v>#N/A</v>
      </c>
      <c r="CU12" s="14" t="e">
        <f t="shared" ca="1" si="21"/>
        <v>#N/A</v>
      </c>
      <c r="CV12" s="14" t="e">
        <f t="shared" ca="1" si="21"/>
        <v>#N/A</v>
      </c>
      <c r="CW12" s="14" t="e">
        <f t="shared" ca="1" si="21"/>
        <v>#N/A</v>
      </c>
      <c r="CX12" s="15" t="e">
        <f t="shared" ca="1" si="21"/>
        <v>#N/A</v>
      </c>
      <c r="CY12" s="16" t="e">
        <f t="shared" ca="1" si="21"/>
        <v>#N/A</v>
      </c>
      <c r="CZ12" s="13" t="e">
        <f t="shared" ca="1" si="21"/>
        <v>#N/A</v>
      </c>
      <c r="DA12" s="14" t="e">
        <f t="shared" ca="1" si="21"/>
        <v>#N/A</v>
      </c>
      <c r="DB12" s="14" t="e">
        <f t="shared" ca="1" si="21"/>
        <v>#N/A</v>
      </c>
      <c r="DC12" s="14" t="e">
        <f t="shared" ca="1" si="22"/>
        <v>#N/A</v>
      </c>
      <c r="DD12" s="14" t="e">
        <f t="shared" ca="1" si="22"/>
        <v>#N/A</v>
      </c>
      <c r="DE12" s="15" t="e">
        <f t="shared" ca="1" si="22"/>
        <v>#N/A</v>
      </c>
      <c r="DF12" s="16" t="e">
        <f t="shared" ca="1" si="22"/>
        <v>#N/A</v>
      </c>
      <c r="DG12" s="13" t="e">
        <f t="shared" ca="1" si="22"/>
        <v>#N/A</v>
      </c>
      <c r="DH12" s="14" t="e">
        <f t="shared" ca="1" si="22"/>
        <v>#N/A</v>
      </c>
      <c r="DI12" s="14" t="e">
        <f t="shared" ca="1" si="22"/>
        <v>#N/A</v>
      </c>
      <c r="DJ12" s="14" t="e">
        <f t="shared" ca="1" si="22"/>
        <v>#N/A</v>
      </c>
      <c r="DK12" s="14" t="e">
        <f t="shared" ca="1" si="22"/>
        <v>#N/A</v>
      </c>
      <c r="DL12" s="15" t="e">
        <f t="shared" ca="1" si="22"/>
        <v>#N/A</v>
      </c>
      <c r="DM12" s="16" t="e">
        <f t="shared" ca="1" si="22"/>
        <v>#N/A</v>
      </c>
      <c r="DN12" s="13" t="e">
        <f t="shared" ca="1" si="22"/>
        <v>#N/A</v>
      </c>
      <c r="DO12" s="14" t="e">
        <f t="shared" ca="1" si="22"/>
        <v>#N/A</v>
      </c>
      <c r="DP12" s="14" t="e">
        <f t="shared" ca="1" si="22"/>
        <v>#N/A</v>
      </c>
      <c r="DQ12" s="14" t="e">
        <f t="shared" ca="1" si="22"/>
        <v>#N/A</v>
      </c>
      <c r="DR12" s="14" t="e">
        <f t="shared" ca="1" si="22"/>
        <v>#N/A</v>
      </c>
      <c r="DS12" s="15" t="e">
        <f t="shared" ca="1" si="22"/>
        <v>#N/A</v>
      </c>
      <c r="DT12" s="16" t="e">
        <f t="shared" ca="1" si="22"/>
        <v>#N/A</v>
      </c>
      <c r="DU12" s="13" t="e">
        <f t="shared" ca="1" si="23"/>
        <v>#N/A</v>
      </c>
      <c r="DV12" s="14" t="e">
        <f t="shared" ca="1" si="23"/>
        <v>#N/A</v>
      </c>
      <c r="DW12" s="14" t="e">
        <f t="shared" ca="1" si="23"/>
        <v>#N/A</v>
      </c>
      <c r="DX12" s="14" t="e">
        <f t="shared" ca="1" si="23"/>
        <v>#N/A</v>
      </c>
      <c r="DY12" s="14" t="e">
        <f t="shared" ca="1" si="23"/>
        <v>#N/A</v>
      </c>
      <c r="DZ12" s="15" t="e">
        <f t="shared" ca="1" si="23"/>
        <v>#N/A</v>
      </c>
      <c r="EA12" s="16" t="e">
        <f t="shared" ca="1" si="23"/>
        <v>#N/A</v>
      </c>
      <c r="EB12" s="13" t="e">
        <f t="shared" ca="1" si="23"/>
        <v>#N/A</v>
      </c>
      <c r="EC12" s="14" t="e">
        <f t="shared" ca="1" si="23"/>
        <v>#N/A</v>
      </c>
      <c r="ED12" s="14" t="e">
        <f t="shared" ca="1" si="23"/>
        <v>#N/A</v>
      </c>
      <c r="EE12" s="14" t="e">
        <f t="shared" ca="1" si="23"/>
        <v>#N/A</v>
      </c>
      <c r="EF12" s="14" t="e">
        <f t="shared" ca="1" si="23"/>
        <v>#N/A</v>
      </c>
      <c r="EG12" s="15" t="e">
        <f t="shared" ca="1" si="23"/>
        <v>#N/A</v>
      </c>
      <c r="EH12" s="16" t="e">
        <f t="shared" ca="1" si="23"/>
        <v>#N/A</v>
      </c>
      <c r="EI12" s="13" t="e">
        <f t="shared" ca="1" si="24"/>
        <v>#N/A</v>
      </c>
      <c r="EJ12" s="14" t="e">
        <f t="shared" ca="1" si="24"/>
        <v>#N/A</v>
      </c>
      <c r="EK12" s="14" t="e">
        <f t="shared" ca="1" si="24"/>
        <v>#N/A</v>
      </c>
      <c r="EL12" s="14" t="e">
        <f t="shared" ca="1" si="24"/>
        <v>#N/A</v>
      </c>
      <c r="EM12" s="14" t="e">
        <f t="shared" ca="1" si="24"/>
        <v>#N/A</v>
      </c>
      <c r="EN12" s="15" t="e">
        <f t="shared" ca="1" si="24"/>
        <v>#N/A</v>
      </c>
      <c r="EO12" s="16" t="e">
        <f t="shared" ca="1" si="24"/>
        <v>#N/A</v>
      </c>
      <c r="EP12" s="13" t="e">
        <f t="shared" ca="1" si="24"/>
        <v>#N/A</v>
      </c>
      <c r="EQ12" s="14" t="e">
        <f t="shared" ca="1" si="24"/>
        <v>#N/A</v>
      </c>
      <c r="ER12" s="14" t="e">
        <f t="shared" ca="1" si="24"/>
        <v>#N/A</v>
      </c>
      <c r="ES12" s="14" t="e">
        <f t="shared" ca="1" si="25"/>
        <v>#N/A</v>
      </c>
      <c r="ET12" s="14" t="e">
        <f t="shared" ca="1" si="25"/>
        <v>#N/A</v>
      </c>
      <c r="EU12" s="15" t="e">
        <f t="shared" ca="1" si="25"/>
        <v>#N/A</v>
      </c>
      <c r="EV12" s="16" t="e">
        <f t="shared" ca="1" si="25"/>
        <v>#N/A</v>
      </c>
      <c r="EW12" s="13" t="e">
        <f t="shared" ca="1" si="25"/>
        <v>#N/A</v>
      </c>
      <c r="EX12" s="14" t="e">
        <f t="shared" ca="1" si="25"/>
        <v>#N/A</v>
      </c>
      <c r="EY12" s="14" t="e">
        <f t="shared" ca="1" si="25"/>
        <v>#N/A</v>
      </c>
      <c r="EZ12" s="14" t="e">
        <f t="shared" ca="1" si="25"/>
        <v>#N/A</v>
      </c>
      <c r="FA12" s="14" t="e">
        <f t="shared" ca="1" si="25"/>
        <v>#N/A</v>
      </c>
      <c r="FB12" s="15" t="e">
        <f t="shared" ca="1" si="25"/>
        <v>#N/A</v>
      </c>
      <c r="FC12" s="16" t="e">
        <f t="shared" ca="1" si="25"/>
        <v>#N/A</v>
      </c>
    </row>
    <row r="13" spans="1:159" s="17" customFormat="1" ht="9.75" customHeight="1">
      <c r="A13" s="586"/>
      <c r="B13" s="22" t="s">
        <v>43</v>
      </c>
      <c r="C13" s="19" t="e">
        <f ca="1">IF(AND(_xlfn.XLOOKUP(A25,'VTT next'!F:F,'VTT next'!W:W,"-",0)=7,INT(E12/7)=E12/7),E12,IF((ROUNDDOWN(E12/7,0)*7+_xlfn.XLOOKUP(A25,'VTT next'!F:F,'VTT next'!W:W,"-",0))&lt;E12,(ROUNDDOWN(E12/7,0)*7+_xlfn.XLOOKUP(A25,'VTT next'!F:F,'VTT next'!W:W,"-",0))+7,(ROUNDDOWN(E12/7,0)*7+_xlfn.XLOOKUP(A25,'VTT next'!F:F,'VTT next'!W:W,"-",0))))</f>
        <v>#N/A</v>
      </c>
      <c r="D13" s="20">
        <v>0</v>
      </c>
      <c r="E13" s="19" t="e">
        <f ca="1">C13+D13</f>
        <v>#N/A</v>
      </c>
      <c r="F13" s="13" t="e">
        <f t="shared" ca="1" si="16"/>
        <v>#N/A</v>
      </c>
      <c r="G13" s="14" t="e">
        <f t="shared" ca="1" si="16"/>
        <v>#N/A</v>
      </c>
      <c r="H13" s="14" t="e">
        <f t="shared" ca="1" si="16"/>
        <v>#N/A</v>
      </c>
      <c r="I13" s="14" t="e">
        <f t="shared" ca="1" si="16"/>
        <v>#N/A</v>
      </c>
      <c r="J13" s="14" t="e">
        <f t="shared" ca="1" si="16"/>
        <v>#N/A</v>
      </c>
      <c r="K13" s="15" t="e">
        <f t="shared" ca="1" si="16"/>
        <v>#N/A</v>
      </c>
      <c r="L13" s="16" t="e">
        <f t="shared" ca="1" si="16"/>
        <v>#N/A</v>
      </c>
      <c r="M13" s="13" t="e">
        <f t="shared" ca="1" si="16"/>
        <v>#N/A</v>
      </c>
      <c r="N13" s="14" t="e">
        <f t="shared" ca="1" si="16"/>
        <v>#N/A</v>
      </c>
      <c r="O13" s="14" t="e">
        <f t="shared" ca="1" si="16"/>
        <v>#N/A</v>
      </c>
      <c r="P13" s="14" t="e">
        <f t="shared" ca="1" si="16"/>
        <v>#N/A</v>
      </c>
      <c r="Q13" s="14" t="e">
        <f t="shared" ca="1" si="16"/>
        <v>#N/A</v>
      </c>
      <c r="R13" s="15" t="e">
        <f t="shared" ca="1" si="16"/>
        <v>#N/A</v>
      </c>
      <c r="S13" s="16" t="e">
        <f t="shared" ca="1" si="16"/>
        <v>#N/A</v>
      </c>
      <c r="T13" s="13" t="e">
        <f t="shared" ca="1" si="16"/>
        <v>#N/A</v>
      </c>
      <c r="U13" s="14" t="e">
        <f t="shared" ca="1" si="16"/>
        <v>#N/A</v>
      </c>
      <c r="V13" s="14" t="e">
        <f t="shared" ca="1" si="16"/>
        <v>#N/A</v>
      </c>
      <c r="W13" s="14" t="e">
        <f t="shared" ca="1" si="16"/>
        <v>#N/A</v>
      </c>
      <c r="X13" s="14" t="e">
        <f t="shared" ca="1" si="16"/>
        <v>#N/A</v>
      </c>
      <c r="Y13" s="15" t="e">
        <f t="shared" ca="1" si="16"/>
        <v>#N/A</v>
      </c>
      <c r="Z13" s="16" t="e">
        <f t="shared" ca="1" si="16"/>
        <v>#N/A</v>
      </c>
      <c r="AA13" s="13" t="e">
        <f t="shared" ca="1" si="17"/>
        <v>#N/A</v>
      </c>
      <c r="AB13" s="14" t="e">
        <f t="shared" ca="1" si="17"/>
        <v>#N/A</v>
      </c>
      <c r="AC13" s="14" t="e">
        <f t="shared" ca="1" si="17"/>
        <v>#N/A</v>
      </c>
      <c r="AD13" s="14" t="e">
        <f t="shared" ca="1" si="17"/>
        <v>#N/A</v>
      </c>
      <c r="AE13" s="14" t="e">
        <f t="shared" ca="1" si="17"/>
        <v>#N/A</v>
      </c>
      <c r="AF13" s="15" t="e">
        <f t="shared" ca="1" si="17"/>
        <v>#N/A</v>
      </c>
      <c r="AG13" s="16" t="e">
        <f t="shared" ca="1" si="17"/>
        <v>#N/A</v>
      </c>
      <c r="AH13" s="13" t="e">
        <f t="shared" ca="1" si="17"/>
        <v>#N/A</v>
      </c>
      <c r="AI13" s="14" t="e">
        <f t="shared" ca="1" si="17"/>
        <v>#N/A</v>
      </c>
      <c r="AJ13" s="14" t="e">
        <f t="shared" ca="1" si="17"/>
        <v>#N/A</v>
      </c>
      <c r="AK13" s="14" t="e">
        <f t="shared" ca="1" si="17"/>
        <v>#N/A</v>
      </c>
      <c r="AL13" s="14" t="e">
        <f t="shared" ca="1" si="17"/>
        <v>#N/A</v>
      </c>
      <c r="AM13" s="15" t="e">
        <f t="shared" ca="1" si="17"/>
        <v>#N/A</v>
      </c>
      <c r="AN13" s="16" t="e">
        <f t="shared" ca="1" si="17"/>
        <v>#N/A</v>
      </c>
      <c r="AO13" s="13" t="e">
        <f t="shared" ca="1" si="17"/>
        <v>#N/A</v>
      </c>
      <c r="AP13" s="14" t="e">
        <f t="shared" ca="1" si="17"/>
        <v>#N/A</v>
      </c>
      <c r="AQ13" s="14" t="e">
        <f t="shared" ca="1" si="18"/>
        <v>#N/A</v>
      </c>
      <c r="AR13" s="14" t="e">
        <f t="shared" ca="1" si="18"/>
        <v>#N/A</v>
      </c>
      <c r="AS13" s="14" t="e">
        <f t="shared" ca="1" si="18"/>
        <v>#N/A</v>
      </c>
      <c r="AT13" s="15" t="e">
        <f t="shared" ca="1" si="18"/>
        <v>#N/A</v>
      </c>
      <c r="AU13" s="16" t="e">
        <f t="shared" ca="1" si="18"/>
        <v>#N/A</v>
      </c>
      <c r="AV13" s="13" t="e">
        <f t="shared" ca="1" si="18"/>
        <v>#N/A</v>
      </c>
      <c r="AW13" s="14" t="e">
        <f t="shared" ca="1" si="18"/>
        <v>#N/A</v>
      </c>
      <c r="AX13" s="14" t="e">
        <f t="shared" ca="1" si="18"/>
        <v>#N/A</v>
      </c>
      <c r="AY13" s="14" t="e">
        <f t="shared" ca="1" si="18"/>
        <v>#N/A</v>
      </c>
      <c r="AZ13" s="14" t="e">
        <f t="shared" ca="1" si="18"/>
        <v>#N/A</v>
      </c>
      <c r="BA13" s="15" t="e">
        <f t="shared" ca="1" si="18"/>
        <v>#N/A</v>
      </c>
      <c r="BB13" s="16" t="e">
        <f t="shared" ca="1" si="18"/>
        <v>#N/A</v>
      </c>
      <c r="BC13" s="13" t="e">
        <f t="shared" ca="1" si="18"/>
        <v>#N/A</v>
      </c>
      <c r="BD13" s="14" t="e">
        <f t="shared" ca="1" si="18"/>
        <v>#N/A</v>
      </c>
      <c r="BE13" s="14" t="e">
        <f t="shared" ca="1" si="18"/>
        <v>#N/A</v>
      </c>
      <c r="BF13" s="14" t="e">
        <f t="shared" ca="1" si="18"/>
        <v>#N/A</v>
      </c>
      <c r="BG13" s="14" t="e">
        <f t="shared" ca="1" si="19"/>
        <v>#N/A</v>
      </c>
      <c r="BH13" s="15" t="e">
        <f t="shared" ca="1" si="19"/>
        <v>#N/A</v>
      </c>
      <c r="BI13" s="16" t="e">
        <f t="shared" ca="1" si="19"/>
        <v>#N/A</v>
      </c>
      <c r="BJ13" s="13" t="e">
        <f t="shared" ca="1" si="19"/>
        <v>#N/A</v>
      </c>
      <c r="BK13" s="14" t="e">
        <f t="shared" ca="1" si="19"/>
        <v>#N/A</v>
      </c>
      <c r="BL13" s="14" t="e">
        <f t="shared" ca="1" si="19"/>
        <v>#N/A</v>
      </c>
      <c r="BM13" s="14" t="e">
        <f t="shared" ca="1" si="19"/>
        <v>#N/A</v>
      </c>
      <c r="BN13" s="14" t="e">
        <f t="shared" ca="1" si="19"/>
        <v>#N/A</v>
      </c>
      <c r="BO13" s="15" t="e">
        <f t="shared" ca="1" si="19"/>
        <v>#N/A</v>
      </c>
      <c r="BP13" s="16" t="e">
        <f t="shared" ca="1" si="19"/>
        <v>#N/A</v>
      </c>
      <c r="BQ13" s="13" t="e">
        <f t="shared" ca="1" si="19"/>
        <v>#N/A</v>
      </c>
      <c r="BR13" s="14" t="e">
        <f t="shared" ca="1" si="19"/>
        <v>#N/A</v>
      </c>
      <c r="BS13" s="14" t="e">
        <f t="shared" ca="1" si="19"/>
        <v>#N/A</v>
      </c>
      <c r="BT13" s="14" t="e">
        <f t="shared" ca="1" si="19"/>
        <v>#N/A</v>
      </c>
      <c r="BU13" s="14" t="e">
        <f t="shared" ca="1" si="19"/>
        <v>#N/A</v>
      </c>
      <c r="BV13" s="15" t="e">
        <f t="shared" ca="1" si="19"/>
        <v>#N/A</v>
      </c>
      <c r="BW13" s="16" t="e">
        <f t="shared" ca="1" si="20"/>
        <v>#N/A</v>
      </c>
      <c r="BX13" s="13" t="e">
        <f t="shared" ca="1" si="20"/>
        <v>#N/A</v>
      </c>
      <c r="BY13" s="14" t="e">
        <f t="shared" ca="1" si="20"/>
        <v>#N/A</v>
      </c>
      <c r="BZ13" s="14" t="e">
        <f t="shared" ca="1" si="20"/>
        <v>#N/A</v>
      </c>
      <c r="CA13" s="14" t="e">
        <f t="shared" ca="1" si="20"/>
        <v>#N/A</v>
      </c>
      <c r="CB13" s="14" t="e">
        <f t="shared" ca="1" si="20"/>
        <v>#N/A</v>
      </c>
      <c r="CC13" s="15" t="e">
        <f t="shared" ca="1" si="20"/>
        <v>#N/A</v>
      </c>
      <c r="CD13" s="16" t="e">
        <f t="shared" ca="1" si="20"/>
        <v>#N/A</v>
      </c>
      <c r="CE13" s="13" t="e">
        <f t="shared" ca="1" si="20"/>
        <v>#N/A</v>
      </c>
      <c r="CF13" s="14" t="e">
        <f t="shared" ca="1" si="20"/>
        <v>#N/A</v>
      </c>
      <c r="CG13" s="14" t="e">
        <f t="shared" ca="1" si="20"/>
        <v>#N/A</v>
      </c>
      <c r="CH13" s="14" t="e">
        <f t="shared" ca="1" si="20"/>
        <v>#N/A</v>
      </c>
      <c r="CI13" s="14" t="e">
        <f t="shared" ca="1" si="20"/>
        <v>#N/A</v>
      </c>
      <c r="CJ13" s="15" t="e">
        <f t="shared" ca="1" si="20"/>
        <v>#N/A</v>
      </c>
      <c r="CK13" s="16" t="e">
        <f t="shared" ca="1" si="20"/>
        <v>#N/A</v>
      </c>
      <c r="CL13" s="13" t="e">
        <f t="shared" ca="1" si="20"/>
        <v>#N/A</v>
      </c>
      <c r="CM13" s="14" t="e">
        <f t="shared" ca="1" si="21"/>
        <v>#N/A</v>
      </c>
      <c r="CN13" s="14" t="e">
        <f t="shared" ca="1" si="21"/>
        <v>#N/A</v>
      </c>
      <c r="CO13" s="14" t="e">
        <f t="shared" ca="1" si="21"/>
        <v>#N/A</v>
      </c>
      <c r="CP13" s="14" t="e">
        <f t="shared" ca="1" si="21"/>
        <v>#N/A</v>
      </c>
      <c r="CQ13" s="15" t="e">
        <f t="shared" ca="1" si="21"/>
        <v>#N/A</v>
      </c>
      <c r="CR13" s="16" t="e">
        <f t="shared" ca="1" si="21"/>
        <v>#N/A</v>
      </c>
      <c r="CS13" s="13" t="e">
        <f t="shared" ca="1" si="21"/>
        <v>#N/A</v>
      </c>
      <c r="CT13" s="14" t="e">
        <f t="shared" ca="1" si="21"/>
        <v>#N/A</v>
      </c>
      <c r="CU13" s="14" t="e">
        <f t="shared" ca="1" si="21"/>
        <v>#N/A</v>
      </c>
      <c r="CV13" s="14" t="e">
        <f t="shared" ca="1" si="21"/>
        <v>#N/A</v>
      </c>
      <c r="CW13" s="14" t="e">
        <f t="shared" ca="1" si="21"/>
        <v>#N/A</v>
      </c>
      <c r="CX13" s="15" t="e">
        <f t="shared" ca="1" si="21"/>
        <v>#N/A</v>
      </c>
      <c r="CY13" s="16" t="e">
        <f t="shared" ca="1" si="21"/>
        <v>#N/A</v>
      </c>
      <c r="CZ13" s="13" t="e">
        <f t="shared" ca="1" si="21"/>
        <v>#N/A</v>
      </c>
      <c r="DA13" s="14" t="e">
        <f t="shared" ca="1" si="21"/>
        <v>#N/A</v>
      </c>
      <c r="DB13" s="14" t="e">
        <f t="shared" ca="1" si="21"/>
        <v>#N/A</v>
      </c>
      <c r="DC13" s="14" t="e">
        <f t="shared" ca="1" si="22"/>
        <v>#N/A</v>
      </c>
      <c r="DD13" s="14" t="e">
        <f t="shared" ca="1" si="22"/>
        <v>#N/A</v>
      </c>
      <c r="DE13" s="15" t="e">
        <f t="shared" ca="1" si="22"/>
        <v>#N/A</v>
      </c>
      <c r="DF13" s="16" t="e">
        <f t="shared" ca="1" si="22"/>
        <v>#N/A</v>
      </c>
      <c r="DG13" s="13" t="e">
        <f t="shared" ca="1" si="22"/>
        <v>#N/A</v>
      </c>
      <c r="DH13" s="14" t="e">
        <f t="shared" ca="1" si="22"/>
        <v>#N/A</v>
      </c>
      <c r="DI13" s="14" t="e">
        <f t="shared" ca="1" si="22"/>
        <v>#N/A</v>
      </c>
      <c r="DJ13" s="14" t="e">
        <f t="shared" ca="1" si="22"/>
        <v>#N/A</v>
      </c>
      <c r="DK13" s="14" t="e">
        <f t="shared" ca="1" si="22"/>
        <v>#N/A</v>
      </c>
      <c r="DL13" s="15" t="e">
        <f t="shared" ca="1" si="22"/>
        <v>#N/A</v>
      </c>
      <c r="DM13" s="16" t="e">
        <f t="shared" ca="1" si="22"/>
        <v>#N/A</v>
      </c>
      <c r="DN13" s="13" t="e">
        <f t="shared" ca="1" si="22"/>
        <v>#N/A</v>
      </c>
      <c r="DO13" s="14" t="e">
        <f t="shared" ca="1" si="22"/>
        <v>#N/A</v>
      </c>
      <c r="DP13" s="14" t="e">
        <f t="shared" ca="1" si="22"/>
        <v>#N/A</v>
      </c>
      <c r="DQ13" s="14" t="e">
        <f t="shared" ca="1" si="22"/>
        <v>#N/A</v>
      </c>
      <c r="DR13" s="14" t="e">
        <f t="shared" ca="1" si="22"/>
        <v>#N/A</v>
      </c>
      <c r="DS13" s="15" t="e">
        <f t="shared" ca="1" si="22"/>
        <v>#N/A</v>
      </c>
      <c r="DT13" s="16" t="e">
        <f t="shared" ca="1" si="22"/>
        <v>#N/A</v>
      </c>
      <c r="DU13" s="13" t="e">
        <f t="shared" ca="1" si="23"/>
        <v>#N/A</v>
      </c>
      <c r="DV13" s="14" t="e">
        <f t="shared" ca="1" si="23"/>
        <v>#N/A</v>
      </c>
      <c r="DW13" s="14" t="e">
        <f t="shared" ca="1" si="23"/>
        <v>#N/A</v>
      </c>
      <c r="DX13" s="14" t="e">
        <f t="shared" ca="1" si="23"/>
        <v>#N/A</v>
      </c>
      <c r="DY13" s="14" t="e">
        <f t="shared" ca="1" si="23"/>
        <v>#N/A</v>
      </c>
      <c r="DZ13" s="15" t="e">
        <f t="shared" ca="1" si="23"/>
        <v>#N/A</v>
      </c>
      <c r="EA13" s="16" t="e">
        <f t="shared" ca="1" si="23"/>
        <v>#N/A</v>
      </c>
      <c r="EB13" s="13" t="e">
        <f t="shared" ca="1" si="23"/>
        <v>#N/A</v>
      </c>
      <c r="EC13" s="14" t="e">
        <f t="shared" ca="1" si="23"/>
        <v>#N/A</v>
      </c>
      <c r="ED13" s="14" t="e">
        <f t="shared" ca="1" si="23"/>
        <v>#N/A</v>
      </c>
      <c r="EE13" s="14" t="e">
        <f t="shared" ca="1" si="23"/>
        <v>#N/A</v>
      </c>
      <c r="EF13" s="14" t="e">
        <f t="shared" ca="1" si="23"/>
        <v>#N/A</v>
      </c>
      <c r="EG13" s="15" t="e">
        <f t="shared" ca="1" si="23"/>
        <v>#N/A</v>
      </c>
      <c r="EH13" s="16" t="e">
        <f t="shared" ca="1" si="23"/>
        <v>#N/A</v>
      </c>
      <c r="EI13" s="13" t="e">
        <f t="shared" ca="1" si="24"/>
        <v>#N/A</v>
      </c>
      <c r="EJ13" s="14" t="e">
        <f t="shared" ca="1" si="24"/>
        <v>#N/A</v>
      </c>
      <c r="EK13" s="14" t="e">
        <f t="shared" ca="1" si="24"/>
        <v>#N/A</v>
      </c>
      <c r="EL13" s="14" t="e">
        <f t="shared" ca="1" si="24"/>
        <v>#N/A</v>
      </c>
      <c r="EM13" s="14" t="e">
        <f t="shared" ca="1" si="24"/>
        <v>#N/A</v>
      </c>
      <c r="EN13" s="15" t="e">
        <f t="shared" ca="1" si="24"/>
        <v>#N/A</v>
      </c>
      <c r="EO13" s="16" t="e">
        <f t="shared" ca="1" si="24"/>
        <v>#N/A</v>
      </c>
      <c r="EP13" s="13" t="e">
        <f t="shared" ca="1" si="24"/>
        <v>#N/A</v>
      </c>
      <c r="EQ13" s="14" t="e">
        <f t="shared" ca="1" si="24"/>
        <v>#N/A</v>
      </c>
      <c r="ER13" s="14" t="e">
        <f t="shared" ca="1" si="24"/>
        <v>#N/A</v>
      </c>
      <c r="ES13" s="14" t="e">
        <f t="shared" ca="1" si="25"/>
        <v>#N/A</v>
      </c>
      <c r="ET13" s="14" t="e">
        <f t="shared" ca="1" si="25"/>
        <v>#N/A</v>
      </c>
      <c r="EU13" s="15" t="e">
        <f t="shared" ca="1" si="25"/>
        <v>#N/A</v>
      </c>
      <c r="EV13" s="16" t="e">
        <f t="shared" ca="1" si="25"/>
        <v>#N/A</v>
      </c>
      <c r="EW13" s="13" t="e">
        <f t="shared" ca="1" si="25"/>
        <v>#N/A</v>
      </c>
      <c r="EX13" s="14" t="e">
        <f t="shared" ca="1" si="25"/>
        <v>#N/A</v>
      </c>
      <c r="EY13" s="14" t="e">
        <f t="shared" ca="1" si="25"/>
        <v>#N/A</v>
      </c>
      <c r="EZ13" s="14" t="e">
        <f t="shared" ca="1" si="25"/>
        <v>#N/A</v>
      </c>
      <c r="FA13" s="14" t="e">
        <f t="shared" ca="1" si="25"/>
        <v>#N/A</v>
      </c>
      <c r="FB13" s="15" t="e">
        <f t="shared" ca="1" si="25"/>
        <v>#N/A</v>
      </c>
      <c r="FC13" s="16" t="e">
        <f t="shared" ca="1" si="25"/>
        <v>#N/A</v>
      </c>
    </row>
    <row r="14" spans="1:159" s="17" customFormat="1" ht="9.75" customHeight="1">
      <c r="A14" s="586"/>
      <c r="B14" s="22" t="s">
        <v>44</v>
      </c>
      <c r="C14" s="19" t="e">
        <f ca="1">IF((ROUNDDOWN(E13/7,0)*7+_xlfn.XLOOKUP(B7&amp;"-"&amp;"Next",'DATA BTO'!A:A,'DATA BTO'!G:G,"-",0))&lt;E13,(ROUNDDOWN(E13/7,0)*7+_xlfn.XLOOKUP(B7&amp;"-"&amp;"Next",'DATA BTO'!A:A,'DATA BTO'!G:G,"-",0))+7,(ROUNDDOWN(E13/7,0)*7+_xlfn.XLOOKUP(B7&amp;"-"&amp;"Next",'DATA BTO'!A:A,'DATA BTO'!G:G,"-",0)))</f>
        <v>#N/A</v>
      </c>
      <c r="D14" s="20">
        <v>0</v>
      </c>
      <c r="E14" s="19" t="e">
        <f ca="1">C14+D14</f>
        <v>#N/A</v>
      </c>
      <c r="F14" s="13" t="e">
        <f t="shared" ca="1" si="16"/>
        <v>#N/A</v>
      </c>
      <c r="G14" s="14" t="e">
        <f t="shared" ca="1" si="16"/>
        <v>#N/A</v>
      </c>
      <c r="H14" s="14" t="e">
        <f t="shared" ca="1" si="16"/>
        <v>#N/A</v>
      </c>
      <c r="I14" s="14" t="e">
        <f t="shared" ca="1" si="16"/>
        <v>#N/A</v>
      </c>
      <c r="J14" s="14" t="e">
        <f t="shared" ca="1" si="16"/>
        <v>#N/A</v>
      </c>
      <c r="K14" s="15" t="e">
        <f t="shared" ca="1" si="16"/>
        <v>#N/A</v>
      </c>
      <c r="L14" s="16" t="e">
        <f t="shared" ca="1" si="16"/>
        <v>#N/A</v>
      </c>
      <c r="M14" s="13" t="e">
        <f t="shared" ca="1" si="16"/>
        <v>#N/A</v>
      </c>
      <c r="N14" s="14" t="e">
        <f t="shared" ca="1" si="16"/>
        <v>#N/A</v>
      </c>
      <c r="O14" s="14" t="e">
        <f t="shared" ca="1" si="16"/>
        <v>#N/A</v>
      </c>
      <c r="P14" s="14" t="e">
        <f t="shared" ca="1" si="16"/>
        <v>#N/A</v>
      </c>
      <c r="Q14" s="14" t="e">
        <f t="shared" ca="1" si="16"/>
        <v>#N/A</v>
      </c>
      <c r="R14" s="15" t="e">
        <f t="shared" ca="1" si="16"/>
        <v>#N/A</v>
      </c>
      <c r="S14" s="16" t="e">
        <f t="shared" ca="1" si="16"/>
        <v>#N/A</v>
      </c>
      <c r="T14" s="13" t="e">
        <f t="shared" ca="1" si="16"/>
        <v>#N/A</v>
      </c>
      <c r="U14" s="14" t="e">
        <f t="shared" ca="1" si="16"/>
        <v>#N/A</v>
      </c>
      <c r="V14" s="14" t="e">
        <f t="shared" ca="1" si="16"/>
        <v>#N/A</v>
      </c>
      <c r="W14" s="14" t="e">
        <f t="shared" ca="1" si="16"/>
        <v>#N/A</v>
      </c>
      <c r="X14" s="14" t="e">
        <f t="shared" ca="1" si="16"/>
        <v>#N/A</v>
      </c>
      <c r="Y14" s="15" t="e">
        <f t="shared" ca="1" si="16"/>
        <v>#N/A</v>
      </c>
      <c r="Z14" s="16" t="e">
        <f t="shared" ca="1" si="16"/>
        <v>#N/A</v>
      </c>
      <c r="AA14" s="13" t="e">
        <f t="shared" ca="1" si="17"/>
        <v>#N/A</v>
      </c>
      <c r="AB14" s="14" t="e">
        <f t="shared" ca="1" si="17"/>
        <v>#N/A</v>
      </c>
      <c r="AC14" s="14" t="e">
        <f t="shared" ca="1" si="17"/>
        <v>#N/A</v>
      </c>
      <c r="AD14" s="14" t="e">
        <f t="shared" ca="1" si="17"/>
        <v>#N/A</v>
      </c>
      <c r="AE14" s="14" t="e">
        <f t="shared" ca="1" si="17"/>
        <v>#N/A</v>
      </c>
      <c r="AF14" s="15" t="e">
        <f t="shared" ca="1" si="17"/>
        <v>#N/A</v>
      </c>
      <c r="AG14" s="16" t="e">
        <f t="shared" ca="1" si="17"/>
        <v>#N/A</v>
      </c>
      <c r="AH14" s="13" t="e">
        <f t="shared" ca="1" si="17"/>
        <v>#N/A</v>
      </c>
      <c r="AI14" s="14" t="e">
        <f t="shared" ca="1" si="17"/>
        <v>#N/A</v>
      </c>
      <c r="AJ14" s="14" t="e">
        <f t="shared" ca="1" si="17"/>
        <v>#N/A</v>
      </c>
      <c r="AK14" s="14" t="e">
        <f t="shared" ca="1" si="17"/>
        <v>#N/A</v>
      </c>
      <c r="AL14" s="14" t="e">
        <f t="shared" ca="1" si="17"/>
        <v>#N/A</v>
      </c>
      <c r="AM14" s="15" t="e">
        <f t="shared" ca="1" si="17"/>
        <v>#N/A</v>
      </c>
      <c r="AN14" s="16" t="e">
        <f t="shared" ca="1" si="17"/>
        <v>#N/A</v>
      </c>
      <c r="AO14" s="13" t="e">
        <f t="shared" ca="1" si="17"/>
        <v>#N/A</v>
      </c>
      <c r="AP14" s="14" t="e">
        <f t="shared" ca="1" si="17"/>
        <v>#N/A</v>
      </c>
      <c r="AQ14" s="14" t="e">
        <f t="shared" ca="1" si="18"/>
        <v>#N/A</v>
      </c>
      <c r="AR14" s="14" t="e">
        <f t="shared" ca="1" si="18"/>
        <v>#N/A</v>
      </c>
      <c r="AS14" s="14" t="e">
        <f t="shared" ca="1" si="18"/>
        <v>#N/A</v>
      </c>
      <c r="AT14" s="15" t="e">
        <f t="shared" ca="1" si="18"/>
        <v>#N/A</v>
      </c>
      <c r="AU14" s="16" t="e">
        <f t="shared" ca="1" si="18"/>
        <v>#N/A</v>
      </c>
      <c r="AV14" s="13" t="e">
        <f t="shared" ca="1" si="18"/>
        <v>#N/A</v>
      </c>
      <c r="AW14" s="14" t="e">
        <f t="shared" ca="1" si="18"/>
        <v>#N/A</v>
      </c>
      <c r="AX14" s="14" t="e">
        <f t="shared" ca="1" si="18"/>
        <v>#N/A</v>
      </c>
      <c r="AY14" s="14" t="e">
        <f t="shared" ca="1" si="18"/>
        <v>#N/A</v>
      </c>
      <c r="AZ14" s="14" t="e">
        <f t="shared" ca="1" si="18"/>
        <v>#N/A</v>
      </c>
      <c r="BA14" s="15" t="e">
        <f t="shared" ca="1" si="18"/>
        <v>#N/A</v>
      </c>
      <c r="BB14" s="16" t="e">
        <f t="shared" ca="1" si="18"/>
        <v>#N/A</v>
      </c>
      <c r="BC14" s="13" t="e">
        <f t="shared" ca="1" si="18"/>
        <v>#N/A</v>
      </c>
      <c r="BD14" s="14" t="e">
        <f t="shared" ca="1" si="18"/>
        <v>#N/A</v>
      </c>
      <c r="BE14" s="14" t="e">
        <f t="shared" ca="1" si="18"/>
        <v>#N/A</v>
      </c>
      <c r="BF14" s="14" t="e">
        <f t="shared" ca="1" si="18"/>
        <v>#N/A</v>
      </c>
      <c r="BG14" s="14" t="e">
        <f t="shared" ca="1" si="19"/>
        <v>#N/A</v>
      </c>
      <c r="BH14" s="15" t="e">
        <f t="shared" ca="1" si="19"/>
        <v>#N/A</v>
      </c>
      <c r="BI14" s="16" t="e">
        <f t="shared" ca="1" si="19"/>
        <v>#N/A</v>
      </c>
      <c r="BJ14" s="13" t="e">
        <f t="shared" ca="1" si="19"/>
        <v>#N/A</v>
      </c>
      <c r="BK14" s="14" t="e">
        <f t="shared" ca="1" si="19"/>
        <v>#N/A</v>
      </c>
      <c r="BL14" s="14" t="e">
        <f t="shared" ca="1" si="19"/>
        <v>#N/A</v>
      </c>
      <c r="BM14" s="14" t="e">
        <f t="shared" ca="1" si="19"/>
        <v>#N/A</v>
      </c>
      <c r="BN14" s="14" t="e">
        <f t="shared" ca="1" si="19"/>
        <v>#N/A</v>
      </c>
      <c r="BO14" s="15" t="e">
        <f t="shared" ca="1" si="19"/>
        <v>#N/A</v>
      </c>
      <c r="BP14" s="16" t="e">
        <f t="shared" ca="1" si="19"/>
        <v>#N/A</v>
      </c>
      <c r="BQ14" s="13" t="e">
        <f t="shared" ca="1" si="19"/>
        <v>#N/A</v>
      </c>
      <c r="BR14" s="14" t="e">
        <f t="shared" ca="1" si="19"/>
        <v>#N/A</v>
      </c>
      <c r="BS14" s="14" t="e">
        <f t="shared" ca="1" si="19"/>
        <v>#N/A</v>
      </c>
      <c r="BT14" s="14" t="e">
        <f t="shared" ca="1" si="19"/>
        <v>#N/A</v>
      </c>
      <c r="BU14" s="14" t="e">
        <f t="shared" ca="1" si="19"/>
        <v>#N/A</v>
      </c>
      <c r="BV14" s="15" t="e">
        <f t="shared" ca="1" si="19"/>
        <v>#N/A</v>
      </c>
      <c r="BW14" s="16" t="e">
        <f t="shared" ca="1" si="20"/>
        <v>#N/A</v>
      </c>
      <c r="BX14" s="13" t="e">
        <f t="shared" ca="1" si="20"/>
        <v>#N/A</v>
      </c>
      <c r="BY14" s="14" t="e">
        <f t="shared" ca="1" si="20"/>
        <v>#N/A</v>
      </c>
      <c r="BZ14" s="14" t="e">
        <f t="shared" ca="1" si="20"/>
        <v>#N/A</v>
      </c>
      <c r="CA14" s="14" t="e">
        <f t="shared" ca="1" si="20"/>
        <v>#N/A</v>
      </c>
      <c r="CB14" s="14" t="e">
        <f t="shared" ca="1" si="20"/>
        <v>#N/A</v>
      </c>
      <c r="CC14" s="15" t="e">
        <f t="shared" ca="1" si="20"/>
        <v>#N/A</v>
      </c>
      <c r="CD14" s="16" t="e">
        <f t="shared" ca="1" si="20"/>
        <v>#N/A</v>
      </c>
      <c r="CE14" s="13" t="e">
        <f t="shared" ca="1" si="20"/>
        <v>#N/A</v>
      </c>
      <c r="CF14" s="14" t="e">
        <f t="shared" ca="1" si="20"/>
        <v>#N/A</v>
      </c>
      <c r="CG14" s="14" t="e">
        <f t="shared" ca="1" si="20"/>
        <v>#N/A</v>
      </c>
      <c r="CH14" s="14" t="e">
        <f t="shared" ca="1" si="20"/>
        <v>#N/A</v>
      </c>
      <c r="CI14" s="14" t="e">
        <f t="shared" ca="1" si="20"/>
        <v>#N/A</v>
      </c>
      <c r="CJ14" s="15" t="e">
        <f t="shared" ca="1" si="20"/>
        <v>#N/A</v>
      </c>
      <c r="CK14" s="16" t="e">
        <f t="shared" ca="1" si="20"/>
        <v>#N/A</v>
      </c>
      <c r="CL14" s="13" t="e">
        <f t="shared" ca="1" si="20"/>
        <v>#N/A</v>
      </c>
      <c r="CM14" s="14" t="e">
        <f t="shared" ca="1" si="21"/>
        <v>#N/A</v>
      </c>
      <c r="CN14" s="14" t="e">
        <f t="shared" ca="1" si="21"/>
        <v>#N/A</v>
      </c>
      <c r="CO14" s="14" t="e">
        <f t="shared" ca="1" si="21"/>
        <v>#N/A</v>
      </c>
      <c r="CP14" s="14" t="e">
        <f t="shared" ca="1" si="21"/>
        <v>#N/A</v>
      </c>
      <c r="CQ14" s="15" t="e">
        <f t="shared" ca="1" si="21"/>
        <v>#N/A</v>
      </c>
      <c r="CR14" s="16" t="e">
        <f t="shared" ca="1" si="21"/>
        <v>#N/A</v>
      </c>
      <c r="CS14" s="13" t="e">
        <f t="shared" ca="1" si="21"/>
        <v>#N/A</v>
      </c>
      <c r="CT14" s="14" t="e">
        <f t="shared" ca="1" si="21"/>
        <v>#N/A</v>
      </c>
      <c r="CU14" s="14" t="e">
        <f t="shared" ca="1" si="21"/>
        <v>#N/A</v>
      </c>
      <c r="CV14" s="14" t="e">
        <f t="shared" ca="1" si="21"/>
        <v>#N/A</v>
      </c>
      <c r="CW14" s="14" t="e">
        <f t="shared" ca="1" si="21"/>
        <v>#N/A</v>
      </c>
      <c r="CX14" s="15" t="e">
        <f t="shared" ca="1" si="21"/>
        <v>#N/A</v>
      </c>
      <c r="CY14" s="16" t="e">
        <f t="shared" ca="1" si="21"/>
        <v>#N/A</v>
      </c>
      <c r="CZ14" s="13" t="e">
        <f t="shared" ca="1" si="21"/>
        <v>#N/A</v>
      </c>
      <c r="DA14" s="14" t="e">
        <f t="shared" ca="1" si="21"/>
        <v>#N/A</v>
      </c>
      <c r="DB14" s="14" t="e">
        <f t="shared" ca="1" si="21"/>
        <v>#N/A</v>
      </c>
      <c r="DC14" s="14" t="e">
        <f t="shared" ca="1" si="22"/>
        <v>#N/A</v>
      </c>
      <c r="DD14" s="14" t="e">
        <f t="shared" ca="1" si="22"/>
        <v>#N/A</v>
      </c>
      <c r="DE14" s="15" t="e">
        <f t="shared" ca="1" si="22"/>
        <v>#N/A</v>
      </c>
      <c r="DF14" s="16" t="e">
        <f t="shared" ca="1" si="22"/>
        <v>#N/A</v>
      </c>
      <c r="DG14" s="13" t="e">
        <f t="shared" ca="1" si="22"/>
        <v>#N/A</v>
      </c>
      <c r="DH14" s="14" t="e">
        <f t="shared" ca="1" si="22"/>
        <v>#N/A</v>
      </c>
      <c r="DI14" s="14" t="e">
        <f t="shared" ca="1" si="22"/>
        <v>#N/A</v>
      </c>
      <c r="DJ14" s="14" t="e">
        <f t="shared" ca="1" si="22"/>
        <v>#N/A</v>
      </c>
      <c r="DK14" s="14" t="e">
        <f t="shared" ca="1" si="22"/>
        <v>#N/A</v>
      </c>
      <c r="DL14" s="15" t="e">
        <f t="shared" ca="1" si="22"/>
        <v>#N/A</v>
      </c>
      <c r="DM14" s="16" t="e">
        <f t="shared" ca="1" si="22"/>
        <v>#N/A</v>
      </c>
      <c r="DN14" s="13" t="e">
        <f t="shared" ca="1" si="22"/>
        <v>#N/A</v>
      </c>
      <c r="DO14" s="14" t="e">
        <f t="shared" ca="1" si="22"/>
        <v>#N/A</v>
      </c>
      <c r="DP14" s="14" t="e">
        <f t="shared" ca="1" si="22"/>
        <v>#N/A</v>
      </c>
      <c r="DQ14" s="14" t="e">
        <f t="shared" ca="1" si="22"/>
        <v>#N/A</v>
      </c>
      <c r="DR14" s="14" t="e">
        <f t="shared" ca="1" si="22"/>
        <v>#N/A</v>
      </c>
      <c r="DS14" s="15" t="e">
        <f t="shared" ca="1" si="22"/>
        <v>#N/A</v>
      </c>
      <c r="DT14" s="16" t="e">
        <f t="shared" ca="1" si="22"/>
        <v>#N/A</v>
      </c>
      <c r="DU14" s="13" t="e">
        <f t="shared" ca="1" si="23"/>
        <v>#N/A</v>
      </c>
      <c r="DV14" s="14" t="e">
        <f t="shared" ca="1" si="23"/>
        <v>#N/A</v>
      </c>
      <c r="DW14" s="14" t="e">
        <f t="shared" ca="1" si="23"/>
        <v>#N/A</v>
      </c>
      <c r="DX14" s="14" t="e">
        <f t="shared" ca="1" si="23"/>
        <v>#N/A</v>
      </c>
      <c r="DY14" s="14" t="e">
        <f t="shared" ca="1" si="23"/>
        <v>#N/A</v>
      </c>
      <c r="DZ14" s="15" t="e">
        <f t="shared" ca="1" si="23"/>
        <v>#N/A</v>
      </c>
      <c r="EA14" s="16" t="e">
        <f t="shared" ca="1" si="23"/>
        <v>#N/A</v>
      </c>
      <c r="EB14" s="13" t="e">
        <f t="shared" ca="1" si="23"/>
        <v>#N/A</v>
      </c>
      <c r="EC14" s="14" t="e">
        <f t="shared" ca="1" si="23"/>
        <v>#N/A</v>
      </c>
      <c r="ED14" s="14" t="e">
        <f t="shared" ca="1" si="23"/>
        <v>#N/A</v>
      </c>
      <c r="EE14" s="14" t="e">
        <f t="shared" ca="1" si="23"/>
        <v>#N/A</v>
      </c>
      <c r="EF14" s="14" t="e">
        <f t="shared" ca="1" si="23"/>
        <v>#N/A</v>
      </c>
      <c r="EG14" s="15" t="e">
        <f t="shared" ca="1" si="23"/>
        <v>#N/A</v>
      </c>
      <c r="EH14" s="16" t="e">
        <f t="shared" ca="1" si="23"/>
        <v>#N/A</v>
      </c>
      <c r="EI14" s="13" t="e">
        <f t="shared" ca="1" si="24"/>
        <v>#N/A</v>
      </c>
      <c r="EJ14" s="14" t="e">
        <f t="shared" ca="1" si="24"/>
        <v>#N/A</v>
      </c>
      <c r="EK14" s="14" t="e">
        <f t="shared" ca="1" si="24"/>
        <v>#N/A</v>
      </c>
      <c r="EL14" s="14" t="e">
        <f t="shared" ca="1" si="24"/>
        <v>#N/A</v>
      </c>
      <c r="EM14" s="14" t="e">
        <f t="shared" ca="1" si="24"/>
        <v>#N/A</v>
      </c>
      <c r="EN14" s="15" t="e">
        <f t="shared" ca="1" si="24"/>
        <v>#N/A</v>
      </c>
      <c r="EO14" s="16" t="e">
        <f t="shared" ca="1" si="24"/>
        <v>#N/A</v>
      </c>
      <c r="EP14" s="13" t="e">
        <f t="shared" ca="1" si="24"/>
        <v>#N/A</v>
      </c>
      <c r="EQ14" s="14" t="e">
        <f t="shared" ca="1" si="24"/>
        <v>#N/A</v>
      </c>
      <c r="ER14" s="14" t="e">
        <f t="shared" ca="1" si="24"/>
        <v>#N/A</v>
      </c>
      <c r="ES14" s="14" t="e">
        <f t="shared" ca="1" si="25"/>
        <v>#N/A</v>
      </c>
      <c r="ET14" s="14" t="e">
        <f t="shared" ca="1" si="25"/>
        <v>#N/A</v>
      </c>
      <c r="EU14" s="15" t="e">
        <f t="shared" ca="1" si="25"/>
        <v>#N/A</v>
      </c>
      <c r="EV14" s="16" t="e">
        <f t="shared" ca="1" si="25"/>
        <v>#N/A</v>
      </c>
      <c r="EW14" s="13" t="e">
        <f t="shared" ca="1" si="25"/>
        <v>#N/A</v>
      </c>
      <c r="EX14" s="14" t="e">
        <f t="shared" ca="1" si="25"/>
        <v>#N/A</v>
      </c>
      <c r="EY14" s="14" t="e">
        <f t="shared" ca="1" si="25"/>
        <v>#N/A</v>
      </c>
      <c r="EZ14" s="14" t="e">
        <f t="shared" ca="1" si="25"/>
        <v>#N/A</v>
      </c>
      <c r="FA14" s="14" t="e">
        <f t="shared" ca="1" si="25"/>
        <v>#N/A</v>
      </c>
      <c r="FB14" s="15" t="e">
        <f t="shared" ca="1" si="25"/>
        <v>#N/A</v>
      </c>
      <c r="FC14" s="16" t="e">
        <f t="shared" ca="1" si="25"/>
        <v>#N/A</v>
      </c>
    </row>
    <row r="15" spans="1:159" s="17" customFormat="1" ht="9.75" customHeight="1">
      <c r="A15" s="586"/>
      <c r="B15" s="22" t="s">
        <v>45</v>
      </c>
      <c r="C15" s="19" t="e">
        <f ca="1">E14+_xlfn.XLOOKUP(B7&amp;"-"&amp;"Next",'DATA BTO'!A:A,'DATA BTO'!H:H,"-",0)-_xlfn.XLOOKUP(B7&amp;"-"&amp;"Next",'DATA BTO'!A:A,'DATA BTO'!G:G,"-",0)</f>
        <v>#N/A</v>
      </c>
      <c r="D15" s="20">
        <v>0</v>
      </c>
      <c r="E15" s="19" t="e">
        <f ca="1">C15+D15</f>
        <v>#N/A</v>
      </c>
      <c r="F15" s="13" t="e">
        <f t="shared" ca="1" si="16"/>
        <v>#N/A</v>
      </c>
      <c r="G15" s="14" t="e">
        <f t="shared" ca="1" si="16"/>
        <v>#N/A</v>
      </c>
      <c r="H15" s="14" t="e">
        <f t="shared" ca="1" si="16"/>
        <v>#N/A</v>
      </c>
      <c r="I15" s="14" t="e">
        <f t="shared" ca="1" si="16"/>
        <v>#N/A</v>
      </c>
      <c r="J15" s="14" t="e">
        <f t="shared" ca="1" si="16"/>
        <v>#N/A</v>
      </c>
      <c r="K15" s="15" t="e">
        <f t="shared" ca="1" si="16"/>
        <v>#N/A</v>
      </c>
      <c r="L15" s="16" t="e">
        <f t="shared" ca="1" si="16"/>
        <v>#N/A</v>
      </c>
      <c r="M15" s="13" t="e">
        <f t="shared" ca="1" si="16"/>
        <v>#N/A</v>
      </c>
      <c r="N15" s="14" t="e">
        <f t="shared" ca="1" si="16"/>
        <v>#N/A</v>
      </c>
      <c r="O15" s="14" t="e">
        <f t="shared" ca="1" si="16"/>
        <v>#N/A</v>
      </c>
      <c r="P15" s="14" t="e">
        <f t="shared" ca="1" si="16"/>
        <v>#N/A</v>
      </c>
      <c r="Q15" s="14" t="e">
        <f t="shared" ca="1" si="16"/>
        <v>#N/A</v>
      </c>
      <c r="R15" s="15" t="e">
        <f t="shared" ca="1" si="16"/>
        <v>#N/A</v>
      </c>
      <c r="S15" s="16" t="e">
        <f t="shared" ca="1" si="16"/>
        <v>#N/A</v>
      </c>
      <c r="T15" s="13" t="e">
        <f t="shared" ca="1" si="16"/>
        <v>#N/A</v>
      </c>
      <c r="U15" s="14" t="e">
        <f t="shared" ca="1" si="16"/>
        <v>#N/A</v>
      </c>
      <c r="V15" s="14" t="e">
        <f t="shared" ca="1" si="16"/>
        <v>#N/A</v>
      </c>
      <c r="W15" s="14" t="e">
        <f t="shared" ca="1" si="16"/>
        <v>#N/A</v>
      </c>
      <c r="X15" s="14" t="e">
        <f t="shared" ca="1" si="16"/>
        <v>#N/A</v>
      </c>
      <c r="Y15" s="15" t="e">
        <f t="shared" ca="1" si="16"/>
        <v>#N/A</v>
      </c>
      <c r="Z15" s="16" t="e">
        <f t="shared" ca="1" si="16"/>
        <v>#N/A</v>
      </c>
      <c r="AA15" s="13" t="e">
        <f t="shared" ca="1" si="17"/>
        <v>#N/A</v>
      </c>
      <c r="AB15" s="14" t="e">
        <f t="shared" ca="1" si="17"/>
        <v>#N/A</v>
      </c>
      <c r="AC15" s="14" t="e">
        <f t="shared" ca="1" si="17"/>
        <v>#N/A</v>
      </c>
      <c r="AD15" s="14" t="e">
        <f t="shared" ca="1" si="17"/>
        <v>#N/A</v>
      </c>
      <c r="AE15" s="14" t="e">
        <f t="shared" ca="1" si="17"/>
        <v>#N/A</v>
      </c>
      <c r="AF15" s="15" t="e">
        <f t="shared" ca="1" si="17"/>
        <v>#N/A</v>
      </c>
      <c r="AG15" s="16" t="e">
        <f t="shared" ca="1" si="17"/>
        <v>#N/A</v>
      </c>
      <c r="AH15" s="13" t="e">
        <f t="shared" ca="1" si="17"/>
        <v>#N/A</v>
      </c>
      <c r="AI15" s="14" t="e">
        <f t="shared" ca="1" si="17"/>
        <v>#N/A</v>
      </c>
      <c r="AJ15" s="14" t="e">
        <f t="shared" ca="1" si="17"/>
        <v>#N/A</v>
      </c>
      <c r="AK15" s="14" t="e">
        <f t="shared" ca="1" si="17"/>
        <v>#N/A</v>
      </c>
      <c r="AL15" s="14" t="e">
        <f t="shared" ca="1" si="17"/>
        <v>#N/A</v>
      </c>
      <c r="AM15" s="15" t="e">
        <f t="shared" ca="1" si="17"/>
        <v>#N/A</v>
      </c>
      <c r="AN15" s="16" t="e">
        <f t="shared" ca="1" si="17"/>
        <v>#N/A</v>
      </c>
      <c r="AO15" s="13" t="e">
        <f t="shared" ca="1" si="17"/>
        <v>#N/A</v>
      </c>
      <c r="AP15" s="14" t="e">
        <f t="shared" ca="1" si="17"/>
        <v>#N/A</v>
      </c>
      <c r="AQ15" s="14" t="e">
        <f t="shared" ca="1" si="18"/>
        <v>#N/A</v>
      </c>
      <c r="AR15" s="14" t="e">
        <f t="shared" ca="1" si="18"/>
        <v>#N/A</v>
      </c>
      <c r="AS15" s="14" t="e">
        <f t="shared" ca="1" si="18"/>
        <v>#N/A</v>
      </c>
      <c r="AT15" s="15" t="e">
        <f t="shared" ca="1" si="18"/>
        <v>#N/A</v>
      </c>
      <c r="AU15" s="16" t="e">
        <f t="shared" ca="1" si="18"/>
        <v>#N/A</v>
      </c>
      <c r="AV15" s="13" t="e">
        <f t="shared" ca="1" si="18"/>
        <v>#N/A</v>
      </c>
      <c r="AW15" s="14" t="e">
        <f t="shared" ca="1" si="18"/>
        <v>#N/A</v>
      </c>
      <c r="AX15" s="14" t="e">
        <f t="shared" ca="1" si="18"/>
        <v>#N/A</v>
      </c>
      <c r="AY15" s="14" t="e">
        <f t="shared" ca="1" si="18"/>
        <v>#N/A</v>
      </c>
      <c r="AZ15" s="14" t="e">
        <f t="shared" ca="1" si="18"/>
        <v>#N/A</v>
      </c>
      <c r="BA15" s="15" t="e">
        <f t="shared" ca="1" si="18"/>
        <v>#N/A</v>
      </c>
      <c r="BB15" s="16" t="e">
        <f t="shared" ca="1" si="18"/>
        <v>#N/A</v>
      </c>
      <c r="BC15" s="13" t="e">
        <f t="shared" ca="1" si="18"/>
        <v>#N/A</v>
      </c>
      <c r="BD15" s="14" t="e">
        <f t="shared" ca="1" si="18"/>
        <v>#N/A</v>
      </c>
      <c r="BE15" s="14" t="e">
        <f t="shared" ca="1" si="18"/>
        <v>#N/A</v>
      </c>
      <c r="BF15" s="14" t="e">
        <f t="shared" ca="1" si="18"/>
        <v>#N/A</v>
      </c>
      <c r="BG15" s="14" t="e">
        <f t="shared" ca="1" si="19"/>
        <v>#N/A</v>
      </c>
      <c r="BH15" s="15" t="e">
        <f t="shared" ca="1" si="19"/>
        <v>#N/A</v>
      </c>
      <c r="BI15" s="16" t="e">
        <f t="shared" ca="1" si="19"/>
        <v>#N/A</v>
      </c>
      <c r="BJ15" s="13" t="e">
        <f t="shared" ca="1" si="19"/>
        <v>#N/A</v>
      </c>
      <c r="BK15" s="14" t="e">
        <f t="shared" ca="1" si="19"/>
        <v>#N/A</v>
      </c>
      <c r="BL15" s="14" t="e">
        <f t="shared" ca="1" si="19"/>
        <v>#N/A</v>
      </c>
      <c r="BM15" s="14" t="e">
        <f t="shared" ca="1" si="19"/>
        <v>#N/A</v>
      </c>
      <c r="BN15" s="14" t="e">
        <f t="shared" ca="1" si="19"/>
        <v>#N/A</v>
      </c>
      <c r="BO15" s="15" t="e">
        <f t="shared" ca="1" si="19"/>
        <v>#N/A</v>
      </c>
      <c r="BP15" s="16" t="e">
        <f t="shared" ca="1" si="19"/>
        <v>#N/A</v>
      </c>
      <c r="BQ15" s="13" t="e">
        <f t="shared" ca="1" si="19"/>
        <v>#N/A</v>
      </c>
      <c r="BR15" s="14" t="e">
        <f t="shared" ca="1" si="19"/>
        <v>#N/A</v>
      </c>
      <c r="BS15" s="14" t="e">
        <f t="shared" ca="1" si="19"/>
        <v>#N/A</v>
      </c>
      <c r="BT15" s="14" t="e">
        <f t="shared" ca="1" si="19"/>
        <v>#N/A</v>
      </c>
      <c r="BU15" s="14" t="e">
        <f t="shared" ca="1" si="19"/>
        <v>#N/A</v>
      </c>
      <c r="BV15" s="15" t="e">
        <f t="shared" ca="1" si="19"/>
        <v>#N/A</v>
      </c>
      <c r="BW15" s="16" t="e">
        <f t="shared" ca="1" si="20"/>
        <v>#N/A</v>
      </c>
      <c r="BX15" s="13" t="e">
        <f t="shared" ca="1" si="20"/>
        <v>#N/A</v>
      </c>
      <c r="BY15" s="14" t="e">
        <f t="shared" ca="1" si="20"/>
        <v>#N/A</v>
      </c>
      <c r="BZ15" s="14" t="e">
        <f t="shared" ca="1" si="20"/>
        <v>#N/A</v>
      </c>
      <c r="CA15" s="14" t="e">
        <f t="shared" ca="1" si="20"/>
        <v>#N/A</v>
      </c>
      <c r="CB15" s="14" t="e">
        <f t="shared" ca="1" si="20"/>
        <v>#N/A</v>
      </c>
      <c r="CC15" s="15" t="e">
        <f t="shared" ca="1" si="20"/>
        <v>#N/A</v>
      </c>
      <c r="CD15" s="16" t="e">
        <f t="shared" ca="1" si="20"/>
        <v>#N/A</v>
      </c>
      <c r="CE15" s="13" t="e">
        <f t="shared" ca="1" si="20"/>
        <v>#N/A</v>
      </c>
      <c r="CF15" s="14" t="e">
        <f t="shared" ca="1" si="20"/>
        <v>#N/A</v>
      </c>
      <c r="CG15" s="14" t="e">
        <f t="shared" ca="1" si="20"/>
        <v>#N/A</v>
      </c>
      <c r="CH15" s="14" t="e">
        <f t="shared" ca="1" si="20"/>
        <v>#N/A</v>
      </c>
      <c r="CI15" s="14" t="e">
        <f t="shared" ca="1" si="20"/>
        <v>#N/A</v>
      </c>
      <c r="CJ15" s="15" t="e">
        <f t="shared" ca="1" si="20"/>
        <v>#N/A</v>
      </c>
      <c r="CK15" s="16" t="e">
        <f t="shared" ca="1" si="20"/>
        <v>#N/A</v>
      </c>
      <c r="CL15" s="13" t="e">
        <f t="shared" ca="1" si="20"/>
        <v>#N/A</v>
      </c>
      <c r="CM15" s="14" t="e">
        <f t="shared" ca="1" si="21"/>
        <v>#N/A</v>
      </c>
      <c r="CN15" s="14" t="e">
        <f t="shared" ca="1" si="21"/>
        <v>#N/A</v>
      </c>
      <c r="CO15" s="14" t="e">
        <f t="shared" ca="1" si="21"/>
        <v>#N/A</v>
      </c>
      <c r="CP15" s="14" t="e">
        <f t="shared" ca="1" si="21"/>
        <v>#N/A</v>
      </c>
      <c r="CQ15" s="15" t="e">
        <f t="shared" ca="1" si="21"/>
        <v>#N/A</v>
      </c>
      <c r="CR15" s="16" t="e">
        <f t="shared" ca="1" si="21"/>
        <v>#N/A</v>
      </c>
      <c r="CS15" s="13" t="e">
        <f t="shared" ca="1" si="21"/>
        <v>#N/A</v>
      </c>
      <c r="CT15" s="14" t="e">
        <f t="shared" ca="1" si="21"/>
        <v>#N/A</v>
      </c>
      <c r="CU15" s="14" t="e">
        <f t="shared" ca="1" si="21"/>
        <v>#N/A</v>
      </c>
      <c r="CV15" s="14" t="e">
        <f t="shared" ca="1" si="21"/>
        <v>#N/A</v>
      </c>
      <c r="CW15" s="14" t="e">
        <f t="shared" ca="1" si="21"/>
        <v>#N/A</v>
      </c>
      <c r="CX15" s="15" t="e">
        <f t="shared" ca="1" si="21"/>
        <v>#N/A</v>
      </c>
      <c r="CY15" s="16" t="e">
        <f t="shared" ca="1" si="21"/>
        <v>#N/A</v>
      </c>
      <c r="CZ15" s="13" t="e">
        <f t="shared" ca="1" si="21"/>
        <v>#N/A</v>
      </c>
      <c r="DA15" s="14" t="e">
        <f t="shared" ca="1" si="21"/>
        <v>#N/A</v>
      </c>
      <c r="DB15" s="14" t="e">
        <f t="shared" ca="1" si="21"/>
        <v>#N/A</v>
      </c>
      <c r="DC15" s="14" t="e">
        <f t="shared" ca="1" si="22"/>
        <v>#N/A</v>
      </c>
      <c r="DD15" s="14" t="e">
        <f t="shared" ca="1" si="22"/>
        <v>#N/A</v>
      </c>
      <c r="DE15" s="15" t="e">
        <f t="shared" ca="1" si="22"/>
        <v>#N/A</v>
      </c>
      <c r="DF15" s="16" t="e">
        <f t="shared" ca="1" si="22"/>
        <v>#N/A</v>
      </c>
      <c r="DG15" s="13" t="e">
        <f t="shared" ca="1" si="22"/>
        <v>#N/A</v>
      </c>
      <c r="DH15" s="14" t="e">
        <f t="shared" ca="1" si="22"/>
        <v>#N/A</v>
      </c>
      <c r="DI15" s="14" t="e">
        <f t="shared" ca="1" si="22"/>
        <v>#N/A</v>
      </c>
      <c r="DJ15" s="14" t="e">
        <f t="shared" ca="1" si="22"/>
        <v>#N/A</v>
      </c>
      <c r="DK15" s="14" t="e">
        <f t="shared" ca="1" si="22"/>
        <v>#N/A</v>
      </c>
      <c r="DL15" s="15" t="e">
        <f t="shared" ca="1" si="22"/>
        <v>#N/A</v>
      </c>
      <c r="DM15" s="16" t="e">
        <f t="shared" ca="1" si="22"/>
        <v>#N/A</v>
      </c>
      <c r="DN15" s="13" t="e">
        <f t="shared" ca="1" si="22"/>
        <v>#N/A</v>
      </c>
      <c r="DO15" s="14" t="e">
        <f t="shared" ca="1" si="22"/>
        <v>#N/A</v>
      </c>
      <c r="DP15" s="14" t="e">
        <f t="shared" ca="1" si="22"/>
        <v>#N/A</v>
      </c>
      <c r="DQ15" s="14" t="e">
        <f t="shared" ca="1" si="22"/>
        <v>#N/A</v>
      </c>
      <c r="DR15" s="14" t="e">
        <f t="shared" ca="1" si="22"/>
        <v>#N/A</v>
      </c>
      <c r="DS15" s="15" t="e">
        <f t="shared" ca="1" si="22"/>
        <v>#N/A</v>
      </c>
      <c r="DT15" s="16" t="e">
        <f t="shared" ca="1" si="22"/>
        <v>#N/A</v>
      </c>
      <c r="DU15" s="13" t="e">
        <f t="shared" ca="1" si="23"/>
        <v>#N/A</v>
      </c>
      <c r="DV15" s="14" t="e">
        <f t="shared" ca="1" si="23"/>
        <v>#N/A</v>
      </c>
      <c r="DW15" s="14" t="e">
        <f t="shared" ca="1" si="23"/>
        <v>#N/A</v>
      </c>
      <c r="DX15" s="14" t="e">
        <f t="shared" ca="1" si="23"/>
        <v>#N/A</v>
      </c>
      <c r="DY15" s="14" t="e">
        <f t="shared" ca="1" si="23"/>
        <v>#N/A</v>
      </c>
      <c r="DZ15" s="15" t="e">
        <f t="shared" ca="1" si="23"/>
        <v>#N/A</v>
      </c>
      <c r="EA15" s="16" t="e">
        <f t="shared" ca="1" si="23"/>
        <v>#N/A</v>
      </c>
      <c r="EB15" s="13" t="e">
        <f t="shared" ca="1" si="23"/>
        <v>#N/A</v>
      </c>
      <c r="EC15" s="14" t="e">
        <f t="shared" ca="1" si="23"/>
        <v>#N/A</v>
      </c>
      <c r="ED15" s="14" t="e">
        <f t="shared" ca="1" si="23"/>
        <v>#N/A</v>
      </c>
      <c r="EE15" s="14" t="e">
        <f t="shared" ca="1" si="23"/>
        <v>#N/A</v>
      </c>
      <c r="EF15" s="14" t="e">
        <f t="shared" ca="1" si="23"/>
        <v>#N/A</v>
      </c>
      <c r="EG15" s="15" t="e">
        <f t="shared" ca="1" si="23"/>
        <v>#N/A</v>
      </c>
      <c r="EH15" s="16" t="e">
        <f t="shared" ca="1" si="23"/>
        <v>#N/A</v>
      </c>
      <c r="EI15" s="13" t="e">
        <f t="shared" ca="1" si="24"/>
        <v>#N/A</v>
      </c>
      <c r="EJ15" s="14" t="e">
        <f t="shared" ca="1" si="24"/>
        <v>#N/A</v>
      </c>
      <c r="EK15" s="14" t="e">
        <f t="shared" ca="1" si="24"/>
        <v>#N/A</v>
      </c>
      <c r="EL15" s="14" t="e">
        <f t="shared" ca="1" si="24"/>
        <v>#N/A</v>
      </c>
      <c r="EM15" s="14" t="e">
        <f t="shared" ca="1" si="24"/>
        <v>#N/A</v>
      </c>
      <c r="EN15" s="15" t="e">
        <f t="shared" ca="1" si="24"/>
        <v>#N/A</v>
      </c>
      <c r="EO15" s="16" t="e">
        <f t="shared" ca="1" si="24"/>
        <v>#N/A</v>
      </c>
      <c r="EP15" s="13" t="e">
        <f t="shared" ca="1" si="24"/>
        <v>#N/A</v>
      </c>
      <c r="EQ15" s="14" t="e">
        <f t="shared" ca="1" si="24"/>
        <v>#N/A</v>
      </c>
      <c r="ER15" s="14" t="e">
        <f t="shared" ca="1" si="24"/>
        <v>#N/A</v>
      </c>
      <c r="ES15" s="14" t="e">
        <f t="shared" ca="1" si="25"/>
        <v>#N/A</v>
      </c>
      <c r="ET15" s="14" t="e">
        <f t="shared" ca="1" si="25"/>
        <v>#N/A</v>
      </c>
      <c r="EU15" s="15" t="e">
        <f t="shared" ca="1" si="25"/>
        <v>#N/A</v>
      </c>
      <c r="EV15" s="16" t="e">
        <f t="shared" ca="1" si="25"/>
        <v>#N/A</v>
      </c>
      <c r="EW15" s="13" t="e">
        <f t="shared" ca="1" si="25"/>
        <v>#N/A</v>
      </c>
      <c r="EX15" s="14" t="e">
        <f t="shared" ca="1" si="25"/>
        <v>#N/A</v>
      </c>
      <c r="EY15" s="14" t="e">
        <f t="shared" ca="1" si="25"/>
        <v>#N/A</v>
      </c>
      <c r="EZ15" s="14" t="e">
        <f t="shared" ca="1" si="25"/>
        <v>#N/A</v>
      </c>
      <c r="FA15" s="14" t="e">
        <f t="shared" ca="1" si="25"/>
        <v>#N/A</v>
      </c>
      <c r="FB15" s="15" t="e">
        <f t="shared" ca="1" si="25"/>
        <v>#N/A</v>
      </c>
      <c r="FC15" s="16" t="e">
        <f t="shared" ca="1" si="25"/>
        <v>#N/A</v>
      </c>
    </row>
    <row r="16" spans="1:159" s="17" customFormat="1" ht="9.75" customHeight="1">
      <c r="A16" s="586"/>
      <c r="B16" s="23" t="s">
        <v>46</v>
      </c>
      <c r="C16" s="19" t="e">
        <f ca="1">E15</f>
        <v>#N/A</v>
      </c>
      <c r="D16" s="19" t="str">
        <f ca="1">_xlfn.XLOOKUP(B7&amp;"-"&amp;"Next",'DATA BTO'!A:A,'DATA BTO'!I:I,"-",0)</f>
        <v>-</v>
      </c>
      <c r="E16" s="19" t="e">
        <f t="shared" ca="1" si="26"/>
        <v>#N/A</v>
      </c>
      <c r="F16" s="13" t="e">
        <f t="shared" ca="1" si="16"/>
        <v>#N/A</v>
      </c>
      <c r="G16" s="14" t="e">
        <f t="shared" ca="1" si="16"/>
        <v>#N/A</v>
      </c>
      <c r="H16" s="14" t="e">
        <f t="shared" ca="1" si="16"/>
        <v>#N/A</v>
      </c>
      <c r="I16" s="14" t="e">
        <f t="shared" ca="1" si="16"/>
        <v>#N/A</v>
      </c>
      <c r="J16" s="14" t="e">
        <f t="shared" ca="1" si="16"/>
        <v>#N/A</v>
      </c>
      <c r="K16" s="15" t="e">
        <f t="shared" ca="1" si="16"/>
        <v>#N/A</v>
      </c>
      <c r="L16" s="16" t="e">
        <f t="shared" ca="1" si="16"/>
        <v>#N/A</v>
      </c>
      <c r="M16" s="13" t="e">
        <f t="shared" ca="1" si="16"/>
        <v>#N/A</v>
      </c>
      <c r="N16" s="14" t="e">
        <f t="shared" ca="1" si="16"/>
        <v>#N/A</v>
      </c>
      <c r="O16" s="14" t="e">
        <f t="shared" ca="1" si="16"/>
        <v>#N/A</v>
      </c>
      <c r="P16" s="14" t="e">
        <f t="shared" ca="1" si="16"/>
        <v>#N/A</v>
      </c>
      <c r="Q16" s="14" t="e">
        <f t="shared" ca="1" si="16"/>
        <v>#N/A</v>
      </c>
      <c r="R16" s="15" t="e">
        <f t="shared" ca="1" si="16"/>
        <v>#N/A</v>
      </c>
      <c r="S16" s="16" t="e">
        <f t="shared" ca="1" si="16"/>
        <v>#N/A</v>
      </c>
      <c r="T16" s="13" t="e">
        <f t="shared" ca="1" si="16"/>
        <v>#N/A</v>
      </c>
      <c r="U16" s="14" t="e">
        <f t="shared" ca="1" si="16"/>
        <v>#N/A</v>
      </c>
      <c r="V16" s="14" t="e">
        <f t="shared" ca="1" si="16"/>
        <v>#N/A</v>
      </c>
      <c r="W16" s="14" t="e">
        <f t="shared" ca="1" si="16"/>
        <v>#N/A</v>
      </c>
      <c r="X16" s="14" t="e">
        <f t="shared" ca="1" si="16"/>
        <v>#N/A</v>
      </c>
      <c r="Y16" s="15" t="e">
        <f t="shared" ca="1" si="16"/>
        <v>#N/A</v>
      </c>
      <c r="Z16" s="16" t="e">
        <f t="shared" ca="1" si="16"/>
        <v>#N/A</v>
      </c>
      <c r="AA16" s="13" t="e">
        <f t="shared" ca="1" si="17"/>
        <v>#N/A</v>
      </c>
      <c r="AB16" s="14" t="e">
        <f t="shared" ca="1" si="17"/>
        <v>#N/A</v>
      </c>
      <c r="AC16" s="14" t="e">
        <f t="shared" ca="1" si="17"/>
        <v>#N/A</v>
      </c>
      <c r="AD16" s="14" t="e">
        <f t="shared" ca="1" si="17"/>
        <v>#N/A</v>
      </c>
      <c r="AE16" s="14" t="e">
        <f t="shared" ca="1" si="17"/>
        <v>#N/A</v>
      </c>
      <c r="AF16" s="15" t="e">
        <f t="shared" ca="1" si="17"/>
        <v>#N/A</v>
      </c>
      <c r="AG16" s="16" t="e">
        <f t="shared" ca="1" si="17"/>
        <v>#N/A</v>
      </c>
      <c r="AH16" s="13" t="e">
        <f t="shared" ca="1" si="17"/>
        <v>#N/A</v>
      </c>
      <c r="AI16" s="14" t="e">
        <f t="shared" ca="1" si="17"/>
        <v>#N/A</v>
      </c>
      <c r="AJ16" s="14" t="e">
        <f t="shared" ca="1" si="17"/>
        <v>#N/A</v>
      </c>
      <c r="AK16" s="14" t="e">
        <f t="shared" ca="1" si="17"/>
        <v>#N/A</v>
      </c>
      <c r="AL16" s="14" t="e">
        <f t="shared" ca="1" si="17"/>
        <v>#N/A</v>
      </c>
      <c r="AM16" s="15" t="e">
        <f t="shared" ca="1" si="17"/>
        <v>#N/A</v>
      </c>
      <c r="AN16" s="16" t="e">
        <f t="shared" ca="1" si="17"/>
        <v>#N/A</v>
      </c>
      <c r="AO16" s="13" t="e">
        <f t="shared" ca="1" si="17"/>
        <v>#N/A</v>
      </c>
      <c r="AP16" s="14" t="e">
        <f t="shared" ca="1" si="17"/>
        <v>#N/A</v>
      </c>
      <c r="AQ16" s="14" t="e">
        <f t="shared" ca="1" si="18"/>
        <v>#N/A</v>
      </c>
      <c r="AR16" s="14" t="e">
        <f t="shared" ca="1" si="18"/>
        <v>#N/A</v>
      </c>
      <c r="AS16" s="14" t="e">
        <f t="shared" ca="1" si="18"/>
        <v>#N/A</v>
      </c>
      <c r="AT16" s="15" t="e">
        <f t="shared" ca="1" si="18"/>
        <v>#N/A</v>
      </c>
      <c r="AU16" s="16" t="e">
        <f t="shared" ca="1" si="18"/>
        <v>#N/A</v>
      </c>
      <c r="AV16" s="13" t="e">
        <f t="shared" ca="1" si="18"/>
        <v>#N/A</v>
      </c>
      <c r="AW16" s="14" t="e">
        <f t="shared" ca="1" si="18"/>
        <v>#N/A</v>
      </c>
      <c r="AX16" s="14" t="e">
        <f t="shared" ca="1" si="18"/>
        <v>#N/A</v>
      </c>
      <c r="AY16" s="14" t="e">
        <f t="shared" ca="1" si="18"/>
        <v>#N/A</v>
      </c>
      <c r="AZ16" s="14" t="e">
        <f t="shared" ca="1" si="18"/>
        <v>#N/A</v>
      </c>
      <c r="BA16" s="15" t="e">
        <f t="shared" ca="1" si="18"/>
        <v>#N/A</v>
      </c>
      <c r="BB16" s="16" t="e">
        <f t="shared" ca="1" si="18"/>
        <v>#N/A</v>
      </c>
      <c r="BC16" s="13" t="e">
        <f t="shared" ca="1" si="18"/>
        <v>#N/A</v>
      </c>
      <c r="BD16" s="14" t="e">
        <f t="shared" ca="1" si="18"/>
        <v>#N/A</v>
      </c>
      <c r="BE16" s="14" t="e">
        <f t="shared" ca="1" si="18"/>
        <v>#N/A</v>
      </c>
      <c r="BF16" s="14" t="e">
        <f t="shared" ca="1" si="18"/>
        <v>#N/A</v>
      </c>
      <c r="BG16" s="14" t="e">
        <f t="shared" ca="1" si="19"/>
        <v>#N/A</v>
      </c>
      <c r="BH16" s="15" t="e">
        <f t="shared" ca="1" si="19"/>
        <v>#N/A</v>
      </c>
      <c r="BI16" s="16" t="e">
        <f t="shared" ca="1" si="19"/>
        <v>#N/A</v>
      </c>
      <c r="BJ16" s="13" t="e">
        <f t="shared" ca="1" si="19"/>
        <v>#N/A</v>
      </c>
      <c r="BK16" s="14" t="e">
        <f t="shared" ca="1" si="19"/>
        <v>#N/A</v>
      </c>
      <c r="BL16" s="14" t="e">
        <f t="shared" ca="1" si="19"/>
        <v>#N/A</v>
      </c>
      <c r="BM16" s="14" t="e">
        <f t="shared" ca="1" si="19"/>
        <v>#N/A</v>
      </c>
      <c r="BN16" s="14" t="e">
        <f t="shared" ca="1" si="19"/>
        <v>#N/A</v>
      </c>
      <c r="BO16" s="15" t="e">
        <f t="shared" ca="1" si="19"/>
        <v>#N/A</v>
      </c>
      <c r="BP16" s="16" t="e">
        <f t="shared" ca="1" si="19"/>
        <v>#N/A</v>
      </c>
      <c r="BQ16" s="13" t="e">
        <f t="shared" ca="1" si="19"/>
        <v>#N/A</v>
      </c>
      <c r="BR16" s="14" t="e">
        <f t="shared" ca="1" si="19"/>
        <v>#N/A</v>
      </c>
      <c r="BS16" s="14" t="e">
        <f t="shared" ca="1" si="19"/>
        <v>#N/A</v>
      </c>
      <c r="BT16" s="14" t="e">
        <f t="shared" ca="1" si="19"/>
        <v>#N/A</v>
      </c>
      <c r="BU16" s="14" t="e">
        <f t="shared" ca="1" si="19"/>
        <v>#N/A</v>
      </c>
      <c r="BV16" s="15" t="e">
        <f t="shared" ca="1" si="19"/>
        <v>#N/A</v>
      </c>
      <c r="BW16" s="16" t="e">
        <f t="shared" ca="1" si="20"/>
        <v>#N/A</v>
      </c>
      <c r="BX16" s="13" t="e">
        <f t="shared" ca="1" si="20"/>
        <v>#N/A</v>
      </c>
      <c r="BY16" s="14" t="e">
        <f t="shared" ca="1" si="20"/>
        <v>#N/A</v>
      </c>
      <c r="BZ16" s="14" t="e">
        <f t="shared" ca="1" si="20"/>
        <v>#N/A</v>
      </c>
      <c r="CA16" s="14" t="e">
        <f t="shared" ca="1" si="20"/>
        <v>#N/A</v>
      </c>
      <c r="CB16" s="14" t="e">
        <f t="shared" ca="1" si="20"/>
        <v>#N/A</v>
      </c>
      <c r="CC16" s="15" t="e">
        <f t="shared" ca="1" si="20"/>
        <v>#N/A</v>
      </c>
      <c r="CD16" s="16" t="e">
        <f t="shared" ca="1" si="20"/>
        <v>#N/A</v>
      </c>
      <c r="CE16" s="13" t="e">
        <f t="shared" ca="1" si="20"/>
        <v>#N/A</v>
      </c>
      <c r="CF16" s="14" t="e">
        <f t="shared" ca="1" si="20"/>
        <v>#N/A</v>
      </c>
      <c r="CG16" s="14" t="e">
        <f t="shared" ca="1" si="20"/>
        <v>#N/A</v>
      </c>
      <c r="CH16" s="14" t="e">
        <f t="shared" ca="1" si="20"/>
        <v>#N/A</v>
      </c>
      <c r="CI16" s="14" t="e">
        <f t="shared" ca="1" si="20"/>
        <v>#N/A</v>
      </c>
      <c r="CJ16" s="15" t="e">
        <f t="shared" ca="1" si="20"/>
        <v>#N/A</v>
      </c>
      <c r="CK16" s="16" t="e">
        <f t="shared" ca="1" si="20"/>
        <v>#N/A</v>
      </c>
      <c r="CL16" s="13" t="e">
        <f t="shared" ca="1" si="20"/>
        <v>#N/A</v>
      </c>
      <c r="CM16" s="14" t="e">
        <f t="shared" ca="1" si="21"/>
        <v>#N/A</v>
      </c>
      <c r="CN16" s="14" t="e">
        <f t="shared" ca="1" si="21"/>
        <v>#N/A</v>
      </c>
      <c r="CO16" s="14" t="e">
        <f t="shared" ca="1" si="21"/>
        <v>#N/A</v>
      </c>
      <c r="CP16" s="14" t="e">
        <f t="shared" ca="1" si="21"/>
        <v>#N/A</v>
      </c>
      <c r="CQ16" s="15" t="e">
        <f t="shared" ca="1" si="21"/>
        <v>#N/A</v>
      </c>
      <c r="CR16" s="16" t="e">
        <f t="shared" ca="1" si="21"/>
        <v>#N/A</v>
      </c>
      <c r="CS16" s="13" t="e">
        <f t="shared" ca="1" si="21"/>
        <v>#N/A</v>
      </c>
      <c r="CT16" s="14" t="e">
        <f t="shared" ca="1" si="21"/>
        <v>#N/A</v>
      </c>
      <c r="CU16" s="14" t="e">
        <f t="shared" ca="1" si="21"/>
        <v>#N/A</v>
      </c>
      <c r="CV16" s="14" t="e">
        <f t="shared" ca="1" si="21"/>
        <v>#N/A</v>
      </c>
      <c r="CW16" s="14" t="e">
        <f t="shared" ca="1" si="21"/>
        <v>#N/A</v>
      </c>
      <c r="CX16" s="15" t="e">
        <f t="shared" ca="1" si="21"/>
        <v>#N/A</v>
      </c>
      <c r="CY16" s="16" t="e">
        <f t="shared" ca="1" si="21"/>
        <v>#N/A</v>
      </c>
      <c r="CZ16" s="13" t="e">
        <f t="shared" ca="1" si="21"/>
        <v>#N/A</v>
      </c>
      <c r="DA16" s="14" t="e">
        <f t="shared" ca="1" si="21"/>
        <v>#N/A</v>
      </c>
      <c r="DB16" s="14" t="e">
        <f t="shared" ca="1" si="21"/>
        <v>#N/A</v>
      </c>
      <c r="DC16" s="14" t="e">
        <f t="shared" ca="1" si="22"/>
        <v>#N/A</v>
      </c>
      <c r="DD16" s="14" t="e">
        <f t="shared" ca="1" si="22"/>
        <v>#N/A</v>
      </c>
      <c r="DE16" s="15" t="e">
        <f t="shared" ca="1" si="22"/>
        <v>#N/A</v>
      </c>
      <c r="DF16" s="16" t="e">
        <f t="shared" ca="1" si="22"/>
        <v>#N/A</v>
      </c>
      <c r="DG16" s="13" t="e">
        <f t="shared" ca="1" si="22"/>
        <v>#N/A</v>
      </c>
      <c r="DH16" s="14" t="e">
        <f t="shared" ca="1" si="22"/>
        <v>#N/A</v>
      </c>
      <c r="DI16" s="14" t="e">
        <f t="shared" ca="1" si="22"/>
        <v>#N/A</v>
      </c>
      <c r="DJ16" s="14" t="e">
        <f t="shared" ca="1" si="22"/>
        <v>#N/A</v>
      </c>
      <c r="DK16" s="14" t="e">
        <f t="shared" ca="1" si="22"/>
        <v>#N/A</v>
      </c>
      <c r="DL16" s="15" t="e">
        <f t="shared" ca="1" si="22"/>
        <v>#N/A</v>
      </c>
      <c r="DM16" s="16" t="e">
        <f t="shared" ca="1" si="22"/>
        <v>#N/A</v>
      </c>
      <c r="DN16" s="13" t="e">
        <f t="shared" ca="1" si="22"/>
        <v>#N/A</v>
      </c>
      <c r="DO16" s="14" t="e">
        <f t="shared" ca="1" si="22"/>
        <v>#N/A</v>
      </c>
      <c r="DP16" s="14" t="e">
        <f t="shared" ca="1" si="22"/>
        <v>#N/A</v>
      </c>
      <c r="DQ16" s="14" t="e">
        <f t="shared" ca="1" si="22"/>
        <v>#N/A</v>
      </c>
      <c r="DR16" s="14" t="e">
        <f t="shared" ca="1" si="22"/>
        <v>#N/A</v>
      </c>
      <c r="DS16" s="15" t="e">
        <f t="shared" ca="1" si="22"/>
        <v>#N/A</v>
      </c>
      <c r="DT16" s="16" t="e">
        <f t="shared" ca="1" si="22"/>
        <v>#N/A</v>
      </c>
      <c r="DU16" s="13" t="e">
        <f t="shared" ca="1" si="23"/>
        <v>#N/A</v>
      </c>
      <c r="DV16" s="14" t="e">
        <f t="shared" ca="1" si="23"/>
        <v>#N/A</v>
      </c>
      <c r="DW16" s="14" t="e">
        <f t="shared" ca="1" si="23"/>
        <v>#N/A</v>
      </c>
      <c r="DX16" s="14" t="e">
        <f t="shared" ca="1" si="23"/>
        <v>#N/A</v>
      </c>
      <c r="DY16" s="14" t="e">
        <f t="shared" ca="1" si="23"/>
        <v>#N/A</v>
      </c>
      <c r="DZ16" s="15" t="e">
        <f t="shared" ca="1" si="23"/>
        <v>#N/A</v>
      </c>
      <c r="EA16" s="16" t="e">
        <f t="shared" ca="1" si="23"/>
        <v>#N/A</v>
      </c>
      <c r="EB16" s="13" t="e">
        <f t="shared" ca="1" si="23"/>
        <v>#N/A</v>
      </c>
      <c r="EC16" s="14" t="e">
        <f t="shared" ca="1" si="23"/>
        <v>#N/A</v>
      </c>
      <c r="ED16" s="14" t="e">
        <f t="shared" ca="1" si="23"/>
        <v>#N/A</v>
      </c>
      <c r="EE16" s="14" t="e">
        <f t="shared" ca="1" si="23"/>
        <v>#N/A</v>
      </c>
      <c r="EF16" s="14" t="e">
        <f t="shared" ca="1" si="23"/>
        <v>#N/A</v>
      </c>
      <c r="EG16" s="15" t="e">
        <f t="shared" ca="1" si="23"/>
        <v>#N/A</v>
      </c>
      <c r="EH16" s="16" t="e">
        <f t="shared" ca="1" si="23"/>
        <v>#N/A</v>
      </c>
      <c r="EI16" s="13" t="e">
        <f t="shared" ca="1" si="24"/>
        <v>#N/A</v>
      </c>
      <c r="EJ16" s="14" t="e">
        <f t="shared" ca="1" si="24"/>
        <v>#N/A</v>
      </c>
      <c r="EK16" s="14" t="e">
        <f t="shared" ca="1" si="24"/>
        <v>#N/A</v>
      </c>
      <c r="EL16" s="14" t="e">
        <f t="shared" ca="1" si="24"/>
        <v>#N/A</v>
      </c>
      <c r="EM16" s="14" t="e">
        <f t="shared" ca="1" si="24"/>
        <v>#N/A</v>
      </c>
      <c r="EN16" s="15" t="e">
        <f t="shared" ca="1" si="24"/>
        <v>#N/A</v>
      </c>
      <c r="EO16" s="16" t="e">
        <f t="shared" ca="1" si="24"/>
        <v>#N/A</v>
      </c>
      <c r="EP16" s="13" t="e">
        <f t="shared" ca="1" si="24"/>
        <v>#N/A</v>
      </c>
      <c r="EQ16" s="14" t="e">
        <f t="shared" ca="1" si="24"/>
        <v>#N/A</v>
      </c>
      <c r="ER16" s="14" t="e">
        <f t="shared" ca="1" si="24"/>
        <v>#N/A</v>
      </c>
      <c r="ES16" s="14" t="e">
        <f t="shared" ca="1" si="25"/>
        <v>#N/A</v>
      </c>
      <c r="ET16" s="14" t="e">
        <f t="shared" ca="1" si="25"/>
        <v>#N/A</v>
      </c>
      <c r="EU16" s="15" t="e">
        <f t="shared" ca="1" si="25"/>
        <v>#N/A</v>
      </c>
      <c r="EV16" s="16" t="e">
        <f t="shared" ca="1" si="25"/>
        <v>#N/A</v>
      </c>
      <c r="EW16" s="13" t="e">
        <f t="shared" ca="1" si="25"/>
        <v>#N/A</v>
      </c>
      <c r="EX16" s="14" t="e">
        <f t="shared" ca="1" si="25"/>
        <v>#N/A</v>
      </c>
      <c r="EY16" s="14" t="e">
        <f t="shared" ca="1" si="25"/>
        <v>#N/A</v>
      </c>
      <c r="EZ16" s="14" t="e">
        <f t="shared" ca="1" si="25"/>
        <v>#N/A</v>
      </c>
      <c r="FA16" s="14" t="e">
        <f t="shared" ca="1" si="25"/>
        <v>#N/A</v>
      </c>
      <c r="FB16" s="15" t="e">
        <f t="shared" ca="1" si="25"/>
        <v>#N/A</v>
      </c>
      <c r="FC16" s="16" t="e">
        <f t="shared" ca="1" si="25"/>
        <v>#N/A</v>
      </c>
    </row>
    <row r="17" spans="1:159" s="17" customFormat="1" ht="9.75" customHeight="1">
      <c r="A17" s="586"/>
      <c r="B17" s="23" t="s">
        <v>66</v>
      </c>
      <c r="C17" s="19" t="e">
        <f t="shared" ref="C17:C25" ca="1" si="27">E16+1</f>
        <v>#N/A</v>
      </c>
      <c r="D17" s="19" t="str">
        <f ca="1">_xlfn.XLOOKUP(B7&amp;"-"&amp;"Next",'DATA BTO'!A:A,'DATA BTO'!K:K,"-",0)</f>
        <v>-</v>
      </c>
      <c r="E17" s="19" t="e">
        <f t="shared" ca="1" si="26"/>
        <v>#N/A</v>
      </c>
      <c r="F17" s="13" t="e">
        <f t="shared" ca="1" si="16"/>
        <v>#N/A</v>
      </c>
      <c r="G17" s="14" t="e">
        <f t="shared" ca="1" si="16"/>
        <v>#N/A</v>
      </c>
      <c r="H17" s="14" t="e">
        <f t="shared" ca="1" si="16"/>
        <v>#N/A</v>
      </c>
      <c r="I17" s="14" t="e">
        <f t="shared" ca="1" si="16"/>
        <v>#N/A</v>
      </c>
      <c r="J17" s="14" t="e">
        <f t="shared" ca="1" si="16"/>
        <v>#N/A</v>
      </c>
      <c r="K17" s="15" t="e">
        <f t="shared" ca="1" si="16"/>
        <v>#N/A</v>
      </c>
      <c r="L17" s="16" t="e">
        <f t="shared" ca="1" si="16"/>
        <v>#N/A</v>
      </c>
      <c r="M17" s="13" t="e">
        <f t="shared" ca="1" si="16"/>
        <v>#N/A</v>
      </c>
      <c r="N17" s="14" t="e">
        <f t="shared" ca="1" si="16"/>
        <v>#N/A</v>
      </c>
      <c r="O17" s="14" t="e">
        <f t="shared" ca="1" si="16"/>
        <v>#N/A</v>
      </c>
      <c r="P17" s="14" t="e">
        <f t="shared" ca="1" si="16"/>
        <v>#N/A</v>
      </c>
      <c r="Q17" s="14" t="e">
        <f t="shared" ca="1" si="16"/>
        <v>#N/A</v>
      </c>
      <c r="R17" s="15" t="e">
        <f t="shared" ca="1" si="16"/>
        <v>#N/A</v>
      </c>
      <c r="S17" s="16" t="e">
        <f t="shared" ca="1" si="16"/>
        <v>#N/A</v>
      </c>
      <c r="T17" s="13" t="e">
        <f t="shared" ca="1" si="16"/>
        <v>#N/A</v>
      </c>
      <c r="U17" s="14" t="e">
        <f t="shared" ca="1" si="16"/>
        <v>#N/A</v>
      </c>
      <c r="V17" s="14" t="e">
        <f t="shared" ca="1" si="16"/>
        <v>#N/A</v>
      </c>
      <c r="W17" s="14" t="e">
        <f t="shared" ca="1" si="16"/>
        <v>#N/A</v>
      </c>
      <c r="X17" s="14" t="e">
        <f t="shared" ca="1" si="16"/>
        <v>#N/A</v>
      </c>
      <c r="Y17" s="15" t="e">
        <f t="shared" ca="1" si="16"/>
        <v>#N/A</v>
      </c>
      <c r="Z17" s="16" t="e">
        <f t="shared" ca="1" si="16"/>
        <v>#N/A</v>
      </c>
      <c r="AA17" s="13" t="e">
        <f t="shared" ca="1" si="17"/>
        <v>#N/A</v>
      </c>
      <c r="AB17" s="14" t="e">
        <f t="shared" ca="1" si="17"/>
        <v>#N/A</v>
      </c>
      <c r="AC17" s="14" t="e">
        <f t="shared" ca="1" si="17"/>
        <v>#N/A</v>
      </c>
      <c r="AD17" s="14" t="e">
        <f t="shared" ca="1" si="17"/>
        <v>#N/A</v>
      </c>
      <c r="AE17" s="14" t="e">
        <f t="shared" ca="1" si="17"/>
        <v>#N/A</v>
      </c>
      <c r="AF17" s="15" t="e">
        <f t="shared" ca="1" si="17"/>
        <v>#N/A</v>
      </c>
      <c r="AG17" s="16" t="e">
        <f t="shared" ca="1" si="17"/>
        <v>#N/A</v>
      </c>
      <c r="AH17" s="13" t="e">
        <f t="shared" ca="1" si="17"/>
        <v>#N/A</v>
      </c>
      <c r="AI17" s="14" t="e">
        <f t="shared" ca="1" si="17"/>
        <v>#N/A</v>
      </c>
      <c r="AJ17" s="14" t="e">
        <f t="shared" ca="1" si="17"/>
        <v>#N/A</v>
      </c>
      <c r="AK17" s="14" t="e">
        <f t="shared" ca="1" si="17"/>
        <v>#N/A</v>
      </c>
      <c r="AL17" s="14" t="e">
        <f t="shared" ca="1" si="17"/>
        <v>#N/A</v>
      </c>
      <c r="AM17" s="15" t="e">
        <f t="shared" ca="1" si="17"/>
        <v>#N/A</v>
      </c>
      <c r="AN17" s="16" t="e">
        <f t="shared" ca="1" si="17"/>
        <v>#N/A</v>
      </c>
      <c r="AO17" s="13" t="e">
        <f t="shared" ca="1" si="17"/>
        <v>#N/A</v>
      </c>
      <c r="AP17" s="14" t="e">
        <f t="shared" ca="1" si="17"/>
        <v>#N/A</v>
      </c>
      <c r="AQ17" s="14" t="e">
        <f t="shared" ca="1" si="18"/>
        <v>#N/A</v>
      </c>
      <c r="AR17" s="14" t="e">
        <f t="shared" ca="1" si="18"/>
        <v>#N/A</v>
      </c>
      <c r="AS17" s="14" t="e">
        <f t="shared" ca="1" si="18"/>
        <v>#N/A</v>
      </c>
      <c r="AT17" s="15" t="e">
        <f t="shared" ca="1" si="18"/>
        <v>#N/A</v>
      </c>
      <c r="AU17" s="16" t="e">
        <f t="shared" ca="1" si="18"/>
        <v>#N/A</v>
      </c>
      <c r="AV17" s="13" t="e">
        <f t="shared" ca="1" si="18"/>
        <v>#N/A</v>
      </c>
      <c r="AW17" s="14" t="e">
        <f t="shared" ca="1" si="18"/>
        <v>#N/A</v>
      </c>
      <c r="AX17" s="14" t="e">
        <f t="shared" ca="1" si="18"/>
        <v>#N/A</v>
      </c>
      <c r="AY17" s="14" t="e">
        <f t="shared" ca="1" si="18"/>
        <v>#N/A</v>
      </c>
      <c r="AZ17" s="14" t="e">
        <f t="shared" ca="1" si="18"/>
        <v>#N/A</v>
      </c>
      <c r="BA17" s="15" t="e">
        <f t="shared" ca="1" si="18"/>
        <v>#N/A</v>
      </c>
      <c r="BB17" s="16" t="e">
        <f t="shared" ca="1" si="18"/>
        <v>#N/A</v>
      </c>
      <c r="BC17" s="13" t="e">
        <f t="shared" ca="1" si="18"/>
        <v>#N/A</v>
      </c>
      <c r="BD17" s="14" t="e">
        <f t="shared" ca="1" si="18"/>
        <v>#N/A</v>
      </c>
      <c r="BE17" s="14" t="e">
        <f t="shared" ca="1" si="18"/>
        <v>#N/A</v>
      </c>
      <c r="BF17" s="14" t="e">
        <f t="shared" ca="1" si="18"/>
        <v>#N/A</v>
      </c>
      <c r="BG17" s="14" t="e">
        <f t="shared" ca="1" si="19"/>
        <v>#N/A</v>
      </c>
      <c r="BH17" s="15" t="e">
        <f t="shared" ca="1" si="19"/>
        <v>#N/A</v>
      </c>
      <c r="BI17" s="16" t="e">
        <f t="shared" ca="1" si="19"/>
        <v>#N/A</v>
      </c>
      <c r="BJ17" s="13" t="e">
        <f t="shared" ca="1" si="19"/>
        <v>#N/A</v>
      </c>
      <c r="BK17" s="14" t="e">
        <f t="shared" ca="1" si="19"/>
        <v>#N/A</v>
      </c>
      <c r="BL17" s="14" t="e">
        <f t="shared" ca="1" si="19"/>
        <v>#N/A</v>
      </c>
      <c r="BM17" s="14" t="e">
        <f t="shared" ca="1" si="19"/>
        <v>#N/A</v>
      </c>
      <c r="BN17" s="14" t="e">
        <f t="shared" ca="1" si="19"/>
        <v>#N/A</v>
      </c>
      <c r="BO17" s="15" t="e">
        <f t="shared" ca="1" si="19"/>
        <v>#N/A</v>
      </c>
      <c r="BP17" s="16" t="e">
        <f t="shared" ca="1" si="19"/>
        <v>#N/A</v>
      </c>
      <c r="BQ17" s="13" t="e">
        <f t="shared" ca="1" si="19"/>
        <v>#N/A</v>
      </c>
      <c r="BR17" s="14" t="e">
        <f t="shared" ca="1" si="19"/>
        <v>#N/A</v>
      </c>
      <c r="BS17" s="14" t="e">
        <f t="shared" ca="1" si="19"/>
        <v>#N/A</v>
      </c>
      <c r="BT17" s="14" t="e">
        <f t="shared" ca="1" si="19"/>
        <v>#N/A</v>
      </c>
      <c r="BU17" s="14" t="e">
        <f t="shared" ca="1" si="19"/>
        <v>#N/A</v>
      </c>
      <c r="BV17" s="15" t="e">
        <f t="shared" ca="1" si="19"/>
        <v>#N/A</v>
      </c>
      <c r="BW17" s="16" t="e">
        <f t="shared" ca="1" si="20"/>
        <v>#N/A</v>
      </c>
      <c r="BX17" s="13" t="e">
        <f t="shared" ca="1" si="20"/>
        <v>#N/A</v>
      </c>
      <c r="BY17" s="14" t="e">
        <f t="shared" ca="1" si="20"/>
        <v>#N/A</v>
      </c>
      <c r="BZ17" s="14" t="e">
        <f t="shared" ca="1" si="20"/>
        <v>#N/A</v>
      </c>
      <c r="CA17" s="14" t="e">
        <f t="shared" ca="1" si="20"/>
        <v>#N/A</v>
      </c>
      <c r="CB17" s="14" t="e">
        <f t="shared" ca="1" si="20"/>
        <v>#N/A</v>
      </c>
      <c r="CC17" s="15" t="e">
        <f t="shared" ca="1" si="20"/>
        <v>#N/A</v>
      </c>
      <c r="CD17" s="16" t="e">
        <f t="shared" ca="1" si="20"/>
        <v>#N/A</v>
      </c>
      <c r="CE17" s="13" t="e">
        <f t="shared" ca="1" si="20"/>
        <v>#N/A</v>
      </c>
      <c r="CF17" s="14" t="e">
        <f t="shared" ca="1" si="20"/>
        <v>#N/A</v>
      </c>
      <c r="CG17" s="14" t="e">
        <f t="shared" ca="1" si="20"/>
        <v>#N/A</v>
      </c>
      <c r="CH17" s="14" t="e">
        <f t="shared" ca="1" si="20"/>
        <v>#N/A</v>
      </c>
      <c r="CI17" s="14" t="e">
        <f t="shared" ca="1" si="20"/>
        <v>#N/A</v>
      </c>
      <c r="CJ17" s="15" t="e">
        <f t="shared" ca="1" si="20"/>
        <v>#N/A</v>
      </c>
      <c r="CK17" s="16" t="e">
        <f t="shared" ca="1" si="20"/>
        <v>#N/A</v>
      </c>
      <c r="CL17" s="13" t="e">
        <f t="shared" ca="1" si="20"/>
        <v>#N/A</v>
      </c>
      <c r="CM17" s="14" t="e">
        <f t="shared" ca="1" si="21"/>
        <v>#N/A</v>
      </c>
      <c r="CN17" s="14" t="e">
        <f t="shared" ca="1" si="21"/>
        <v>#N/A</v>
      </c>
      <c r="CO17" s="14" t="e">
        <f t="shared" ca="1" si="21"/>
        <v>#N/A</v>
      </c>
      <c r="CP17" s="14" t="e">
        <f t="shared" ca="1" si="21"/>
        <v>#N/A</v>
      </c>
      <c r="CQ17" s="15" t="e">
        <f t="shared" ca="1" si="21"/>
        <v>#N/A</v>
      </c>
      <c r="CR17" s="16" t="e">
        <f t="shared" ca="1" si="21"/>
        <v>#N/A</v>
      </c>
      <c r="CS17" s="13" t="e">
        <f t="shared" ca="1" si="21"/>
        <v>#N/A</v>
      </c>
      <c r="CT17" s="14" t="e">
        <f t="shared" ca="1" si="21"/>
        <v>#N/A</v>
      </c>
      <c r="CU17" s="14" t="e">
        <f t="shared" ca="1" si="21"/>
        <v>#N/A</v>
      </c>
      <c r="CV17" s="14" t="e">
        <f t="shared" ca="1" si="21"/>
        <v>#N/A</v>
      </c>
      <c r="CW17" s="14" t="e">
        <f t="shared" ca="1" si="21"/>
        <v>#N/A</v>
      </c>
      <c r="CX17" s="15" t="e">
        <f t="shared" ca="1" si="21"/>
        <v>#N/A</v>
      </c>
      <c r="CY17" s="16" t="e">
        <f t="shared" ca="1" si="21"/>
        <v>#N/A</v>
      </c>
      <c r="CZ17" s="13" t="e">
        <f t="shared" ca="1" si="21"/>
        <v>#N/A</v>
      </c>
      <c r="DA17" s="14" t="e">
        <f t="shared" ca="1" si="21"/>
        <v>#N/A</v>
      </c>
      <c r="DB17" s="14" t="e">
        <f t="shared" ca="1" si="21"/>
        <v>#N/A</v>
      </c>
      <c r="DC17" s="14" t="e">
        <f t="shared" ca="1" si="22"/>
        <v>#N/A</v>
      </c>
      <c r="DD17" s="14" t="e">
        <f t="shared" ca="1" si="22"/>
        <v>#N/A</v>
      </c>
      <c r="DE17" s="15" t="e">
        <f t="shared" ca="1" si="22"/>
        <v>#N/A</v>
      </c>
      <c r="DF17" s="16" t="e">
        <f t="shared" ca="1" si="22"/>
        <v>#N/A</v>
      </c>
      <c r="DG17" s="13" t="e">
        <f t="shared" ca="1" si="22"/>
        <v>#N/A</v>
      </c>
      <c r="DH17" s="14" t="e">
        <f t="shared" ca="1" si="22"/>
        <v>#N/A</v>
      </c>
      <c r="DI17" s="14" t="e">
        <f t="shared" ca="1" si="22"/>
        <v>#N/A</v>
      </c>
      <c r="DJ17" s="14" t="e">
        <f t="shared" ca="1" si="22"/>
        <v>#N/A</v>
      </c>
      <c r="DK17" s="14" t="e">
        <f t="shared" ca="1" si="22"/>
        <v>#N/A</v>
      </c>
      <c r="DL17" s="15" t="e">
        <f t="shared" ca="1" si="22"/>
        <v>#N/A</v>
      </c>
      <c r="DM17" s="16" t="e">
        <f t="shared" ca="1" si="22"/>
        <v>#N/A</v>
      </c>
      <c r="DN17" s="13" t="e">
        <f t="shared" ca="1" si="22"/>
        <v>#N/A</v>
      </c>
      <c r="DO17" s="14" t="e">
        <f t="shared" ca="1" si="22"/>
        <v>#N/A</v>
      </c>
      <c r="DP17" s="14" t="e">
        <f t="shared" ca="1" si="22"/>
        <v>#N/A</v>
      </c>
      <c r="DQ17" s="14" t="e">
        <f t="shared" ca="1" si="22"/>
        <v>#N/A</v>
      </c>
      <c r="DR17" s="14" t="e">
        <f t="shared" ca="1" si="22"/>
        <v>#N/A</v>
      </c>
      <c r="DS17" s="15"/>
      <c r="DT17" s="16"/>
      <c r="DU17" s="13" t="e">
        <f t="shared" ca="1" si="23"/>
        <v>#N/A</v>
      </c>
      <c r="DV17" s="14" t="e">
        <f t="shared" ca="1" si="23"/>
        <v>#N/A</v>
      </c>
      <c r="DW17" s="14" t="e">
        <f t="shared" ca="1" si="23"/>
        <v>#N/A</v>
      </c>
      <c r="DX17" s="14" t="e">
        <f t="shared" ca="1" si="23"/>
        <v>#N/A</v>
      </c>
      <c r="DY17" s="14" t="e">
        <f t="shared" ca="1" si="23"/>
        <v>#N/A</v>
      </c>
      <c r="DZ17" s="15" t="e">
        <f t="shared" ca="1" si="23"/>
        <v>#N/A</v>
      </c>
      <c r="EA17" s="16" t="e">
        <f t="shared" ca="1" si="23"/>
        <v>#N/A</v>
      </c>
      <c r="EB17" s="13" t="e">
        <f t="shared" ca="1" si="23"/>
        <v>#N/A</v>
      </c>
      <c r="EC17" s="14" t="e">
        <f t="shared" ca="1" si="23"/>
        <v>#N/A</v>
      </c>
      <c r="ED17" s="14" t="e">
        <f t="shared" ca="1" si="23"/>
        <v>#N/A</v>
      </c>
      <c r="EE17" s="14" t="e">
        <f t="shared" ca="1" si="23"/>
        <v>#N/A</v>
      </c>
      <c r="EF17" s="14" t="e">
        <f t="shared" ca="1" si="23"/>
        <v>#N/A</v>
      </c>
      <c r="EG17" s="15"/>
      <c r="EH17" s="16"/>
      <c r="EI17" s="13" t="e">
        <f t="shared" ref="EI17:EM24" ca="1" si="28">IF(AND(EI$5&gt;=$C17,EI$5&lt;=$E17),1,"")</f>
        <v>#N/A</v>
      </c>
      <c r="EJ17" s="14" t="e">
        <f t="shared" ca="1" si="28"/>
        <v>#N/A</v>
      </c>
      <c r="EK17" s="14" t="e">
        <f t="shared" ca="1" si="28"/>
        <v>#N/A</v>
      </c>
      <c r="EL17" s="14" t="e">
        <f t="shared" ca="1" si="28"/>
        <v>#N/A</v>
      </c>
      <c r="EM17" s="14" t="e">
        <f t="shared" ca="1" si="28"/>
        <v>#N/A</v>
      </c>
      <c r="EN17" s="15"/>
      <c r="EO17" s="16"/>
      <c r="EP17" s="13" t="e">
        <f t="shared" ref="EP17:ET24" ca="1" si="29">IF(AND(EP$5&gt;=$C17,EP$5&lt;=$E17),1,"")</f>
        <v>#N/A</v>
      </c>
      <c r="EQ17" s="14" t="e">
        <f t="shared" ca="1" si="29"/>
        <v>#N/A</v>
      </c>
      <c r="ER17" s="14" t="e">
        <f t="shared" ca="1" si="29"/>
        <v>#N/A</v>
      </c>
      <c r="ES17" s="14" t="e">
        <f t="shared" ca="1" si="29"/>
        <v>#N/A</v>
      </c>
      <c r="ET17" s="14" t="e">
        <f t="shared" ca="1" si="29"/>
        <v>#N/A</v>
      </c>
      <c r="EU17" s="15"/>
      <c r="EV17" s="16"/>
      <c r="EW17" s="13" t="e">
        <f t="shared" ref="EW17:FA24" ca="1" si="30">IF(AND(EW$5&gt;=$C17,EW$5&lt;=$E17),1,"")</f>
        <v>#N/A</v>
      </c>
      <c r="EX17" s="14" t="e">
        <f t="shared" ca="1" si="30"/>
        <v>#N/A</v>
      </c>
      <c r="EY17" s="14" t="e">
        <f t="shared" ca="1" si="30"/>
        <v>#N/A</v>
      </c>
      <c r="EZ17" s="14" t="e">
        <f t="shared" ca="1" si="30"/>
        <v>#N/A</v>
      </c>
      <c r="FA17" s="14" t="e">
        <f t="shared" ca="1" si="30"/>
        <v>#N/A</v>
      </c>
      <c r="FB17" s="15"/>
      <c r="FC17" s="16"/>
    </row>
    <row r="18" spans="1:159" s="17" customFormat="1" ht="9.75" customHeight="1">
      <c r="A18" s="586"/>
      <c r="B18" s="26" t="s">
        <v>67</v>
      </c>
      <c r="C18" s="19" t="e">
        <f t="shared" ca="1" si="27"/>
        <v>#N/A</v>
      </c>
      <c r="D18" s="19" t="str">
        <f ca="1">_xlfn.XLOOKUP(B7&amp;"-"&amp;"Next",'DATA BTO'!A:A,'DATA BTO'!L:L,"-",0)</f>
        <v>-</v>
      </c>
      <c r="E18" s="19" t="e">
        <f t="shared" ca="1" si="26"/>
        <v>#N/A</v>
      </c>
      <c r="F18" s="13" t="e">
        <f t="shared" ca="1" si="16"/>
        <v>#N/A</v>
      </c>
      <c r="G18" s="14" t="e">
        <f t="shared" ca="1" si="16"/>
        <v>#N/A</v>
      </c>
      <c r="H18" s="14" t="e">
        <f t="shared" ca="1" si="16"/>
        <v>#N/A</v>
      </c>
      <c r="I18" s="14" t="e">
        <f t="shared" ca="1" si="16"/>
        <v>#N/A</v>
      </c>
      <c r="J18" s="14" t="e">
        <f t="shared" ca="1" si="16"/>
        <v>#N/A</v>
      </c>
      <c r="K18" s="15" t="e">
        <f t="shared" ca="1" si="16"/>
        <v>#N/A</v>
      </c>
      <c r="L18" s="16" t="e">
        <f t="shared" ca="1" si="16"/>
        <v>#N/A</v>
      </c>
      <c r="M18" s="13" t="e">
        <f t="shared" ca="1" si="16"/>
        <v>#N/A</v>
      </c>
      <c r="N18" s="14" t="e">
        <f t="shared" ca="1" si="16"/>
        <v>#N/A</v>
      </c>
      <c r="O18" s="14" t="e">
        <f t="shared" ca="1" si="16"/>
        <v>#N/A</v>
      </c>
      <c r="P18" s="14" t="e">
        <f t="shared" ca="1" si="16"/>
        <v>#N/A</v>
      </c>
      <c r="Q18" s="14" t="e">
        <f t="shared" ca="1" si="16"/>
        <v>#N/A</v>
      </c>
      <c r="R18" s="15" t="e">
        <f t="shared" ca="1" si="16"/>
        <v>#N/A</v>
      </c>
      <c r="S18" s="16" t="e">
        <f t="shared" ca="1" si="16"/>
        <v>#N/A</v>
      </c>
      <c r="T18" s="13" t="e">
        <f t="shared" ca="1" si="16"/>
        <v>#N/A</v>
      </c>
      <c r="U18" s="14" t="e">
        <f t="shared" ca="1" si="16"/>
        <v>#N/A</v>
      </c>
      <c r="V18" s="14" t="e">
        <f t="shared" ca="1" si="16"/>
        <v>#N/A</v>
      </c>
      <c r="W18" s="14" t="e">
        <f t="shared" ca="1" si="16"/>
        <v>#N/A</v>
      </c>
      <c r="X18" s="14" t="e">
        <f t="shared" ca="1" si="16"/>
        <v>#N/A</v>
      </c>
      <c r="Y18" s="15" t="e">
        <f t="shared" ca="1" si="16"/>
        <v>#N/A</v>
      </c>
      <c r="Z18" s="16" t="e">
        <f t="shared" ca="1" si="16"/>
        <v>#N/A</v>
      </c>
      <c r="AA18" s="13" t="e">
        <f t="shared" ca="1" si="17"/>
        <v>#N/A</v>
      </c>
      <c r="AB18" s="14" t="e">
        <f t="shared" ca="1" si="17"/>
        <v>#N/A</v>
      </c>
      <c r="AC18" s="14" t="e">
        <f t="shared" ca="1" si="17"/>
        <v>#N/A</v>
      </c>
      <c r="AD18" s="14" t="e">
        <f t="shared" ca="1" si="17"/>
        <v>#N/A</v>
      </c>
      <c r="AE18" s="14" t="e">
        <f t="shared" ca="1" si="17"/>
        <v>#N/A</v>
      </c>
      <c r="AF18" s="15" t="e">
        <f t="shared" ca="1" si="17"/>
        <v>#N/A</v>
      </c>
      <c r="AG18" s="16" t="e">
        <f t="shared" ca="1" si="17"/>
        <v>#N/A</v>
      </c>
      <c r="AH18" s="13" t="e">
        <f t="shared" ca="1" si="17"/>
        <v>#N/A</v>
      </c>
      <c r="AI18" s="14" t="e">
        <f t="shared" ca="1" si="17"/>
        <v>#N/A</v>
      </c>
      <c r="AJ18" s="14" t="e">
        <f t="shared" ca="1" si="17"/>
        <v>#N/A</v>
      </c>
      <c r="AK18" s="14" t="e">
        <f t="shared" ca="1" si="17"/>
        <v>#N/A</v>
      </c>
      <c r="AL18" s="14" t="e">
        <f t="shared" ca="1" si="17"/>
        <v>#N/A</v>
      </c>
      <c r="AM18" s="15" t="e">
        <f t="shared" ca="1" si="17"/>
        <v>#N/A</v>
      </c>
      <c r="AN18" s="16" t="e">
        <f t="shared" ca="1" si="17"/>
        <v>#N/A</v>
      </c>
      <c r="AO18" s="13" t="e">
        <f t="shared" ca="1" si="17"/>
        <v>#N/A</v>
      </c>
      <c r="AP18" s="14" t="e">
        <f t="shared" ca="1" si="17"/>
        <v>#N/A</v>
      </c>
      <c r="AQ18" s="14" t="e">
        <f t="shared" ca="1" si="18"/>
        <v>#N/A</v>
      </c>
      <c r="AR18" s="14" t="e">
        <f t="shared" ca="1" si="18"/>
        <v>#N/A</v>
      </c>
      <c r="AS18" s="14" t="e">
        <f t="shared" ca="1" si="18"/>
        <v>#N/A</v>
      </c>
      <c r="AT18" s="15" t="e">
        <f t="shared" ca="1" si="18"/>
        <v>#N/A</v>
      </c>
      <c r="AU18" s="16" t="e">
        <f t="shared" ca="1" si="18"/>
        <v>#N/A</v>
      </c>
      <c r="AV18" s="13" t="e">
        <f t="shared" ca="1" si="18"/>
        <v>#N/A</v>
      </c>
      <c r="AW18" s="14" t="e">
        <f t="shared" ca="1" si="18"/>
        <v>#N/A</v>
      </c>
      <c r="AX18" s="14" t="e">
        <f t="shared" ca="1" si="18"/>
        <v>#N/A</v>
      </c>
      <c r="AY18" s="14" t="e">
        <f t="shared" ca="1" si="18"/>
        <v>#N/A</v>
      </c>
      <c r="AZ18" s="14" t="e">
        <f t="shared" ca="1" si="18"/>
        <v>#N/A</v>
      </c>
      <c r="BA18" s="15" t="e">
        <f t="shared" ca="1" si="18"/>
        <v>#N/A</v>
      </c>
      <c r="BB18" s="16" t="e">
        <f t="shared" ca="1" si="18"/>
        <v>#N/A</v>
      </c>
      <c r="BC18" s="13" t="e">
        <f t="shared" ca="1" si="18"/>
        <v>#N/A</v>
      </c>
      <c r="BD18" s="14" t="e">
        <f t="shared" ca="1" si="18"/>
        <v>#N/A</v>
      </c>
      <c r="BE18" s="14" t="e">
        <f t="shared" ca="1" si="18"/>
        <v>#N/A</v>
      </c>
      <c r="BF18" s="14" t="e">
        <f t="shared" ca="1" si="18"/>
        <v>#N/A</v>
      </c>
      <c r="BG18" s="14" t="e">
        <f t="shared" ca="1" si="19"/>
        <v>#N/A</v>
      </c>
      <c r="BH18" s="15" t="e">
        <f t="shared" ca="1" si="19"/>
        <v>#N/A</v>
      </c>
      <c r="BI18" s="16" t="e">
        <f t="shared" ca="1" si="19"/>
        <v>#N/A</v>
      </c>
      <c r="BJ18" s="13" t="e">
        <f t="shared" ca="1" si="19"/>
        <v>#N/A</v>
      </c>
      <c r="BK18" s="14" t="e">
        <f t="shared" ca="1" si="19"/>
        <v>#N/A</v>
      </c>
      <c r="BL18" s="14" t="e">
        <f t="shared" ca="1" si="19"/>
        <v>#N/A</v>
      </c>
      <c r="BM18" s="14" t="e">
        <f t="shared" ca="1" si="19"/>
        <v>#N/A</v>
      </c>
      <c r="BN18" s="14" t="e">
        <f t="shared" ca="1" si="19"/>
        <v>#N/A</v>
      </c>
      <c r="BO18" s="15" t="e">
        <f t="shared" ca="1" si="19"/>
        <v>#N/A</v>
      </c>
      <c r="BP18" s="16" t="e">
        <f t="shared" ca="1" si="19"/>
        <v>#N/A</v>
      </c>
      <c r="BQ18" s="13" t="e">
        <f t="shared" ca="1" si="19"/>
        <v>#N/A</v>
      </c>
      <c r="BR18" s="14" t="e">
        <f t="shared" ca="1" si="19"/>
        <v>#N/A</v>
      </c>
      <c r="BS18" s="14" t="e">
        <f t="shared" ca="1" si="19"/>
        <v>#N/A</v>
      </c>
      <c r="BT18" s="14" t="e">
        <f t="shared" ca="1" si="19"/>
        <v>#N/A</v>
      </c>
      <c r="BU18" s="14" t="e">
        <f t="shared" ca="1" si="19"/>
        <v>#N/A</v>
      </c>
      <c r="BV18" s="15" t="e">
        <f t="shared" ca="1" si="19"/>
        <v>#N/A</v>
      </c>
      <c r="BW18" s="16" t="e">
        <f t="shared" ca="1" si="20"/>
        <v>#N/A</v>
      </c>
      <c r="BX18" s="13" t="e">
        <f t="shared" ca="1" si="20"/>
        <v>#N/A</v>
      </c>
      <c r="BY18" s="14" t="e">
        <f t="shared" ca="1" si="20"/>
        <v>#N/A</v>
      </c>
      <c r="BZ18" s="14" t="e">
        <f t="shared" ca="1" si="20"/>
        <v>#N/A</v>
      </c>
      <c r="CA18" s="14" t="e">
        <f t="shared" ca="1" si="20"/>
        <v>#N/A</v>
      </c>
      <c r="CB18" s="14" t="e">
        <f t="shared" ca="1" si="20"/>
        <v>#N/A</v>
      </c>
      <c r="CC18" s="15" t="e">
        <f t="shared" ca="1" si="20"/>
        <v>#N/A</v>
      </c>
      <c r="CD18" s="16" t="e">
        <f t="shared" ca="1" si="20"/>
        <v>#N/A</v>
      </c>
      <c r="CE18" s="13" t="e">
        <f t="shared" ca="1" si="20"/>
        <v>#N/A</v>
      </c>
      <c r="CF18" s="14" t="e">
        <f t="shared" ca="1" si="20"/>
        <v>#N/A</v>
      </c>
      <c r="CG18" s="14" t="e">
        <f t="shared" ca="1" si="20"/>
        <v>#N/A</v>
      </c>
      <c r="CH18" s="14" t="e">
        <f t="shared" ca="1" si="20"/>
        <v>#N/A</v>
      </c>
      <c r="CI18" s="14" t="e">
        <f t="shared" ca="1" si="20"/>
        <v>#N/A</v>
      </c>
      <c r="CJ18" s="15" t="e">
        <f t="shared" ca="1" si="20"/>
        <v>#N/A</v>
      </c>
      <c r="CK18" s="16" t="e">
        <f t="shared" ca="1" si="20"/>
        <v>#N/A</v>
      </c>
      <c r="CL18" s="13" t="e">
        <f t="shared" ca="1" si="20"/>
        <v>#N/A</v>
      </c>
      <c r="CM18" s="14" t="e">
        <f t="shared" ca="1" si="21"/>
        <v>#N/A</v>
      </c>
      <c r="CN18" s="14" t="e">
        <f t="shared" ca="1" si="21"/>
        <v>#N/A</v>
      </c>
      <c r="CO18" s="14" t="e">
        <f t="shared" ca="1" si="21"/>
        <v>#N/A</v>
      </c>
      <c r="CP18" s="14" t="e">
        <f t="shared" ca="1" si="21"/>
        <v>#N/A</v>
      </c>
      <c r="CQ18" s="15" t="e">
        <f t="shared" ca="1" si="21"/>
        <v>#N/A</v>
      </c>
      <c r="CR18" s="16" t="e">
        <f t="shared" ca="1" si="21"/>
        <v>#N/A</v>
      </c>
      <c r="CS18" s="13" t="e">
        <f t="shared" ca="1" si="21"/>
        <v>#N/A</v>
      </c>
      <c r="CT18" s="14" t="e">
        <f t="shared" ca="1" si="21"/>
        <v>#N/A</v>
      </c>
      <c r="CU18" s="14" t="e">
        <f t="shared" ca="1" si="21"/>
        <v>#N/A</v>
      </c>
      <c r="CV18" s="14" t="e">
        <f t="shared" ca="1" si="21"/>
        <v>#N/A</v>
      </c>
      <c r="CW18" s="14" t="e">
        <f t="shared" ca="1" si="21"/>
        <v>#N/A</v>
      </c>
      <c r="CX18" s="15" t="e">
        <f t="shared" ca="1" si="21"/>
        <v>#N/A</v>
      </c>
      <c r="CY18" s="16" t="e">
        <f t="shared" ca="1" si="21"/>
        <v>#N/A</v>
      </c>
      <c r="CZ18" s="13" t="e">
        <f t="shared" ca="1" si="21"/>
        <v>#N/A</v>
      </c>
      <c r="DA18" s="14" t="e">
        <f t="shared" ca="1" si="21"/>
        <v>#N/A</v>
      </c>
      <c r="DB18" s="14" t="e">
        <f t="shared" ca="1" si="21"/>
        <v>#N/A</v>
      </c>
      <c r="DC18" s="14" t="e">
        <f t="shared" ca="1" si="22"/>
        <v>#N/A</v>
      </c>
      <c r="DD18" s="14" t="e">
        <f t="shared" ca="1" si="22"/>
        <v>#N/A</v>
      </c>
      <c r="DE18" s="15" t="e">
        <f t="shared" ca="1" si="22"/>
        <v>#N/A</v>
      </c>
      <c r="DF18" s="16" t="e">
        <f t="shared" ca="1" si="22"/>
        <v>#N/A</v>
      </c>
      <c r="DG18" s="13" t="e">
        <f t="shared" ca="1" si="22"/>
        <v>#N/A</v>
      </c>
      <c r="DH18" s="14" t="e">
        <f t="shared" ca="1" si="22"/>
        <v>#N/A</v>
      </c>
      <c r="DI18" s="14" t="e">
        <f t="shared" ca="1" si="22"/>
        <v>#N/A</v>
      </c>
      <c r="DJ18" s="14" t="e">
        <f t="shared" ca="1" si="22"/>
        <v>#N/A</v>
      </c>
      <c r="DK18" s="14" t="e">
        <f t="shared" ca="1" si="22"/>
        <v>#N/A</v>
      </c>
      <c r="DL18" s="15" t="e">
        <f t="shared" ca="1" si="22"/>
        <v>#N/A</v>
      </c>
      <c r="DM18" s="16" t="e">
        <f t="shared" ca="1" si="22"/>
        <v>#N/A</v>
      </c>
      <c r="DN18" s="13" t="e">
        <f t="shared" ca="1" si="22"/>
        <v>#N/A</v>
      </c>
      <c r="DO18" s="14" t="e">
        <f t="shared" ca="1" si="22"/>
        <v>#N/A</v>
      </c>
      <c r="DP18" s="14" t="e">
        <f t="shared" ca="1" si="22"/>
        <v>#N/A</v>
      </c>
      <c r="DQ18" s="14" t="e">
        <f t="shared" ca="1" si="22"/>
        <v>#N/A</v>
      </c>
      <c r="DR18" s="14" t="e">
        <f t="shared" ca="1" si="22"/>
        <v>#N/A</v>
      </c>
      <c r="DS18" s="15" t="e">
        <f t="shared" ca="1" si="22"/>
        <v>#N/A</v>
      </c>
      <c r="DT18" s="16" t="e">
        <f t="shared" ca="1" si="22"/>
        <v>#N/A</v>
      </c>
      <c r="DU18" s="13" t="e">
        <f t="shared" ca="1" si="23"/>
        <v>#N/A</v>
      </c>
      <c r="DV18" s="14" t="e">
        <f t="shared" ca="1" si="23"/>
        <v>#N/A</v>
      </c>
      <c r="DW18" s="14" t="e">
        <f t="shared" ca="1" si="23"/>
        <v>#N/A</v>
      </c>
      <c r="DX18" s="14" t="e">
        <f t="shared" ca="1" si="23"/>
        <v>#N/A</v>
      </c>
      <c r="DY18" s="14" t="e">
        <f t="shared" ca="1" si="23"/>
        <v>#N/A</v>
      </c>
      <c r="DZ18" s="15" t="e">
        <f t="shared" ca="1" si="23"/>
        <v>#N/A</v>
      </c>
      <c r="EA18" s="16" t="e">
        <f t="shared" ca="1" si="23"/>
        <v>#N/A</v>
      </c>
      <c r="EB18" s="13" t="e">
        <f t="shared" ca="1" si="23"/>
        <v>#N/A</v>
      </c>
      <c r="EC18" s="14" t="e">
        <f t="shared" ca="1" si="23"/>
        <v>#N/A</v>
      </c>
      <c r="ED18" s="14" t="e">
        <f t="shared" ca="1" si="23"/>
        <v>#N/A</v>
      </c>
      <c r="EE18" s="14" t="e">
        <f t="shared" ca="1" si="23"/>
        <v>#N/A</v>
      </c>
      <c r="EF18" s="14" t="e">
        <f t="shared" ca="1" si="23"/>
        <v>#N/A</v>
      </c>
      <c r="EG18" s="15" t="e">
        <f t="shared" ca="1" si="23"/>
        <v>#N/A</v>
      </c>
      <c r="EH18" s="16" t="e">
        <f t="shared" ca="1" si="23"/>
        <v>#N/A</v>
      </c>
      <c r="EI18" s="13" t="e">
        <f t="shared" ca="1" si="28"/>
        <v>#N/A</v>
      </c>
      <c r="EJ18" s="14" t="e">
        <f t="shared" ca="1" si="28"/>
        <v>#N/A</v>
      </c>
      <c r="EK18" s="14" t="e">
        <f t="shared" ca="1" si="28"/>
        <v>#N/A</v>
      </c>
      <c r="EL18" s="14" t="e">
        <f t="shared" ca="1" si="28"/>
        <v>#N/A</v>
      </c>
      <c r="EM18" s="14" t="e">
        <f t="shared" ca="1" si="28"/>
        <v>#N/A</v>
      </c>
      <c r="EN18" s="15" t="e">
        <f t="shared" ref="EN18:EO24" ca="1" si="31">IF(AND(EN$5&gt;=$C18,EN$5&lt;=$E18),1,"")</f>
        <v>#N/A</v>
      </c>
      <c r="EO18" s="16" t="e">
        <f t="shared" ca="1" si="31"/>
        <v>#N/A</v>
      </c>
      <c r="EP18" s="13" t="e">
        <f t="shared" ca="1" si="29"/>
        <v>#N/A</v>
      </c>
      <c r="EQ18" s="14" t="e">
        <f t="shared" ca="1" si="29"/>
        <v>#N/A</v>
      </c>
      <c r="ER18" s="14" t="e">
        <f t="shared" ca="1" si="29"/>
        <v>#N/A</v>
      </c>
      <c r="ES18" s="14" t="e">
        <f t="shared" ca="1" si="29"/>
        <v>#N/A</v>
      </c>
      <c r="ET18" s="14" t="e">
        <f t="shared" ca="1" si="29"/>
        <v>#N/A</v>
      </c>
      <c r="EU18" s="15" t="e">
        <f t="shared" ref="EU18:EV24" ca="1" si="32">IF(AND(EU$5&gt;=$C18,EU$5&lt;=$E18),1,"")</f>
        <v>#N/A</v>
      </c>
      <c r="EV18" s="16" t="e">
        <f t="shared" ca="1" si="32"/>
        <v>#N/A</v>
      </c>
      <c r="EW18" s="13" t="e">
        <f t="shared" ca="1" si="30"/>
        <v>#N/A</v>
      </c>
      <c r="EX18" s="14" t="e">
        <f t="shared" ca="1" si="30"/>
        <v>#N/A</v>
      </c>
      <c r="EY18" s="14" t="e">
        <f t="shared" ca="1" si="30"/>
        <v>#N/A</v>
      </c>
      <c r="EZ18" s="14" t="e">
        <f t="shared" ca="1" si="30"/>
        <v>#N/A</v>
      </c>
      <c r="FA18" s="14" t="e">
        <f t="shared" ca="1" si="30"/>
        <v>#N/A</v>
      </c>
      <c r="FB18" s="15" t="e">
        <f t="shared" ref="FB18:FC24" ca="1" si="33">IF(AND(FB$5&gt;=$C18,FB$5&lt;=$E18),1,"")</f>
        <v>#N/A</v>
      </c>
      <c r="FC18" s="16" t="e">
        <f t="shared" ca="1" si="33"/>
        <v>#N/A</v>
      </c>
    </row>
    <row r="19" spans="1:159" s="17" customFormat="1" ht="9.75" customHeight="1">
      <c r="A19" s="587" t="str">
        <f ca="1">_xlfn.XLOOKUP(B7&amp;"-"&amp;"Next",'DATA BTO'!A:A,'DATA BTO'!F:F,"-",0)</f>
        <v>-</v>
      </c>
      <c r="B19" s="24" t="s">
        <v>49</v>
      </c>
      <c r="C19" s="19" t="e">
        <f t="shared" ca="1" si="27"/>
        <v>#N/A</v>
      </c>
      <c r="D19" s="19" t="e">
        <f ca="1">_xlfn.XLOOKUP(A25,'VTT next'!F:F,'VTT next'!AK:AK,"-",0)</f>
        <v>#N/A</v>
      </c>
      <c r="E19" s="19" t="e">
        <f ca="1">C19-1+D19</f>
        <v>#N/A</v>
      </c>
      <c r="F19" s="13" t="e">
        <f t="shared" ca="1" si="16"/>
        <v>#N/A</v>
      </c>
      <c r="G19" s="14" t="e">
        <f t="shared" ca="1" si="16"/>
        <v>#N/A</v>
      </c>
      <c r="H19" s="14" t="e">
        <f t="shared" ca="1" si="16"/>
        <v>#N/A</v>
      </c>
      <c r="I19" s="14" t="e">
        <f t="shared" ca="1" si="16"/>
        <v>#N/A</v>
      </c>
      <c r="J19" s="14" t="e">
        <f t="shared" ca="1" si="16"/>
        <v>#N/A</v>
      </c>
      <c r="K19" s="15" t="e">
        <f t="shared" ca="1" si="16"/>
        <v>#N/A</v>
      </c>
      <c r="L19" s="16" t="e">
        <f t="shared" ca="1" si="16"/>
        <v>#N/A</v>
      </c>
      <c r="M19" s="13" t="e">
        <f t="shared" ca="1" si="16"/>
        <v>#N/A</v>
      </c>
      <c r="N19" s="14" t="e">
        <f t="shared" ca="1" si="16"/>
        <v>#N/A</v>
      </c>
      <c r="O19" s="14" t="e">
        <f t="shared" ca="1" si="16"/>
        <v>#N/A</v>
      </c>
      <c r="P19" s="14" t="e">
        <f t="shared" ca="1" si="16"/>
        <v>#N/A</v>
      </c>
      <c r="Q19" s="14" t="e">
        <f t="shared" ca="1" si="16"/>
        <v>#N/A</v>
      </c>
      <c r="R19" s="15" t="e">
        <f t="shared" ca="1" si="16"/>
        <v>#N/A</v>
      </c>
      <c r="S19" s="16" t="e">
        <f t="shared" ca="1" si="16"/>
        <v>#N/A</v>
      </c>
      <c r="T19" s="13" t="e">
        <f t="shared" ca="1" si="16"/>
        <v>#N/A</v>
      </c>
      <c r="U19" s="14" t="e">
        <f t="shared" ca="1" si="16"/>
        <v>#N/A</v>
      </c>
      <c r="V19" s="14" t="e">
        <f t="shared" ca="1" si="16"/>
        <v>#N/A</v>
      </c>
      <c r="W19" s="14" t="e">
        <f t="shared" ca="1" si="16"/>
        <v>#N/A</v>
      </c>
      <c r="X19" s="14" t="e">
        <f t="shared" ca="1" si="16"/>
        <v>#N/A</v>
      </c>
      <c r="Y19" s="15" t="e">
        <f t="shared" ca="1" si="16"/>
        <v>#N/A</v>
      </c>
      <c r="Z19" s="16" t="e">
        <f t="shared" ca="1" si="16"/>
        <v>#N/A</v>
      </c>
      <c r="AA19" s="13" t="e">
        <f t="shared" ca="1" si="17"/>
        <v>#N/A</v>
      </c>
      <c r="AB19" s="14" t="e">
        <f t="shared" ca="1" si="17"/>
        <v>#N/A</v>
      </c>
      <c r="AC19" s="14" t="e">
        <f t="shared" ca="1" si="17"/>
        <v>#N/A</v>
      </c>
      <c r="AD19" s="14" t="e">
        <f t="shared" ca="1" si="17"/>
        <v>#N/A</v>
      </c>
      <c r="AE19" s="14" t="e">
        <f t="shared" ca="1" si="17"/>
        <v>#N/A</v>
      </c>
      <c r="AF19" s="15" t="e">
        <f t="shared" ca="1" si="17"/>
        <v>#N/A</v>
      </c>
      <c r="AG19" s="16" t="e">
        <f t="shared" ca="1" si="17"/>
        <v>#N/A</v>
      </c>
      <c r="AH19" s="13" t="e">
        <f t="shared" ca="1" si="17"/>
        <v>#N/A</v>
      </c>
      <c r="AI19" s="14" t="e">
        <f t="shared" ca="1" si="17"/>
        <v>#N/A</v>
      </c>
      <c r="AJ19" s="14" t="e">
        <f t="shared" ca="1" si="17"/>
        <v>#N/A</v>
      </c>
      <c r="AK19" s="14" t="e">
        <f t="shared" ca="1" si="17"/>
        <v>#N/A</v>
      </c>
      <c r="AL19" s="14" t="e">
        <f t="shared" ca="1" si="17"/>
        <v>#N/A</v>
      </c>
      <c r="AM19" s="15" t="e">
        <f t="shared" ca="1" si="17"/>
        <v>#N/A</v>
      </c>
      <c r="AN19" s="16" t="e">
        <f t="shared" ca="1" si="17"/>
        <v>#N/A</v>
      </c>
      <c r="AO19" s="13" t="e">
        <f t="shared" ca="1" si="17"/>
        <v>#N/A</v>
      </c>
      <c r="AP19" s="14" t="e">
        <f t="shared" ca="1" si="17"/>
        <v>#N/A</v>
      </c>
      <c r="AQ19" s="14" t="e">
        <f t="shared" ca="1" si="18"/>
        <v>#N/A</v>
      </c>
      <c r="AR19" s="14" t="e">
        <f t="shared" ca="1" si="18"/>
        <v>#N/A</v>
      </c>
      <c r="AS19" s="14" t="e">
        <f t="shared" ca="1" si="18"/>
        <v>#N/A</v>
      </c>
      <c r="AT19" s="15" t="e">
        <f t="shared" ca="1" si="18"/>
        <v>#N/A</v>
      </c>
      <c r="AU19" s="16" t="e">
        <f t="shared" ca="1" si="18"/>
        <v>#N/A</v>
      </c>
      <c r="AV19" s="13" t="e">
        <f t="shared" ca="1" si="18"/>
        <v>#N/A</v>
      </c>
      <c r="AW19" s="14" t="e">
        <f t="shared" ca="1" si="18"/>
        <v>#N/A</v>
      </c>
      <c r="AX19" s="14" t="e">
        <f t="shared" ca="1" si="18"/>
        <v>#N/A</v>
      </c>
      <c r="AY19" s="14" t="e">
        <f t="shared" ca="1" si="18"/>
        <v>#N/A</v>
      </c>
      <c r="AZ19" s="14" t="e">
        <f t="shared" ca="1" si="18"/>
        <v>#N/A</v>
      </c>
      <c r="BA19" s="15" t="e">
        <f t="shared" ca="1" si="18"/>
        <v>#N/A</v>
      </c>
      <c r="BB19" s="16" t="e">
        <f t="shared" ca="1" si="18"/>
        <v>#N/A</v>
      </c>
      <c r="BC19" s="13" t="e">
        <f t="shared" ca="1" si="18"/>
        <v>#N/A</v>
      </c>
      <c r="BD19" s="14" t="e">
        <f t="shared" ca="1" si="18"/>
        <v>#N/A</v>
      </c>
      <c r="BE19" s="14" t="e">
        <f t="shared" ca="1" si="18"/>
        <v>#N/A</v>
      </c>
      <c r="BF19" s="14" t="e">
        <f t="shared" ca="1" si="18"/>
        <v>#N/A</v>
      </c>
      <c r="BG19" s="14" t="e">
        <f t="shared" ca="1" si="19"/>
        <v>#N/A</v>
      </c>
      <c r="BH19" s="15" t="e">
        <f t="shared" ca="1" si="19"/>
        <v>#N/A</v>
      </c>
      <c r="BI19" s="16" t="e">
        <f t="shared" ca="1" si="19"/>
        <v>#N/A</v>
      </c>
      <c r="BJ19" s="13" t="e">
        <f t="shared" ca="1" si="19"/>
        <v>#N/A</v>
      </c>
      <c r="BK19" s="14" t="e">
        <f t="shared" ca="1" si="19"/>
        <v>#N/A</v>
      </c>
      <c r="BL19" s="14" t="e">
        <f t="shared" ca="1" si="19"/>
        <v>#N/A</v>
      </c>
      <c r="BM19" s="14" t="e">
        <f t="shared" ca="1" si="19"/>
        <v>#N/A</v>
      </c>
      <c r="BN19" s="14" t="e">
        <f t="shared" ca="1" si="19"/>
        <v>#N/A</v>
      </c>
      <c r="BO19" s="15" t="e">
        <f t="shared" ca="1" si="19"/>
        <v>#N/A</v>
      </c>
      <c r="BP19" s="16" t="e">
        <f t="shared" ca="1" si="19"/>
        <v>#N/A</v>
      </c>
      <c r="BQ19" s="13" t="e">
        <f t="shared" ca="1" si="19"/>
        <v>#N/A</v>
      </c>
      <c r="BR19" s="14" t="e">
        <f t="shared" ca="1" si="19"/>
        <v>#N/A</v>
      </c>
      <c r="BS19" s="14" t="e">
        <f t="shared" ca="1" si="19"/>
        <v>#N/A</v>
      </c>
      <c r="BT19" s="14" t="e">
        <f t="shared" ca="1" si="19"/>
        <v>#N/A</v>
      </c>
      <c r="BU19" s="14" t="e">
        <f t="shared" ca="1" si="19"/>
        <v>#N/A</v>
      </c>
      <c r="BV19" s="15" t="e">
        <f t="shared" ca="1" si="19"/>
        <v>#N/A</v>
      </c>
      <c r="BW19" s="16" t="e">
        <f t="shared" ca="1" si="20"/>
        <v>#N/A</v>
      </c>
      <c r="BX19" s="13" t="e">
        <f t="shared" ca="1" si="20"/>
        <v>#N/A</v>
      </c>
      <c r="BY19" s="14" t="e">
        <f t="shared" ca="1" si="20"/>
        <v>#N/A</v>
      </c>
      <c r="BZ19" s="14" t="e">
        <f t="shared" ca="1" si="20"/>
        <v>#N/A</v>
      </c>
      <c r="CA19" s="14" t="e">
        <f t="shared" ca="1" si="20"/>
        <v>#N/A</v>
      </c>
      <c r="CB19" s="14" t="e">
        <f t="shared" ca="1" si="20"/>
        <v>#N/A</v>
      </c>
      <c r="CC19" s="15" t="e">
        <f t="shared" ca="1" si="20"/>
        <v>#N/A</v>
      </c>
      <c r="CD19" s="16" t="e">
        <f t="shared" ca="1" si="20"/>
        <v>#N/A</v>
      </c>
      <c r="CE19" s="13" t="e">
        <f t="shared" ca="1" si="20"/>
        <v>#N/A</v>
      </c>
      <c r="CF19" s="14" t="e">
        <f t="shared" ca="1" si="20"/>
        <v>#N/A</v>
      </c>
      <c r="CG19" s="14" t="e">
        <f t="shared" ca="1" si="20"/>
        <v>#N/A</v>
      </c>
      <c r="CH19" s="14" t="e">
        <f t="shared" ca="1" si="20"/>
        <v>#N/A</v>
      </c>
      <c r="CI19" s="14" t="e">
        <f t="shared" ca="1" si="20"/>
        <v>#N/A</v>
      </c>
      <c r="CJ19" s="15" t="e">
        <f t="shared" ca="1" si="20"/>
        <v>#N/A</v>
      </c>
      <c r="CK19" s="16" t="e">
        <f t="shared" ca="1" si="20"/>
        <v>#N/A</v>
      </c>
      <c r="CL19" s="13" t="e">
        <f t="shared" ca="1" si="20"/>
        <v>#N/A</v>
      </c>
      <c r="CM19" s="14" t="e">
        <f t="shared" ca="1" si="21"/>
        <v>#N/A</v>
      </c>
      <c r="CN19" s="14" t="e">
        <f t="shared" ca="1" si="21"/>
        <v>#N/A</v>
      </c>
      <c r="CO19" s="14" t="e">
        <f t="shared" ca="1" si="21"/>
        <v>#N/A</v>
      </c>
      <c r="CP19" s="14" t="e">
        <f t="shared" ca="1" si="21"/>
        <v>#N/A</v>
      </c>
      <c r="CQ19" s="15" t="e">
        <f t="shared" ca="1" si="21"/>
        <v>#N/A</v>
      </c>
      <c r="CR19" s="16" t="e">
        <f t="shared" ca="1" si="21"/>
        <v>#N/A</v>
      </c>
      <c r="CS19" s="13" t="e">
        <f t="shared" ca="1" si="21"/>
        <v>#N/A</v>
      </c>
      <c r="CT19" s="14" t="e">
        <f t="shared" ca="1" si="21"/>
        <v>#N/A</v>
      </c>
      <c r="CU19" s="14" t="e">
        <f t="shared" ca="1" si="21"/>
        <v>#N/A</v>
      </c>
      <c r="CV19" s="14" t="e">
        <f t="shared" ca="1" si="21"/>
        <v>#N/A</v>
      </c>
      <c r="CW19" s="14" t="e">
        <f t="shared" ca="1" si="21"/>
        <v>#N/A</v>
      </c>
      <c r="CX19" s="15" t="e">
        <f t="shared" ca="1" si="21"/>
        <v>#N/A</v>
      </c>
      <c r="CY19" s="16" t="e">
        <f t="shared" ca="1" si="21"/>
        <v>#N/A</v>
      </c>
      <c r="CZ19" s="13" t="e">
        <f t="shared" ca="1" si="21"/>
        <v>#N/A</v>
      </c>
      <c r="DA19" s="14" t="e">
        <f t="shared" ca="1" si="21"/>
        <v>#N/A</v>
      </c>
      <c r="DB19" s="14" t="e">
        <f t="shared" ca="1" si="21"/>
        <v>#N/A</v>
      </c>
      <c r="DC19" s="14" t="e">
        <f t="shared" ca="1" si="22"/>
        <v>#N/A</v>
      </c>
      <c r="DD19" s="14" t="e">
        <f t="shared" ca="1" si="22"/>
        <v>#N/A</v>
      </c>
      <c r="DE19" s="15" t="e">
        <f t="shared" ca="1" si="22"/>
        <v>#N/A</v>
      </c>
      <c r="DF19" s="16" t="e">
        <f t="shared" ca="1" si="22"/>
        <v>#N/A</v>
      </c>
      <c r="DG19" s="13" t="e">
        <f t="shared" ca="1" si="22"/>
        <v>#N/A</v>
      </c>
      <c r="DH19" s="14" t="e">
        <f t="shared" ca="1" si="22"/>
        <v>#N/A</v>
      </c>
      <c r="DI19" s="14" t="e">
        <f t="shared" ca="1" si="22"/>
        <v>#N/A</v>
      </c>
      <c r="DJ19" s="14" t="e">
        <f t="shared" ca="1" si="22"/>
        <v>#N/A</v>
      </c>
      <c r="DK19" s="14" t="e">
        <f t="shared" ca="1" si="22"/>
        <v>#N/A</v>
      </c>
      <c r="DL19" s="15" t="e">
        <f t="shared" ca="1" si="22"/>
        <v>#N/A</v>
      </c>
      <c r="DM19" s="16" t="e">
        <f t="shared" ca="1" si="22"/>
        <v>#N/A</v>
      </c>
      <c r="DN19" s="13" t="e">
        <f t="shared" ca="1" si="22"/>
        <v>#N/A</v>
      </c>
      <c r="DO19" s="14" t="e">
        <f t="shared" ca="1" si="22"/>
        <v>#N/A</v>
      </c>
      <c r="DP19" s="14" t="e">
        <f t="shared" ca="1" si="22"/>
        <v>#N/A</v>
      </c>
      <c r="DQ19" s="14" t="e">
        <f t="shared" ca="1" si="22"/>
        <v>#N/A</v>
      </c>
      <c r="DR19" s="14" t="e">
        <f t="shared" ca="1" si="22"/>
        <v>#N/A</v>
      </c>
      <c r="DS19" s="15" t="e">
        <f t="shared" ca="1" si="22"/>
        <v>#N/A</v>
      </c>
      <c r="DT19" s="16" t="e">
        <f t="shared" ca="1" si="22"/>
        <v>#N/A</v>
      </c>
      <c r="DU19" s="13" t="e">
        <f t="shared" ca="1" si="23"/>
        <v>#N/A</v>
      </c>
      <c r="DV19" s="14" t="e">
        <f t="shared" ca="1" si="23"/>
        <v>#N/A</v>
      </c>
      <c r="DW19" s="14" t="e">
        <f t="shared" ca="1" si="23"/>
        <v>#N/A</v>
      </c>
      <c r="DX19" s="14" t="e">
        <f t="shared" ca="1" si="23"/>
        <v>#N/A</v>
      </c>
      <c r="DY19" s="14" t="e">
        <f t="shared" ca="1" si="23"/>
        <v>#N/A</v>
      </c>
      <c r="DZ19" s="15" t="e">
        <f t="shared" ca="1" si="23"/>
        <v>#N/A</v>
      </c>
      <c r="EA19" s="16" t="e">
        <f t="shared" ca="1" si="23"/>
        <v>#N/A</v>
      </c>
      <c r="EB19" s="13" t="e">
        <f t="shared" ca="1" si="23"/>
        <v>#N/A</v>
      </c>
      <c r="EC19" s="14" t="e">
        <f t="shared" ca="1" si="23"/>
        <v>#N/A</v>
      </c>
      <c r="ED19" s="14" t="e">
        <f t="shared" ca="1" si="23"/>
        <v>#N/A</v>
      </c>
      <c r="EE19" s="14" t="e">
        <f t="shared" ca="1" si="23"/>
        <v>#N/A</v>
      </c>
      <c r="EF19" s="14" t="e">
        <f t="shared" ca="1" si="23"/>
        <v>#N/A</v>
      </c>
      <c r="EG19" s="15" t="e">
        <f t="shared" ca="1" si="23"/>
        <v>#N/A</v>
      </c>
      <c r="EH19" s="16" t="e">
        <f t="shared" ca="1" si="23"/>
        <v>#N/A</v>
      </c>
      <c r="EI19" s="13" t="e">
        <f t="shared" ca="1" si="28"/>
        <v>#N/A</v>
      </c>
      <c r="EJ19" s="14" t="e">
        <f t="shared" ca="1" si="28"/>
        <v>#N/A</v>
      </c>
      <c r="EK19" s="14" t="e">
        <f t="shared" ca="1" si="28"/>
        <v>#N/A</v>
      </c>
      <c r="EL19" s="14" t="e">
        <f t="shared" ca="1" si="28"/>
        <v>#N/A</v>
      </c>
      <c r="EM19" s="14" t="e">
        <f t="shared" ca="1" si="28"/>
        <v>#N/A</v>
      </c>
      <c r="EN19" s="15" t="e">
        <f t="shared" ca="1" si="31"/>
        <v>#N/A</v>
      </c>
      <c r="EO19" s="16" t="e">
        <f t="shared" ca="1" si="31"/>
        <v>#N/A</v>
      </c>
      <c r="EP19" s="13" t="e">
        <f t="shared" ca="1" si="29"/>
        <v>#N/A</v>
      </c>
      <c r="EQ19" s="14" t="e">
        <f t="shared" ca="1" si="29"/>
        <v>#N/A</v>
      </c>
      <c r="ER19" s="14" t="e">
        <f t="shared" ca="1" si="29"/>
        <v>#N/A</v>
      </c>
      <c r="ES19" s="14" t="e">
        <f t="shared" ca="1" si="29"/>
        <v>#N/A</v>
      </c>
      <c r="ET19" s="14" t="e">
        <f t="shared" ca="1" si="29"/>
        <v>#N/A</v>
      </c>
      <c r="EU19" s="15" t="e">
        <f t="shared" ca="1" si="32"/>
        <v>#N/A</v>
      </c>
      <c r="EV19" s="16" t="e">
        <f t="shared" ca="1" si="32"/>
        <v>#N/A</v>
      </c>
      <c r="EW19" s="13" t="e">
        <f t="shared" ca="1" si="30"/>
        <v>#N/A</v>
      </c>
      <c r="EX19" s="14" t="e">
        <f t="shared" ca="1" si="30"/>
        <v>#N/A</v>
      </c>
      <c r="EY19" s="14" t="e">
        <f t="shared" ca="1" si="30"/>
        <v>#N/A</v>
      </c>
      <c r="EZ19" s="14" t="e">
        <f t="shared" ca="1" si="30"/>
        <v>#N/A</v>
      </c>
      <c r="FA19" s="14" t="e">
        <f t="shared" ca="1" si="30"/>
        <v>#N/A</v>
      </c>
      <c r="FB19" s="15" t="e">
        <f t="shared" ca="1" si="33"/>
        <v>#N/A</v>
      </c>
      <c r="FC19" s="16" t="e">
        <f t="shared" ca="1" si="33"/>
        <v>#N/A</v>
      </c>
    </row>
    <row r="20" spans="1:159" s="17" customFormat="1" ht="9.75" customHeight="1">
      <c r="A20" s="587"/>
      <c r="B20" s="26" t="str">
        <f>IF(COUNTIF(buffer_train[AILN],B5)&gt;0,"Buffer Train","")</f>
        <v/>
      </c>
      <c r="C20" s="19" t="e">
        <f ca="1">E19+1</f>
        <v>#N/A</v>
      </c>
      <c r="D20" s="21" t="str">
        <f>_xlfn.XLOOKUP(A25,'VTT next'!F:F,'VTT next'!AO:AO,"-",0)</f>
        <v>-</v>
      </c>
      <c r="E20" s="19" t="e">
        <f ca="1">C20-1+IF(D20="-",0,D20)</f>
        <v>#N/A</v>
      </c>
      <c r="F20" s="13" t="e">
        <f ca="1">IF(AND(F$5&gt;=$C20,F$5&lt;=$E20),1,"")</f>
        <v>#N/A</v>
      </c>
      <c r="G20" s="14" t="e">
        <f t="shared" ca="1" si="16"/>
        <v>#N/A</v>
      </c>
      <c r="H20" s="14" t="e">
        <f t="shared" ca="1" si="16"/>
        <v>#N/A</v>
      </c>
      <c r="I20" s="14" t="e">
        <f t="shared" ca="1" si="16"/>
        <v>#N/A</v>
      </c>
      <c r="J20" s="14" t="e">
        <f t="shared" ref="J20:Z20" ca="1" si="34">IF(AND(J$5&gt;=$C20,J$5&lt;=$E20),1,"")</f>
        <v>#N/A</v>
      </c>
      <c r="K20" s="15" t="e">
        <f t="shared" ca="1" si="34"/>
        <v>#N/A</v>
      </c>
      <c r="L20" s="16" t="e">
        <f t="shared" ca="1" si="34"/>
        <v>#N/A</v>
      </c>
      <c r="M20" s="13" t="e">
        <f t="shared" ca="1" si="34"/>
        <v>#N/A</v>
      </c>
      <c r="N20" s="14" t="e">
        <f t="shared" ca="1" si="34"/>
        <v>#N/A</v>
      </c>
      <c r="O20" s="14" t="e">
        <f t="shared" ca="1" si="34"/>
        <v>#N/A</v>
      </c>
      <c r="P20" s="14" t="e">
        <f t="shared" ca="1" si="34"/>
        <v>#N/A</v>
      </c>
      <c r="Q20" s="14" t="e">
        <f t="shared" ca="1" si="34"/>
        <v>#N/A</v>
      </c>
      <c r="R20" s="15" t="e">
        <f t="shared" ca="1" si="34"/>
        <v>#N/A</v>
      </c>
      <c r="S20" s="16" t="e">
        <f t="shared" ca="1" si="34"/>
        <v>#N/A</v>
      </c>
      <c r="T20" s="13" t="e">
        <f t="shared" ca="1" si="34"/>
        <v>#N/A</v>
      </c>
      <c r="U20" s="14" t="e">
        <f t="shared" ca="1" si="34"/>
        <v>#N/A</v>
      </c>
      <c r="V20" s="14" t="e">
        <f t="shared" ca="1" si="34"/>
        <v>#N/A</v>
      </c>
      <c r="W20" s="14" t="e">
        <f t="shared" ca="1" si="34"/>
        <v>#N/A</v>
      </c>
      <c r="X20" s="14" t="e">
        <f t="shared" ca="1" si="34"/>
        <v>#N/A</v>
      </c>
      <c r="Y20" s="15" t="e">
        <f t="shared" ca="1" si="34"/>
        <v>#N/A</v>
      </c>
      <c r="Z20" s="16" t="e">
        <f t="shared" ca="1" si="34"/>
        <v>#N/A</v>
      </c>
      <c r="AA20" s="13" t="e">
        <f t="shared" ca="1" si="17"/>
        <v>#N/A</v>
      </c>
      <c r="AB20" s="14" t="e">
        <f t="shared" ca="1" si="17"/>
        <v>#N/A</v>
      </c>
      <c r="AC20" s="14" t="e">
        <f t="shared" ca="1" si="17"/>
        <v>#N/A</v>
      </c>
      <c r="AD20" s="14" t="e">
        <f t="shared" ca="1" si="17"/>
        <v>#N/A</v>
      </c>
      <c r="AE20" s="14" t="e">
        <f t="shared" ca="1" si="17"/>
        <v>#N/A</v>
      </c>
      <c r="AF20" s="15" t="e">
        <f t="shared" ca="1" si="17"/>
        <v>#N/A</v>
      </c>
      <c r="AG20" s="16" t="e">
        <f t="shared" ca="1" si="17"/>
        <v>#N/A</v>
      </c>
      <c r="AH20" s="13" t="e">
        <f t="shared" ca="1" si="17"/>
        <v>#N/A</v>
      </c>
      <c r="AI20" s="14" t="e">
        <f t="shared" ca="1" si="17"/>
        <v>#N/A</v>
      </c>
      <c r="AJ20" s="14" t="e">
        <f t="shared" ca="1" si="17"/>
        <v>#N/A</v>
      </c>
      <c r="AK20" s="14" t="e">
        <f t="shared" ca="1" si="17"/>
        <v>#N/A</v>
      </c>
      <c r="AL20" s="14" t="e">
        <f t="shared" ca="1" si="17"/>
        <v>#N/A</v>
      </c>
      <c r="AM20" s="15" t="e">
        <f t="shared" ca="1" si="17"/>
        <v>#N/A</v>
      </c>
      <c r="AN20" s="16" t="e">
        <f t="shared" ca="1" si="17"/>
        <v>#N/A</v>
      </c>
      <c r="AO20" s="13" t="e">
        <f t="shared" ca="1" si="17"/>
        <v>#N/A</v>
      </c>
      <c r="AP20" s="14" t="e">
        <f t="shared" ca="1" si="17"/>
        <v>#N/A</v>
      </c>
      <c r="AQ20" s="14" t="e">
        <f t="shared" ca="1" si="18"/>
        <v>#N/A</v>
      </c>
      <c r="AR20" s="14" t="e">
        <f t="shared" ca="1" si="18"/>
        <v>#N/A</v>
      </c>
      <c r="AS20" s="14" t="e">
        <f t="shared" ca="1" si="18"/>
        <v>#N/A</v>
      </c>
      <c r="AT20" s="15" t="e">
        <f t="shared" ca="1" si="18"/>
        <v>#N/A</v>
      </c>
      <c r="AU20" s="16" t="e">
        <f t="shared" ca="1" si="18"/>
        <v>#N/A</v>
      </c>
      <c r="AV20" s="13" t="e">
        <f t="shared" ca="1" si="18"/>
        <v>#N/A</v>
      </c>
      <c r="AW20" s="14" t="e">
        <f t="shared" ca="1" si="18"/>
        <v>#N/A</v>
      </c>
      <c r="AX20" s="14" t="e">
        <f t="shared" ca="1" si="18"/>
        <v>#N/A</v>
      </c>
      <c r="AY20" s="14" t="e">
        <f t="shared" ca="1" si="18"/>
        <v>#N/A</v>
      </c>
      <c r="AZ20" s="14" t="e">
        <f t="shared" ca="1" si="18"/>
        <v>#N/A</v>
      </c>
      <c r="BA20" s="15" t="e">
        <f t="shared" ca="1" si="18"/>
        <v>#N/A</v>
      </c>
      <c r="BB20" s="16" t="e">
        <f t="shared" ca="1" si="18"/>
        <v>#N/A</v>
      </c>
      <c r="BC20" s="13" t="e">
        <f t="shared" ca="1" si="18"/>
        <v>#N/A</v>
      </c>
      <c r="BD20" s="14" t="e">
        <f t="shared" ca="1" si="18"/>
        <v>#N/A</v>
      </c>
      <c r="BE20" s="14" t="e">
        <f t="shared" ca="1" si="18"/>
        <v>#N/A</v>
      </c>
      <c r="BF20" s="14" t="e">
        <f t="shared" ca="1" si="18"/>
        <v>#N/A</v>
      </c>
      <c r="BG20" s="14" t="e">
        <f t="shared" ca="1" si="19"/>
        <v>#N/A</v>
      </c>
      <c r="BH20" s="15" t="e">
        <f t="shared" ca="1" si="19"/>
        <v>#N/A</v>
      </c>
      <c r="BI20" s="16" t="e">
        <f t="shared" ca="1" si="19"/>
        <v>#N/A</v>
      </c>
      <c r="BJ20" s="13" t="e">
        <f t="shared" ca="1" si="19"/>
        <v>#N/A</v>
      </c>
      <c r="BK20" s="14" t="e">
        <f t="shared" ca="1" si="19"/>
        <v>#N/A</v>
      </c>
      <c r="BL20" s="14" t="e">
        <f t="shared" ca="1" si="19"/>
        <v>#N/A</v>
      </c>
      <c r="BM20" s="14" t="e">
        <f t="shared" ca="1" si="19"/>
        <v>#N/A</v>
      </c>
      <c r="BN20" s="14" t="e">
        <f t="shared" ca="1" si="19"/>
        <v>#N/A</v>
      </c>
      <c r="BO20" s="15" t="e">
        <f t="shared" ca="1" si="19"/>
        <v>#N/A</v>
      </c>
      <c r="BP20" s="16" t="e">
        <f t="shared" ca="1" si="19"/>
        <v>#N/A</v>
      </c>
      <c r="BQ20" s="13" t="e">
        <f t="shared" ca="1" si="19"/>
        <v>#N/A</v>
      </c>
      <c r="BR20" s="14" t="e">
        <f t="shared" ca="1" si="19"/>
        <v>#N/A</v>
      </c>
      <c r="BS20" s="14" t="e">
        <f t="shared" ca="1" si="19"/>
        <v>#N/A</v>
      </c>
      <c r="BT20" s="14" t="e">
        <f t="shared" ca="1" si="19"/>
        <v>#N/A</v>
      </c>
      <c r="BU20" s="14" t="e">
        <f t="shared" ca="1" si="19"/>
        <v>#N/A</v>
      </c>
      <c r="BV20" s="15" t="e">
        <f t="shared" ca="1" si="19"/>
        <v>#N/A</v>
      </c>
      <c r="BW20" s="16" t="e">
        <f t="shared" ca="1" si="20"/>
        <v>#N/A</v>
      </c>
      <c r="BX20" s="13" t="e">
        <f t="shared" ca="1" si="20"/>
        <v>#N/A</v>
      </c>
      <c r="BY20" s="14" t="e">
        <f t="shared" ca="1" si="20"/>
        <v>#N/A</v>
      </c>
      <c r="BZ20" s="14" t="e">
        <f t="shared" ca="1" si="20"/>
        <v>#N/A</v>
      </c>
      <c r="CA20" s="14" t="e">
        <f t="shared" ca="1" si="20"/>
        <v>#N/A</v>
      </c>
      <c r="CB20" s="14" t="e">
        <f t="shared" ca="1" si="20"/>
        <v>#N/A</v>
      </c>
      <c r="CC20" s="15" t="e">
        <f t="shared" ca="1" si="20"/>
        <v>#N/A</v>
      </c>
      <c r="CD20" s="16" t="e">
        <f t="shared" ca="1" si="20"/>
        <v>#N/A</v>
      </c>
      <c r="CE20" s="13" t="e">
        <f t="shared" ca="1" si="20"/>
        <v>#N/A</v>
      </c>
      <c r="CF20" s="14" t="e">
        <f t="shared" ca="1" si="20"/>
        <v>#N/A</v>
      </c>
      <c r="CG20" s="14" t="e">
        <f t="shared" ca="1" si="20"/>
        <v>#N/A</v>
      </c>
      <c r="CH20" s="14" t="e">
        <f t="shared" ca="1" si="20"/>
        <v>#N/A</v>
      </c>
      <c r="CI20" s="14" t="e">
        <f t="shared" ca="1" si="20"/>
        <v>#N/A</v>
      </c>
      <c r="CJ20" s="15" t="e">
        <f t="shared" ca="1" si="20"/>
        <v>#N/A</v>
      </c>
      <c r="CK20" s="16" t="e">
        <f t="shared" ca="1" si="20"/>
        <v>#N/A</v>
      </c>
      <c r="CL20" s="13" t="e">
        <f t="shared" ca="1" si="20"/>
        <v>#N/A</v>
      </c>
      <c r="CM20" s="14" t="e">
        <f t="shared" ca="1" si="21"/>
        <v>#N/A</v>
      </c>
      <c r="CN20" s="14" t="e">
        <f t="shared" ca="1" si="21"/>
        <v>#N/A</v>
      </c>
      <c r="CO20" s="14" t="e">
        <f t="shared" ca="1" si="21"/>
        <v>#N/A</v>
      </c>
      <c r="CP20" s="14" t="e">
        <f t="shared" ca="1" si="21"/>
        <v>#N/A</v>
      </c>
      <c r="CQ20" s="15" t="e">
        <f t="shared" ca="1" si="21"/>
        <v>#N/A</v>
      </c>
      <c r="CR20" s="16" t="e">
        <f t="shared" ca="1" si="21"/>
        <v>#N/A</v>
      </c>
      <c r="CS20" s="13" t="e">
        <f t="shared" ca="1" si="21"/>
        <v>#N/A</v>
      </c>
      <c r="CT20" s="14" t="e">
        <f t="shared" ca="1" si="21"/>
        <v>#N/A</v>
      </c>
      <c r="CU20" s="14" t="e">
        <f t="shared" ca="1" si="21"/>
        <v>#N/A</v>
      </c>
      <c r="CV20" s="14" t="e">
        <f t="shared" ca="1" si="21"/>
        <v>#N/A</v>
      </c>
      <c r="CW20" s="14" t="e">
        <f t="shared" ca="1" si="21"/>
        <v>#N/A</v>
      </c>
      <c r="CX20" s="15" t="e">
        <f t="shared" ca="1" si="21"/>
        <v>#N/A</v>
      </c>
      <c r="CY20" s="16" t="e">
        <f t="shared" ca="1" si="21"/>
        <v>#N/A</v>
      </c>
      <c r="CZ20" s="13" t="e">
        <f t="shared" ca="1" si="21"/>
        <v>#N/A</v>
      </c>
      <c r="DA20" s="14" t="e">
        <f t="shared" ca="1" si="21"/>
        <v>#N/A</v>
      </c>
      <c r="DB20" s="14" t="e">
        <f t="shared" ca="1" si="21"/>
        <v>#N/A</v>
      </c>
      <c r="DC20" s="14" t="e">
        <f t="shared" ca="1" si="22"/>
        <v>#N/A</v>
      </c>
      <c r="DD20" s="14" t="e">
        <f t="shared" ca="1" si="22"/>
        <v>#N/A</v>
      </c>
      <c r="DE20" s="15" t="e">
        <f t="shared" ca="1" si="22"/>
        <v>#N/A</v>
      </c>
      <c r="DF20" s="16" t="e">
        <f t="shared" ca="1" si="22"/>
        <v>#N/A</v>
      </c>
      <c r="DG20" s="13" t="e">
        <f t="shared" ca="1" si="22"/>
        <v>#N/A</v>
      </c>
      <c r="DH20" s="14" t="e">
        <f t="shared" ca="1" si="22"/>
        <v>#N/A</v>
      </c>
      <c r="DI20" s="14" t="e">
        <f t="shared" ca="1" si="22"/>
        <v>#N/A</v>
      </c>
      <c r="DJ20" s="14" t="e">
        <f t="shared" ca="1" si="22"/>
        <v>#N/A</v>
      </c>
      <c r="DK20" s="14" t="e">
        <f t="shared" ca="1" si="22"/>
        <v>#N/A</v>
      </c>
      <c r="DL20" s="15" t="e">
        <f t="shared" ca="1" si="22"/>
        <v>#N/A</v>
      </c>
      <c r="DM20" s="16" t="e">
        <f t="shared" ca="1" si="22"/>
        <v>#N/A</v>
      </c>
      <c r="DN20" s="13" t="e">
        <f t="shared" ca="1" si="22"/>
        <v>#N/A</v>
      </c>
      <c r="DO20" s="14" t="e">
        <f t="shared" ca="1" si="22"/>
        <v>#N/A</v>
      </c>
      <c r="DP20" s="14" t="e">
        <f t="shared" ca="1" si="22"/>
        <v>#N/A</v>
      </c>
      <c r="DQ20" s="14" t="e">
        <f t="shared" ca="1" si="22"/>
        <v>#N/A</v>
      </c>
      <c r="DR20" s="14" t="e">
        <f t="shared" ca="1" si="22"/>
        <v>#N/A</v>
      </c>
      <c r="DS20" s="15" t="e">
        <f t="shared" ca="1" si="22"/>
        <v>#N/A</v>
      </c>
      <c r="DT20" s="16" t="e">
        <f t="shared" ca="1" si="22"/>
        <v>#N/A</v>
      </c>
      <c r="DU20" s="13" t="e">
        <f t="shared" ca="1" si="23"/>
        <v>#N/A</v>
      </c>
      <c r="DV20" s="14" t="e">
        <f t="shared" ca="1" si="23"/>
        <v>#N/A</v>
      </c>
      <c r="DW20" s="14" t="e">
        <f t="shared" ca="1" si="23"/>
        <v>#N/A</v>
      </c>
      <c r="DX20" s="14" t="e">
        <f t="shared" ca="1" si="23"/>
        <v>#N/A</v>
      </c>
      <c r="DY20" s="14" t="e">
        <f t="shared" ca="1" si="23"/>
        <v>#N/A</v>
      </c>
      <c r="DZ20" s="15" t="e">
        <f t="shared" ca="1" si="23"/>
        <v>#N/A</v>
      </c>
      <c r="EA20" s="16" t="e">
        <f t="shared" ca="1" si="23"/>
        <v>#N/A</v>
      </c>
      <c r="EB20" s="13" t="e">
        <f t="shared" ca="1" si="23"/>
        <v>#N/A</v>
      </c>
      <c r="EC20" s="14" t="e">
        <f t="shared" ca="1" si="23"/>
        <v>#N/A</v>
      </c>
      <c r="ED20" s="14" t="e">
        <f t="shared" ca="1" si="23"/>
        <v>#N/A</v>
      </c>
      <c r="EE20" s="14" t="e">
        <f t="shared" ca="1" si="23"/>
        <v>#N/A</v>
      </c>
      <c r="EF20" s="14" t="e">
        <f t="shared" ca="1" si="23"/>
        <v>#N/A</v>
      </c>
      <c r="EG20" s="15" t="e">
        <f t="shared" ca="1" si="23"/>
        <v>#N/A</v>
      </c>
      <c r="EH20" s="16" t="e">
        <f t="shared" ca="1" si="23"/>
        <v>#N/A</v>
      </c>
      <c r="EI20" s="13" t="e">
        <f t="shared" ca="1" si="28"/>
        <v>#N/A</v>
      </c>
      <c r="EJ20" s="14" t="e">
        <f t="shared" ca="1" si="28"/>
        <v>#N/A</v>
      </c>
      <c r="EK20" s="14" t="e">
        <f t="shared" ca="1" si="28"/>
        <v>#N/A</v>
      </c>
      <c r="EL20" s="14" t="e">
        <f t="shared" ca="1" si="28"/>
        <v>#N/A</v>
      </c>
      <c r="EM20" s="14" t="e">
        <f t="shared" ca="1" si="28"/>
        <v>#N/A</v>
      </c>
      <c r="EN20" s="15" t="e">
        <f t="shared" ca="1" si="31"/>
        <v>#N/A</v>
      </c>
      <c r="EO20" s="16" t="e">
        <f t="shared" ca="1" si="31"/>
        <v>#N/A</v>
      </c>
      <c r="EP20" s="13" t="e">
        <f t="shared" ca="1" si="29"/>
        <v>#N/A</v>
      </c>
      <c r="EQ20" s="14" t="e">
        <f t="shared" ca="1" si="29"/>
        <v>#N/A</v>
      </c>
      <c r="ER20" s="14" t="e">
        <f t="shared" ca="1" si="29"/>
        <v>#N/A</v>
      </c>
      <c r="ES20" s="14" t="e">
        <f t="shared" ca="1" si="29"/>
        <v>#N/A</v>
      </c>
      <c r="ET20" s="14" t="e">
        <f t="shared" ca="1" si="29"/>
        <v>#N/A</v>
      </c>
      <c r="EU20" s="15" t="e">
        <f t="shared" ca="1" si="32"/>
        <v>#N/A</v>
      </c>
      <c r="EV20" s="16" t="e">
        <f t="shared" ca="1" si="32"/>
        <v>#N/A</v>
      </c>
      <c r="EW20" s="13" t="e">
        <f t="shared" ca="1" si="30"/>
        <v>#N/A</v>
      </c>
      <c r="EX20" s="14" t="e">
        <f t="shared" ca="1" si="30"/>
        <v>#N/A</v>
      </c>
      <c r="EY20" s="14" t="e">
        <f t="shared" ca="1" si="30"/>
        <v>#N/A</v>
      </c>
      <c r="EZ20" s="14" t="e">
        <f t="shared" ca="1" si="30"/>
        <v>#N/A</v>
      </c>
      <c r="FA20" s="14" t="e">
        <f t="shared" ca="1" si="30"/>
        <v>#N/A</v>
      </c>
      <c r="FB20" s="15" t="e">
        <f t="shared" ca="1" si="33"/>
        <v>#N/A</v>
      </c>
      <c r="FC20" s="16" t="e">
        <f t="shared" ca="1" si="33"/>
        <v>#N/A</v>
      </c>
    </row>
    <row r="21" spans="1:159" s="17" customFormat="1" ht="9.75" customHeight="1">
      <c r="A21" s="92" t="str">
        <f>_xlfn.CONCAT(B3,"-","Actif")</f>
        <v>KWE Shanghai-Actif</v>
      </c>
      <c r="B21" s="24" t="str">
        <f>IF(B5=0,"","Transport to PFI")</f>
        <v/>
      </c>
      <c r="C21" s="19" t="e">
        <f ca="1">E20+1</f>
        <v>#N/A</v>
      </c>
      <c r="D21" s="19" t="e">
        <f ca="1">_xlfn.XLOOKUP(A25,'VTT next'!F:F,'VTT next'!AP:AP,"0",0)</f>
        <v>#N/A</v>
      </c>
      <c r="E21" s="19" t="e">
        <f ca="1">C21-1+IF(D21="-",0,D21)</f>
        <v>#N/A</v>
      </c>
      <c r="F21" s="13" t="e">
        <f t="shared" ref="F21:BQ24" ca="1" si="35">IF(AND(F$5&gt;=$C21,F$5&lt;=$E21),1,"")</f>
        <v>#N/A</v>
      </c>
      <c r="G21" s="14" t="e">
        <f t="shared" ca="1" si="35"/>
        <v>#N/A</v>
      </c>
      <c r="H21" s="14" t="e">
        <f t="shared" ca="1" si="35"/>
        <v>#N/A</v>
      </c>
      <c r="I21" s="14" t="e">
        <f t="shared" ca="1" si="35"/>
        <v>#N/A</v>
      </c>
      <c r="J21" s="14" t="e">
        <f t="shared" ca="1" si="35"/>
        <v>#N/A</v>
      </c>
      <c r="K21" s="15" t="e">
        <f t="shared" ca="1" si="35"/>
        <v>#N/A</v>
      </c>
      <c r="L21" s="16" t="e">
        <f t="shared" ca="1" si="35"/>
        <v>#N/A</v>
      </c>
      <c r="M21" s="13" t="e">
        <f t="shared" ca="1" si="35"/>
        <v>#N/A</v>
      </c>
      <c r="N21" s="14" t="e">
        <f t="shared" ca="1" si="35"/>
        <v>#N/A</v>
      </c>
      <c r="O21" s="14" t="e">
        <f t="shared" ca="1" si="35"/>
        <v>#N/A</v>
      </c>
      <c r="P21" s="14" t="e">
        <f t="shared" ca="1" si="35"/>
        <v>#N/A</v>
      </c>
      <c r="Q21" s="14" t="e">
        <f t="shared" ca="1" si="35"/>
        <v>#N/A</v>
      </c>
      <c r="R21" s="15" t="e">
        <f t="shared" ca="1" si="35"/>
        <v>#N/A</v>
      </c>
      <c r="S21" s="16" t="e">
        <f t="shared" ca="1" si="35"/>
        <v>#N/A</v>
      </c>
      <c r="T21" s="13" t="e">
        <f t="shared" ca="1" si="35"/>
        <v>#N/A</v>
      </c>
      <c r="U21" s="14" t="e">
        <f t="shared" ca="1" si="35"/>
        <v>#N/A</v>
      </c>
      <c r="V21" s="14" t="e">
        <f t="shared" ca="1" si="35"/>
        <v>#N/A</v>
      </c>
      <c r="W21" s="14" t="e">
        <f t="shared" ca="1" si="35"/>
        <v>#N/A</v>
      </c>
      <c r="X21" s="14" t="e">
        <f t="shared" ca="1" si="35"/>
        <v>#N/A</v>
      </c>
      <c r="Y21" s="15" t="e">
        <f t="shared" ca="1" si="35"/>
        <v>#N/A</v>
      </c>
      <c r="Z21" s="16" t="e">
        <f t="shared" ca="1" si="35"/>
        <v>#N/A</v>
      </c>
      <c r="AA21" s="13" t="e">
        <f t="shared" ca="1" si="35"/>
        <v>#N/A</v>
      </c>
      <c r="AB21" s="14" t="e">
        <f t="shared" ca="1" si="35"/>
        <v>#N/A</v>
      </c>
      <c r="AC21" s="14" t="e">
        <f t="shared" ca="1" si="35"/>
        <v>#N/A</v>
      </c>
      <c r="AD21" s="14" t="e">
        <f t="shared" ca="1" si="35"/>
        <v>#N/A</v>
      </c>
      <c r="AE21" s="14" t="e">
        <f t="shared" ca="1" si="35"/>
        <v>#N/A</v>
      </c>
      <c r="AF21" s="15" t="e">
        <f t="shared" ca="1" si="35"/>
        <v>#N/A</v>
      </c>
      <c r="AG21" s="16" t="e">
        <f t="shared" ca="1" si="35"/>
        <v>#N/A</v>
      </c>
      <c r="AH21" s="13" t="e">
        <f t="shared" ca="1" si="35"/>
        <v>#N/A</v>
      </c>
      <c r="AI21" s="14" t="e">
        <f t="shared" ca="1" si="35"/>
        <v>#N/A</v>
      </c>
      <c r="AJ21" s="14" t="e">
        <f t="shared" ca="1" si="35"/>
        <v>#N/A</v>
      </c>
      <c r="AK21" s="14" t="e">
        <f t="shared" ca="1" si="35"/>
        <v>#N/A</v>
      </c>
      <c r="AL21" s="14" t="e">
        <f t="shared" ca="1" si="35"/>
        <v>#N/A</v>
      </c>
      <c r="AM21" s="15" t="e">
        <f t="shared" ca="1" si="35"/>
        <v>#N/A</v>
      </c>
      <c r="AN21" s="16" t="e">
        <f t="shared" ca="1" si="35"/>
        <v>#N/A</v>
      </c>
      <c r="AO21" s="13" t="e">
        <f t="shared" ca="1" si="35"/>
        <v>#N/A</v>
      </c>
      <c r="AP21" s="14" t="e">
        <f t="shared" ca="1" si="35"/>
        <v>#N/A</v>
      </c>
      <c r="AQ21" s="14" t="e">
        <f t="shared" ca="1" si="35"/>
        <v>#N/A</v>
      </c>
      <c r="AR21" s="14" t="e">
        <f t="shared" ca="1" si="35"/>
        <v>#N/A</v>
      </c>
      <c r="AS21" s="14" t="e">
        <f t="shared" ca="1" si="35"/>
        <v>#N/A</v>
      </c>
      <c r="AT21" s="15" t="e">
        <f t="shared" ca="1" si="35"/>
        <v>#N/A</v>
      </c>
      <c r="AU21" s="16" t="e">
        <f t="shared" ca="1" si="35"/>
        <v>#N/A</v>
      </c>
      <c r="AV21" s="13" t="e">
        <f t="shared" ca="1" si="35"/>
        <v>#N/A</v>
      </c>
      <c r="AW21" s="14" t="e">
        <f t="shared" ca="1" si="35"/>
        <v>#N/A</v>
      </c>
      <c r="AX21" s="14" t="e">
        <f t="shared" ca="1" si="35"/>
        <v>#N/A</v>
      </c>
      <c r="AY21" s="14" t="e">
        <f t="shared" ca="1" si="35"/>
        <v>#N/A</v>
      </c>
      <c r="AZ21" s="14" t="e">
        <f t="shared" ca="1" si="35"/>
        <v>#N/A</v>
      </c>
      <c r="BA21" s="15" t="e">
        <f t="shared" ca="1" si="35"/>
        <v>#N/A</v>
      </c>
      <c r="BB21" s="16" t="e">
        <f t="shared" ca="1" si="35"/>
        <v>#N/A</v>
      </c>
      <c r="BC21" s="13" t="e">
        <f t="shared" ca="1" si="35"/>
        <v>#N/A</v>
      </c>
      <c r="BD21" s="14" t="e">
        <f t="shared" ca="1" si="35"/>
        <v>#N/A</v>
      </c>
      <c r="BE21" s="14" t="e">
        <f t="shared" ca="1" si="35"/>
        <v>#N/A</v>
      </c>
      <c r="BF21" s="14" t="e">
        <f t="shared" ca="1" si="35"/>
        <v>#N/A</v>
      </c>
      <c r="BG21" s="14" t="e">
        <f t="shared" ca="1" si="35"/>
        <v>#N/A</v>
      </c>
      <c r="BH21" s="15" t="e">
        <f t="shared" ca="1" si="35"/>
        <v>#N/A</v>
      </c>
      <c r="BI21" s="16" t="e">
        <f t="shared" ca="1" si="35"/>
        <v>#N/A</v>
      </c>
      <c r="BJ21" s="13" t="e">
        <f t="shared" ca="1" si="35"/>
        <v>#N/A</v>
      </c>
      <c r="BK21" s="14" t="e">
        <f t="shared" ca="1" si="35"/>
        <v>#N/A</v>
      </c>
      <c r="BL21" s="14" t="e">
        <f t="shared" ca="1" si="35"/>
        <v>#N/A</v>
      </c>
      <c r="BM21" s="14" t="e">
        <f t="shared" ca="1" si="35"/>
        <v>#N/A</v>
      </c>
      <c r="BN21" s="14" t="e">
        <f t="shared" ca="1" si="35"/>
        <v>#N/A</v>
      </c>
      <c r="BO21" s="15" t="e">
        <f t="shared" ca="1" si="35"/>
        <v>#N/A</v>
      </c>
      <c r="BP21" s="16" t="e">
        <f t="shared" ca="1" si="35"/>
        <v>#N/A</v>
      </c>
      <c r="BQ21" s="13" t="e">
        <f t="shared" ca="1" si="35"/>
        <v>#N/A</v>
      </c>
      <c r="BR21" s="14" t="e">
        <f t="shared" ca="1" si="19"/>
        <v>#N/A</v>
      </c>
      <c r="BS21" s="14" t="e">
        <f t="shared" ca="1" si="19"/>
        <v>#N/A</v>
      </c>
      <c r="BT21" s="14" t="e">
        <f t="shared" ca="1" si="19"/>
        <v>#N/A</v>
      </c>
      <c r="BU21" s="14" t="e">
        <f t="shared" ca="1" si="19"/>
        <v>#N/A</v>
      </c>
      <c r="BV21" s="15" t="e">
        <f t="shared" ca="1" si="19"/>
        <v>#N/A</v>
      </c>
      <c r="BW21" s="16" t="e">
        <f t="shared" ca="1" si="20"/>
        <v>#N/A</v>
      </c>
      <c r="BX21" s="13" t="e">
        <f t="shared" ca="1" si="20"/>
        <v>#N/A</v>
      </c>
      <c r="BY21" s="14" t="e">
        <f t="shared" ca="1" si="20"/>
        <v>#N/A</v>
      </c>
      <c r="BZ21" s="14" t="e">
        <f t="shared" ca="1" si="20"/>
        <v>#N/A</v>
      </c>
      <c r="CA21" s="14" t="e">
        <f t="shared" ca="1" si="20"/>
        <v>#N/A</v>
      </c>
      <c r="CB21" s="14" t="e">
        <f t="shared" ca="1" si="20"/>
        <v>#N/A</v>
      </c>
      <c r="CC21" s="15" t="e">
        <f t="shared" ca="1" si="20"/>
        <v>#N/A</v>
      </c>
      <c r="CD21" s="16" t="e">
        <f t="shared" ca="1" si="20"/>
        <v>#N/A</v>
      </c>
      <c r="CE21" s="13" t="e">
        <f t="shared" ca="1" si="20"/>
        <v>#N/A</v>
      </c>
      <c r="CF21" s="14" t="e">
        <f t="shared" ca="1" si="20"/>
        <v>#N/A</v>
      </c>
      <c r="CG21" s="14" t="e">
        <f t="shared" ca="1" si="20"/>
        <v>#N/A</v>
      </c>
      <c r="CH21" s="14" t="e">
        <f t="shared" ca="1" si="20"/>
        <v>#N/A</v>
      </c>
      <c r="CI21" s="14" t="e">
        <f t="shared" ca="1" si="20"/>
        <v>#N/A</v>
      </c>
      <c r="CJ21" s="15" t="e">
        <f t="shared" ca="1" si="20"/>
        <v>#N/A</v>
      </c>
      <c r="CK21" s="16" t="e">
        <f t="shared" ca="1" si="20"/>
        <v>#N/A</v>
      </c>
      <c r="CL21" s="13" t="e">
        <f t="shared" ca="1" si="20"/>
        <v>#N/A</v>
      </c>
      <c r="CM21" s="14" t="e">
        <f t="shared" ca="1" si="21"/>
        <v>#N/A</v>
      </c>
      <c r="CN21" s="14" t="e">
        <f t="shared" ca="1" si="21"/>
        <v>#N/A</v>
      </c>
      <c r="CO21" s="14" t="e">
        <f t="shared" ca="1" si="21"/>
        <v>#N/A</v>
      </c>
      <c r="CP21" s="14" t="e">
        <f t="shared" ca="1" si="21"/>
        <v>#N/A</v>
      </c>
      <c r="CQ21" s="15" t="e">
        <f t="shared" ca="1" si="21"/>
        <v>#N/A</v>
      </c>
      <c r="CR21" s="16" t="e">
        <f t="shared" ca="1" si="21"/>
        <v>#N/A</v>
      </c>
      <c r="CS21" s="13" t="e">
        <f t="shared" ca="1" si="21"/>
        <v>#N/A</v>
      </c>
      <c r="CT21" s="14" t="e">
        <f t="shared" ca="1" si="21"/>
        <v>#N/A</v>
      </c>
      <c r="CU21" s="14" t="e">
        <f t="shared" ca="1" si="21"/>
        <v>#N/A</v>
      </c>
      <c r="CV21" s="14" t="e">
        <f t="shared" ca="1" si="21"/>
        <v>#N/A</v>
      </c>
      <c r="CW21" s="14" t="e">
        <f t="shared" ca="1" si="21"/>
        <v>#N/A</v>
      </c>
      <c r="CX21" s="15" t="e">
        <f t="shared" ca="1" si="21"/>
        <v>#N/A</v>
      </c>
      <c r="CY21" s="16" t="e">
        <f t="shared" ca="1" si="21"/>
        <v>#N/A</v>
      </c>
      <c r="CZ21" s="13" t="e">
        <f t="shared" ca="1" si="21"/>
        <v>#N/A</v>
      </c>
      <c r="DA21" s="14" t="e">
        <f t="shared" ca="1" si="21"/>
        <v>#N/A</v>
      </c>
      <c r="DB21" s="14" t="e">
        <f t="shared" ca="1" si="21"/>
        <v>#N/A</v>
      </c>
      <c r="DC21" s="14" t="e">
        <f t="shared" ca="1" si="22"/>
        <v>#N/A</v>
      </c>
      <c r="DD21" s="14" t="e">
        <f t="shared" ca="1" si="22"/>
        <v>#N/A</v>
      </c>
      <c r="DE21" s="15" t="e">
        <f t="shared" ca="1" si="22"/>
        <v>#N/A</v>
      </c>
      <c r="DF21" s="16" t="e">
        <f t="shared" ca="1" si="22"/>
        <v>#N/A</v>
      </c>
      <c r="DG21" s="13" t="e">
        <f t="shared" ca="1" si="22"/>
        <v>#N/A</v>
      </c>
      <c r="DH21" s="14" t="e">
        <f t="shared" ca="1" si="22"/>
        <v>#N/A</v>
      </c>
      <c r="DI21" s="14" t="e">
        <f t="shared" ca="1" si="22"/>
        <v>#N/A</v>
      </c>
      <c r="DJ21" s="14" t="e">
        <f t="shared" ca="1" si="22"/>
        <v>#N/A</v>
      </c>
      <c r="DK21" s="14" t="e">
        <f t="shared" ca="1" si="22"/>
        <v>#N/A</v>
      </c>
      <c r="DL21" s="15" t="e">
        <f t="shared" ca="1" si="22"/>
        <v>#N/A</v>
      </c>
      <c r="DM21" s="16" t="e">
        <f t="shared" ca="1" si="22"/>
        <v>#N/A</v>
      </c>
      <c r="DN21" s="13" t="e">
        <f t="shared" ca="1" si="22"/>
        <v>#N/A</v>
      </c>
      <c r="DO21" s="14" t="e">
        <f t="shared" ca="1" si="22"/>
        <v>#N/A</v>
      </c>
      <c r="DP21" s="14" t="e">
        <f t="shared" ca="1" si="22"/>
        <v>#N/A</v>
      </c>
      <c r="DQ21" s="14" t="e">
        <f t="shared" ca="1" si="22"/>
        <v>#N/A</v>
      </c>
      <c r="DR21" s="14" t="e">
        <f t="shared" ca="1" si="22"/>
        <v>#N/A</v>
      </c>
      <c r="DS21" s="15" t="e">
        <f t="shared" ca="1" si="22"/>
        <v>#N/A</v>
      </c>
      <c r="DT21" s="16" t="e">
        <f t="shared" ca="1" si="22"/>
        <v>#N/A</v>
      </c>
      <c r="DU21" s="13" t="e">
        <f t="shared" ca="1" si="23"/>
        <v>#N/A</v>
      </c>
      <c r="DV21" s="14" t="e">
        <f t="shared" ca="1" si="23"/>
        <v>#N/A</v>
      </c>
      <c r="DW21" s="14" t="e">
        <f t="shared" ca="1" si="23"/>
        <v>#N/A</v>
      </c>
      <c r="DX21" s="14" t="e">
        <f t="shared" ca="1" si="23"/>
        <v>#N/A</v>
      </c>
      <c r="DY21" s="14" t="e">
        <f t="shared" ca="1" si="23"/>
        <v>#N/A</v>
      </c>
      <c r="DZ21" s="15" t="e">
        <f t="shared" ca="1" si="23"/>
        <v>#N/A</v>
      </c>
      <c r="EA21" s="16" t="e">
        <f t="shared" ca="1" si="23"/>
        <v>#N/A</v>
      </c>
      <c r="EB21" s="13" t="e">
        <f t="shared" ca="1" si="23"/>
        <v>#N/A</v>
      </c>
      <c r="EC21" s="14" t="e">
        <f t="shared" ca="1" si="23"/>
        <v>#N/A</v>
      </c>
      <c r="ED21" s="14" t="e">
        <f t="shared" ca="1" si="23"/>
        <v>#N/A</v>
      </c>
      <c r="EE21" s="14" t="e">
        <f t="shared" ca="1" si="23"/>
        <v>#N/A</v>
      </c>
      <c r="EF21" s="14" t="e">
        <f t="shared" ca="1" si="23"/>
        <v>#N/A</v>
      </c>
      <c r="EG21" s="15" t="e">
        <f t="shared" ca="1" si="23"/>
        <v>#N/A</v>
      </c>
      <c r="EH21" s="16" t="e">
        <f t="shared" ca="1" si="23"/>
        <v>#N/A</v>
      </c>
      <c r="EI21" s="13" t="e">
        <f t="shared" ca="1" si="28"/>
        <v>#N/A</v>
      </c>
      <c r="EJ21" s="14" t="e">
        <f t="shared" ca="1" si="28"/>
        <v>#N/A</v>
      </c>
      <c r="EK21" s="14" t="e">
        <f t="shared" ca="1" si="28"/>
        <v>#N/A</v>
      </c>
      <c r="EL21" s="14" t="e">
        <f t="shared" ca="1" si="28"/>
        <v>#N/A</v>
      </c>
      <c r="EM21" s="14" t="e">
        <f t="shared" ca="1" si="28"/>
        <v>#N/A</v>
      </c>
      <c r="EN21" s="15" t="e">
        <f t="shared" ca="1" si="31"/>
        <v>#N/A</v>
      </c>
      <c r="EO21" s="16" t="e">
        <f t="shared" ca="1" si="31"/>
        <v>#N/A</v>
      </c>
      <c r="EP21" s="13" t="e">
        <f t="shared" ca="1" si="29"/>
        <v>#N/A</v>
      </c>
      <c r="EQ21" s="14" t="e">
        <f t="shared" ca="1" si="29"/>
        <v>#N/A</v>
      </c>
      <c r="ER21" s="14" t="e">
        <f t="shared" ca="1" si="29"/>
        <v>#N/A</v>
      </c>
      <c r="ES21" s="14" t="e">
        <f t="shared" ca="1" si="29"/>
        <v>#N/A</v>
      </c>
      <c r="ET21" s="14" t="e">
        <f t="shared" ca="1" si="29"/>
        <v>#N/A</v>
      </c>
      <c r="EU21" s="15" t="e">
        <f t="shared" ca="1" si="32"/>
        <v>#N/A</v>
      </c>
      <c r="EV21" s="16" t="e">
        <f t="shared" ca="1" si="32"/>
        <v>#N/A</v>
      </c>
      <c r="EW21" s="13" t="e">
        <f t="shared" ca="1" si="30"/>
        <v>#N/A</v>
      </c>
      <c r="EX21" s="14" t="e">
        <f t="shared" ca="1" si="30"/>
        <v>#N/A</v>
      </c>
      <c r="EY21" s="14" t="e">
        <f t="shared" ca="1" si="30"/>
        <v>#N/A</v>
      </c>
      <c r="EZ21" s="14" t="e">
        <f t="shared" ca="1" si="30"/>
        <v>#N/A</v>
      </c>
      <c r="FA21" s="14" t="e">
        <f t="shared" ca="1" si="30"/>
        <v>#N/A</v>
      </c>
      <c r="FB21" s="15" t="e">
        <f t="shared" ca="1" si="33"/>
        <v>#N/A</v>
      </c>
      <c r="FC21" s="16" t="e">
        <f t="shared" ca="1" si="33"/>
        <v>#N/A</v>
      </c>
    </row>
    <row r="22" spans="1:159" s="17" customFormat="1" ht="9.75" customHeight="1">
      <c r="A22" s="25" t="s">
        <v>50</v>
      </c>
      <c r="B22" s="24" t="s">
        <v>51</v>
      </c>
      <c r="C22" s="19" t="e">
        <f t="shared" ca="1" si="27"/>
        <v>#N/A</v>
      </c>
      <c r="D22" s="19" t="e">
        <f ca="1">_xlfn.XLOOKUP(A25,'VTT next'!F:F,'VTT next'!AQ:AQ,"-",0)</f>
        <v>#N/A</v>
      </c>
      <c r="E22" s="19" t="e">
        <f ca="1">C22-1+D22</f>
        <v>#N/A</v>
      </c>
      <c r="F22" s="13" t="e">
        <f t="shared" ca="1" si="35"/>
        <v>#N/A</v>
      </c>
      <c r="G22" s="14" t="e">
        <f t="shared" ca="1" si="35"/>
        <v>#N/A</v>
      </c>
      <c r="H22" s="14" t="e">
        <f t="shared" ca="1" si="35"/>
        <v>#N/A</v>
      </c>
      <c r="I22" s="14" t="e">
        <f t="shared" ca="1" si="35"/>
        <v>#N/A</v>
      </c>
      <c r="J22" s="14" t="e">
        <f t="shared" ca="1" si="35"/>
        <v>#N/A</v>
      </c>
      <c r="K22" s="15" t="e">
        <f t="shared" ca="1" si="35"/>
        <v>#N/A</v>
      </c>
      <c r="L22" s="16" t="e">
        <f t="shared" ca="1" si="35"/>
        <v>#N/A</v>
      </c>
      <c r="M22" s="13" t="e">
        <f t="shared" ca="1" si="35"/>
        <v>#N/A</v>
      </c>
      <c r="N22" s="14" t="e">
        <f t="shared" ca="1" si="35"/>
        <v>#N/A</v>
      </c>
      <c r="O22" s="14" t="e">
        <f t="shared" ca="1" si="35"/>
        <v>#N/A</v>
      </c>
      <c r="P22" s="14" t="e">
        <f t="shared" ca="1" si="35"/>
        <v>#N/A</v>
      </c>
      <c r="Q22" s="14" t="e">
        <f t="shared" ca="1" si="35"/>
        <v>#N/A</v>
      </c>
      <c r="R22" s="15" t="e">
        <f t="shared" ca="1" si="35"/>
        <v>#N/A</v>
      </c>
      <c r="S22" s="16" t="e">
        <f t="shared" ca="1" si="35"/>
        <v>#N/A</v>
      </c>
      <c r="T22" s="13" t="e">
        <f t="shared" ca="1" si="35"/>
        <v>#N/A</v>
      </c>
      <c r="U22" s="14" t="e">
        <f t="shared" ca="1" si="35"/>
        <v>#N/A</v>
      </c>
      <c r="V22" s="14" t="e">
        <f t="shared" ca="1" si="35"/>
        <v>#N/A</v>
      </c>
      <c r="W22" s="14" t="e">
        <f t="shared" ca="1" si="35"/>
        <v>#N/A</v>
      </c>
      <c r="X22" s="14" t="e">
        <f t="shared" ca="1" si="35"/>
        <v>#N/A</v>
      </c>
      <c r="Y22" s="15" t="e">
        <f t="shared" ca="1" si="35"/>
        <v>#N/A</v>
      </c>
      <c r="Z22" s="16" t="e">
        <f t="shared" ca="1" si="35"/>
        <v>#N/A</v>
      </c>
      <c r="AA22" s="13" t="e">
        <f t="shared" ca="1" si="17"/>
        <v>#N/A</v>
      </c>
      <c r="AB22" s="14" t="e">
        <f t="shared" ca="1" si="17"/>
        <v>#N/A</v>
      </c>
      <c r="AC22" s="14" t="e">
        <f t="shared" ca="1" si="17"/>
        <v>#N/A</v>
      </c>
      <c r="AD22" s="14" t="e">
        <f t="shared" ca="1" si="17"/>
        <v>#N/A</v>
      </c>
      <c r="AE22" s="14" t="e">
        <f t="shared" ca="1" si="17"/>
        <v>#N/A</v>
      </c>
      <c r="AF22" s="15" t="e">
        <f t="shared" ca="1" si="17"/>
        <v>#N/A</v>
      </c>
      <c r="AG22" s="16" t="e">
        <f t="shared" ca="1" si="17"/>
        <v>#N/A</v>
      </c>
      <c r="AH22" s="13" t="e">
        <f t="shared" ca="1" si="17"/>
        <v>#N/A</v>
      </c>
      <c r="AI22" s="14" t="e">
        <f t="shared" ca="1" si="17"/>
        <v>#N/A</v>
      </c>
      <c r="AJ22" s="14" t="e">
        <f t="shared" ca="1" si="17"/>
        <v>#N/A</v>
      </c>
      <c r="AK22" s="14" t="e">
        <f t="shared" ca="1" si="17"/>
        <v>#N/A</v>
      </c>
      <c r="AL22" s="14" t="e">
        <f t="shared" ca="1" si="17"/>
        <v>#N/A</v>
      </c>
      <c r="AM22" s="15" t="e">
        <f t="shared" ca="1" si="17"/>
        <v>#N/A</v>
      </c>
      <c r="AN22" s="16" t="e">
        <f t="shared" ca="1" si="17"/>
        <v>#N/A</v>
      </c>
      <c r="AO22" s="13" t="e">
        <f t="shared" ca="1" si="17"/>
        <v>#N/A</v>
      </c>
      <c r="AP22" s="14" t="e">
        <f t="shared" ca="1" si="17"/>
        <v>#N/A</v>
      </c>
      <c r="AQ22" s="14" t="e">
        <f t="shared" ca="1" si="18"/>
        <v>#N/A</v>
      </c>
      <c r="AR22" s="14" t="e">
        <f t="shared" ca="1" si="18"/>
        <v>#N/A</v>
      </c>
      <c r="AS22" s="14" t="e">
        <f t="shared" ca="1" si="18"/>
        <v>#N/A</v>
      </c>
      <c r="AT22" s="15" t="e">
        <f t="shared" ca="1" si="18"/>
        <v>#N/A</v>
      </c>
      <c r="AU22" s="16" t="e">
        <f t="shared" ca="1" si="18"/>
        <v>#N/A</v>
      </c>
      <c r="AV22" s="13" t="e">
        <f t="shared" ca="1" si="18"/>
        <v>#N/A</v>
      </c>
      <c r="AW22" s="14" t="e">
        <f t="shared" ca="1" si="18"/>
        <v>#N/A</v>
      </c>
      <c r="AX22" s="14" t="e">
        <f t="shared" ca="1" si="18"/>
        <v>#N/A</v>
      </c>
      <c r="AY22" s="14" t="e">
        <f t="shared" ca="1" si="18"/>
        <v>#N/A</v>
      </c>
      <c r="AZ22" s="14" t="e">
        <f t="shared" ca="1" si="18"/>
        <v>#N/A</v>
      </c>
      <c r="BA22" s="15" t="e">
        <f t="shared" ca="1" si="18"/>
        <v>#N/A</v>
      </c>
      <c r="BB22" s="16" t="e">
        <f t="shared" ca="1" si="18"/>
        <v>#N/A</v>
      </c>
      <c r="BC22" s="13" t="e">
        <f t="shared" ca="1" si="18"/>
        <v>#N/A</v>
      </c>
      <c r="BD22" s="14" t="e">
        <f t="shared" ca="1" si="18"/>
        <v>#N/A</v>
      </c>
      <c r="BE22" s="14" t="e">
        <f t="shared" ca="1" si="18"/>
        <v>#N/A</v>
      </c>
      <c r="BF22" s="14" t="e">
        <f t="shared" ca="1" si="18"/>
        <v>#N/A</v>
      </c>
      <c r="BG22" s="14" t="e">
        <f t="shared" ca="1" si="19"/>
        <v>#N/A</v>
      </c>
      <c r="BH22" s="15" t="e">
        <f t="shared" ca="1" si="19"/>
        <v>#N/A</v>
      </c>
      <c r="BI22" s="16" t="e">
        <f t="shared" ca="1" si="19"/>
        <v>#N/A</v>
      </c>
      <c r="BJ22" s="13" t="e">
        <f t="shared" ca="1" si="19"/>
        <v>#N/A</v>
      </c>
      <c r="BK22" s="14" t="e">
        <f t="shared" ca="1" si="19"/>
        <v>#N/A</v>
      </c>
      <c r="BL22" s="14" t="e">
        <f t="shared" ca="1" si="19"/>
        <v>#N/A</v>
      </c>
      <c r="BM22" s="14" t="e">
        <f t="shared" ca="1" si="19"/>
        <v>#N/A</v>
      </c>
      <c r="BN22" s="14" t="e">
        <f t="shared" ca="1" si="19"/>
        <v>#N/A</v>
      </c>
      <c r="BO22" s="15" t="e">
        <f t="shared" ca="1" si="19"/>
        <v>#N/A</v>
      </c>
      <c r="BP22" s="16" t="e">
        <f t="shared" ca="1" si="19"/>
        <v>#N/A</v>
      </c>
      <c r="BQ22" s="13" t="e">
        <f t="shared" ca="1" si="19"/>
        <v>#N/A</v>
      </c>
      <c r="BR22" s="14" t="e">
        <f t="shared" ca="1" si="19"/>
        <v>#N/A</v>
      </c>
      <c r="BS22" s="14" t="e">
        <f t="shared" ca="1" si="19"/>
        <v>#N/A</v>
      </c>
      <c r="BT22" s="14" t="e">
        <f t="shared" ca="1" si="19"/>
        <v>#N/A</v>
      </c>
      <c r="BU22" s="14" t="e">
        <f t="shared" ca="1" si="19"/>
        <v>#N/A</v>
      </c>
      <c r="BV22" s="15" t="e">
        <f t="shared" ca="1" si="19"/>
        <v>#N/A</v>
      </c>
      <c r="BW22" s="16" t="e">
        <f t="shared" ca="1" si="20"/>
        <v>#N/A</v>
      </c>
      <c r="BX22" s="13" t="e">
        <f t="shared" ca="1" si="20"/>
        <v>#N/A</v>
      </c>
      <c r="BY22" s="14" t="e">
        <f t="shared" ca="1" si="20"/>
        <v>#N/A</v>
      </c>
      <c r="BZ22" s="14" t="e">
        <f t="shared" ca="1" si="20"/>
        <v>#N/A</v>
      </c>
      <c r="CA22" s="14" t="e">
        <f t="shared" ca="1" si="20"/>
        <v>#N/A</v>
      </c>
      <c r="CB22" s="14" t="e">
        <f t="shared" ca="1" si="20"/>
        <v>#N/A</v>
      </c>
      <c r="CC22" s="15" t="e">
        <f t="shared" ca="1" si="20"/>
        <v>#N/A</v>
      </c>
      <c r="CD22" s="16" t="e">
        <f t="shared" ca="1" si="20"/>
        <v>#N/A</v>
      </c>
      <c r="CE22" s="13" t="e">
        <f t="shared" ca="1" si="20"/>
        <v>#N/A</v>
      </c>
      <c r="CF22" s="14" t="e">
        <f t="shared" ca="1" si="20"/>
        <v>#N/A</v>
      </c>
      <c r="CG22" s="14" t="e">
        <f t="shared" ca="1" si="20"/>
        <v>#N/A</v>
      </c>
      <c r="CH22" s="14" t="e">
        <f t="shared" ca="1" si="20"/>
        <v>#N/A</v>
      </c>
      <c r="CI22" s="14" t="e">
        <f t="shared" ca="1" si="20"/>
        <v>#N/A</v>
      </c>
      <c r="CJ22" s="15" t="e">
        <f t="shared" ca="1" si="20"/>
        <v>#N/A</v>
      </c>
      <c r="CK22" s="16" t="e">
        <f t="shared" ca="1" si="20"/>
        <v>#N/A</v>
      </c>
      <c r="CL22" s="13" t="e">
        <f t="shared" ca="1" si="20"/>
        <v>#N/A</v>
      </c>
      <c r="CM22" s="14" t="e">
        <f t="shared" ca="1" si="21"/>
        <v>#N/A</v>
      </c>
      <c r="CN22" s="14" t="e">
        <f t="shared" ca="1" si="21"/>
        <v>#N/A</v>
      </c>
      <c r="CO22" s="14" t="e">
        <f t="shared" ca="1" si="21"/>
        <v>#N/A</v>
      </c>
      <c r="CP22" s="14" t="e">
        <f t="shared" ca="1" si="21"/>
        <v>#N/A</v>
      </c>
      <c r="CQ22" s="15" t="e">
        <f t="shared" ca="1" si="21"/>
        <v>#N/A</v>
      </c>
      <c r="CR22" s="16" t="e">
        <f t="shared" ca="1" si="21"/>
        <v>#N/A</v>
      </c>
      <c r="CS22" s="13" t="e">
        <f t="shared" ca="1" si="21"/>
        <v>#N/A</v>
      </c>
      <c r="CT22" s="14" t="e">
        <f t="shared" ca="1" si="21"/>
        <v>#N/A</v>
      </c>
      <c r="CU22" s="14" t="e">
        <f t="shared" ca="1" si="21"/>
        <v>#N/A</v>
      </c>
      <c r="CV22" s="14" t="e">
        <f t="shared" ca="1" si="21"/>
        <v>#N/A</v>
      </c>
      <c r="CW22" s="14" t="e">
        <f t="shared" ca="1" si="21"/>
        <v>#N/A</v>
      </c>
      <c r="CX22" s="15" t="e">
        <f t="shared" ca="1" si="21"/>
        <v>#N/A</v>
      </c>
      <c r="CY22" s="16" t="e">
        <f t="shared" ca="1" si="21"/>
        <v>#N/A</v>
      </c>
      <c r="CZ22" s="13" t="e">
        <f t="shared" ca="1" si="21"/>
        <v>#N/A</v>
      </c>
      <c r="DA22" s="14" t="e">
        <f t="shared" ca="1" si="21"/>
        <v>#N/A</v>
      </c>
      <c r="DB22" s="14" t="e">
        <f t="shared" ca="1" si="21"/>
        <v>#N/A</v>
      </c>
      <c r="DC22" s="14" t="e">
        <f t="shared" ca="1" si="22"/>
        <v>#N/A</v>
      </c>
      <c r="DD22" s="14" t="e">
        <f t="shared" ca="1" si="22"/>
        <v>#N/A</v>
      </c>
      <c r="DE22" s="15" t="e">
        <f t="shared" ca="1" si="22"/>
        <v>#N/A</v>
      </c>
      <c r="DF22" s="16" t="e">
        <f t="shared" ca="1" si="22"/>
        <v>#N/A</v>
      </c>
      <c r="DG22" s="13" t="e">
        <f t="shared" ca="1" si="22"/>
        <v>#N/A</v>
      </c>
      <c r="DH22" s="14" t="e">
        <f t="shared" ref="DH22:DY24" ca="1" si="36">IF(AND(DH$5&gt;=$C22,DH$5&lt;=$E22),1,"")</f>
        <v>#N/A</v>
      </c>
      <c r="DI22" s="14" t="e">
        <f t="shared" ca="1" si="36"/>
        <v>#N/A</v>
      </c>
      <c r="DJ22" s="14" t="e">
        <f t="shared" ca="1" si="36"/>
        <v>#N/A</v>
      </c>
      <c r="DK22" s="14" t="e">
        <f t="shared" ca="1" si="36"/>
        <v>#N/A</v>
      </c>
      <c r="DL22" s="15" t="e">
        <f t="shared" ca="1" si="36"/>
        <v>#N/A</v>
      </c>
      <c r="DM22" s="16" t="e">
        <f t="shared" ca="1" si="36"/>
        <v>#N/A</v>
      </c>
      <c r="DN22" s="13" t="e">
        <f t="shared" ca="1" si="36"/>
        <v>#N/A</v>
      </c>
      <c r="DO22" s="14" t="e">
        <f t="shared" ca="1" si="36"/>
        <v>#N/A</v>
      </c>
      <c r="DP22" s="14" t="e">
        <f t="shared" ca="1" si="36"/>
        <v>#N/A</v>
      </c>
      <c r="DQ22" s="14" t="e">
        <f t="shared" ca="1" si="36"/>
        <v>#N/A</v>
      </c>
      <c r="DR22" s="14" t="e">
        <f t="shared" ca="1" si="36"/>
        <v>#N/A</v>
      </c>
      <c r="DS22" s="15" t="e">
        <f t="shared" ca="1" si="36"/>
        <v>#N/A</v>
      </c>
      <c r="DT22" s="16" t="e">
        <f t="shared" ca="1" si="36"/>
        <v>#N/A</v>
      </c>
      <c r="DU22" s="13" t="e">
        <f t="shared" ca="1" si="23"/>
        <v>#N/A</v>
      </c>
      <c r="DV22" s="14" t="e">
        <f t="shared" ca="1" si="23"/>
        <v>#N/A</v>
      </c>
      <c r="DW22" s="14" t="e">
        <f t="shared" ca="1" si="23"/>
        <v>#N/A</v>
      </c>
      <c r="DX22" s="14" t="e">
        <f t="shared" ca="1" si="23"/>
        <v>#N/A</v>
      </c>
      <c r="DY22" s="14" t="e">
        <f t="shared" ca="1" si="23"/>
        <v>#N/A</v>
      </c>
      <c r="DZ22" s="15" t="e">
        <f t="shared" ca="1" si="23"/>
        <v>#N/A</v>
      </c>
      <c r="EA22" s="16" t="e">
        <f t="shared" ca="1" si="23"/>
        <v>#N/A</v>
      </c>
      <c r="EB22" s="13" t="e">
        <f t="shared" ca="1" si="23"/>
        <v>#N/A</v>
      </c>
      <c r="EC22" s="14" t="e">
        <f t="shared" ca="1" si="23"/>
        <v>#N/A</v>
      </c>
      <c r="ED22" s="14" t="e">
        <f t="shared" ca="1" si="23"/>
        <v>#N/A</v>
      </c>
      <c r="EE22" s="14" t="e">
        <f t="shared" ca="1" si="23"/>
        <v>#N/A</v>
      </c>
      <c r="EF22" s="14" t="e">
        <f t="shared" ca="1" si="23"/>
        <v>#N/A</v>
      </c>
      <c r="EG22" s="15" t="e">
        <f t="shared" ca="1" si="23"/>
        <v>#N/A</v>
      </c>
      <c r="EH22" s="16" t="e">
        <f t="shared" ca="1" si="23"/>
        <v>#N/A</v>
      </c>
      <c r="EI22" s="13" t="e">
        <f t="shared" ca="1" si="28"/>
        <v>#N/A</v>
      </c>
      <c r="EJ22" s="14" t="e">
        <f t="shared" ca="1" si="28"/>
        <v>#N/A</v>
      </c>
      <c r="EK22" s="14" t="e">
        <f t="shared" ca="1" si="28"/>
        <v>#N/A</v>
      </c>
      <c r="EL22" s="14" t="e">
        <f t="shared" ca="1" si="28"/>
        <v>#N/A</v>
      </c>
      <c r="EM22" s="14" t="e">
        <f t="shared" ca="1" si="28"/>
        <v>#N/A</v>
      </c>
      <c r="EN22" s="15" t="e">
        <f t="shared" ca="1" si="31"/>
        <v>#N/A</v>
      </c>
      <c r="EO22" s="16" t="e">
        <f t="shared" ca="1" si="31"/>
        <v>#N/A</v>
      </c>
      <c r="EP22" s="13" t="e">
        <f t="shared" ca="1" si="29"/>
        <v>#N/A</v>
      </c>
      <c r="EQ22" s="14" t="e">
        <f t="shared" ca="1" si="29"/>
        <v>#N/A</v>
      </c>
      <c r="ER22" s="14" t="e">
        <f t="shared" ca="1" si="29"/>
        <v>#N/A</v>
      </c>
      <c r="ES22" s="14" t="e">
        <f t="shared" ca="1" si="29"/>
        <v>#N/A</v>
      </c>
      <c r="ET22" s="14" t="e">
        <f t="shared" ca="1" si="29"/>
        <v>#N/A</v>
      </c>
      <c r="EU22" s="15" t="e">
        <f t="shared" ca="1" si="32"/>
        <v>#N/A</v>
      </c>
      <c r="EV22" s="16" t="e">
        <f t="shared" ca="1" si="32"/>
        <v>#N/A</v>
      </c>
      <c r="EW22" s="13" t="e">
        <f t="shared" ca="1" si="30"/>
        <v>#N/A</v>
      </c>
      <c r="EX22" s="14" t="e">
        <f t="shared" ca="1" si="30"/>
        <v>#N/A</v>
      </c>
      <c r="EY22" s="14" t="e">
        <f t="shared" ca="1" si="30"/>
        <v>#N/A</v>
      </c>
      <c r="EZ22" s="14" t="e">
        <f t="shared" ca="1" si="30"/>
        <v>#N/A</v>
      </c>
      <c r="FA22" s="14" t="e">
        <f t="shared" ca="1" si="30"/>
        <v>#N/A</v>
      </c>
      <c r="FB22" s="15" t="e">
        <f t="shared" ca="1" si="33"/>
        <v>#N/A</v>
      </c>
      <c r="FC22" s="16" t="e">
        <f t="shared" ca="1" si="33"/>
        <v>#N/A</v>
      </c>
    </row>
    <row r="23" spans="1:159" s="17" customFormat="1" ht="9.75" customHeight="1">
      <c r="A23" s="27">
        <f ca="1">IFERROR(VLOOKUP(_xlfn.CONCAT(B7,"-","Next"),'DATA BTO'!A:D,3,FALSE),VLOOKUP(_xlfn.CONCAT(B7,"-","Inactif"),'DATA BTO'!A:D,3,FALSE))</f>
        <v>45474</v>
      </c>
      <c r="B23" s="26" t="s">
        <v>52</v>
      </c>
      <c r="C23" s="19" t="e">
        <f ca="1">E22+1</f>
        <v>#N/A</v>
      </c>
      <c r="D23" s="19" t="e">
        <f ca="1">IFERROR(IF((7-MOD(D22+D19+D17+15+D16+C27+D21+D20,7))=7,0,7-MOD(D22+D19+D17+15+D16+C27+D21+D20,7)),IF((7-MOD(D22+D19+D17+15+D16+C27+D21,7))=7,0,7-MOD(D22+D19+D17+15+D16+C27+D21,7)))</f>
        <v>#N/A</v>
      </c>
      <c r="E23" s="19" t="e">
        <f ca="1">C23+D23-1</f>
        <v>#N/A</v>
      </c>
      <c r="F23" s="13" t="e">
        <f t="shared" ca="1" si="35"/>
        <v>#N/A</v>
      </c>
      <c r="G23" s="14" t="e">
        <f t="shared" ca="1" si="35"/>
        <v>#N/A</v>
      </c>
      <c r="H23" s="14" t="e">
        <f t="shared" ca="1" si="35"/>
        <v>#N/A</v>
      </c>
      <c r="I23" s="14" t="e">
        <f t="shared" ca="1" si="35"/>
        <v>#N/A</v>
      </c>
      <c r="J23" s="14" t="e">
        <f t="shared" ca="1" si="35"/>
        <v>#N/A</v>
      </c>
      <c r="K23" s="15" t="e">
        <f t="shared" ca="1" si="35"/>
        <v>#N/A</v>
      </c>
      <c r="L23" s="16" t="e">
        <f t="shared" ca="1" si="35"/>
        <v>#N/A</v>
      </c>
      <c r="M23" s="13" t="e">
        <f t="shared" ca="1" si="35"/>
        <v>#N/A</v>
      </c>
      <c r="N23" s="14" t="e">
        <f t="shared" ca="1" si="35"/>
        <v>#N/A</v>
      </c>
      <c r="O23" s="14" t="e">
        <f t="shared" ca="1" si="35"/>
        <v>#N/A</v>
      </c>
      <c r="P23" s="14" t="e">
        <f t="shared" ca="1" si="35"/>
        <v>#N/A</v>
      </c>
      <c r="Q23" s="14" t="e">
        <f t="shared" ca="1" si="35"/>
        <v>#N/A</v>
      </c>
      <c r="R23" s="15" t="e">
        <f t="shared" ca="1" si="35"/>
        <v>#N/A</v>
      </c>
      <c r="S23" s="16" t="e">
        <f t="shared" ca="1" si="35"/>
        <v>#N/A</v>
      </c>
      <c r="T23" s="13" t="e">
        <f t="shared" ca="1" si="35"/>
        <v>#N/A</v>
      </c>
      <c r="U23" s="14" t="e">
        <f t="shared" ca="1" si="35"/>
        <v>#N/A</v>
      </c>
      <c r="V23" s="14" t="e">
        <f t="shared" ca="1" si="35"/>
        <v>#N/A</v>
      </c>
      <c r="W23" s="14" t="e">
        <f t="shared" ca="1" si="35"/>
        <v>#N/A</v>
      </c>
      <c r="X23" s="14" t="e">
        <f t="shared" ca="1" si="35"/>
        <v>#N/A</v>
      </c>
      <c r="Y23" s="15" t="e">
        <f t="shared" ca="1" si="35"/>
        <v>#N/A</v>
      </c>
      <c r="Z23" s="16" t="e">
        <f t="shared" ca="1" si="35"/>
        <v>#N/A</v>
      </c>
      <c r="AA23" s="13" t="e">
        <f t="shared" ca="1" si="17"/>
        <v>#N/A</v>
      </c>
      <c r="AB23" s="14" t="e">
        <f t="shared" ca="1" si="17"/>
        <v>#N/A</v>
      </c>
      <c r="AC23" s="14" t="e">
        <f t="shared" ca="1" si="17"/>
        <v>#N/A</v>
      </c>
      <c r="AD23" s="14" t="e">
        <f t="shared" ca="1" si="17"/>
        <v>#N/A</v>
      </c>
      <c r="AE23" s="14" t="e">
        <f t="shared" ca="1" si="17"/>
        <v>#N/A</v>
      </c>
      <c r="AF23" s="15" t="e">
        <f t="shared" ca="1" si="17"/>
        <v>#N/A</v>
      </c>
      <c r="AG23" s="16" t="e">
        <f t="shared" ca="1" si="17"/>
        <v>#N/A</v>
      </c>
      <c r="AH23" s="13" t="e">
        <f t="shared" ca="1" si="17"/>
        <v>#N/A</v>
      </c>
      <c r="AI23" s="14" t="e">
        <f t="shared" ca="1" si="17"/>
        <v>#N/A</v>
      </c>
      <c r="AJ23" s="14" t="e">
        <f t="shared" ca="1" si="17"/>
        <v>#N/A</v>
      </c>
      <c r="AK23" s="14" t="e">
        <f t="shared" ca="1" si="17"/>
        <v>#N/A</v>
      </c>
      <c r="AL23" s="14" t="e">
        <f t="shared" ca="1" si="17"/>
        <v>#N/A</v>
      </c>
      <c r="AM23" s="15" t="e">
        <f t="shared" ca="1" si="17"/>
        <v>#N/A</v>
      </c>
      <c r="AN23" s="16" t="e">
        <f t="shared" ca="1" si="17"/>
        <v>#N/A</v>
      </c>
      <c r="AO23" s="13" t="e">
        <f t="shared" ca="1" si="17"/>
        <v>#N/A</v>
      </c>
      <c r="AP23" s="14" t="e">
        <f t="shared" ca="1" si="17"/>
        <v>#N/A</v>
      </c>
      <c r="AQ23" s="14" t="e">
        <f t="shared" ca="1" si="18"/>
        <v>#N/A</v>
      </c>
      <c r="AR23" s="14" t="e">
        <f t="shared" ca="1" si="18"/>
        <v>#N/A</v>
      </c>
      <c r="AS23" s="14" t="e">
        <f t="shared" ca="1" si="18"/>
        <v>#N/A</v>
      </c>
      <c r="AT23" s="15" t="e">
        <f t="shared" ca="1" si="18"/>
        <v>#N/A</v>
      </c>
      <c r="AU23" s="16" t="e">
        <f t="shared" ca="1" si="18"/>
        <v>#N/A</v>
      </c>
      <c r="AV23" s="13" t="e">
        <f t="shared" ca="1" si="18"/>
        <v>#N/A</v>
      </c>
      <c r="AW23" s="14" t="e">
        <f t="shared" ca="1" si="18"/>
        <v>#N/A</v>
      </c>
      <c r="AX23" s="14" t="e">
        <f t="shared" ca="1" si="18"/>
        <v>#N/A</v>
      </c>
      <c r="AY23" s="14" t="e">
        <f t="shared" ca="1" si="18"/>
        <v>#N/A</v>
      </c>
      <c r="AZ23" s="14" t="e">
        <f t="shared" ca="1" si="18"/>
        <v>#N/A</v>
      </c>
      <c r="BA23" s="15" t="e">
        <f t="shared" ca="1" si="18"/>
        <v>#N/A</v>
      </c>
      <c r="BB23" s="16" t="e">
        <f t="shared" ca="1" si="18"/>
        <v>#N/A</v>
      </c>
      <c r="BC23" s="13" t="e">
        <f t="shared" ca="1" si="18"/>
        <v>#N/A</v>
      </c>
      <c r="BD23" s="14" t="e">
        <f t="shared" ca="1" si="18"/>
        <v>#N/A</v>
      </c>
      <c r="BE23" s="14" t="e">
        <f t="shared" ca="1" si="18"/>
        <v>#N/A</v>
      </c>
      <c r="BF23" s="14" t="e">
        <f t="shared" ca="1" si="18"/>
        <v>#N/A</v>
      </c>
      <c r="BG23" s="14" t="e">
        <f t="shared" ca="1" si="19"/>
        <v>#N/A</v>
      </c>
      <c r="BH23" s="15" t="e">
        <f t="shared" ca="1" si="19"/>
        <v>#N/A</v>
      </c>
      <c r="BI23" s="16" t="e">
        <f t="shared" ca="1" si="19"/>
        <v>#N/A</v>
      </c>
      <c r="BJ23" s="13" t="e">
        <f t="shared" ca="1" si="19"/>
        <v>#N/A</v>
      </c>
      <c r="BK23" s="14" t="e">
        <f t="shared" ca="1" si="19"/>
        <v>#N/A</v>
      </c>
      <c r="BL23" s="14" t="e">
        <f t="shared" ca="1" si="19"/>
        <v>#N/A</v>
      </c>
      <c r="BM23" s="14" t="e">
        <f t="shared" ca="1" si="19"/>
        <v>#N/A</v>
      </c>
      <c r="BN23" s="14" t="e">
        <f t="shared" ca="1" si="19"/>
        <v>#N/A</v>
      </c>
      <c r="BO23" s="15" t="e">
        <f t="shared" ca="1" si="19"/>
        <v>#N/A</v>
      </c>
      <c r="BP23" s="16" t="e">
        <f t="shared" ca="1" si="19"/>
        <v>#N/A</v>
      </c>
      <c r="BQ23" s="13" t="e">
        <f t="shared" ca="1" si="19"/>
        <v>#N/A</v>
      </c>
      <c r="BR23" s="14" t="e">
        <f t="shared" ca="1" si="19"/>
        <v>#N/A</v>
      </c>
      <c r="BS23" s="14" t="e">
        <f t="shared" ca="1" si="19"/>
        <v>#N/A</v>
      </c>
      <c r="BT23" s="14" t="e">
        <f t="shared" ca="1" si="19"/>
        <v>#N/A</v>
      </c>
      <c r="BU23" s="14" t="e">
        <f t="shared" ca="1" si="19"/>
        <v>#N/A</v>
      </c>
      <c r="BV23" s="15" t="e">
        <f t="shared" ca="1" si="19"/>
        <v>#N/A</v>
      </c>
      <c r="BW23" s="16" t="e">
        <f t="shared" ca="1" si="20"/>
        <v>#N/A</v>
      </c>
      <c r="BX23" s="13" t="e">
        <f t="shared" ca="1" si="20"/>
        <v>#N/A</v>
      </c>
      <c r="BY23" s="14" t="e">
        <f t="shared" ca="1" si="20"/>
        <v>#N/A</v>
      </c>
      <c r="BZ23" s="14" t="e">
        <f t="shared" ca="1" si="20"/>
        <v>#N/A</v>
      </c>
      <c r="CA23" s="14" t="e">
        <f t="shared" ca="1" si="20"/>
        <v>#N/A</v>
      </c>
      <c r="CB23" s="14" t="e">
        <f t="shared" ca="1" si="20"/>
        <v>#N/A</v>
      </c>
      <c r="CC23" s="15" t="e">
        <f t="shared" ca="1" si="20"/>
        <v>#N/A</v>
      </c>
      <c r="CD23" s="16" t="e">
        <f t="shared" ca="1" si="20"/>
        <v>#N/A</v>
      </c>
      <c r="CE23" s="13" t="e">
        <f t="shared" ca="1" si="20"/>
        <v>#N/A</v>
      </c>
      <c r="CF23" s="14" t="e">
        <f t="shared" ca="1" si="20"/>
        <v>#N/A</v>
      </c>
      <c r="CG23" s="14" t="e">
        <f t="shared" ca="1" si="20"/>
        <v>#N/A</v>
      </c>
      <c r="CH23" s="14" t="e">
        <f t="shared" ca="1" si="20"/>
        <v>#N/A</v>
      </c>
      <c r="CI23" s="14" t="e">
        <f t="shared" ca="1" si="20"/>
        <v>#N/A</v>
      </c>
      <c r="CJ23" s="15" t="e">
        <f t="shared" ca="1" si="20"/>
        <v>#N/A</v>
      </c>
      <c r="CK23" s="16" t="e">
        <f t="shared" ca="1" si="20"/>
        <v>#N/A</v>
      </c>
      <c r="CL23" s="13" t="e">
        <f t="shared" ref="CL23" ca="1" si="37">IF(AND(CL$5&gt;=$C23,CL$5&lt;=$E23),1,"")</f>
        <v>#N/A</v>
      </c>
      <c r="CM23" s="14" t="e">
        <f t="shared" ca="1" si="21"/>
        <v>#N/A</v>
      </c>
      <c r="CN23" s="14" t="e">
        <f t="shared" ca="1" si="21"/>
        <v>#N/A</v>
      </c>
      <c r="CO23" s="14" t="e">
        <f t="shared" ca="1" si="21"/>
        <v>#N/A</v>
      </c>
      <c r="CP23" s="14" t="e">
        <f t="shared" ca="1" si="21"/>
        <v>#N/A</v>
      </c>
      <c r="CQ23" s="15" t="e">
        <f t="shared" ca="1" si="21"/>
        <v>#N/A</v>
      </c>
      <c r="CR23" s="16" t="e">
        <f t="shared" ca="1" si="21"/>
        <v>#N/A</v>
      </c>
      <c r="CS23" s="13" t="e">
        <f t="shared" ca="1" si="21"/>
        <v>#N/A</v>
      </c>
      <c r="CT23" s="14" t="e">
        <f t="shared" ca="1" si="21"/>
        <v>#N/A</v>
      </c>
      <c r="CU23" s="14" t="e">
        <f t="shared" ca="1" si="21"/>
        <v>#N/A</v>
      </c>
      <c r="CV23" s="14" t="e">
        <f t="shared" ca="1" si="21"/>
        <v>#N/A</v>
      </c>
      <c r="CW23" s="14" t="e">
        <f t="shared" ca="1" si="21"/>
        <v>#N/A</v>
      </c>
      <c r="CX23" s="15" t="e">
        <f t="shared" ca="1" si="21"/>
        <v>#N/A</v>
      </c>
      <c r="CY23" s="16" t="e">
        <f t="shared" ca="1" si="21"/>
        <v>#N/A</v>
      </c>
      <c r="CZ23" s="13" t="e">
        <f t="shared" ca="1" si="21"/>
        <v>#N/A</v>
      </c>
      <c r="DA23" s="14" t="e">
        <f t="shared" ca="1" si="21"/>
        <v>#N/A</v>
      </c>
      <c r="DB23" s="14" t="e">
        <f t="shared" ref="DB23:DQ24" ca="1" si="38">IF(AND(DB$5&gt;=$C23,DB$5&lt;=$E23),1,"")</f>
        <v>#N/A</v>
      </c>
      <c r="DC23" s="14" t="e">
        <f t="shared" ca="1" si="38"/>
        <v>#N/A</v>
      </c>
      <c r="DD23" s="14" t="e">
        <f t="shared" ca="1" si="38"/>
        <v>#N/A</v>
      </c>
      <c r="DE23" s="15" t="e">
        <f t="shared" ca="1" si="38"/>
        <v>#N/A</v>
      </c>
      <c r="DF23" s="16" t="e">
        <f t="shared" ca="1" si="38"/>
        <v>#N/A</v>
      </c>
      <c r="DG23" s="13" t="e">
        <f t="shared" ca="1" si="38"/>
        <v>#N/A</v>
      </c>
      <c r="DH23" s="14" t="e">
        <f t="shared" ca="1" si="38"/>
        <v>#N/A</v>
      </c>
      <c r="DI23" s="14" t="e">
        <f t="shared" ca="1" si="38"/>
        <v>#N/A</v>
      </c>
      <c r="DJ23" s="14" t="e">
        <f t="shared" ca="1" si="38"/>
        <v>#N/A</v>
      </c>
      <c r="DK23" s="14" t="e">
        <f t="shared" ca="1" si="38"/>
        <v>#N/A</v>
      </c>
      <c r="DL23" s="15" t="e">
        <f t="shared" ca="1" si="38"/>
        <v>#N/A</v>
      </c>
      <c r="DM23" s="16" t="e">
        <f t="shared" ca="1" si="38"/>
        <v>#N/A</v>
      </c>
      <c r="DN23" s="13" t="e">
        <f t="shared" ca="1" si="38"/>
        <v>#N/A</v>
      </c>
      <c r="DO23" s="14" t="e">
        <f t="shared" ca="1" si="38"/>
        <v>#N/A</v>
      </c>
      <c r="DP23" s="14" t="e">
        <f t="shared" ca="1" si="38"/>
        <v>#N/A</v>
      </c>
      <c r="DQ23" s="14" t="e">
        <f t="shared" ca="1" si="38"/>
        <v>#N/A</v>
      </c>
      <c r="DR23" s="14" t="e">
        <f t="shared" ca="1" si="36"/>
        <v>#N/A</v>
      </c>
      <c r="DS23" s="15" t="e">
        <f t="shared" ca="1" si="36"/>
        <v>#N/A</v>
      </c>
      <c r="DT23" s="16" t="e">
        <f t="shared" ca="1" si="36"/>
        <v>#N/A</v>
      </c>
      <c r="DU23" s="13" t="e">
        <f t="shared" ca="1" si="23"/>
        <v>#N/A</v>
      </c>
      <c r="DV23" s="14" t="e">
        <f t="shared" ca="1" si="23"/>
        <v>#N/A</v>
      </c>
      <c r="DW23" s="14" t="e">
        <f t="shared" ca="1" si="23"/>
        <v>#N/A</v>
      </c>
      <c r="DX23" s="14" t="e">
        <f t="shared" ca="1" si="23"/>
        <v>#N/A</v>
      </c>
      <c r="DY23" s="14" t="e">
        <f t="shared" ca="1" si="23"/>
        <v>#N/A</v>
      </c>
      <c r="DZ23" s="15" t="e">
        <f t="shared" ca="1" si="23"/>
        <v>#N/A</v>
      </c>
      <c r="EA23" s="16" t="e">
        <f t="shared" ca="1" si="23"/>
        <v>#N/A</v>
      </c>
      <c r="EB23" s="13" t="e">
        <f t="shared" ca="1" si="23"/>
        <v>#N/A</v>
      </c>
      <c r="EC23" s="14" t="e">
        <f t="shared" ca="1" si="23"/>
        <v>#N/A</v>
      </c>
      <c r="ED23" s="14" t="e">
        <f t="shared" ca="1" si="23"/>
        <v>#N/A</v>
      </c>
      <c r="EE23" s="14" t="e">
        <f t="shared" ca="1" si="23"/>
        <v>#N/A</v>
      </c>
      <c r="EF23" s="14" t="e">
        <f t="shared" ca="1" si="23"/>
        <v>#N/A</v>
      </c>
      <c r="EG23" s="15" t="e">
        <f t="shared" ca="1" si="23"/>
        <v>#N/A</v>
      </c>
      <c r="EH23" s="16" t="e">
        <f t="shared" ca="1" si="23"/>
        <v>#N/A</v>
      </c>
      <c r="EI23" s="13" t="e">
        <f t="shared" ca="1" si="28"/>
        <v>#N/A</v>
      </c>
      <c r="EJ23" s="14" t="e">
        <f t="shared" ca="1" si="28"/>
        <v>#N/A</v>
      </c>
      <c r="EK23" s="14" t="e">
        <f t="shared" ca="1" si="28"/>
        <v>#N/A</v>
      </c>
      <c r="EL23" s="14" t="e">
        <f t="shared" ca="1" si="28"/>
        <v>#N/A</v>
      </c>
      <c r="EM23" s="14" t="e">
        <f t="shared" ca="1" si="28"/>
        <v>#N/A</v>
      </c>
      <c r="EN23" s="15" t="e">
        <f t="shared" ca="1" si="31"/>
        <v>#N/A</v>
      </c>
      <c r="EO23" s="16" t="e">
        <f t="shared" ca="1" si="31"/>
        <v>#N/A</v>
      </c>
      <c r="EP23" s="13" t="e">
        <f t="shared" ca="1" si="29"/>
        <v>#N/A</v>
      </c>
      <c r="EQ23" s="14" t="e">
        <f t="shared" ca="1" si="29"/>
        <v>#N/A</v>
      </c>
      <c r="ER23" s="14" t="e">
        <f t="shared" ca="1" si="29"/>
        <v>#N/A</v>
      </c>
      <c r="ES23" s="14" t="e">
        <f t="shared" ca="1" si="29"/>
        <v>#N/A</v>
      </c>
      <c r="ET23" s="14" t="e">
        <f t="shared" ca="1" si="29"/>
        <v>#N/A</v>
      </c>
      <c r="EU23" s="15" t="e">
        <f t="shared" ca="1" si="32"/>
        <v>#N/A</v>
      </c>
      <c r="EV23" s="16" t="e">
        <f t="shared" ca="1" si="32"/>
        <v>#N/A</v>
      </c>
      <c r="EW23" s="13" t="e">
        <f t="shared" ca="1" si="30"/>
        <v>#N/A</v>
      </c>
      <c r="EX23" s="14" t="e">
        <f t="shared" ca="1" si="30"/>
        <v>#N/A</v>
      </c>
      <c r="EY23" s="14" t="e">
        <f t="shared" ca="1" si="30"/>
        <v>#N/A</v>
      </c>
      <c r="EZ23" s="14" t="e">
        <f t="shared" ca="1" si="30"/>
        <v>#N/A</v>
      </c>
      <c r="FA23" s="14" t="e">
        <f t="shared" ca="1" si="30"/>
        <v>#N/A</v>
      </c>
      <c r="FB23" s="15" t="e">
        <f t="shared" ca="1" si="33"/>
        <v>#N/A</v>
      </c>
      <c r="FC23" s="16" t="e">
        <f t="shared" ca="1" si="33"/>
        <v>#N/A</v>
      </c>
    </row>
    <row r="24" spans="1:159" s="17" customFormat="1" ht="9.75" customHeight="1">
      <c r="A24" s="27">
        <f ca="1">IFERROR(VLOOKUP(_xlfn.CONCAT(B7,"-","Next"),'DATA BTO'!A:D,4,FALSE),VLOOKUP(_xlfn.CONCAT(B7,"-","Inactif"),'DATA BTO'!A:D,4,FALSE))</f>
        <v>45777</v>
      </c>
      <c r="B24" s="28" t="s">
        <v>53</v>
      </c>
      <c r="C24" s="19" t="e">
        <f t="shared" ca="1" si="27"/>
        <v>#N/A</v>
      </c>
      <c r="D24" s="20">
        <v>7</v>
      </c>
      <c r="E24" s="19" t="e">
        <f t="shared" ca="1" si="26"/>
        <v>#N/A</v>
      </c>
      <c r="F24" s="13" t="e">
        <f t="shared" ca="1" si="35"/>
        <v>#N/A</v>
      </c>
      <c r="G24" s="14" t="e">
        <f t="shared" ca="1" si="35"/>
        <v>#N/A</v>
      </c>
      <c r="H24" s="14" t="e">
        <f t="shared" ca="1" si="35"/>
        <v>#N/A</v>
      </c>
      <c r="I24" s="14" t="e">
        <f t="shared" ca="1" si="35"/>
        <v>#N/A</v>
      </c>
      <c r="J24" s="14" t="e">
        <f t="shared" ca="1" si="35"/>
        <v>#N/A</v>
      </c>
      <c r="K24" s="15" t="e">
        <f t="shared" ca="1" si="35"/>
        <v>#N/A</v>
      </c>
      <c r="L24" s="16" t="e">
        <f t="shared" ca="1" si="35"/>
        <v>#N/A</v>
      </c>
      <c r="M24" s="13" t="e">
        <f t="shared" ca="1" si="35"/>
        <v>#N/A</v>
      </c>
      <c r="N24" s="14" t="e">
        <f t="shared" ca="1" si="35"/>
        <v>#N/A</v>
      </c>
      <c r="O24" s="14" t="e">
        <f t="shared" ca="1" si="35"/>
        <v>#N/A</v>
      </c>
      <c r="P24" s="14" t="e">
        <f t="shared" ca="1" si="35"/>
        <v>#N/A</v>
      </c>
      <c r="Q24" s="14" t="e">
        <f t="shared" ca="1" si="35"/>
        <v>#N/A</v>
      </c>
      <c r="R24" s="15" t="e">
        <f t="shared" ca="1" si="35"/>
        <v>#N/A</v>
      </c>
      <c r="S24" s="16" t="e">
        <f t="shared" ca="1" si="35"/>
        <v>#N/A</v>
      </c>
      <c r="T24" s="13" t="e">
        <f t="shared" ca="1" si="35"/>
        <v>#N/A</v>
      </c>
      <c r="U24" s="14" t="e">
        <f t="shared" ca="1" si="35"/>
        <v>#N/A</v>
      </c>
      <c r="V24" s="14" t="e">
        <f t="shared" ca="1" si="35"/>
        <v>#N/A</v>
      </c>
      <c r="W24" s="14" t="e">
        <f t="shared" ca="1" si="35"/>
        <v>#N/A</v>
      </c>
      <c r="X24" s="14" t="e">
        <f t="shared" ca="1" si="35"/>
        <v>#N/A</v>
      </c>
      <c r="Y24" s="15" t="e">
        <f t="shared" ca="1" si="35"/>
        <v>#N/A</v>
      </c>
      <c r="Z24" s="16" t="e">
        <f t="shared" ca="1" si="35"/>
        <v>#N/A</v>
      </c>
      <c r="AA24" s="13" t="e">
        <f t="shared" ca="1" si="17"/>
        <v>#N/A</v>
      </c>
      <c r="AB24" s="14" t="e">
        <f t="shared" ca="1" si="17"/>
        <v>#N/A</v>
      </c>
      <c r="AC24" s="14" t="e">
        <f t="shared" ca="1" si="17"/>
        <v>#N/A</v>
      </c>
      <c r="AD24" s="14" t="e">
        <f t="shared" ca="1" si="17"/>
        <v>#N/A</v>
      </c>
      <c r="AE24" s="14" t="e">
        <f t="shared" ca="1" si="17"/>
        <v>#N/A</v>
      </c>
      <c r="AF24" s="15" t="e">
        <f t="shared" ca="1" si="17"/>
        <v>#N/A</v>
      </c>
      <c r="AG24" s="16" t="e">
        <f t="shared" ca="1" si="17"/>
        <v>#N/A</v>
      </c>
      <c r="AH24" s="13" t="e">
        <f t="shared" ca="1" si="17"/>
        <v>#N/A</v>
      </c>
      <c r="AI24" s="14" t="e">
        <f t="shared" ca="1" si="17"/>
        <v>#N/A</v>
      </c>
      <c r="AJ24" s="14" t="e">
        <f t="shared" ca="1" si="17"/>
        <v>#N/A</v>
      </c>
      <c r="AK24" s="14" t="e">
        <f t="shared" ca="1" si="17"/>
        <v>#N/A</v>
      </c>
      <c r="AL24" s="14" t="e">
        <f t="shared" ca="1" si="17"/>
        <v>#N/A</v>
      </c>
      <c r="AM24" s="15" t="e">
        <f t="shared" ca="1" si="17"/>
        <v>#N/A</v>
      </c>
      <c r="AN24" s="16" t="e">
        <f t="shared" ca="1" si="17"/>
        <v>#N/A</v>
      </c>
      <c r="AO24" s="13" t="e">
        <f t="shared" ca="1" si="17"/>
        <v>#N/A</v>
      </c>
      <c r="AP24" s="14" t="e">
        <f t="shared" ref="AP24" ca="1" si="39">IF(AND(AP$5&gt;=$C24,AP$5&lt;=$E24),1,"")</f>
        <v>#N/A</v>
      </c>
      <c r="AQ24" s="14" t="e">
        <f t="shared" ca="1" si="18"/>
        <v>#N/A</v>
      </c>
      <c r="AR24" s="14" t="e">
        <f t="shared" ca="1" si="18"/>
        <v>#N/A</v>
      </c>
      <c r="AS24" s="14" t="e">
        <f t="shared" ca="1" si="18"/>
        <v>#N/A</v>
      </c>
      <c r="AT24" s="15" t="e">
        <f t="shared" ca="1" si="18"/>
        <v>#N/A</v>
      </c>
      <c r="AU24" s="16" t="e">
        <f t="shared" ca="1" si="18"/>
        <v>#N/A</v>
      </c>
      <c r="AV24" s="13" t="e">
        <f t="shared" ca="1" si="18"/>
        <v>#N/A</v>
      </c>
      <c r="AW24" s="14" t="e">
        <f t="shared" ca="1" si="18"/>
        <v>#N/A</v>
      </c>
      <c r="AX24" s="14" t="e">
        <f t="shared" ca="1" si="18"/>
        <v>#N/A</v>
      </c>
      <c r="AY24" s="14" t="e">
        <f t="shared" ca="1" si="18"/>
        <v>#N/A</v>
      </c>
      <c r="AZ24" s="14" t="e">
        <f t="shared" ca="1" si="18"/>
        <v>#N/A</v>
      </c>
      <c r="BA24" s="15" t="e">
        <f t="shared" ca="1" si="18"/>
        <v>#N/A</v>
      </c>
      <c r="BB24" s="16" t="e">
        <f t="shared" ca="1" si="18"/>
        <v>#N/A</v>
      </c>
      <c r="BC24" s="13" t="e">
        <f t="shared" ca="1" si="18"/>
        <v>#N/A</v>
      </c>
      <c r="BD24" s="14" t="e">
        <f t="shared" ca="1" si="18"/>
        <v>#N/A</v>
      </c>
      <c r="BE24" s="14" t="e">
        <f t="shared" ca="1" si="18"/>
        <v>#N/A</v>
      </c>
      <c r="BF24" s="14" t="e">
        <f t="shared" ref="BF24" ca="1" si="40">IF(AND(BF$5&gt;=$C24,BF$5&lt;=$E24),1,"")</f>
        <v>#N/A</v>
      </c>
      <c r="BG24" s="14" t="e">
        <f t="shared" ca="1" si="19"/>
        <v>#N/A</v>
      </c>
      <c r="BH24" s="15" t="e">
        <f t="shared" ca="1" si="19"/>
        <v>#N/A</v>
      </c>
      <c r="BI24" s="16" t="e">
        <f t="shared" ca="1" si="19"/>
        <v>#N/A</v>
      </c>
      <c r="BJ24" s="13" t="e">
        <f t="shared" ca="1" si="19"/>
        <v>#N/A</v>
      </c>
      <c r="BK24" s="14" t="e">
        <f t="shared" ca="1" si="19"/>
        <v>#N/A</v>
      </c>
      <c r="BL24" s="14" t="e">
        <f t="shared" ca="1" si="19"/>
        <v>#N/A</v>
      </c>
      <c r="BM24" s="14" t="e">
        <f t="shared" ca="1" si="19"/>
        <v>#N/A</v>
      </c>
      <c r="BN24" s="14" t="e">
        <f t="shared" ca="1" si="19"/>
        <v>#N/A</v>
      </c>
      <c r="BO24" s="15" t="e">
        <f t="shared" ca="1" si="19"/>
        <v>#N/A</v>
      </c>
      <c r="BP24" s="16" t="e">
        <f t="shared" ca="1" si="19"/>
        <v>#N/A</v>
      </c>
      <c r="BQ24" s="13" t="e">
        <f t="shared" ref="BQ24:DB24" ca="1" si="41">IF(AND(BQ$5&gt;=$C24,BQ$5&lt;=$E24),1,"")</f>
        <v>#N/A</v>
      </c>
      <c r="BR24" s="14" t="e">
        <f t="shared" ca="1" si="41"/>
        <v>#N/A</v>
      </c>
      <c r="BS24" s="14" t="e">
        <f t="shared" ca="1" si="41"/>
        <v>#N/A</v>
      </c>
      <c r="BT24" s="14" t="e">
        <f t="shared" ca="1" si="41"/>
        <v>#N/A</v>
      </c>
      <c r="BU24" s="14" t="e">
        <f t="shared" ca="1" si="41"/>
        <v>#N/A</v>
      </c>
      <c r="BV24" s="15" t="e">
        <f t="shared" ca="1" si="41"/>
        <v>#N/A</v>
      </c>
      <c r="BW24" s="16" t="e">
        <f t="shared" ca="1" si="41"/>
        <v>#N/A</v>
      </c>
      <c r="BX24" s="13" t="e">
        <f t="shared" ca="1" si="41"/>
        <v>#N/A</v>
      </c>
      <c r="BY24" s="14" t="e">
        <f t="shared" ca="1" si="41"/>
        <v>#N/A</v>
      </c>
      <c r="BZ24" s="14" t="e">
        <f t="shared" ca="1" si="41"/>
        <v>#N/A</v>
      </c>
      <c r="CA24" s="14" t="e">
        <f t="shared" ca="1" si="41"/>
        <v>#N/A</v>
      </c>
      <c r="CB24" s="14" t="e">
        <f t="shared" ca="1" si="41"/>
        <v>#N/A</v>
      </c>
      <c r="CC24" s="15" t="e">
        <f t="shared" ca="1" si="41"/>
        <v>#N/A</v>
      </c>
      <c r="CD24" s="16" t="e">
        <f t="shared" ca="1" si="41"/>
        <v>#N/A</v>
      </c>
      <c r="CE24" s="13" t="e">
        <f t="shared" ca="1" si="41"/>
        <v>#N/A</v>
      </c>
      <c r="CF24" s="14" t="e">
        <f t="shared" ca="1" si="41"/>
        <v>#N/A</v>
      </c>
      <c r="CG24" s="14" t="e">
        <f t="shared" ca="1" si="41"/>
        <v>#N/A</v>
      </c>
      <c r="CH24" s="14" t="e">
        <f t="shared" ca="1" si="41"/>
        <v>#N/A</v>
      </c>
      <c r="CI24" s="14" t="e">
        <f t="shared" ca="1" si="41"/>
        <v>#N/A</v>
      </c>
      <c r="CJ24" s="15" t="e">
        <f t="shared" ca="1" si="41"/>
        <v>#N/A</v>
      </c>
      <c r="CK24" s="16" t="e">
        <f t="shared" ca="1" si="41"/>
        <v>#N/A</v>
      </c>
      <c r="CL24" s="13" t="e">
        <f t="shared" ca="1" si="41"/>
        <v>#N/A</v>
      </c>
      <c r="CM24" s="14" t="e">
        <f t="shared" ca="1" si="41"/>
        <v>#N/A</v>
      </c>
      <c r="CN24" s="14" t="e">
        <f t="shared" ca="1" si="41"/>
        <v>#N/A</v>
      </c>
      <c r="CO24" s="14" t="e">
        <f t="shared" ca="1" si="41"/>
        <v>#N/A</v>
      </c>
      <c r="CP24" s="14" t="e">
        <f t="shared" ca="1" si="41"/>
        <v>#N/A</v>
      </c>
      <c r="CQ24" s="15" t="e">
        <f t="shared" ca="1" si="41"/>
        <v>#N/A</v>
      </c>
      <c r="CR24" s="16" t="e">
        <f t="shared" ca="1" si="41"/>
        <v>#N/A</v>
      </c>
      <c r="CS24" s="13" t="e">
        <f ca="1">IF(AND(CS$5&gt;=$C24,CS$5&lt;=$E24),1,"")</f>
        <v>#N/A</v>
      </c>
      <c r="CT24" s="14" t="e">
        <f t="shared" ca="1" si="41"/>
        <v>#N/A</v>
      </c>
      <c r="CU24" s="14" t="e">
        <f t="shared" ca="1" si="41"/>
        <v>#N/A</v>
      </c>
      <c r="CV24" s="14" t="e">
        <f t="shared" ca="1" si="41"/>
        <v>#N/A</v>
      </c>
      <c r="CW24" s="14" t="e">
        <f t="shared" ca="1" si="41"/>
        <v>#N/A</v>
      </c>
      <c r="CX24" s="15" t="e">
        <f t="shared" ca="1" si="41"/>
        <v>#N/A</v>
      </c>
      <c r="CY24" s="16" t="e">
        <f t="shared" ca="1" si="41"/>
        <v>#N/A</v>
      </c>
      <c r="CZ24" s="13" t="e">
        <f t="shared" ca="1" si="41"/>
        <v>#N/A</v>
      </c>
      <c r="DA24" s="14" t="e">
        <f t="shared" ca="1" si="41"/>
        <v>#N/A</v>
      </c>
      <c r="DB24" s="14" t="e">
        <f t="shared" ca="1" si="41"/>
        <v>#N/A</v>
      </c>
      <c r="DC24" s="14" t="e">
        <f t="shared" ca="1" si="38"/>
        <v>#N/A</v>
      </c>
      <c r="DD24" s="14" t="e">
        <f t="shared" ca="1" si="38"/>
        <v>#N/A</v>
      </c>
      <c r="DE24" s="15" t="e">
        <f t="shared" ca="1" si="38"/>
        <v>#N/A</v>
      </c>
      <c r="DF24" s="16" t="e">
        <f t="shared" ca="1" si="38"/>
        <v>#N/A</v>
      </c>
      <c r="DG24" s="13" t="e">
        <f t="shared" ca="1" si="38"/>
        <v>#N/A</v>
      </c>
      <c r="DH24" s="14" t="e">
        <f t="shared" ca="1" si="38"/>
        <v>#N/A</v>
      </c>
      <c r="DI24" s="14" t="e">
        <f t="shared" ca="1" si="38"/>
        <v>#N/A</v>
      </c>
      <c r="DJ24" s="14" t="e">
        <f t="shared" ca="1" si="38"/>
        <v>#N/A</v>
      </c>
      <c r="DK24" s="14" t="e">
        <f t="shared" ca="1" si="38"/>
        <v>#N/A</v>
      </c>
      <c r="DL24" s="15" t="e">
        <f t="shared" ca="1" si="38"/>
        <v>#N/A</v>
      </c>
      <c r="DM24" s="16" t="e">
        <f t="shared" ca="1" si="38"/>
        <v>#N/A</v>
      </c>
      <c r="DN24" s="13" t="e">
        <f t="shared" ca="1" si="38"/>
        <v>#N/A</v>
      </c>
      <c r="DO24" s="14" t="e">
        <f t="shared" ca="1" si="38"/>
        <v>#N/A</v>
      </c>
      <c r="DP24" s="14" t="e">
        <f t="shared" ca="1" si="38"/>
        <v>#N/A</v>
      </c>
      <c r="DQ24" s="14" t="e">
        <f t="shared" ca="1" si="38"/>
        <v>#N/A</v>
      </c>
      <c r="DR24" s="14" t="e">
        <f t="shared" ca="1" si="36"/>
        <v>#N/A</v>
      </c>
      <c r="DS24" s="15" t="e">
        <f t="shared" ca="1" si="36"/>
        <v>#N/A</v>
      </c>
      <c r="DT24" s="16" t="e">
        <f t="shared" ca="1" si="36"/>
        <v>#N/A</v>
      </c>
      <c r="DU24" s="13" t="e">
        <f t="shared" ca="1" si="36"/>
        <v>#N/A</v>
      </c>
      <c r="DV24" s="14" t="e">
        <f t="shared" ca="1" si="36"/>
        <v>#N/A</v>
      </c>
      <c r="DW24" s="14" t="e">
        <f t="shared" ca="1" si="36"/>
        <v>#N/A</v>
      </c>
      <c r="DX24" s="14" t="e">
        <f t="shared" ca="1" si="36"/>
        <v>#N/A</v>
      </c>
      <c r="DY24" s="14" t="e">
        <f t="shared" ca="1" si="36"/>
        <v>#N/A</v>
      </c>
      <c r="DZ24" s="15" t="e">
        <f t="shared" ref="DZ24:EH24" ca="1" si="42">IF(AND(DZ$5&gt;=$C24,DZ$5&lt;=$E24),1,"")</f>
        <v>#N/A</v>
      </c>
      <c r="EA24" s="16" t="e">
        <f t="shared" ca="1" si="42"/>
        <v>#N/A</v>
      </c>
      <c r="EB24" s="13" t="e">
        <f t="shared" ca="1" si="42"/>
        <v>#N/A</v>
      </c>
      <c r="EC24" s="14" t="e">
        <f t="shared" ca="1" si="42"/>
        <v>#N/A</v>
      </c>
      <c r="ED24" s="14" t="e">
        <f t="shared" ca="1" si="42"/>
        <v>#N/A</v>
      </c>
      <c r="EE24" s="14" t="e">
        <f t="shared" ca="1" si="42"/>
        <v>#N/A</v>
      </c>
      <c r="EF24" s="14" t="e">
        <f t="shared" ca="1" si="42"/>
        <v>#N/A</v>
      </c>
      <c r="EG24" s="15" t="e">
        <f t="shared" ca="1" si="42"/>
        <v>#N/A</v>
      </c>
      <c r="EH24" s="16" t="e">
        <f t="shared" ca="1" si="42"/>
        <v>#N/A</v>
      </c>
      <c r="EI24" s="13" t="e">
        <f t="shared" ca="1" si="28"/>
        <v>#N/A</v>
      </c>
      <c r="EJ24" s="14" t="e">
        <f t="shared" ca="1" si="28"/>
        <v>#N/A</v>
      </c>
      <c r="EK24" s="14" t="e">
        <f t="shared" ca="1" si="28"/>
        <v>#N/A</v>
      </c>
      <c r="EL24" s="14" t="e">
        <f t="shared" ca="1" si="28"/>
        <v>#N/A</v>
      </c>
      <c r="EM24" s="14" t="e">
        <f t="shared" ca="1" si="28"/>
        <v>#N/A</v>
      </c>
      <c r="EN24" s="15" t="e">
        <f t="shared" ca="1" si="31"/>
        <v>#N/A</v>
      </c>
      <c r="EO24" s="16" t="e">
        <f t="shared" ca="1" si="31"/>
        <v>#N/A</v>
      </c>
      <c r="EP24" s="13" t="e">
        <f t="shared" ca="1" si="29"/>
        <v>#N/A</v>
      </c>
      <c r="EQ24" s="14" t="e">
        <f t="shared" ca="1" si="29"/>
        <v>#N/A</v>
      </c>
      <c r="ER24" s="14" t="e">
        <f t="shared" ca="1" si="29"/>
        <v>#N/A</v>
      </c>
      <c r="ES24" s="14" t="e">
        <f t="shared" ca="1" si="29"/>
        <v>#N/A</v>
      </c>
      <c r="ET24" s="14" t="e">
        <f t="shared" ca="1" si="29"/>
        <v>#N/A</v>
      </c>
      <c r="EU24" s="15" t="e">
        <f t="shared" ca="1" si="32"/>
        <v>#N/A</v>
      </c>
      <c r="EV24" s="16" t="e">
        <f t="shared" ca="1" si="32"/>
        <v>#N/A</v>
      </c>
      <c r="EW24" s="13" t="e">
        <f t="shared" ca="1" si="30"/>
        <v>#N/A</v>
      </c>
      <c r="EX24" s="14" t="e">
        <f t="shared" ca="1" si="30"/>
        <v>#N/A</v>
      </c>
      <c r="EY24" s="14" t="e">
        <f t="shared" ca="1" si="30"/>
        <v>#N/A</v>
      </c>
      <c r="EZ24" s="14" t="e">
        <f t="shared" ca="1" si="30"/>
        <v>#N/A</v>
      </c>
      <c r="FA24" s="14" t="e">
        <f t="shared" ca="1" si="30"/>
        <v>#N/A</v>
      </c>
      <c r="FB24" s="15" t="e">
        <f t="shared" ca="1" si="33"/>
        <v>#N/A</v>
      </c>
      <c r="FC24" s="16" t="e">
        <f t="shared" ca="1" si="33"/>
        <v>#N/A</v>
      </c>
    </row>
    <row r="25" spans="1:159" s="17" customFormat="1" ht="9">
      <c r="A25" s="92" t="str">
        <f>_xlfn.CONCAT(B7,"-","Next")</f>
        <v>927-Next</v>
      </c>
      <c r="B25" s="28" t="s">
        <v>54</v>
      </c>
      <c r="C25" s="19" t="e">
        <f t="shared" ca="1" si="27"/>
        <v>#N/A</v>
      </c>
      <c r="D25" s="20">
        <v>7</v>
      </c>
      <c r="E25" s="19" t="e">
        <f ca="1">(C25+D25+C40)-1</f>
        <v>#N/A</v>
      </c>
      <c r="F25" s="13" t="e">
        <f t="shared" ref="F25:BQ25" ca="1" si="43">IF(AND(F$5&gt;=$C25+$C$40,F$5&lt;=$E25),1,"")</f>
        <v>#N/A</v>
      </c>
      <c r="G25" s="14" t="e">
        <f t="shared" ca="1" si="43"/>
        <v>#N/A</v>
      </c>
      <c r="H25" s="14" t="e">
        <f t="shared" ca="1" si="43"/>
        <v>#N/A</v>
      </c>
      <c r="I25" s="14" t="e">
        <f t="shared" ca="1" si="43"/>
        <v>#N/A</v>
      </c>
      <c r="J25" s="14" t="e">
        <f t="shared" ca="1" si="43"/>
        <v>#N/A</v>
      </c>
      <c r="K25" s="15" t="e">
        <f t="shared" ca="1" si="43"/>
        <v>#N/A</v>
      </c>
      <c r="L25" s="16" t="e">
        <f t="shared" ca="1" si="43"/>
        <v>#N/A</v>
      </c>
      <c r="M25" s="13" t="e">
        <f t="shared" ca="1" si="43"/>
        <v>#N/A</v>
      </c>
      <c r="N25" s="14" t="e">
        <f t="shared" ca="1" si="43"/>
        <v>#N/A</v>
      </c>
      <c r="O25" s="14" t="e">
        <f t="shared" ca="1" si="43"/>
        <v>#N/A</v>
      </c>
      <c r="P25" s="14" t="e">
        <f t="shared" ca="1" si="43"/>
        <v>#N/A</v>
      </c>
      <c r="Q25" s="14" t="e">
        <f t="shared" ca="1" si="43"/>
        <v>#N/A</v>
      </c>
      <c r="R25" s="15" t="e">
        <f t="shared" ca="1" si="43"/>
        <v>#N/A</v>
      </c>
      <c r="S25" s="16" t="e">
        <f t="shared" ca="1" si="43"/>
        <v>#N/A</v>
      </c>
      <c r="T25" s="13" t="e">
        <f t="shared" ca="1" si="43"/>
        <v>#N/A</v>
      </c>
      <c r="U25" s="14" t="e">
        <f t="shared" ca="1" si="43"/>
        <v>#N/A</v>
      </c>
      <c r="V25" s="14" t="e">
        <f t="shared" ca="1" si="43"/>
        <v>#N/A</v>
      </c>
      <c r="W25" s="14" t="e">
        <f t="shared" ca="1" si="43"/>
        <v>#N/A</v>
      </c>
      <c r="X25" s="14" t="e">
        <f t="shared" ca="1" si="43"/>
        <v>#N/A</v>
      </c>
      <c r="Y25" s="15" t="e">
        <f t="shared" ca="1" si="43"/>
        <v>#N/A</v>
      </c>
      <c r="Z25" s="16" t="e">
        <f t="shared" ca="1" si="43"/>
        <v>#N/A</v>
      </c>
      <c r="AA25" s="13" t="e">
        <f t="shared" ca="1" si="43"/>
        <v>#N/A</v>
      </c>
      <c r="AB25" s="14" t="e">
        <f t="shared" ca="1" si="43"/>
        <v>#N/A</v>
      </c>
      <c r="AC25" s="14" t="e">
        <f t="shared" ca="1" si="43"/>
        <v>#N/A</v>
      </c>
      <c r="AD25" s="14" t="e">
        <f t="shared" ca="1" si="43"/>
        <v>#N/A</v>
      </c>
      <c r="AE25" s="14" t="e">
        <f t="shared" ca="1" si="43"/>
        <v>#N/A</v>
      </c>
      <c r="AF25" s="15" t="e">
        <f t="shared" ca="1" si="43"/>
        <v>#N/A</v>
      </c>
      <c r="AG25" s="16" t="e">
        <f t="shared" ca="1" si="43"/>
        <v>#N/A</v>
      </c>
      <c r="AH25" s="13" t="e">
        <f t="shared" ca="1" si="43"/>
        <v>#N/A</v>
      </c>
      <c r="AI25" s="14" t="e">
        <f t="shared" ca="1" si="43"/>
        <v>#N/A</v>
      </c>
      <c r="AJ25" s="14" t="e">
        <f t="shared" ca="1" si="43"/>
        <v>#N/A</v>
      </c>
      <c r="AK25" s="14" t="e">
        <f t="shared" ca="1" si="43"/>
        <v>#N/A</v>
      </c>
      <c r="AL25" s="14" t="e">
        <f t="shared" ca="1" si="43"/>
        <v>#N/A</v>
      </c>
      <c r="AM25" s="15" t="e">
        <f t="shared" ca="1" si="43"/>
        <v>#N/A</v>
      </c>
      <c r="AN25" s="16" t="e">
        <f t="shared" ca="1" si="43"/>
        <v>#N/A</v>
      </c>
      <c r="AO25" s="13" t="e">
        <f t="shared" ca="1" si="43"/>
        <v>#N/A</v>
      </c>
      <c r="AP25" s="14" t="e">
        <f t="shared" ca="1" si="43"/>
        <v>#N/A</v>
      </c>
      <c r="AQ25" s="14" t="e">
        <f t="shared" ca="1" si="43"/>
        <v>#N/A</v>
      </c>
      <c r="AR25" s="14" t="e">
        <f t="shared" ca="1" si="43"/>
        <v>#N/A</v>
      </c>
      <c r="AS25" s="14" t="e">
        <f t="shared" ca="1" si="43"/>
        <v>#N/A</v>
      </c>
      <c r="AT25" s="15" t="e">
        <f t="shared" ca="1" si="43"/>
        <v>#N/A</v>
      </c>
      <c r="AU25" s="16" t="e">
        <f t="shared" ca="1" si="43"/>
        <v>#N/A</v>
      </c>
      <c r="AV25" s="13" t="e">
        <f t="shared" ca="1" si="43"/>
        <v>#N/A</v>
      </c>
      <c r="AW25" s="14" t="e">
        <f t="shared" ca="1" si="43"/>
        <v>#N/A</v>
      </c>
      <c r="AX25" s="14" t="e">
        <f t="shared" ca="1" si="43"/>
        <v>#N/A</v>
      </c>
      <c r="AY25" s="14" t="e">
        <f t="shared" ca="1" si="43"/>
        <v>#N/A</v>
      </c>
      <c r="AZ25" s="14" t="e">
        <f t="shared" ca="1" si="43"/>
        <v>#N/A</v>
      </c>
      <c r="BA25" s="15" t="e">
        <f t="shared" ca="1" si="43"/>
        <v>#N/A</v>
      </c>
      <c r="BB25" s="16" t="e">
        <f t="shared" ca="1" si="43"/>
        <v>#N/A</v>
      </c>
      <c r="BC25" s="13" t="e">
        <f t="shared" ca="1" si="43"/>
        <v>#N/A</v>
      </c>
      <c r="BD25" s="14" t="e">
        <f t="shared" ca="1" si="43"/>
        <v>#N/A</v>
      </c>
      <c r="BE25" s="14" t="e">
        <f t="shared" ca="1" si="43"/>
        <v>#N/A</v>
      </c>
      <c r="BF25" s="14" t="e">
        <f t="shared" ca="1" si="43"/>
        <v>#N/A</v>
      </c>
      <c r="BG25" s="14" t="e">
        <f t="shared" ca="1" si="43"/>
        <v>#N/A</v>
      </c>
      <c r="BH25" s="15" t="e">
        <f t="shared" ca="1" si="43"/>
        <v>#N/A</v>
      </c>
      <c r="BI25" s="16" t="e">
        <f t="shared" ca="1" si="43"/>
        <v>#N/A</v>
      </c>
      <c r="BJ25" s="13" t="e">
        <f t="shared" ca="1" si="43"/>
        <v>#N/A</v>
      </c>
      <c r="BK25" s="14" t="e">
        <f t="shared" ca="1" si="43"/>
        <v>#N/A</v>
      </c>
      <c r="BL25" s="14" t="e">
        <f t="shared" ca="1" si="43"/>
        <v>#N/A</v>
      </c>
      <c r="BM25" s="14" t="e">
        <f t="shared" ca="1" si="43"/>
        <v>#N/A</v>
      </c>
      <c r="BN25" s="14" t="e">
        <f t="shared" ca="1" si="43"/>
        <v>#N/A</v>
      </c>
      <c r="BO25" s="15" t="e">
        <f t="shared" ca="1" si="43"/>
        <v>#N/A</v>
      </c>
      <c r="BP25" s="16" t="e">
        <f t="shared" ca="1" si="43"/>
        <v>#N/A</v>
      </c>
      <c r="BQ25" s="13" t="e">
        <f t="shared" ca="1" si="43"/>
        <v>#N/A</v>
      </c>
      <c r="BR25" s="14" t="e">
        <f t="shared" ref="BR25:EC25" ca="1" si="44">IF(AND(BR$5&gt;=$C25+$C$40,BR$5&lt;=$E25),1,"")</f>
        <v>#N/A</v>
      </c>
      <c r="BS25" s="14" t="e">
        <f t="shared" ca="1" si="44"/>
        <v>#N/A</v>
      </c>
      <c r="BT25" s="14" t="e">
        <f t="shared" ca="1" si="44"/>
        <v>#N/A</v>
      </c>
      <c r="BU25" s="14" t="e">
        <f t="shared" ca="1" si="44"/>
        <v>#N/A</v>
      </c>
      <c r="BV25" s="15" t="e">
        <f t="shared" ca="1" si="44"/>
        <v>#N/A</v>
      </c>
      <c r="BW25" s="16" t="e">
        <f t="shared" ca="1" si="44"/>
        <v>#N/A</v>
      </c>
      <c r="BX25" s="13" t="e">
        <f t="shared" ca="1" si="44"/>
        <v>#N/A</v>
      </c>
      <c r="BY25" s="14" t="e">
        <f t="shared" ca="1" si="44"/>
        <v>#N/A</v>
      </c>
      <c r="BZ25" s="14" t="e">
        <f t="shared" ca="1" si="44"/>
        <v>#N/A</v>
      </c>
      <c r="CA25" s="14" t="e">
        <f t="shared" ca="1" si="44"/>
        <v>#N/A</v>
      </c>
      <c r="CB25" s="14" t="e">
        <f t="shared" ca="1" si="44"/>
        <v>#N/A</v>
      </c>
      <c r="CC25" s="15" t="e">
        <f t="shared" ca="1" si="44"/>
        <v>#N/A</v>
      </c>
      <c r="CD25" s="16" t="e">
        <f t="shared" ca="1" si="44"/>
        <v>#N/A</v>
      </c>
      <c r="CE25" s="13" t="e">
        <f t="shared" ca="1" si="44"/>
        <v>#N/A</v>
      </c>
      <c r="CF25" s="14" t="e">
        <f t="shared" ca="1" si="44"/>
        <v>#N/A</v>
      </c>
      <c r="CG25" s="14" t="e">
        <f t="shared" ca="1" si="44"/>
        <v>#N/A</v>
      </c>
      <c r="CH25" s="14" t="e">
        <f t="shared" ca="1" si="44"/>
        <v>#N/A</v>
      </c>
      <c r="CI25" s="14" t="e">
        <f t="shared" ca="1" si="44"/>
        <v>#N/A</v>
      </c>
      <c r="CJ25" s="15" t="e">
        <f t="shared" ca="1" si="44"/>
        <v>#N/A</v>
      </c>
      <c r="CK25" s="16" t="e">
        <f t="shared" ca="1" si="44"/>
        <v>#N/A</v>
      </c>
      <c r="CL25" s="13" t="e">
        <f t="shared" ca="1" si="44"/>
        <v>#N/A</v>
      </c>
      <c r="CM25" s="14" t="e">
        <f t="shared" ca="1" si="44"/>
        <v>#N/A</v>
      </c>
      <c r="CN25" s="14" t="e">
        <f t="shared" ca="1" si="44"/>
        <v>#N/A</v>
      </c>
      <c r="CO25" s="14" t="e">
        <f t="shared" ca="1" si="44"/>
        <v>#N/A</v>
      </c>
      <c r="CP25" s="14" t="e">
        <f t="shared" ca="1" si="44"/>
        <v>#N/A</v>
      </c>
      <c r="CQ25" s="15" t="e">
        <f t="shared" ca="1" si="44"/>
        <v>#N/A</v>
      </c>
      <c r="CR25" s="16" t="e">
        <f t="shared" ca="1" si="44"/>
        <v>#N/A</v>
      </c>
      <c r="CS25" s="13" t="e">
        <f t="shared" ca="1" si="44"/>
        <v>#N/A</v>
      </c>
      <c r="CT25" s="14" t="e">
        <f t="shared" ca="1" si="44"/>
        <v>#N/A</v>
      </c>
      <c r="CU25" s="14" t="e">
        <f t="shared" ca="1" si="44"/>
        <v>#N/A</v>
      </c>
      <c r="CV25" s="14" t="e">
        <f t="shared" ca="1" si="44"/>
        <v>#N/A</v>
      </c>
      <c r="CW25" s="14" t="e">
        <f t="shared" ca="1" si="44"/>
        <v>#N/A</v>
      </c>
      <c r="CX25" s="15" t="e">
        <f t="shared" ca="1" si="44"/>
        <v>#N/A</v>
      </c>
      <c r="CY25" s="16" t="e">
        <f t="shared" ca="1" si="44"/>
        <v>#N/A</v>
      </c>
      <c r="CZ25" s="13" t="e">
        <f t="shared" ca="1" si="44"/>
        <v>#N/A</v>
      </c>
      <c r="DA25" s="14" t="e">
        <f t="shared" ca="1" si="44"/>
        <v>#N/A</v>
      </c>
      <c r="DB25" s="14" t="e">
        <f t="shared" ca="1" si="44"/>
        <v>#N/A</v>
      </c>
      <c r="DC25" s="14" t="e">
        <f t="shared" ca="1" si="44"/>
        <v>#N/A</v>
      </c>
      <c r="DD25" s="14" t="e">
        <f t="shared" ca="1" si="44"/>
        <v>#N/A</v>
      </c>
      <c r="DE25" s="15" t="e">
        <f t="shared" ca="1" si="44"/>
        <v>#N/A</v>
      </c>
      <c r="DF25" s="16" t="e">
        <f t="shared" ca="1" si="44"/>
        <v>#N/A</v>
      </c>
      <c r="DG25" s="13" t="e">
        <f t="shared" ca="1" si="44"/>
        <v>#N/A</v>
      </c>
      <c r="DH25" s="14" t="e">
        <f t="shared" ca="1" si="44"/>
        <v>#N/A</v>
      </c>
      <c r="DI25" s="14" t="e">
        <f t="shared" ca="1" si="44"/>
        <v>#N/A</v>
      </c>
      <c r="DJ25" s="14" t="e">
        <f t="shared" ca="1" si="44"/>
        <v>#N/A</v>
      </c>
      <c r="DK25" s="14" t="e">
        <f t="shared" ca="1" si="44"/>
        <v>#N/A</v>
      </c>
      <c r="DL25" s="15" t="e">
        <f t="shared" ca="1" si="44"/>
        <v>#N/A</v>
      </c>
      <c r="DM25" s="16" t="e">
        <f t="shared" ca="1" si="44"/>
        <v>#N/A</v>
      </c>
      <c r="DN25" s="13" t="e">
        <f t="shared" ca="1" si="44"/>
        <v>#N/A</v>
      </c>
      <c r="DO25" s="14" t="e">
        <f t="shared" ca="1" si="44"/>
        <v>#N/A</v>
      </c>
      <c r="DP25" s="14" t="e">
        <f t="shared" ca="1" si="44"/>
        <v>#N/A</v>
      </c>
      <c r="DQ25" s="14" t="e">
        <f t="shared" ca="1" si="44"/>
        <v>#N/A</v>
      </c>
      <c r="DR25" s="14" t="e">
        <f t="shared" ca="1" si="44"/>
        <v>#N/A</v>
      </c>
      <c r="DS25" s="15" t="e">
        <f t="shared" ca="1" si="44"/>
        <v>#N/A</v>
      </c>
      <c r="DT25" s="16" t="e">
        <f t="shared" ca="1" si="44"/>
        <v>#N/A</v>
      </c>
      <c r="DU25" s="13" t="e">
        <f t="shared" ca="1" si="44"/>
        <v>#N/A</v>
      </c>
      <c r="DV25" s="14" t="e">
        <f t="shared" ca="1" si="44"/>
        <v>#N/A</v>
      </c>
      <c r="DW25" s="14" t="e">
        <f t="shared" ca="1" si="44"/>
        <v>#N/A</v>
      </c>
      <c r="DX25" s="14" t="e">
        <f t="shared" ca="1" si="44"/>
        <v>#N/A</v>
      </c>
      <c r="DY25" s="14" t="e">
        <f t="shared" ca="1" si="44"/>
        <v>#N/A</v>
      </c>
      <c r="DZ25" s="15" t="e">
        <f t="shared" ca="1" si="44"/>
        <v>#N/A</v>
      </c>
      <c r="EA25" s="16" t="e">
        <f t="shared" ca="1" si="44"/>
        <v>#N/A</v>
      </c>
      <c r="EB25" s="13" t="e">
        <f t="shared" ca="1" si="44"/>
        <v>#N/A</v>
      </c>
      <c r="EC25" s="14" t="e">
        <f t="shared" ca="1" si="44"/>
        <v>#N/A</v>
      </c>
      <c r="ED25" s="14" t="e">
        <f t="shared" ref="ED25:EH25" ca="1" si="45">IF(AND(ED$5&gt;=$C25+$C$40,ED$5&lt;=$E25),1,"")</f>
        <v>#N/A</v>
      </c>
      <c r="EE25" s="14" t="e">
        <f t="shared" ca="1" si="45"/>
        <v>#N/A</v>
      </c>
      <c r="EF25" s="14" t="e">
        <f t="shared" ca="1" si="45"/>
        <v>#N/A</v>
      </c>
      <c r="EG25" s="15" t="e">
        <f t="shared" ca="1" si="45"/>
        <v>#N/A</v>
      </c>
      <c r="EH25" s="16" t="e">
        <f t="shared" ca="1" si="45"/>
        <v>#N/A</v>
      </c>
      <c r="EI25" s="13" t="e">
        <f t="shared" ref="EI25:FC25" ca="1" si="46">IF(AND(EI$5&gt;=$C25+$C$40,EI$5&lt;=$E25),1,"")</f>
        <v>#N/A</v>
      </c>
      <c r="EJ25" s="14" t="e">
        <f t="shared" ca="1" si="46"/>
        <v>#N/A</v>
      </c>
      <c r="EK25" s="14" t="e">
        <f t="shared" ca="1" si="46"/>
        <v>#N/A</v>
      </c>
      <c r="EL25" s="14" t="e">
        <f t="shared" ca="1" si="46"/>
        <v>#N/A</v>
      </c>
      <c r="EM25" s="14" t="e">
        <f t="shared" ca="1" si="46"/>
        <v>#N/A</v>
      </c>
      <c r="EN25" s="15" t="e">
        <f t="shared" ca="1" si="46"/>
        <v>#N/A</v>
      </c>
      <c r="EO25" s="16" t="e">
        <f t="shared" ca="1" si="46"/>
        <v>#N/A</v>
      </c>
      <c r="EP25" s="13" t="e">
        <f t="shared" ca="1" si="46"/>
        <v>#N/A</v>
      </c>
      <c r="EQ25" s="14" t="e">
        <f t="shared" ca="1" si="46"/>
        <v>#N/A</v>
      </c>
      <c r="ER25" s="14" t="e">
        <f t="shared" ca="1" si="46"/>
        <v>#N/A</v>
      </c>
      <c r="ES25" s="14" t="e">
        <f t="shared" ca="1" si="46"/>
        <v>#N/A</v>
      </c>
      <c r="ET25" s="14" t="e">
        <f t="shared" ca="1" si="46"/>
        <v>#N/A</v>
      </c>
      <c r="EU25" s="15" t="e">
        <f t="shared" ca="1" si="46"/>
        <v>#N/A</v>
      </c>
      <c r="EV25" s="16" t="e">
        <f t="shared" ca="1" si="46"/>
        <v>#N/A</v>
      </c>
      <c r="EW25" s="13" t="e">
        <f t="shared" ca="1" si="46"/>
        <v>#N/A</v>
      </c>
      <c r="EX25" s="14" t="e">
        <f t="shared" ca="1" si="46"/>
        <v>#N/A</v>
      </c>
      <c r="EY25" s="14" t="e">
        <f t="shared" ca="1" si="46"/>
        <v>#N/A</v>
      </c>
      <c r="EZ25" s="14" t="e">
        <f t="shared" ca="1" si="46"/>
        <v>#N/A</v>
      </c>
      <c r="FA25" s="14" t="e">
        <f t="shared" ca="1" si="46"/>
        <v>#N/A</v>
      </c>
      <c r="FB25" s="15" t="e">
        <f t="shared" ca="1" si="46"/>
        <v>#N/A</v>
      </c>
      <c r="FC25" s="16" t="e">
        <f t="shared" ca="1" si="46"/>
        <v>#N/A</v>
      </c>
    </row>
    <row r="26" spans="1:159" s="17" customFormat="1" ht="24" customHeight="1">
      <c r="A26" s="559"/>
    </row>
    <row r="27" spans="1:159" s="17" customFormat="1" ht="15" customHeight="1">
      <c r="A27" s="588" t="s">
        <v>55</v>
      </c>
      <c r="B27" s="588"/>
      <c r="C27" s="589" t="e">
        <f ca="1">C15-C11</f>
        <v>#N/A</v>
      </c>
      <c r="D27" s="589"/>
      <c r="E27" s="590"/>
      <c r="F27" s="14" t="e">
        <f t="shared" ref="F27:BQ27" ca="1" si="47">IF(AND(F$5&gt;=$C$11,F$5&lt;=$E$15-1),1,"")</f>
        <v>#N/A</v>
      </c>
      <c r="G27" s="14" t="e">
        <f t="shared" ca="1" si="47"/>
        <v>#N/A</v>
      </c>
      <c r="H27" s="14" t="e">
        <f t="shared" ca="1" si="47"/>
        <v>#N/A</v>
      </c>
      <c r="I27" s="14" t="e">
        <f t="shared" ca="1" si="47"/>
        <v>#N/A</v>
      </c>
      <c r="J27" s="14" t="e">
        <f t="shared" ca="1" si="47"/>
        <v>#N/A</v>
      </c>
      <c r="K27" s="15" t="e">
        <f t="shared" ca="1" si="47"/>
        <v>#N/A</v>
      </c>
      <c r="L27" s="16" t="e">
        <f t="shared" ca="1" si="47"/>
        <v>#N/A</v>
      </c>
      <c r="M27" s="13" t="e">
        <f t="shared" ca="1" si="47"/>
        <v>#N/A</v>
      </c>
      <c r="N27" s="14" t="e">
        <f t="shared" ca="1" si="47"/>
        <v>#N/A</v>
      </c>
      <c r="O27" s="14" t="e">
        <f t="shared" ca="1" si="47"/>
        <v>#N/A</v>
      </c>
      <c r="P27" s="14" t="e">
        <f t="shared" ca="1" si="47"/>
        <v>#N/A</v>
      </c>
      <c r="Q27" s="14" t="e">
        <f t="shared" ca="1" si="47"/>
        <v>#N/A</v>
      </c>
      <c r="R27" s="15" t="e">
        <f t="shared" ca="1" si="47"/>
        <v>#N/A</v>
      </c>
      <c r="S27" s="16" t="e">
        <f t="shared" ca="1" si="47"/>
        <v>#N/A</v>
      </c>
      <c r="T27" s="13" t="e">
        <f t="shared" ca="1" si="47"/>
        <v>#N/A</v>
      </c>
      <c r="U27" s="14" t="e">
        <f t="shared" ca="1" si="47"/>
        <v>#N/A</v>
      </c>
      <c r="V27" s="14" t="e">
        <f t="shared" ca="1" si="47"/>
        <v>#N/A</v>
      </c>
      <c r="W27" s="14" t="e">
        <f t="shared" ca="1" si="47"/>
        <v>#N/A</v>
      </c>
      <c r="X27" s="14" t="e">
        <f t="shared" ca="1" si="47"/>
        <v>#N/A</v>
      </c>
      <c r="Y27" s="15" t="e">
        <f t="shared" ca="1" si="47"/>
        <v>#N/A</v>
      </c>
      <c r="Z27" s="16" t="e">
        <f t="shared" ca="1" si="47"/>
        <v>#N/A</v>
      </c>
      <c r="AA27" s="13" t="e">
        <f t="shared" ca="1" si="47"/>
        <v>#N/A</v>
      </c>
      <c r="AB27" s="14" t="e">
        <f t="shared" ca="1" si="47"/>
        <v>#N/A</v>
      </c>
      <c r="AC27" s="14" t="e">
        <f t="shared" ca="1" si="47"/>
        <v>#N/A</v>
      </c>
      <c r="AD27" s="14" t="e">
        <f t="shared" ca="1" si="47"/>
        <v>#N/A</v>
      </c>
      <c r="AE27" s="14" t="e">
        <f t="shared" ca="1" si="47"/>
        <v>#N/A</v>
      </c>
      <c r="AF27" s="15" t="e">
        <f t="shared" ca="1" si="47"/>
        <v>#N/A</v>
      </c>
      <c r="AG27" s="16" t="e">
        <f t="shared" ca="1" si="47"/>
        <v>#N/A</v>
      </c>
      <c r="AH27" s="13" t="e">
        <f t="shared" ca="1" si="47"/>
        <v>#N/A</v>
      </c>
      <c r="AI27" s="14" t="e">
        <f t="shared" ca="1" si="47"/>
        <v>#N/A</v>
      </c>
      <c r="AJ27" s="14" t="e">
        <f t="shared" ca="1" si="47"/>
        <v>#N/A</v>
      </c>
      <c r="AK27" s="14" t="e">
        <f t="shared" ca="1" si="47"/>
        <v>#N/A</v>
      </c>
      <c r="AL27" s="14" t="e">
        <f t="shared" ca="1" si="47"/>
        <v>#N/A</v>
      </c>
      <c r="AM27" s="15" t="e">
        <f t="shared" ca="1" si="47"/>
        <v>#N/A</v>
      </c>
      <c r="AN27" s="16" t="e">
        <f t="shared" ca="1" si="47"/>
        <v>#N/A</v>
      </c>
      <c r="AO27" s="13" t="e">
        <f t="shared" ca="1" si="47"/>
        <v>#N/A</v>
      </c>
      <c r="AP27" s="14" t="e">
        <f t="shared" ca="1" si="47"/>
        <v>#N/A</v>
      </c>
      <c r="AQ27" s="14" t="e">
        <f t="shared" ca="1" si="47"/>
        <v>#N/A</v>
      </c>
      <c r="AR27" s="14" t="e">
        <f t="shared" ca="1" si="47"/>
        <v>#N/A</v>
      </c>
      <c r="AS27" s="14" t="e">
        <f t="shared" ca="1" si="47"/>
        <v>#N/A</v>
      </c>
      <c r="AT27" s="15" t="e">
        <f t="shared" ca="1" si="47"/>
        <v>#N/A</v>
      </c>
      <c r="AU27" s="16" t="e">
        <f t="shared" ca="1" si="47"/>
        <v>#N/A</v>
      </c>
      <c r="AV27" s="13" t="e">
        <f t="shared" ca="1" si="47"/>
        <v>#N/A</v>
      </c>
      <c r="AW27" s="14" t="e">
        <f t="shared" ca="1" si="47"/>
        <v>#N/A</v>
      </c>
      <c r="AX27" s="14" t="e">
        <f t="shared" ca="1" si="47"/>
        <v>#N/A</v>
      </c>
      <c r="AY27" s="14" t="e">
        <f t="shared" ca="1" si="47"/>
        <v>#N/A</v>
      </c>
      <c r="AZ27" s="14" t="e">
        <f t="shared" ca="1" si="47"/>
        <v>#N/A</v>
      </c>
      <c r="BA27" s="15" t="e">
        <f t="shared" ca="1" si="47"/>
        <v>#N/A</v>
      </c>
      <c r="BB27" s="16" t="e">
        <f t="shared" ca="1" si="47"/>
        <v>#N/A</v>
      </c>
      <c r="BC27" s="13" t="e">
        <f t="shared" ca="1" si="47"/>
        <v>#N/A</v>
      </c>
      <c r="BD27" s="14" t="e">
        <f t="shared" ca="1" si="47"/>
        <v>#N/A</v>
      </c>
      <c r="BE27" s="14" t="e">
        <f t="shared" ca="1" si="47"/>
        <v>#N/A</v>
      </c>
      <c r="BF27" s="14" t="e">
        <f t="shared" ca="1" si="47"/>
        <v>#N/A</v>
      </c>
      <c r="BG27" s="14" t="e">
        <f t="shared" ca="1" si="47"/>
        <v>#N/A</v>
      </c>
      <c r="BH27" s="15" t="e">
        <f t="shared" ca="1" si="47"/>
        <v>#N/A</v>
      </c>
      <c r="BI27" s="16" t="e">
        <f t="shared" ca="1" si="47"/>
        <v>#N/A</v>
      </c>
      <c r="BJ27" s="13" t="e">
        <f t="shared" ca="1" si="47"/>
        <v>#N/A</v>
      </c>
      <c r="BK27" s="14" t="e">
        <f t="shared" ca="1" si="47"/>
        <v>#N/A</v>
      </c>
      <c r="BL27" s="14" t="e">
        <f t="shared" ca="1" si="47"/>
        <v>#N/A</v>
      </c>
      <c r="BM27" s="14" t="e">
        <f t="shared" ca="1" si="47"/>
        <v>#N/A</v>
      </c>
      <c r="BN27" s="14" t="e">
        <f t="shared" ca="1" si="47"/>
        <v>#N/A</v>
      </c>
      <c r="BO27" s="15" t="e">
        <f t="shared" ca="1" si="47"/>
        <v>#N/A</v>
      </c>
      <c r="BP27" s="16" t="e">
        <f t="shared" ca="1" si="47"/>
        <v>#N/A</v>
      </c>
      <c r="BQ27" s="13" t="e">
        <f t="shared" ca="1" si="47"/>
        <v>#N/A</v>
      </c>
      <c r="BR27" s="14" t="e">
        <f t="shared" ref="BR27:EC27" ca="1" si="48">IF(AND(BR$5&gt;=$C$11,BR$5&lt;=$E$15-1),1,"")</f>
        <v>#N/A</v>
      </c>
      <c r="BS27" s="14" t="e">
        <f t="shared" ca="1" si="48"/>
        <v>#N/A</v>
      </c>
      <c r="BT27" s="14" t="e">
        <f t="shared" ca="1" si="48"/>
        <v>#N/A</v>
      </c>
      <c r="BU27" s="14" t="e">
        <f t="shared" ca="1" si="48"/>
        <v>#N/A</v>
      </c>
      <c r="BV27" s="15" t="e">
        <f t="shared" ca="1" si="48"/>
        <v>#N/A</v>
      </c>
      <c r="BW27" s="16" t="e">
        <f t="shared" ca="1" si="48"/>
        <v>#N/A</v>
      </c>
      <c r="BX27" s="13" t="e">
        <f t="shared" ca="1" si="48"/>
        <v>#N/A</v>
      </c>
      <c r="BY27" s="14" t="e">
        <f t="shared" ca="1" si="48"/>
        <v>#N/A</v>
      </c>
      <c r="BZ27" s="14" t="e">
        <f t="shared" ca="1" si="48"/>
        <v>#N/A</v>
      </c>
      <c r="CA27" s="14" t="e">
        <f t="shared" ca="1" si="48"/>
        <v>#N/A</v>
      </c>
      <c r="CB27" s="14" t="e">
        <f t="shared" ca="1" si="48"/>
        <v>#N/A</v>
      </c>
      <c r="CC27" s="15" t="e">
        <f t="shared" ca="1" si="48"/>
        <v>#N/A</v>
      </c>
      <c r="CD27" s="16" t="e">
        <f t="shared" ca="1" si="48"/>
        <v>#N/A</v>
      </c>
      <c r="CE27" s="13" t="e">
        <f t="shared" ca="1" si="48"/>
        <v>#N/A</v>
      </c>
      <c r="CF27" s="14" t="e">
        <f t="shared" ca="1" si="48"/>
        <v>#N/A</v>
      </c>
      <c r="CG27" s="14" t="e">
        <f t="shared" ca="1" si="48"/>
        <v>#N/A</v>
      </c>
      <c r="CH27" s="14" t="e">
        <f t="shared" ca="1" si="48"/>
        <v>#N/A</v>
      </c>
      <c r="CI27" s="14" t="e">
        <f t="shared" ca="1" si="48"/>
        <v>#N/A</v>
      </c>
      <c r="CJ27" s="15" t="e">
        <f t="shared" ca="1" si="48"/>
        <v>#N/A</v>
      </c>
      <c r="CK27" s="16" t="e">
        <f t="shared" ca="1" si="48"/>
        <v>#N/A</v>
      </c>
      <c r="CL27" s="13" t="e">
        <f t="shared" ca="1" si="48"/>
        <v>#N/A</v>
      </c>
      <c r="CM27" s="14" t="e">
        <f t="shared" ca="1" si="48"/>
        <v>#N/A</v>
      </c>
      <c r="CN27" s="14" t="e">
        <f t="shared" ca="1" si="48"/>
        <v>#N/A</v>
      </c>
      <c r="CO27" s="14" t="e">
        <f t="shared" ca="1" si="48"/>
        <v>#N/A</v>
      </c>
      <c r="CP27" s="14" t="e">
        <f t="shared" ca="1" si="48"/>
        <v>#N/A</v>
      </c>
      <c r="CQ27" s="15" t="e">
        <f t="shared" ca="1" si="48"/>
        <v>#N/A</v>
      </c>
      <c r="CR27" s="16" t="e">
        <f t="shared" ca="1" si="48"/>
        <v>#N/A</v>
      </c>
      <c r="CS27" s="13" t="e">
        <f t="shared" ca="1" si="48"/>
        <v>#N/A</v>
      </c>
      <c r="CT27" s="14" t="e">
        <f t="shared" ca="1" si="48"/>
        <v>#N/A</v>
      </c>
      <c r="CU27" s="14" t="e">
        <f t="shared" ca="1" si="48"/>
        <v>#N/A</v>
      </c>
      <c r="CV27" s="14" t="e">
        <f t="shared" ca="1" si="48"/>
        <v>#N/A</v>
      </c>
      <c r="CW27" s="14" t="e">
        <f t="shared" ca="1" si="48"/>
        <v>#N/A</v>
      </c>
      <c r="CX27" s="15" t="e">
        <f t="shared" ca="1" si="48"/>
        <v>#N/A</v>
      </c>
      <c r="CY27" s="16" t="e">
        <f t="shared" ca="1" si="48"/>
        <v>#N/A</v>
      </c>
      <c r="CZ27" s="13" t="e">
        <f t="shared" ca="1" si="48"/>
        <v>#N/A</v>
      </c>
      <c r="DA27" s="14" t="e">
        <f t="shared" ca="1" si="48"/>
        <v>#N/A</v>
      </c>
      <c r="DB27" s="14" t="e">
        <f t="shared" ca="1" si="48"/>
        <v>#N/A</v>
      </c>
      <c r="DC27" s="14" t="e">
        <f t="shared" ca="1" si="48"/>
        <v>#N/A</v>
      </c>
      <c r="DD27" s="14" t="e">
        <f t="shared" ca="1" si="48"/>
        <v>#N/A</v>
      </c>
      <c r="DE27" s="15" t="e">
        <f t="shared" ca="1" si="48"/>
        <v>#N/A</v>
      </c>
      <c r="DF27" s="16" t="e">
        <f t="shared" ca="1" si="48"/>
        <v>#N/A</v>
      </c>
      <c r="DG27" s="13" t="e">
        <f t="shared" ca="1" si="48"/>
        <v>#N/A</v>
      </c>
      <c r="DH27" s="14" t="e">
        <f t="shared" ca="1" si="48"/>
        <v>#N/A</v>
      </c>
      <c r="DI27" s="14" t="e">
        <f t="shared" ca="1" si="48"/>
        <v>#N/A</v>
      </c>
      <c r="DJ27" s="14" t="e">
        <f t="shared" ca="1" si="48"/>
        <v>#N/A</v>
      </c>
      <c r="DK27" s="14" t="e">
        <f t="shared" ca="1" si="48"/>
        <v>#N/A</v>
      </c>
      <c r="DL27" s="15" t="e">
        <f t="shared" ca="1" si="48"/>
        <v>#N/A</v>
      </c>
      <c r="DM27" s="16" t="e">
        <f t="shared" ca="1" si="48"/>
        <v>#N/A</v>
      </c>
      <c r="DN27" s="13" t="e">
        <f t="shared" ca="1" si="48"/>
        <v>#N/A</v>
      </c>
      <c r="DO27" s="14" t="e">
        <f t="shared" ca="1" si="48"/>
        <v>#N/A</v>
      </c>
      <c r="DP27" s="14" t="e">
        <f t="shared" ca="1" si="48"/>
        <v>#N/A</v>
      </c>
      <c r="DQ27" s="14" t="e">
        <f t="shared" ca="1" si="48"/>
        <v>#N/A</v>
      </c>
      <c r="DR27" s="14" t="e">
        <f t="shared" ca="1" si="48"/>
        <v>#N/A</v>
      </c>
      <c r="DS27" s="15" t="e">
        <f t="shared" ca="1" si="48"/>
        <v>#N/A</v>
      </c>
      <c r="DT27" s="16" t="e">
        <f t="shared" ca="1" si="48"/>
        <v>#N/A</v>
      </c>
      <c r="DU27" s="13" t="e">
        <f t="shared" ca="1" si="48"/>
        <v>#N/A</v>
      </c>
      <c r="DV27" s="14" t="e">
        <f t="shared" ca="1" si="48"/>
        <v>#N/A</v>
      </c>
      <c r="DW27" s="14" t="e">
        <f t="shared" ca="1" si="48"/>
        <v>#N/A</v>
      </c>
      <c r="DX27" s="14" t="e">
        <f t="shared" ca="1" si="48"/>
        <v>#N/A</v>
      </c>
      <c r="DY27" s="14" t="e">
        <f t="shared" ca="1" si="48"/>
        <v>#N/A</v>
      </c>
      <c r="DZ27" s="15" t="e">
        <f t="shared" ca="1" si="48"/>
        <v>#N/A</v>
      </c>
      <c r="EA27" s="16" t="e">
        <f t="shared" ca="1" si="48"/>
        <v>#N/A</v>
      </c>
      <c r="EB27" s="13" t="e">
        <f t="shared" ca="1" si="48"/>
        <v>#N/A</v>
      </c>
      <c r="EC27" s="14" t="e">
        <f t="shared" ca="1" si="48"/>
        <v>#N/A</v>
      </c>
      <c r="ED27" s="14" t="e">
        <f t="shared" ref="ED27:EH27" ca="1" si="49">IF(AND(ED$5&gt;=$C$11,ED$5&lt;=$E$15-1),1,"")</f>
        <v>#N/A</v>
      </c>
      <c r="EE27" s="14" t="e">
        <f t="shared" ca="1" si="49"/>
        <v>#N/A</v>
      </c>
      <c r="EF27" s="14" t="e">
        <f t="shared" ca="1" si="49"/>
        <v>#N/A</v>
      </c>
      <c r="EG27" s="15" t="e">
        <f t="shared" ca="1" si="49"/>
        <v>#N/A</v>
      </c>
      <c r="EH27" s="16" t="e">
        <f t="shared" ca="1" si="49"/>
        <v>#N/A</v>
      </c>
      <c r="EI27" s="13" t="e">
        <f t="shared" ref="EI27:FC27" ca="1" si="50">IF(AND(EI$5&gt;=$C$11,EI$5&lt;=$E$15-1),1,"")</f>
        <v>#N/A</v>
      </c>
      <c r="EJ27" s="14" t="e">
        <f t="shared" ca="1" si="50"/>
        <v>#N/A</v>
      </c>
      <c r="EK27" s="14" t="e">
        <f t="shared" ca="1" si="50"/>
        <v>#N/A</v>
      </c>
      <c r="EL27" s="14" t="e">
        <f t="shared" ca="1" si="50"/>
        <v>#N/A</v>
      </c>
      <c r="EM27" s="14" t="e">
        <f t="shared" ca="1" si="50"/>
        <v>#N/A</v>
      </c>
      <c r="EN27" s="15" t="e">
        <f t="shared" ca="1" si="50"/>
        <v>#N/A</v>
      </c>
      <c r="EO27" s="16" t="e">
        <f t="shared" ca="1" si="50"/>
        <v>#N/A</v>
      </c>
      <c r="EP27" s="13" t="e">
        <f t="shared" ca="1" si="50"/>
        <v>#N/A</v>
      </c>
      <c r="EQ27" s="14" t="e">
        <f t="shared" ca="1" si="50"/>
        <v>#N/A</v>
      </c>
      <c r="ER27" s="14" t="e">
        <f t="shared" ca="1" si="50"/>
        <v>#N/A</v>
      </c>
      <c r="ES27" s="14" t="e">
        <f t="shared" ca="1" si="50"/>
        <v>#N/A</v>
      </c>
      <c r="ET27" s="14" t="e">
        <f t="shared" ca="1" si="50"/>
        <v>#N/A</v>
      </c>
      <c r="EU27" s="15" t="e">
        <f t="shared" ca="1" si="50"/>
        <v>#N/A</v>
      </c>
      <c r="EV27" s="16" t="e">
        <f t="shared" ca="1" si="50"/>
        <v>#N/A</v>
      </c>
      <c r="EW27" s="13" t="e">
        <f t="shared" ca="1" si="50"/>
        <v>#N/A</v>
      </c>
      <c r="EX27" s="14" t="e">
        <f t="shared" ca="1" si="50"/>
        <v>#N/A</v>
      </c>
      <c r="EY27" s="14" t="e">
        <f t="shared" ca="1" si="50"/>
        <v>#N/A</v>
      </c>
      <c r="EZ27" s="14" t="e">
        <f t="shared" ca="1" si="50"/>
        <v>#N/A</v>
      </c>
      <c r="FA27" s="14" t="e">
        <f t="shared" ca="1" si="50"/>
        <v>#N/A</v>
      </c>
      <c r="FB27" s="15" t="e">
        <f t="shared" ca="1" si="50"/>
        <v>#N/A</v>
      </c>
      <c r="FC27" s="16" t="e">
        <f t="shared" ca="1" si="50"/>
        <v>#N/A</v>
      </c>
    </row>
    <row r="28" spans="1:159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  <c r="DU28" s="13"/>
      <c r="DV28" s="14"/>
      <c r="DW28" s="14"/>
      <c r="DX28" s="14"/>
      <c r="DY28" s="14"/>
      <c r="DZ28" s="15"/>
      <c r="EA28" s="16"/>
      <c r="EB28" s="13"/>
      <c r="EC28" s="14"/>
      <c r="ED28" s="14"/>
      <c r="EE28" s="14"/>
      <c r="EF28" s="14"/>
      <c r="EG28" s="15"/>
      <c r="EH28" s="16"/>
      <c r="EI28" s="13"/>
      <c r="EJ28" s="14"/>
      <c r="EK28" s="14"/>
      <c r="EL28" s="14"/>
      <c r="EM28" s="14"/>
      <c r="EN28" s="15"/>
      <c r="EO28" s="16"/>
      <c r="EP28" s="13"/>
      <c r="EQ28" s="14"/>
      <c r="ER28" s="14"/>
      <c r="ES28" s="14"/>
      <c r="ET28" s="14"/>
      <c r="EU28" s="15"/>
      <c r="EV28" s="16"/>
      <c r="EW28" s="13"/>
      <c r="EX28" s="14"/>
      <c r="EY28" s="14"/>
      <c r="EZ28" s="14"/>
      <c r="FA28" s="14"/>
      <c r="FB28" s="15"/>
      <c r="FC28" s="16"/>
    </row>
    <row r="29" spans="1:159" s="17" customFormat="1" ht="15" customHeight="1">
      <c r="A29" s="597" t="s">
        <v>56</v>
      </c>
      <c r="B29" s="597"/>
      <c r="C29" s="598" t="e">
        <f ca="1">C15-C12+2</f>
        <v>#N/A</v>
      </c>
      <c r="D29" s="598"/>
      <c r="E29" s="599"/>
      <c r="F29" s="14" t="e">
        <f t="shared" ref="F29:AM29" ca="1" si="51">IF(AND(F$5&gt;=$E$11,F$5&lt;=$E$15),1,"")</f>
        <v>#N/A</v>
      </c>
      <c r="G29" s="14" t="e">
        <f t="shared" ca="1" si="51"/>
        <v>#N/A</v>
      </c>
      <c r="H29" s="14" t="e">
        <f t="shared" ca="1" si="51"/>
        <v>#N/A</v>
      </c>
      <c r="I29" s="14" t="e">
        <f t="shared" ca="1" si="51"/>
        <v>#N/A</v>
      </c>
      <c r="J29" s="14" t="e">
        <f t="shared" ca="1" si="51"/>
        <v>#N/A</v>
      </c>
      <c r="K29" s="15" t="e">
        <f t="shared" ca="1" si="51"/>
        <v>#N/A</v>
      </c>
      <c r="L29" s="16" t="e">
        <f t="shared" ca="1" si="51"/>
        <v>#N/A</v>
      </c>
      <c r="M29" s="13" t="e">
        <f t="shared" ca="1" si="51"/>
        <v>#N/A</v>
      </c>
      <c r="N29" s="14" t="e">
        <f t="shared" ca="1" si="51"/>
        <v>#N/A</v>
      </c>
      <c r="O29" s="14" t="e">
        <f t="shared" ca="1" si="51"/>
        <v>#N/A</v>
      </c>
      <c r="P29" s="14" t="e">
        <f t="shared" ca="1" si="51"/>
        <v>#N/A</v>
      </c>
      <c r="Q29" s="14" t="e">
        <f t="shared" ca="1" si="51"/>
        <v>#N/A</v>
      </c>
      <c r="R29" s="15" t="e">
        <f t="shared" ca="1" si="51"/>
        <v>#N/A</v>
      </c>
      <c r="S29" s="16" t="e">
        <f t="shared" ca="1" si="51"/>
        <v>#N/A</v>
      </c>
      <c r="T29" s="13" t="e">
        <f t="shared" ca="1" si="51"/>
        <v>#N/A</v>
      </c>
      <c r="U29" s="14" t="e">
        <f t="shared" ca="1" si="51"/>
        <v>#N/A</v>
      </c>
      <c r="V29" s="14" t="e">
        <f t="shared" ca="1" si="51"/>
        <v>#N/A</v>
      </c>
      <c r="W29" s="14" t="e">
        <f t="shared" ca="1" si="51"/>
        <v>#N/A</v>
      </c>
      <c r="X29" s="14" t="e">
        <f t="shared" ca="1" si="51"/>
        <v>#N/A</v>
      </c>
      <c r="Y29" s="15" t="e">
        <f t="shared" ca="1" si="51"/>
        <v>#N/A</v>
      </c>
      <c r="Z29" s="16" t="e">
        <f t="shared" ca="1" si="51"/>
        <v>#N/A</v>
      </c>
      <c r="AA29" s="13" t="e">
        <f ca="1">IF(AND(AA$5&gt;=$E$11,AA$5&lt;=$E$15),1,"")</f>
        <v>#N/A</v>
      </c>
      <c r="AB29" s="14" t="e">
        <f t="shared" ca="1" si="51"/>
        <v>#N/A</v>
      </c>
      <c r="AC29" s="14" t="e">
        <f t="shared" ca="1" si="51"/>
        <v>#N/A</v>
      </c>
      <c r="AD29" s="14" t="e">
        <f t="shared" ca="1" si="51"/>
        <v>#N/A</v>
      </c>
      <c r="AE29" s="14" t="e">
        <f t="shared" ca="1" si="51"/>
        <v>#N/A</v>
      </c>
      <c r="AF29" s="15" t="e">
        <f ca="1">IF(AND(AF$5&gt;=$E$11,AF$5&lt;=$E$15),1,"")</f>
        <v>#N/A</v>
      </c>
      <c r="AG29" s="16" t="e">
        <f t="shared" ca="1" si="51"/>
        <v>#N/A</v>
      </c>
      <c r="AH29" s="13" t="e">
        <f t="shared" ca="1" si="51"/>
        <v>#N/A</v>
      </c>
      <c r="AI29" s="14" t="e">
        <f t="shared" ca="1" si="51"/>
        <v>#N/A</v>
      </c>
      <c r="AJ29" s="14" t="e">
        <f t="shared" ca="1" si="51"/>
        <v>#N/A</v>
      </c>
      <c r="AK29" s="14" t="e">
        <f t="shared" ca="1" si="51"/>
        <v>#N/A</v>
      </c>
      <c r="AL29" s="14" t="e">
        <f t="shared" ca="1" si="51"/>
        <v>#N/A</v>
      </c>
      <c r="AM29" s="15" t="e">
        <f t="shared" ca="1" si="51"/>
        <v>#N/A</v>
      </c>
      <c r="AN29" s="16" t="e">
        <f ca="1">IF(AND(AN$5&gt;=$E$11,AN$5&lt;=$E$15),1,"")</f>
        <v>#N/A</v>
      </c>
      <c r="AO29" s="13" t="e">
        <f t="shared" ref="AO29:CZ29" ca="1" si="52">IF(AND(AO$5&gt;=$E$11,AO$5&lt;=$E$15),1,"")</f>
        <v>#N/A</v>
      </c>
      <c r="AP29" s="14" t="e">
        <f t="shared" ca="1" si="52"/>
        <v>#N/A</v>
      </c>
      <c r="AQ29" s="14" t="e">
        <f t="shared" ca="1" si="52"/>
        <v>#N/A</v>
      </c>
      <c r="AR29" s="14" t="e">
        <f t="shared" ca="1" si="52"/>
        <v>#N/A</v>
      </c>
      <c r="AS29" s="14" t="e">
        <f t="shared" ca="1" si="52"/>
        <v>#N/A</v>
      </c>
      <c r="AT29" s="15" t="e">
        <f t="shared" ca="1" si="52"/>
        <v>#N/A</v>
      </c>
      <c r="AU29" s="16" t="e">
        <f t="shared" ca="1" si="52"/>
        <v>#N/A</v>
      </c>
      <c r="AV29" s="13" t="e">
        <f t="shared" ca="1" si="52"/>
        <v>#N/A</v>
      </c>
      <c r="AW29" s="14" t="e">
        <f t="shared" ca="1" si="52"/>
        <v>#N/A</v>
      </c>
      <c r="AX29" s="14" t="e">
        <f t="shared" ca="1" si="52"/>
        <v>#N/A</v>
      </c>
      <c r="AY29" s="14" t="e">
        <f t="shared" ca="1" si="52"/>
        <v>#N/A</v>
      </c>
      <c r="AZ29" s="14" t="e">
        <f t="shared" ca="1" si="52"/>
        <v>#N/A</v>
      </c>
      <c r="BA29" s="15" t="e">
        <f t="shared" ca="1" si="52"/>
        <v>#N/A</v>
      </c>
      <c r="BB29" s="16" t="e">
        <f t="shared" ca="1" si="52"/>
        <v>#N/A</v>
      </c>
      <c r="BC29" s="13" t="e">
        <f t="shared" ca="1" si="52"/>
        <v>#N/A</v>
      </c>
      <c r="BD29" s="14" t="e">
        <f t="shared" ca="1" si="52"/>
        <v>#N/A</v>
      </c>
      <c r="BE29" s="14" t="e">
        <f t="shared" ca="1" si="52"/>
        <v>#N/A</v>
      </c>
      <c r="BF29" s="14" t="e">
        <f t="shared" ca="1" si="52"/>
        <v>#N/A</v>
      </c>
      <c r="BG29" s="14" t="e">
        <f t="shared" ca="1" si="52"/>
        <v>#N/A</v>
      </c>
      <c r="BH29" s="15" t="e">
        <f t="shared" ca="1" si="52"/>
        <v>#N/A</v>
      </c>
      <c r="BI29" s="16" t="e">
        <f t="shared" ca="1" si="52"/>
        <v>#N/A</v>
      </c>
      <c r="BJ29" s="13" t="e">
        <f t="shared" ca="1" si="52"/>
        <v>#N/A</v>
      </c>
      <c r="BK29" s="14" t="e">
        <f t="shared" ca="1" si="52"/>
        <v>#N/A</v>
      </c>
      <c r="BL29" s="14" t="e">
        <f t="shared" ca="1" si="52"/>
        <v>#N/A</v>
      </c>
      <c r="BM29" s="14" t="e">
        <f t="shared" ca="1" si="52"/>
        <v>#N/A</v>
      </c>
      <c r="BN29" s="14" t="e">
        <f t="shared" ca="1" si="52"/>
        <v>#N/A</v>
      </c>
      <c r="BO29" s="15" t="e">
        <f t="shared" ca="1" si="52"/>
        <v>#N/A</v>
      </c>
      <c r="BP29" s="16" t="e">
        <f t="shared" ca="1" si="52"/>
        <v>#N/A</v>
      </c>
      <c r="BQ29" s="13" t="e">
        <f t="shared" ca="1" si="52"/>
        <v>#N/A</v>
      </c>
      <c r="BR29" s="14" t="e">
        <f t="shared" ca="1" si="52"/>
        <v>#N/A</v>
      </c>
      <c r="BS29" s="14" t="e">
        <f t="shared" ca="1" si="52"/>
        <v>#N/A</v>
      </c>
      <c r="BT29" s="14" t="e">
        <f t="shared" ca="1" si="52"/>
        <v>#N/A</v>
      </c>
      <c r="BU29" s="14" t="e">
        <f t="shared" ca="1" si="52"/>
        <v>#N/A</v>
      </c>
      <c r="BV29" s="15" t="e">
        <f t="shared" ca="1" si="52"/>
        <v>#N/A</v>
      </c>
      <c r="BW29" s="16" t="e">
        <f t="shared" ca="1" si="52"/>
        <v>#N/A</v>
      </c>
      <c r="BX29" s="13" t="e">
        <f t="shared" ca="1" si="52"/>
        <v>#N/A</v>
      </c>
      <c r="BY29" s="14" t="e">
        <f t="shared" ca="1" si="52"/>
        <v>#N/A</v>
      </c>
      <c r="BZ29" s="14" t="e">
        <f t="shared" ca="1" si="52"/>
        <v>#N/A</v>
      </c>
      <c r="CA29" s="14" t="e">
        <f t="shared" ca="1" si="52"/>
        <v>#N/A</v>
      </c>
      <c r="CB29" s="14" t="e">
        <f t="shared" ca="1" si="52"/>
        <v>#N/A</v>
      </c>
      <c r="CC29" s="15" t="e">
        <f t="shared" ca="1" si="52"/>
        <v>#N/A</v>
      </c>
      <c r="CD29" s="16" t="e">
        <f t="shared" ca="1" si="52"/>
        <v>#N/A</v>
      </c>
      <c r="CE29" s="13" t="e">
        <f t="shared" ca="1" si="52"/>
        <v>#N/A</v>
      </c>
      <c r="CF29" s="14" t="e">
        <f t="shared" ca="1" si="52"/>
        <v>#N/A</v>
      </c>
      <c r="CG29" s="14" t="e">
        <f t="shared" ca="1" si="52"/>
        <v>#N/A</v>
      </c>
      <c r="CH29" s="14" t="e">
        <f t="shared" ca="1" si="52"/>
        <v>#N/A</v>
      </c>
      <c r="CI29" s="14" t="e">
        <f t="shared" ca="1" si="52"/>
        <v>#N/A</v>
      </c>
      <c r="CJ29" s="15" t="e">
        <f t="shared" ca="1" si="52"/>
        <v>#N/A</v>
      </c>
      <c r="CK29" s="16" t="e">
        <f t="shared" ca="1" si="52"/>
        <v>#N/A</v>
      </c>
      <c r="CL29" s="13" t="e">
        <f t="shared" ca="1" si="52"/>
        <v>#N/A</v>
      </c>
      <c r="CM29" s="14" t="e">
        <f t="shared" ca="1" si="52"/>
        <v>#N/A</v>
      </c>
      <c r="CN29" s="14" t="e">
        <f t="shared" ca="1" si="52"/>
        <v>#N/A</v>
      </c>
      <c r="CO29" s="14" t="e">
        <f t="shared" ca="1" si="52"/>
        <v>#N/A</v>
      </c>
      <c r="CP29" s="14" t="e">
        <f t="shared" ca="1" si="52"/>
        <v>#N/A</v>
      </c>
      <c r="CQ29" s="15" t="e">
        <f t="shared" ca="1" si="52"/>
        <v>#N/A</v>
      </c>
      <c r="CR29" s="16" t="e">
        <f t="shared" ca="1" si="52"/>
        <v>#N/A</v>
      </c>
      <c r="CS29" s="13" t="e">
        <f t="shared" ca="1" si="52"/>
        <v>#N/A</v>
      </c>
      <c r="CT29" s="14" t="e">
        <f t="shared" ca="1" si="52"/>
        <v>#N/A</v>
      </c>
      <c r="CU29" s="14" t="e">
        <f t="shared" ca="1" si="52"/>
        <v>#N/A</v>
      </c>
      <c r="CV29" s="14" t="e">
        <f t="shared" ca="1" si="52"/>
        <v>#N/A</v>
      </c>
      <c r="CW29" s="14" t="e">
        <f t="shared" ca="1" si="52"/>
        <v>#N/A</v>
      </c>
      <c r="CX29" s="15" t="e">
        <f t="shared" ca="1" si="52"/>
        <v>#N/A</v>
      </c>
      <c r="CY29" s="16" t="e">
        <f t="shared" ca="1" si="52"/>
        <v>#N/A</v>
      </c>
      <c r="CZ29" s="13" t="e">
        <f t="shared" ca="1" si="52"/>
        <v>#N/A</v>
      </c>
      <c r="DA29" s="14" t="e">
        <f t="shared" ref="DA29:EH29" ca="1" si="53">IF(AND(DA$5&gt;=$E$11,DA$5&lt;=$E$15),1,"")</f>
        <v>#N/A</v>
      </c>
      <c r="DB29" s="14" t="e">
        <f t="shared" ca="1" si="53"/>
        <v>#N/A</v>
      </c>
      <c r="DC29" s="14" t="e">
        <f t="shared" ca="1" si="53"/>
        <v>#N/A</v>
      </c>
      <c r="DD29" s="14" t="e">
        <f t="shared" ca="1" si="53"/>
        <v>#N/A</v>
      </c>
      <c r="DE29" s="15" t="e">
        <f t="shared" ca="1" si="53"/>
        <v>#N/A</v>
      </c>
      <c r="DF29" s="16" t="e">
        <f t="shared" ca="1" si="53"/>
        <v>#N/A</v>
      </c>
      <c r="DG29" s="13" t="e">
        <f t="shared" ca="1" si="53"/>
        <v>#N/A</v>
      </c>
      <c r="DH29" s="14" t="e">
        <f t="shared" ca="1" si="53"/>
        <v>#N/A</v>
      </c>
      <c r="DI29" s="14" t="e">
        <f t="shared" ca="1" si="53"/>
        <v>#N/A</v>
      </c>
      <c r="DJ29" s="14" t="e">
        <f t="shared" ca="1" si="53"/>
        <v>#N/A</v>
      </c>
      <c r="DK29" s="14" t="e">
        <f t="shared" ca="1" si="53"/>
        <v>#N/A</v>
      </c>
      <c r="DL29" s="15" t="e">
        <f t="shared" ca="1" si="53"/>
        <v>#N/A</v>
      </c>
      <c r="DM29" s="16" t="e">
        <f t="shared" ca="1" si="53"/>
        <v>#N/A</v>
      </c>
      <c r="DN29" s="13" t="e">
        <f t="shared" ca="1" si="53"/>
        <v>#N/A</v>
      </c>
      <c r="DO29" s="14" t="e">
        <f t="shared" ca="1" si="53"/>
        <v>#N/A</v>
      </c>
      <c r="DP29" s="14" t="e">
        <f t="shared" ca="1" si="53"/>
        <v>#N/A</v>
      </c>
      <c r="DQ29" s="14" t="e">
        <f t="shared" ca="1" si="53"/>
        <v>#N/A</v>
      </c>
      <c r="DR29" s="14" t="e">
        <f t="shared" ca="1" si="53"/>
        <v>#N/A</v>
      </c>
      <c r="DS29" s="15" t="e">
        <f t="shared" ca="1" si="53"/>
        <v>#N/A</v>
      </c>
      <c r="DT29" s="16" t="e">
        <f t="shared" ca="1" si="53"/>
        <v>#N/A</v>
      </c>
      <c r="DU29" s="13" t="e">
        <f t="shared" ca="1" si="53"/>
        <v>#N/A</v>
      </c>
      <c r="DV29" s="14" t="e">
        <f t="shared" ca="1" si="53"/>
        <v>#N/A</v>
      </c>
      <c r="DW29" s="14" t="e">
        <f t="shared" ca="1" si="53"/>
        <v>#N/A</v>
      </c>
      <c r="DX29" s="14" t="e">
        <f t="shared" ca="1" si="53"/>
        <v>#N/A</v>
      </c>
      <c r="DY29" s="14" t="e">
        <f t="shared" ca="1" si="53"/>
        <v>#N/A</v>
      </c>
      <c r="DZ29" s="15" t="e">
        <f t="shared" ca="1" si="53"/>
        <v>#N/A</v>
      </c>
      <c r="EA29" s="16" t="e">
        <f t="shared" ca="1" si="53"/>
        <v>#N/A</v>
      </c>
      <c r="EB29" s="13" t="e">
        <f t="shared" ca="1" si="53"/>
        <v>#N/A</v>
      </c>
      <c r="EC29" s="14" t="e">
        <f t="shared" ca="1" si="53"/>
        <v>#N/A</v>
      </c>
      <c r="ED29" s="14" t="e">
        <f t="shared" ca="1" si="53"/>
        <v>#N/A</v>
      </c>
      <c r="EE29" s="14" t="e">
        <f t="shared" ca="1" si="53"/>
        <v>#N/A</v>
      </c>
      <c r="EF29" s="14" t="e">
        <f t="shared" ca="1" si="53"/>
        <v>#N/A</v>
      </c>
      <c r="EG29" s="15" t="e">
        <f t="shared" ca="1" si="53"/>
        <v>#N/A</v>
      </c>
      <c r="EH29" s="16" t="e">
        <f t="shared" ca="1" si="53"/>
        <v>#N/A</v>
      </c>
      <c r="EI29" s="13" t="e">
        <f t="shared" ref="EI29:FC29" ca="1" si="54">IF(AND(EI$5&gt;=$E$11,EI$5&lt;=$E$15),1,"")</f>
        <v>#N/A</v>
      </c>
      <c r="EJ29" s="14" t="e">
        <f t="shared" ca="1" si="54"/>
        <v>#N/A</v>
      </c>
      <c r="EK29" s="14" t="e">
        <f t="shared" ca="1" si="54"/>
        <v>#N/A</v>
      </c>
      <c r="EL29" s="14" t="e">
        <f t="shared" ca="1" si="54"/>
        <v>#N/A</v>
      </c>
      <c r="EM29" s="14" t="e">
        <f t="shared" ca="1" si="54"/>
        <v>#N/A</v>
      </c>
      <c r="EN29" s="15" t="e">
        <f t="shared" ca="1" si="54"/>
        <v>#N/A</v>
      </c>
      <c r="EO29" s="16" t="e">
        <f t="shared" ca="1" si="54"/>
        <v>#N/A</v>
      </c>
      <c r="EP29" s="13" t="e">
        <f t="shared" ca="1" si="54"/>
        <v>#N/A</v>
      </c>
      <c r="EQ29" s="14" t="e">
        <f t="shared" ca="1" si="54"/>
        <v>#N/A</v>
      </c>
      <c r="ER29" s="14" t="e">
        <f t="shared" ca="1" si="54"/>
        <v>#N/A</v>
      </c>
      <c r="ES29" s="14" t="e">
        <f t="shared" ca="1" si="54"/>
        <v>#N/A</v>
      </c>
      <c r="ET29" s="14" t="e">
        <f t="shared" ca="1" si="54"/>
        <v>#N/A</v>
      </c>
      <c r="EU29" s="15" t="e">
        <f t="shared" ca="1" si="54"/>
        <v>#N/A</v>
      </c>
      <c r="EV29" s="16" t="e">
        <f t="shared" ca="1" si="54"/>
        <v>#N/A</v>
      </c>
      <c r="EW29" s="13" t="e">
        <f t="shared" ca="1" si="54"/>
        <v>#N/A</v>
      </c>
      <c r="EX29" s="14" t="e">
        <f t="shared" ca="1" si="54"/>
        <v>#N/A</v>
      </c>
      <c r="EY29" s="14" t="e">
        <f t="shared" ca="1" si="54"/>
        <v>#N/A</v>
      </c>
      <c r="EZ29" s="14" t="e">
        <f t="shared" ca="1" si="54"/>
        <v>#N/A</v>
      </c>
      <c r="FA29" s="14" t="e">
        <f t="shared" ca="1" si="54"/>
        <v>#N/A</v>
      </c>
      <c r="FB29" s="15" t="e">
        <f t="shared" ca="1" si="54"/>
        <v>#N/A</v>
      </c>
      <c r="FC29" s="16" t="e">
        <f t="shared" ca="1" si="54"/>
        <v>#N/A</v>
      </c>
    </row>
    <row r="30" spans="1:159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  <c r="DU30" s="13"/>
      <c r="DV30" s="14"/>
      <c r="DW30" s="14"/>
      <c r="DX30" s="14"/>
      <c r="DY30" s="14"/>
      <c r="DZ30" s="15"/>
      <c r="EA30" s="16"/>
      <c r="EB30" s="13"/>
      <c r="EC30" s="14"/>
      <c r="ED30" s="14"/>
      <c r="EE30" s="14"/>
      <c r="EF30" s="14"/>
      <c r="EG30" s="15"/>
      <c r="EH30" s="16"/>
      <c r="EI30" s="13"/>
      <c r="EJ30" s="14"/>
      <c r="EK30" s="14"/>
      <c r="EL30" s="14"/>
      <c r="EM30" s="14"/>
      <c r="EN30" s="15"/>
      <c r="EO30" s="16"/>
      <c r="EP30" s="13"/>
      <c r="EQ30" s="14"/>
      <c r="ER30" s="14"/>
      <c r="ES30" s="14"/>
      <c r="ET30" s="14"/>
      <c r="EU30" s="15"/>
      <c r="EV30" s="16"/>
      <c r="EW30" s="13"/>
      <c r="EX30" s="14"/>
      <c r="EY30" s="14"/>
      <c r="EZ30" s="14"/>
      <c r="FA30" s="14"/>
      <c r="FB30" s="15"/>
      <c r="FC30" s="16"/>
    </row>
    <row r="31" spans="1:159" s="17" customFormat="1" ht="15" customHeight="1">
      <c r="A31" s="609" t="s">
        <v>57</v>
      </c>
      <c r="B31" s="609"/>
      <c r="C31" s="610" t="e">
        <f ca="1">E17-C16+1</f>
        <v>#N/A</v>
      </c>
      <c r="D31" s="610"/>
      <c r="E31" s="611"/>
      <c r="F31" s="14" t="e">
        <f ca="1">IF(AND(F$5&gt;=$C$16,F$5&lt;=$E$17),1,"")</f>
        <v>#N/A</v>
      </c>
      <c r="G31" s="14" t="e">
        <f t="shared" ref="G31:BR31" ca="1" si="55">IF(AND(G$5&gt;=$C$16,G$5&lt;=$E$17),1,"")</f>
        <v>#N/A</v>
      </c>
      <c r="H31" s="14" t="e">
        <f t="shared" ca="1" si="55"/>
        <v>#N/A</v>
      </c>
      <c r="I31" s="14" t="e">
        <f t="shared" ca="1" si="55"/>
        <v>#N/A</v>
      </c>
      <c r="J31" s="14" t="e">
        <f t="shared" ca="1" si="55"/>
        <v>#N/A</v>
      </c>
      <c r="K31" s="15" t="e">
        <f t="shared" ca="1" si="55"/>
        <v>#N/A</v>
      </c>
      <c r="L31" s="16" t="e">
        <f t="shared" ca="1" si="55"/>
        <v>#N/A</v>
      </c>
      <c r="M31" s="13" t="e">
        <f t="shared" ca="1" si="55"/>
        <v>#N/A</v>
      </c>
      <c r="N31" s="14" t="e">
        <f t="shared" ca="1" si="55"/>
        <v>#N/A</v>
      </c>
      <c r="O31" s="14" t="e">
        <f t="shared" ca="1" si="55"/>
        <v>#N/A</v>
      </c>
      <c r="P31" s="14" t="e">
        <f t="shared" ca="1" si="55"/>
        <v>#N/A</v>
      </c>
      <c r="Q31" s="14" t="e">
        <f t="shared" ca="1" si="55"/>
        <v>#N/A</v>
      </c>
      <c r="R31" s="15" t="e">
        <f t="shared" ca="1" si="55"/>
        <v>#N/A</v>
      </c>
      <c r="S31" s="16" t="e">
        <f t="shared" ca="1" si="55"/>
        <v>#N/A</v>
      </c>
      <c r="T31" s="13" t="e">
        <f t="shared" ca="1" si="55"/>
        <v>#N/A</v>
      </c>
      <c r="U31" s="14" t="e">
        <f t="shared" ca="1" si="55"/>
        <v>#N/A</v>
      </c>
      <c r="V31" s="14" t="e">
        <f t="shared" ca="1" si="55"/>
        <v>#N/A</v>
      </c>
      <c r="W31" s="14" t="e">
        <f t="shared" ca="1" si="55"/>
        <v>#N/A</v>
      </c>
      <c r="X31" s="14" t="e">
        <f t="shared" ca="1" si="55"/>
        <v>#N/A</v>
      </c>
      <c r="Y31" s="15" t="e">
        <f t="shared" ca="1" si="55"/>
        <v>#N/A</v>
      </c>
      <c r="Z31" s="16" t="e">
        <f t="shared" ca="1" si="55"/>
        <v>#N/A</v>
      </c>
      <c r="AA31" s="13" t="e">
        <f t="shared" ca="1" si="55"/>
        <v>#N/A</v>
      </c>
      <c r="AB31" s="14" t="e">
        <f t="shared" ca="1" si="55"/>
        <v>#N/A</v>
      </c>
      <c r="AC31" s="14" t="e">
        <f t="shared" ca="1" si="55"/>
        <v>#N/A</v>
      </c>
      <c r="AD31" s="14" t="e">
        <f t="shared" ca="1" si="55"/>
        <v>#N/A</v>
      </c>
      <c r="AE31" s="14" t="e">
        <f t="shared" ca="1" si="55"/>
        <v>#N/A</v>
      </c>
      <c r="AF31" s="15" t="e">
        <f t="shared" ca="1" si="55"/>
        <v>#N/A</v>
      </c>
      <c r="AG31" s="16" t="e">
        <f t="shared" ca="1" si="55"/>
        <v>#N/A</v>
      </c>
      <c r="AH31" s="13" t="e">
        <f t="shared" ca="1" si="55"/>
        <v>#N/A</v>
      </c>
      <c r="AI31" s="14" t="e">
        <f t="shared" ca="1" si="55"/>
        <v>#N/A</v>
      </c>
      <c r="AJ31" s="14" t="e">
        <f t="shared" ca="1" si="55"/>
        <v>#N/A</v>
      </c>
      <c r="AK31" s="14" t="e">
        <f ca="1">IF(AND(AK$5&gt;=$C$16,AK$5&lt;=$E$17),1,"")</f>
        <v>#N/A</v>
      </c>
      <c r="AL31" s="14" t="e">
        <f t="shared" ca="1" si="55"/>
        <v>#N/A</v>
      </c>
      <c r="AM31" s="15" t="e">
        <f t="shared" ca="1" si="55"/>
        <v>#N/A</v>
      </c>
      <c r="AN31" s="16" t="e">
        <f t="shared" ca="1" si="55"/>
        <v>#N/A</v>
      </c>
      <c r="AO31" s="13" t="e">
        <f t="shared" ca="1" si="55"/>
        <v>#N/A</v>
      </c>
      <c r="AP31" s="14" t="e">
        <f t="shared" ca="1" si="55"/>
        <v>#N/A</v>
      </c>
      <c r="AQ31" s="14" t="e">
        <f t="shared" ca="1" si="55"/>
        <v>#N/A</v>
      </c>
      <c r="AR31" s="14" t="e">
        <f t="shared" ca="1" si="55"/>
        <v>#N/A</v>
      </c>
      <c r="AS31" s="14" t="e">
        <f t="shared" ca="1" si="55"/>
        <v>#N/A</v>
      </c>
      <c r="AT31" s="15" t="e">
        <f t="shared" ca="1" si="55"/>
        <v>#N/A</v>
      </c>
      <c r="AU31" s="16" t="e">
        <f t="shared" ca="1" si="55"/>
        <v>#N/A</v>
      </c>
      <c r="AV31" s="13" t="e">
        <f t="shared" ca="1" si="55"/>
        <v>#N/A</v>
      </c>
      <c r="AW31" s="14" t="e">
        <f t="shared" ca="1" si="55"/>
        <v>#N/A</v>
      </c>
      <c r="AX31" s="14" t="e">
        <f t="shared" ca="1" si="55"/>
        <v>#N/A</v>
      </c>
      <c r="AY31" s="14" t="e">
        <f t="shared" ca="1" si="55"/>
        <v>#N/A</v>
      </c>
      <c r="AZ31" s="14" t="e">
        <f t="shared" ca="1" si="55"/>
        <v>#N/A</v>
      </c>
      <c r="BA31" s="15" t="e">
        <f t="shared" ca="1" si="55"/>
        <v>#N/A</v>
      </c>
      <c r="BB31" s="16" t="e">
        <f t="shared" ca="1" si="55"/>
        <v>#N/A</v>
      </c>
      <c r="BC31" s="13" t="e">
        <f t="shared" ca="1" si="55"/>
        <v>#N/A</v>
      </c>
      <c r="BD31" s="14" t="e">
        <f t="shared" ca="1" si="55"/>
        <v>#N/A</v>
      </c>
      <c r="BE31" s="14" t="e">
        <f t="shared" ca="1" si="55"/>
        <v>#N/A</v>
      </c>
      <c r="BF31" s="14" t="e">
        <f t="shared" ca="1" si="55"/>
        <v>#N/A</v>
      </c>
      <c r="BG31" s="14" t="e">
        <f t="shared" ca="1" si="55"/>
        <v>#N/A</v>
      </c>
      <c r="BH31" s="15" t="e">
        <f t="shared" ca="1" si="55"/>
        <v>#N/A</v>
      </c>
      <c r="BI31" s="16" t="e">
        <f t="shared" ca="1" si="55"/>
        <v>#N/A</v>
      </c>
      <c r="BJ31" s="13" t="e">
        <f t="shared" ca="1" si="55"/>
        <v>#N/A</v>
      </c>
      <c r="BK31" s="14" t="e">
        <f t="shared" ca="1" si="55"/>
        <v>#N/A</v>
      </c>
      <c r="BL31" s="14" t="e">
        <f t="shared" ca="1" si="55"/>
        <v>#N/A</v>
      </c>
      <c r="BM31" s="14" t="e">
        <f t="shared" ca="1" si="55"/>
        <v>#N/A</v>
      </c>
      <c r="BN31" s="14" t="e">
        <f t="shared" ca="1" si="55"/>
        <v>#N/A</v>
      </c>
      <c r="BO31" s="15" t="e">
        <f t="shared" ca="1" si="55"/>
        <v>#N/A</v>
      </c>
      <c r="BP31" s="16" t="e">
        <f t="shared" ca="1" si="55"/>
        <v>#N/A</v>
      </c>
      <c r="BQ31" s="13" t="e">
        <f t="shared" ca="1" si="55"/>
        <v>#N/A</v>
      </c>
      <c r="BR31" s="14" t="e">
        <f t="shared" ca="1" si="55"/>
        <v>#N/A</v>
      </c>
      <c r="BS31" s="14" t="e">
        <f t="shared" ref="BS31:ED31" ca="1" si="56">IF(AND(BS$5&gt;=$C$16,BS$5&lt;=$E$17),1,"")</f>
        <v>#N/A</v>
      </c>
      <c r="BT31" s="14" t="e">
        <f t="shared" ca="1" si="56"/>
        <v>#N/A</v>
      </c>
      <c r="BU31" s="14" t="e">
        <f t="shared" ca="1" si="56"/>
        <v>#N/A</v>
      </c>
      <c r="BV31" s="15" t="e">
        <f t="shared" ca="1" si="56"/>
        <v>#N/A</v>
      </c>
      <c r="BW31" s="16" t="e">
        <f t="shared" ca="1" si="56"/>
        <v>#N/A</v>
      </c>
      <c r="BX31" s="13" t="e">
        <f t="shared" ca="1" si="56"/>
        <v>#N/A</v>
      </c>
      <c r="BY31" s="14" t="e">
        <f t="shared" ca="1" si="56"/>
        <v>#N/A</v>
      </c>
      <c r="BZ31" s="14" t="e">
        <f t="shared" ca="1" si="56"/>
        <v>#N/A</v>
      </c>
      <c r="CA31" s="14" t="e">
        <f t="shared" ca="1" si="56"/>
        <v>#N/A</v>
      </c>
      <c r="CB31" s="14" t="e">
        <f t="shared" ca="1" si="56"/>
        <v>#N/A</v>
      </c>
      <c r="CC31" s="15" t="e">
        <f t="shared" ca="1" si="56"/>
        <v>#N/A</v>
      </c>
      <c r="CD31" s="16" t="e">
        <f t="shared" ca="1" si="56"/>
        <v>#N/A</v>
      </c>
      <c r="CE31" s="13" t="e">
        <f t="shared" ca="1" si="56"/>
        <v>#N/A</v>
      </c>
      <c r="CF31" s="14" t="e">
        <f t="shared" ca="1" si="56"/>
        <v>#N/A</v>
      </c>
      <c r="CG31" s="14" t="e">
        <f t="shared" ca="1" si="56"/>
        <v>#N/A</v>
      </c>
      <c r="CH31" s="14" t="e">
        <f t="shared" ca="1" si="56"/>
        <v>#N/A</v>
      </c>
      <c r="CI31" s="14" t="e">
        <f t="shared" ca="1" si="56"/>
        <v>#N/A</v>
      </c>
      <c r="CJ31" s="15" t="e">
        <f t="shared" ca="1" si="56"/>
        <v>#N/A</v>
      </c>
      <c r="CK31" s="16" t="e">
        <f t="shared" ca="1" si="56"/>
        <v>#N/A</v>
      </c>
      <c r="CL31" s="13" t="e">
        <f t="shared" ca="1" si="56"/>
        <v>#N/A</v>
      </c>
      <c r="CM31" s="14" t="e">
        <f t="shared" ca="1" si="56"/>
        <v>#N/A</v>
      </c>
      <c r="CN31" s="14" t="e">
        <f t="shared" ca="1" si="56"/>
        <v>#N/A</v>
      </c>
      <c r="CO31" s="14" t="e">
        <f t="shared" ca="1" si="56"/>
        <v>#N/A</v>
      </c>
      <c r="CP31" s="14" t="e">
        <f t="shared" ca="1" si="56"/>
        <v>#N/A</v>
      </c>
      <c r="CQ31" s="15" t="e">
        <f t="shared" ca="1" si="56"/>
        <v>#N/A</v>
      </c>
      <c r="CR31" s="16" t="e">
        <f t="shared" ca="1" si="56"/>
        <v>#N/A</v>
      </c>
      <c r="CS31" s="13" t="e">
        <f t="shared" ca="1" si="56"/>
        <v>#N/A</v>
      </c>
      <c r="CT31" s="14" t="e">
        <f t="shared" ca="1" si="56"/>
        <v>#N/A</v>
      </c>
      <c r="CU31" s="14" t="e">
        <f t="shared" ca="1" si="56"/>
        <v>#N/A</v>
      </c>
      <c r="CV31" s="14" t="e">
        <f t="shared" ca="1" si="56"/>
        <v>#N/A</v>
      </c>
      <c r="CW31" s="14" t="e">
        <f t="shared" ca="1" si="56"/>
        <v>#N/A</v>
      </c>
      <c r="CX31" s="15" t="e">
        <f t="shared" ca="1" si="56"/>
        <v>#N/A</v>
      </c>
      <c r="CY31" s="16" t="e">
        <f t="shared" ca="1" si="56"/>
        <v>#N/A</v>
      </c>
      <c r="CZ31" s="13" t="e">
        <f t="shared" ca="1" si="56"/>
        <v>#N/A</v>
      </c>
      <c r="DA31" s="14" t="e">
        <f t="shared" ca="1" si="56"/>
        <v>#N/A</v>
      </c>
      <c r="DB31" s="14" t="e">
        <f t="shared" ca="1" si="56"/>
        <v>#N/A</v>
      </c>
      <c r="DC31" s="14" t="e">
        <f t="shared" ca="1" si="56"/>
        <v>#N/A</v>
      </c>
      <c r="DD31" s="14" t="e">
        <f t="shared" ca="1" si="56"/>
        <v>#N/A</v>
      </c>
      <c r="DE31" s="15" t="e">
        <f t="shared" ca="1" si="56"/>
        <v>#N/A</v>
      </c>
      <c r="DF31" s="16" t="e">
        <f t="shared" ca="1" si="56"/>
        <v>#N/A</v>
      </c>
      <c r="DG31" s="13" t="e">
        <f t="shared" ca="1" si="56"/>
        <v>#N/A</v>
      </c>
      <c r="DH31" s="14" t="e">
        <f t="shared" ca="1" si="56"/>
        <v>#N/A</v>
      </c>
      <c r="DI31" s="14" t="e">
        <f t="shared" ca="1" si="56"/>
        <v>#N/A</v>
      </c>
      <c r="DJ31" s="14" t="e">
        <f t="shared" ca="1" si="56"/>
        <v>#N/A</v>
      </c>
      <c r="DK31" s="14" t="e">
        <f t="shared" ca="1" si="56"/>
        <v>#N/A</v>
      </c>
      <c r="DL31" s="15" t="e">
        <f t="shared" ca="1" si="56"/>
        <v>#N/A</v>
      </c>
      <c r="DM31" s="16" t="e">
        <f t="shared" ca="1" si="56"/>
        <v>#N/A</v>
      </c>
      <c r="DN31" s="13" t="e">
        <f t="shared" ca="1" si="56"/>
        <v>#N/A</v>
      </c>
      <c r="DO31" s="14" t="e">
        <f t="shared" ca="1" si="56"/>
        <v>#N/A</v>
      </c>
      <c r="DP31" s="14" t="e">
        <f t="shared" ca="1" si="56"/>
        <v>#N/A</v>
      </c>
      <c r="DQ31" s="14" t="e">
        <f t="shared" ca="1" si="56"/>
        <v>#N/A</v>
      </c>
      <c r="DR31" s="14" t="e">
        <f t="shared" ca="1" si="56"/>
        <v>#N/A</v>
      </c>
      <c r="DS31" s="15" t="e">
        <f t="shared" ca="1" si="56"/>
        <v>#N/A</v>
      </c>
      <c r="DT31" s="16" t="e">
        <f t="shared" ca="1" si="56"/>
        <v>#N/A</v>
      </c>
      <c r="DU31" s="13" t="e">
        <f t="shared" ca="1" si="56"/>
        <v>#N/A</v>
      </c>
      <c r="DV31" s="14" t="e">
        <f t="shared" ca="1" si="56"/>
        <v>#N/A</v>
      </c>
      <c r="DW31" s="14" t="e">
        <f t="shared" ca="1" si="56"/>
        <v>#N/A</v>
      </c>
      <c r="DX31" s="14" t="e">
        <f t="shared" ca="1" si="56"/>
        <v>#N/A</v>
      </c>
      <c r="DY31" s="14" t="e">
        <f t="shared" ca="1" si="56"/>
        <v>#N/A</v>
      </c>
      <c r="DZ31" s="15" t="e">
        <f t="shared" ca="1" si="56"/>
        <v>#N/A</v>
      </c>
      <c r="EA31" s="16" t="e">
        <f t="shared" ca="1" si="56"/>
        <v>#N/A</v>
      </c>
      <c r="EB31" s="13" t="e">
        <f t="shared" ca="1" si="56"/>
        <v>#N/A</v>
      </c>
      <c r="EC31" s="14" t="e">
        <f t="shared" ca="1" si="56"/>
        <v>#N/A</v>
      </c>
      <c r="ED31" s="14" t="e">
        <f t="shared" ca="1" si="56"/>
        <v>#N/A</v>
      </c>
      <c r="EE31" s="14" t="e">
        <f t="shared" ref="EE31:EH31" ca="1" si="57">IF(AND(EE$5&gt;=$C$16,EE$5&lt;=$E$17),1,"")</f>
        <v>#N/A</v>
      </c>
      <c r="EF31" s="14" t="e">
        <f t="shared" ca="1" si="57"/>
        <v>#N/A</v>
      </c>
      <c r="EG31" s="15" t="e">
        <f t="shared" ca="1" si="57"/>
        <v>#N/A</v>
      </c>
      <c r="EH31" s="16" t="e">
        <f t="shared" ca="1" si="57"/>
        <v>#N/A</v>
      </c>
      <c r="EI31" s="13" t="e">
        <f t="shared" ref="EI31:FC31" ca="1" si="58">IF(AND(EI$5&gt;=$C$16,EI$5&lt;=$E$17),1,"")</f>
        <v>#N/A</v>
      </c>
      <c r="EJ31" s="14" t="e">
        <f t="shared" ca="1" si="58"/>
        <v>#N/A</v>
      </c>
      <c r="EK31" s="14" t="e">
        <f t="shared" ca="1" si="58"/>
        <v>#N/A</v>
      </c>
      <c r="EL31" s="14" t="e">
        <f t="shared" ca="1" si="58"/>
        <v>#N/A</v>
      </c>
      <c r="EM31" s="14" t="e">
        <f t="shared" ca="1" si="58"/>
        <v>#N/A</v>
      </c>
      <c r="EN31" s="15" t="e">
        <f t="shared" ca="1" si="58"/>
        <v>#N/A</v>
      </c>
      <c r="EO31" s="16" t="e">
        <f t="shared" ca="1" si="58"/>
        <v>#N/A</v>
      </c>
      <c r="EP31" s="13" t="e">
        <f t="shared" ca="1" si="58"/>
        <v>#N/A</v>
      </c>
      <c r="EQ31" s="14" t="e">
        <f t="shared" ca="1" si="58"/>
        <v>#N/A</v>
      </c>
      <c r="ER31" s="14" t="e">
        <f t="shared" ca="1" si="58"/>
        <v>#N/A</v>
      </c>
      <c r="ES31" s="14" t="e">
        <f t="shared" ca="1" si="58"/>
        <v>#N/A</v>
      </c>
      <c r="ET31" s="14" t="e">
        <f t="shared" ca="1" si="58"/>
        <v>#N/A</v>
      </c>
      <c r="EU31" s="15" t="e">
        <f t="shared" ca="1" si="58"/>
        <v>#N/A</v>
      </c>
      <c r="EV31" s="16" t="e">
        <f t="shared" ca="1" si="58"/>
        <v>#N/A</v>
      </c>
      <c r="EW31" s="13" t="e">
        <f t="shared" ca="1" si="58"/>
        <v>#N/A</v>
      </c>
      <c r="EX31" s="14" t="e">
        <f t="shared" ca="1" si="58"/>
        <v>#N/A</v>
      </c>
      <c r="EY31" s="14" t="e">
        <f t="shared" ca="1" si="58"/>
        <v>#N/A</v>
      </c>
      <c r="EZ31" s="14" t="e">
        <f t="shared" ca="1" si="58"/>
        <v>#N/A</v>
      </c>
      <c r="FA31" s="14" t="e">
        <f t="shared" ca="1" si="58"/>
        <v>#N/A</v>
      </c>
      <c r="FB31" s="15" t="e">
        <f t="shared" ca="1" si="58"/>
        <v>#N/A</v>
      </c>
      <c r="FC31" s="16" t="e">
        <f t="shared" ca="1" si="58"/>
        <v>#N/A</v>
      </c>
    </row>
    <row r="32" spans="1:159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  <c r="DU32" s="13"/>
      <c r="DV32" s="14"/>
      <c r="DW32" s="14"/>
      <c r="DX32" s="14"/>
      <c r="DY32" s="14"/>
      <c r="DZ32" s="15"/>
      <c r="EA32" s="16"/>
      <c r="EB32" s="13"/>
      <c r="EC32" s="14"/>
      <c r="ED32" s="14"/>
      <c r="EE32" s="14"/>
      <c r="EF32" s="14"/>
      <c r="EG32" s="15"/>
      <c r="EH32" s="16"/>
      <c r="EI32" s="13"/>
      <c r="EJ32" s="14"/>
      <c r="EK32" s="14"/>
      <c r="EL32" s="14"/>
      <c r="EM32" s="14"/>
      <c r="EN32" s="15"/>
      <c r="EO32" s="16"/>
      <c r="EP32" s="13"/>
      <c r="EQ32" s="14"/>
      <c r="ER32" s="14"/>
      <c r="ES32" s="14"/>
      <c r="ET32" s="14"/>
      <c r="EU32" s="15"/>
      <c r="EV32" s="16"/>
      <c r="EW32" s="13"/>
      <c r="EX32" s="14"/>
      <c r="EY32" s="14"/>
      <c r="EZ32" s="14"/>
      <c r="FA32" s="14"/>
      <c r="FB32" s="15"/>
      <c r="FC32" s="16"/>
    </row>
    <row r="33" spans="1:159" s="17" customFormat="1" ht="15" customHeight="1">
      <c r="A33" s="603" t="s">
        <v>58</v>
      </c>
      <c r="B33" s="603"/>
      <c r="C33" s="604" t="e">
        <f ca="1">E23-C11+1</f>
        <v>#N/A</v>
      </c>
      <c r="D33" s="604"/>
      <c r="E33" s="605"/>
      <c r="F33" s="14" t="e">
        <f t="shared" ref="F33:BQ33" ca="1" si="59">IF(AND(F$5&gt;=$C$11,F$5&lt;=$E$23),1,"")</f>
        <v>#N/A</v>
      </c>
      <c r="G33" s="14" t="e">
        <f t="shared" ca="1" si="59"/>
        <v>#N/A</v>
      </c>
      <c r="H33" s="14" t="e">
        <f t="shared" ca="1" si="59"/>
        <v>#N/A</v>
      </c>
      <c r="I33" s="14" t="e">
        <f t="shared" ca="1" si="59"/>
        <v>#N/A</v>
      </c>
      <c r="J33" s="14" t="e">
        <f t="shared" ca="1" si="59"/>
        <v>#N/A</v>
      </c>
      <c r="K33" s="15" t="e">
        <f t="shared" ca="1" si="59"/>
        <v>#N/A</v>
      </c>
      <c r="L33" s="16" t="e">
        <f t="shared" ca="1" si="59"/>
        <v>#N/A</v>
      </c>
      <c r="M33" s="13" t="e">
        <f t="shared" ca="1" si="59"/>
        <v>#N/A</v>
      </c>
      <c r="N33" s="14" t="e">
        <f t="shared" ca="1" si="59"/>
        <v>#N/A</v>
      </c>
      <c r="O33" s="14" t="e">
        <f t="shared" ca="1" si="59"/>
        <v>#N/A</v>
      </c>
      <c r="P33" s="14" t="e">
        <f t="shared" ca="1" si="59"/>
        <v>#N/A</v>
      </c>
      <c r="Q33" s="14" t="e">
        <f t="shared" ca="1" si="59"/>
        <v>#N/A</v>
      </c>
      <c r="R33" s="15" t="e">
        <f t="shared" ca="1" si="59"/>
        <v>#N/A</v>
      </c>
      <c r="S33" s="16" t="e">
        <f t="shared" ca="1" si="59"/>
        <v>#N/A</v>
      </c>
      <c r="T33" s="13" t="e">
        <f t="shared" ca="1" si="59"/>
        <v>#N/A</v>
      </c>
      <c r="U33" s="14" t="e">
        <f ca="1">IF(AND(U$5&gt;=$C$11,U$5&lt;=$E$23),1,"")</f>
        <v>#N/A</v>
      </c>
      <c r="V33" s="14" t="e">
        <f t="shared" ca="1" si="59"/>
        <v>#N/A</v>
      </c>
      <c r="W33" s="14" t="e">
        <f t="shared" ca="1" si="59"/>
        <v>#N/A</v>
      </c>
      <c r="X33" s="14" t="e">
        <f t="shared" ca="1" si="59"/>
        <v>#N/A</v>
      </c>
      <c r="Y33" s="15" t="e">
        <f t="shared" ca="1" si="59"/>
        <v>#N/A</v>
      </c>
      <c r="Z33" s="16" t="e">
        <f t="shared" ca="1" si="59"/>
        <v>#N/A</v>
      </c>
      <c r="AA33" s="13" t="e">
        <f t="shared" ca="1" si="59"/>
        <v>#N/A</v>
      </c>
      <c r="AB33" s="14" t="e">
        <f t="shared" ca="1" si="59"/>
        <v>#N/A</v>
      </c>
      <c r="AC33" s="14" t="e">
        <f t="shared" ca="1" si="59"/>
        <v>#N/A</v>
      </c>
      <c r="AD33" s="14" t="e">
        <f t="shared" ca="1" si="59"/>
        <v>#N/A</v>
      </c>
      <c r="AE33" s="14" t="e">
        <f t="shared" ca="1" si="59"/>
        <v>#N/A</v>
      </c>
      <c r="AF33" s="15" t="e">
        <f t="shared" ca="1" si="59"/>
        <v>#N/A</v>
      </c>
      <c r="AG33" s="16" t="e">
        <f t="shared" ca="1" si="59"/>
        <v>#N/A</v>
      </c>
      <c r="AH33" s="13" t="e">
        <f t="shared" ca="1" si="59"/>
        <v>#N/A</v>
      </c>
      <c r="AI33" s="14" t="e">
        <f t="shared" ca="1" si="59"/>
        <v>#N/A</v>
      </c>
      <c r="AJ33" s="14" t="e">
        <f t="shared" ca="1" si="59"/>
        <v>#N/A</v>
      </c>
      <c r="AK33" s="14" t="e">
        <f t="shared" ca="1" si="59"/>
        <v>#N/A</v>
      </c>
      <c r="AL33" s="14" t="e">
        <f t="shared" ca="1" si="59"/>
        <v>#N/A</v>
      </c>
      <c r="AM33" s="15" t="e">
        <f t="shared" ca="1" si="59"/>
        <v>#N/A</v>
      </c>
      <c r="AN33" s="16" t="e">
        <f t="shared" ca="1" si="59"/>
        <v>#N/A</v>
      </c>
      <c r="AO33" s="13" t="e">
        <f t="shared" ca="1" si="59"/>
        <v>#N/A</v>
      </c>
      <c r="AP33" s="14" t="e">
        <f t="shared" ca="1" si="59"/>
        <v>#N/A</v>
      </c>
      <c r="AQ33" s="14" t="e">
        <f t="shared" ca="1" si="59"/>
        <v>#N/A</v>
      </c>
      <c r="AR33" s="14" t="e">
        <f t="shared" ca="1" si="59"/>
        <v>#N/A</v>
      </c>
      <c r="AS33" s="14" t="e">
        <f t="shared" ca="1" si="59"/>
        <v>#N/A</v>
      </c>
      <c r="AT33" s="15" t="e">
        <f t="shared" ca="1" si="59"/>
        <v>#N/A</v>
      </c>
      <c r="AU33" s="16" t="e">
        <f t="shared" ca="1" si="59"/>
        <v>#N/A</v>
      </c>
      <c r="AV33" s="13" t="e">
        <f t="shared" ca="1" si="59"/>
        <v>#N/A</v>
      </c>
      <c r="AW33" s="14" t="e">
        <f t="shared" ca="1" si="59"/>
        <v>#N/A</v>
      </c>
      <c r="AX33" s="14" t="e">
        <f t="shared" ca="1" si="59"/>
        <v>#N/A</v>
      </c>
      <c r="AY33" s="14" t="e">
        <f t="shared" ca="1" si="59"/>
        <v>#N/A</v>
      </c>
      <c r="AZ33" s="14" t="e">
        <f t="shared" ca="1" si="59"/>
        <v>#N/A</v>
      </c>
      <c r="BA33" s="15" t="e">
        <f t="shared" ca="1" si="59"/>
        <v>#N/A</v>
      </c>
      <c r="BB33" s="16" t="e">
        <f t="shared" ca="1" si="59"/>
        <v>#N/A</v>
      </c>
      <c r="BC33" s="13" t="e">
        <f t="shared" ca="1" si="59"/>
        <v>#N/A</v>
      </c>
      <c r="BD33" s="14" t="e">
        <f t="shared" ca="1" si="59"/>
        <v>#N/A</v>
      </c>
      <c r="BE33" s="14" t="e">
        <f t="shared" ca="1" si="59"/>
        <v>#N/A</v>
      </c>
      <c r="BF33" s="14" t="e">
        <f t="shared" ca="1" si="59"/>
        <v>#N/A</v>
      </c>
      <c r="BG33" s="14" t="e">
        <f t="shared" ca="1" si="59"/>
        <v>#N/A</v>
      </c>
      <c r="BH33" s="15" t="e">
        <f t="shared" ca="1" si="59"/>
        <v>#N/A</v>
      </c>
      <c r="BI33" s="16" t="e">
        <f t="shared" ca="1" si="59"/>
        <v>#N/A</v>
      </c>
      <c r="BJ33" s="13" t="e">
        <f t="shared" ca="1" si="59"/>
        <v>#N/A</v>
      </c>
      <c r="BK33" s="14" t="e">
        <f t="shared" ca="1" si="59"/>
        <v>#N/A</v>
      </c>
      <c r="BL33" s="14" t="e">
        <f t="shared" ca="1" si="59"/>
        <v>#N/A</v>
      </c>
      <c r="BM33" s="14" t="e">
        <f t="shared" ca="1" si="59"/>
        <v>#N/A</v>
      </c>
      <c r="BN33" s="14" t="e">
        <f t="shared" ca="1" si="59"/>
        <v>#N/A</v>
      </c>
      <c r="BO33" s="15" t="e">
        <f t="shared" ca="1" si="59"/>
        <v>#N/A</v>
      </c>
      <c r="BP33" s="16" t="e">
        <f t="shared" ca="1" si="59"/>
        <v>#N/A</v>
      </c>
      <c r="BQ33" s="13" t="e">
        <f t="shared" ca="1" si="59"/>
        <v>#N/A</v>
      </c>
      <c r="BR33" s="14" t="e">
        <f t="shared" ref="BR33:EC33" ca="1" si="60">IF(AND(BR$5&gt;=$C$11,BR$5&lt;=$E$23),1,"")</f>
        <v>#N/A</v>
      </c>
      <c r="BS33" s="14" t="e">
        <f t="shared" ca="1" si="60"/>
        <v>#N/A</v>
      </c>
      <c r="BT33" s="14" t="e">
        <f t="shared" ca="1" si="60"/>
        <v>#N/A</v>
      </c>
      <c r="BU33" s="14" t="e">
        <f t="shared" ca="1" si="60"/>
        <v>#N/A</v>
      </c>
      <c r="BV33" s="15" t="e">
        <f t="shared" ca="1" si="60"/>
        <v>#N/A</v>
      </c>
      <c r="BW33" s="16" t="e">
        <f t="shared" ca="1" si="60"/>
        <v>#N/A</v>
      </c>
      <c r="BX33" s="13" t="e">
        <f t="shared" ca="1" si="60"/>
        <v>#N/A</v>
      </c>
      <c r="BY33" s="14" t="e">
        <f t="shared" ca="1" si="60"/>
        <v>#N/A</v>
      </c>
      <c r="BZ33" s="14" t="e">
        <f t="shared" ca="1" si="60"/>
        <v>#N/A</v>
      </c>
      <c r="CA33" s="14" t="e">
        <f t="shared" ca="1" si="60"/>
        <v>#N/A</v>
      </c>
      <c r="CB33" s="14" t="e">
        <f t="shared" ca="1" si="60"/>
        <v>#N/A</v>
      </c>
      <c r="CC33" s="15" t="e">
        <f t="shared" ca="1" si="60"/>
        <v>#N/A</v>
      </c>
      <c r="CD33" s="16" t="e">
        <f t="shared" ca="1" si="60"/>
        <v>#N/A</v>
      </c>
      <c r="CE33" s="13" t="e">
        <f t="shared" ca="1" si="60"/>
        <v>#N/A</v>
      </c>
      <c r="CF33" s="14" t="e">
        <f t="shared" ca="1" si="60"/>
        <v>#N/A</v>
      </c>
      <c r="CG33" s="14" t="e">
        <f t="shared" ca="1" si="60"/>
        <v>#N/A</v>
      </c>
      <c r="CH33" s="14" t="e">
        <f t="shared" ca="1" si="60"/>
        <v>#N/A</v>
      </c>
      <c r="CI33" s="14" t="e">
        <f t="shared" ca="1" si="60"/>
        <v>#N/A</v>
      </c>
      <c r="CJ33" s="15" t="e">
        <f t="shared" ca="1" si="60"/>
        <v>#N/A</v>
      </c>
      <c r="CK33" s="16" t="e">
        <f t="shared" ca="1" si="60"/>
        <v>#N/A</v>
      </c>
      <c r="CL33" s="13" t="e">
        <f t="shared" ca="1" si="60"/>
        <v>#N/A</v>
      </c>
      <c r="CM33" s="14" t="e">
        <f t="shared" ca="1" si="60"/>
        <v>#N/A</v>
      </c>
      <c r="CN33" s="14" t="e">
        <f t="shared" ca="1" si="60"/>
        <v>#N/A</v>
      </c>
      <c r="CO33" s="14" t="e">
        <f t="shared" ca="1" si="60"/>
        <v>#N/A</v>
      </c>
      <c r="CP33" s="14" t="e">
        <f t="shared" ca="1" si="60"/>
        <v>#N/A</v>
      </c>
      <c r="CQ33" s="15" t="e">
        <f t="shared" ca="1" si="60"/>
        <v>#N/A</v>
      </c>
      <c r="CR33" s="16" t="e">
        <f t="shared" ca="1" si="60"/>
        <v>#N/A</v>
      </c>
      <c r="CS33" s="13" t="e">
        <f t="shared" ca="1" si="60"/>
        <v>#N/A</v>
      </c>
      <c r="CT33" s="14" t="e">
        <f t="shared" ca="1" si="60"/>
        <v>#N/A</v>
      </c>
      <c r="CU33" s="14" t="e">
        <f t="shared" ca="1" si="60"/>
        <v>#N/A</v>
      </c>
      <c r="CV33" s="14" t="e">
        <f t="shared" ca="1" si="60"/>
        <v>#N/A</v>
      </c>
      <c r="CW33" s="14" t="e">
        <f t="shared" ca="1" si="60"/>
        <v>#N/A</v>
      </c>
      <c r="CX33" s="15" t="e">
        <f t="shared" ca="1" si="60"/>
        <v>#N/A</v>
      </c>
      <c r="CY33" s="16" t="e">
        <f t="shared" ca="1" si="60"/>
        <v>#N/A</v>
      </c>
      <c r="CZ33" s="13" t="e">
        <f t="shared" ca="1" si="60"/>
        <v>#N/A</v>
      </c>
      <c r="DA33" s="14" t="e">
        <f t="shared" ca="1" si="60"/>
        <v>#N/A</v>
      </c>
      <c r="DB33" s="14" t="e">
        <f t="shared" ca="1" si="60"/>
        <v>#N/A</v>
      </c>
      <c r="DC33" s="14" t="e">
        <f t="shared" ca="1" si="60"/>
        <v>#N/A</v>
      </c>
      <c r="DD33" s="14" t="e">
        <f t="shared" ca="1" si="60"/>
        <v>#N/A</v>
      </c>
      <c r="DE33" s="15" t="e">
        <f t="shared" ca="1" si="60"/>
        <v>#N/A</v>
      </c>
      <c r="DF33" s="16" t="e">
        <f t="shared" ca="1" si="60"/>
        <v>#N/A</v>
      </c>
      <c r="DG33" s="13" t="e">
        <f t="shared" ca="1" si="60"/>
        <v>#N/A</v>
      </c>
      <c r="DH33" s="14" t="e">
        <f t="shared" ca="1" si="60"/>
        <v>#N/A</v>
      </c>
      <c r="DI33" s="14" t="e">
        <f t="shared" ca="1" si="60"/>
        <v>#N/A</v>
      </c>
      <c r="DJ33" s="14" t="e">
        <f t="shared" ca="1" si="60"/>
        <v>#N/A</v>
      </c>
      <c r="DK33" s="14" t="e">
        <f t="shared" ca="1" si="60"/>
        <v>#N/A</v>
      </c>
      <c r="DL33" s="15" t="e">
        <f t="shared" ca="1" si="60"/>
        <v>#N/A</v>
      </c>
      <c r="DM33" s="16" t="e">
        <f t="shared" ca="1" si="60"/>
        <v>#N/A</v>
      </c>
      <c r="DN33" s="13" t="e">
        <f t="shared" ca="1" si="60"/>
        <v>#N/A</v>
      </c>
      <c r="DO33" s="14" t="e">
        <f t="shared" ca="1" si="60"/>
        <v>#N/A</v>
      </c>
      <c r="DP33" s="14" t="e">
        <f t="shared" ca="1" si="60"/>
        <v>#N/A</v>
      </c>
      <c r="DQ33" s="14" t="e">
        <f t="shared" ca="1" si="60"/>
        <v>#N/A</v>
      </c>
      <c r="DR33" s="14" t="e">
        <f t="shared" ca="1" si="60"/>
        <v>#N/A</v>
      </c>
      <c r="DS33" s="15" t="e">
        <f t="shared" ca="1" si="60"/>
        <v>#N/A</v>
      </c>
      <c r="DT33" s="16" t="e">
        <f t="shared" ca="1" si="60"/>
        <v>#N/A</v>
      </c>
      <c r="DU33" s="13" t="e">
        <f t="shared" ca="1" si="60"/>
        <v>#N/A</v>
      </c>
      <c r="DV33" s="14" t="e">
        <f t="shared" ca="1" si="60"/>
        <v>#N/A</v>
      </c>
      <c r="DW33" s="14" t="e">
        <f t="shared" ca="1" si="60"/>
        <v>#N/A</v>
      </c>
      <c r="DX33" s="14" t="e">
        <f t="shared" ca="1" si="60"/>
        <v>#N/A</v>
      </c>
      <c r="DY33" s="14" t="e">
        <f t="shared" ca="1" si="60"/>
        <v>#N/A</v>
      </c>
      <c r="DZ33" s="15" t="e">
        <f t="shared" ca="1" si="60"/>
        <v>#N/A</v>
      </c>
      <c r="EA33" s="16" t="e">
        <f t="shared" ca="1" si="60"/>
        <v>#N/A</v>
      </c>
      <c r="EB33" s="13" t="e">
        <f t="shared" ca="1" si="60"/>
        <v>#N/A</v>
      </c>
      <c r="EC33" s="14" t="e">
        <f t="shared" ca="1" si="60"/>
        <v>#N/A</v>
      </c>
      <c r="ED33" s="14" t="e">
        <f t="shared" ref="ED33:EH33" ca="1" si="61">IF(AND(ED$5&gt;=$C$11,ED$5&lt;=$E$23),1,"")</f>
        <v>#N/A</v>
      </c>
      <c r="EE33" s="14" t="e">
        <f t="shared" ca="1" si="61"/>
        <v>#N/A</v>
      </c>
      <c r="EF33" s="14" t="e">
        <f t="shared" ca="1" si="61"/>
        <v>#N/A</v>
      </c>
      <c r="EG33" s="15" t="e">
        <f t="shared" ca="1" si="61"/>
        <v>#N/A</v>
      </c>
      <c r="EH33" s="16" t="e">
        <f t="shared" ca="1" si="61"/>
        <v>#N/A</v>
      </c>
      <c r="EI33" s="13" t="e">
        <f t="shared" ref="EI33:FC33" ca="1" si="62">IF(AND(EI$5&gt;=$C$11,EI$5&lt;=$E$23),1,"")</f>
        <v>#N/A</v>
      </c>
      <c r="EJ33" s="14" t="e">
        <f t="shared" ca="1" si="62"/>
        <v>#N/A</v>
      </c>
      <c r="EK33" s="14" t="e">
        <f t="shared" ca="1" si="62"/>
        <v>#N/A</v>
      </c>
      <c r="EL33" s="14" t="e">
        <f t="shared" ca="1" si="62"/>
        <v>#N/A</v>
      </c>
      <c r="EM33" s="14" t="e">
        <f t="shared" ca="1" si="62"/>
        <v>#N/A</v>
      </c>
      <c r="EN33" s="15" t="e">
        <f t="shared" ca="1" si="62"/>
        <v>#N/A</v>
      </c>
      <c r="EO33" s="16" t="e">
        <f t="shared" ca="1" si="62"/>
        <v>#N/A</v>
      </c>
      <c r="EP33" s="13" t="e">
        <f t="shared" ca="1" si="62"/>
        <v>#N/A</v>
      </c>
      <c r="EQ33" s="14" t="e">
        <f t="shared" ca="1" si="62"/>
        <v>#N/A</v>
      </c>
      <c r="ER33" s="14" t="e">
        <f t="shared" ca="1" si="62"/>
        <v>#N/A</v>
      </c>
      <c r="ES33" s="14" t="e">
        <f t="shared" ca="1" si="62"/>
        <v>#N/A</v>
      </c>
      <c r="ET33" s="14" t="e">
        <f t="shared" ca="1" si="62"/>
        <v>#N/A</v>
      </c>
      <c r="EU33" s="15" t="e">
        <f t="shared" ca="1" si="62"/>
        <v>#N/A</v>
      </c>
      <c r="EV33" s="16" t="e">
        <f t="shared" ca="1" si="62"/>
        <v>#N/A</v>
      </c>
      <c r="EW33" s="13" t="e">
        <f t="shared" ca="1" si="62"/>
        <v>#N/A</v>
      </c>
      <c r="EX33" s="14" t="e">
        <f t="shared" ca="1" si="62"/>
        <v>#N/A</v>
      </c>
      <c r="EY33" s="14" t="e">
        <f t="shared" ca="1" si="62"/>
        <v>#N/A</v>
      </c>
      <c r="EZ33" s="14" t="e">
        <f t="shared" ca="1" si="62"/>
        <v>#N/A</v>
      </c>
      <c r="FA33" s="14" t="e">
        <f t="shared" ca="1" si="62"/>
        <v>#N/A</v>
      </c>
      <c r="FB33" s="15" t="e">
        <f t="shared" ca="1" si="62"/>
        <v>#N/A</v>
      </c>
      <c r="FC33" s="16" t="e">
        <f t="shared" ca="1" si="62"/>
        <v>#N/A</v>
      </c>
    </row>
    <row r="34" spans="1:159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  <c r="DU34" s="13"/>
      <c r="DV34" s="14"/>
      <c r="DW34" s="14"/>
      <c r="DX34" s="14"/>
      <c r="DY34" s="14"/>
      <c r="DZ34" s="15"/>
      <c r="EA34" s="16"/>
      <c r="EB34" s="13"/>
      <c r="EC34" s="14"/>
      <c r="ED34" s="14"/>
      <c r="EE34" s="14"/>
      <c r="EF34" s="14"/>
      <c r="EG34" s="15"/>
      <c r="EH34" s="16"/>
      <c r="EI34" s="13"/>
      <c r="EJ34" s="14"/>
      <c r="EK34" s="14"/>
      <c r="EL34" s="14"/>
      <c r="EM34" s="14"/>
      <c r="EN34" s="15"/>
      <c r="EO34" s="16"/>
      <c r="EP34" s="13"/>
      <c r="EQ34" s="14"/>
      <c r="ER34" s="14"/>
      <c r="ES34" s="14"/>
      <c r="ET34" s="14"/>
      <c r="EU34" s="15"/>
      <c r="EV34" s="16"/>
      <c r="EW34" s="13"/>
      <c r="EX34" s="14"/>
      <c r="EY34" s="14"/>
      <c r="EZ34" s="14"/>
      <c r="FA34" s="14"/>
      <c r="FB34" s="15"/>
      <c r="FC34" s="16"/>
    </row>
    <row r="35" spans="1:159" s="17" customFormat="1" ht="15" customHeight="1">
      <c r="A35" s="591" t="s">
        <v>59</v>
      </c>
      <c r="B35" s="591"/>
      <c r="C35" s="592" t="e">
        <f ca="1">E23-C8+1</f>
        <v>#N/A</v>
      </c>
      <c r="D35" s="592"/>
      <c r="E35" s="593"/>
      <c r="F35" s="14" t="e">
        <f t="shared" ref="F35:BQ35" ca="1" si="63">IF(AND(F$5&gt;=$C$8,F$5&lt;=$E$23),1,"")</f>
        <v>#N/A</v>
      </c>
      <c r="G35" s="14" t="e">
        <f t="shared" ca="1" si="63"/>
        <v>#N/A</v>
      </c>
      <c r="H35" s="14" t="e">
        <f t="shared" ca="1" si="63"/>
        <v>#N/A</v>
      </c>
      <c r="I35" s="14" t="e">
        <f t="shared" ca="1" si="63"/>
        <v>#N/A</v>
      </c>
      <c r="J35" s="14" t="e">
        <f t="shared" ca="1" si="63"/>
        <v>#N/A</v>
      </c>
      <c r="K35" s="15" t="e">
        <f t="shared" ca="1" si="63"/>
        <v>#N/A</v>
      </c>
      <c r="L35" s="16" t="e">
        <f ca="1">IF(AND(L$5&gt;=$C$8,L$5&lt;=$E$23),1,"")</f>
        <v>#N/A</v>
      </c>
      <c r="M35" s="13" t="e">
        <f t="shared" ca="1" si="63"/>
        <v>#N/A</v>
      </c>
      <c r="N35" s="14" t="e">
        <f t="shared" ca="1" si="63"/>
        <v>#N/A</v>
      </c>
      <c r="O35" s="14" t="e">
        <f t="shared" ca="1" si="63"/>
        <v>#N/A</v>
      </c>
      <c r="P35" s="14" t="e">
        <f t="shared" ca="1" si="63"/>
        <v>#N/A</v>
      </c>
      <c r="Q35" s="14" t="e">
        <f t="shared" ca="1" si="63"/>
        <v>#N/A</v>
      </c>
      <c r="R35" s="15" t="e">
        <f t="shared" ca="1" si="63"/>
        <v>#N/A</v>
      </c>
      <c r="S35" s="16" t="e">
        <f t="shared" ca="1" si="63"/>
        <v>#N/A</v>
      </c>
      <c r="T35" s="13" t="e">
        <f t="shared" ca="1" si="63"/>
        <v>#N/A</v>
      </c>
      <c r="U35" s="14" t="e">
        <f t="shared" ca="1" si="63"/>
        <v>#N/A</v>
      </c>
      <c r="V35" s="14" t="e">
        <f t="shared" ca="1" si="63"/>
        <v>#N/A</v>
      </c>
      <c r="W35" s="14" t="e">
        <f t="shared" ca="1" si="63"/>
        <v>#N/A</v>
      </c>
      <c r="X35" s="14" t="e">
        <f t="shared" ca="1" si="63"/>
        <v>#N/A</v>
      </c>
      <c r="Y35" s="15" t="e">
        <f t="shared" ca="1" si="63"/>
        <v>#N/A</v>
      </c>
      <c r="Z35" s="16" t="e">
        <f t="shared" ca="1" si="63"/>
        <v>#N/A</v>
      </c>
      <c r="AA35" s="13" t="e">
        <f t="shared" ca="1" si="63"/>
        <v>#N/A</v>
      </c>
      <c r="AB35" s="14" t="e">
        <f t="shared" ca="1" si="63"/>
        <v>#N/A</v>
      </c>
      <c r="AC35" s="14" t="e">
        <f t="shared" ca="1" si="63"/>
        <v>#N/A</v>
      </c>
      <c r="AD35" s="14" t="e">
        <f t="shared" ca="1" si="63"/>
        <v>#N/A</v>
      </c>
      <c r="AE35" s="14" t="e">
        <f t="shared" ca="1" si="63"/>
        <v>#N/A</v>
      </c>
      <c r="AF35" s="15" t="e">
        <f t="shared" ca="1" si="63"/>
        <v>#N/A</v>
      </c>
      <c r="AG35" s="16" t="e">
        <f t="shared" ca="1" si="63"/>
        <v>#N/A</v>
      </c>
      <c r="AH35" s="13" t="e">
        <f t="shared" ca="1" si="63"/>
        <v>#N/A</v>
      </c>
      <c r="AI35" s="14" t="e">
        <f t="shared" ca="1" si="63"/>
        <v>#N/A</v>
      </c>
      <c r="AJ35" s="14" t="e">
        <f t="shared" ca="1" si="63"/>
        <v>#N/A</v>
      </c>
      <c r="AK35" s="14" t="e">
        <f t="shared" ca="1" si="63"/>
        <v>#N/A</v>
      </c>
      <c r="AL35" s="14" t="e">
        <f t="shared" ca="1" si="63"/>
        <v>#N/A</v>
      </c>
      <c r="AM35" s="15" t="e">
        <f t="shared" ca="1" si="63"/>
        <v>#N/A</v>
      </c>
      <c r="AN35" s="16" t="e">
        <f t="shared" ca="1" si="63"/>
        <v>#N/A</v>
      </c>
      <c r="AO35" s="13" t="e">
        <f t="shared" ca="1" si="63"/>
        <v>#N/A</v>
      </c>
      <c r="AP35" s="14" t="e">
        <f t="shared" ca="1" si="63"/>
        <v>#N/A</v>
      </c>
      <c r="AQ35" s="14" t="e">
        <f t="shared" ca="1" si="63"/>
        <v>#N/A</v>
      </c>
      <c r="AR35" s="14" t="e">
        <f t="shared" ca="1" si="63"/>
        <v>#N/A</v>
      </c>
      <c r="AS35" s="14" t="e">
        <f t="shared" ca="1" si="63"/>
        <v>#N/A</v>
      </c>
      <c r="AT35" s="15" t="e">
        <f t="shared" ca="1" si="63"/>
        <v>#N/A</v>
      </c>
      <c r="AU35" s="16" t="e">
        <f t="shared" ca="1" si="63"/>
        <v>#N/A</v>
      </c>
      <c r="AV35" s="13" t="e">
        <f t="shared" ca="1" si="63"/>
        <v>#N/A</v>
      </c>
      <c r="AW35" s="14" t="e">
        <f t="shared" ca="1" si="63"/>
        <v>#N/A</v>
      </c>
      <c r="AX35" s="14" t="e">
        <f t="shared" ca="1" si="63"/>
        <v>#N/A</v>
      </c>
      <c r="AY35" s="14" t="e">
        <f t="shared" ca="1" si="63"/>
        <v>#N/A</v>
      </c>
      <c r="AZ35" s="14" t="e">
        <f t="shared" ca="1" si="63"/>
        <v>#N/A</v>
      </c>
      <c r="BA35" s="15" t="e">
        <f t="shared" ca="1" si="63"/>
        <v>#N/A</v>
      </c>
      <c r="BB35" s="16" t="e">
        <f t="shared" ca="1" si="63"/>
        <v>#N/A</v>
      </c>
      <c r="BC35" s="13" t="e">
        <f t="shared" ca="1" si="63"/>
        <v>#N/A</v>
      </c>
      <c r="BD35" s="14" t="e">
        <f t="shared" ca="1" si="63"/>
        <v>#N/A</v>
      </c>
      <c r="BE35" s="14" t="e">
        <f t="shared" ca="1" si="63"/>
        <v>#N/A</v>
      </c>
      <c r="BF35" s="14" t="e">
        <f t="shared" ca="1" si="63"/>
        <v>#N/A</v>
      </c>
      <c r="BG35" s="14" t="e">
        <f t="shared" ca="1" si="63"/>
        <v>#N/A</v>
      </c>
      <c r="BH35" s="15" t="e">
        <f t="shared" ca="1" si="63"/>
        <v>#N/A</v>
      </c>
      <c r="BI35" s="16" t="e">
        <f t="shared" ca="1" si="63"/>
        <v>#N/A</v>
      </c>
      <c r="BJ35" s="13" t="e">
        <f t="shared" ca="1" si="63"/>
        <v>#N/A</v>
      </c>
      <c r="BK35" s="14" t="e">
        <f t="shared" ca="1" si="63"/>
        <v>#N/A</v>
      </c>
      <c r="BL35" s="14" t="e">
        <f t="shared" ca="1" si="63"/>
        <v>#N/A</v>
      </c>
      <c r="BM35" s="14" t="e">
        <f t="shared" ca="1" si="63"/>
        <v>#N/A</v>
      </c>
      <c r="BN35" s="14" t="e">
        <f t="shared" ca="1" si="63"/>
        <v>#N/A</v>
      </c>
      <c r="BO35" s="15" t="e">
        <f t="shared" ca="1" si="63"/>
        <v>#N/A</v>
      </c>
      <c r="BP35" s="16" t="e">
        <f t="shared" ca="1" si="63"/>
        <v>#N/A</v>
      </c>
      <c r="BQ35" s="13" t="e">
        <f t="shared" ca="1" si="63"/>
        <v>#N/A</v>
      </c>
      <c r="BR35" s="14" t="e">
        <f t="shared" ref="BR35:EC35" ca="1" si="64">IF(AND(BR$5&gt;=$C$8,BR$5&lt;=$E$23),1,"")</f>
        <v>#N/A</v>
      </c>
      <c r="BS35" s="14" t="e">
        <f t="shared" ca="1" si="64"/>
        <v>#N/A</v>
      </c>
      <c r="BT35" s="14" t="e">
        <f t="shared" ca="1" si="64"/>
        <v>#N/A</v>
      </c>
      <c r="BU35" s="14" t="e">
        <f t="shared" ca="1" si="64"/>
        <v>#N/A</v>
      </c>
      <c r="BV35" s="15" t="e">
        <f t="shared" ca="1" si="64"/>
        <v>#N/A</v>
      </c>
      <c r="BW35" s="16" t="e">
        <f t="shared" ca="1" si="64"/>
        <v>#N/A</v>
      </c>
      <c r="BX35" s="13" t="e">
        <f t="shared" ca="1" si="64"/>
        <v>#N/A</v>
      </c>
      <c r="BY35" s="14" t="e">
        <f t="shared" ca="1" si="64"/>
        <v>#N/A</v>
      </c>
      <c r="BZ35" s="14" t="e">
        <f t="shared" ca="1" si="64"/>
        <v>#N/A</v>
      </c>
      <c r="CA35" s="14" t="e">
        <f t="shared" ca="1" si="64"/>
        <v>#N/A</v>
      </c>
      <c r="CB35" s="14" t="e">
        <f t="shared" ca="1" si="64"/>
        <v>#N/A</v>
      </c>
      <c r="CC35" s="15" t="e">
        <f t="shared" ca="1" si="64"/>
        <v>#N/A</v>
      </c>
      <c r="CD35" s="16" t="e">
        <f t="shared" ca="1" si="64"/>
        <v>#N/A</v>
      </c>
      <c r="CE35" s="13" t="e">
        <f t="shared" ca="1" si="64"/>
        <v>#N/A</v>
      </c>
      <c r="CF35" s="14" t="e">
        <f t="shared" ca="1" si="64"/>
        <v>#N/A</v>
      </c>
      <c r="CG35" s="14" t="e">
        <f t="shared" ca="1" si="64"/>
        <v>#N/A</v>
      </c>
      <c r="CH35" s="14" t="e">
        <f t="shared" ca="1" si="64"/>
        <v>#N/A</v>
      </c>
      <c r="CI35" s="14" t="e">
        <f t="shared" ca="1" si="64"/>
        <v>#N/A</v>
      </c>
      <c r="CJ35" s="15" t="e">
        <f t="shared" ca="1" si="64"/>
        <v>#N/A</v>
      </c>
      <c r="CK35" s="16" t="e">
        <f t="shared" ca="1" si="64"/>
        <v>#N/A</v>
      </c>
      <c r="CL35" s="13" t="e">
        <f t="shared" ca="1" si="64"/>
        <v>#N/A</v>
      </c>
      <c r="CM35" s="14" t="e">
        <f t="shared" ca="1" si="64"/>
        <v>#N/A</v>
      </c>
      <c r="CN35" s="14" t="e">
        <f t="shared" ca="1" si="64"/>
        <v>#N/A</v>
      </c>
      <c r="CO35" s="14" t="e">
        <f t="shared" ca="1" si="64"/>
        <v>#N/A</v>
      </c>
      <c r="CP35" s="14" t="e">
        <f t="shared" ca="1" si="64"/>
        <v>#N/A</v>
      </c>
      <c r="CQ35" s="15" t="e">
        <f t="shared" ca="1" si="64"/>
        <v>#N/A</v>
      </c>
      <c r="CR35" s="16" t="e">
        <f t="shared" ca="1" si="64"/>
        <v>#N/A</v>
      </c>
      <c r="CS35" s="13" t="e">
        <f t="shared" ca="1" si="64"/>
        <v>#N/A</v>
      </c>
      <c r="CT35" s="14" t="e">
        <f t="shared" ca="1" si="64"/>
        <v>#N/A</v>
      </c>
      <c r="CU35" s="14" t="e">
        <f t="shared" ca="1" si="64"/>
        <v>#N/A</v>
      </c>
      <c r="CV35" s="14" t="e">
        <f t="shared" ca="1" si="64"/>
        <v>#N/A</v>
      </c>
      <c r="CW35" s="14" t="e">
        <f t="shared" ca="1" si="64"/>
        <v>#N/A</v>
      </c>
      <c r="CX35" s="15" t="e">
        <f t="shared" ca="1" si="64"/>
        <v>#N/A</v>
      </c>
      <c r="CY35" s="16" t="e">
        <f t="shared" ca="1" si="64"/>
        <v>#N/A</v>
      </c>
      <c r="CZ35" s="13" t="e">
        <f t="shared" ca="1" si="64"/>
        <v>#N/A</v>
      </c>
      <c r="DA35" s="14" t="e">
        <f t="shared" ca="1" si="64"/>
        <v>#N/A</v>
      </c>
      <c r="DB35" s="14" t="e">
        <f t="shared" ca="1" si="64"/>
        <v>#N/A</v>
      </c>
      <c r="DC35" s="14" t="e">
        <f t="shared" ca="1" si="64"/>
        <v>#N/A</v>
      </c>
      <c r="DD35" s="14" t="e">
        <f t="shared" ca="1" si="64"/>
        <v>#N/A</v>
      </c>
      <c r="DE35" s="15" t="e">
        <f t="shared" ca="1" si="64"/>
        <v>#N/A</v>
      </c>
      <c r="DF35" s="16" t="e">
        <f t="shared" ca="1" si="64"/>
        <v>#N/A</v>
      </c>
      <c r="DG35" s="13" t="e">
        <f t="shared" ca="1" si="64"/>
        <v>#N/A</v>
      </c>
      <c r="DH35" s="14" t="e">
        <f t="shared" ca="1" si="64"/>
        <v>#N/A</v>
      </c>
      <c r="DI35" s="14" t="e">
        <f t="shared" ca="1" si="64"/>
        <v>#N/A</v>
      </c>
      <c r="DJ35" s="14" t="e">
        <f t="shared" ca="1" si="64"/>
        <v>#N/A</v>
      </c>
      <c r="DK35" s="14" t="e">
        <f t="shared" ca="1" si="64"/>
        <v>#N/A</v>
      </c>
      <c r="DL35" s="15" t="e">
        <f t="shared" ca="1" si="64"/>
        <v>#N/A</v>
      </c>
      <c r="DM35" s="16" t="e">
        <f t="shared" ca="1" si="64"/>
        <v>#N/A</v>
      </c>
      <c r="DN35" s="13" t="e">
        <f t="shared" ca="1" si="64"/>
        <v>#N/A</v>
      </c>
      <c r="DO35" s="14" t="e">
        <f t="shared" ca="1" si="64"/>
        <v>#N/A</v>
      </c>
      <c r="DP35" s="14" t="e">
        <f t="shared" ca="1" si="64"/>
        <v>#N/A</v>
      </c>
      <c r="DQ35" s="14" t="e">
        <f t="shared" ca="1" si="64"/>
        <v>#N/A</v>
      </c>
      <c r="DR35" s="14" t="e">
        <f t="shared" ca="1" si="64"/>
        <v>#N/A</v>
      </c>
      <c r="DS35" s="15" t="e">
        <f t="shared" ca="1" si="64"/>
        <v>#N/A</v>
      </c>
      <c r="DT35" s="16" t="e">
        <f t="shared" ca="1" si="64"/>
        <v>#N/A</v>
      </c>
      <c r="DU35" s="13" t="e">
        <f t="shared" ca="1" si="64"/>
        <v>#N/A</v>
      </c>
      <c r="DV35" s="14" t="e">
        <f t="shared" ca="1" si="64"/>
        <v>#N/A</v>
      </c>
      <c r="DW35" s="14" t="e">
        <f t="shared" ca="1" si="64"/>
        <v>#N/A</v>
      </c>
      <c r="DX35" s="14" t="e">
        <f t="shared" ca="1" si="64"/>
        <v>#N/A</v>
      </c>
      <c r="DY35" s="14" t="e">
        <f t="shared" ca="1" si="64"/>
        <v>#N/A</v>
      </c>
      <c r="DZ35" s="15" t="e">
        <f t="shared" ca="1" si="64"/>
        <v>#N/A</v>
      </c>
      <c r="EA35" s="16" t="e">
        <f t="shared" ca="1" si="64"/>
        <v>#N/A</v>
      </c>
      <c r="EB35" s="13" t="e">
        <f t="shared" ca="1" si="64"/>
        <v>#N/A</v>
      </c>
      <c r="EC35" s="14" t="e">
        <f t="shared" ca="1" si="64"/>
        <v>#N/A</v>
      </c>
      <c r="ED35" s="14" t="e">
        <f t="shared" ref="ED35:EH35" ca="1" si="65">IF(AND(ED$5&gt;=$C$8,ED$5&lt;=$E$23),1,"")</f>
        <v>#N/A</v>
      </c>
      <c r="EE35" s="14" t="e">
        <f t="shared" ca="1" si="65"/>
        <v>#N/A</v>
      </c>
      <c r="EF35" s="14" t="e">
        <f t="shared" ca="1" si="65"/>
        <v>#N/A</v>
      </c>
      <c r="EG35" s="15" t="e">
        <f t="shared" ca="1" si="65"/>
        <v>#N/A</v>
      </c>
      <c r="EH35" s="16" t="e">
        <f t="shared" ca="1" si="65"/>
        <v>#N/A</v>
      </c>
      <c r="EI35" s="13" t="e">
        <f t="shared" ref="EI35:FC35" ca="1" si="66">IF(AND(EI$5&gt;=$C$8,EI$5&lt;=$E$23),1,"")</f>
        <v>#N/A</v>
      </c>
      <c r="EJ35" s="14" t="e">
        <f t="shared" ca="1" si="66"/>
        <v>#N/A</v>
      </c>
      <c r="EK35" s="14" t="e">
        <f t="shared" ca="1" si="66"/>
        <v>#N/A</v>
      </c>
      <c r="EL35" s="14" t="e">
        <f t="shared" ca="1" si="66"/>
        <v>#N/A</v>
      </c>
      <c r="EM35" s="14" t="e">
        <f t="shared" ca="1" si="66"/>
        <v>#N/A</v>
      </c>
      <c r="EN35" s="15" t="e">
        <f t="shared" ca="1" si="66"/>
        <v>#N/A</v>
      </c>
      <c r="EO35" s="16" t="e">
        <f t="shared" ca="1" si="66"/>
        <v>#N/A</v>
      </c>
      <c r="EP35" s="13" t="e">
        <f t="shared" ca="1" si="66"/>
        <v>#N/A</v>
      </c>
      <c r="EQ35" s="14" t="e">
        <f t="shared" ca="1" si="66"/>
        <v>#N/A</v>
      </c>
      <c r="ER35" s="14" t="e">
        <f t="shared" ca="1" si="66"/>
        <v>#N/A</v>
      </c>
      <c r="ES35" s="14" t="e">
        <f t="shared" ca="1" si="66"/>
        <v>#N/A</v>
      </c>
      <c r="ET35" s="14" t="e">
        <f t="shared" ca="1" si="66"/>
        <v>#N/A</v>
      </c>
      <c r="EU35" s="15" t="e">
        <f t="shared" ca="1" si="66"/>
        <v>#N/A</v>
      </c>
      <c r="EV35" s="16" t="e">
        <f t="shared" ca="1" si="66"/>
        <v>#N/A</v>
      </c>
      <c r="EW35" s="13" t="e">
        <f t="shared" ca="1" si="66"/>
        <v>#N/A</v>
      </c>
      <c r="EX35" s="14" t="e">
        <f t="shared" ca="1" si="66"/>
        <v>#N/A</v>
      </c>
      <c r="EY35" s="14" t="e">
        <f t="shared" ca="1" si="66"/>
        <v>#N/A</v>
      </c>
      <c r="EZ35" s="14" t="e">
        <f t="shared" ca="1" si="66"/>
        <v>#N/A</v>
      </c>
      <c r="FA35" s="14" t="e">
        <f t="shared" ca="1" si="66"/>
        <v>#N/A</v>
      </c>
      <c r="FB35" s="15" t="e">
        <f t="shared" ca="1" si="66"/>
        <v>#N/A</v>
      </c>
      <c r="FC35" s="16" t="e">
        <f t="shared" ca="1" si="66"/>
        <v>#N/A</v>
      </c>
    </row>
    <row r="36" spans="1:159" ht="2.1" customHeight="1"/>
    <row r="37" spans="1:159" s="17" customFormat="1" ht="15" customHeight="1">
      <c r="A37" s="594" t="s">
        <v>68</v>
      </c>
      <c r="B37" s="594"/>
      <c r="C37" s="595" t="e">
        <f ca="1">E23-IF(B1="SFK Freight Forwarder",C11,C8)+1</f>
        <v>#N/A</v>
      </c>
      <c r="D37" s="595"/>
      <c r="E37" s="596"/>
      <c r="F37" s="14" t="e">
        <f t="shared" ref="F37:K37" ca="1" si="67">IF($B$1="SFK Freight Forwarder",IF(AND(F$5&gt;=$C$11,F$5&lt;=$E$23),1,""),IF(AND(F$5&gt;=$C$8,F$5&lt;=$E$23),1,""))</f>
        <v>#N/A</v>
      </c>
      <c r="G37" s="14" t="e">
        <f t="shared" ca="1" si="67"/>
        <v>#N/A</v>
      </c>
      <c r="H37" s="14" t="e">
        <f t="shared" ca="1" si="67"/>
        <v>#N/A</v>
      </c>
      <c r="I37" s="14" t="e">
        <f t="shared" ca="1" si="67"/>
        <v>#N/A</v>
      </c>
      <c r="J37" s="14" t="e">
        <f t="shared" ca="1" si="67"/>
        <v>#N/A</v>
      </c>
      <c r="K37" s="15" t="e">
        <f t="shared" ca="1" si="67"/>
        <v>#N/A</v>
      </c>
      <c r="L37" s="94" t="e">
        <f ca="1">IF($B$1="SFK Freight Forwarder",IF(AND(L$5&gt;=$C$11,L$5&lt;=$E$23),1,""),IF(AND(L$5&gt;=$C$8,L$5&lt;=$E$23),1,""))</f>
        <v>#N/A</v>
      </c>
      <c r="M37" s="13" t="e">
        <f t="shared" ref="M37:BX37" ca="1" si="68">IF($B$1="SFK Freight Forwarder",IF(AND(M$5&gt;=$C$11,M$5&lt;=$E$23),1,""),IF(AND(M$5&gt;=$C$8,M$5&lt;=$E$23),1,""))</f>
        <v>#N/A</v>
      </c>
      <c r="N37" s="14" t="e">
        <f t="shared" ca="1" si="68"/>
        <v>#N/A</v>
      </c>
      <c r="O37" s="14" t="e">
        <f t="shared" ca="1" si="68"/>
        <v>#N/A</v>
      </c>
      <c r="P37" s="14" t="e">
        <f t="shared" ca="1" si="68"/>
        <v>#N/A</v>
      </c>
      <c r="Q37" s="14" t="e">
        <f t="shared" ca="1" si="68"/>
        <v>#N/A</v>
      </c>
      <c r="R37" s="15" t="e">
        <f t="shared" ca="1" si="68"/>
        <v>#N/A</v>
      </c>
      <c r="S37" s="16" t="e">
        <f t="shared" ca="1" si="68"/>
        <v>#N/A</v>
      </c>
      <c r="T37" s="13" t="e">
        <f t="shared" ca="1" si="68"/>
        <v>#N/A</v>
      </c>
      <c r="U37" s="14" t="e">
        <f t="shared" ca="1" si="68"/>
        <v>#N/A</v>
      </c>
      <c r="V37" s="14" t="e">
        <f t="shared" ca="1" si="68"/>
        <v>#N/A</v>
      </c>
      <c r="W37" s="14" t="e">
        <f t="shared" ca="1" si="68"/>
        <v>#N/A</v>
      </c>
      <c r="X37" s="14" t="e">
        <f t="shared" ca="1" si="68"/>
        <v>#N/A</v>
      </c>
      <c r="Y37" s="15" t="e">
        <f t="shared" ca="1" si="68"/>
        <v>#N/A</v>
      </c>
      <c r="Z37" s="16" t="e">
        <f t="shared" ca="1" si="68"/>
        <v>#N/A</v>
      </c>
      <c r="AA37" s="13" t="e">
        <f t="shared" ca="1" si="68"/>
        <v>#N/A</v>
      </c>
      <c r="AB37" s="14" t="e">
        <f t="shared" ca="1" si="68"/>
        <v>#N/A</v>
      </c>
      <c r="AC37" s="14" t="e">
        <f t="shared" ca="1" si="68"/>
        <v>#N/A</v>
      </c>
      <c r="AD37" s="14" t="e">
        <f t="shared" ca="1" si="68"/>
        <v>#N/A</v>
      </c>
      <c r="AE37" s="14" t="e">
        <f t="shared" ca="1" si="68"/>
        <v>#N/A</v>
      </c>
      <c r="AF37" s="15" t="e">
        <f t="shared" ca="1" si="68"/>
        <v>#N/A</v>
      </c>
      <c r="AG37" s="16" t="e">
        <f t="shared" ca="1" si="68"/>
        <v>#N/A</v>
      </c>
      <c r="AH37" s="13" t="e">
        <f t="shared" ca="1" si="68"/>
        <v>#N/A</v>
      </c>
      <c r="AI37" s="14" t="e">
        <f t="shared" ca="1" si="68"/>
        <v>#N/A</v>
      </c>
      <c r="AJ37" s="14" t="e">
        <f t="shared" ca="1" si="68"/>
        <v>#N/A</v>
      </c>
      <c r="AK37" s="14" t="e">
        <f t="shared" ca="1" si="68"/>
        <v>#N/A</v>
      </c>
      <c r="AL37" s="14" t="e">
        <f t="shared" ca="1" si="68"/>
        <v>#N/A</v>
      </c>
      <c r="AM37" s="15" t="e">
        <f t="shared" ca="1" si="68"/>
        <v>#N/A</v>
      </c>
      <c r="AN37" s="16" t="e">
        <f t="shared" ca="1" si="68"/>
        <v>#N/A</v>
      </c>
      <c r="AO37" s="13" t="e">
        <f t="shared" ca="1" si="68"/>
        <v>#N/A</v>
      </c>
      <c r="AP37" s="14" t="e">
        <f t="shared" ca="1" si="68"/>
        <v>#N/A</v>
      </c>
      <c r="AQ37" s="14" t="e">
        <f t="shared" ca="1" si="68"/>
        <v>#N/A</v>
      </c>
      <c r="AR37" s="14" t="e">
        <f t="shared" ca="1" si="68"/>
        <v>#N/A</v>
      </c>
      <c r="AS37" s="14" t="e">
        <f t="shared" ca="1" si="68"/>
        <v>#N/A</v>
      </c>
      <c r="AT37" s="15" t="e">
        <f t="shared" ca="1" si="68"/>
        <v>#N/A</v>
      </c>
      <c r="AU37" s="16" t="e">
        <f t="shared" ca="1" si="68"/>
        <v>#N/A</v>
      </c>
      <c r="AV37" s="13" t="e">
        <f t="shared" ca="1" si="68"/>
        <v>#N/A</v>
      </c>
      <c r="AW37" s="14" t="e">
        <f t="shared" ca="1" si="68"/>
        <v>#N/A</v>
      </c>
      <c r="AX37" s="14" t="e">
        <f t="shared" ca="1" si="68"/>
        <v>#N/A</v>
      </c>
      <c r="AY37" s="14" t="e">
        <f t="shared" ca="1" si="68"/>
        <v>#N/A</v>
      </c>
      <c r="AZ37" s="14" t="e">
        <f t="shared" ca="1" si="68"/>
        <v>#N/A</v>
      </c>
      <c r="BA37" s="15" t="e">
        <f t="shared" ca="1" si="68"/>
        <v>#N/A</v>
      </c>
      <c r="BB37" s="16" t="e">
        <f t="shared" ca="1" si="68"/>
        <v>#N/A</v>
      </c>
      <c r="BC37" s="13" t="e">
        <f t="shared" ca="1" si="68"/>
        <v>#N/A</v>
      </c>
      <c r="BD37" s="14" t="e">
        <f t="shared" ca="1" si="68"/>
        <v>#N/A</v>
      </c>
      <c r="BE37" s="14" t="e">
        <f t="shared" ca="1" si="68"/>
        <v>#N/A</v>
      </c>
      <c r="BF37" s="14" t="e">
        <f t="shared" ca="1" si="68"/>
        <v>#N/A</v>
      </c>
      <c r="BG37" s="14" t="e">
        <f t="shared" ca="1" si="68"/>
        <v>#N/A</v>
      </c>
      <c r="BH37" s="15" t="e">
        <f t="shared" ca="1" si="68"/>
        <v>#N/A</v>
      </c>
      <c r="BI37" s="16" t="e">
        <f t="shared" ca="1" si="68"/>
        <v>#N/A</v>
      </c>
      <c r="BJ37" s="13" t="e">
        <f t="shared" ca="1" si="68"/>
        <v>#N/A</v>
      </c>
      <c r="BK37" s="14" t="e">
        <f t="shared" ca="1" si="68"/>
        <v>#N/A</v>
      </c>
      <c r="BL37" s="14" t="e">
        <f t="shared" ca="1" si="68"/>
        <v>#N/A</v>
      </c>
      <c r="BM37" s="14" t="e">
        <f t="shared" ca="1" si="68"/>
        <v>#N/A</v>
      </c>
      <c r="BN37" s="14" t="e">
        <f t="shared" ca="1" si="68"/>
        <v>#N/A</v>
      </c>
      <c r="BO37" s="15" t="e">
        <f t="shared" ca="1" si="68"/>
        <v>#N/A</v>
      </c>
      <c r="BP37" s="16" t="e">
        <f t="shared" ca="1" si="68"/>
        <v>#N/A</v>
      </c>
      <c r="BQ37" s="13" t="e">
        <f t="shared" ca="1" si="68"/>
        <v>#N/A</v>
      </c>
      <c r="BR37" s="14" t="e">
        <f t="shared" ca="1" si="68"/>
        <v>#N/A</v>
      </c>
      <c r="BS37" s="14" t="e">
        <f t="shared" ca="1" si="68"/>
        <v>#N/A</v>
      </c>
      <c r="BT37" s="14" t="e">
        <f t="shared" ca="1" si="68"/>
        <v>#N/A</v>
      </c>
      <c r="BU37" s="14" t="e">
        <f t="shared" ca="1" si="68"/>
        <v>#N/A</v>
      </c>
      <c r="BV37" s="15" t="e">
        <f t="shared" ca="1" si="68"/>
        <v>#N/A</v>
      </c>
      <c r="BW37" s="16" t="e">
        <f t="shared" ca="1" si="68"/>
        <v>#N/A</v>
      </c>
      <c r="BX37" s="13" t="e">
        <f t="shared" ca="1" si="68"/>
        <v>#N/A</v>
      </c>
      <c r="BY37" s="14" t="e">
        <f t="shared" ref="BY37:EH37" ca="1" si="69">IF($B$1="SFK Freight Forwarder",IF(AND(BY$5&gt;=$C$11,BY$5&lt;=$E$23),1,""),IF(AND(BY$5&gt;=$C$8,BY$5&lt;=$E$23),1,""))</f>
        <v>#N/A</v>
      </c>
      <c r="BZ37" s="14" t="e">
        <f t="shared" ca="1" si="69"/>
        <v>#N/A</v>
      </c>
      <c r="CA37" s="14" t="e">
        <f t="shared" ca="1" si="69"/>
        <v>#N/A</v>
      </c>
      <c r="CB37" s="14" t="e">
        <f t="shared" ca="1" si="69"/>
        <v>#N/A</v>
      </c>
      <c r="CC37" s="15" t="e">
        <f t="shared" ca="1" si="69"/>
        <v>#N/A</v>
      </c>
      <c r="CD37" s="16" t="e">
        <f t="shared" ca="1" si="69"/>
        <v>#N/A</v>
      </c>
      <c r="CE37" s="13" t="e">
        <f t="shared" ca="1" si="69"/>
        <v>#N/A</v>
      </c>
      <c r="CF37" s="14" t="e">
        <f t="shared" ca="1" si="69"/>
        <v>#N/A</v>
      </c>
      <c r="CG37" s="14" t="e">
        <f t="shared" ca="1" si="69"/>
        <v>#N/A</v>
      </c>
      <c r="CH37" s="14" t="e">
        <f t="shared" ca="1" si="69"/>
        <v>#N/A</v>
      </c>
      <c r="CI37" s="14" t="e">
        <f t="shared" ca="1" si="69"/>
        <v>#N/A</v>
      </c>
      <c r="CJ37" s="15" t="e">
        <f t="shared" ca="1" si="69"/>
        <v>#N/A</v>
      </c>
      <c r="CK37" s="16" t="e">
        <f t="shared" ca="1" si="69"/>
        <v>#N/A</v>
      </c>
      <c r="CL37" s="13" t="e">
        <f t="shared" ca="1" si="69"/>
        <v>#N/A</v>
      </c>
      <c r="CM37" s="14" t="e">
        <f t="shared" ca="1" si="69"/>
        <v>#N/A</v>
      </c>
      <c r="CN37" s="14" t="e">
        <f t="shared" ca="1" si="69"/>
        <v>#N/A</v>
      </c>
      <c r="CO37" s="14" t="e">
        <f t="shared" ca="1" si="69"/>
        <v>#N/A</v>
      </c>
      <c r="CP37" s="14" t="e">
        <f t="shared" ca="1" si="69"/>
        <v>#N/A</v>
      </c>
      <c r="CQ37" s="15" t="e">
        <f t="shared" ca="1" si="69"/>
        <v>#N/A</v>
      </c>
      <c r="CR37" s="16" t="e">
        <f t="shared" ca="1" si="69"/>
        <v>#N/A</v>
      </c>
      <c r="CS37" s="13" t="e">
        <f t="shared" ca="1" si="69"/>
        <v>#N/A</v>
      </c>
      <c r="CT37" s="14" t="e">
        <f t="shared" ca="1" si="69"/>
        <v>#N/A</v>
      </c>
      <c r="CU37" s="14" t="e">
        <f t="shared" ca="1" si="69"/>
        <v>#N/A</v>
      </c>
      <c r="CV37" s="14" t="e">
        <f t="shared" ca="1" si="69"/>
        <v>#N/A</v>
      </c>
      <c r="CW37" s="14" t="e">
        <f t="shared" ca="1" si="69"/>
        <v>#N/A</v>
      </c>
      <c r="CX37" s="15" t="e">
        <f t="shared" ca="1" si="69"/>
        <v>#N/A</v>
      </c>
      <c r="CY37" s="16" t="e">
        <f t="shared" ca="1" si="69"/>
        <v>#N/A</v>
      </c>
      <c r="CZ37" s="13" t="e">
        <f t="shared" ca="1" si="69"/>
        <v>#N/A</v>
      </c>
      <c r="DA37" s="14" t="e">
        <f t="shared" ca="1" si="69"/>
        <v>#N/A</v>
      </c>
      <c r="DB37" s="14" t="e">
        <f t="shared" ca="1" si="69"/>
        <v>#N/A</v>
      </c>
      <c r="DC37" s="14" t="e">
        <f t="shared" ca="1" si="69"/>
        <v>#N/A</v>
      </c>
      <c r="DD37" s="14" t="e">
        <f t="shared" ca="1" si="69"/>
        <v>#N/A</v>
      </c>
      <c r="DE37" s="15" t="e">
        <f t="shared" ca="1" si="69"/>
        <v>#N/A</v>
      </c>
      <c r="DF37" s="16" t="e">
        <f t="shared" ca="1" si="69"/>
        <v>#N/A</v>
      </c>
      <c r="DG37" s="13" t="e">
        <f t="shared" ca="1" si="69"/>
        <v>#N/A</v>
      </c>
      <c r="DH37" s="14" t="e">
        <f t="shared" ca="1" si="69"/>
        <v>#N/A</v>
      </c>
      <c r="DI37" s="14" t="e">
        <f t="shared" ca="1" si="69"/>
        <v>#N/A</v>
      </c>
      <c r="DJ37" s="14" t="e">
        <f t="shared" ca="1" si="69"/>
        <v>#N/A</v>
      </c>
      <c r="DK37" s="14" t="e">
        <f t="shared" ca="1" si="69"/>
        <v>#N/A</v>
      </c>
      <c r="DL37" s="15" t="e">
        <f t="shared" ca="1" si="69"/>
        <v>#N/A</v>
      </c>
      <c r="DM37" s="16" t="e">
        <f t="shared" ca="1" si="69"/>
        <v>#N/A</v>
      </c>
      <c r="DN37" s="13" t="e">
        <f t="shared" ca="1" si="69"/>
        <v>#N/A</v>
      </c>
      <c r="DO37" s="14" t="e">
        <f t="shared" ca="1" si="69"/>
        <v>#N/A</v>
      </c>
      <c r="DP37" s="14" t="e">
        <f t="shared" ca="1" si="69"/>
        <v>#N/A</v>
      </c>
      <c r="DQ37" s="14" t="e">
        <f t="shared" ca="1" si="69"/>
        <v>#N/A</v>
      </c>
      <c r="DR37" s="14" t="e">
        <f t="shared" ca="1" si="69"/>
        <v>#N/A</v>
      </c>
      <c r="DS37" s="15" t="e">
        <f t="shared" ca="1" si="69"/>
        <v>#N/A</v>
      </c>
      <c r="DT37" s="16" t="e">
        <f t="shared" ca="1" si="69"/>
        <v>#N/A</v>
      </c>
      <c r="DU37" s="13" t="e">
        <f t="shared" ca="1" si="69"/>
        <v>#N/A</v>
      </c>
      <c r="DV37" s="14" t="e">
        <f t="shared" ca="1" si="69"/>
        <v>#N/A</v>
      </c>
      <c r="DW37" s="14" t="e">
        <f t="shared" ca="1" si="69"/>
        <v>#N/A</v>
      </c>
      <c r="DX37" s="14" t="e">
        <f t="shared" ca="1" si="69"/>
        <v>#N/A</v>
      </c>
      <c r="DY37" s="14" t="e">
        <f t="shared" ca="1" si="69"/>
        <v>#N/A</v>
      </c>
      <c r="DZ37" s="15" t="e">
        <f t="shared" ca="1" si="69"/>
        <v>#N/A</v>
      </c>
      <c r="EA37" s="16" t="e">
        <f t="shared" ca="1" si="69"/>
        <v>#N/A</v>
      </c>
      <c r="EB37" s="13" t="e">
        <f t="shared" ca="1" si="69"/>
        <v>#N/A</v>
      </c>
      <c r="EC37" s="14" t="e">
        <f t="shared" ca="1" si="69"/>
        <v>#N/A</v>
      </c>
      <c r="ED37" s="14" t="e">
        <f t="shared" ca="1" si="69"/>
        <v>#N/A</v>
      </c>
      <c r="EE37" s="14" t="e">
        <f t="shared" ca="1" si="69"/>
        <v>#N/A</v>
      </c>
      <c r="EF37" s="14" t="e">
        <f t="shared" ca="1" si="69"/>
        <v>#N/A</v>
      </c>
      <c r="EG37" s="15" t="e">
        <f t="shared" ca="1" si="69"/>
        <v>#N/A</v>
      </c>
      <c r="EH37" s="16" t="e">
        <f t="shared" ca="1" si="69"/>
        <v>#N/A</v>
      </c>
      <c r="EI37" s="13" t="e">
        <f t="shared" ref="EI37:FC37" ca="1" si="70">IF($B$1="SFK Freight Forwarder",IF(AND(EI$5&gt;=$C$11,EI$5&lt;=$E$23),1,""),IF(AND(EI$5&gt;=$C$8,EI$5&lt;=$E$23),1,""))</f>
        <v>#N/A</v>
      </c>
      <c r="EJ37" s="14" t="e">
        <f t="shared" ca="1" si="70"/>
        <v>#N/A</v>
      </c>
      <c r="EK37" s="14" t="e">
        <f t="shared" ca="1" si="70"/>
        <v>#N/A</v>
      </c>
      <c r="EL37" s="14" t="e">
        <f t="shared" ca="1" si="70"/>
        <v>#N/A</v>
      </c>
      <c r="EM37" s="14" t="e">
        <f t="shared" ca="1" si="70"/>
        <v>#N/A</v>
      </c>
      <c r="EN37" s="15" t="e">
        <f t="shared" ca="1" si="70"/>
        <v>#N/A</v>
      </c>
      <c r="EO37" s="16" t="e">
        <f t="shared" ca="1" si="70"/>
        <v>#N/A</v>
      </c>
      <c r="EP37" s="13" t="e">
        <f t="shared" ca="1" si="70"/>
        <v>#N/A</v>
      </c>
      <c r="EQ37" s="14" t="e">
        <f t="shared" ca="1" si="70"/>
        <v>#N/A</v>
      </c>
      <c r="ER37" s="14" t="e">
        <f t="shared" ca="1" si="70"/>
        <v>#N/A</v>
      </c>
      <c r="ES37" s="14" t="e">
        <f t="shared" ca="1" si="70"/>
        <v>#N/A</v>
      </c>
      <c r="ET37" s="14" t="e">
        <f t="shared" ca="1" si="70"/>
        <v>#N/A</v>
      </c>
      <c r="EU37" s="15" t="e">
        <f t="shared" ca="1" si="70"/>
        <v>#N/A</v>
      </c>
      <c r="EV37" s="16" t="e">
        <f t="shared" ca="1" si="70"/>
        <v>#N/A</v>
      </c>
      <c r="EW37" s="13" t="e">
        <f t="shared" ca="1" si="70"/>
        <v>#N/A</v>
      </c>
      <c r="EX37" s="14" t="e">
        <f t="shared" ca="1" si="70"/>
        <v>#N/A</v>
      </c>
      <c r="EY37" s="14" t="e">
        <f t="shared" ca="1" si="70"/>
        <v>#N/A</v>
      </c>
      <c r="EZ37" s="14" t="e">
        <f t="shared" ca="1" si="70"/>
        <v>#N/A</v>
      </c>
      <c r="FA37" s="14" t="e">
        <f t="shared" ca="1" si="70"/>
        <v>#N/A</v>
      </c>
      <c r="FB37" s="15" t="e">
        <f t="shared" ca="1" si="70"/>
        <v>#N/A</v>
      </c>
      <c r="FC37" s="16" t="e">
        <f t="shared" ca="1" si="70"/>
        <v>#N/A</v>
      </c>
    </row>
    <row r="38" spans="1:159" ht="2.25" customHeight="1"/>
    <row r="39" spans="1:159" ht="2.1" customHeight="1"/>
    <row r="40" spans="1:159" s="17" customFormat="1" ht="15.75">
      <c r="A40" s="616" t="s">
        <v>69</v>
      </c>
      <c r="B40" s="616"/>
      <c r="C40" s="607" t="str">
        <f ca="1">_xlfn.XLOOKUP(B7&amp;"-"&amp;"Next",'DATA BTO'!A:A,'DATA BTO'!Q:Q,"-",0)</f>
        <v>-</v>
      </c>
      <c r="D40" s="607"/>
      <c r="E40" s="608"/>
      <c r="F40" s="14" t="e">
        <f ca="1">IF(AND(F$5&gt;$C$35+$C$8+$D$24-1,F$5&lt;=(_xlfn.XLOOKUP($B$7&amp;"-"&amp;"Next",'DATA BTO'!$A:$A,'DATA BTO'!$Q:$Q,"-",0)+$C$35+$D$24)+$C$8-1),1,"")</f>
        <v>#N/A</v>
      </c>
      <c r="G40" s="14" t="e">
        <f ca="1">IF(AND(G$5&gt;$C$35+$C$8+$D$24-1,G$5&lt;=(_xlfn.XLOOKUP($B$7&amp;"-"&amp;"Next",'DATA BTO'!$A:$A,'DATA BTO'!$Q:$Q,"-",0)+$C$35+$D$24)+$C$8-1),1,"")</f>
        <v>#N/A</v>
      </c>
      <c r="H40" s="14" t="e">
        <f ca="1">IF(AND(H$5&gt;$C$35+$C$8+$D$24-1,H$5&lt;=(_xlfn.XLOOKUP($B$7&amp;"-"&amp;"Next",'DATA BTO'!$A:$A,'DATA BTO'!$Q:$Q,"-",0)+$C$35+$D$24)+$C$8-1),1,"")</f>
        <v>#N/A</v>
      </c>
      <c r="I40" s="14" t="e">
        <f ca="1">IF(AND(I$5&gt;$C$35+$C$8+$D$24-1,I$5&lt;=(_xlfn.XLOOKUP($B$7&amp;"-"&amp;"Next",'DATA BTO'!$A:$A,'DATA BTO'!$Q:$Q,"-",0)+$C$35+$D$24)+$C$8-1),1,"")</f>
        <v>#N/A</v>
      </c>
      <c r="J40" s="14" t="e">
        <f ca="1">IF(AND(J$5&gt;$C$35+$C$8+$D$24-1,J$5&lt;=(_xlfn.XLOOKUP($B$7&amp;"-"&amp;"Next",'DATA BTO'!$A:$A,'DATA BTO'!$Q:$Q,"-",0)+$C$35+$D$24)+$C$8-1),1,"")</f>
        <v>#N/A</v>
      </c>
      <c r="K40" s="15" t="e">
        <f ca="1">IF(AND(K$5&gt;$C$35+$C$8+$D$24-1,K$5&lt;=(_xlfn.XLOOKUP($B$7&amp;"-"&amp;"Next",'DATA BTO'!$A:$A,'DATA BTO'!$Q:$Q,"-",0)+$C$35+$D$24)+$C$8-1),1,"")</f>
        <v>#N/A</v>
      </c>
      <c r="L40" s="94" t="e">
        <f ca="1">IF(AND(L$5&gt;$C$35+$C$8+$D$24-1,L$5&lt;=(_xlfn.XLOOKUP($B$7&amp;"-"&amp;"Next",'DATA BTO'!$A:$A,'DATA BTO'!$Q:$Q,"-",0)+$C$35+$D$24)+$C$8-1),1,"")</f>
        <v>#N/A</v>
      </c>
      <c r="M40" s="13" t="e">
        <f ca="1">IF(AND(M$5&gt;$C$35+$C$8+$D$24-1,M$5&lt;=(_xlfn.XLOOKUP($B$7&amp;"-"&amp;"Next",'DATA BTO'!$A:$A,'DATA BTO'!$Q:$Q,"-",0)+$C$35+$D$24)+$C$8-1),1,"")</f>
        <v>#N/A</v>
      </c>
      <c r="N40" s="14" t="e">
        <f ca="1">IF(AND(N$5&gt;$C$35+$C$8+$D$24-1,N$5&lt;=(_xlfn.XLOOKUP($B$7&amp;"-"&amp;"Next",'DATA BTO'!$A:$A,'DATA BTO'!$Q:$Q,"-",0)+$C$35+$D$24)+$C$8-1),1,"")</f>
        <v>#N/A</v>
      </c>
      <c r="O40" s="14" t="e">
        <f ca="1">IF(AND(O$5&gt;$C$35+$C$8+$D$24-1,O$5&lt;=(_xlfn.XLOOKUP($B$7&amp;"-"&amp;"Next",'DATA BTO'!$A:$A,'DATA BTO'!$Q:$Q,"-",0)+$C$35+$D$24)+$C$8-1),1,"")</f>
        <v>#N/A</v>
      </c>
      <c r="P40" s="14" t="e">
        <f ca="1">IF(AND(P$5&gt;$C$35+$C$8+$D$24-1,P$5&lt;=(_xlfn.XLOOKUP($B$7&amp;"-"&amp;"Next",'DATA BTO'!$A:$A,'DATA BTO'!$Q:$Q,"-",0)+$C$35+$D$24)+$C$8-1),1,"")</f>
        <v>#N/A</v>
      </c>
      <c r="Q40" s="14" t="e">
        <f ca="1">IF(AND(Q$5&gt;$C$35+$C$8+$D$24-1,Q$5&lt;=(_xlfn.XLOOKUP($B$7&amp;"-"&amp;"Next",'DATA BTO'!$A:$A,'DATA BTO'!$Q:$Q,"-",0)+$C$35+$D$24)+$C$8-1),1,"")</f>
        <v>#N/A</v>
      </c>
      <c r="R40" s="15" t="e">
        <f ca="1">IF(AND(R$5&gt;$C$35+$C$8+$D$24-1,R$5&lt;=(_xlfn.XLOOKUP($B$7&amp;"-"&amp;"Next",'DATA BTO'!$A:$A,'DATA BTO'!$Q:$Q,"-",0)+$C$35+$D$24)+$C$8-1),1,"")</f>
        <v>#N/A</v>
      </c>
      <c r="S40" s="16" t="e">
        <f ca="1">IF(AND(S$5&gt;$C$35+$C$8+$D$24-1,S$5&lt;=(_xlfn.XLOOKUP($B$7&amp;"-"&amp;"Next",'DATA BTO'!$A:$A,'DATA BTO'!$Q:$Q,"-",0)+$C$35+$D$24)+$C$8-1),1,"")</f>
        <v>#N/A</v>
      </c>
      <c r="T40" s="13" t="e">
        <f ca="1">IF(AND(T$5&gt;$C$35+$C$8+$D$24-1,T$5&lt;=(_xlfn.XLOOKUP($B$7&amp;"-"&amp;"Next",'DATA BTO'!$A:$A,'DATA BTO'!$Q:$Q,"-",0)+$C$35+$D$24)+$C$8-1),1,"")</f>
        <v>#N/A</v>
      </c>
      <c r="U40" s="14" t="e">
        <f ca="1">IF(AND(U$5&gt;$C$35+$C$8+$D$24-1,U$5&lt;=(_xlfn.XLOOKUP($B$7&amp;"-"&amp;"Next",'DATA BTO'!$A:$A,'DATA BTO'!$Q:$Q,"-",0)+$C$35+$D$24)+$C$8-1),1,"")</f>
        <v>#N/A</v>
      </c>
      <c r="V40" s="14" t="e">
        <f ca="1">IF(AND(V$5&gt;$C$35+$C$8+$D$24-1,V$5&lt;=(_xlfn.XLOOKUP($B$7&amp;"-"&amp;"Next",'DATA BTO'!$A:$A,'DATA BTO'!$Q:$Q,"-",0)+$C$35+$D$24)+$C$8-1),1,"")</f>
        <v>#N/A</v>
      </c>
      <c r="W40" s="14" t="e">
        <f ca="1">IF(AND(W$5&gt;$C$35+$C$8+$D$24-1,W$5&lt;=(_xlfn.XLOOKUP($B$7&amp;"-"&amp;"Next",'DATA BTO'!$A:$A,'DATA BTO'!$Q:$Q,"-",0)+$C$35+$D$24)+$C$8-1),1,"")</f>
        <v>#N/A</v>
      </c>
      <c r="X40" s="14" t="e">
        <f ca="1">IF(AND(X$5&gt;$C$35+$C$8+$D$24-1,X$5&lt;=(_xlfn.XLOOKUP($B$7&amp;"-"&amp;"Next",'DATA BTO'!$A:$A,'DATA BTO'!$Q:$Q,"-",0)+$C$35+$D$24)+$C$8-1),1,"")</f>
        <v>#N/A</v>
      </c>
      <c r="Y40" s="15" t="e">
        <f ca="1">IF(AND(Y$5&gt;$C$35+$C$8+$D$24-1,Y$5&lt;=(_xlfn.XLOOKUP($B$7&amp;"-"&amp;"Next",'DATA BTO'!$A:$A,'DATA BTO'!$Q:$Q,"-",0)+$C$35+$D$24)+$C$8-1),1,"")</f>
        <v>#N/A</v>
      </c>
      <c r="Z40" s="16" t="e">
        <f ca="1">IF(AND(Z$5&gt;$C$35+$C$8+$D$24-1,Z$5&lt;=(_xlfn.XLOOKUP($B$7&amp;"-"&amp;"Next",'DATA BTO'!$A:$A,'DATA BTO'!$Q:$Q,"-",0)+$C$35+$D$24)+$C$8-1),1,"")</f>
        <v>#N/A</v>
      </c>
      <c r="AA40" s="13" t="e">
        <f ca="1">IF(AND(AA$5&gt;$C$35+$C$8+$D$24-1,AA$5&lt;=(_xlfn.XLOOKUP($B$7&amp;"-"&amp;"Next",'DATA BTO'!$A:$A,'DATA BTO'!$Q:$Q,"-",0)+$C$35+$D$24)+$C$8-1),1,"")</f>
        <v>#N/A</v>
      </c>
      <c r="AB40" s="14" t="e">
        <f ca="1">IF(AND(AB$5&gt;$C$35+$C$8+$D$24-1,AB$5&lt;=(_xlfn.XLOOKUP($B$7&amp;"-"&amp;"Next",'DATA BTO'!$A:$A,'DATA BTO'!$Q:$Q,"-",0)+$C$35+$D$24)+$C$8-1),1,"")</f>
        <v>#N/A</v>
      </c>
      <c r="AC40" s="14" t="e">
        <f ca="1">IF(AND(AC$5&gt;$C$35+$C$8+$D$24-1,AC$5&lt;=(_xlfn.XLOOKUP($B$7&amp;"-"&amp;"Next",'DATA BTO'!$A:$A,'DATA BTO'!$Q:$Q,"-",0)+$C$35+$D$24)+$C$8-1),1,"")</f>
        <v>#N/A</v>
      </c>
      <c r="AD40" s="14" t="e">
        <f ca="1">IF(AND(AD$5&gt;$C$35+$C$8+$D$24-1,AD$5&lt;=(_xlfn.XLOOKUP($B$7&amp;"-"&amp;"Next",'DATA BTO'!$A:$A,'DATA BTO'!$Q:$Q,"-",0)+$C$35+$D$24)+$C$8-1),1,"")</f>
        <v>#N/A</v>
      </c>
      <c r="AE40" s="14" t="e">
        <f ca="1">IF(AND(AE$5&gt;$C$35+$C$8+$D$24-1,AE$5&lt;=(_xlfn.XLOOKUP($B$7&amp;"-"&amp;"Next",'DATA BTO'!$A:$A,'DATA BTO'!$Q:$Q,"-",0)+$C$35+$D$24)+$C$8-1),1,"")</f>
        <v>#N/A</v>
      </c>
      <c r="AF40" s="15" t="e">
        <f ca="1">IF(AND(AF$5&gt;$C$35+$C$8+$D$24-1,AF$5&lt;=(_xlfn.XLOOKUP($B$7&amp;"-"&amp;"Next",'DATA BTO'!$A:$A,'DATA BTO'!$Q:$Q,"-",0)+$C$35+$D$24)+$C$8-1),1,"")</f>
        <v>#N/A</v>
      </c>
      <c r="AG40" s="16" t="e">
        <f ca="1">IF(AND(AG$5&gt;$C$35+$C$8+$D$24-1,AG$5&lt;=(_xlfn.XLOOKUP($B$7&amp;"-"&amp;"Next",'DATA BTO'!$A:$A,'DATA BTO'!$Q:$Q,"-",0)+$C$35+$D$24)+$C$8-1),1,"")</f>
        <v>#N/A</v>
      </c>
      <c r="AH40" s="13" t="e">
        <f ca="1">IF(AND(AH$5&gt;$C$35+$C$8+$D$24-1,AH$5&lt;=(_xlfn.XLOOKUP($B$7&amp;"-"&amp;"Next",'DATA BTO'!$A:$A,'DATA BTO'!$Q:$Q,"-",0)+$C$35+$D$24)+$C$8-1),1,"")</f>
        <v>#N/A</v>
      </c>
      <c r="AI40" s="14" t="e">
        <f ca="1">IF(AND(AI$5&gt;$C$35+$C$8+$D$24-1,AI$5&lt;=(_xlfn.XLOOKUP($B$7&amp;"-"&amp;"Next",'DATA BTO'!$A:$A,'DATA BTO'!$Q:$Q,"-",0)+$C$35+$D$24)+$C$8-1),1,"")</f>
        <v>#N/A</v>
      </c>
      <c r="AJ40" s="14" t="e">
        <f ca="1">IF(AND(AJ$5&gt;$C$35+$C$8+$D$24-1,AJ$5&lt;=(_xlfn.XLOOKUP($B$7&amp;"-"&amp;"Next",'DATA BTO'!$A:$A,'DATA BTO'!$Q:$Q,"-",0)+$C$35+$D$24)+$C$8-1),1,"")</f>
        <v>#N/A</v>
      </c>
      <c r="AK40" s="14" t="e">
        <f ca="1">IF(AND(AK$5&gt;$C$35+$C$8+$D$24-1,AK$5&lt;=(_xlfn.XLOOKUP($B$7&amp;"-"&amp;"Next",'DATA BTO'!$A:$A,'DATA BTO'!$Q:$Q,"-",0)+$C$35+$D$24)+$C$8-1),1,"")</f>
        <v>#N/A</v>
      </c>
      <c r="AL40" s="14" t="e">
        <f ca="1">IF(AND(AL$5&gt;$C$35+$C$8+$D$24-1,AL$5&lt;=(_xlfn.XLOOKUP($B$7&amp;"-"&amp;"Next",'DATA BTO'!$A:$A,'DATA BTO'!$Q:$Q,"-",0)+$C$35+$D$24)+$C$8-1),1,"")</f>
        <v>#N/A</v>
      </c>
      <c r="AM40" s="15" t="e">
        <f ca="1">IF(AND(AM$5&gt;$C$35+$C$8+$D$24-1,AM$5&lt;=(_xlfn.XLOOKUP($B$7&amp;"-"&amp;"Next",'DATA BTO'!$A:$A,'DATA BTO'!$Q:$Q,"-",0)+$C$35+$D$24)+$C$8-1),1,"")</f>
        <v>#N/A</v>
      </c>
      <c r="AN40" s="16" t="e">
        <f ca="1">IF(AND(AN$5&gt;$C$35+$C$8+$D$24-1,AN$5&lt;=(_xlfn.XLOOKUP($B$7&amp;"-"&amp;"Next",'DATA BTO'!$A:$A,'DATA BTO'!$Q:$Q,"-",0)+$C$35+$D$24)+$C$8-1),1,"")</f>
        <v>#N/A</v>
      </c>
      <c r="AO40" s="13" t="e">
        <f ca="1">IF(AND(AO$5&gt;$C$35+$C$8+$D$24-1,AO$5&lt;=(_xlfn.XLOOKUP($B$7&amp;"-"&amp;"Next",'DATA BTO'!$A:$A,'DATA BTO'!$Q:$Q,"-",0)+$C$35+$D$24)+$C$8-1),1,"")</f>
        <v>#N/A</v>
      </c>
      <c r="AP40" s="14" t="e">
        <f ca="1">IF(AND(AP$5&gt;$C$35+$C$8+$D$24-1,AP$5&lt;=(_xlfn.XLOOKUP($B$7&amp;"-"&amp;"Next",'DATA BTO'!$A:$A,'DATA BTO'!$Q:$Q,"-",0)+$C$35+$D$24)+$C$8-1),1,"")</f>
        <v>#N/A</v>
      </c>
      <c r="AQ40" s="14" t="e">
        <f ca="1">IF(AND(AQ$5&gt;$C$35+$C$8+$D$24-1,AQ$5&lt;=(_xlfn.XLOOKUP($B$7&amp;"-"&amp;"Next",'DATA BTO'!$A:$A,'DATA BTO'!$Q:$Q,"-",0)+$C$35+$D$24)+$C$8-1),1,"")</f>
        <v>#N/A</v>
      </c>
      <c r="AR40" s="14" t="e">
        <f ca="1">IF(AND(AR$5&gt;$C$35+$C$8+$D$24-1,AR$5&lt;=(_xlfn.XLOOKUP($B$7&amp;"-"&amp;"Next",'DATA BTO'!$A:$A,'DATA BTO'!$Q:$Q,"-",0)+$C$35+$D$24)+$C$8-1),1,"")</f>
        <v>#N/A</v>
      </c>
      <c r="AS40" s="14" t="e">
        <f ca="1">IF(AND(AS$5&gt;$C$35+$C$8+$D$24-1,AS$5&lt;=(_xlfn.XLOOKUP($B$7&amp;"-"&amp;"Next",'DATA BTO'!$A:$A,'DATA BTO'!$Q:$Q,"-",0)+$C$35+$D$24)+$C$8-1),1,"")</f>
        <v>#N/A</v>
      </c>
      <c r="AT40" s="15" t="e">
        <f ca="1">IF(AND(AT$5&gt;$C$35+$C$8+$D$24-1,AT$5&lt;=(_xlfn.XLOOKUP($B$7&amp;"-"&amp;"Next",'DATA BTO'!$A:$A,'DATA BTO'!$Q:$Q,"-",0)+$C$35+$D$24)+$C$8-1),1,"")</f>
        <v>#N/A</v>
      </c>
      <c r="AU40" s="16" t="e">
        <f ca="1">IF(AND(AU$5&gt;$C$35+$C$8+$D$24-1,AU$5&lt;=(_xlfn.XLOOKUP($B$7&amp;"-"&amp;"Next",'DATA BTO'!$A:$A,'DATA BTO'!$Q:$Q,"-",0)+$C$35+$D$24)+$C$8-1),1,"")</f>
        <v>#N/A</v>
      </c>
      <c r="AV40" s="13" t="e">
        <f ca="1">IF(AND(AV$5&gt;$C$35+$C$8+$D$24-1,AV$5&lt;=(_xlfn.XLOOKUP($B$7&amp;"-"&amp;"Next",'DATA BTO'!$A:$A,'DATA BTO'!$Q:$Q,"-",0)+$C$35+$D$24)+$C$8-1),1,"")</f>
        <v>#N/A</v>
      </c>
      <c r="AW40" s="14" t="e">
        <f ca="1">IF(AND(AW$5&gt;$C$35+$C$8+$D$24-1,AW$5&lt;=(_xlfn.XLOOKUP($B$7&amp;"-"&amp;"Next",'DATA BTO'!$A:$A,'DATA BTO'!$Q:$Q,"-",0)+$C$35+$D$24)+$C$8-1),1,"")</f>
        <v>#N/A</v>
      </c>
      <c r="AX40" s="14" t="e">
        <f ca="1">IF(AND(AX$5&gt;$C$35+$C$8+$D$24-1,AX$5&lt;=(_xlfn.XLOOKUP($B$7&amp;"-"&amp;"Next",'DATA BTO'!$A:$A,'DATA BTO'!$Q:$Q,"-",0)+$C$35+$D$24)+$C$8-1),1,"")</f>
        <v>#N/A</v>
      </c>
      <c r="AY40" s="14" t="e">
        <f ca="1">IF(AND(AY$5&gt;$C$35+$C$8+$D$24-1,AY$5&lt;=(_xlfn.XLOOKUP($B$7&amp;"-"&amp;"Next",'DATA BTO'!$A:$A,'DATA BTO'!$Q:$Q,"-",0)+$C$35+$D$24)+$C$8-1),1,"")</f>
        <v>#N/A</v>
      </c>
      <c r="AZ40" s="14" t="e">
        <f ca="1">IF(AND(AZ$5&gt;$C$35+$C$8+$D$24-1,AZ$5&lt;=(_xlfn.XLOOKUP($B$7&amp;"-"&amp;"Next",'DATA BTO'!$A:$A,'DATA BTO'!$Q:$Q,"-",0)+$C$35+$D$24)+$C$8-1),1,"")</f>
        <v>#N/A</v>
      </c>
      <c r="BA40" s="15" t="e">
        <f ca="1">IF(AND(BA$5&gt;$C$35+$C$8+$D$24-1,BA$5&lt;=(_xlfn.XLOOKUP($B$7&amp;"-"&amp;"Next",'DATA BTO'!$A:$A,'DATA BTO'!$Q:$Q,"-",0)+$C$35+$D$24)+$C$8-1),1,"")</f>
        <v>#N/A</v>
      </c>
      <c r="BB40" s="16" t="e">
        <f ca="1">IF(AND(BB$5&gt;$C$35+$C$8+$D$24-1,BB$5&lt;=(_xlfn.XLOOKUP($B$7&amp;"-"&amp;"Next",'DATA BTO'!$A:$A,'DATA BTO'!$Q:$Q,"-",0)+$C$35+$D$24)+$C$8-1),1,"")</f>
        <v>#N/A</v>
      </c>
      <c r="BC40" s="13" t="e">
        <f ca="1">IF(AND(BC$5&gt;$C$35+$C$8+$D$24-1,BC$5&lt;=(_xlfn.XLOOKUP($B$7&amp;"-"&amp;"Next",'DATA BTO'!$A:$A,'DATA BTO'!$Q:$Q,"-",0)+$C$35+$D$24)+$C$8-1),1,"")</f>
        <v>#N/A</v>
      </c>
      <c r="BD40" s="14" t="e">
        <f ca="1">IF(AND(BD$5&gt;$C$35+$C$8+$D$24-1,BD$5&lt;=(_xlfn.XLOOKUP($B$7&amp;"-"&amp;"Next",'DATA BTO'!$A:$A,'DATA BTO'!$Q:$Q,"-",0)+$C$35+$D$24)+$C$8-1),1,"")</f>
        <v>#N/A</v>
      </c>
      <c r="BE40" s="14" t="e">
        <f ca="1">IF(AND(BE$5&gt;$C$35+$C$8+$D$24-1,BE$5&lt;=(_xlfn.XLOOKUP($B$7&amp;"-"&amp;"Next",'DATA BTO'!$A:$A,'DATA BTO'!$Q:$Q,"-",0)+$C$35+$D$24)+$C$8-1),1,"")</f>
        <v>#N/A</v>
      </c>
      <c r="BF40" s="14" t="e">
        <f ca="1">IF(AND(BF$5&gt;$C$35+$C$8+$D$24-1,BF$5&lt;=(_xlfn.XLOOKUP($B$7&amp;"-"&amp;"Next",'DATA BTO'!$A:$A,'DATA BTO'!$Q:$Q,"-",0)+$C$35+$D$24)+$C$8-1),1,"")</f>
        <v>#N/A</v>
      </c>
      <c r="BG40" s="14" t="e">
        <f ca="1">IF(AND(BG$5&gt;$C$35+$C$8+$D$24-1,BG$5&lt;=(_xlfn.XLOOKUP($B$7&amp;"-"&amp;"Next",'DATA BTO'!$A:$A,'DATA BTO'!$Q:$Q,"-",0)+$C$35+$D$24)+$C$8-1),1,"")</f>
        <v>#N/A</v>
      </c>
      <c r="BH40" s="15" t="e">
        <f ca="1">IF(AND(BH$5&gt;$C$35+$C$8+$D$24-1,BH$5&lt;=(_xlfn.XLOOKUP($B$7&amp;"-"&amp;"Next",'DATA BTO'!$A:$A,'DATA BTO'!$Q:$Q,"-",0)+$C$35+$D$24)+$C$8-1),1,"")</f>
        <v>#N/A</v>
      </c>
      <c r="BI40" s="16" t="e">
        <f ca="1">IF(AND(BI$5&gt;$C$35+$C$8+$D$24-1,BI$5&lt;=(_xlfn.XLOOKUP($B$7&amp;"-"&amp;"Next",'DATA BTO'!$A:$A,'DATA BTO'!$Q:$Q,"-",0)+$C$35+$D$24)+$C$8-1),1,"")</f>
        <v>#N/A</v>
      </c>
      <c r="BJ40" s="13" t="e">
        <f ca="1">IF(AND(BJ$5&gt;$C$35+$C$8+$D$24-1,BJ$5&lt;=(_xlfn.XLOOKUP($B$7&amp;"-"&amp;"Next",'DATA BTO'!$A:$A,'DATA BTO'!$Q:$Q,"-",0)+$C$35+$D$24)+$C$8-1),1,"")</f>
        <v>#N/A</v>
      </c>
      <c r="BK40" s="14" t="e">
        <f ca="1">IF(AND(BK$5&gt;$C$35+$C$8+$D$24-1,BK$5&lt;=(_xlfn.XLOOKUP($B$7&amp;"-"&amp;"Next",'DATA BTO'!$A:$A,'DATA BTO'!$Q:$Q,"-",0)+$C$35+$D$24)+$C$8-1),1,"")</f>
        <v>#N/A</v>
      </c>
      <c r="BL40" s="14" t="e">
        <f ca="1">IF(AND(BL$5&gt;$C$35+$C$8+$D$24-1,BL$5&lt;=(_xlfn.XLOOKUP($B$7&amp;"-"&amp;"Next",'DATA BTO'!$A:$A,'DATA BTO'!$Q:$Q,"-",0)+$C$35+$D$24)+$C$8-1),1,"")</f>
        <v>#N/A</v>
      </c>
      <c r="BM40" s="14" t="e">
        <f ca="1">IF(AND(BM$5&gt;$C$35+$C$8+$D$24-1,BM$5&lt;=(_xlfn.XLOOKUP($B$7&amp;"-"&amp;"Next",'DATA BTO'!$A:$A,'DATA BTO'!$Q:$Q,"-",0)+$C$35+$D$24)+$C$8-1),1,"")</f>
        <v>#N/A</v>
      </c>
      <c r="BN40" s="14" t="e">
        <f ca="1">IF(AND(BN$5&gt;$C$35+$C$8+$D$24-1,BN$5&lt;=(_xlfn.XLOOKUP($B$7&amp;"-"&amp;"Next",'DATA BTO'!$A:$A,'DATA BTO'!$Q:$Q,"-",0)+$C$35+$D$24)+$C$8-1),1,"")</f>
        <v>#N/A</v>
      </c>
      <c r="BO40" s="15" t="e">
        <f ca="1">IF(AND(BO$5&gt;$C$35+$C$8+$D$24-1,BO$5&lt;=(_xlfn.XLOOKUP($B$7&amp;"-"&amp;"Next",'DATA BTO'!$A:$A,'DATA BTO'!$Q:$Q,"-",0)+$C$35+$D$24)+$C$8-1),1,"")</f>
        <v>#N/A</v>
      </c>
      <c r="BP40" s="16" t="e">
        <f ca="1">IF(AND(BP$5&gt;$C$35+$C$8+$D$24-1,BP$5&lt;=(_xlfn.XLOOKUP($B$7&amp;"-"&amp;"Next",'DATA BTO'!$A:$A,'DATA BTO'!$Q:$Q,"-",0)+$C$35+$D$24)+$C$8-1),1,"")</f>
        <v>#N/A</v>
      </c>
      <c r="BQ40" s="13" t="e">
        <f ca="1">IF(AND(BQ$5&gt;$C$35+$C$8+$D$24-1,BQ$5&lt;=(_xlfn.XLOOKUP($B$7&amp;"-"&amp;"Next",'DATA BTO'!$A:$A,'DATA BTO'!$Q:$Q,"-",0)+$C$35+$D$24)+$C$8-1),1,"")</f>
        <v>#N/A</v>
      </c>
      <c r="BR40" s="14" t="e">
        <f ca="1">IF(AND(BR$5&gt;$C$35+$C$8+$D$24-1,BR$5&lt;=(_xlfn.XLOOKUP($B$7&amp;"-"&amp;"Next",'DATA BTO'!$A:$A,'DATA BTO'!$Q:$Q,"-",0)+$C$35+$D$24)+$C$8-1),1,"")</f>
        <v>#N/A</v>
      </c>
      <c r="BS40" s="14" t="e">
        <f ca="1">IF(AND(BS$5&gt;$C$35+$C$8+$D$24-1,BS$5&lt;=(_xlfn.XLOOKUP($B$7&amp;"-"&amp;"Next",'DATA BTO'!$A:$A,'DATA BTO'!$Q:$Q,"-",0)+$C$35+$D$24)+$C$8-1),1,"")</f>
        <v>#N/A</v>
      </c>
      <c r="BT40" s="14" t="e">
        <f ca="1">IF(AND(BT$5&gt;$C$35+$C$8+$D$24-1,BT$5&lt;=(_xlfn.XLOOKUP($B$7&amp;"-"&amp;"Next",'DATA BTO'!$A:$A,'DATA BTO'!$Q:$Q,"-",0)+$C$35+$D$24)+$C$8-1),1,"")</f>
        <v>#N/A</v>
      </c>
      <c r="BU40" s="14" t="e">
        <f ca="1">IF(AND(BU$5&gt;$C$35+$C$8+$D$24-1,BU$5&lt;=(_xlfn.XLOOKUP($B$7&amp;"-"&amp;"Next",'DATA BTO'!$A:$A,'DATA BTO'!$Q:$Q,"-",0)+$C$35+$D$24)+$C$8-1),1,"")</f>
        <v>#N/A</v>
      </c>
      <c r="BV40" s="15" t="e">
        <f ca="1">IF(AND(BV$5&gt;$C$35+$C$8+$D$24-1,BV$5&lt;=(_xlfn.XLOOKUP($B$7&amp;"-"&amp;"Next",'DATA BTO'!$A:$A,'DATA BTO'!$Q:$Q,"-",0)+$C$35+$D$24)+$C$8-1),1,"")</f>
        <v>#N/A</v>
      </c>
      <c r="BW40" s="16" t="e">
        <f ca="1">IF(AND(BW$5&gt;$C$35+$C$8+$D$24-1,BW$5&lt;=(_xlfn.XLOOKUP($B$7&amp;"-"&amp;"Next",'DATA BTO'!$A:$A,'DATA BTO'!$Q:$Q,"-",0)+$C$35+$D$24)+$C$8-1),1,"")</f>
        <v>#N/A</v>
      </c>
      <c r="BX40" s="13" t="e">
        <f ca="1">IF(AND(BX$5&gt;$C$35+$C$8+$D$24-1,BX$5&lt;=(_xlfn.XLOOKUP($B$7&amp;"-"&amp;"Next",'DATA BTO'!$A:$A,'DATA BTO'!$Q:$Q,"-",0)+$C$35+$D$24)+$C$8-1),1,"")</f>
        <v>#N/A</v>
      </c>
      <c r="BY40" s="14" t="e">
        <f ca="1">IF(AND(BY$5&gt;$C$35+$C$8+$D$24-1,BY$5&lt;=(_xlfn.XLOOKUP($B$7&amp;"-"&amp;"Next",'DATA BTO'!$A:$A,'DATA BTO'!$Q:$Q,"-",0)+$C$35+$D$24)+$C$8-1),1,"")</f>
        <v>#N/A</v>
      </c>
      <c r="BZ40" s="14" t="e">
        <f ca="1">IF(AND(BZ$5&gt;$C$35+$C$8+$D$24-1,BZ$5&lt;=(_xlfn.XLOOKUP($B$7&amp;"-"&amp;"Next",'DATA BTO'!$A:$A,'DATA BTO'!$Q:$Q,"-",0)+$C$35+$D$24)+$C$8-1),1,"")</f>
        <v>#N/A</v>
      </c>
      <c r="CA40" s="14" t="e">
        <f ca="1">IF(AND(CA$5&gt;$C$35+$C$8+$D$24-1,CA$5&lt;=(_xlfn.XLOOKUP($B$7&amp;"-"&amp;"Next",'DATA BTO'!$A:$A,'DATA BTO'!$Q:$Q,"-",0)+$C$35+$D$24)+$C$8-1),1,"")</f>
        <v>#N/A</v>
      </c>
      <c r="CB40" s="14" t="e">
        <f ca="1">IF(AND(CB$5&gt;$C$35+$C$8+$D$24-1,CB$5&lt;=(_xlfn.XLOOKUP($B$7&amp;"-"&amp;"Next",'DATA BTO'!$A:$A,'DATA BTO'!$Q:$Q,"-",0)+$C$35+$D$24)+$C$8-1),1,"")</f>
        <v>#N/A</v>
      </c>
      <c r="CC40" s="15" t="e">
        <f ca="1">IF(AND(CC$5&gt;$C$35+$C$8+$D$24-1,CC$5&lt;=(_xlfn.XLOOKUP($B$7&amp;"-"&amp;"Next",'DATA BTO'!$A:$A,'DATA BTO'!$Q:$Q,"-",0)+$C$35+$D$24)+$C$8-1),1,"")</f>
        <v>#N/A</v>
      </c>
      <c r="CD40" s="16" t="e">
        <f ca="1">IF(AND(CD$5&gt;$C$35+$C$8+$D$24-1,CD$5&lt;=(_xlfn.XLOOKUP($B$7&amp;"-"&amp;"Next",'DATA BTO'!$A:$A,'DATA BTO'!$Q:$Q,"-",0)+$C$35+$D$24)+$C$8-1),1,"")</f>
        <v>#N/A</v>
      </c>
      <c r="CE40" s="13" t="e">
        <f ca="1">IF(AND(CE$5&gt;$C$35+$C$8+$D$24-1,CE$5&lt;=(_xlfn.XLOOKUP($B$7&amp;"-"&amp;"Next",'DATA BTO'!$A:$A,'DATA BTO'!$Q:$Q,"-",0)+$C$35+$D$24)+$C$8-1),1,"")</f>
        <v>#N/A</v>
      </c>
      <c r="CF40" s="14" t="e">
        <f ca="1">IF(AND(CF$5&gt;$C$35+$C$8+$D$24-1,CF$5&lt;=(_xlfn.XLOOKUP($B$7&amp;"-"&amp;"Next",'DATA BTO'!$A:$A,'DATA BTO'!$Q:$Q,"-",0)+$C$35+$D$24)+$C$8-1),1,"")</f>
        <v>#N/A</v>
      </c>
      <c r="CG40" s="14" t="e">
        <f ca="1">IF(AND(CG$5&gt;$C$35+$C$8+$D$24-1,CG$5&lt;=(_xlfn.XLOOKUP($B$7&amp;"-"&amp;"Next",'DATA BTO'!$A:$A,'DATA BTO'!$Q:$Q,"-",0)+$C$35+$D$24)+$C$8-1),1,"")</f>
        <v>#N/A</v>
      </c>
      <c r="CH40" s="14" t="e">
        <f ca="1">IF(AND(CH$5&gt;$C$35+$C$8+$D$24-1,CH$5&lt;=(_xlfn.XLOOKUP($B$7&amp;"-"&amp;"Next",'DATA BTO'!$A:$A,'DATA BTO'!$Q:$Q,"-",0)+$C$35+$D$24)+$C$8-1),1,"")</f>
        <v>#N/A</v>
      </c>
      <c r="CI40" s="14" t="e">
        <f ca="1">IF(AND(CI$5&gt;$C$35+$C$8+$D$24-1,CI$5&lt;=(_xlfn.XLOOKUP($B$7&amp;"-"&amp;"Next",'DATA BTO'!$A:$A,'DATA BTO'!$Q:$Q,"-",0)+$C$35+$D$24)+$C$8-1),1,"")</f>
        <v>#N/A</v>
      </c>
      <c r="CJ40" s="15" t="e">
        <f ca="1">IF(AND(CJ$5&gt;$C$35+$C$8+$D$24-1,CJ$5&lt;=(_xlfn.XLOOKUP($B$7&amp;"-"&amp;"Next",'DATA BTO'!$A:$A,'DATA BTO'!$Q:$Q,"-",0)+$C$35+$D$24)+$C$8-1),1,"")</f>
        <v>#N/A</v>
      </c>
      <c r="CK40" s="16" t="e">
        <f ca="1">IF(AND(CK$5&gt;$C$35+$C$8+$D$24-1,CK$5&lt;=(_xlfn.XLOOKUP($B$7&amp;"-"&amp;"Next",'DATA BTO'!$A:$A,'DATA BTO'!$Q:$Q,"-",0)+$C$35+$D$24)+$C$8-1),1,"")</f>
        <v>#N/A</v>
      </c>
      <c r="CL40" s="13" t="e">
        <f ca="1">IF(AND(CL$5&gt;$C$35+$C$8+$D$24-1,CL$5&lt;=(_xlfn.XLOOKUP($B$7&amp;"-"&amp;"Next",'DATA BTO'!$A:$A,'DATA BTO'!$Q:$Q,"-",0)+$C$35+$D$24)+$C$8-1),1,"")</f>
        <v>#N/A</v>
      </c>
      <c r="CM40" s="14" t="e">
        <f ca="1">IF(AND(CM$5&gt;$C$35+$C$8+$D$24-1,CM$5&lt;=(_xlfn.XLOOKUP($B$7&amp;"-"&amp;"Next",'DATA BTO'!$A:$A,'DATA BTO'!$Q:$Q,"-",0)+$C$35+$D$24)+$C$8-1),1,"")</f>
        <v>#N/A</v>
      </c>
      <c r="CN40" s="14" t="e">
        <f ca="1">IF(AND(CN$5&gt;$C$35+$C$8+$D$24-1,CN$5&lt;=(_xlfn.XLOOKUP($B$7&amp;"-"&amp;"Next",'DATA BTO'!$A:$A,'DATA BTO'!$Q:$Q,"-",0)+$C$35+$D$24)+$C$8-1),1,"")</f>
        <v>#N/A</v>
      </c>
      <c r="CO40" s="14" t="e">
        <f ca="1">IF(AND(CO$5&gt;$C$35+$C$8+$D$24-1,CO$5&lt;=(_xlfn.XLOOKUP($B$7&amp;"-"&amp;"Next",'DATA BTO'!$A:$A,'DATA BTO'!$Q:$Q,"-",0)+$C$35+$D$24)+$C$8-1),1,"")</f>
        <v>#N/A</v>
      </c>
      <c r="CP40" s="14" t="e">
        <f ca="1">IF(AND(CP$5&gt;$C$35+$C$8+$D$24-1,CP$5&lt;=(_xlfn.XLOOKUP($B$7&amp;"-"&amp;"Next",'DATA BTO'!$A:$A,'DATA BTO'!$Q:$Q,"-",0)+$C$35+$D$24)+$C$8-1),1,"")</f>
        <v>#N/A</v>
      </c>
      <c r="CQ40" s="15" t="e">
        <f ca="1">IF(AND(CQ$5&gt;$C$35+$C$8+$D$24-1,CQ$5&lt;=(_xlfn.XLOOKUP($B$7&amp;"-"&amp;"Next",'DATA BTO'!$A:$A,'DATA BTO'!$Q:$Q,"-",0)+$C$35+$D$24)+$C$8-1),1,"")</f>
        <v>#N/A</v>
      </c>
      <c r="CR40" s="16" t="e">
        <f ca="1">IF(AND(CR$5&gt;$C$35+$C$8+$D$24-1,CR$5&lt;=(_xlfn.XLOOKUP($B$7&amp;"-"&amp;"Next",'DATA BTO'!$A:$A,'DATA BTO'!$Q:$Q,"-",0)+$C$35+$D$24)+$C$8-1),1,"")</f>
        <v>#N/A</v>
      </c>
      <c r="CS40" s="13" t="e">
        <f ca="1">IF(AND(CS$5&gt;$C$35+$C$8+$D$24-1,CS$5&lt;=(_xlfn.XLOOKUP($B$7&amp;"-"&amp;"Next",'DATA BTO'!$A:$A,'DATA BTO'!$Q:$Q,"-",0)+$C$35+$D$24)+$C$8-1),1,"")</f>
        <v>#N/A</v>
      </c>
      <c r="CT40" s="14" t="e">
        <f ca="1">IF(AND(CT$5&gt;$C$35+$C$8+$D$24-1,CT$5&lt;=(_xlfn.XLOOKUP($B$7&amp;"-"&amp;"Next",'DATA BTO'!$A:$A,'DATA BTO'!$Q:$Q,"-",0)+$C$35+$D$24)+$C$8-1),1,"")</f>
        <v>#N/A</v>
      </c>
      <c r="CU40" s="14" t="e">
        <f ca="1">IF(AND(CU$5&gt;$C$35+$C$8+$D$24-1,CU$5&lt;=(_xlfn.XLOOKUP($B$7&amp;"-"&amp;"Next",'DATA BTO'!$A:$A,'DATA BTO'!$Q:$Q,"-",0)+$C$35+$D$24)+$C$8-1),1,"")</f>
        <v>#N/A</v>
      </c>
      <c r="CV40" s="14" t="e">
        <f ca="1">IF(AND(CV$5&gt;$C$35+$C$8+$D$24-1,CV$5&lt;=(_xlfn.XLOOKUP($B$7&amp;"-"&amp;"Next",'DATA BTO'!$A:$A,'DATA BTO'!$Q:$Q,"-",0)+$C$35+$D$24)+$C$8-1),1,"")</f>
        <v>#N/A</v>
      </c>
      <c r="CW40" s="14" t="e">
        <f ca="1">IF(AND(CW$5&gt;$C$35+$C$8+$D$24-1,CW$5&lt;=(_xlfn.XLOOKUP($B$7&amp;"-"&amp;"Next",'DATA BTO'!$A:$A,'DATA BTO'!$Q:$Q,"-",0)+$C$35+$D$24)+$C$8-1),1,"")</f>
        <v>#N/A</v>
      </c>
      <c r="CX40" s="15" t="e">
        <f ca="1">IF(AND(CX$5&gt;$C$35+$C$8+$D$24-1,CX$5&lt;=(_xlfn.XLOOKUP($B$7&amp;"-"&amp;"Next",'DATA BTO'!$A:$A,'DATA BTO'!$Q:$Q,"-",0)+$C$35+$D$24)+$C$8-1),1,"")</f>
        <v>#N/A</v>
      </c>
      <c r="CY40" s="16" t="e">
        <f ca="1">IF(AND(CY$5&gt;$C$35+$C$8+$D$24-1,CY$5&lt;=(_xlfn.XLOOKUP($B$7&amp;"-"&amp;"Next",'DATA BTO'!$A:$A,'DATA BTO'!$Q:$Q,"-",0)+$C$35+$D$24)+$C$8-1),1,"")</f>
        <v>#N/A</v>
      </c>
      <c r="CZ40" s="13" t="e">
        <f ca="1">IF(AND(CZ$5&gt;$C$35+$C$8+$D$24-1,CZ$5&lt;=(_xlfn.XLOOKUP($B$7&amp;"-"&amp;"Next",'DATA BTO'!$A:$A,'DATA BTO'!$Q:$Q,"-",0)+$C$35+$D$24)+$C$8-1),1,"")</f>
        <v>#N/A</v>
      </c>
      <c r="DA40" s="14" t="e">
        <f ca="1">IF(AND(DA$5&gt;$C$35+$C$8+$D$24-1,DA$5&lt;=(_xlfn.XLOOKUP($B$7&amp;"-"&amp;"Next",'DATA BTO'!$A:$A,'DATA BTO'!$Q:$Q,"-",0)+$C$35+$D$24)+$C$8-1),1,"")</f>
        <v>#N/A</v>
      </c>
      <c r="DB40" s="14" t="e">
        <f ca="1">IF(AND(DB$5&gt;$C$35+$C$8+$D$24-1,DB$5&lt;=(_xlfn.XLOOKUP($B$7&amp;"-"&amp;"Next",'DATA BTO'!$A:$A,'DATA BTO'!$Q:$Q,"-",0)+$C$35+$D$24)+$C$8-1),1,"")</f>
        <v>#N/A</v>
      </c>
      <c r="DC40" s="14" t="e">
        <f ca="1">IF(AND(DC$5&gt;$C$35+$C$8+$D$24-1,DC$5&lt;=(_xlfn.XLOOKUP($B$7&amp;"-"&amp;"Next",'DATA BTO'!$A:$A,'DATA BTO'!$Q:$Q,"-",0)+$C$35+$D$24)+$C$8-1),1,"")</f>
        <v>#N/A</v>
      </c>
      <c r="DD40" s="14" t="e">
        <f ca="1">IF(AND(DD$5&gt;$C$35+$C$8+$D$24-1,DD$5&lt;=(_xlfn.XLOOKUP($B$7&amp;"-"&amp;"Next",'DATA BTO'!$A:$A,'DATA BTO'!$Q:$Q,"-",0)+$C$35+$D$24)+$C$8-1),1,"")</f>
        <v>#N/A</v>
      </c>
      <c r="DE40" s="15" t="e">
        <f ca="1">IF(AND(DE$5&gt;$C$35+$C$8+$D$24-1,DE$5&lt;=(_xlfn.XLOOKUP($B$7&amp;"-"&amp;"Next",'DATA BTO'!$A:$A,'DATA BTO'!$Q:$Q,"-",0)+$C$35+$D$24)+$C$8-1),1,"")</f>
        <v>#N/A</v>
      </c>
      <c r="DF40" s="16" t="e">
        <f ca="1">IF(AND(DF$5&gt;$C$35+$C$8+$D$24-1,DF$5&lt;=(_xlfn.XLOOKUP($B$7&amp;"-"&amp;"Next",'DATA BTO'!$A:$A,'DATA BTO'!$Q:$Q,"-",0)+$C$35+$D$24)+$C$8-1),1,"")</f>
        <v>#N/A</v>
      </c>
      <c r="DG40" s="13" t="e">
        <f ca="1">IF(AND(DG$5&gt;$C$35+$C$8+$D$24-1,DG$5&lt;=(_xlfn.XLOOKUP($B$7&amp;"-"&amp;"Next",'DATA BTO'!$A:$A,'DATA BTO'!$Q:$Q,"-",0)+$C$35+$D$24)+$C$8-1),1,"")</f>
        <v>#N/A</v>
      </c>
      <c r="DH40" s="14" t="e">
        <f ca="1">IF(AND(DH$5&gt;$C$35+$C$8+$D$24-1,DH$5&lt;=(_xlfn.XLOOKUP($B$7&amp;"-"&amp;"Next",'DATA BTO'!$A:$A,'DATA BTO'!$Q:$Q,"-",0)+$C$35+$D$24)+$C$8-1),1,"")</f>
        <v>#N/A</v>
      </c>
      <c r="DI40" s="14" t="e">
        <f ca="1">IF(AND(DI$5&gt;$C$35+$C$8+$D$24-1,DI$5&lt;=(_xlfn.XLOOKUP($B$7&amp;"-"&amp;"Next",'DATA BTO'!$A:$A,'DATA BTO'!$Q:$Q,"-",0)+$C$35+$D$24)+$C$8-1),1,"")</f>
        <v>#N/A</v>
      </c>
      <c r="DJ40" s="14" t="e">
        <f ca="1">IF(AND(DJ$5&gt;$C$35+$C$8+$D$24-1,DJ$5&lt;=(_xlfn.XLOOKUP($B$7&amp;"-"&amp;"Next",'DATA BTO'!$A:$A,'DATA BTO'!$Q:$Q,"-",0)+$C$35+$D$24)+$C$8-1),1,"")</f>
        <v>#N/A</v>
      </c>
      <c r="DK40" s="14" t="e">
        <f ca="1">IF(AND(DK$5&gt;$C$35+$C$8+$D$24-1,DK$5&lt;=(_xlfn.XLOOKUP($B$7&amp;"-"&amp;"Next",'DATA BTO'!$A:$A,'DATA BTO'!$Q:$Q,"-",0)+$C$35+$D$24)+$C$8-1),1,"")</f>
        <v>#N/A</v>
      </c>
      <c r="DL40" s="15" t="e">
        <f ca="1">IF(AND(DL$5&gt;$C$35+$C$8+$D$24-1,DL$5&lt;=(_xlfn.XLOOKUP($B$7&amp;"-"&amp;"Next",'DATA BTO'!$A:$A,'DATA BTO'!$Q:$Q,"-",0)+$C$35+$D$24)+$C$8-1),1,"")</f>
        <v>#N/A</v>
      </c>
      <c r="DM40" s="16" t="e">
        <f ca="1">IF(AND(DM$5&gt;$C$35+$C$8+$D$24-1,DM$5&lt;=(_xlfn.XLOOKUP($B$7&amp;"-"&amp;"Next",'DATA BTO'!$A:$A,'DATA BTO'!$Q:$Q,"-",0)+$C$35+$D$24)+$C$8-1),1,"")</f>
        <v>#N/A</v>
      </c>
      <c r="DN40" s="13" t="e">
        <f ca="1">IF(AND(DN$5&gt;$C$35+$C$8+$D$24-1,DN$5&lt;=(_xlfn.XLOOKUP($B$7&amp;"-"&amp;"Next",'DATA BTO'!$A:$A,'DATA BTO'!$Q:$Q,"-",0)+$C$35+$D$24)+$C$8-1),1,"")</f>
        <v>#N/A</v>
      </c>
      <c r="DO40" s="14" t="e">
        <f ca="1">IF(AND(DO$5&gt;$C$35+$C$8+$D$24-1,DO$5&lt;=(_xlfn.XLOOKUP($B$7&amp;"-"&amp;"Next",'DATA BTO'!$A:$A,'DATA BTO'!$Q:$Q,"-",0)+$C$35+$D$24)+$C$8-1),1,"")</f>
        <v>#N/A</v>
      </c>
      <c r="DP40" s="14" t="e">
        <f ca="1">IF(AND(DP$5&gt;$C$35+$C$8+$D$24-1,DP$5&lt;=(_xlfn.XLOOKUP($B$7&amp;"-"&amp;"Next",'DATA BTO'!$A:$A,'DATA BTO'!$Q:$Q,"-",0)+$C$35+$D$24)+$C$8-1),1,"")</f>
        <v>#N/A</v>
      </c>
      <c r="DQ40" s="14" t="e">
        <f ca="1">IF(AND(DQ$5&gt;$C$35+$C$8+$D$24-1,DQ$5&lt;=(_xlfn.XLOOKUP($B$7&amp;"-"&amp;"Next",'DATA BTO'!$A:$A,'DATA BTO'!$Q:$Q,"-",0)+$C$35+$D$24)+$C$8-1),1,"")</f>
        <v>#N/A</v>
      </c>
      <c r="DR40" s="14" t="e">
        <f ca="1">IF(AND(DR$5&gt;$C$35+$C$8+$D$24-1,DR$5&lt;=(_xlfn.XLOOKUP($B$7&amp;"-"&amp;"Next",'DATA BTO'!$A:$A,'DATA BTO'!$Q:$Q,"-",0)+$C$35+$D$24)+$C$8-1),1,"")</f>
        <v>#N/A</v>
      </c>
      <c r="DS40" s="15" t="e">
        <f ca="1">IF(AND(DS$5&gt;$C$35+$C$8+$D$24-1,DS$5&lt;=(_xlfn.XLOOKUP($B$7&amp;"-"&amp;"Next",'DATA BTO'!$A:$A,'DATA BTO'!$Q:$Q,"-",0)+$C$35+$D$24)+$C$8-1),1,"")</f>
        <v>#N/A</v>
      </c>
      <c r="DT40" s="16" t="e">
        <f ca="1">IF(AND(DT$5&gt;$C$35+$C$8+$D$24-1,DT$5&lt;=(_xlfn.XLOOKUP($B$7&amp;"-"&amp;"Next",'DATA BTO'!$A:$A,'DATA BTO'!$Q:$Q,"-",0)+$C$35+$D$24)+$C$8-1),1,"")</f>
        <v>#N/A</v>
      </c>
      <c r="DU40" s="13" t="e">
        <f ca="1">IF(AND(DU$5&gt;$C$35+$C$8+$D$24-1,DU$5&lt;=(_xlfn.XLOOKUP($B$7&amp;"-"&amp;"Next",'DATA BTO'!$A:$A,'DATA BTO'!$Q:$Q,"-",0)+$C$35+$D$24)+$C$8-1),1,"")</f>
        <v>#N/A</v>
      </c>
      <c r="DV40" s="14" t="e">
        <f ca="1">IF(AND(DV$5&gt;$C$35+$C$8+$D$24-1,DV$5&lt;=(_xlfn.XLOOKUP($B$7&amp;"-"&amp;"Next",'DATA BTO'!$A:$A,'DATA BTO'!$Q:$Q,"-",0)+$C$35+$D$24)+$C$8-1),1,"")</f>
        <v>#N/A</v>
      </c>
      <c r="DW40" s="14" t="e">
        <f ca="1">IF(AND(DW$5&gt;$C$35+$C$8+$D$24-1,DW$5&lt;=(_xlfn.XLOOKUP($B$7&amp;"-"&amp;"Next",'DATA BTO'!$A:$A,'DATA BTO'!$Q:$Q,"-",0)+$C$35+$D$24)+$C$8-1),1,"")</f>
        <v>#N/A</v>
      </c>
      <c r="DX40" s="14" t="e">
        <f ca="1">IF(AND(DX$5&gt;$C$35+$C$8+$D$24-1,DX$5&lt;=(_xlfn.XLOOKUP($B$7&amp;"-"&amp;"Next",'DATA BTO'!$A:$A,'DATA BTO'!$Q:$Q,"-",0)+$C$35+$D$24)+$C$8-1),1,"")</f>
        <v>#N/A</v>
      </c>
      <c r="DY40" s="14" t="e">
        <f ca="1">IF(AND(DY$5&gt;$C$35+$C$8+$D$24-1,DY$5&lt;=(_xlfn.XLOOKUP($B$7&amp;"-"&amp;"Next",'DATA BTO'!$A:$A,'DATA BTO'!$Q:$Q,"-",0)+$C$35+$D$24)+$C$8-1),1,"")</f>
        <v>#N/A</v>
      </c>
      <c r="DZ40" s="15" t="e">
        <f ca="1">IF(AND(DZ$5&gt;$C$35+$C$8+$D$24-1,DZ$5&lt;=(_xlfn.XLOOKUP($B$7&amp;"-"&amp;"Next",'DATA BTO'!$A:$A,'DATA BTO'!$Q:$Q,"-",0)+$C$35+$D$24)+$C$8-1),1,"")</f>
        <v>#N/A</v>
      </c>
      <c r="EA40" s="16" t="e">
        <f ca="1">IF(AND(EA$5&gt;$C$35+$C$8+$D$24-1,EA$5&lt;=(_xlfn.XLOOKUP($B$7&amp;"-"&amp;"Next",'DATA BTO'!$A:$A,'DATA BTO'!$Q:$Q,"-",0)+$C$35+$D$24)+$C$8-1),1,"")</f>
        <v>#N/A</v>
      </c>
      <c r="EB40" s="13" t="e">
        <f ca="1">IF(AND(EB$5&gt;$C$35+$C$8+$D$24-1,EB$5&lt;=(_xlfn.XLOOKUP($B$7&amp;"-"&amp;"Next",'DATA BTO'!$A:$A,'DATA BTO'!$Q:$Q,"-",0)+$C$35+$D$24)+$C$8-1),1,"")</f>
        <v>#N/A</v>
      </c>
      <c r="EC40" s="14" t="e">
        <f ca="1">IF(AND(EC$5&gt;$C$35+$C$8+$D$24-1,EC$5&lt;=(_xlfn.XLOOKUP($B$7&amp;"-"&amp;"Next",'DATA BTO'!$A:$A,'DATA BTO'!$Q:$Q,"-",0)+$C$35+$D$24)+$C$8-1),1,"")</f>
        <v>#N/A</v>
      </c>
      <c r="ED40" s="14" t="e">
        <f ca="1">IF(AND(ED$5&gt;$C$35+$C$8+$D$24-1,ED$5&lt;=(_xlfn.XLOOKUP($B$7&amp;"-"&amp;"Next",'DATA BTO'!$A:$A,'DATA BTO'!$Q:$Q,"-",0)+$C$35+$D$24)+$C$8-1),1,"")</f>
        <v>#N/A</v>
      </c>
      <c r="EE40" s="14" t="e">
        <f ca="1">IF(AND(EE$5&gt;$C$35+$C$8+$D$24-1,EE$5&lt;=(_xlfn.XLOOKUP($B$7&amp;"-"&amp;"Next",'DATA BTO'!$A:$A,'DATA BTO'!$Q:$Q,"-",0)+$C$35+$D$24)+$C$8-1),1,"")</f>
        <v>#N/A</v>
      </c>
      <c r="EF40" s="14" t="e">
        <f ca="1">IF(AND(EF$5&gt;$C$35+$C$8+$D$24-1,EF$5&lt;=(_xlfn.XLOOKUP($B$7&amp;"-"&amp;"Next",'DATA BTO'!$A:$A,'DATA BTO'!$Q:$Q,"-",0)+$C$35+$D$24)+$C$8-1),1,"")</f>
        <v>#N/A</v>
      </c>
      <c r="EG40" s="15" t="e">
        <f ca="1">IF(AND(EG$5&gt;$C$35+$C$8+$D$24-1,EG$5&lt;=(_xlfn.XLOOKUP($B$7&amp;"-"&amp;"Next",'DATA BTO'!$A:$A,'DATA BTO'!$Q:$Q,"-",0)+$C$35+$D$24)+$C$8-1),1,"")</f>
        <v>#N/A</v>
      </c>
      <c r="EH40" s="16" t="e">
        <f ca="1">IF(AND(EH$5&gt;$C$35+$C$8+$D$24-1,EH$5&lt;=(_xlfn.XLOOKUP($B$7&amp;"-"&amp;"Next",'DATA BTO'!$A:$A,'DATA BTO'!$Q:$Q,"-",0)+$C$35+$D$24)+$C$8-1),1,"")</f>
        <v>#N/A</v>
      </c>
      <c r="EI40" s="13" t="e">
        <f ca="1">IF(AND(EI$5&gt;$C$35+$C$8+$D$24-1,EI$5&lt;=(_xlfn.XLOOKUP($B$7&amp;"-"&amp;"Next",'DATA BTO'!$A:$A,'DATA BTO'!$Q:$Q,"-",0)+$C$35+$D$24)+$C$8-1),1,"")</f>
        <v>#N/A</v>
      </c>
      <c r="EJ40" s="14" t="e">
        <f ca="1">IF(AND(EJ$5&gt;$C$35+$C$8+$D$24-1,EJ$5&lt;=(_xlfn.XLOOKUP($B$7&amp;"-"&amp;"Next",'DATA BTO'!$A:$A,'DATA BTO'!$Q:$Q,"-",0)+$C$35+$D$24)+$C$8-1),1,"")</f>
        <v>#N/A</v>
      </c>
      <c r="EK40" s="14" t="e">
        <f ca="1">IF(AND(EK$5&gt;$C$35+$C$8+$D$24-1,EK$5&lt;=(_xlfn.XLOOKUP($B$7&amp;"-"&amp;"Next",'DATA BTO'!$A:$A,'DATA BTO'!$Q:$Q,"-",0)+$C$35+$D$24)+$C$8-1),1,"")</f>
        <v>#N/A</v>
      </c>
      <c r="EL40" s="14" t="e">
        <f ca="1">IF(AND(EL$5&gt;$C$35+$C$8+$D$24-1,EL$5&lt;=(_xlfn.XLOOKUP($B$7&amp;"-"&amp;"Next",'DATA BTO'!$A:$A,'DATA BTO'!$Q:$Q,"-",0)+$C$35+$D$24)+$C$8-1),1,"")</f>
        <v>#N/A</v>
      </c>
      <c r="EM40" s="14" t="e">
        <f ca="1">IF(AND(EM$5&gt;$C$35+$C$8+$D$24-1,EM$5&lt;=(_xlfn.XLOOKUP($B$7&amp;"-"&amp;"Next",'DATA BTO'!$A:$A,'DATA BTO'!$Q:$Q,"-",0)+$C$35+$D$24)+$C$8-1),1,"")</f>
        <v>#N/A</v>
      </c>
      <c r="EN40" s="15" t="e">
        <f ca="1">IF(AND(EN$5&gt;$C$35+$C$8+$D$24-1,EN$5&lt;=(_xlfn.XLOOKUP($B$7&amp;"-"&amp;"Next",'DATA BTO'!$A:$A,'DATA BTO'!$Q:$Q,"-",0)+$C$35+$D$24)+$C$8-1),1,"")</f>
        <v>#N/A</v>
      </c>
      <c r="EO40" s="16" t="e">
        <f ca="1">IF(AND(EO$5&gt;$C$35+$C$8+$D$24-1,EO$5&lt;=(_xlfn.XLOOKUP($B$7&amp;"-"&amp;"Next",'DATA BTO'!$A:$A,'DATA BTO'!$Q:$Q,"-",0)+$C$35+$D$24)+$C$8-1),1,"")</f>
        <v>#N/A</v>
      </c>
      <c r="EP40" s="13" t="e">
        <f ca="1">IF(AND(EP$5&gt;$C$35+$C$8+$D$24-1,EP$5&lt;=(_xlfn.XLOOKUP($B$7&amp;"-"&amp;"Next",'DATA BTO'!$A:$A,'DATA BTO'!$Q:$Q,"-",0)+$C$35+$D$24)+$C$8-1),1,"")</f>
        <v>#N/A</v>
      </c>
      <c r="EQ40" s="14" t="e">
        <f ca="1">IF(AND(EQ$5&gt;$C$35+$C$8+$D$24-1,EQ$5&lt;=(_xlfn.XLOOKUP($B$7&amp;"-"&amp;"Next",'DATA BTO'!$A:$A,'DATA BTO'!$Q:$Q,"-",0)+$C$35+$D$24)+$C$8-1),1,"")</f>
        <v>#N/A</v>
      </c>
      <c r="ER40" s="14" t="e">
        <f ca="1">IF(AND(ER$5&gt;$C$35+$C$8+$D$24-1,ER$5&lt;=(_xlfn.XLOOKUP($B$7&amp;"-"&amp;"Next",'DATA BTO'!$A:$A,'DATA BTO'!$Q:$Q,"-",0)+$C$35+$D$24)+$C$8-1),1,"")</f>
        <v>#N/A</v>
      </c>
      <c r="ES40" s="14" t="e">
        <f ca="1">IF(AND(ES$5&gt;$C$35+$C$8+$D$24-1,ES$5&lt;=(_xlfn.XLOOKUP($B$7&amp;"-"&amp;"Next",'DATA BTO'!$A:$A,'DATA BTO'!$Q:$Q,"-",0)+$C$35+$D$24)+$C$8-1),1,"")</f>
        <v>#N/A</v>
      </c>
      <c r="ET40" s="14" t="e">
        <f ca="1">IF(AND(ET$5&gt;$C$35+$C$8+$D$24-1,ET$5&lt;=(_xlfn.XLOOKUP($B$7&amp;"-"&amp;"Next",'DATA BTO'!$A:$A,'DATA BTO'!$Q:$Q,"-",0)+$C$35+$D$24)+$C$8-1),1,"")</f>
        <v>#N/A</v>
      </c>
      <c r="EU40" s="15" t="e">
        <f ca="1">IF(AND(EU$5&gt;$C$35+$C$8+$D$24-1,EU$5&lt;=(_xlfn.XLOOKUP($B$7&amp;"-"&amp;"Next",'DATA BTO'!$A:$A,'DATA BTO'!$Q:$Q,"-",0)+$C$35+$D$24)+$C$8-1),1,"")</f>
        <v>#N/A</v>
      </c>
      <c r="EV40" s="16" t="e">
        <f ca="1">IF(AND(EV$5&gt;$C$35+$C$8+$D$24-1,EV$5&lt;=(_xlfn.XLOOKUP($B$7&amp;"-"&amp;"Next",'DATA BTO'!$A:$A,'DATA BTO'!$Q:$Q,"-",0)+$C$35+$D$24)+$C$8-1),1,"")</f>
        <v>#N/A</v>
      </c>
      <c r="EW40" s="13" t="e">
        <f ca="1">IF(AND(EW$5&gt;$C$35+$C$8+$D$24-1,EW$5&lt;=(_xlfn.XLOOKUP($B$7&amp;"-"&amp;"Next",'DATA BTO'!$A:$A,'DATA BTO'!$Q:$Q,"-",0)+$C$35+$D$24)+$C$8-1),1,"")</f>
        <v>#N/A</v>
      </c>
      <c r="EX40" s="14" t="e">
        <f ca="1">IF(AND(EX$5&gt;$C$35+$C$8+$D$24-1,EX$5&lt;=(_xlfn.XLOOKUP($B$7&amp;"-"&amp;"Next",'DATA BTO'!$A:$A,'DATA BTO'!$Q:$Q,"-",0)+$C$35+$D$24)+$C$8-1),1,"")</f>
        <v>#N/A</v>
      </c>
      <c r="EY40" s="14" t="e">
        <f ca="1">IF(AND(EY$5&gt;$C$35+$C$8+$D$24-1,EY$5&lt;=(_xlfn.XLOOKUP($B$7&amp;"-"&amp;"Next",'DATA BTO'!$A:$A,'DATA BTO'!$Q:$Q,"-",0)+$C$35+$D$24)+$C$8-1),1,"")</f>
        <v>#N/A</v>
      </c>
      <c r="EZ40" s="14" t="e">
        <f ca="1">IF(AND(EZ$5&gt;$C$35+$C$8+$D$24-1,EZ$5&lt;=(_xlfn.XLOOKUP($B$7&amp;"-"&amp;"Next",'DATA BTO'!$A:$A,'DATA BTO'!$Q:$Q,"-",0)+$C$35+$D$24)+$C$8-1),1,"")</f>
        <v>#N/A</v>
      </c>
      <c r="FA40" s="14" t="e">
        <f ca="1">IF(AND(FA$5&gt;$C$35+$C$8+$D$24-1,FA$5&lt;=(_xlfn.XLOOKUP($B$7&amp;"-"&amp;"Next",'DATA BTO'!$A:$A,'DATA BTO'!$Q:$Q,"-",0)+$C$35+$D$24)+$C$8-1),1,"")</f>
        <v>#N/A</v>
      </c>
      <c r="FB40" s="15" t="e">
        <f ca="1">IF(AND(FB$5&gt;$C$35+$C$8+$D$24-1,FB$5&lt;=(_xlfn.XLOOKUP($B$7&amp;"-"&amp;"Next",'DATA BTO'!$A:$A,'DATA BTO'!$Q:$Q,"-",0)+$C$35+$D$24)+$C$8-1),1,"")</f>
        <v>#N/A</v>
      </c>
      <c r="FC40" s="16" t="e">
        <f ca="1">IF(AND(FC$5&gt;$C$35+$C$8+$D$24-1,FC$5&lt;=(_xlfn.XLOOKUP($B$7&amp;"-"&amp;"Next",'DATA BTO'!$A:$A,'DATA BTO'!$Q:$Q,"-",0)+$C$35+$D$24)+$C$8-1),1,"")</f>
        <v>#N/A</v>
      </c>
    </row>
    <row r="41" spans="1:159">
      <c r="D41" s="448"/>
    </row>
  </sheetData>
  <sheetProtection algorithmName="SHA-512" hashValue="uPN1L2sck+zUCx5UvwssAbFviwfq2rvNBd8ZZlmz1+jVM/iasbrt7/dU0+GFy3PamC0RtXlZOfLH/cVhT7OZUQ==" saltValue="2vqNV6ZdvWnp35hlcwkf5A==" spinCount="100000" sheet="1" objects="1" scenarios="1"/>
  <mergeCells count="68">
    <mergeCell ref="EI1:EO1"/>
    <mergeCell ref="EP1:EV1"/>
    <mergeCell ref="EW1:FC1"/>
    <mergeCell ref="EI2:EO2"/>
    <mergeCell ref="EP2:EV2"/>
    <mergeCell ref="EW2:FC2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DU1:EA1"/>
    <mergeCell ref="EB1:EH1"/>
    <mergeCell ref="F2:L2"/>
    <mergeCell ref="M2:S2"/>
    <mergeCell ref="T2:Z2"/>
    <mergeCell ref="AA2:AG2"/>
    <mergeCell ref="AH2:AN2"/>
    <mergeCell ref="AO2:AU2"/>
    <mergeCell ref="BQ1:BW1"/>
    <mergeCell ref="BX1:CD1"/>
    <mergeCell ref="CE1:CK1"/>
    <mergeCell ref="CL1:CR1"/>
    <mergeCell ref="CS1:CY1"/>
    <mergeCell ref="CZ1:DF1"/>
    <mergeCell ref="C6:E6"/>
    <mergeCell ref="CL2:CR2"/>
    <mergeCell ref="CS2:CY2"/>
    <mergeCell ref="CZ2:DF2"/>
    <mergeCell ref="DG2:DM2"/>
    <mergeCell ref="AV2:BB2"/>
    <mergeCell ref="BC2:BI2"/>
    <mergeCell ref="BJ2:BP2"/>
    <mergeCell ref="BQ2:BW2"/>
    <mergeCell ref="BX2:CD2"/>
    <mergeCell ref="CE2:CK2"/>
    <mergeCell ref="EB2:EH2"/>
    <mergeCell ref="A3:A4"/>
    <mergeCell ref="B3:B4"/>
    <mergeCell ref="C3:E4"/>
    <mergeCell ref="C5:E5"/>
    <mergeCell ref="DN2:DT2"/>
    <mergeCell ref="DU2:EA2"/>
    <mergeCell ref="A8:A18"/>
    <mergeCell ref="A19:A20"/>
    <mergeCell ref="A27:B27"/>
    <mergeCell ref="C27:E27"/>
    <mergeCell ref="A29:B29"/>
    <mergeCell ref="C29:E29"/>
    <mergeCell ref="A37:B37"/>
    <mergeCell ref="C37:E37"/>
    <mergeCell ref="A40:B40"/>
    <mergeCell ref="C40:E40"/>
    <mergeCell ref="A31:B31"/>
    <mergeCell ref="C31:E31"/>
    <mergeCell ref="A33:B33"/>
    <mergeCell ref="C33:E33"/>
    <mergeCell ref="A35:B35"/>
    <mergeCell ref="C35:E35"/>
  </mergeCells>
  <phoneticPr fontId="77" type="noConversion"/>
  <conditionalFormatting sqref="F11:DT12 S8:DT10 F8:Q10">
    <cfRule type="cellIs" dxfId="494" priority="37" stopIfTrue="1" operator="equal">
      <formula>1</formula>
    </cfRule>
  </conditionalFormatting>
  <conditionalFormatting sqref="F16:DT17">
    <cfRule type="cellIs" dxfId="493" priority="39" stopIfTrue="1" operator="equal">
      <formula>1</formula>
    </cfRule>
  </conditionalFormatting>
  <conditionalFormatting sqref="F31:FC31">
    <cfRule type="cellIs" dxfId="492" priority="44" stopIfTrue="1" operator="equal">
      <formula>1</formula>
    </cfRule>
  </conditionalFormatting>
  <conditionalFormatting sqref="F27:FC27">
    <cfRule type="cellIs" dxfId="491" priority="43" stopIfTrue="1" operator="equal">
      <formula>1</formula>
    </cfRule>
  </conditionalFormatting>
  <conditionalFormatting sqref="F19:FC19 F21:FC22">
    <cfRule type="cellIs" dxfId="490" priority="40" stopIfTrue="1" operator="equal">
      <formula>1</formula>
    </cfRule>
  </conditionalFormatting>
  <conditionalFormatting sqref="F24:DT25">
    <cfRule type="cellIs" dxfId="489" priority="42" stopIfTrue="1" operator="equal">
      <formula>1</formula>
    </cfRule>
  </conditionalFormatting>
  <conditionalFormatting sqref="F33:FC33">
    <cfRule type="cellIs" dxfId="488" priority="45" stopIfTrue="1" operator="equal">
      <formula>1</formula>
    </cfRule>
  </conditionalFormatting>
  <conditionalFormatting sqref="F35:FC35">
    <cfRule type="cellIs" dxfId="487" priority="46" stopIfTrue="1" operator="equal">
      <formula>1</formula>
    </cfRule>
  </conditionalFormatting>
  <conditionalFormatting sqref="F23:FC23">
    <cfRule type="cellIs" dxfId="486" priority="41" stopIfTrue="1" operator="equal">
      <formula>1</formula>
    </cfRule>
  </conditionalFormatting>
  <conditionalFormatting sqref="F13:DT15">
    <cfRule type="cellIs" dxfId="485" priority="38" stopIfTrue="1" operator="equal">
      <formula>1</formula>
    </cfRule>
  </conditionalFormatting>
  <conditionalFormatting sqref="F11:DT17 S8:DT10 F8:Q10 DU8:FC17 F31:FC35 F21:FC28 F19:FC19">
    <cfRule type="containsErrors" dxfId="484" priority="36" stopIfTrue="1">
      <formula>ISERROR(F8)</formula>
    </cfRule>
  </conditionalFormatting>
  <conditionalFormatting sqref="R8:R10">
    <cfRule type="cellIs" dxfId="483" priority="35" stopIfTrue="1" operator="equal">
      <formula>1</formula>
    </cfRule>
  </conditionalFormatting>
  <conditionalFormatting sqref="R8:R10">
    <cfRule type="containsErrors" dxfId="482" priority="34" stopIfTrue="1">
      <formula>ISERROR(R8)</formula>
    </cfRule>
  </conditionalFormatting>
  <conditionalFormatting sqref="A24">
    <cfRule type="cellIs" dxfId="481" priority="33" operator="lessThan">
      <formula>TODAY()</formula>
    </cfRule>
  </conditionalFormatting>
  <conditionalFormatting sqref="F37:FC37">
    <cfRule type="cellIs" dxfId="480" priority="32" stopIfTrue="1" operator="equal">
      <formula>1</formula>
    </cfRule>
  </conditionalFormatting>
  <conditionalFormatting sqref="F37:FC37">
    <cfRule type="containsErrors" dxfId="479" priority="31" stopIfTrue="1">
      <formula>ISERROR(F37)</formula>
    </cfRule>
  </conditionalFormatting>
  <conditionalFormatting sqref="F29:FC29">
    <cfRule type="cellIs" dxfId="478" priority="30" stopIfTrue="1" operator="equal">
      <formula>1</formula>
    </cfRule>
  </conditionalFormatting>
  <conditionalFormatting sqref="F29:DT30">
    <cfRule type="containsErrors" dxfId="477" priority="29" stopIfTrue="1">
      <formula>ISERROR(F29)</formula>
    </cfRule>
  </conditionalFormatting>
  <conditionalFormatting sqref="F20:FC20">
    <cfRule type="cellIs" dxfId="476" priority="28" stopIfTrue="1" operator="equal">
      <formula>1</formula>
    </cfRule>
  </conditionalFormatting>
  <conditionalFormatting sqref="F20:FC20">
    <cfRule type="containsErrors" dxfId="475" priority="27" stopIfTrue="1">
      <formula>ISERROR(F20)</formula>
    </cfRule>
  </conditionalFormatting>
  <conditionalFormatting sqref="F18:FC18">
    <cfRule type="cellIs" dxfId="474" priority="26" stopIfTrue="1" operator="equal">
      <formula>1</formula>
    </cfRule>
  </conditionalFormatting>
  <conditionalFormatting sqref="F18:FC18">
    <cfRule type="containsErrors" dxfId="473" priority="25" stopIfTrue="1">
      <formula>ISERROR(F18)</formula>
    </cfRule>
  </conditionalFormatting>
  <conditionalFormatting sqref="G40:FC40">
    <cfRule type="cellIs" dxfId="472" priority="24" stopIfTrue="1" operator="equal">
      <formula>1</formula>
    </cfRule>
  </conditionalFormatting>
  <conditionalFormatting sqref="G40:FC40">
    <cfRule type="containsErrors" dxfId="471" priority="23" stopIfTrue="1">
      <formula>ISERROR(G40)</formula>
    </cfRule>
  </conditionalFormatting>
  <conditionalFormatting sqref="F40">
    <cfRule type="cellIs" dxfId="470" priority="22" stopIfTrue="1" operator="equal">
      <formula>1</formula>
    </cfRule>
  </conditionalFormatting>
  <conditionalFormatting sqref="F40">
    <cfRule type="containsErrors" dxfId="469" priority="21" stopIfTrue="1">
      <formula>ISERROR(F40)</formula>
    </cfRule>
  </conditionalFormatting>
  <conditionalFormatting sqref="DU8:EH12">
    <cfRule type="cellIs" dxfId="468" priority="17" stopIfTrue="1" operator="equal">
      <formula>1</formula>
    </cfRule>
  </conditionalFormatting>
  <conditionalFormatting sqref="DU16:EH17">
    <cfRule type="cellIs" dxfId="467" priority="19" stopIfTrue="1" operator="equal">
      <formula>1</formula>
    </cfRule>
  </conditionalFormatting>
  <conditionalFormatting sqref="DU24:EH25">
    <cfRule type="cellIs" dxfId="466" priority="20" stopIfTrue="1" operator="equal">
      <formula>1</formula>
    </cfRule>
  </conditionalFormatting>
  <conditionalFormatting sqref="DU13:EH15">
    <cfRule type="cellIs" dxfId="465" priority="18" stopIfTrue="1" operator="equal">
      <formula>1</formula>
    </cfRule>
  </conditionalFormatting>
  <conditionalFormatting sqref="DU29:EH30">
    <cfRule type="containsErrors" dxfId="464" priority="16" stopIfTrue="1">
      <formula>ISERROR(DU29)</formula>
    </cfRule>
  </conditionalFormatting>
  <conditionalFormatting sqref="EI8:FC12">
    <cfRule type="cellIs" dxfId="463" priority="2" stopIfTrue="1" operator="equal">
      <formula>1</formula>
    </cfRule>
  </conditionalFormatting>
  <conditionalFormatting sqref="EI16:FC17">
    <cfRule type="cellIs" dxfId="462" priority="4" stopIfTrue="1" operator="equal">
      <formula>1</formula>
    </cfRule>
  </conditionalFormatting>
  <conditionalFormatting sqref="EI24:FC25">
    <cfRule type="cellIs" dxfId="461" priority="5" stopIfTrue="1" operator="equal">
      <formula>1</formula>
    </cfRule>
  </conditionalFormatting>
  <conditionalFormatting sqref="EI13:FC15">
    <cfRule type="cellIs" dxfId="460" priority="3" stopIfTrue="1" operator="equal">
      <formula>1</formula>
    </cfRule>
  </conditionalFormatting>
  <conditionalFormatting sqref="EI29:FC30">
    <cfRule type="containsErrors" dxfId="459" priority="1" stopIfTrue="1">
      <formula>ISERROR(EI29)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852D-441B-4A3E-8DF9-79E4EB42F845}">
  <sheetPr codeName="Feuil4">
    <tabColor rgb="FF7030A0"/>
  </sheetPr>
  <dimension ref="A1:BE70"/>
  <sheetViews>
    <sheetView topLeftCell="I4" zoomScale="85" zoomScaleNormal="85" workbookViewId="0">
      <selection activeCell="X58" sqref="X34:X58"/>
    </sheetView>
  </sheetViews>
  <sheetFormatPr baseColWidth="10" defaultColWidth="10.42578125" defaultRowHeight="15" outlineLevelCol="1"/>
  <cols>
    <col min="1" max="1" width="10.42578125" hidden="1" customWidth="1" outlineLevel="1"/>
    <col min="2" max="2" width="81.42578125" hidden="1" customWidth="1" outlineLevel="1"/>
    <col min="3" max="3" width="42.42578125" hidden="1" customWidth="1" outlineLevel="1"/>
    <col min="4" max="4" width="31.42578125" hidden="1" customWidth="1" outlineLevel="1"/>
    <col min="5" max="5" width="25.5703125" hidden="1" customWidth="1" outlineLevel="1"/>
    <col min="6" max="6" width="17" hidden="1" customWidth="1" outlineLevel="1"/>
    <col min="7" max="7" width="25.5703125" hidden="1" customWidth="1" outlineLevel="1"/>
    <col min="8" max="8" width="37.42578125" hidden="1" customWidth="1" outlineLevel="1"/>
    <col min="9" max="9" width="19.7109375" customWidth="1" collapsed="1"/>
    <col min="10" max="10" width="10.42578125" style="48" customWidth="1"/>
    <col min="11" max="11" width="10.42578125" customWidth="1"/>
    <col min="12" max="12" width="19" bestFit="1" customWidth="1"/>
    <col min="13" max="13" width="22.42578125" style="358" hidden="1" customWidth="1" outlineLevel="1"/>
    <col min="14" max="14" width="17.5703125" hidden="1" customWidth="1" outlineLevel="1"/>
    <col min="15" max="15" width="20.42578125" style="48" bestFit="1" customWidth="1" collapsed="1"/>
    <col min="16" max="16" width="15.5703125" style="358" hidden="1" customWidth="1" outlineLevel="1"/>
    <col min="17" max="17" width="17.42578125" hidden="1" customWidth="1" outlineLevel="1"/>
    <col min="18" max="18" width="19.5703125" hidden="1" customWidth="1" outlineLevel="1"/>
    <col min="19" max="19" width="18.5703125" hidden="1" customWidth="1" outlineLevel="1"/>
    <col min="20" max="20" width="18" hidden="1" customWidth="1" outlineLevel="1"/>
    <col min="21" max="21" width="16.42578125" hidden="1" customWidth="1" outlineLevel="1"/>
    <col min="22" max="23" width="19.42578125" hidden="1" customWidth="1" outlineLevel="1"/>
    <col min="24" max="24" width="50.28515625" bestFit="1" customWidth="1" collapsed="1"/>
    <col min="25" max="25" width="19.5703125" style="358" hidden="1" customWidth="1" outlineLevel="1"/>
    <col min="26" max="26" width="10.42578125" customWidth="1" collapsed="1"/>
    <col min="27" max="27" width="9" hidden="1" customWidth="1" outlineLevel="1"/>
    <col min="28" max="28" width="11.42578125" hidden="1" customWidth="1" outlineLevel="1"/>
    <col min="29" max="29" width="15.42578125" hidden="1" customWidth="1" outlineLevel="1"/>
    <col min="30" max="30" width="12.42578125" hidden="1" customWidth="1" outlineLevel="1"/>
    <col min="31" max="32" width="16.42578125" hidden="1" customWidth="1" outlineLevel="1"/>
    <col min="33" max="33" width="9.42578125" hidden="1" customWidth="1" outlineLevel="1"/>
    <col min="34" max="34" width="13" hidden="1" customWidth="1" outlineLevel="1"/>
    <col min="35" max="35" width="13.42578125" hidden="1" customWidth="1" outlineLevel="1"/>
    <col min="36" max="36" width="12" hidden="1" customWidth="1" outlineLevel="1"/>
    <col min="37" max="37" width="10" hidden="1" customWidth="1" outlineLevel="1"/>
    <col min="38" max="38" width="10.42578125" customWidth="1" collapsed="1"/>
    <col min="39" max="39" width="13.42578125" style="377" hidden="1" customWidth="1" outlineLevel="1"/>
    <col min="40" max="40" width="18.42578125" style="1" hidden="1" customWidth="1" outlineLevel="1"/>
    <col min="41" max="41" width="15.42578125" style="1" hidden="1" customWidth="1" outlineLevel="1"/>
    <col min="42" max="42" width="18" hidden="1" customWidth="1" outlineLevel="1"/>
    <col min="43" max="43" width="21.42578125" hidden="1" customWidth="1" outlineLevel="1"/>
    <col min="44" max="44" width="11.5703125" hidden="1" customWidth="1" outlineLevel="1" collapsed="1"/>
    <col min="45" max="45" width="17.42578125" hidden="1" customWidth="1" outlineLevel="1"/>
    <col min="46" max="46" width="11.42578125" hidden="1" customWidth="1" outlineLevel="1"/>
    <col min="47" max="47" width="10.42578125" customWidth="1" collapsed="1"/>
    <col min="48" max="49" width="10.42578125" customWidth="1"/>
    <col min="50" max="50" width="24.85546875" bestFit="1" customWidth="1"/>
    <col min="51" max="51" width="10.42578125" style="348" customWidth="1"/>
    <col min="52" max="57" width="10.42578125" customWidth="1"/>
  </cols>
  <sheetData>
    <row r="1" spans="2:57" s="111" customFormat="1" ht="29.1" hidden="1" customHeight="1" thickBot="1">
      <c r="B1" s="620" t="s">
        <v>76</v>
      </c>
      <c r="C1" s="620"/>
      <c r="D1" s="620"/>
      <c r="E1" s="620"/>
      <c r="F1" s="620"/>
      <c r="G1" s="620"/>
      <c r="H1" s="621"/>
      <c r="I1" s="622" t="s">
        <v>77</v>
      </c>
      <c r="J1" s="623"/>
      <c r="K1" s="632" t="s">
        <v>78</v>
      </c>
      <c r="L1" s="633"/>
      <c r="M1" s="633"/>
      <c r="N1" s="634"/>
      <c r="O1" s="644" t="s">
        <v>79</v>
      </c>
      <c r="P1" s="645"/>
      <c r="Q1" s="645"/>
      <c r="R1" s="645"/>
      <c r="S1" s="645"/>
      <c r="T1" s="645"/>
      <c r="U1" s="645"/>
      <c r="V1" s="645"/>
      <c r="W1" s="645"/>
      <c r="X1" s="645"/>
      <c r="Y1" s="646"/>
      <c r="Z1" s="639" t="s">
        <v>80</v>
      </c>
      <c r="AA1" s="640"/>
      <c r="AB1" s="640"/>
      <c r="AC1" s="640"/>
      <c r="AD1" s="640"/>
      <c r="AE1" s="640"/>
      <c r="AF1" s="640"/>
      <c r="AG1" s="640"/>
      <c r="AH1" s="640"/>
      <c r="AI1" s="640"/>
      <c r="AJ1" s="63"/>
      <c r="AK1" s="642" t="s">
        <v>81</v>
      </c>
      <c r="AL1" s="643"/>
      <c r="AM1" s="643"/>
      <c r="AN1" s="643"/>
      <c r="AO1" s="643"/>
      <c r="AP1" s="643"/>
      <c r="AQ1" s="643"/>
      <c r="AR1" s="617" t="s">
        <v>82</v>
      </c>
      <c r="AS1" s="618"/>
      <c r="AT1" s="618"/>
      <c r="AU1" s="618"/>
      <c r="AV1" s="618"/>
      <c r="AW1" s="619"/>
      <c r="AX1" s="627"/>
      <c r="AY1" s="347"/>
    </row>
    <row r="2" spans="2:57" ht="16.5" hidden="1" thickBot="1">
      <c r="B2" s="112"/>
      <c r="C2" s="65"/>
      <c r="D2" s="9"/>
      <c r="E2" s="9"/>
      <c r="F2" s="9"/>
      <c r="G2" s="9"/>
      <c r="H2" s="76"/>
      <c r="I2" s="624"/>
      <c r="J2" s="625"/>
      <c r="K2" s="635" t="s">
        <v>83</v>
      </c>
      <c r="L2" s="636"/>
      <c r="M2" s="636"/>
      <c r="N2" s="637"/>
      <c r="O2" s="629" t="s">
        <v>79</v>
      </c>
      <c r="P2" s="630"/>
      <c r="Q2" s="630"/>
      <c r="R2" s="631"/>
      <c r="S2" s="629" t="s">
        <v>79</v>
      </c>
      <c r="T2" s="630"/>
      <c r="U2" s="630"/>
      <c r="V2" s="631"/>
      <c r="W2" s="629" t="s">
        <v>84</v>
      </c>
      <c r="X2" s="630"/>
      <c r="Y2" s="631"/>
      <c r="Z2" s="629" t="s">
        <v>85</v>
      </c>
      <c r="AA2" s="630"/>
      <c r="AB2" s="630"/>
      <c r="AC2" s="630"/>
      <c r="AD2" s="630"/>
      <c r="AE2" s="630"/>
      <c r="AF2" s="630"/>
      <c r="AG2" s="630"/>
      <c r="AH2" s="630"/>
      <c r="AI2" s="630"/>
      <c r="AJ2" s="631"/>
      <c r="AK2" s="629" t="s">
        <v>86</v>
      </c>
      <c r="AL2" s="630"/>
      <c r="AM2" s="630"/>
      <c r="AN2" s="638"/>
      <c r="AO2" s="638"/>
      <c r="AP2" s="631"/>
      <c r="AQ2" s="636"/>
      <c r="AR2" s="637"/>
      <c r="AS2" s="641" t="s">
        <v>87</v>
      </c>
      <c r="AT2" s="636"/>
      <c r="AU2" s="636"/>
      <c r="AV2" s="637"/>
      <c r="AW2" s="93"/>
      <c r="AX2" s="628"/>
    </row>
    <row r="3" spans="2:57" ht="15.75" hidden="1" thickBot="1">
      <c r="B3" s="339" t="s">
        <v>88</v>
      </c>
      <c r="C3" s="626" t="s">
        <v>89</v>
      </c>
      <c r="D3" s="626"/>
      <c r="E3" s="340" t="s">
        <v>90</v>
      </c>
      <c r="F3" s="341" t="s">
        <v>91</v>
      </c>
      <c r="G3" s="342" t="s">
        <v>92</v>
      </c>
      <c r="H3" s="343" t="s">
        <v>93</v>
      </c>
      <c r="I3" s="113">
        <v>1</v>
      </c>
      <c r="J3" s="113">
        <v>2</v>
      </c>
      <c r="K3" s="113">
        <v>3</v>
      </c>
      <c r="L3" s="113">
        <v>4</v>
      </c>
      <c r="M3" s="113">
        <v>5</v>
      </c>
      <c r="N3" s="113">
        <v>6</v>
      </c>
      <c r="O3" s="113">
        <v>7</v>
      </c>
      <c r="P3" s="113">
        <v>8</v>
      </c>
      <c r="Q3" s="113">
        <v>9</v>
      </c>
      <c r="R3" s="113">
        <v>10</v>
      </c>
      <c r="S3" s="113">
        <v>11</v>
      </c>
      <c r="T3" s="113">
        <v>12</v>
      </c>
      <c r="U3" s="113">
        <v>13</v>
      </c>
      <c r="V3" s="113">
        <v>14</v>
      </c>
      <c r="W3" s="113">
        <v>15</v>
      </c>
      <c r="X3" s="113">
        <v>16</v>
      </c>
      <c r="Y3" s="113">
        <v>17</v>
      </c>
      <c r="Z3" s="113">
        <v>18</v>
      </c>
      <c r="AA3" s="113">
        <v>19</v>
      </c>
      <c r="AB3" s="113">
        <v>20</v>
      </c>
      <c r="AC3" s="113">
        <v>21</v>
      </c>
      <c r="AD3" s="113">
        <v>22</v>
      </c>
      <c r="AE3" s="113"/>
      <c r="AF3" s="113">
        <v>23</v>
      </c>
      <c r="AG3" s="113">
        <v>24</v>
      </c>
      <c r="AH3" s="113">
        <v>25</v>
      </c>
      <c r="AI3" s="113">
        <v>26</v>
      </c>
      <c r="AJ3" s="133">
        <v>27</v>
      </c>
      <c r="AK3" s="113">
        <v>28</v>
      </c>
      <c r="AL3" s="113">
        <v>29</v>
      </c>
      <c r="AM3" s="113">
        <v>30</v>
      </c>
      <c r="AN3" s="113">
        <v>31</v>
      </c>
      <c r="AO3" s="113">
        <v>32</v>
      </c>
      <c r="AP3" s="113">
        <v>33</v>
      </c>
      <c r="AQ3" s="113">
        <v>34</v>
      </c>
      <c r="AR3" s="113">
        <v>35</v>
      </c>
      <c r="AS3" s="113">
        <v>36</v>
      </c>
      <c r="AT3" s="113">
        <v>37</v>
      </c>
      <c r="AU3" s="113">
        <v>38</v>
      </c>
      <c r="AV3" s="113">
        <v>39</v>
      </c>
      <c r="AW3" s="113">
        <v>40</v>
      </c>
      <c r="AX3" s="113">
        <v>41</v>
      </c>
    </row>
    <row r="4" spans="2:57" ht="48.6" customHeight="1" thickBot="1">
      <c r="B4" s="344" t="s">
        <v>94</v>
      </c>
      <c r="C4" s="345" t="s">
        <v>95</v>
      </c>
      <c r="D4" s="345" t="s">
        <v>96</v>
      </c>
      <c r="E4" s="345" t="s">
        <v>97</v>
      </c>
      <c r="F4" s="345" t="s">
        <v>98</v>
      </c>
      <c r="G4" s="345" t="s">
        <v>99</v>
      </c>
      <c r="H4" s="346" t="s">
        <v>100</v>
      </c>
      <c r="I4" s="114" t="s">
        <v>101</v>
      </c>
      <c r="J4" s="115" t="s">
        <v>102</v>
      </c>
      <c r="K4" s="90" t="s">
        <v>103</v>
      </c>
      <c r="L4" s="407" t="s">
        <v>104</v>
      </c>
      <c r="M4" s="364" t="s">
        <v>105</v>
      </c>
      <c r="N4" s="87" t="s">
        <v>40</v>
      </c>
      <c r="O4" s="408" t="s">
        <v>106</v>
      </c>
      <c r="P4" s="364" t="s">
        <v>107</v>
      </c>
      <c r="Q4" s="86" t="s">
        <v>108</v>
      </c>
      <c r="R4" s="87" t="s">
        <v>109</v>
      </c>
      <c r="S4" s="88" t="s">
        <v>110</v>
      </c>
      <c r="T4" s="86" t="s">
        <v>41</v>
      </c>
      <c r="U4" s="86" t="s">
        <v>111</v>
      </c>
      <c r="V4" s="87" t="s">
        <v>42</v>
      </c>
      <c r="W4" s="88" t="s">
        <v>43</v>
      </c>
      <c r="X4" s="407" t="s">
        <v>112</v>
      </c>
      <c r="Y4" s="367" t="s">
        <v>113</v>
      </c>
      <c r="Z4" s="409" t="s">
        <v>75</v>
      </c>
      <c r="AA4" s="87" t="s">
        <v>114</v>
      </c>
      <c r="AB4" s="122" t="s">
        <v>115</v>
      </c>
      <c r="AC4" s="87" t="s">
        <v>116</v>
      </c>
      <c r="AD4" s="87" t="s">
        <v>117</v>
      </c>
      <c r="AE4" s="87" t="s">
        <v>118</v>
      </c>
      <c r="AF4" s="87" t="s">
        <v>119</v>
      </c>
      <c r="AG4" s="87" t="s">
        <v>120</v>
      </c>
      <c r="AH4" s="87" t="s">
        <v>121</v>
      </c>
      <c r="AI4" s="87" t="s">
        <v>122</v>
      </c>
      <c r="AJ4" s="134" t="s">
        <v>123</v>
      </c>
      <c r="AK4" s="135" t="s">
        <v>124</v>
      </c>
      <c r="AL4" s="410" t="s">
        <v>125</v>
      </c>
      <c r="AM4" s="374" t="s">
        <v>126</v>
      </c>
      <c r="AN4" s="87" t="s">
        <v>127</v>
      </c>
      <c r="AO4" s="87" t="s">
        <v>128</v>
      </c>
      <c r="AP4" s="87" t="s">
        <v>129</v>
      </c>
      <c r="AQ4" s="87" t="s">
        <v>130</v>
      </c>
      <c r="AR4" s="87" t="s">
        <v>131</v>
      </c>
      <c r="AS4" s="87" t="s">
        <v>55</v>
      </c>
      <c r="AT4" s="87" t="s">
        <v>132</v>
      </c>
      <c r="AU4" s="87" t="s">
        <v>58</v>
      </c>
      <c r="AV4" s="87" t="s">
        <v>133</v>
      </c>
      <c r="AW4" s="87" t="s">
        <v>60</v>
      </c>
      <c r="AX4" s="87" t="s">
        <v>134</v>
      </c>
      <c r="AY4" s="332" t="s">
        <v>135</v>
      </c>
      <c r="AZ4" s="333" t="s">
        <v>136</v>
      </c>
      <c r="BA4" s="334" t="s">
        <v>137</v>
      </c>
      <c r="BB4" s="335" t="s">
        <v>138</v>
      </c>
      <c r="BC4" s="336" t="s">
        <v>139</v>
      </c>
      <c r="BD4" s="337" t="s">
        <v>140</v>
      </c>
      <c r="BE4" s="145" t="s">
        <v>141</v>
      </c>
    </row>
    <row r="5" spans="2:57" hidden="1">
      <c r="B5" s="67" t="str">
        <f>_xlfn.CONCAT(Tableau1[[#This Row],[Name ILN]],"-",Tableau1[[#This Row],[Name Shipper]],"-",Tableau1[[#This Row],[Name Site]])</f>
        <v>ILN FR-ILN FR-CORMECANICA</v>
      </c>
      <c r="C5" s="67" t="str">
        <f ca="1">_xlfn.CONCAT(Tableau1[[#This Row],[Compte ILN]],"-",Tableau1[[#This Row],[Compte Shipper]],"-",Tableau1[[#This Row],[POL]],"-",Tableau1[[#This Row],[Compte Consignee]])</f>
        <v>92000100-92000100-FRLEH-90009500</v>
      </c>
      <c r="D5" s="66" t="str">
        <f ca="1">_xlfn.CONCAT(Tableau1[[#This Row],[Compte ILN]],"-",Tableau1[[#This Row],[Compte Shipper]],"-",Tableau1[[#This Row],[POL]])</f>
        <v>92000100-92000100-FRLEH</v>
      </c>
      <c r="E5" s="434" t="str">
        <f ca="1">_xlfn.CONCAT(Tableau1[[#This Row],[POL]],"-",Tableau1[[#This Row],[Carrier]],"-",Tableau1[[#This Row],[POD]])</f>
        <v>FRLEH-Hapag Lloyd-CLSAI</v>
      </c>
      <c r="F5" s="66" t="str">
        <f>_xlfn.CONCAT(Tableau1[[#This Row],[ID]],"-","Actif")</f>
        <v>60-Actif</v>
      </c>
      <c r="G5" s="66" t="str">
        <f ca="1">_xlfn.CONCAT(Tableau1[[#This Row],[POD]],"-",Tableau1[[#This Row],[Code PFI]],"-",Tableau1[[#This Row],[Compte Consignee]])</f>
        <v>CLSAI---90009500</v>
      </c>
      <c r="H5" s="434" t="str">
        <f ca="1">_xlfn.CONCAT(IF(Tableau1[[#This Row],[Name ILN]]=Tableau1[[#This Row],[Name Shipper]],Tableau1[[#This Row],[Name ILN]],Tableau1[[#This Row],[Compte Shipper]]),Tableau1[[#This Row],[POL]],Tableau1[[#This Row],[Name Site]])</f>
        <v>ILN FRFRLEHCORMECANICA</v>
      </c>
      <c r="I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FR-ILN FR-60-FRLEH-Hapag Lloyd-CLSAI-</v>
      </c>
      <c r="J5" s="435" t="str">
        <f ca="1">IF(COUNTIF(I:I,Tableau1[[#This Row],[Plant-ILN-shipper-POL-Carrier-POD-PFI]])=1,"Non","Oui")</f>
        <v>Non</v>
      </c>
      <c r="K5" s="436" t="str">
        <f>VLOOKUP(Tableau1[[#This Row],[Name Site]],Plant_AILN!A:D,4,FALSE)</f>
        <v>CHILE</v>
      </c>
      <c r="L5" s="285" t="s">
        <v>142</v>
      </c>
      <c r="M5" s="439">
        <f>VLOOKUP(Tableau1[[#This Row],[Name Site]],Plant_AILN!A:C,3,FALSE)</f>
        <v>90009500</v>
      </c>
      <c r="N5" s="55">
        <f>IF(Tableau1[[#This Row],[Name PFI/CDD]]="PFI VLL",2,VLOOKUP(Tableau1[[#This Row],[Compte Consignee]],Order!C:D,2,FALSE))</f>
        <v>7</v>
      </c>
      <c r="O5" s="116" t="s">
        <v>143</v>
      </c>
      <c r="P5" s="365">
        <f>VLOOKUP(Tableau1[[#This Row],[Name ILN]],Plant_AILN!F:G,2,FALSE)</f>
        <v>92000100</v>
      </c>
      <c r="Q5" s="50">
        <f>VLOOKUP(Tableau1[[#This Row],[Compte ILN]],'DATA ILN'!D:I,6,FALSE)</f>
        <v>9</v>
      </c>
      <c r="R5" s="50">
        <f ca="1">IFERROR(VLOOKUP(Tableau1[[#This Row],[Key(Compte ILN - shipper - POL - plant)]],'DATA ILN'!A:J,10,FALSE),VLOOKUP(Tableau1[[#This Row],[Key(Compte ILN - shipper - POL)]],'DATA ILN'!B:J,9,FALSE))</f>
        <v>7</v>
      </c>
      <c r="S5" s="50">
        <f ca="1">IFERROR(VLOOKUP(Tableau1[[#This Row],[Key(Compte ILN - shipper - POL - plant)]],'DATA ILN'!A:K,11,FALSE),VLOOKUP(Tableau1[[#This Row],[Key(Compte ILN - shipper - POL)]],'DATA ILN'!B:K,10,FALSE))</f>
        <v>5</v>
      </c>
      <c r="T5" s="50">
        <f ca="1">IFERROR(VLOOKUP(Tableau1[[#This Row],[Key(Compte ILN - shipper - POL - plant)]],'DATA ILN'!A:L,12,FALSE),VLOOKUP(Tableau1[[#This Row],[Key(Compte ILN - shipper - POL)]],'DATA ILN'!B:L,11,FALSE))</f>
        <v>7</v>
      </c>
      <c r="U5" s="50">
        <f ca="1">Tableau1[[#This Row],[Day ILN Order]]+Tableau1[[#This Row],[Delivery time to ILN/Shipper]]-1</f>
        <v>15</v>
      </c>
      <c r="V5" s="50">
        <f ca="1">IFERROR(VLOOKUP(Tableau1[[#This Row],[Key(Compte ILN - shipper - POL - plant)]],'DATA ILN'!A:N,14,FALSE),VLOOKUP(Tableau1[[#This Row],[Key(Compte ILN - shipper - POL)]],'DATA ILN'!B:N,13,FALSE))</f>
        <v>1</v>
      </c>
      <c r="W5" s="53">
        <f ca="1">IFERROR(VLOOKUP(Tableau1[[#This Row],[Key(Compte ILN - shipper - POL - plant)]],'DATA ILN'!A:P,16,FALSE),VLOOKUP(Tableau1[[#This Row],[Key(Compte ILN - shipper - POL)]],'DATA ILN'!B:P,15,FALSE))</f>
        <v>5</v>
      </c>
      <c r="X5" s="116" t="s">
        <v>143</v>
      </c>
      <c r="Y5" s="437">
        <f>IFERROR(VLOOKUP(Tableau1[[#This Row],[Name Shipper]],Plant_AILN!L:M,2,FALSE),0)</f>
        <v>92000100</v>
      </c>
      <c r="Z5" s="406">
        <v>60</v>
      </c>
      <c r="AA5" s="396" t="str">
        <f ca="1">VLOOKUP(Tableau1[[#This Row],[Key(ID-Actif)]],'DATA BTO'!A:N,5,FALSE)</f>
        <v>FRLEH</v>
      </c>
      <c r="AB5" s="3" t="str">
        <f ca="1">VLOOKUP(Tableau1[[#This Row],[Key(ID-Actif)]],'DATA BTO'!A:N,6,FALSE)</f>
        <v>Hapag Lloyd</v>
      </c>
      <c r="AC5" s="50">
        <f ca="1">VLOOKUP(Tableau1[[#This Row],[Key(ID-Actif)]],'DATA BTO'!A:N,7,FALSE)</f>
        <v>4</v>
      </c>
      <c r="AD5" s="50">
        <f ca="1">VLOOKUP(Tableau1[[#This Row],[Key(ID-Actif)]],'DATA BTO'!A:N,8,FALSE)</f>
        <v>6</v>
      </c>
      <c r="AE5" s="432">
        <f ca="1">IF(Tableau1[[#This Row],[First Day to POL]]&lt;=Tableau1[[#This Row],[Day Cut Off]],Tableau1[[#This Row],[Day ETD]],Tableau1[[#This Row],[Day ETD]]+7)</f>
        <v>13</v>
      </c>
      <c r="AF5" s="50">
        <f ca="1">VLOOKUP(Tableau1[[#This Row],[Key(ID-Actif)]],'DATA BTO'!A:N,9,FALSE)</f>
        <v>46</v>
      </c>
      <c r="AG5" s="3" t="str">
        <f ca="1">VLOOKUP(Tableau1[[#This Row],[Key(ID-Actif)]],'DATA BTO'!A:N,10,FALSE)</f>
        <v>CLSAI</v>
      </c>
      <c r="AH5" s="3">
        <f ca="1">VLOOKUP(Tableau1[[#This Row],[Key(ID-Actif)]],'DATA BTO'!A:N,11,FALSE)</f>
        <v>3</v>
      </c>
      <c r="AI5" s="50">
        <f ca="1">VLOOKUP(Tableau1[[#This Row],[Key(ID-Actif)]],'DATA BTO'!A:N,12,FALSE)</f>
        <v>0</v>
      </c>
      <c r="AJ5" s="53" t="str">
        <f ca="1">VLOOKUP(Tableau1[[#This Row],[Key(ID-Actif)]],'DATA BTO'!A:N,14,FALSE)</f>
        <v>Wael</v>
      </c>
      <c r="AK5" s="54">
        <f ca="1">VLOOKUP(Tableau1[[#This Row],[Key(POD -PFI- Usine)]],'DATA Consignee'!A:F,6,FALSE)</f>
        <v>2</v>
      </c>
      <c r="AL5" s="127"/>
      <c r="AM5" s="438" t="str">
        <f>IF(Tableau1[[#This Row],[Name PFI/CDD]]="","-",VLOOKUP(Tableau1[[#This Row],[Name PFI/CDD]],Plant_AILN!I:J,2,FALSE))</f>
        <v>-</v>
      </c>
      <c r="AN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" s="2">
        <f ca="1">VLOOKUP(Tableau1[[#This Row],[Key(POD -PFI- Usine)]],'DATA Consignee'!A:J,10,FALSE)</f>
        <v>0</v>
      </c>
      <c r="AQ5" s="50">
        <f ca="1">VLOOKUP(Tableau1[[#This Row],[Key(POD -PFI- Usine)]],'DATA Consignee'!A:N,14,FALSE)</f>
        <v>2</v>
      </c>
      <c r="AR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5" s="50">
        <f ca="1">Tableau1[[#This Row],[Transit time]]+Tableau1[[#This Row],[Time for security]]+Tableau1[[#This Row],[Time for security2 buffer]]</f>
        <v>49</v>
      </c>
      <c r="AU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" s="433">
        <f ca="1">Tableau1[[#This Row],[Leadtime SI2C]]+Tableau1[[#This Row],[First Receipt Days]]-Tableau1[[#This Row],[Day Customer Order]]+1</f>
        <v>85</v>
      </c>
      <c r="AW5" s="119">
        <f ca="1">IF(Tableau1[[#This Row],[Name ILN]]&lt;&gt;"SFK Freight Forwarder",Tableau1[[#This Row],[Cust. Leadtime]],Tableau1[[#This Row],[Leadtime SI2C]])</f>
        <v>85</v>
      </c>
      <c r="AX5" s="51" t="s">
        <v>144</v>
      </c>
      <c r="AY5" s="338">
        <f ca="1">IFERROR(VLOOKUP(Tableau1[[#This Row],[Key(ID-Actif)]],'DATA BTO'!A:N,4,FALSE),VLOOKUP(Tableau1[[#This Row],[ID]],'DATA BTO'!B:N,3,FALSE))</f>
        <v>46507</v>
      </c>
      <c r="AZ5" s="50" t="str">
        <f>IF(ISNUMBER(Tableau1[[#This Row],[Day Customer Order]]),"-","Please Check 'Name' information in 'Order' Sheet to make sure they have information")</f>
        <v>-</v>
      </c>
      <c r="BA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" s="50"/>
    </row>
    <row r="6" spans="2:57" hidden="1">
      <c r="B6" s="474" t="str">
        <f>_xlfn.CONCAT(Tableau1[[#This Row],[Name ILN]],"-",Tableau1[[#This Row],[Name Shipper]],"-",Tableau1[[#This Row],[Name Site]])</f>
        <v>SFK Freight Forwarder-GETRAG    MODUG-RKM</v>
      </c>
      <c r="C6" s="67" t="str">
        <f ca="1">_xlfn.CONCAT(Tableau1[[#This Row],[Compte ILN]],"-",Tableau1[[#This Row],[Compte Shipper]],"-",Tableau1[[#This Row],[POL]],"-",Tableau1[[#This Row],[Compte Consignee]])</f>
        <v>0-25566103-ITNAP-92002200</v>
      </c>
      <c r="D6" s="66" t="str">
        <f ca="1">_xlfn.CONCAT(Tableau1[[#This Row],[Compte ILN]],"-",Tableau1[[#This Row],[Compte Shipper]],"-",Tableau1[[#This Row],[POL]])</f>
        <v>0-25566103-ITNAP</v>
      </c>
      <c r="E6" s="434" t="str">
        <f ca="1">_xlfn.CONCAT(Tableau1[[#This Row],[POL]],"-",Tableau1[[#This Row],[Carrier]],"-",Tableau1[[#This Row],[POD]])</f>
        <v>ITNAP-Maersk-KRPUS</v>
      </c>
      <c r="F6" s="66" t="str">
        <f>_xlfn.CONCAT(Tableau1[[#This Row],[ID]],"-","Actif")</f>
        <v>63-Actif</v>
      </c>
      <c r="G6" s="66" t="str">
        <f ca="1">_xlfn.CONCAT(Tableau1[[#This Row],[POD]],"-",Tableau1[[#This Row],[Code PFI]],"-",Tableau1[[#This Row],[Compte Consignee]])</f>
        <v>KRPUS---92002200</v>
      </c>
      <c r="H6" s="434" t="str">
        <f ca="1">_xlfn.CONCAT(IF(Tableau1[[#This Row],[Name ILN]]=Tableau1[[#This Row],[Name Shipper]],Tableau1[[#This Row],[Name ILN]],Tableau1[[#This Row],[Compte Shipper]]),Tableau1[[#This Row],[POL]],Tableau1[[#This Row],[Name Site]])</f>
        <v>25566103ITNAPRKM</v>
      </c>
      <c r="I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Forwarder-GETRAG    MODUG-63-ITNAP-Maersk-KRPUS-</v>
      </c>
      <c r="J6" s="435" t="str">
        <f ca="1">IF(COUNTIF(I:I,Tableau1[[#This Row],[Plant-ILN-shipper-POL-Carrier-POD-PFI]])=1,"Non","Oui")</f>
        <v>Non</v>
      </c>
      <c r="K6" s="128" t="str">
        <f>VLOOKUP(Tableau1[[#This Row],[Name Site]],Plant_AILN!A:D,4,FALSE)</f>
        <v>KOREA</v>
      </c>
      <c r="L6" s="285" t="s">
        <v>145</v>
      </c>
      <c r="M6" s="439">
        <f>VLOOKUP(Tableau1[[#This Row],[Name Site]],Plant_AILN!A:C,3,FALSE)</f>
        <v>92002200</v>
      </c>
      <c r="N6" s="55">
        <f>VLOOKUP(Tableau1[[#This Row],[Compte Consignee]],Order!C:D,2,FALSE)</f>
        <v>2</v>
      </c>
      <c r="O6" s="116" t="s">
        <v>146</v>
      </c>
      <c r="P6" s="365">
        <f>VLOOKUP(Tableau1[[#This Row],[Name ILN]],Plant_AILN!F:G,2,FALSE)</f>
        <v>0</v>
      </c>
      <c r="Q6" s="50">
        <f>VLOOKUP(Tableau1[[#This Row],[Compte ILN]],'DATA ILN'!D:I,6,FALSE)</f>
        <v>9</v>
      </c>
      <c r="R6" s="50">
        <f ca="1">IFERROR(VLOOKUP(Tableau1[[#This Row],[Key(Compte ILN - shipper - POL - plant)]],'DATA ILN'!A:J,10,FALSE),VLOOKUP(Tableau1[[#This Row],[Key(Compte ILN - shipper - POL)]],'DATA ILN'!B:J,9,FALSE))</f>
        <v>7</v>
      </c>
      <c r="S6" s="50">
        <f ca="1">IFERROR(VLOOKUP(Tableau1[[#This Row],[Key(Compte ILN - shipper - POL - plant)]],'DATA ILN'!A:K,11,FALSE),VLOOKUP(Tableau1[[#This Row],[Key(Compte ILN - shipper - POL)]],'DATA ILN'!B:K,10,FALSE))</f>
        <v>5</v>
      </c>
      <c r="T6" s="50">
        <f ca="1">IFERROR(VLOOKUP(Tableau1[[#This Row],[Key(Compte ILN - shipper - POL - plant)]],'DATA ILN'!A:L,12,FALSE),VLOOKUP(Tableau1[[#This Row],[Key(Compte ILN - shipper - POL)]],'DATA ILN'!B:L,11,FALSE))</f>
        <v>7</v>
      </c>
      <c r="U6" s="50">
        <f ca="1">Tableau1[[#This Row],[Day ILN Order]]+Tableau1[[#This Row],[Delivery time to ILN/Shipper]]-1</f>
        <v>15</v>
      </c>
      <c r="V6" s="50">
        <f ca="1">IFERROR(VLOOKUP(Tableau1[[#This Row],[Key(Compte ILN - shipper - POL - plant)]],'DATA ILN'!A:N,14,FALSE),VLOOKUP(Tableau1[[#This Row],[Key(Compte ILN - shipper - POL)]],'DATA ILN'!B:N,13,FALSE))</f>
        <v>2</v>
      </c>
      <c r="W6" s="53">
        <f ca="1">IFERROR(VLOOKUP(Tableau1[[#This Row],[Key(Compte ILN - shipper - POL - plant)]],'DATA ILN'!A:P,16,FALSE),VLOOKUP(Tableau1[[#This Row],[Key(Compte ILN - shipper - POL)]],'DATA ILN'!B:P,15,FALSE))</f>
        <v>4</v>
      </c>
      <c r="X6" s="284" t="s">
        <v>147</v>
      </c>
      <c r="Y6" s="437">
        <f>IFERROR(VLOOKUP(Tableau1[[#This Row],[Name Shipper]],Plant_AILN!L:M,2,FALSE),0)</f>
        <v>25566103</v>
      </c>
      <c r="Z6" s="406">
        <v>63</v>
      </c>
      <c r="AA6" s="396" t="str">
        <f ca="1">VLOOKUP(Tableau1[[#This Row],[Key(ID-Actif)]],'DATA BTO'!A:N,5,FALSE)</f>
        <v>ITNAP</v>
      </c>
      <c r="AB6" s="3" t="str">
        <f ca="1">VLOOKUP(Tableau1[[#This Row],[Key(ID-Actif)]],'DATA BTO'!A:N,6,FALSE)</f>
        <v>Maersk</v>
      </c>
      <c r="AC6" s="50">
        <f ca="1">VLOOKUP(Tableau1[[#This Row],[Key(ID-Actif)]],'DATA BTO'!A:N,7,FALSE)</f>
        <v>4</v>
      </c>
      <c r="AD6" s="50">
        <f ca="1">VLOOKUP(Tableau1[[#This Row],[Key(ID-Actif)]],'DATA BTO'!A:N,8,FALSE)</f>
        <v>6</v>
      </c>
      <c r="AE6" s="50">
        <f ca="1">IF(Tableau1[[#This Row],[First Day to POL]]&lt;=Tableau1[[#This Row],[Day Cut Off]],Tableau1[[#This Row],[Day ETD]],Tableau1[[#This Row],[Day ETD]]+7)</f>
        <v>6</v>
      </c>
      <c r="AF6" s="50">
        <f ca="1">VLOOKUP(Tableau1[[#This Row],[Key(ID-Actif)]],'DATA BTO'!A:N,9,FALSE)</f>
        <v>54</v>
      </c>
      <c r="AG6" s="3" t="str">
        <f ca="1">VLOOKUP(Tableau1[[#This Row],[Key(ID-Actif)]],'DATA BTO'!A:N,10,FALSE)</f>
        <v>KRPUS</v>
      </c>
      <c r="AH6" s="3">
        <f ca="1">VLOOKUP(Tableau1[[#This Row],[Key(ID-Actif)]],'DATA BTO'!A:N,11,FALSE)</f>
        <v>3</v>
      </c>
      <c r="AI6" s="50">
        <f ca="1">VLOOKUP(Tableau1[[#This Row],[Key(ID-Actif)]],'DATA BTO'!A:N,12,FALSE)</f>
        <v>7</v>
      </c>
      <c r="AJ6" s="53" t="str">
        <f ca="1">VLOOKUP(Tableau1[[#This Row],[Key(ID-Actif)]],'DATA BTO'!A:N,14,FALSE)</f>
        <v>Max</v>
      </c>
      <c r="AK6" s="54">
        <f ca="1">VLOOKUP(Tableau1[[#This Row],[Key(POD -PFI- Usine)]],'DATA Consignee'!A:F,6,FALSE)</f>
        <v>2</v>
      </c>
      <c r="AL6" s="127"/>
      <c r="AM6" s="438" t="str">
        <f>IF(Tableau1[[#This Row],[Name PFI/CDD]]="","-",VLOOKUP(Tableau1[[#This Row],[Name PFI/CDD]],Plant_AILN!I:J,2,FALSE))</f>
        <v>-</v>
      </c>
      <c r="AN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" s="2">
        <f ca="1">VLOOKUP(Tableau1[[#This Row],[Key(POD -PFI- Usine)]],'DATA Consignee'!A:J,10,FALSE)</f>
        <v>0</v>
      </c>
      <c r="AQ6" s="50">
        <f ca="1">VLOOKUP(Tableau1[[#This Row],[Key(POD -PFI- Usine)]],'DATA Consignee'!A:N,14,FALSE)</f>
        <v>1</v>
      </c>
      <c r="AR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6" s="50">
        <f ca="1">Tableau1[[#This Row],[Transit time]]+Tableau1[[#This Row],[Time for security]]+Tableau1[[#This Row],[Time for security2 buffer]]</f>
        <v>64</v>
      </c>
      <c r="AU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6" s="433">
        <f ca="1">Tableau1[[#This Row],[Leadtime SI2C]]+Tableau1[[#This Row],[First Receipt Days]]-Tableau1[[#This Row],[Day Customer Order]]+1</f>
        <v>97</v>
      </c>
      <c r="AW6" s="119">
        <f ca="1">IF(Tableau1[[#This Row],[Name ILN]]&lt;&gt;"SFK Freight Forwarder",Tableau1[[#This Row],[Cust. Leadtime]],Tableau1[[#This Row],[Leadtime SI2C]])</f>
        <v>83</v>
      </c>
      <c r="AX6" s="51" t="s">
        <v>148</v>
      </c>
      <c r="AY6" s="338">
        <f ca="1">IFERROR(VLOOKUP(Tableau1[[#This Row],[Key(ID-Actif)]],'DATA BTO'!A:N,4,FALSE),VLOOKUP(Tableau1[[#This Row],[ID]],'DATA BTO'!B:N,3,FALSE))</f>
        <v>46507</v>
      </c>
      <c r="AZ6" s="50" t="str">
        <f>IF(ISNUMBER(Tableau1[[#This Row],[Day Customer Order]]),"-","Please Check 'Name' information in 'Order' Sheet to make sure they have information")</f>
        <v>-</v>
      </c>
      <c r="BA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" s="50"/>
    </row>
    <row r="7" spans="2:57" hidden="1">
      <c r="B7" s="67" t="str">
        <f>_xlfn.CONCAT(Tableau1[[#This Row],[Name ILN]],"-",Tableau1[[#This Row],[Name Shipper]],"-",Tableau1[[#This Row],[Name Site]])</f>
        <v>ILN Chennai-ILN Chennai-CORMECANICA</v>
      </c>
      <c r="C7" s="67" t="str">
        <f ca="1">_xlfn.CONCAT(Tableau1[[#This Row],[Compte ILN]],"-",Tableau1[[#This Row],[Compte Shipper]],"-",Tableau1[[#This Row],[POL]],"-",Tableau1[[#This Row],[Compte Consignee]])</f>
        <v>2533780546-2533780546-INENR-90009500</v>
      </c>
      <c r="D7" s="66" t="str">
        <f ca="1">_xlfn.CONCAT(Tableau1[[#This Row],[Compte ILN]],"-",Tableau1[[#This Row],[Compte Shipper]],"-",Tableau1[[#This Row],[POL]])</f>
        <v>2533780546-2533780546-INENR</v>
      </c>
      <c r="E7" s="434" t="str">
        <f ca="1">_xlfn.CONCAT(Tableau1[[#This Row],[POL]],"-",Tableau1[[#This Row],[Carrier]],"-",Tableau1[[#This Row],[POD]])</f>
        <v>INENR-ONE-CLSAI</v>
      </c>
      <c r="F7" s="66" t="str">
        <f>_xlfn.CONCAT(Tableau1[[#This Row],[ID]],"-","Actif")</f>
        <v>120-Actif</v>
      </c>
      <c r="G7" s="66" t="str">
        <f ca="1">_xlfn.CONCAT(Tableau1[[#This Row],[POD]],"-",Tableau1[[#This Row],[Code PFI]],"-",Tableau1[[#This Row],[Compte Consignee]])</f>
        <v>CLSAI---90009500</v>
      </c>
      <c r="H7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ChennaiINENRCORMECANICA</v>
      </c>
      <c r="I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Chennai-ILN Chennai-120-INENR-ONE-CLSAI-</v>
      </c>
      <c r="J7" s="435" t="str">
        <f ca="1">IF(COUNTIF(I:I,Tableau1[[#This Row],[Plant-ILN-shipper-POL-Carrier-POD-PFI]])=1,"Non","Oui")</f>
        <v>Non</v>
      </c>
      <c r="K7" s="436" t="str">
        <f>VLOOKUP(Tableau1[[#This Row],[Name Site]],Plant_AILN!A:D,4,FALSE)</f>
        <v>CHILE</v>
      </c>
      <c r="L7" s="285" t="s">
        <v>142</v>
      </c>
      <c r="M7" s="439">
        <f>VLOOKUP(Tableau1[[#This Row],[Name Site]],Plant_AILN!A:C,3,FALSE)</f>
        <v>90009500</v>
      </c>
      <c r="N7" s="55">
        <f>IF(Tableau1[[#This Row],[Name PFI/CDD]]="PFI VLL",2,VLOOKUP(Tableau1[[#This Row],[Compte Consignee]],Order!C:D,2,FALSE))</f>
        <v>7</v>
      </c>
      <c r="O7" s="116" t="s">
        <v>149</v>
      </c>
      <c r="P7" s="365">
        <f>VLOOKUP(Tableau1[[#This Row],[Name ILN]],Plant_AILN!F:G,2,FALSE)</f>
        <v>2533780546</v>
      </c>
      <c r="Q7" s="50">
        <f>VLOOKUP(Tableau1[[#This Row],[Compte ILN]],'DATA ILN'!D:I,6,FALSE)</f>
        <v>9</v>
      </c>
      <c r="R7" s="50">
        <f ca="1">IFERROR(VLOOKUP(Tableau1[[#This Row],[Key(Compte ILN - shipper - POL - plant)]],'DATA ILN'!A:J,10,FALSE),VLOOKUP(Tableau1[[#This Row],[Key(Compte ILN - shipper - POL)]],'DATA ILN'!B:J,9,FALSE))</f>
        <v>14</v>
      </c>
      <c r="S7" s="50">
        <f ca="1">IFERROR(VLOOKUP(Tableau1[[#This Row],[Key(Compte ILN - shipper - POL - plant)]],'DATA ILN'!A:K,11,FALSE),VLOOKUP(Tableau1[[#This Row],[Key(Compte ILN - shipper - POL)]],'DATA ILN'!B:K,10,FALSE))</f>
        <v>5</v>
      </c>
      <c r="T7" s="50">
        <f ca="1">IFERROR(VLOOKUP(Tableau1[[#This Row],[Key(Compte ILN - shipper - POL - plant)]],'DATA ILN'!A:L,12,FALSE),VLOOKUP(Tableau1[[#This Row],[Key(Compte ILN - shipper - POL)]],'DATA ILN'!B:L,11,FALSE))</f>
        <v>7</v>
      </c>
      <c r="U7" s="50">
        <f ca="1">Tableau1[[#This Row],[Day ILN Order]]+Tableau1[[#This Row],[Delivery time to ILN/Shipper]]-1</f>
        <v>22</v>
      </c>
      <c r="V7" s="50">
        <f ca="1">IFERROR(VLOOKUP(Tableau1[[#This Row],[Key(Compte ILN - shipper - POL - plant)]],'DATA ILN'!A:N,14,FALSE),VLOOKUP(Tableau1[[#This Row],[Key(Compte ILN - shipper - POL)]],'DATA ILN'!B:N,13,FALSE))</f>
        <v>2</v>
      </c>
      <c r="W7" s="53">
        <f ca="1">IFERROR(VLOOKUP(Tableau1[[#This Row],[Key(Compte ILN - shipper - POL - plant)]],'DATA ILN'!A:P,16,FALSE),VLOOKUP(Tableau1[[#This Row],[Key(Compte ILN - shipper - POL)]],'DATA ILN'!B:P,15,FALSE))</f>
        <v>5</v>
      </c>
      <c r="X7" s="284" t="s">
        <v>149</v>
      </c>
      <c r="Y7" s="437">
        <f>IFERROR(VLOOKUP(Tableau1[[#This Row],[Name Shipper]],Plant_AILN!L:M,2,FALSE),0)</f>
        <v>2533780546</v>
      </c>
      <c r="Z7" s="406">
        <v>120</v>
      </c>
      <c r="AA7" s="396" t="str">
        <f ca="1">VLOOKUP(Tableau1[[#This Row],[Key(ID-Actif)]],'DATA BTO'!A:N,5,FALSE)</f>
        <v>INENR</v>
      </c>
      <c r="AB7" s="3" t="str">
        <f ca="1">VLOOKUP(Tableau1[[#This Row],[Key(ID-Actif)]],'DATA BTO'!A:N,6,FALSE)</f>
        <v>ONE</v>
      </c>
      <c r="AC7" s="50">
        <f ca="1">VLOOKUP(Tableau1[[#This Row],[Key(ID-Actif)]],'DATA BTO'!A:N,7,FALSE)</f>
        <v>5</v>
      </c>
      <c r="AD7" s="50">
        <f ca="1">VLOOKUP(Tableau1[[#This Row],[Key(ID-Actif)]],'DATA BTO'!A:N,8,FALSE)</f>
        <v>7</v>
      </c>
      <c r="AE7" s="50">
        <f ca="1">IF(Tableau1[[#This Row],[First Day to POL]]&lt;=Tableau1[[#This Row],[Day Cut Off]],Tableau1[[#This Row],[Day ETD]],Tableau1[[#This Row],[Day ETD]]+7)</f>
        <v>7</v>
      </c>
      <c r="AF7" s="50">
        <f ca="1">VLOOKUP(Tableau1[[#This Row],[Key(ID-Actif)]],'DATA BTO'!A:N,9,FALSE)</f>
        <v>68</v>
      </c>
      <c r="AG7" s="3" t="str">
        <f ca="1">VLOOKUP(Tableau1[[#This Row],[Key(ID-Actif)]],'DATA BTO'!A:N,10,FALSE)</f>
        <v>CLSAI</v>
      </c>
      <c r="AH7" s="3">
        <f ca="1">VLOOKUP(Tableau1[[#This Row],[Key(ID-Actif)]],'DATA BTO'!A:N,11,FALSE)</f>
        <v>3</v>
      </c>
      <c r="AI7" s="50">
        <f ca="1">VLOOKUP(Tableau1[[#This Row],[Key(ID-Actif)]],'DATA BTO'!A:N,12,FALSE)</f>
        <v>7</v>
      </c>
      <c r="AJ7" s="53" t="str">
        <f ca="1">VLOOKUP(Tableau1[[#This Row],[Key(ID-Actif)]],'DATA BTO'!A:N,14,FALSE)</f>
        <v>Marc-Aurele</v>
      </c>
      <c r="AK7" s="54">
        <f ca="1">VLOOKUP(Tableau1[[#This Row],[Key(POD -PFI- Usine)]],'DATA Consignee'!A:F,6,FALSE)</f>
        <v>2</v>
      </c>
      <c r="AL7" s="127"/>
      <c r="AM7" s="438" t="str">
        <f>IF(Tableau1[[#This Row],[Name PFI/CDD]]="","-",VLOOKUP(Tableau1[[#This Row],[Name PFI/CDD]],Plant_AILN!I:J,2,FALSE))</f>
        <v>-</v>
      </c>
      <c r="AN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" s="2">
        <f ca="1">VLOOKUP(Tableau1[[#This Row],[Key(POD -PFI- Usine)]],'DATA Consignee'!A:J,10,FALSE)</f>
        <v>0</v>
      </c>
      <c r="AQ7" s="50">
        <f ca="1">VLOOKUP(Tableau1[[#This Row],[Key(POD -PFI- Usine)]],'DATA Consignee'!A:N,14,FALSE)</f>
        <v>2</v>
      </c>
      <c r="AR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7" s="50">
        <f ca="1">Tableau1[[#This Row],[Transit time]]+Tableau1[[#This Row],[Time for security]]+Tableau1[[#This Row],[Time for security2 buffer]]</f>
        <v>78</v>
      </c>
      <c r="AU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7" s="433">
        <f ca="1">Tableau1[[#This Row],[Leadtime SI2C]]+Tableau1[[#This Row],[First Receipt Days]]-Tableau1[[#This Row],[Day Customer Order]]+1</f>
        <v>113</v>
      </c>
      <c r="AW7" s="119">
        <f ca="1">IF(Tableau1[[#This Row],[Name ILN]]&lt;&gt;"SFK Freight Forwarder",Tableau1[[#This Row],[Cust. Leadtime]],Tableau1[[#This Row],[Leadtime SI2C]])</f>
        <v>113</v>
      </c>
      <c r="AX7" s="51" t="s">
        <v>144</v>
      </c>
      <c r="AY7" s="338">
        <f ca="1">IFERROR(VLOOKUP(Tableau1[[#This Row],[Key(ID-Actif)]],'DATA BTO'!A:N,4,FALSE),VLOOKUP(Tableau1[[#This Row],[ID]],'DATA BTO'!B:N,3,FALSE))</f>
        <v>46507</v>
      </c>
      <c r="AZ7" s="50" t="str">
        <f>IF(ISNUMBER(Tableau1[[#This Row],[Day Customer Order]]),"-","Please Check 'Name' information in 'Order' Sheet to make sure they have information")</f>
        <v>-</v>
      </c>
      <c r="BA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" s="50"/>
    </row>
    <row r="8" spans="2:57" hidden="1">
      <c r="B8" s="67" t="str">
        <f>_xlfn.CONCAT(Tableau1[[#This Row],[Name ILN]],"-",Tableau1[[#This Row],[Name Shipper]],"-",Tableau1[[#This Row],[Name Site]])</f>
        <v>ILN Pune-ILN Pune-CORMECANICA</v>
      </c>
      <c r="C8" s="67" t="str">
        <f ca="1">_xlfn.CONCAT(Tableau1[[#This Row],[Compte ILN]],"-",Tableau1[[#This Row],[Compte Shipper]],"-",Tableau1[[#This Row],[POL]],"-",Tableau1[[#This Row],[Compte Consignee]])</f>
        <v>2533780535-2533780535-INNSA-90009500</v>
      </c>
      <c r="D8" s="66" t="str">
        <f ca="1">_xlfn.CONCAT(Tableau1[[#This Row],[Compte ILN]],"-",Tableau1[[#This Row],[Compte Shipper]],"-",Tableau1[[#This Row],[POL]])</f>
        <v>2533780535-2533780535-INNSA</v>
      </c>
      <c r="E8" s="434" t="str">
        <f ca="1">_xlfn.CONCAT(Tableau1[[#This Row],[POL]],"-",Tableau1[[#This Row],[Carrier]],"-",Tableau1[[#This Row],[POD]])</f>
        <v>INNSA-ONE-CLSAI</v>
      </c>
      <c r="F8" s="66" t="str">
        <f>_xlfn.CONCAT(Tableau1[[#This Row],[ID]],"-","Actif")</f>
        <v>121-Actif</v>
      </c>
      <c r="G8" s="66" t="str">
        <f ca="1">_xlfn.CONCAT(Tableau1[[#This Row],[POD]],"-",Tableau1[[#This Row],[Code PFI]],"-",Tableau1[[#This Row],[Compte Consignee]])</f>
        <v>CLSAI---90009500</v>
      </c>
      <c r="H8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PuneINNSACORMECANICA</v>
      </c>
      <c r="I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Pune-ILN Pune-121-INNSA-ONE-CLSAI-</v>
      </c>
      <c r="J8" s="435" t="str">
        <f ca="1">IF(COUNTIF(I:I,Tableau1[[#This Row],[Plant-ILN-shipper-POL-Carrier-POD-PFI]])=1,"Non","Oui")</f>
        <v>Non</v>
      </c>
      <c r="K8" s="436" t="str">
        <f>VLOOKUP(Tableau1[[#This Row],[Name Site]],Plant_AILN!A:D,4,FALSE)</f>
        <v>CHILE</v>
      </c>
      <c r="L8" s="285" t="s">
        <v>142</v>
      </c>
      <c r="M8" s="439">
        <f>VLOOKUP(Tableau1[[#This Row],[Name Site]],Plant_AILN!A:C,3,FALSE)</f>
        <v>90009500</v>
      </c>
      <c r="N8" s="55">
        <f>IF(Tableau1[[#This Row],[Name PFI/CDD]]="PFI VLL",2,VLOOKUP(Tableau1[[#This Row],[Compte Consignee]],Order!C:D,2,FALSE))</f>
        <v>7</v>
      </c>
      <c r="O8" s="116" t="s">
        <v>150</v>
      </c>
      <c r="P8" s="365">
        <f>VLOOKUP(Tableau1[[#This Row],[Name ILN]],Plant_AILN!F:G,2,FALSE)</f>
        <v>2533780535</v>
      </c>
      <c r="Q8" s="50">
        <f>VLOOKUP(Tableau1[[#This Row],[Compte ILN]],'DATA ILN'!D:I,6,FALSE)</f>
        <v>9</v>
      </c>
      <c r="R8" s="50">
        <f ca="1">IFERROR(VLOOKUP(Tableau1[[#This Row],[Key(Compte ILN - shipper - POL - plant)]],'DATA ILN'!A:J,10,FALSE),VLOOKUP(Tableau1[[#This Row],[Key(Compte ILN - shipper - POL)]],'DATA ILN'!B:J,9,FALSE))</f>
        <v>14</v>
      </c>
      <c r="S8" s="50">
        <f ca="1">IFERROR(VLOOKUP(Tableau1[[#This Row],[Key(Compte ILN - shipper - POL - plant)]],'DATA ILN'!A:K,11,FALSE),VLOOKUP(Tableau1[[#This Row],[Key(Compte ILN - shipper - POL)]],'DATA ILN'!B:K,10,FALSE))</f>
        <v>5</v>
      </c>
      <c r="T8" s="50">
        <f ca="1">IFERROR(VLOOKUP(Tableau1[[#This Row],[Key(Compte ILN - shipper - POL - plant)]],'DATA ILN'!A:L,12,FALSE),VLOOKUP(Tableau1[[#This Row],[Key(Compte ILN - shipper - POL)]],'DATA ILN'!B:L,11,FALSE))</f>
        <v>7</v>
      </c>
      <c r="U8" s="50">
        <f ca="1">Tableau1[[#This Row],[Day ILN Order]]+Tableau1[[#This Row],[Delivery time to ILN/Shipper]]-1</f>
        <v>22</v>
      </c>
      <c r="V8" s="50">
        <f ca="1">IFERROR(VLOOKUP(Tableau1[[#This Row],[Key(Compte ILN - shipper - POL - plant)]],'DATA ILN'!A:N,14,FALSE),VLOOKUP(Tableau1[[#This Row],[Key(Compte ILN - shipper - POL)]],'DATA ILN'!B:N,13,FALSE))</f>
        <v>3</v>
      </c>
      <c r="W8" s="53">
        <f ca="1">IFERROR(VLOOKUP(Tableau1[[#This Row],[Key(Compte ILN - shipper - POL - plant)]],'DATA ILN'!A:P,16,FALSE),VLOOKUP(Tableau1[[#This Row],[Key(Compte ILN - shipper - POL)]],'DATA ILN'!B:P,15,FALSE))</f>
        <v>5</v>
      </c>
      <c r="X8" s="284" t="s">
        <v>150</v>
      </c>
      <c r="Y8" s="437">
        <f>IFERROR(VLOOKUP(Tableau1[[#This Row],[Name Shipper]],Plant_AILN!L:M,2,FALSE),0)</f>
        <v>2533780535</v>
      </c>
      <c r="Z8" s="406">
        <v>121</v>
      </c>
      <c r="AA8" s="396" t="str">
        <f ca="1">VLOOKUP(Tableau1[[#This Row],[Key(ID-Actif)]],'DATA BTO'!A:N,5,FALSE)</f>
        <v>INNSA</v>
      </c>
      <c r="AB8" s="3" t="str">
        <f ca="1">VLOOKUP(Tableau1[[#This Row],[Key(ID-Actif)]],'DATA BTO'!A:N,6,FALSE)</f>
        <v>ONE</v>
      </c>
      <c r="AC8" s="50">
        <f ca="1">VLOOKUP(Tableau1[[#This Row],[Key(ID-Actif)]],'DATA BTO'!A:N,7,FALSE)</f>
        <v>5</v>
      </c>
      <c r="AD8" s="50">
        <f ca="1">VLOOKUP(Tableau1[[#This Row],[Key(ID-Actif)]],'DATA BTO'!A:N,8,FALSE)</f>
        <v>7</v>
      </c>
      <c r="AE8" s="50">
        <f ca="1">IF(Tableau1[[#This Row],[First Day to POL]]&lt;=Tableau1[[#This Row],[Day Cut Off]],Tableau1[[#This Row],[Day ETD]],Tableau1[[#This Row],[Day ETD]]+7)</f>
        <v>7</v>
      </c>
      <c r="AF8" s="50">
        <f ca="1">VLOOKUP(Tableau1[[#This Row],[Key(ID-Actif)]],'DATA BTO'!A:N,9,FALSE)</f>
        <v>75</v>
      </c>
      <c r="AG8" s="3" t="str">
        <f ca="1">VLOOKUP(Tableau1[[#This Row],[Key(ID-Actif)]],'DATA BTO'!A:N,10,FALSE)</f>
        <v>CLSAI</v>
      </c>
      <c r="AH8" s="3">
        <f ca="1">VLOOKUP(Tableau1[[#This Row],[Key(ID-Actif)]],'DATA BTO'!A:N,11,FALSE)</f>
        <v>3</v>
      </c>
      <c r="AI8" s="50">
        <f ca="1">VLOOKUP(Tableau1[[#This Row],[Key(ID-Actif)]],'DATA BTO'!A:N,12,FALSE)</f>
        <v>7</v>
      </c>
      <c r="AJ8" s="53" t="str">
        <f ca="1">VLOOKUP(Tableau1[[#This Row],[Key(ID-Actif)]],'DATA BTO'!A:N,14,FALSE)</f>
        <v>Marc-Aurele</v>
      </c>
      <c r="AK8" s="54">
        <f ca="1">VLOOKUP(Tableau1[[#This Row],[Key(POD -PFI- Usine)]],'DATA Consignee'!A:F,6,FALSE)</f>
        <v>2</v>
      </c>
      <c r="AL8" s="127"/>
      <c r="AM8" s="438" t="str">
        <f>IF(Tableau1[[#This Row],[Name PFI/CDD]]="","-",VLOOKUP(Tableau1[[#This Row],[Name PFI/CDD]],Plant_AILN!I:J,2,FALSE))</f>
        <v>-</v>
      </c>
      <c r="AN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" s="2">
        <f ca="1">VLOOKUP(Tableau1[[#This Row],[Key(POD -PFI- Usine)]],'DATA Consignee'!A:J,10,FALSE)</f>
        <v>0</v>
      </c>
      <c r="AQ8" s="50">
        <f ca="1">VLOOKUP(Tableau1[[#This Row],[Key(POD -PFI- Usine)]],'DATA Consignee'!A:N,14,FALSE)</f>
        <v>2</v>
      </c>
      <c r="AR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8" s="50">
        <f ca="1">Tableau1[[#This Row],[Transit time]]+Tableau1[[#This Row],[Time for security]]+Tableau1[[#This Row],[Time for security2 buffer]]</f>
        <v>85</v>
      </c>
      <c r="AU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104</v>
      </c>
      <c r="AV8" s="433">
        <f ca="1">Tableau1[[#This Row],[Leadtime SI2C]]+Tableau1[[#This Row],[First Receipt Days]]-Tableau1[[#This Row],[Day Customer Order]]+1</f>
        <v>120</v>
      </c>
      <c r="AW8" s="119">
        <f ca="1">IF(Tableau1[[#This Row],[Name ILN]]&lt;&gt;"SFK Freight Forwarder",Tableau1[[#This Row],[Cust. Leadtime]],Tableau1[[#This Row],[Leadtime SI2C]])</f>
        <v>120</v>
      </c>
      <c r="AX8" s="51" t="s">
        <v>144</v>
      </c>
      <c r="AY8" s="338">
        <f ca="1">IFERROR(VLOOKUP(Tableau1[[#This Row],[Key(ID-Actif)]],'DATA BTO'!A:N,4,FALSE),VLOOKUP(Tableau1[[#This Row],[ID]],'DATA BTO'!B:N,3,FALSE))</f>
        <v>46507</v>
      </c>
      <c r="AZ8" s="50" t="str">
        <f>IF(ISNUMBER(Tableau1[[#This Row],[Day Customer Order]]),"-","Please Check 'Name' information in 'Order' Sheet to make sure they have information")</f>
        <v>-</v>
      </c>
      <c r="BA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" s="50"/>
    </row>
    <row r="9" spans="2:57" hidden="1">
      <c r="B9" s="67" t="str">
        <f>_xlfn.CONCAT(Tableau1[[#This Row],[Name ILN]],"-",Tableau1[[#This Row],[Name Shipper]],"-",Tableau1[[#This Row],[Name Site]])</f>
        <v>ILN VLL-ILN VLL-CORMECANICA</v>
      </c>
      <c r="C9" s="67" t="str">
        <f ca="1">_xlfn.CONCAT(Tableau1[[#This Row],[Compte ILN]],"-",Tableau1[[#This Row],[Compte Shipper]],"-",Tableau1[[#This Row],[POL]],"-",Tableau1[[#This Row],[Compte Consignee]])</f>
        <v>91018400-91018400-ESVLC-90009500</v>
      </c>
      <c r="D9" s="66" t="str">
        <f ca="1">_xlfn.CONCAT(Tableau1[[#This Row],[Compte ILN]],"-",Tableau1[[#This Row],[Compte Shipper]],"-",Tableau1[[#This Row],[POL]])</f>
        <v>91018400-91018400-ESVLC</v>
      </c>
      <c r="E9" s="434" t="str">
        <f ca="1">_xlfn.CONCAT(Tableau1[[#This Row],[POL]],"-",Tableau1[[#This Row],[Carrier]],"-",Tableau1[[#This Row],[POD]])</f>
        <v>ESVLC-CMA-CGM-CLSAI</v>
      </c>
      <c r="F9" s="66" t="str">
        <f>_xlfn.CONCAT(Tableau1[[#This Row],[ID]],"-","Actif")</f>
        <v>233-Actif</v>
      </c>
      <c r="G9" s="66" t="str">
        <f ca="1">_xlfn.CONCAT(Tableau1[[#This Row],[POD]],"-",Tableau1[[#This Row],[Code PFI]],"-",Tableau1[[#This Row],[Compte Consignee]])</f>
        <v>CLSAI---90009500</v>
      </c>
      <c r="H9" s="434" t="str">
        <f ca="1">_xlfn.CONCAT(IF(Tableau1[[#This Row],[Name ILN]]=Tableau1[[#This Row],[Name Shipper]],Tableau1[[#This Row],[Name ILN]],Tableau1[[#This Row],[Compte Shipper]]),Tableau1[[#This Row],[POL]],Tableau1[[#This Row],[Name Site]])</f>
        <v>ILN VLLESVLCCORMECANICA</v>
      </c>
      <c r="I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VLL-ILN VLL-233-ESVLC-CMA-CGM-CLSAI-</v>
      </c>
      <c r="J9" s="435" t="str">
        <f ca="1">IF(COUNTIF(I:I,Tableau1[[#This Row],[Plant-ILN-shipper-POL-Carrier-POD-PFI]])=1,"Non","Oui")</f>
        <v>Non</v>
      </c>
      <c r="K9" s="436" t="str">
        <f>VLOOKUP(Tableau1[[#This Row],[Name Site]],Plant_AILN!A:D,4,FALSE)</f>
        <v>CHILE</v>
      </c>
      <c r="L9" s="285" t="s">
        <v>142</v>
      </c>
      <c r="M9" s="439">
        <f>VLOOKUP(Tableau1[[#This Row],[Name Site]],Plant_AILN!A:C,3,FALSE)</f>
        <v>90009500</v>
      </c>
      <c r="N9" s="55">
        <f>IF(Tableau1[[#This Row],[Name PFI/CDD]]="PFI VLL",2,VLOOKUP(Tableau1[[#This Row],[Compte Consignee]],Order!C:D,2,FALSE))</f>
        <v>7</v>
      </c>
      <c r="O9" s="116" t="s">
        <v>151</v>
      </c>
      <c r="P9" s="365">
        <f>VLOOKUP(Tableau1[[#This Row],[Name ILN]],Plant_AILN!F:G,2,FALSE)</f>
        <v>91018400</v>
      </c>
      <c r="Q9" s="50">
        <f>VLOOKUP(Tableau1[[#This Row],[Compte ILN]],'DATA ILN'!D:I,6,FALSE)</f>
        <v>9</v>
      </c>
      <c r="R9" s="50">
        <f ca="1">IFERROR(VLOOKUP(Tableau1[[#This Row],[Key(Compte ILN - shipper - POL - plant)]],'DATA ILN'!A:J,10,FALSE),VLOOKUP(Tableau1[[#This Row],[Key(Compte ILN - shipper - POL)]],'DATA ILN'!B:J,9,FALSE))</f>
        <v>7</v>
      </c>
      <c r="S9" s="50">
        <f ca="1">IFERROR(VLOOKUP(Tableau1[[#This Row],[Key(Compte ILN - shipper - POL - plant)]],'DATA ILN'!A:K,11,FALSE),VLOOKUP(Tableau1[[#This Row],[Key(Compte ILN - shipper - POL)]],'DATA ILN'!B:K,10,FALSE))</f>
        <v>5</v>
      </c>
      <c r="T9" s="50">
        <f ca="1">IFERROR(VLOOKUP(Tableau1[[#This Row],[Key(Compte ILN - shipper - POL - plant)]],'DATA ILN'!A:L,12,FALSE),VLOOKUP(Tableau1[[#This Row],[Key(Compte ILN - shipper - POL)]],'DATA ILN'!B:L,11,FALSE))</f>
        <v>7</v>
      </c>
      <c r="U9" s="50">
        <f ca="1">Tableau1[[#This Row],[Day ILN Order]]+Tableau1[[#This Row],[Delivery time to ILN/Shipper]]-1</f>
        <v>15</v>
      </c>
      <c r="V9" s="50">
        <f ca="1">IFERROR(VLOOKUP(Tableau1[[#This Row],[Key(Compte ILN - shipper - POL - plant)]],'DATA ILN'!A:N,14,FALSE),VLOOKUP(Tableau1[[#This Row],[Key(Compte ILN - shipper - POL)]],'DATA ILN'!B:N,13,FALSE))</f>
        <v>2</v>
      </c>
      <c r="W9" s="53">
        <f ca="1">IFERROR(VLOOKUP(Tableau1[[#This Row],[Key(Compte ILN - shipper - POL - plant)]],'DATA ILN'!A:P,16,FALSE),VLOOKUP(Tableau1[[#This Row],[Key(Compte ILN - shipper - POL)]],'DATA ILN'!B:P,15,FALSE))</f>
        <v>5</v>
      </c>
      <c r="X9" s="284" t="s">
        <v>151</v>
      </c>
      <c r="Y9" s="437">
        <f>IFERROR(VLOOKUP(Tableau1[[#This Row],[Name Shipper]],Plant_AILN!L:M,2,FALSE),0)</f>
        <v>91018400</v>
      </c>
      <c r="Z9" s="406">
        <v>233</v>
      </c>
      <c r="AA9" s="396" t="str">
        <f ca="1">VLOOKUP(Tableau1[[#This Row],[Key(ID-Actif)]],'DATA BTO'!A:N,5,FALSE)</f>
        <v>ESVLC</v>
      </c>
      <c r="AB9" s="3" t="str">
        <f ca="1">VLOOKUP(Tableau1[[#This Row],[Key(ID-Actif)]],'DATA BTO'!A:N,6,FALSE)</f>
        <v>CMA-CGM</v>
      </c>
      <c r="AC9" s="50">
        <f ca="1">VLOOKUP(Tableau1[[#This Row],[Key(ID-Actif)]],'DATA BTO'!A:N,7,FALSE)</f>
        <v>3</v>
      </c>
      <c r="AD9" s="50">
        <f ca="1">VLOOKUP(Tableau1[[#This Row],[Key(ID-Actif)]],'DATA BTO'!A:N,8,FALSE)</f>
        <v>5</v>
      </c>
      <c r="AE9" s="50">
        <f ca="1">IF(Tableau1[[#This Row],[First Day to POL]]&lt;=Tableau1[[#This Row],[Day Cut Off]],Tableau1[[#This Row],[Day ETD]],Tableau1[[#This Row],[Day ETD]]+7)</f>
        <v>12</v>
      </c>
      <c r="AF9" s="50">
        <f ca="1">VLOOKUP(Tableau1[[#This Row],[Key(ID-Actif)]],'DATA BTO'!A:N,9,FALSE)</f>
        <v>41</v>
      </c>
      <c r="AG9" s="3" t="str">
        <f ca="1">VLOOKUP(Tableau1[[#This Row],[Key(ID-Actif)]],'DATA BTO'!A:N,10,FALSE)</f>
        <v>CLSAI</v>
      </c>
      <c r="AH9" s="3">
        <f ca="1">VLOOKUP(Tableau1[[#This Row],[Key(ID-Actif)]],'DATA BTO'!A:N,11,FALSE)</f>
        <v>3</v>
      </c>
      <c r="AI9" s="50">
        <f ca="1">VLOOKUP(Tableau1[[#This Row],[Key(ID-Actif)]],'DATA BTO'!A:N,12,FALSE)</f>
        <v>0</v>
      </c>
      <c r="AJ9" s="53" t="str">
        <f ca="1">VLOOKUP(Tableau1[[#This Row],[Key(ID-Actif)]],'DATA BTO'!A:N,14,FALSE)</f>
        <v>Wael</v>
      </c>
      <c r="AK9" s="54">
        <f ca="1">VLOOKUP(Tableau1[[#This Row],[Key(POD -PFI- Usine)]],'DATA Consignee'!A:F,6,FALSE)</f>
        <v>2</v>
      </c>
      <c r="AL9" s="127"/>
      <c r="AM9" s="438" t="str">
        <f>IF(Tableau1[[#This Row],[Name PFI/CDD]]="","-",VLOOKUP(Tableau1[[#This Row],[Name PFI/CDD]],Plant_AILN!I:J,2,FALSE))</f>
        <v>-</v>
      </c>
      <c r="AN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" s="2">
        <f ca="1">VLOOKUP(Tableau1[[#This Row],[Key(POD -PFI- Usine)]],'DATA Consignee'!A:J,10,FALSE)</f>
        <v>0</v>
      </c>
      <c r="AQ9" s="50">
        <f ca="1">VLOOKUP(Tableau1[[#This Row],[Key(POD -PFI- Usine)]],'DATA Consignee'!A:N,14,FALSE)</f>
        <v>2</v>
      </c>
      <c r="AR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9" s="50">
        <f ca="1">Tableau1[[#This Row],[Transit time]]+Tableau1[[#This Row],[Time for security]]+Tableau1[[#This Row],[Time for security2 buffer]]</f>
        <v>44</v>
      </c>
      <c r="AU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9" s="433">
        <f ca="1">Tableau1[[#This Row],[Leadtime SI2C]]+Tableau1[[#This Row],[First Receipt Days]]-Tableau1[[#This Row],[Day Customer Order]]+1</f>
        <v>78</v>
      </c>
      <c r="AW9" s="119">
        <f ca="1">IF(Tableau1[[#This Row],[Name ILN]]&lt;&gt;"SFK Freight Forwarder",Tableau1[[#This Row],[Cust. Leadtime]],Tableau1[[#This Row],[Leadtime SI2C]])</f>
        <v>78</v>
      </c>
      <c r="AX9" s="51" t="s">
        <v>144</v>
      </c>
      <c r="AY9" s="338">
        <f ca="1">IFERROR(VLOOKUP(Tableau1[[#This Row],[Key(ID-Actif)]],'DATA BTO'!A:N,4,FALSE),VLOOKUP(Tableau1[[#This Row],[ID]],'DATA BTO'!B:N,3,FALSE))</f>
        <v>46507</v>
      </c>
      <c r="AZ9" s="50" t="str">
        <f>IF(ISNUMBER(Tableau1[[#This Row],[Day Customer Order]]),"-","Please Check 'Name' information in 'Order' Sheet to make sure they have information")</f>
        <v>-</v>
      </c>
      <c r="BA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" s="50"/>
    </row>
    <row r="10" spans="2:57" hidden="1">
      <c r="B10" s="67" t="str">
        <f>_xlfn.CONCAT(Tableau1[[#This Row],[Name ILN]],"-",Tableau1[[#This Row],[Name Shipper]],"-",Tableau1[[#This Row],[Name Site]])</f>
        <v>SFK Freight Forwarder-Magna Shanghai-Curitiba CVP</v>
      </c>
      <c r="C10" s="67" t="str">
        <f ca="1">_xlfn.CONCAT(Tableau1[[#This Row],[Compte ILN]],"-",Tableau1[[#This Row],[Compte Shipper]],"-",Tableau1[[#This Row],[POL]],"-",Tableau1[[#This Row],[Compte Consignee]])</f>
        <v>0-42838303-CNSHA-90018000</v>
      </c>
      <c r="D10" s="66" t="str">
        <f ca="1">_xlfn.CONCAT(Tableau1[[#This Row],[Compte ILN]],"-",Tableau1[[#This Row],[Compte Shipper]],"-",Tableau1[[#This Row],[POL]])</f>
        <v>0-42838303-CNSHA</v>
      </c>
      <c r="E10" s="434" t="str">
        <f ca="1">_xlfn.CONCAT(Tableau1[[#This Row],[POL]],"-",Tableau1[[#This Row],[Carrier]],"-",Tableau1[[#This Row],[POD]])</f>
        <v>CNSHA-ONE-BRPNG</v>
      </c>
      <c r="F10" s="66" t="str">
        <f>_xlfn.CONCAT(Tableau1[[#This Row],[ID]],"-","Actif")</f>
        <v>752-Actif</v>
      </c>
      <c r="G10" s="66" t="str">
        <f ca="1">_xlfn.CONCAT(Tableau1[[#This Row],[POD]],"-",Tableau1[[#This Row],[Code PFI]],"-",Tableau1[[#This Row],[Compte Consignee]])</f>
        <v>BRPNG---90018000</v>
      </c>
      <c r="H10" s="434" t="str">
        <f ca="1">_xlfn.CONCAT(IF(Tableau1[[#This Row],[Name ILN]]=Tableau1[[#This Row],[Name Shipper]],Tableau1[[#This Row],[Name ILN]],Tableau1[[#This Row],[Compte Shipper]]),Tableau1[[#This Row],[POL]],Tableau1[[#This Row],[Name Site]])</f>
        <v>42838303CNSHACuritiba CVP</v>
      </c>
      <c r="I1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Forwarder-Magna Shanghai-752-CNSHA-ONE-BRPNG-</v>
      </c>
      <c r="J10" s="435" t="str">
        <f ca="1">IF(COUNTIF(I:I,Tableau1[[#This Row],[Plant-ILN-shipper-POL-Carrier-POD-PFI]])=1,"Non","Oui")</f>
        <v>Non</v>
      </c>
      <c r="K10" s="436" t="str">
        <f>VLOOKUP(Tableau1[[#This Row],[Name Site]],Plant_AILN!A:D,4,FALSE)</f>
        <v>BRAZIL</v>
      </c>
      <c r="L10" s="285" t="s">
        <v>152</v>
      </c>
      <c r="M10" s="439">
        <f>VLOOKUP(Tableau1[[#This Row],[Name Site]],Plant_AILN!A:C,3,FALSE)</f>
        <v>90018000</v>
      </c>
      <c r="N10" s="55">
        <f>IF(Tableau1[[#This Row],[Name PFI/CDD]]="PFI VLL",2,VLOOKUP(Tableau1[[#This Row],[Compte Consignee]],Order!C:D,2,FALSE))</f>
        <v>7</v>
      </c>
      <c r="O10" s="116" t="s">
        <v>146</v>
      </c>
      <c r="P10" s="365">
        <f>VLOOKUP(Tableau1[[#This Row],[Name ILN]],Plant_AILN!F:G,2,FALSE)</f>
        <v>0</v>
      </c>
      <c r="Q10" s="50">
        <f>VLOOKUP(Tableau1[[#This Row],[Compte ILN]],'DATA ILN'!D:I,6,FALSE)</f>
        <v>9</v>
      </c>
      <c r="R10" s="50">
        <f ca="1">IFERROR(VLOOKUP(Tableau1[[#This Row],[Key(Compte ILN - shipper - POL - plant)]],'DATA ILN'!A:J,10,FALSE),VLOOKUP(Tableau1[[#This Row],[Key(Compte ILN - shipper - POL)]],'DATA ILN'!B:J,9,FALSE))</f>
        <v>7</v>
      </c>
      <c r="S10" s="50">
        <f ca="1">IFERROR(VLOOKUP(Tableau1[[#This Row],[Key(Compte ILN - shipper - POL - plant)]],'DATA ILN'!A:K,11,FALSE),VLOOKUP(Tableau1[[#This Row],[Key(Compte ILN - shipper - POL)]],'DATA ILN'!B:K,10,FALSE))</f>
        <v>5</v>
      </c>
      <c r="T10" s="50">
        <f ca="1">IFERROR(VLOOKUP(Tableau1[[#This Row],[Key(Compte ILN - shipper - POL - plant)]],'DATA ILN'!A:L,12,FALSE),VLOOKUP(Tableau1[[#This Row],[Key(Compte ILN - shipper - POL)]],'DATA ILN'!B:L,11,FALSE))</f>
        <v>7</v>
      </c>
      <c r="U10" s="50">
        <f ca="1">Tableau1[[#This Row],[Day ILN Order]]+Tableau1[[#This Row],[Delivery time to ILN/Shipper]]-1</f>
        <v>15</v>
      </c>
      <c r="V10" s="50">
        <f ca="1">IFERROR(VLOOKUP(Tableau1[[#This Row],[Key(Compte ILN - shipper - POL - plant)]],'DATA ILN'!A:N,14,FALSE),VLOOKUP(Tableau1[[#This Row],[Key(Compte ILN - shipper - POL)]],'DATA ILN'!B:N,13,FALSE))</f>
        <v>8</v>
      </c>
      <c r="W10" s="53">
        <f ca="1">IFERROR(VLOOKUP(Tableau1[[#This Row],[Key(Compte ILN - shipper - POL - plant)]],'DATA ILN'!A:P,16,FALSE),VLOOKUP(Tableau1[[#This Row],[Key(Compte ILN - shipper - POL)]],'DATA ILN'!B:P,15,FALSE))</f>
        <v>3</v>
      </c>
      <c r="X10" s="284" t="s">
        <v>153</v>
      </c>
      <c r="Y10" s="437">
        <f>IFERROR(VLOOKUP(Tableau1[[#This Row],[Name Shipper]],Plant_AILN!L:M,2,FALSE),0)</f>
        <v>42838303</v>
      </c>
      <c r="Z10" s="406">
        <v>752</v>
      </c>
      <c r="AA10" s="396" t="str">
        <f ca="1">VLOOKUP(Tableau1[[#This Row],[Key(ID-Actif)]],'DATA BTO'!A:N,5,FALSE)</f>
        <v>CNSHA</v>
      </c>
      <c r="AB10" s="3" t="str">
        <f ca="1">VLOOKUP(Tableau1[[#This Row],[Key(ID-Actif)]],'DATA BTO'!A:N,6,FALSE)</f>
        <v>ONE</v>
      </c>
      <c r="AC10" s="50">
        <f ca="1">VLOOKUP(Tableau1[[#This Row],[Key(ID-Actif)]],'DATA BTO'!A:N,7,FALSE)</f>
        <v>5</v>
      </c>
      <c r="AD10" s="50">
        <f ca="1">VLOOKUP(Tableau1[[#This Row],[Key(ID-Actif)]],'DATA BTO'!A:N,8,FALSE)</f>
        <v>7</v>
      </c>
      <c r="AE10" s="50">
        <f ca="1">IF(Tableau1[[#This Row],[First Day to POL]]&lt;=Tableau1[[#This Row],[Day Cut Off]],Tableau1[[#This Row],[Day ETD]],Tableau1[[#This Row],[Day ETD]]+7)</f>
        <v>7</v>
      </c>
      <c r="AF10" s="50">
        <f ca="1">VLOOKUP(Tableau1[[#This Row],[Key(ID-Actif)]],'DATA BTO'!A:N,9,FALSE)</f>
        <v>43</v>
      </c>
      <c r="AG10" s="3" t="str">
        <f ca="1">VLOOKUP(Tableau1[[#This Row],[Key(ID-Actif)]],'DATA BTO'!A:N,10,FALSE)</f>
        <v>BRPNG</v>
      </c>
      <c r="AH10" s="3">
        <f ca="1">VLOOKUP(Tableau1[[#This Row],[Key(ID-Actif)]],'DATA BTO'!A:N,11,FALSE)</f>
        <v>3</v>
      </c>
      <c r="AI10" s="50">
        <f ca="1">VLOOKUP(Tableau1[[#This Row],[Key(ID-Actif)]],'DATA BTO'!A:N,12,FALSE)</f>
        <v>0</v>
      </c>
      <c r="AJ10" s="53" t="str">
        <f ca="1">VLOOKUP(Tableau1[[#This Row],[Key(ID-Actif)]],'DATA BTO'!A:N,14,FALSE)</f>
        <v>Max</v>
      </c>
      <c r="AK10" s="54">
        <f ca="1">VLOOKUP(Tableau1[[#This Row],[Key(POD -PFI- Usine)]],'DATA Consignee'!A:F,6,FALSE)</f>
        <v>2</v>
      </c>
      <c r="AL10" s="127"/>
      <c r="AM10" s="438" t="str">
        <f>IF(Tableau1[[#This Row],[Name PFI/CDD]]="","-",VLOOKUP(Tableau1[[#This Row],[Name PFI/CDD]],Plant_AILN!I:J,2,FALSE))</f>
        <v>-</v>
      </c>
      <c r="AN1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" s="2">
        <f ca="1">VLOOKUP(Tableau1[[#This Row],[Key(POD -PFI- Usine)]],'DATA Consignee'!A:J,10,FALSE)</f>
        <v>0</v>
      </c>
      <c r="AQ10" s="50">
        <f ca="1">VLOOKUP(Tableau1[[#This Row],[Key(POD -PFI- Usine)]],'DATA Consignee'!A:N,14,FALSE)</f>
        <v>2</v>
      </c>
      <c r="AR1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19</v>
      </c>
      <c r="AT10" s="50">
        <f ca="1">Tableau1[[#This Row],[Transit time]]+Tableau1[[#This Row],[Time for security]]+Tableau1[[#This Row],[Time for security2 buffer]]</f>
        <v>46</v>
      </c>
      <c r="AU1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10" s="433">
        <f ca="1">Tableau1[[#This Row],[Leadtime SI2C]]+Tableau1[[#This Row],[First Receipt Days]]-Tableau1[[#This Row],[Day Customer Order]]+1</f>
        <v>78</v>
      </c>
      <c r="AW10" s="119">
        <f ca="1">IF(Tableau1[[#This Row],[Name ILN]]&lt;&gt;"SFK Freight Forwarder",Tableau1[[#This Row],[Cust. Leadtime]],Tableau1[[#This Row],[Leadtime SI2C]])</f>
        <v>69</v>
      </c>
      <c r="AX10" s="51" t="s">
        <v>148</v>
      </c>
      <c r="AY10" s="338">
        <f ca="1">IFERROR(VLOOKUP(Tableau1[[#This Row],[Key(ID-Actif)]],'DATA BTO'!A:N,4,FALSE),VLOOKUP(Tableau1[[#This Row],[ID]],'DATA BTO'!B:N,3,FALSE))</f>
        <v>46507</v>
      </c>
      <c r="AZ10" s="50" t="str">
        <f>IF(ISNUMBER(Tableau1[[#This Row],[Day Customer Order]]),"-","Please Check 'Name' information in 'Order' Sheet to make sure they have information")</f>
        <v>-</v>
      </c>
      <c r="BA1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" s="50"/>
    </row>
    <row r="11" spans="2:57" hidden="1">
      <c r="B11" s="474" t="str">
        <f>_xlfn.CONCAT(Tableau1[[#This Row],[Name ILN]],"-",Tableau1[[#This Row],[Name Shipper]],"-",Tableau1[[#This Row],[Name Site]])</f>
        <v>SFK Freight Forwarder-Magna Shanghai-SOVAB</v>
      </c>
      <c r="C11" s="67" t="str">
        <f ca="1">_xlfn.CONCAT(Tableau1[[#This Row],[Compte ILN]],"-",Tableau1[[#This Row],[Compte Shipper]],"-",Tableau1[[#This Row],[POL]],"-",Tableau1[[#This Row],[Compte Consignee]])</f>
        <v>0-42838303-CNSHA-90016900</v>
      </c>
      <c r="D11" s="66" t="str">
        <f ca="1">_xlfn.CONCAT(Tableau1[[#This Row],[Compte ILN]],"-",Tableau1[[#This Row],[Compte Shipper]],"-",Tableau1[[#This Row],[POL]])</f>
        <v>0-42838303-CNSHA</v>
      </c>
      <c r="E11" s="434" t="str">
        <f ca="1">_xlfn.CONCAT(Tableau1[[#This Row],[POL]],"-",Tableau1[[#This Row],[Carrier]],"-",Tableau1[[#This Row],[POD]])</f>
        <v>CNSHA-CMA-CGM-FRLEH</v>
      </c>
      <c r="F11" s="66" t="str">
        <f>_xlfn.CONCAT(Tableau1[[#This Row],[ID]],"-","Actif")</f>
        <v>761-Actif</v>
      </c>
      <c r="G11" s="66" t="str">
        <f ca="1">_xlfn.CONCAT(Tableau1[[#This Row],[POD]],"-",Tableau1[[#This Row],[Code PFI]],"-",Tableau1[[#This Row],[Compte Consignee]])</f>
        <v>FRLEH-90016600-90016900</v>
      </c>
      <c r="H11" s="434" t="str">
        <f ca="1">_xlfn.CONCAT(IF(Tableau1[[#This Row],[Name ILN]]=Tableau1[[#This Row],[Name Shipper]],Tableau1[[#This Row],[Name ILN]],Tableau1[[#This Row],[Compte Shipper]]),Tableau1[[#This Row],[POL]],Tableau1[[#This Row],[Name Site]])</f>
        <v>42838303CNSHASOVAB</v>
      </c>
      <c r="I1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SOVAB-SFK Freight Forwarder-Magna Shanghai-761-CNSHA-CMA-CGM-FRLEH-CDD FR</v>
      </c>
      <c r="J11" s="435" t="str">
        <f ca="1">IF(COUNTIF(I:I,Tableau1[[#This Row],[Plant-ILN-shipper-POL-Carrier-POD-PFI]])=1,"Non","Oui")</f>
        <v>Non</v>
      </c>
      <c r="K11" s="128" t="str">
        <f>VLOOKUP(Tableau1[[#This Row],[Name Site]],Plant_AILN!A:D,4,FALSE)</f>
        <v>FRANCE</v>
      </c>
      <c r="L11" s="411" t="s">
        <v>154</v>
      </c>
      <c r="M11" s="439">
        <f>VLOOKUP(Tableau1[[#This Row],[Name Site]],Plant_AILN!A:C,3,FALSE)</f>
        <v>90016900</v>
      </c>
      <c r="N11" s="55">
        <f>IF(Tableau1[[#This Row],[Name PFI/CDD]]="PFI VLL",2,VLOOKUP(Tableau1[[#This Row],[Compte Consignee]],Order!C:D,2,FALSE))</f>
        <v>7</v>
      </c>
      <c r="O11" s="116" t="s">
        <v>146</v>
      </c>
      <c r="P11" s="365">
        <f>VLOOKUP(Tableau1[[#This Row],[Name ILN]],Plant_AILN!F:G,2,FALSE)</f>
        <v>0</v>
      </c>
      <c r="Q11" s="50">
        <f>VLOOKUP(Tableau1[[#This Row],[Compte ILN]],'DATA ILN'!D:I,6,FALSE)</f>
        <v>9</v>
      </c>
      <c r="R11" s="50">
        <f ca="1">IFERROR(VLOOKUP(Tableau1[[#This Row],[Key(Compte ILN - shipper - POL - plant)]],'DATA ILN'!A:J,10,FALSE),VLOOKUP(Tableau1[[#This Row],[Key(Compte ILN - shipper - POL)]],'DATA ILN'!B:J,9,FALSE))</f>
        <v>7</v>
      </c>
      <c r="S11" s="50">
        <f ca="1">IFERROR(VLOOKUP(Tableau1[[#This Row],[Key(Compte ILN - shipper - POL - plant)]],'DATA ILN'!A:K,11,FALSE),VLOOKUP(Tableau1[[#This Row],[Key(Compte ILN - shipper - POL)]],'DATA ILN'!B:K,10,FALSE))</f>
        <v>5</v>
      </c>
      <c r="T11" s="50">
        <f ca="1">IFERROR(VLOOKUP(Tableau1[[#This Row],[Key(Compte ILN - shipper - POL - plant)]],'DATA ILN'!A:L,12,FALSE),VLOOKUP(Tableau1[[#This Row],[Key(Compte ILN - shipper - POL)]],'DATA ILN'!B:L,11,FALSE))</f>
        <v>7</v>
      </c>
      <c r="U11" s="50">
        <f ca="1">Tableau1[[#This Row],[Day ILN Order]]+Tableau1[[#This Row],[Delivery time to ILN/Shipper]]-1</f>
        <v>15</v>
      </c>
      <c r="V11" s="50">
        <f ca="1">IFERROR(VLOOKUP(Tableau1[[#This Row],[Key(Compte ILN - shipper - POL - plant)]],'DATA ILN'!A:N,14,FALSE),VLOOKUP(Tableau1[[#This Row],[Key(Compte ILN - shipper - POL)]],'DATA ILN'!B:N,13,FALSE))</f>
        <v>8</v>
      </c>
      <c r="W11" s="53">
        <f ca="1">IFERROR(VLOOKUP(Tableau1[[#This Row],[Key(Compte ILN - shipper - POL - plant)]],'DATA ILN'!A:P,16,FALSE),VLOOKUP(Tableau1[[#This Row],[Key(Compte ILN - shipper - POL)]],'DATA ILN'!B:P,15,FALSE))</f>
        <v>3</v>
      </c>
      <c r="X11" s="284" t="s">
        <v>153</v>
      </c>
      <c r="Y11" s="437">
        <f>IFERROR(VLOOKUP(Tableau1[[#This Row],[Name Shipper]],Plant_AILN!L:M,2,FALSE),0)</f>
        <v>42838303</v>
      </c>
      <c r="Z11" s="284">
        <v>761</v>
      </c>
      <c r="AA11" s="396" t="str">
        <f ca="1">VLOOKUP(Tableau1[[#This Row],[Key(ID-Actif)]],'DATA BTO'!A:N,5,FALSE)</f>
        <v>CNSHA</v>
      </c>
      <c r="AB11" s="3" t="str">
        <f ca="1">VLOOKUP(Tableau1[[#This Row],[Key(ID-Actif)]],'DATA BTO'!A:N,6,FALSE)</f>
        <v>CMA-CGM</v>
      </c>
      <c r="AC11" s="50">
        <f ca="1">VLOOKUP(Tableau1[[#This Row],[Key(ID-Actif)]],'DATA BTO'!A:N,7,FALSE)</f>
        <v>5</v>
      </c>
      <c r="AD11" s="50">
        <f ca="1">VLOOKUP(Tableau1[[#This Row],[Key(ID-Actif)]],'DATA BTO'!A:N,8,FALSE)</f>
        <v>7</v>
      </c>
      <c r="AE11" s="50">
        <f ca="1">IF(Tableau1[[#This Row],[First Day to POL]]&lt;=Tableau1[[#This Row],[Day Cut Off]],Tableau1[[#This Row],[Day ETD]],Tableau1[[#This Row],[Day ETD]]+7)</f>
        <v>7</v>
      </c>
      <c r="AF11" s="50">
        <f ca="1">VLOOKUP(Tableau1[[#This Row],[Key(ID-Actif)]],'DATA BTO'!A:N,9,FALSE)</f>
        <v>38</v>
      </c>
      <c r="AG11" s="3" t="str">
        <f ca="1">VLOOKUP(Tableau1[[#This Row],[Key(ID-Actif)]],'DATA BTO'!A:N,10,FALSE)</f>
        <v>FRLEH</v>
      </c>
      <c r="AH11" s="3">
        <f ca="1">VLOOKUP(Tableau1[[#This Row],[Key(ID-Actif)]],'DATA BTO'!A:N,11,FALSE)</f>
        <v>3</v>
      </c>
      <c r="AI11" s="50">
        <f ca="1">VLOOKUP(Tableau1[[#This Row],[Key(ID-Actif)]],'DATA BTO'!A:N,12,FALSE)</f>
        <v>7</v>
      </c>
      <c r="AJ11" s="53" t="str">
        <f ca="1">VLOOKUP(Tableau1[[#This Row],[Key(ID-Actif)]],'DATA BTO'!A:N,14,FALSE)</f>
        <v>Max</v>
      </c>
      <c r="AK11" s="54">
        <f ca="1">VLOOKUP(Tableau1[[#This Row],[Key(POD -PFI- Usine)]],'DATA Consignee'!A:F,6,FALSE)</f>
        <v>3</v>
      </c>
      <c r="AL11" s="127" t="s">
        <v>155</v>
      </c>
      <c r="AM11" s="438">
        <f>IF(Tableau1[[#This Row],[Name PFI/CDD]]="","-",VLOOKUP(Tableau1[[#This Row],[Name PFI/CDD]],Plant_AILN!I:J,2,FALSE))</f>
        <v>90016600</v>
      </c>
      <c r="AN1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" s="2">
        <f ca="1">VLOOKUP(Tableau1[[#This Row],[Key(POD -PFI- Usine)]],'DATA Consignee'!A:J,10,FALSE)</f>
        <v>2</v>
      </c>
      <c r="AQ11" s="50">
        <f ca="1">VLOOKUP(Tableau1[[#This Row],[Key(POD -PFI- Usine)]],'DATA Consignee'!A:N,14,FALSE)</f>
        <v>4</v>
      </c>
      <c r="AR1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19</v>
      </c>
      <c r="AT11" s="50">
        <f ca="1">Tableau1[[#This Row],[Transit time]]+Tableau1[[#This Row],[Time for security]]+Tableau1[[#This Row],[Time for security2 buffer]]</f>
        <v>48</v>
      </c>
      <c r="AU1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11" s="433">
        <f ca="1">Tableau1[[#This Row],[Leadtime SI2C]]+Tableau1[[#This Row],[First Receipt Days]]-Tableau1[[#This Row],[Day Customer Order]]+1</f>
        <v>85</v>
      </c>
      <c r="AW11" s="119">
        <f ca="1">IF(Tableau1[[#This Row],[Name ILN]]&lt;&gt;"SFK Freight Forwarder",Tableau1[[#This Row],[Cust. Leadtime]],Tableau1[[#This Row],[Leadtime SI2C]])</f>
        <v>76</v>
      </c>
      <c r="AX11" s="51" t="s">
        <v>148</v>
      </c>
      <c r="AY11" s="338">
        <f ca="1">IFERROR(VLOOKUP(Tableau1[[#This Row],[Key(ID-Actif)]],'DATA BTO'!A:N,4,FALSE),VLOOKUP(Tableau1[[#This Row],[ID]],'DATA BTO'!B:N,3,FALSE))</f>
        <v>46507</v>
      </c>
      <c r="AZ11" s="50" t="str">
        <f>IF(ISNUMBER(Tableau1[[#This Row],[Day Customer Order]]),"-","Please Check 'Name' information in 'Order' Sheet to make sure they have information")</f>
        <v>-</v>
      </c>
      <c r="BA1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" s="50"/>
    </row>
    <row r="12" spans="2:57" hidden="1">
      <c r="B12" s="67" t="str">
        <f>_xlfn.CONCAT(Tableau1[[#This Row],[Name ILN]],"-",Tableau1[[#This Row],[Name Shipper]],"-",Tableau1[[#This Row],[Name Site]])</f>
        <v>ILN VLL-SEVILLE-RKM</v>
      </c>
      <c r="C12" s="67" t="str">
        <f ca="1">_xlfn.CONCAT(Tableau1[[#This Row],[Compte ILN]],"-",Tableau1[[#This Row],[Compte Shipper]],"-",Tableau1[[#This Row],[POL]],"-",Tableau1[[#This Row],[Compte Consignee]])</f>
        <v>91018400-91017500-ESALG-92002200</v>
      </c>
      <c r="D12" s="66" t="str">
        <f ca="1">_xlfn.CONCAT(Tableau1[[#This Row],[Compte ILN]],"-",Tableau1[[#This Row],[Compte Shipper]],"-",Tableau1[[#This Row],[POL]])</f>
        <v>91018400-91017500-ESALG</v>
      </c>
      <c r="E12" s="434" t="str">
        <f ca="1">_xlfn.CONCAT(Tableau1[[#This Row],[POL]],"-",Tableau1[[#This Row],[Carrier]],"-",Tableau1[[#This Row],[POD]])</f>
        <v>ESALG-Maersk-KRPUS</v>
      </c>
      <c r="F12" s="66" t="str">
        <f>_xlfn.CONCAT(Tableau1[[#This Row],[ID]],"-","Actif")</f>
        <v>801-Actif</v>
      </c>
      <c r="G12" s="66" t="str">
        <f ca="1">_xlfn.CONCAT(Tableau1[[#This Row],[POD]],"-",Tableau1[[#This Row],[Code PFI]],"-",Tableau1[[#This Row],[Compte Consignee]])</f>
        <v>KRPUS---92002200</v>
      </c>
      <c r="H12" s="434" t="str">
        <f ca="1">_xlfn.CONCAT(IF(Tableau1[[#This Row],[Name ILN]]=Tableau1[[#This Row],[Name Shipper]],Tableau1[[#This Row],[Name ILN]],Tableau1[[#This Row],[Compte Shipper]]),Tableau1[[#This Row],[POL]],Tableau1[[#This Row],[Name Site]])</f>
        <v>91017500ESALGRKM</v>
      </c>
      <c r="I1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RKM-ILN VLL-SEVILLE-801-ESALG-Maersk-KRPUS-</v>
      </c>
      <c r="J12" s="435" t="str">
        <f ca="1">IF(COUNTIF(I:I,Tableau1[[#This Row],[Plant-ILN-shipper-POL-Carrier-POD-PFI]])=1,"Non","Oui")</f>
        <v>Non</v>
      </c>
      <c r="K12" s="436" t="str">
        <f>VLOOKUP(Tableau1[[#This Row],[Name Site]],Plant_AILN!A:D,4,FALSE)</f>
        <v>KOREA</v>
      </c>
      <c r="L12" s="285" t="s">
        <v>145</v>
      </c>
      <c r="M12" s="439">
        <f>VLOOKUP(Tableau1[[#This Row],[Name Site]],Plant_AILN!A:C,3,FALSE)</f>
        <v>92002200</v>
      </c>
      <c r="N12" s="55">
        <f>IF(Tableau1[[#This Row],[Name PFI/CDD]]="PFI VLL",2,VLOOKUP(Tableau1[[#This Row],[Compte Consignee]],Order!C:D,2,FALSE))</f>
        <v>2</v>
      </c>
      <c r="O12" s="116" t="s">
        <v>151</v>
      </c>
      <c r="P12" s="365">
        <f>VLOOKUP(Tableau1[[#This Row],[Name ILN]],Plant_AILN!F:G,2,FALSE)</f>
        <v>91018400</v>
      </c>
      <c r="Q12" s="50">
        <f>VLOOKUP(Tableau1[[#This Row],[Compte ILN]],'DATA ILN'!D:I,6,FALSE)</f>
        <v>9</v>
      </c>
      <c r="R12" s="50">
        <f ca="1">IFERROR(VLOOKUP(Tableau1[[#This Row],[Key(Compte ILN - shipper - POL - plant)]],'DATA ILN'!A:J,10,FALSE),VLOOKUP(Tableau1[[#This Row],[Key(Compte ILN - shipper - POL)]],'DATA ILN'!B:J,9,FALSE))</f>
        <v>14</v>
      </c>
      <c r="S12" s="50">
        <f ca="1">IFERROR(VLOOKUP(Tableau1[[#This Row],[Key(Compte ILN - shipper - POL - plant)]],'DATA ILN'!A:K,11,FALSE),VLOOKUP(Tableau1[[#This Row],[Key(Compte ILN - shipper - POL)]],'DATA ILN'!B:K,10,FALSE))</f>
        <v>5</v>
      </c>
      <c r="T12" s="50">
        <f ca="1">IFERROR(VLOOKUP(Tableau1[[#This Row],[Key(Compte ILN - shipper - POL - plant)]],'DATA ILN'!A:L,12,FALSE),VLOOKUP(Tableau1[[#This Row],[Key(Compte ILN - shipper - POL)]],'DATA ILN'!B:L,11,FALSE))</f>
        <v>7</v>
      </c>
      <c r="U12" s="50">
        <f ca="1">Tableau1[[#This Row],[Day ILN Order]]+Tableau1[[#This Row],[Delivery time to ILN/Shipper]]-1</f>
        <v>22</v>
      </c>
      <c r="V12" s="50">
        <f ca="1">IFERROR(VLOOKUP(Tableau1[[#This Row],[Key(Compte ILN - shipper - POL - plant)]],'DATA ILN'!A:N,14,FALSE),VLOOKUP(Tableau1[[#This Row],[Key(Compte ILN - shipper - POL)]],'DATA ILN'!B:N,13,FALSE))</f>
        <v>2</v>
      </c>
      <c r="W12" s="53">
        <f ca="1">IFERROR(VLOOKUP(Tableau1[[#This Row],[Key(Compte ILN - shipper - POL - plant)]],'DATA ILN'!A:P,16,FALSE),VLOOKUP(Tableau1[[#This Row],[Key(Compte ILN - shipper - POL)]],'DATA ILN'!B:P,15,FALSE))</f>
        <v>3</v>
      </c>
      <c r="X12" s="284" t="s">
        <v>156</v>
      </c>
      <c r="Y12" s="437">
        <f>IFERROR(VLOOKUP(Tableau1[[#This Row],[Name Shipper]],Plant_AILN!L:M,2,FALSE),0)</f>
        <v>91017500</v>
      </c>
      <c r="Z12" s="406">
        <v>801</v>
      </c>
      <c r="AA12" s="396" t="str">
        <f ca="1">VLOOKUP(Tableau1[[#This Row],[Key(ID-Actif)]],'DATA BTO'!A:N,5,FALSE)</f>
        <v>ESALG</v>
      </c>
      <c r="AB12" s="3" t="str">
        <f ca="1">VLOOKUP(Tableau1[[#This Row],[Key(ID-Actif)]],'DATA BTO'!A:N,6,FALSE)</f>
        <v>Maersk</v>
      </c>
      <c r="AC12" s="50">
        <f ca="1">VLOOKUP(Tableau1[[#This Row],[Key(ID-Actif)]],'DATA BTO'!A:N,7,FALSE)</f>
        <v>4</v>
      </c>
      <c r="AD12" s="50">
        <f ca="1">VLOOKUP(Tableau1[[#This Row],[Key(ID-Actif)]],'DATA BTO'!A:N,8,FALSE)</f>
        <v>6</v>
      </c>
      <c r="AE12" s="50">
        <f ca="1">IF(Tableau1[[#This Row],[First Day to POL]]&lt;=Tableau1[[#This Row],[Day Cut Off]],Tableau1[[#This Row],[Day ETD]],Tableau1[[#This Row],[Day ETD]]+7)</f>
        <v>6</v>
      </c>
      <c r="AF12" s="50">
        <f ca="1">VLOOKUP(Tableau1[[#This Row],[Key(ID-Actif)]],'DATA BTO'!A:N,9,FALSE)</f>
        <v>43</v>
      </c>
      <c r="AG12" s="3" t="str">
        <f ca="1">VLOOKUP(Tableau1[[#This Row],[Key(ID-Actif)]],'DATA BTO'!A:N,10,FALSE)</f>
        <v>KRPUS</v>
      </c>
      <c r="AH12" s="3">
        <f ca="1">VLOOKUP(Tableau1[[#This Row],[Key(ID-Actif)]],'DATA BTO'!A:N,11,FALSE)</f>
        <v>3</v>
      </c>
      <c r="AI12" s="50">
        <f ca="1">VLOOKUP(Tableau1[[#This Row],[Key(ID-Actif)]],'DATA BTO'!A:N,12,FALSE)</f>
        <v>7</v>
      </c>
      <c r="AJ12" s="53" t="str">
        <f ca="1">VLOOKUP(Tableau1[[#This Row],[Key(ID-Actif)]],'DATA BTO'!A:N,14,FALSE)</f>
        <v>Wael</v>
      </c>
      <c r="AK12" s="54">
        <f ca="1">VLOOKUP(Tableau1[[#This Row],[Key(POD -PFI- Usine)]],'DATA Consignee'!A:F,6,FALSE)</f>
        <v>2</v>
      </c>
      <c r="AL12" s="127"/>
      <c r="AM12" s="438" t="str">
        <f>IF(Tableau1[[#This Row],[Name PFI/CDD]]="","-",VLOOKUP(Tableau1[[#This Row],[Name PFI/CDD]],Plant_AILN!I:J,2,FALSE))</f>
        <v>-</v>
      </c>
      <c r="AN1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" s="2">
        <f ca="1">VLOOKUP(Tableau1[[#This Row],[Key(POD -PFI- Usine)]],'DATA Consignee'!A:J,10,FALSE)</f>
        <v>0</v>
      </c>
      <c r="AQ12" s="50">
        <f ca="1">VLOOKUP(Tableau1[[#This Row],[Key(POD -PFI- Usine)]],'DATA Consignee'!A:N,14,FALSE)</f>
        <v>1</v>
      </c>
      <c r="AR1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1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12" s="50">
        <f ca="1">Tableau1[[#This Row],[Transit time]]+Tableau1[[#This Row],[Time for security]]+Tableau1[[#This Row],[Time for security2 buffer]]</f>
        <v>53</v>
      </c>
      <c r="AU1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12" s="433">
        <f ca="1">Tableau1[[#This Row],[Leadtime SI2C]]+Tableau1[[#This Row],[First Receipt Days]]-Tableau1[[#This Row],[Day Customer Order]]+1</f>
        <v>90</v>
      </c>
      <c r="AW12" s="119">
        <f ca="1">IF(Tableau1[[#This Row],[Name ILN]]&lt;&gt;"SFK Freight Forwarder",Tableau1[[#This Row],[Cust. Leadtime]],Tableau1[[#This Row],[Leadtime SI2C]])</f>
        <v>90</v>
      </c>
      <c r="AX12" s="51" t="s">
        <v>157</v>
      </c>
      <c r="AY12" s="338">
        <f ca="1">IFERROR(VLOOKUP(Tableau1[[#This Row],[Key(ID-Actif)]],'DATA BTO'!A:N,4,FALSE),VLOOKUP(Tableau1[[#This Row],[ID]],'DATA BTO'!B:N,3,FALSE))</f>
        <v>46507</v>
      </c>
      <c r="AZ12" s="50" t="str">
        <f>IF(ISNUMBER(Tableau1[[#This Row],[Day Customer Order]]),"-","Please Check 'Name' information in 'Order' Sheet to make sure they have information")</f>
        <v>-</v>
      </c>
      <c r="BA1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" s="50"/>
    </row>
    <row r="13" spans="2:57" hidden="1">
      <c r="B13" s="67" t="str">
        <f>_xlfn.CONCAT(Tableau1[[#This Row],[Name ILN]],"-",Tableau1[[#This Row],[Name Shipper]],"-",Tableau1[[#This Row],[Name Site]])</f>
        <v>SFK Freight Forwarder-Magna Shanghai-CORDOBA</v>
      </c>
      <c r="C13" s="67" t="str">
        <f ca="1">_xlfn.CONCAT(Tableau1[[#This Row],[Compte ILN]],"-",Tableau1[[#This Row],[Compte Shipper]],"-",Tableau1[[#This Row],[POL]],"-",Tableau1[[#This Row],[Compte Consignee]])</f>
        <v>0-42838303-CNSHA-90016000</v>
      </c>
      <c r="D13" s="66" t="str">
        <f ca="1">_xlfn.CONCAT(Tableau1[[#This Row],[Compte ILN]],"-",Tableau1[[#This Row],[Compte Shipper]],"-",Tableau1[[#This Row],[POL]])</f>
        <v>0-42838303-CNSHA</v>
      </c>
      <c r="E13" s="434" t="str">
        <f ca="1">_xlfn.CONCAT(Tableau1[[#This Row],[POL]],"-",Tableau1[[#This Row],[Carrier]],"-",Tableau1[[#This Row],[POD]])</f>
        <v>CNSHA-ONE-ARZAE</v>
      </c>
      <c r="F13" s="66" t="str">
        <f>_xlfn.CONCAT(Tableau1[[#This Row],[ID]],"-","Actif")</f>
        <v>866-Actif</v>
      </c>
      <c r="G13" s="66" t="str">
        <f ca="1">_xlfn.CONCAT(Tableau1[[#This Row],[POD]],"-",Tableau1[[#This Row],[Code PFI]],"-",Tableau1[[#This Row],[Compte Consignee]])</f>
        <v>ARZAE---90016000</v>
      </c>
      <c r="H13" s="434" t="str">
        <f ca="1">_xlfn.CONCAT(IF(Tableau1[[#This Row],[Name ILN]]=Tableau1[[#This Row],[Name Shipper]],Tableau1[[#This Row],[Name ILN]],Tableau1[[#This Row],[Compte Shipper]]),Tableau1[[#This Row],[POL]],Tableau1[[#This Row],[Name Site]])</f>
        <v>42838303CNSHACORDOBA</v>
      </c>
      <c r="I1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CORDOBA-SFK Freight Forwarder-Magna Shanghai-866-CNSHA-ONE-ARZAE-</v>
      </c>
      <c r="J13" s="435" t="str">
        <f ca="1">IF(COUNTIF(I:I,Tableau1[[#This Row],[Plant-ILN-shipper-POL-Carrier-POD-PFI]])=1,"Non","Oui")</f>
        <v>Non</v>
      </c>
      <c r="K13" s="128" t="str">
        <f>VLOOKUP(Tableau1[[#This Row],[Name Site]],Plant_AILN!A:D,4,FALSE)</f>
        <v>ARGENTINA</v>
      </c>
      <c r="L13" s="411" t="s">
        <v>158</v>
      </c>
      <c r="M13" s="439">
        <f>VLOOKUP(Tableau1[[#This Row],[Name Site]],Plant_AILN!A:C,3,FALSE)</f>
        <v>90016000</v>
      </c>
      <c r="N13" s="55">
        <f>IF(Tableau1[[#This Row],[Name PFI/CDD]]="PFI VLL",2,VLOOKUP(Tableau1[[#This Row],[Compte Consignee]],Order!C:D,2,FALSE))</f>
        <v>7</v>
      </c>
      <c r="O13" s="116" t="s">
        <v>146</v>
      </c>
      <c r="P13" s="365">
        <f>VLOOKUP(Tableau1[[#This Row],[Name ILN]],Plant_AILN!F:G,2,FALSE)</f>
        <v>0</v>
      </c>
      <c r="Q13" s="50">
        <f>VLOOKUP(Tableau1[[#This Row],[Compte ILN]],'DATA ILN'!D:I,6,FALSE)</f>
        <v>9</v>
      </c>
      <c r="R13" s="50">
        <f ca="1">IFERROR(VLOOKUP(Tableau1[[#This Row],[Key(Compte ILN - shipper - POL - plant)]],'DATA ILN'!A:J,10,FALSE),VLOOKUP(Tableau1[[#This Row],[Key(Compte ILN - shipper - POL)]],'DATA ILN'!B:J,9,FALSE))</f>
        <v>7</v>
      </c>
      <c r="S13" s="50">
        <f ca="1">IFERROR(VLOOKUP(Tableau1[[#This Row],[Key(Compte ILN - shipper - POL - plant)]],'DATA ILN'!A:K,11,FALSE),VLOOKUP(Tableau1[[#This Row],[Key(Compte ILN - shipper - POL)]],'DATA ILN'!B:K,10,FALSE))</f>
        <v>5</v>
      </c>
      <c r="T13" s="50">
        <f ca="1">IFERROR(VLOOKUP(Tableau1[[#This Row],[Key(Compte ILN - shipper - POL - plant)]],'DATA ILN'!A:L,12,FALSE),VLOOKUP(Tableau1[[#This Row],[Key(Compte ILN - shipper - POL)]],'DATA ILN'!B:L,11,FALSE))</f>
        <v>7</v>
      </c>
      <c r="U13" s="50">
        <f ca="1">Tableau1[[#This Row],[Day ILN Order]]+Tableau1[[#This Row],[Delivery time to ILN/Shipper]]-1</f>
        <v>15</v>
      </c>
      <c r="V13" s="50">
        <f ca="1">IFERROR(VLOOKUP(Tableau1[[#This Row],[Key(Compte ILN - shipper - POL - plant)]],'DATA ILN'!A:N,14,FALSE),VLOOKUP(Tableau1[[#This Row],[Key(Compte ILN - shipper - POL)]],'DATA ILN'!B:N,13,FALSE))</f>
        <v>8</v>
      </c>
      <c r="W13" s="53">
        <f ca="1">IFERROR(VLOOKUP(Tableau1[[#This Row],[Key(Compte ILN - shipper - POL - plant)]],'DATA ILN'!A:P,16,FALSE),VLOOKUP(Tableau1[[#This Row],[Key(Compte ILN - shipper - POL)]],'DATA ILN'!B:P,15,FALSE))</f>
        <v>3</v>
      </c>
      <c r="X13" s="116" t="s">
        <v>153</v>
      </c>
      <c r="Y13" s="437">
        <f>IFERROR(VLOOKUP(Tableau1[[#This Row],[Name Shipper]],Plant_AILN!L:M,2,FALSE),0)</f>
        <v>42838303</v>
      </c>
      <c r="Z13" s="406">
        <v>866</v>
      </c>
      <c r="AA13" s="396" t="str">
        <f ca="1">VLOOKUP(Tableau1[[#This Row],[Key(ID-Actif)]],'DATA BTO'!A:N,5,FALSE)</f>
        <v>CNSHA</v>
      </c>
      <c r="AB13" s="3" t="str">
        <f ca="1">VLOOKUP(Tableau1[[#This Row],[Key(ID-Actif)]],'DATA BTO'!A:N,6,FALSE)</f>
        <v>ONE</v>
      </c>
      <c r="AC13" s="50">
        <f ca="1">VLOOKUP(Tableau1[[#This Row],[Key(ID-Actif)]],'DATA BTO'!A:N,7,FALSE)</f>
        <v>5</v>
      </c>
      <c r="AD13" s="50">
        <f ca="1">VLOOKUP(Tableau1[[#This Row],[Key(ID-Actif)]],'DATA BTO'!A:N,8,FALSE)</f>
        <v>7</v>
      </c>
      <c r="AE13" s="50">
        <f ca="1">IF(Tableau1[[#This Row],[First Day to POL]]&lt;=Tableau1[[#This Row],[Day Cut Off]],Tableau1[[#This Row],[Day ETD]],Tableau1[[#This Row],[Day ETD]]+7)</f>
        <v>7</v>
      </c>
      <c r="AF13" s="50">
        <f ca="1">VLOOKUP(Tableau1[[#This Row],[Key(ID-Actif)]],'DATA BTO'!A:N,9,FALSE)</f>
        <v>41</v>
      </c>
      <c r="AG13" s="3" t="str">
        <f ca="1">VLOOKUP(Tableau1[[#This Row],[Key(ID-Actif)]],'DATA BTO'!A:N,10,FALSE)</f>
        <v>ARZAE</v>
      </c>
      <c r="AH13" s="3">
        <f ca="1">VLOOKUP(Tableau1[[#This Row],[Key(ID-Actif)]],'DATA BTO'!A:N,11,FALSE)</f>
        <v>3</v>
      </c>
      <c r="AI13" s="50">
        <f ca="1">VLOOKUP(Tableau1[[#This Row],[Key(ID-Actif)]],'DATA BTO'!A:N,12,FALSE)</f>
        <v>7</v>
      </c>
      <c r="AJ13" s="53" t="str">
        <f ca="1">VLOOKUP(Tableau1[[#This Row],[Key(ID-Actif)]],'DATA BTO'!A:N,14,FALSE)</f>
        <v>Max</v>
      </c>
      <c r="AK13" s="54">
        <f ca="1">VLOOKUP(Tableau1[[#This Row],[Key(POD -PFI- Usine)]],'DATA Consignee'!A:F,6,FALSE)</f>
        <v>3</v>
      </c>
      <c r="AL13" s="127"/>
      <c r="AM13" s="438" t="str">
        <f>IF(Tableau1[[#This Row],[Name PFI/CDD]]="","-",VLOOKUP(Tableau1[[#This Row],[Name PFI/CDD]],Plant_AILN!I:J,2,FALSE))</f>
        <v>-</v>
      </c>
      <c r="AN1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" s="2">
        <f ca="1">VLOOKUP(Tableau1[[#This Row],[Key(POD -PFI- Usine)]],'DATA Consignee'!A:J,10,FALSE)</f>
        <v>0</v>
      </c>
      <c r="AQ13" s="50">
        <f ca="1">VLOOKUP(Tableau1[[#This Row],[Key(POD -PFI- Usine)]],'DATA Consignee'!A:N,14,FALSE)</f>
        <v>3</v>
      </c>
      <c r="AR1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19</v>
      </c>
      <c r="AT13" s="50">
        <f ca="1">Tableau1[[#This Row],[Transit time]]+Tableau1[[#This Row],[Time for security]]+Tableau1[[#This Row],[Time for security2 buffer]]</f>
        <v>51</v>
      </c>
      <c r="AU1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13" s="433">
        <f ca="1">Tableau1[[#This Row],[Leadtime SI2C]]+Tableau1[[#This Row],[First Receipt Days]]-Tableau1[[#This Row],[Day Customer Order]]+1</f>
        <v>85</v>
      </c>
      <c r="AW13" s="119">
        <f ca="1">IF(Tableau1[[#This Row],[Name ILN]]&lt;&gt;"SFK Freight Forwarder",Tableau1[[#This Row],[Cust. Leadtime]],Tableau1[[#This Row],[Leadtime SI2C]])</f>
        <v>76</v>
      </c>
      <c r="AX13" s="51" t="s">
        <v>148</v>
      </c>
      <c r="AY13" s="338">
        <f ca="1">IFERROR(VLOOKUP(Tableau1[[#This Row],[Key(ID-Actif)]],'DATA BTO'!A:N,4,FALSE),VLOOKUP(Tableau1[[#This Row],[ID]],'DATA BTO'!B:N,3,FALSE))</f>
        <v>46507</v>
      </c>
      <c r="AZ13" s="50" t="str">
        <f>IF(ISNUMBER(Tableau1[[#This Row],[Day Customer Order]]),"-","Please Check 'Name' information in 'Order' Sheet to make sure they have information")</f>
        <v>-</v>
      </c>
      <c r="BA1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" s="50"/>
    </row>
    <row r="14" spans="2:57" hidden="1">
      <c r="B14" s="446" t="str">
        <f>_xlfn.CONCAT(Tableau1[[#This Row],[Name ILN]],"-",Tableau1[[#This Row],[Name Shipper]],"-",Tableau1[[#This Row],[Name Site]])</f>
        <v>SFK Freight Forwarder-Magna Shanghai-CHENNAI Vehicule</v>
      </c>
      <c r="C14" s="66" t="str">
        <f ca="1">_xlfn.CONCAT(Tableau1[[#This Row],[Compte ILN]],"-",Tableau1[[#This Row],[Compte Shipper]],"-",Tableau1[[#This Row],[POL]],"-",Tableau1[[#This Row],[Compte Consignee]])</f>
        <v>0-42838303-CNSHA-26549502</v>
      </c>
      <c r="D14" s="66" t="str">
        <f ca="1">_xlfn.CONCAT(Tableau1[[#This Row],[Compte ILN]],"-",Tableau1[[#This Row],[Compte Shipper]],"-",Tableau1[[#This Row],[POL]])</f>
        <v>0-42838303-CNSHA</v>
      </c>
      <c r="E14" s="130" t="str">
        <f ca="1">_xlfn.CONCAT(Tableau1[[#This Row],[POL]],"-",Tableau1[[#This Row],[Carrier]],"-",Tableau1[[#This Row],[POD]])</f>
        <v>CNSHA-ONE-INMAA</v>
      </c>
      <c r="F14" s="66" t="str">
        <f>_xlfn.CONCAT(Tableau1[[#This Row],[ID]],"-","Actif")</f>
        <v>888-Actif</v>
      </c>
      <c r="G14" s="66" t="str">
        <f ca="1">_xlfn.CONCAT(Tableau1[[#This Row],[POD]],"-",Tableau1[[#This Row],[Code PFI]],"-",Tableau1[[#This Row],[Compte Consignee]])</f>
        <v>INMAA---26549502</v>
      </c>
      <c r="H14" s="131" t="str">
        <f ca="1">_xlfn.CONCAT(IF(Tableau1[[#This Row],[Name ILN]]=Tableau1[[#This Row],[Name Shipper]],Tableau1[[#This Row],[Name ILN]],Tableau1[[#This Row],[Compte Shipper]]),Tableau1[[#This Row],[POL]],Tableau1[[#This Row],[Name Site]])</f>
        <v>42838303CNSHACHENNAI Vehicule</v>
      </c>
      <c r="I1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CHENNAI Vehicule-SFK Freight Forwarder-Magna Shanghai-888-CNSHA-ONE-INMAA-</v>
      </c>
      <c r="J14" s="119" t="str">
        <f ca="1">IF(COUNTIF(I:I,Tableau1[[#This Row],[Plant-ILN-shipper-POL-Carrier-POD-PFI]])=1,"Non","Oui")</f>
        <v>Non</v>
      </c>
      <c r="K14" s="128" t="str">
        <f>VLOOKUP(Tableau1[[#This Row],[Name Site]],Plant_AILN!A:D,4,FALSE)</f>
        <v>INDIA</v>
      </c>
      <c r="L14" s="411" t="s">
        <v>159</v>
      </c>
      <c r="M14" s="454">
        <f>VLOOKUP(Tableau1[[#This Row],[Name Site]],Plant_AILN!A:C,3,FALSE)</f>
        <v>26549502</v>
      </c>
      <c r="N14" s="55">
        <f>IF(Tableau1[[#This Row],[Name PFI/CDD]]="PFI VLL",2,VLOOKUP(Tableau1[[#This Row],[Compte Consignee]],Order!C:D,2,FALSE))</f>
        <v>5</v>
      </c>
      <c r="O14" s="124" t="s">
        <v>146</v>
      </c>
      <c r="P14" s="365">
        <f>VLOOKUP(Tableau1[[#This Row],[Name ILN]],Plant_AILN!F:G,2,FALSE)</f>
        <v>0</v>
      </c>
      <c r="Q14" s="50">
        <f>VLOOKUP(Tableau1[[#This Row],[Compte ILN]],'DATA ILN'!D:I,6,FALSE)</f>
        <v>9</v>
      </c>
      <c r="R14" s="50">
        <f ca="1">IFERROR(VLOOKUP(Tableau1[[#This Row],[Key(Compte ILN - shipper - POL - plant)]],'DATA ILN'!A:J,10,FALSE),VLOOKUP(Tableau1[[#This Row],[Key(Compte ILN - shipper - POL)]],'DATA ILN'!B:J,9,FALSE))</f>
        <v>7</v>
      </c>
      <c r="S14" s="50">
        <f ca="1">IFERROR(VLOOKUP(Tableau1[[#This Row],[Key(Compte ILN - shipper - POL - plant)]],'DATA ILN'!A:K,11,FALSE),VLOOKUP(Tableau1[[#This Row],[Key(Compte ILN - shipper - POL)]],'DATA ILN'!B:K,10,FALSE))</f>
        <v>5</v>
      </c>
      <c r="T14" s="50">
        <f ca="1">IFERROR(VLOOKUP(Tableau1[[#This Row],[Key(Compte ILN - shipper - POL - plant)]],'DATA ILN'!A:L,12,FALSE),VLOOKUP(Tableau1[[#This Row],[Key(Compte ILN - shipper - POL)]],'DATA ILN'!B:L,11,FALSE))</f>
        <v>7</v>
      </c>
      <c r="U14" s="50">
        <f ca="1">Tableau1[[#This Row],[Day ILN Order]]+Tableau1[[#This Row],[Delivery time to ILN/Shipper]]-1</f>
        <v>15</v>
      </c>
      <c r="V14" s="50">
        <f ca="1">IFERROR(VLOOKUP(Tableau1[[#This Row],[Key(Compte ILN - shipper - POL - plant)]],'DATA ILN'!A:N,14,FALSE),VLOOKUP(Tableau1[[#This Row],[Key(Compte ILN - shipper - POL)]],'DATA ILN'!B:N,13,FALSE))</f>
        <v>8</v>
      </c>
      <c r="W14" s="50">
        <f ca="1">IFERROR(VLOOKUP(Tableau1[[#This Row],[Key(Compte ILN - shipper - POL - plant)]],'DATA ILN'!A:P,16,FALSE),VLOOKUP(Tableau1[[#This Row],[Key(Compte ILN - shipper - POL)]],'DATA ILN'!B:P,15,FALSE))</f>
        <v>3</v>
      </c>
      <c r="X14" s="284" t="s">
        <v>153</v>
      </c>
      <c r="Y14" s="430">
        <f>IFERROR(VLOOKUP(Tableau1[[#This Row],[Name Shipper]],Plant_AILN!L:M,2,FALSE),0)</f>
        <v>42838303</v>
      </c>
      <c r="Z14" s="406">
        <v>888</v>
      </c>
      <c r="AA14" s="396" t="str">
        <f ca="1">VLOOKUP(Tableau1[[#This Row],[Key(ID-Actif)]],'DATA BTO'!A:N,5,FALSE)</f>
        <v>CNSHA</v>
      </c>
      <c r="AB14" s="3" t="str">
        <f ca="1">VLOOKUP(Tableau1[[#This Row],[Key(ID-Actif)]],'DATA BTO'!A:N,6,FALSE)</f>
        <v>ONE</v>
      </c>
      <c r="AC14" s="50">
        <f ca="1">VLOOKUP(Tableau1[[#This Row],[Key(ID-Actif)]],'DATA BTO'!A:N,7,FALSE)</f>
        <v>1</v>
      </c>
      <c r="AD14" s="50">
        <f ca="1">VLOOKUP(Tableau1[[#This Row],[Key(ID-Actif)]],'DATA BTO'!A:N,8,FALSE)</f>
        <v>3</v>
      </c>
      <c r="AE14" s="81">
        <f ca="1">IF(Tableau1[[#This Row],[First Day to POL]]&lt;=Tableau1[[#This Row],[Day Cut Off]],Tableau1[[#This Row],[Day ETD]],Tableau1[[#This Row],[Day ETD]]+7)</f>
        <v>10</v>
      </c>
      <c r="AF14" s="50">
        <f ca="1">VLOOKUP(Tableau1[[#This Row],[Key(ID-Actif)]],'DATA BTO'!A:N,9,FALSE)</f>
        <v>16</v>
      </c>
      <c r="AG14" s="3" t="str">
        <f ca="1">VLOOKUP(Tableau1[[#This Row],[Key(ID-Actif)]],'DATA BTO'!A:N,10,FALSE)</f>
        <v>INMAA</v>
      </c>
      <c r="AH14" s="3">
        <f ca="1">VLOOKUP(Tableau1[[#This Row],[Key(ID-Actif)]],'DATA BTO'!A:N,11,FALSE)</f>
        <v>3</v>
      </c>
      <c r="AI14" s="50">
        <f ca="1">VLOOKUP(Tableau1[[#This Row],[Key(ID-Actif)]],'DATA BTO'!A:N,12,FALSE)</f>
        <v>7</v>
      </c>
      <c r="AJ14" s="53" t="str">
        <f ca="1">VLOOKUP(Tableau1[[#This Row],[Key(ID-Actif)]],'DATA BTO'!A:N,14,FALSE)</f>
        <v>Max</v>
      </c>
      <c r="AK14" s="54">
        <f ca="1">VLOOKUP(Tableau1[[#This Row],[Key(POD -PFI- Usine)]],'DATA Consignee'!A:F,6,FALSE)</f>
        <v>4</v>
      </c>
      <c r="AL14" s="284"/>
      <c r="AM14" s="376" t="str">
        <f>IF(Tableau1[[#This Row],[Name PFI/CDD]]="","-",VLOOKUP(Tableau1[[#This Row],[Name PFI/CDD]],Plant_AILN!I:J,2,FALSE))</f>
        <v>-</v>
      </c>
      <c r="AN1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" s="2">
        <f ca="1">VLOOKUP(Tableau1[[#This Row],[Key(POD -PFI- Usine)]],'DATA Consignee'!A:J,10,FALSE)</f>
        <v>0</v>
      </c>
      <c r="AQ14" s="50">
        <f ca="1">VLOOKUP(Tableau1[[#This Row],[Key(POD -PFI- Usine)]],'DATA Consignee'!A:N,14,FALSE)</f>
        <v>3</v>
      </c>
      <c r="AR1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22</v>
      </c>
      <c r="AT14" s="50">
        <f ca="1">Tableau1[[#This Row],[Transit time]]+Tableau1[[#This Row],[Time for security]]+Tableau1[[#This Row],[Time for security2 buffer]]</f>
        <v>26</v>
      </c>
      <c r="AU1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14" s="50">
        <f ca="1">Tableau1[[#This Row],[Leadtime SI2C]]+Tableau1[[#This Row],[First Receipt Days]]-Tableau1[[#This Row],[Day Customer Order]]+1</f>
        <v>66</v>
      </c>
      <c r="AW14" s="119">
        <f ca="1">IF(Tableau1[[#This Row],[Name ILN]]&lt;&gt;"SFK Freight Forwarder",Tableau1[[#This Row],[Cust. Leadtime]],Tableau1[[#This Row],[Leadtime SI2C]])</f>
        <v>55</v>
      </c>
      <c r="AX14" s="59" t="s">
        <v>148</v>
      </c>
      <c r="AY14" s="338">
        <f ca="1">IFERROR(VLOOKUP(Tableau1[[#This Row],[Key(ID-Actif)]],'DATA BTO'!A:N,4,FALSE),VLOOKUP(Tableau1[[#This Row],[ID]],'DATA BTO'!B:N,3,FALSE))</f>
        <v>46507</v>
      </c>
      <c r="AZ14" s="50" t="str">
        <f>IF(ISNUMBER(Tableau1[[#This Row],[Day Customer Order]]),"-","Please Check 'Name' information in 'Order' Sheet to make sure they have information")</f>
        <v>-</v>
      </c>
      <c r="BA1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" s="50"/>
    </row>
    <row r="15" spans="2:57" hidden="1">
      <c r="B15" s="67" t="str">
        <f>_xlfn.CONCAT(Tableau1[[#This Row],[Name ILN]],"-",Tableau1[[#This Row],[Name Shipper]],"-",Tableau1[[#This Row],[Name Site]])</f>
        <v>ILN Tanger-ILN Tanger-Curitiba CMO</v>
      </c>
      <c r="C15" s="67" t="str">
        <f ca="1">_xlfn.CONCAT(Tableau1[[#This Row],[Compte ILN]],"-",Tableau1[[#This Row],[Compte Shipper]],"-",Tableau1[[#This Row],[POL]],"-",Tableau1[[#This Row],[Compte Consignee]])</f>
        <v>92050300-92050300-MAPTM-90018600</v>
      </c>
      <c r="D15" s="66" t="str">
        <f ca="1">_xlfn.CONCAT(Tableau1[[#This Row],[Compte ILN]],"-",Tableau1[[#This Row],[Compte Shipper]],"-",Tableau1[[#This Row],[POL]])</f>
        <v>92050300-92050300-MAPTM</v>
      </c>
      <c r="E15" s="434" t="str">
        <f ca="1">_xlfn.CONCAT(Tableau1[[#This Row],[POL]],"-",Tableau1[[#This Row],[Carrier]],"-",Tableau1[[#This Row],[POD]])</f>
        <v>MAPTM-CMA-CGM-BRPNG</v>
      </c>
      <c r="F15" s="66" t="str">
        <f>_xlfn.CONCAT(Tableau1[[#This Row],[ID]],"-","Actif")</f>
        <v>900-Actif</v>
      </c>
      <c r="G15" s="66" t="str">
        <f ca="1">_xlfn.CONCAT(Tableau1[[#This Row],[POD]],"-",Tableau1[[#This Row],[Code PFI]],"-",Tableau1[[#This Row],[Compte Consignee]])</f>
        <v>BRPNG---90018600</v>
      </c>
      <c r="H15" s="434" t="str">
        <f ca="1">_xlfn.CONCAT(IF(Tableau1[[#This Row],[Name ILN]]=Tableau1[[#This Row],[Name Shipper]],Tableau1[[#This Row],[Name ILN]],Tableau1[[#This Row],[Compte Shipper]]),Tableau1[[#This Row],[POL]],Tableau1[[#This Row],[Name Site]])</f>
        <v>ILN TangerMAPTMCuritiba CMO</v>
      </c>
      <c r="I1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Tanger-ILN Tanger-900-MAPTM-CMA-CGM-BRPNG-</v>
      </c>
      <c r="J15" s="435" t="str">
        <f ca="1">IF(COUNTIF(I:I,Tableau1[[#This Row],[Plant-ILN-shipper-POL-Carrier-POD-PFI]])=1,"Non","Oui")</f>
        <v>Non</v>
      </c>
      <c r="K15" s="440" t="str">
        <f>VLOOKUP(Tableau1[[#This Row],[Name Site]],Plant_AILN!A:D,4,FALSE)</f>
        <v>BRAZIL</v>
      </c>
      <c r="L15" s="10" t="s">
        <v>160</v>
      </c>
      <c r="M15" s="439">
        <f>VLOOKUP(Tableau1[[#This Row],[Name Site]],Plant_AILN!A:C,3,FALSE)</f>
        <v>90018600</v>
      </c>
      <c r="N15" s="55">
        <f>IF(Tableau1[[#This Row],[Name PFI/CDD]]="PFI VLL",2,VLOOKUP(Tableau1[[#This Row],[Compte Consignee]],Order!C:D,2,FALSE))</f>
        <v>7</v>
      </c>
      <c r="O15" s="116" t="s">
        <v>161</v>
      </c>
      <c r="P15" s="365">
        <f>VLOOKUP(Tableau1[[#This Row],[Name ILN]],Plant_AILN!F:G,2,FALSE)</f>
        <v>92050300</v>
      </c>
      <c r="Q15" s="50">
        <f>VLOOKUP(Tableau1[[#This Row],[Compte ILN]],'DATA ILN'!D:I,6,FALSE)</f>
        <v>9</v>
      </c>
      <c r="R15" s="50">
        <f ca="1">IFERROR(VLOOKUP(Tableau1[[#This Row],[Key(Compte ILN - shipper - POL - plant)]],'DATA ILN'!A:J,10,FALSE),VLOOKUP(Tableau1[[#This Row],[Key(Compte ILN - shipper - POL)]],'DATA ILN'!B:J,9,FALSE))</f>
        <v>7</v>
      </c>
      <c r="S15" s="50">
        <f ca="1">IFERROR(VLOOKUP(Tableau1[[#This Row],[Key(Compte ILN - shipper - POL - plant)]],'DATA ILN'!A:K,11,FALSE),VLOOKUP(Tableau1[[#This Row],[Key(Compte ILN - shipper - POL)]],'DATA ILN'!B:K,10,FALSE))</f>
        <v>5</v>
      </c>
      <c r="T15" s="50">
        <f ca="1">IFERROR(VLOOKUP(Tableau1[[#This Row],[Key(Compte ILN - shipper - POL - plant)]],'DATA ILN'!A:L,12,FALSE),VLOOKUP(Tableau1[[#This Row],[Key(Compte ILN - shipper - POL)]],'DATA ILN'!B:L,11,FALSE))</f>
        <v>7</v>
      </c>
      <c r="U15" s="50">
        <f ca="1">Tableau1[[#This Row],[Day ILN Order]]+Tableau1[[#This Row],[Delivery time to ILN/Shipper]]-1</f>
        <v>15</v>
      </c>
      <c r="V15" s="50">
        <f ca="1">IFERROR(VLOOKUP(Tableau1[[#This Row],[Key(Compte ILN - shipper - POL - plant)]],'DATA ILN'!A:N,14,FALSE),VLOOKUP(Tableau1[[#This Row],[Key(Compte ILN - shipper - POL)]],'DATA ILN'!B:N,13,FALSE))</f>
        <v>3</v>
      </c>
      <c r="W15" s="53">
        <f ca="1">IFERROR(VLOOKUP(Tableau1[[#This Row],[Key(Compte ILN - shipper - POL - plant)]],'DATA ILN'!A:P,16,FALSE),VLOOKUP(Tableau1[[#This Row],[Key(Compte ILN - shipper - POL)]],'DATA ILN'!B:P,15,FALSE))</f>
        <v>4</v>
      </c>
      <c r="X15" s="116" t="s">
        <v>161</v>
      </c>
      <c r="Y15" s="437">
        <f>IFERROR(VLOOKUP(Tableau1[[#This Row],[Name Shipper]],Plant_AILN!L:M,2,FALSE),0)</f>
        <v>92050300</v>
      </c>
      <c r="Z15" s="406">
        <v>900</v>
      </c>
      <c r="AA15" s="396" t="str">
        <f ca="1">VLOOKUP(Tableau1[[#This Row],[Key(ID-Actif)]],'DATA BTO'!A:N,5,FALSE)</f>
        <v>MAPTM</v>
      </c>
      <c r="AB15" s="3" t="str">
        <f ca="1">VLOOKUP(Tableau1[[#This Row],[Key(ID-Actif)]],'DATA BTO'!A:N,6,FALSE)</f>
        <v>CMA-CGM</v>
      </c>
      <c r="AC15" s="50">
        <f ca="1">VLOOKUP(Tableau1[[#This Row],[Key(ID-Actif)]],'DATA BTO'!A:N,7,FALSE)</f>
        <v>6</v>
      </c>
      <c r="AD15" s="50">
        <f ca="1">VLOOKUP(Tableau1[[#This Row],[Key(ID-Actif)]],'DATA BTO'!A:N,8,FALSE)</f>
        <v>9</v>
      </c>
      <c r="AE15" s="50">
        <f ca="1">IF(Tableau1[[#This Row],[First Day to POL]]&lt;=Tableau1[[#This Row],[Day Cut Off]],Tableau1[[#This Row],[Day ETD]],Tableau1[[#This Row],[Day ETD]]+7)</f>
        <v>9</v>
      </c>
      <c r="AF15" s="50">
        <f ca="1">VLOOKUP(Tableau1[[#This Row],[Key(ID-Actif)]],'DATA BTO'!A:N,9,FALSE)</f>
        <v>17</v>
      </c>
      <c r="AG15" s="3" t="str">
        <f ca="1">VLOOKUP(Tableau1[[#This Row],[Key(ID-Actif)]],'DATA BTO'!A:N,10,FALSE)</f>
        <v>BRPNG</v>
      </c>
      <c r="AH15" s="3">
        <f ca="1">VLOOKUP(Tableau1[[#This Row],[Key(ID-Actif)]],'DATA BTO'!A:N,11,FALSE)</f>
        <v>3</v>
      </c>
      <c r="AI15" s="50">
        <f ca="1">VLOOKUP(Tableau1[[#This Row],[Key(ID-Actif)]],'DATA BTO'!A:N,12,FALSE)</f>
        <v>7</v>
      </c>
      <c r="AJ15" s="53" t="str">
        <f ca="1">VLOOKUP(Tableau1[[#This Row],[Key(ID-Actif)]],'DATA BTO'!A:N,14,FALSE)</f>
        <v>Véronique</v>
      </c>
      <c r="AK15" s="54">
        <f ca="1">VLOOKUP(Tableau1[[#This Row],[Key(POD -PFI- Usine)]],'DATA Consignee'!A:F,6,FALSE)</f>
        <v>2</v>
      </c>
      <c r="AL15" s="127"/>
      <c r="AM15" s="438" t="str">
        <f>IF(Tableau1[[#This Row],[Name PFI/CDD]]="","-",VLOOKUP(Tableau1[[#This Row],[Name PFI/CDD]],Plant_AILN!I:J,2,FALSE))</f>
        <v>-</v>
      </c>
      <c r="AN1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" s="2">
        <f ca="1">VLOOKUP(Tableau1[[#This Row],[Key(POD -PFI- Usine)]],'DATA Consignee'!A:J,10,FALSE)</f>
        <v>0</v>
      </c>
      <c r="AQ15" s="50">
        <f ca="1">VLOOKUP(Tableau1[[#This Row],[Key(POD -PFI- Usine)]],'DATA Consignee'!A:N,14,FALSE)</f>
        <v>2</v>
      </c>
      <c r="AR1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1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15" s="50">
        <f ca="1">Tableau1[[#This Row],[Transit time]]+Tableau1[[#This Row],[Time for security]]+Tableau1[[#This Row],[Time for security2 buffer]]</f>
        <v>27</v>
      </c>
      <c r="AU1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15" s="433">
        <f ca="1">Tableau1[[#This Row],[Leadtime SI2C]]+Tableau1[[#This Row],[First Receipt Days]]-Tableau1[[#This Row],[Day Customer Order]]+1</f>
        <v>57</v>
      </c>
      <c r="AW15" s="119">
        <f ca="1">IF(Tableau1[[#This Row],[Name ILN]]&lt;&gt;"SFK Freight Forwarder",Tableau1[[#This Row],[Cust. Leadtime]],Tableau1[[#This Row],[Leadtime SI2C]])</f>
        <v>57</v>
      </c>
      <c r="AX15" s="51" t="s">
        <v>144</v>
      </c>
      <c r="AY15" s="338">
        <f ca="1">IFERROR(VLOOKUP(Tableau1[[#This Row],[Key(ID-Actif)]],'DATA BTO'!A:N,4,FALSE),VLOOKUP(Tableau1[[#This Row],[ID]],'DATA BTO'!B:N,3,FALSE))</f>
        <v>46507</v>
      </c>
      <c r="AZ15" s="50" t="str">
        <f>IF(ISNUMBER(Tableau1[[#This Row],[Day Customer Order]]),"-","Please Check 'Name' information in 'Order' Sheet to make sure they have information")</f>
        <v>-</v>
      </c>
      <c r="BA1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" s="50"/>
    </row>
    <row r="16" spans="2:57" hidden="1">
      <c r="B16" s="67" t="str">
        <f>_xlfn.CONCAT(Tableau1[[#This Row],[Name ILN]],"-",Tableau1[[#This Row],[Name Shipper]],"-",Tableau1[[#This Row],[Name Site]])</f>
        <v>ILN Curitiba-ILN Curitiba-DACIA MECA</v>
      </c>
      <c r="C16" s="67" t="str">
        <f ca="1">_xlfn.CONCAT(Tableau1[[#This Row],[Compte ILN]],"-",Tableau1[[#This Row],[Compte Shipper]],"-",Tableau1[[#This Row],[POL]],"-",Tableau1[[#This Row],[Compte Consignee]])</f>
        <v>95207-95207-BRPNG-90012500</v>
      </c>
      <c r="D16" s="66" t="str">
        <f ca="1">_xlfn.CONCAT(Tableau1[[#This Row],[Compte ILN]],"-",Tableau1[[#This Row],[Compte Shipper]],"-",Tableau1[[#This Row],[POL]])</f>
        <v>95207-95207-BRPNG</v>
      </c>
      <c r="E16" s="434" t="str">
        <f ca="1">_xlfn.CONCAT(Tableau1[[#This Row],[POL]],"-",Tableau1[[#This Row],[Carrier]],"-",Tableau1[[#This Row],[POD]])</f>
        <v>BRPNG-CMA-CGM-ROCND</v>
      </c>
      <c r="F16" s="66" t="str">
        <f>_xlfn.CONCAT(Tableau1[[#This Row],[ID]],"-","Actif")</f>
        <v>901-Actif</v>
      </c>
      <c r="G16" s="66" t="str">
        <f ca="1">_xlfn.CONCAT(Tableau1[[#This Row],[POD]],"-",Tableau1[[#This Row],[Code PFI]],"-",Tableau1[[#This Row],[Compte Consignee]])</f>
        <v>ROCND-2839004-90012500</v>
      </c>
      <c r="H16" s="434" t="str">
        <f ca="1">_xlfn.CONCAT(IF(Tableau1[[#This Row],[Name ILN]]=Tableau1[[#This Row],[Name Shipper]],Tableau1[[#This Row],[Name ILN]],Tableau1[[#This Row],[Compte Shipper]]),Tableau1[[#This Row],[POL]],Tableau1[[#This Row],[Name Site]])</f>
        <v>ILN CuritibaBRPNGDACIA MECA</v>
      </c>
      <c r="I1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Curitiba-ILN Curitiba-901-BRPNG-CMA-CGM-ROCND-Magasin Dacia</v>
      </c>
      <c r="J16" s="435" t="str">
        <f ca="1">IF(COUNTIF(I:I,Tableau1[[#This Row],[Plant-ILN-shipper-POL-Carrier-POD-PFI]])=1,"Non","Oui")</f>
        <v>Non</v>
      </c>
      <c r="K16" s="436" t="str">
        <f>VLOOKUP(Tableau1[[#This Row],[Name Site]],Plant_AILN!A:D,4,FALSE)</f>
        <v>ROMANIA</v>
      </c>
      <c r="L16" s="411" t="s">
        <v>162</v>
      </c>
      <c r="M16" s="439">
        <f>VLOOKUP(Tableau1[[#This Row],[Name Site]],Plant_AILN!A:C,3,FALSE)</f>
        <v>90012500</v>
      </c>
      <c r="N16" s="55">
        <f>IF(Tableau1[[#This Row],[Name PFI/CDD]]="PFI VLL",2,VLOOKUP(Tableau1[[#This Row],[Compte Consignee]],Order!C:D,2,FALSE))</f>
        <v>7</v>
      </c>
      <c r="O16" s="116" t="s">
        <v>163</v>
      </c>
      <c r="P16" s="365">
        <f>VLOOKUP(Tableau1[[#This Row],[Name ILN]],Plant_AILN!F:G,2,FALSE)</f>
        <v>95207</v>
      </c>
      <c r="Q16" s="50">
        <f>VLOOKUP(Tableau1[[#This Row],[Compte ILN]],'DATA ILN'!D:I,6,FALSE)</f>
        <v>9</v>
      </c>
      <c r="R16" s="50">
        <f ca="1">IFERROR(VLOOKUP(Tableau1[[#This Row],[Key(Compte ILN - shipper - POL - plant)]],'DATA ILN'!A:J,10,FALSE),VLOOKUP(Tableau1[[#This Row],[Key(Compte ILN - shipper - POL)]],'DATA ILN'!B:J,9,FALSE))</f>
        <v>7</v>
      </c>
      <c r="S16" s="50">
        <f ca="1">IFERROR(VLOOKUP(Tableau1[[#This Row],[Key(Compte ILN - shipper - POL - plant)]],'DATA ILN'!A:K,11,FALSE),VLOOKUP(Tableau1[[#This Row],[Key(Compte ILN - shipper - POL)]],'DATA ILN'!B:K,10,FALSE))</f>
        <v>5</v>
      </c>
      <c r="T16" s="50">
        <f ca="1">IFERROR(VLOOKUP(Tableau1[[#This Row],[Key(Compte ILN - shipper - POL - plant)]],'DATA ILN'!A:L,12,FALSE),VLOOKUP(Tableau1[[#This Row],[Key(Compte ILN - shipper - POL)]],'DATA ILN'!B:L,11,FALSE))</f>
        <v>7</v>
      </c>
      <c r="U16" s="50">
        <f ca="1">Tableau1[[#This Row],[Day ILN Order]]+Tableau1[[#This Row],[Delivery time to ILN/Shipper]]-1</f>
        <v>15</v>
      </c>
      <c r="V16" s="50">
        <f ca="1">IFERROR(VLOOKUP(Tableau1[[#This Row],[Key(Compte ILN - shipper - POL - plant)]],'DATA ILN'!A:N,14,FALSE),VLOOKUP(Tableau1[[#This Row],[Key(Compte ILN - shipper - POL)]],'DATA ILN'!B:N,13,FALSE))</f>
        <v>4</v>
      </c>
      <c r="W16" s="53">
        <f ca="1">IFERROR(VLOOKUP(Tableau1[[#This Row],[Key(Compte ILN - shipper - POL - plant)]],'DATA ILN'!A:P,16,FALSE),VLOOKUP(Tableau1[[#This Row],[Key(Compte ILN - shipper - POL)]],'DATA ILN'!B:P,15,FALSE))</f>
        <v>5</v>
      </c>
      <c r="X16" s="116" t="s">
        <v>163</v>
      </c>
      <c r="Y16" s="437">
        <f>IFERROR(VLOOKUP(Tableau1[[#This Row],[Name Shipper]],Plant_AILN!L:M,2,FALSE),0)</f>
        <v>95207</v>
      </c>
      <c r="Z16" s="406">
        <v>901</v>
      </c>
      <c r="AA16" s="396" t="str">
        <f ca="1">VLOOKUP(Tableau1[[#This Row],[Key(ID-Actif)]],'DATA BTO'!A:N,5,FALSE)</f>
        <v>BRPNG</v>
      </c>
      <c r="AB16" s="3" t="str">
        <f ca="1">VLOOKUP(Tableau1[[#This Row],[Key(ID-Actif)]],'DATA BTO'!A:N,6,FALSE)</f>
        <v>CMA-CGM</v>
      </c>
      <c r="AC16" s="50">
        <f ca="1">VLOOKUP(Tableau1[[#This Row],[Key(ID-Actif)]],'DATA BTO'!A:N,7,FALSE)</f>
        <v>2</v>
      </c>
      <c r="AD16" s="50">
        <f ca="1">VLOOKUP(Tableau1[[#This Row],[Key(ID-Actif)]],'DATA BTO'!A:N,8,FALSE)</f>
        <v>4</v>
      </c>
      <c r="AE16" s="50">
        <f ca="1">IF(Tableau1[[#This Row],[First Day to POL]]&lt;=Tableau1[[#This Row],[Day Cut Off]],Tableau1[[#This Row],[Day ETD]],Tableau1[[#This Row],[Day ETD]]+7)</f>
        <v>11</v>
      </c>
      <c r="AF16" s="50">
        <f ca="1">VLOOKUP(Tableau1[[#This Row],[Key(ID-Actif)]],'DATA BTO'!A:N,9,FALSE)</f>
        <v>49</v>
      </c>
      <c r="AG16" s="3" t="str">
        <f ca="1">VLOOKUP(Tableau1[[#This Row],[Key(ID-Actif)]],'DATA BTO'!A:N,10,FALSE)</f>
        <v>ROCND</v>
      </c>
      <c r="AH16" s="3">
        <f ca="1">VLOOKUP(Tableau1[[#This Row],[Key(ID-Actif)]],'DATA BTO'!A:N,11,FALSE)</f>
        <v>3</v>
      </c>
      <c r="AI16" s="50">
        <f ca="1">VLOOKUP(Tableau1[[#This Row],[Key(ID-Actif)]],'DATA BTO'!A:N,12,FALSE)</f>
        <v>0</v>
      </c>
      <c r="AJ16" s="53" t="str">
        <f ca="1">VLOOKUP(Tableau1[[#This Row],[Key(ID-Actif)]],'DATA BTO'!A:N,14,FALSE)</f>
        <v>Jocelyn</v>
      </c>
      <c r="AK16" s="54">
        <f ca="1">VLOOKUP(Tableau1[[#This Row],[Key(POD -PFI- Usine)]],'DATA Consignee'!A:F,6,FALSE)</f>
        <v>1</v>
      </c>
      <c r="AL16" s="127" t="s">
        <v>164</v>
      </c>
      <c r="AM16" s="438">
        <f>IF(Tableau1[[#This Row],[Name PFI/CDD]]="","-",VLOOKUP(Tableau1[[#This Row],[Name PFI/CDD]],Plant_AILN!I:J,2,FALSE))</f>
        <v>2839004</v>
      </c>
      <c r="AN1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" s="2">
        <f ca="1">VLOOKUP(Tableau1[[#This Row],[Key(POD -PFI- Usine)]],'DATA Consignee'!A:J,10,FALSE)</f>
        <v>7</v>
      </c>
      <c r="AQ16" s="50">
        <f ca="1">VLOOKUP(Tableau1[[#This Row],[Key(POD -PFI- Usine)]],'DATA Consignee'!A:N,14,FALSE)</f>
        <v>1</v>
      </c>
      <c r="AR1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1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16" s="50">
        <f ca="1">Tableau1[[#This Row],[Transit time]]+Tableau1[[#This Row],[Time for security]]+Tableau1[[#This Row],[Time for security2 buffer]]</f>
        <v>52</v>
      </c>
      <c r="AU1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16" s="433">
        <f ca="1">Tableau1[[#This Row],[Leadtime SI2C]]+Tableau1[[#This Row],[First Receipt Days]]-Tableau1[[#This Row],[Day Customer Order]]+1</f>
        <v>92</v>
      </c>
      <c r="AW16" s="119">
        <f ca="1">IF(Tableau1[[#This Row],[Name ILN]]&lt;&gt;"SFK Freight Forwarder",Tableau1[[#This Row],[Cust. Leadtime]],Tableau1[[#This Row],[Leadtime SI2C]])</f>
        <v>92</v>
      </c>
      <c r="AX16" s="51" t="s">
        <v>144</v>
      </c>
      <c r="AY16" s="338">
        <f ca="1">IFERROR(VLOOKUP(Tableau1[[#This Row],[Key(ID-Actif)]],'DATA BTO'!A:N,4,FALSE),VLOOKUP(Tableau1[[#This Row],[ID]],'DATA BTO'!B:N,3,FALSE))</f>
        <v>46507</v>
      </c>
      <c r="AZ16" s="50" t="str">
        <f>IF(ISNUMBER(Tableau1[[#This Row],[Day Customer Order]]),"-","Please Check 'Name' information in 'Order' Sheet to make sure they have information")</f>
        <v>-</v>
      </c>
      <c r="BA1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" s="50"/>
    </row>
    <row r="17" spans="2:57">
      <c r="B17" s="67" t="str">
        <f>_xlfn.CONCAT(Tableau1[[#This Row],[Name ILN]],"-",Tableau1[[#This Row],[Name Shipper]],"-",Tableau1[[#This Row],[Name Site]])</f>
        <v>ILN Busan-ILN Busan-OYAK MEKA</v>
      </c>
      <c r="C17" s="67" t="str">
        <f ca="1">_xlfn.CONCAT(Tableau1[[#This Row],[Compte ILN]],"-",Tableau1[[#This Row],[Compte Shipper]],"-",Tableau1[[#This Row],[POL]],"-",Tableau1[[#This Row],[Compte Consignee]])</f>
        <v>95436-95436-KRPUS-90014400</v>
      </c>
      <c r="D17" s="66" t="str">
        <f ca="1">_xlfn.CONCAT(Tableau1[[#This Row],[Compte ILN]],"-",Tableau1[[#This Row],[Compte Shipper]],"-",Tableau1[[#This Row],[POL]])</f>
        <v>95436-95436-KRPUS</v>
      </c>
      <c r="E17" s="434" t="str">
        <f ca="1">_xlfn.CONCAT(Tableau1[[#This Row],[POL]],"-",Tableau1[[#This Row],[Carrier]],"-",Tableau1[[#This Row],[POD]])</f>
        <v>KRPUS-Hyundai-TRIZT</v>
      </c>
      <c r="F17" s="66" t="str">
        <f>_xlfn.CONCAT(Tableau1[[#This Row],[ID]],"-","Actif")</f>
        <v>904-Actif</v>
      </c>
      <c r="G17" s="66" t="str">
        <f ca="1">_xlfn.CONCAT(Tableau1[[#This Row],[POD]],"-",Tableau1[[#This Row],[Code PFI]],"-",Tableau1[[#This Row],[Compte Consignee]])</f>
        <v>TRIZT---90014400</v>
      </c>
      <c r="H17" s="434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BusanKRPUSOYAK MEKA</v>
      </c>
      <c r="I1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Busan-ILN Busan-904-KRPUS-Hyundai-TRIZT-</v>
      </c>
      <c r="J17" s="435" t="str">
        <f ca="1">IF(COUNTIF(I:I,Tableau1[[#This Row],[Plant-ILN-shipper-POL-Carrier-POD-PFI]])=1,"Non","Oui")</f>
        <v>Non</v>
      </c>
      <c r="K17" s="128" t="str">
        <f>VLOOKUP(Tableau1[[#This Row],[Name Site]],Plant_AILN!A:D,4,FALSE)</f>
        <v>TURKEY</v>
      </c>
      <c r="L17" s="412" t="s">
        <v>165</v>
      </c>
      <c r="M17" s="439">
        <f>VLOOKUP(Tableau1[[#This Row],[Name Site]],Plant_AILN!A:C,3,FALSE)</f>
        <v>90014400</v>
      </c>
      <c r="N17" s="55">
        <f>IF(Tableau1[[#This Row],[Name PFI/CDD]]="PFI VLL",2,VLOOKUP(Tableau1[[#This Row],[Compte Consignee]],Order!C:D,2,FALSE))</f>
        <v>2</v>
      </c>
      <c r="O17" s="116" t="s">
        <v>166</v>
      </c>
      <c r="P17" s="365">
        <f>VLOOKUP(Tableau1[[#This Row],[Name ILN]],Plant_AILN!F:G,2,FALSE)</f>
        <v>95436</v>
      </c>
      <c r="Q17" s="50">
        <f>VLOOKUP(Tableau1[[#This Row],[Compte ILN]],'DATA ILN'!D:I,6,FALSE)</f>
        <v>9</v>
      </c>
      <c r="R17" s="50">
        <f ca="1">IFERROR(VLOOKUP(Tableau1[[#This Row],[Key(Compte ILN - shipper - POL - plant)]],'DATA ILN'!A:J,10,FALSE),VLOOKUP(Tableau1[[#This Row],[Key(Compte ILN - shipper - POL)]],'DATA ILN'!B:J,9,FALSE))</f>
        <v>14</v>
      </c>
      <c r="S17" s="50">
        <f ca="1">IFERROR(VLOOKUP(Tableau1[[#This Row],[Key(Compte ILN - shipper - POL - plant)]],'DATA ILN'!A:K,11,FALSE),VLOOKUP(Tableau1[[#This Row],[Key(Compte ILN - shipper - POL)]],'DATA ILN'!B:K,10,FALSE))</f>
        <v>5</v>
      </c>
      <c r="T17" s="50">
        <f ca="1">IFERROR(VLOOKUP(Tableau1[[#This Row],[Key(Compte ILN - shipper - POL - plant)]],'DATA ILN'!A:L,12,FALSE),VLOOKUP(Tableau1[[#This Row],[Key(Compte ILN - shipper - POL)]],'DATA ILN'!B:L,11,FALSE))</f>
        <v>7</v>
      </c>
      <c r="U17" s="50">
        <f ca="1">Tableau1[[#This Row],[Day ILN Order]]+Tableau1[[#This Row],[Delivery time to ILN/Shipper]]-1</f>
        <v>22</v>
      </c>
      <c r="V17" s="50">
        <f ca="1">IFERROR(VLOOKUP(Tableau1[[#This Row],[Key(Compte ILN - shipper - POL - plant)]],'DATA ILN'!A:N,14,FALSE),VLOOKUP(Tableau1[[#This Row],[Key(Compte ILN - shipper - POL)]],'DATA ILN'!B:N,13,FALSE))</f>
        <v>1</v>
      </c>
      <c r="W17" s="53">
        <f ca="1">IFERROR(VLOOKUP(Tableau1[[#This Row],[Key(Compte ILN - shipper - POL - plant)]],'DATA ILN'!A:P,16,FALSE),VLOOKUP(Tableau1[[#This Row],[Key(Compte ILN - shipper - POL)]],'DATA ILN'!B:P,15,FALSE))</f>
        <v>3</v>
      </c>
      <c r="X17" s="284" t="s">
        <v>166</v>
      </c>
      <c r="Y17" s="437">
        <f>IFERROR(VLOOKUP(Tableau1[[#This Row],[Name Shipper]],Plant_AILN!L:M,2,FALSE),0)</f>
        <v>95436</v>
      </c>
      <c r="Z17" s="406">
        <v>904</v>
      </c>
      <c r="AA17" s="396" t="str">
        <f ca="1">VLOOKUP(Tableau1[[#This Row],[Key(ID-Actif)]],'DATA BTO'!A:N,5,FALSE)</f>
        <v>KRPUS</v>
      </c>
      <c r="AB17" s="3" t="str">
        <f ca="1">VLOOKUP(Tableau1[[#This Row],[Key(ID-Actif)]],'DATA BTO'!A:N,6,FALSE)</f>
        <v>Hyundai</v>
      </c>
      <c r="AC17" s="50">
        <f ca="1">VLOOKUP(Tableau1[[#This Row],[Key(ID-Actif)]],'DATA BTO'!A:N,7,FALSE)</f>
        <v>2</v>
      </c>
      <c r="AD17" s="50">
        <f ca="1">VLOOKUP(Tableau1[[#This Row],[Key(ID-Actif)]],'DATA BTO'!A:N,8,FALSE)</f>
        <v>4</v>
      </c>
      <c r="AE17" s="50">
        <f ca="1">IF(Tableau1[[#This Row],[First Day to POL]]&lt;=Tableau1[[#This Row],[Day Cut Off]],Tableau1[[#This Row],[Day ETD]],Tableau1[[#This Row],[Day ETD]]+7)</f>
        <v>11</v>
      </c>
      <c r="AF17" s="50">
        <f ca="1">VLOOKUP(Tableau1[[#This Row],[Key(ID-Actif)]],'DATA BTO'!A:N,9,FALSE)</f>
        <v>57</v>
      </c>
      <c r="AG17" s="3" t="str">
        <f ca="1">VLOOKUP(Tableau1[[#This Row],[Key(ID-Actif)]],'DATA BTO'!A:N,10,FALSE)</f>
        <v>TRIZT</v>
      </c>
      <c r="AH17" s="3">
        <f ca="1">VLOOKUP(Tableau1[[#This Row],[Key(ID-Actif)]],'DATA BTO'!A:N,11,FALSE)</f>
        <v>3</v>
      </c>
      <c r="AI17" s="50">
        <f ca="1">VLOOKUP(Tableau1[[#This Row],[Key(ID-Actif)]],'DATA BTO'!A:N,12,FALSE)</f>
        <v>7</v>
      </c>
      <c r="AJ17" s="53" t="str">
        <f ca="1">VLOOKUP(Tableau1[[#This Row],[Key(ID-Actif)]],'DATA BTO'!A:N,14,FALSE)</f>
        <v>Marc-Aurele</v>
      </c>
      <c r="AK17" s="54">
        <f ca="1">VLOOKUP(Tableau1[[#This Row],[Key(POD -PFI- Usine)]],'DATA Consignee'!A:F,6,FALSE)</f>
        <v>4</v>
      </c>
      <c r="AL17" s="127"/>
      <c r="AM17" s="438" t="str">
        <f>IF(Tableau1[[#This Row],[Name PFI/CDD]]="","-",VLOOKUP(Tableau1[[#This Row],[Name PFI/CDD]],Plant_AILN!I:J,2,FALSE))</f>
        <v>-</v>
      </c>
      <c r="AN1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" s="2">
        <f ca="1">VLOOKUP(Tableau1[[#This Row],[Key(POD -PFI- Usine)]],'DATA Consignee'!A:J,10,FALSE)</f>
        <v>0</v>
      </c>
      <c r="AQ17" s="50">
        <f ca="1">VLOOKUP(Tableau1[[#This Row],[Key(POD -PFI- Usine)]],'DATA Consignee'!A:N,14,FALSE)</f>
        <v>3</v>
      </c>
      <c r="AR1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17" s="50">
        <f ca="1">Tableau1[[#This Row],[Transit time]]+Tableau1[[#This Row],[Time for security]]+Tableau1[[#This Row],[Time for security2 buffer]]</f>
        <v>67</v>
      </c>
      <c r="AU1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17" s="433">
        <f ca="1">Tableau1[[#This Row],[Leadtime SI2C]]+Tableau1[[#This Row],[First Receipt Days]]-Tableau1[[#This Row],[Day Customer Order]]+1</f>
        <v>111</v>
      </c>
      <c r="AW17" s="119">
        <f ca="1">IF(Tableau1[[#This Row],[Name ILN]]&lt;&gt;"SFK Freight Forwarder",Tableau1[[#This Row],[Cust. Leadtime]],Tableau1[[#This Row],[Leadtime SI2C]])</f>
        <v>111</v>
      </c>
      <c r="AX17" s="51" t="s">
        <v>144</v>
      </c>
      <c r="AY17" s="338">
        <f ca="1">IFERROR(VLOOKUP(Tableau1[[#This Row],[Key(ID-Actif)]],'DATA BTO'!A:N,4,FALSE),VLOOKUP(Tableau1[[#This Row],[ID]],'DATA BTO'!B:N,3,FALSE))</f>
        <v>46507</v>
      </c>
      <c r="AZ17" s="50" t="str">
        <f>IF(ISNUMBER(Tableau1[[#This Row],[Day Customer Order]]),"-","Please Check 'Name' information in 'Order' Sheet to make sure they have information")</f>
        <v>-</v>
      </c>
      <c r="BA1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" s="50"/>
    </row>
    <row r="18" spans="2:57" hidden="1">
      <c r="B18" s="67" t="str">
        <f>_xlfn.CONCAT(Tableau1[[#This Row],[Name ILN]],"-",Tableau1[[#This Row],[Name Shipper]],"-",Tableau1[[#This Row],[Name Site]])</f>
        <v>ILN Busan-ILN Busan-Curitiba CMO</v>
      </c>
      <c r="C18" s="67" t="str">
        <f ca="1">_xlfn.CONCAT(Tableau1[[#This Row],[Compte ILN]],"-",Tableau1[[#This Row],[Compte Shipper]],"-",Tableau1[[#This Row],[POL]],"-",Tableau1[[#This Row],[Compte Consignee]])</f>
        <v>95436-95436-KRPUS-90018600</v>
      </c>
      <c r="D18" s="66" t="str">
        <f ca="1">_xlfn.CONCAT(Tableau1[[#This Row],[Compte ILN]],"-",Tableau1[[#This Row],[Compte Shipper]],"-",Tableau1[[#This Row],[POL]])</f>
        <v>95436-95436-KRPUS</v>
      </c>
      <c r="E18" s="434" t="str">
        <f ca="1">_xlfn.CONCAT(Tableau1[[#This Row],[POL]],"-",Tableau1[[#This Row],[Carrier]],"-",Tableau1[[#This Row],[POD]])</f>
        <v>KRPUS-Hyundai-BRPNG</v>
      </c>
      <c r="F18" s="66" t="str">
        <f>_xlfn.CONCAT(Tableau1[[#This Row],[ID]],"-","Actif")</f>
        <v>906-Actif</v>
      </c>
      <c r="G18" s="66" t="str">
        <f ca="1">_xlfn.CONCAT(Tableau1[[#This Row],[POD]],"-",Tableau1[[#This Row],[Code PFI]],"-",Tableau1[[#This Row],[Compte Consignee]])</f>
        <v>BRPNG---90018600</v>
      </c>
      <c r="H18" s="434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BusanKRPUSCuritiba CMO</v>
      </c>
      <c r="I1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Busan-ILN Busan-906-KRPUS-Hyundai-BRPNG-</v>
      </c>
      <c r="J18" s="435" t="str">
        <f ca="1">IF(COUNTIF(I:I,Tableau1[[#This Row],[Plant-ILN-shipper-POL-Carrier-POD-PFI]])=1,"Non","Oui")</f>
        <v>Non</v>
      </c>
      <c r="K18" s="128" t="str">
        <f>VLOOKUP(Tableau1[[#This Row],[Name Site]],Plant_AILN!A:D,4,FALSE)</f>
        <v>BRAZIL</v>
      </c>
      <c r="L18" s="10" t="s">
        <v>160</v>
      </c>
      <c r="M18" s="439">
        <f>VLOOKUP(Tableau1[[#This Row],[Name Site]],Plant_AILN!A:C,3,FALSE)</f>
        <v>90018600</v>
      </c>
      <c r="N18" s="55">
        <f>IF(Tableau1[[#This Row],[Name PFI/CDD]]="PFI VLL",2,VLOOKUP(Tableau1[[#This Row],[Compte Consignee]],Order!C:D,2,FALSE))</f>
        <v>7</v>
      </c>
      <c r="O18" s="116" t="s">
        <v>166</v>
      </c>
      <c r="P18" s="365">
        <f>VLOOKUP(Tableau1[[#This Row],[Name ILN]],Plant_AILN!F:G,2,FALSE)</f>
        <v>95436</v>
      </c>
      <c r="Q18" s="50">
        <f>VLOOKUP(Tableau1[[#This Row],[Compte ILN]],'DATA ILN'!D:I,6,FALSE)</f>
        <v>9</v>
      </c>
      <c r="R18" s="50">
        <f ca="1">IFERROR(VLOOKUP(Tableau1[[#This Row],[Key(Compte ILN - shipper - POL - plant)]],'DATA ILN'!A:J,10,FALSE),VLOOKUP(Tableau1[[#This Row],[Key(Compte ILN - shipper - POL)]],'DATA ILN'!B:J,9,FALSE))</f>
        <v>14</v>
      </c>
      <c r="S18" s="50">
        <f ca="1">IFERROR(VLOOKUP(Tableau1[[#This Row],[Key(Compte ILN - shipper - POL - plant)]],'DATA ILN'!A:K,11,FALSE),VLOOKUP(Tableau1[[#This Row],[Key(Compte ILN - shipper - POL)]],'DATA ILN'!B:K,10,FALSE))</f>
        <v>5</v>
      </c>
      <c r="T18" s="50">
        <f ca="1">IFERROR(VLOOKUP(Tableau1[[#This Row],[Key(Compte ILN - shipper - POL - plant)]],'DATA ILN'!A:L,12,FALSE),VLOOKUP(Tableau1[[#This Row],[Key(Compte ILN - shipper - POL)]],'DATA ILN'!B:L,11,FALSE))</f>
        <v>7</v>
      </c>
      <c r="U18" s="50">
        <f ca="1">Tableau1[[#This Row],[Day ILN Order]]+Tableau1[[#This Row],[Delivery time to ILN/Shipper]]-1</f>
        <v>22</v>
      </c>
      <c r="V18" s="50">
        <f ca="1">IFERROR(VLOOKUP(Tableau1[[#This Row],[Key(Compte ILN - shipper - POL - plant)]],'DATA ILN'!A:N,14,FALSE),VLOOKUP(Tableau1[[#This Row],[Key(Compte ILN - shipper - POL)]],'DATA ILN'!B:N,13,FALSE))</f>
        <v>1</v>
      </c>
      <c r="W18" s="53">
        <f ca="1">IFERROR(VLOOKUP(Tableau1[[#This Row],[Key(Compte ILN - shipper - POL - plant)]],'DATA ILN'!A:P,16,FALSE),VLOOKUP(Tableau1[[#This Row],[Key(Compte ILN - shipper - POL)]],'DATA ILN'!B:P,15,FALSE))</f>
        <v>5</v>
      </c>
      <c r="X18" s="284" t="s">
        <v>166</v>
      </c>
      <c r="Y18" s="437">
        <f>IFERROR(VLOOKUP(Tableau1[[#This Row],[Name Shipper]],Plant_AILN!L:M,2,FALSE),0)</f>
        <v>95436</v>
      </c>
      <c r="Z18" s="406">
        <v>906</v>
      </c>
      <c r="AA18" s="396" t="str">
        <f ca="1">VLOOKUP(Tableau1[[#This Row],[Key(ID-Actif)]],'DATA BTO'!A:N,5,FALSE)</f>
        <v>KRPUS</v>
      </c>
      <c r="AB18" s="3" t="str">
        <f ca="1">VLOOKUP(Tableau1[[#This Row],[Key(ID-Actif)]],'DATA BTO'!A:N,6,FALSE)</f>
        <v>Hyundai</v>
      </c>
      <c r="AC18" s="50">
        <f ca="1">VLOOKUP(Tableau1[[#This Row],[Key(ID-Actif)]],'DATA BTO'!A:N,7,FALSE)</f>
        <v>2</v>
      </c>
      <c r="AD18" s="50">
        <f ca="1">VLOOKUP(Tableau1[[#This Row],[Key(ID-Actif)]],'DATA BTO'!A:N,8,FALSE)</f>
        <v>3</v>
      </c>
      <c r="AE18" s="50">
        <f ca="1">IF(Tableau1[[#This Row],[First Day to POL]]&lt;=Tableau1[[#This Row],[Day Cut Off]],Tableau1[[#This Row],[Day ETD]],Tableau1[[#This Row],[Day ETD]]+7)</f>
        <v>10</v>
      </c>
      <c r="AF18" s="50">
        <f ca="1">VLOOKUP(Tableau1[[#This Row],[Key(ID-Actif)]],'DATA BTO'!A:N,9,FALSE)</f>
        <v>47</v>
      </c>
      <c r="AG18" s="3" t="str">
        <f ca="1">VLOOKUP(Tableau1[[#This Row],[Key(ID-Actif)]],'DATA BTO'!A:N,10,FALSE)</f>
        <v>BRPNG</v>
      </c>
      <c r="AH18" s="3">
        <f ca="1">VLOOKUP(Tableau1[[#This Row],[Key(ID-Actif)]],'DATA BTO'!A:N,11,FALSE)</f>
        <v>3</v>
      </c>
      <c r="AI18" s="50">
        <f ca="1">VLOOKUP(Tableau1[[#This Row],[Key(ID-Actif)]],'DATA BTO'!A:N,12,FALSE)</f>
        <v>14</v>
      </c>
      <c r="AJ18" s="53" t="str">
        <f ca="1">VLOOKUP(Tableau1[[#This Row],[Key(ID-Actif)]],'DATA BTO'!A:N,14,FALSE)</f>
        <v>Marc-Aurele</v>
      </c>
      <c r="AK18" s="54">
        <f ca="1">VLOOKUP(Tableau1[[#This Row],[Key(POD -PFI- Usine)]],'DATA Consignee'!A:F,6,FALSE)</f>
        <v>2</v>
      </c>
      <c r="AL18" s="127"/>
      <c r="AM18" s="438" t="str">
        <f>IF(Tableau1[[#This Row],[Name PFI/CDD]]="","-",VLOOKUP(Tableau1[[#This Row],[Name PFI/CDD]],Plant_AILN!I:J,2,FALSE))</f>
        <v>-</v>
      </c>
      <c r="AN1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" s="2">
        <f ca="1">VLOOKUP(Tableau1[[#This Row],[Key(POD -PFI- Usine)]],'DATA Consignee'!A:J,10,FALSE)</f>
        <v>0</v>
      </c>
      <c r="AQ18" s="50">
        <f ca="1">VLOOKUP(Tableau1[[#This Row],[Key(POD -PFI- Usine)]],'DATA Consignee'!A:N,14,FALSE)</f>
        <v>2</v>
      </c>
      <c r="AR1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15</v>
      </c>
      <c r="AT18" s="50">
        <f ca="1">Tableau1[[#This Row],[Transit time]]+Tableau1[[#This Row],[Time for security]]+Tableau1[[#This Row],[Time for security2 buffer]]</f>
        <v>64</v>
      </c>
      <c r="AU1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18" s="433">
        <f ca="1">Tableau1[[#This Row],[Leadtime SI2C]]+Tableau1[[#This Row],[First Receipt Days]]-Tableau1[[#This Row],[Day Customer Order]]+1</f>
        <v>99</v>
      </c>
      <c r="AW18" s="119">
        <f ca="1">IF(Tableau1[[#This Row],[Name ILN]]&lt;&gt;"SFK Freight Forwarder",Tableau1[[#This Row],[Cust. Leadtime]],Tableau1[[#This Row],[Leadtime SI2C]])</f>
        <v>99</v>
      </c>
      <c r="AX18" s="51" t="s">
        <v>144</v>
      </c>
      <c r="AY18" s="338">
        <f ca="1">IFERROR(VLOOKUP(Tableau1[[#This Row],[Key(ID-Actif)]],'DATA BTO'!A:N,4,FALSE),VLOOKUP(Tableau1[[#This Row],[ID]],'DATA BTO'!B:N,3,FALSE))</f>
        <v>46507</v>
      </c>
      <c r="AZ18" s="50" t="str">
        <f>IF(ISNUMBER(Tableau1[[#This Row],[Day Customer Order]]),"-","Please Check 'Name' information in 'Order' Sheet to make sure they have information")</f>
        <v>-</v>
      </c>
      <c r="BA1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" s="50"/>
    </row>
    <row r="19" spans="2:57" hidden="1">
      <c r="B19" s="67" t="str">
        <f>_xlfn.CONCAT(Tableau1[[#This Row],[Name ILN]],"-",Tableau1[[#This Row],[Name Shipper]],"-",Tableau1[[#This Row],[Name Site]])</f>
        <v>ILN Bursa-ILN Bursa-Curitiba CMO</v>
      </c>
      <c r="C19" s="67" t="str">
        <f ca="1">_xlfn.CONCAT(Tableau1[[#This Row],[Compte ILN]],"-",Tableau1[[#This Row],[Compte Shipper]],"-",Tableau1[[#This Row],[POL]],"-",Tableau1[[#This Row],[Compte Consignee]])</f>
        <v>95112-95112-TRGEM-90018600</v>
      </c>
      <c r="D19" s="66" t="str">
        <f ca="1">_xlfn.CONCAT(Tableau1[[#This Row],[Compte ILN]],"-",Tableau1[[#This Row],[Compte Shipper]],"-",Tableau1[[#This Row],[POL]])</f>
        <v>95112-95112-TRGEM</v>
      </c>
      <c r="E19" s="434" t="str">
        <f ca="1">_xlfn.CONCAT(Tableau1[[#This Row],[POL]],"-",Tableau1[[#This Row],[Carrier]],"-",Tableau1[[#This Row],[POD]])</f>
        <v>TRGEM-CMA-CGM-BRPNG</v>
      </c>
      <c r="F19" s="66" t="str">
        <f>_xlfn.CONCAT(Tableau1[[#This Row],[ID]],"-","Actif")</f>
        <v>907-Actif</v>
      </c>
      <c r="G19" s="66" t="str">
        <f ca="1">_xlfn.CONCAT(Tableau1[[#This Row],[POD]],"-",Tableau1[[#This Row],[Code PFI]],"-",Tableau1[[#This Row],[Compte Consignee]])</f>
        <v>BRPNG---90018600</v>
      </c>
      <c r="H19" s="434" t="str">
        <f ca="1">_xlfn.CONCAT(IF(Tableau1[[#This Row],[Name ILN]]=Tableau1[[#This Row],[Name Shipper]],Tableau1[[#This Row],[Name ILN]],Tableau1[[#This Row],[Compte Shipper]]),Tableau1[[#This Row],[POL]],Tableau1[[#This Row],[Name Site]])</f>
        <v>ILN BursaTRGEMCuritiba CMO</v>
      </c>
      <c r="I1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Bursa-ILN Bursa-907-TRGEM-CMA-CGM-BRPNG-</v>
      </c>
      <c r="J19" s="435" t="str">
        <f ca="1">IF(COUNTIF(I:I,Tableau1[[#This Row],[Plant-ILN-shipper-POL-Carrier-POD-PFI]])=1,"Non","Oui")</f>
        <v>Non</v>
      </c>
      <c r="K19" s="440" t="str">
        <f>VLOOKUP(Tableau1[[#This Row],[Name Site]],Plant_AILN!A:D,4,FALSE)</f>
        <v>BRAZIL</v>
      </c>
      <c r="L19" s="10" t="s">
        <v>160</v>
      </c>
      <c r="M19" s="439">
        <f>VLOOKUP(Tableau1[[#This Row],[Name Site]],Plant_AILN!A:C,3,FALSE)</f>
        <v>90018600</v>
      </c>
      <c r="N19" s="55">
        <f>IF(Tableau1[[#This Row],[Name PFI/CDD]]="PFI VLL",2,VLOOKUP(Tableau1[[#This Row],[Compte Consignee]],Order!C:D,2,FALSE))</f>
        <v>7</v>
      </c>
      <c r="O19" s="116" t="s">
        <v>167</v>
      </c>
      <c r="P19" s="365">
        <f>VLOOKUP(Tableau1[[#This Row],[Name ILN]],Plant_AILN!F:G,2,FALSE)</f>
        <v>95112</v>
      </c>
      <c r="Q19" s="50">
        <f>VLOOKUP(Tableau1[[#This Row],[Compte ILN]],'DATA ILN'!D:I,6,FALSE)</f>
        <v>9</v>
      </c>
      <c r="R19" s="50">
        <f ca="1">IFERROR(VLOOKUP(Tableau1[[#This Row],[Key(Compte ILN - shipper - POL - plant)]],'DATA ILN'!A:J,10,FALSE),VLOOKUP(Tableau1[[#This Row],[Key(Compte ILN - shipper - POL)]],'DATA ILN'!B:J,9,FALSE))</f>
        <v>14</v>
      </c>
      <c r="S19" s="50">
        <f ca="1">IFERROR(VLOOKUP(Tableau1[[#This Row],[Key(Compte ILN - shipper - POL - plant)]],'DATA ILN'!A:K,11,FALSE),VLOOKUP(Tableau1[[#This Row],[Key(Compte ILN - shipper - POL)]],'DATA ILN'!B:K,10,FALSE))</f>
        <v>5</v>
      </c>
      <c r="T19" s="50">
        <f ca="1">IFERROR(VLOOKUP(Tableau1[[#This Row],[Key(Compte ILN - shipper - POL - plant)]],'DATA ILN'!A:L,12,FALSE),VLOOKUP(Tableau1[[#This Row],[Key(Compte ILN - shipper - POL)]],'DATA ILN'!B:L,11,FALSE))</f>
        <v>7</v>
      </c>
      <c r="U19" s="50">
        <f ca="1">Tableau1[[#This Row],[Day ILN Order]]+Tableau1[[#This Row],[Delivery time to ILN/Shipper]]-1</f>
        <v>22</v>
      </c>
      <c r="V19" s="50">
        <f ca="1">IFERROR(VLOOKUP(Tableau1[[#This Row],[Key(Compte ILN - shipper - POL - plant)]],'DATA ILN'!A:N,14,FALSE),VLOOKUP(Tableau1[[#This Row],[Key(Compte ILN - shipper - POL)]],'DATA ILN'!B:N,13,FALSE))</f>
        <v>1</v>
      </c>
      <c r="W19" s="53">
        <f ca="1">IFERROR(VLOOKUP(Tableau1[[#This Row],[Key(Compte ILN - shipper - POL - plant)]],'DATA ILN'!A:P,16,FALSE),VLOOKUP(Tableau1[[#This Row],[Key(Compte ILN - shipper - POL)]],'DATA ILN'!B:P,15,FALSE))</f>
        <v>2</v>
      </c>
      <c r="X19" s="284" t="s">
        <v>167</v>
      </c>
      <c r="Y19" s="437">
        <f>IFERROR(VLOOKUP(Tableau1[[#This Row],[Name Shipper]],Plant_AILN!L:M,2,FALSE),0)</f>
        <v>95112</v>
      </c>
      <c r="Z19" s="406">
        <v>907</v>
      </c>
      <c r="AA19" s="396" t="str">
        <f ca="1">VLOOKUP(Tableau1[[#This Row],[Key(ID-Actif)]],'DATA BTO'!A:N,5,FALSE)</f>
        <v>TRGEM</v>
      </c>
      <c r="AB19" s="3" t="str">
        <f ca="1">VLOOKUP(Tableau1[[#This Row],[Key(ID-Actif)]],'DATA BTO'!A:N,6,FALSE)</f>
        <v>CMA-CGM</v>
      </c>
      <c r="AC19" s="50">
        <f ca="1">VLOOKUP(Tableau1[[#This Row],[Key(ID-Actif)]],'DATA BTO'!A:N,7,FALSE)</f>
        <v>3</v>
      </c>
      <c r="AD19" s="50">
        <f ca="1">VLOOKUP(Tableau1[[#This Row],[Key(ID-Actif)]],'DATA BTO'!A:N,8,FALSE)</f>
        <v>6</v>
      </c>
      <c r="AE19" s="50">
        <f ca="1">IF(Tableau1[[#This Row],[First Day to POL]]&lt;=Tableau1[[#This Row],[Day Cut Off]],Tableau1[[#This Row],[Day ETD]],Tableau1[[#This Row],[Day ETD]]+7)</f>
        <v>6</v>
      </c>
      <c r="AF19" s="50">
        <f ca="1">VLOOKUP(Tableau1[[#This Row],[Key(ID-Actif)]],'DATA BTO'!A:N,9,FALSE)</f>
        <v>40</v>
      </c>
      <c r="AG19" s="3" t="str">
        <f ca="1">VLOOKUP(Tableau1[[#This Row],[Key(ID-Actif)]],'DATA BTO'!A:N,10,FALSE)</f>
        <v>BRPNG</v>
      </c>
      <c r="AH19" s="3">
        <f ca="1">VLOOKUP(Tableau1[[#This Row],[Key(ID-Actif)]],'DATA BTO'!A:N,11,FALSE)</f>
        <v>3</v>
      </c>
      <c r="AI19" s="50">
        <f ca="1">VLOOKUP(Tableau1[[#This Row],[Key(ID-Actif)]],'DATA BTO'!A:N,12,FALSE)</f>
        <v>0</v>
      </c>
      <c r="AJ19" s="53" t="str">
        <f ca="1">VLOOKUP(Tableau1[[#This Row],[Key(ID-Actif)]],'DATA BTO'!A:N,14,FALSE)</f>
        <v>Wael</v>
      </c>
      <c r="AK19" s="54">
        <f ca="1">VLOOKUP(Tableau1[[#This Row],[Key(POD -PFI- Usine)]],'DATA Consignee'!A:F,6,FALSE)</f>
        <v>2</v>
      </c>
      <c r="AL19" s="127"/>
      <c r="AM19" s="438" t="str">
        <f>IF(Tableau1[[#This Row],[Name PFI/CDD]]="","-",VLOOKUP(Tableau1[[#This Row],[Name PFI/CDD]],Plant_AILN!I:J,2,FALSE))</f>
        <v>-</v>
      </c>
      <c r="AN1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" s="2">
        <f ca="1">VLOOKUP(Tableau1[[#This Row],[Key(POD -PFI- Usine)]],'DATA Consignee'!A:J,10,FALSE)</f>
        <v>0</v>
      </c>
      <c r="AQ19" s="50">
        <f ca="1">VLOOKUP(Tableau1[[#This Row],[Key(POD -PFI- Usine)]],'DATA Consignee'!A:N,14,FALSE)</f>
        <v>2</v>
      </c>
      <c r="AR1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1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19" s="50">
        <f ca="1">Tableau1[[#This Row],[Transit time]]+Tableau1[[#This Row],[Time for security]]+Tableau1[[#This Row],[Time for security2 buffer]]</f>
        <v>43</v>
      </c>
      <c r="AU1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19" s="433">
        <f ca="1">Tableau1[[#This Row],[Leadtime SI2C]]+Tableau1[[#This Row],[First Receipt Days]]-Tableau1[[#This Row],[Day Customer Order]]+1</f>
        <v>78</v>
      </c>
      <c r="AW19" s="119">
        <f ca="1">IF(Tableau1[[#This Row],[Name ILN]]&lt;&gt;"SFK Freight Forwarder",Tableau1[[#This Row],[Cust. Leadtime]],Tableau1[[#This Row],[Leadtime SI2C]])</f>
        <v>78</v>
      </c>
      <c r="AX19" s="51" t="s">
        <v>144</v>
      </c>
      <c r="AY19" s="338">
        <f ca="1">IFERROR(VLOOKUP(Tableau1[[#This Row],[Key(ID-Actif)]],'DATA BTO'!A:N,4,FALSE),VLOOKUP(Tableau1[[#This Row],[ID]],'DATA BTO'!B:N,3,FALSE))</f>
        <v>46507</v>
      </c>
      <c r="AZ19" s="50" t="str">
        <f>IF(ISNUMBER(Tableau1[[#This Row],[Day Customer Order]]),"-","Please Check 'Name' information in 'Order' Sheet to make sure they have information")</f>
        <v>-</v>
      </c>
      <c r="BA1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" s="50"/>
    </row>
    <row r="20" spans="2:57" hidden="1">
      <c r="B20" s="67" t="str">
        <f>_xlfn.CONCAT(Tableau1[[#This Row],[Name ILN]],"-",Tableau1[[#This Row],[Name Shipper]],"-",Tableau1[[#This Row],[Name Site]])</f>
        <v>ILN Mioveni-ILN Mioveni-Curitiba CMO</v>
      </c>
      <c r="C20" s="67" t="str">
        <f ca="1">_xlfn.CONCAT(Tableau1[[#This Row],[Compte ILN]],"-",Tableau1[[#This Row],[Compte Shipper]],"-",Tableau1[[#This Row],[POL]],"-",Tableau1[[#This Row],[Compte Consignee]])</f>
        <v>28390-28390-ROCND-90018600</v>
      </c>
      <c r="D20" s="66" t="str">
        <f ca="1">_xlfn.CONCAT(Tableau1[[#This Row],[Compte ILN]],"-",Tableau1[[#This Row],[Compte Shipper]],"-",Tableau1[[#This Row],[POL]])</f>
        <v>28390-28390-ROCND</v>
      </c>
      <c r="E20" s="434" t="str">
        <f ca="1">_xlfn.CONCAT(Tableau1[[#This Row],[POL]],"-",Tableau1[[#This Row],[Carrier]],"-",Tableau1[[#This Row],[POD]])</f>
        <v>ROCND-Maersk-BRPNG</v>
      </c>
      <c r="F20" s="66" t="str">
        <f>_xlfn.CONCAT(Tableau1[[#This Row],[ID]],"-","Actif")</f>
        <v>908-Actif</v>
      </c>
      <c r="G20" s="66" t="str">
        <f ca="1">_xlfn.CONCAT(Tableau1[[#This Row],[POD]],"-",Tableau1[[#This Row],[Code PFI]],"-",Tableau1[[#This Row],[Compte Consignee]])</f>
        <v>BRPNG---90018600</v>
      </c>
      <c r="H20" s="434" t="str">
        <f ca="1">_xlfn.CONCAT(IF(Tableau1[[#This Row],[Name ILN]]=Tableau1[[#This Row],[Name Shipper]],Tableau1[[#This Row],[Name ILN]],Tableau1[[#This Row],[Compte Shipper]]),Tableau1[[#This Row],[POL]],Tableau1[[#This Row],[Name Site]])</f>
        <v>ILN MioveniROCNDCuritiba CMO</v>
      </c>
      <c r="I2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Mioveni-ILN Mioveni-908-ROCND-Maersk-BRPNG-</v>
      </c>
      <c r="J20" s="435" t="str">
        <f ca="1">IF(COUNTIF(I:I,Tableau1[[#This Row],[Plant-ILN-shipper-POL-Carrier-POD-PFI]])=1,"Non","Oui")</f>
        <v>Non</v>
      </c>
      <c r="K20" s="440" t="str">
        <f>VLOOKUP(Tableau1[[#This Row],[Name Site]],Plant_AILN!A:D,4,FALSE)</f>
        <v>BRAZIL</v>
      </c>
      <c r="L20" s="10" t="s">
        <v>160</v>
      </c>
      <c r="M20" s="439">
        <f>VLOOKUP(Tableau1[[#This Row],[Name Site]],Plant_AILN!A:C,3,FALSE)</f>
        <v>90018600</v>
      </c>
      <c r="N20" s="55">
        <f>IF(Tableau1[[#This Row],[Name PFI/CDD]]="PFI VLL",2,VLOOKUP(Tableau1[[#This Row],[Compte Consignee]],Order!C:D,2,FALSE))</f>
        <v>7</v>
      </c>
      <c r="O20" s="116" t="s">
        <v>168</v>
      </c>
      <c r="P20" s="365">
        <f>VLOOKUP(Tableau1[[#This Row],[Name ILN]],Plant_AILN!F:G,2,FALSE)</f>
        <v>28390</v>
      </c>
      <c r="Q20" s="50">
        <f>VLOOKUP(Tableau1[[#This Row],[Compte ILN]],'DATA ILN'!D:I,6,FALSE)</f>
        <v>9</v>
      </c>
      <c r="R20" s="50">
        <f ca="1">IFERROR(VLOOKUP(Tableau1[[#This Row],[Key(Compte ILN - shipper - POL - plant)]],'DATA ILN'!A:J,10,FALSE),VLOOKUP(Tableau1[[#This Row],[Key(Compte ILN - shipper - POL)]],'DATA ILN'!B:J,9,FALSE))</f>
        <v>14</v>
      </c>
      <c r="S20" s="50">
        <f ca="1">IFERROR(VLOOKUP(Tableau1[[#This Row],[Key(Compte ILN - shipper - POL - plant)]],'DATA ILN'!A:K,11,FALSE),VLOOKUP(Tableau1[[#This Row],[Key(Compte ILN - shipper - POL)]],'DATA ILN'!B:K,10,FALSE))</f>
        <v>5</v>
      </c>
      <c r="T20" s="50">
        <f ca="1">IFERROR(VLOOKUP(Tableau1[[#This Row],[Key(Compte ILN - shipper - POL - plant)]],'DATA ILN'!A:L,12,FALSE),VLOOKUP(Tableau1[[#This Row],[Key(Compte ILN - shipper - POL)]],'DATA ILN'!B:L,11,FALSE))</f>
        <v>7</v>
      </c>
      <c r="U20" s="50">
        <f ca="1">Tableau1[[#This Row],[Day ILN Order]]+Tableau1[[#This Row],[Delivery time to ILN/Shipper]]-1</f>
        <v>22</v>
      </c>
      <c r="V20" s="50">
        <f ca="1">IFERROR(VLOOKUP(Tableau1[[#This Row],[Key(Compte ILN - shipper - POL - plant)]],'DATA ILN'!A:N,14,FALSE),VLOOKUP(Tableau1[[#This Row],[Key(Compte ILN - shipper - POL)]],'DATA ILN'!B:N,13,FALSE))</f>
        <v>4</v>
      </c>
      <c r="W20" s="53">
        <f ca="1">IFERROR(VLOOKUP(Tableau1[[#This Row],[Key(Compte ILN - shipper - POL - plant)]],'DATA ILN'!A:P,16,FALSE),VLOOKUP(Tableau1[[#This Row],[Key(Compte ILN - shipper - POL)]],'DATA ILN'!B:P,15,FALSE))</f>
        <v>5</v>
      </c>
      <c r="X20" s="284" t="s">
        <v>168</v>
      </c>
      <c r="Y20" s="437">
        <f>IFERROR(VLOOKUP(Tableau1[[#This Row],[Name Shipper]],Plant_AILN!L:M,2,FALSE),0)</f>
        <v>28390</v>
      </c>
      <c r="Z20" s="406">
        <v>908</v>
      </c>
      <c r="AA20" s="396" t="str">
        <f ca="1">VLOOKUP(Tableau1[[#This Row],[Key(ID-Actif)]],'DATA BTO'!A:N,5,FALSE)</f>
        <v>ROCND</v>
      </c>
      <c r="AB20" s="3" t="str">
        <f ca="1">VLOOKUP(Tableau1[[#This Row],[Key(ID-Actif)]],'DATA BTO'!A:N,6,FALSE)</f>
        <v>Maersk</v>
      </c>
      <c r="AC20" s="50">
        <f ca="1">VLOOKUP(Tableau1[[#This Row],[Key(ID-Actif)]],'DATA BTO'!A:N,7,FALSE)</f>
        <v>5</v>
      </c>
      <c r="AD20" s="50">
        <f ca="1">VLOOKUP(Tableau1[[#This Row],[Key(ID-Actif)]],'DATA BTO'!A:N,8,FALSE)</f>
        <v>9</v>
      </c>
      <c r="AE20" s="50">
        <f ca="1">IF(Tableau1[[#This Row],[First Day to POL]]&lt;=Tableau1[[#This Row],[Day Cut Off]],Tableau1[[#This Row],[Day ETD]],Tableau1[[#This Row],[Day ETD]]+7)</f>
        <v>9</v>
      </c>
      <c r="AF20" s="50">
        <f ca="1">VLOOKUP(Tableau1[[#This Row],[Key(ID-Actif)]],'DATA BTO'!A:N,9,FALSE)</f>
        <v>34</v>
      </c>
      <c r="AG20" s="3" t="str">
        <f ca="1">VLOOKUP(Tableau1[[#This Row],[Key(ID-Actif)]],'DATA BTO'!A:N,10,FALSE)</f>
        <v>BRPNG</v>
      </c>
      <c r="AH20" s="3">
        <f ca="1">VLOOKUP(Tableau1[[#This Row],[Key(ID-Actif)]],'DATA BTO'!A:N,11,FALSE)</f>
        <v>3</v>
      </c>
      <c r="AI20" s="50">
        <f ca="1">VLOOKUP(Tableau1[[#This Row],[Key(ID-Actif)]],'DATA BTO'!A:N,12,FALSE)</f>
        <v>14</v>
      </c>
      <c r="AJ20" s="53" t="str">
        <f ca="1">VLOOKUP(Tableau1[[#This Row],[Key(ID-Actif)]],'DATA BTO'!A:N,14,FALSE)</f>
        <v>Véronique</v>
      </c>
      <c r="AK20" s="54">
        <f ca="1">VLOOKUP(Tableau1[[#This Row],[Key(POD -PFI- Usine)]],'DATA Consignee'!A:F,6,FALSE)</f>
        <v>2</v>
      </c>
      <c r="AL20" s="127"/>
      <c r="AM20" s="438" t="str">
        <f>IF(Tableau1[[#This Row],[Name PFI/CDD]]="","-",VLOOKUP(Tableau1[[#This Row],[Name PFI/CDD]],Plant_AILN!I:J,2,FALSE))</f>
        <v>-</v>
      </c>
      <c r="AN2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" s="2">
        <f ca="1">VLOOKUP(Tableau1[[#This Row],[Key(POD -PFI- Usine)]],'DATA Consignee'!A:J,10,FALSE)</f>
        <v>0</v>
      </c>
      <c r="AQ20" s="50">
        <f ca="1">VLOOKUP(Tableau1[[#This Row],[Key(POD -PFI- Usine)]],'DATA Consignee'!A:N,14,FALSE)</f>
        <v>2</v>
      </c>
      <c r="AR2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20" s="50">
        <f ca="1">Tableau1[[#This Row],[Transit time]]+Tableau1[[#This Row],[Time for security]]+Tableau1[[#This Row],[Time for security2 buffer]]</f>
        <v>51</v>
      </c>
      <c r="AU2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20" s="433">
        <f ca="1">Tableau1[[#This Row],[Leadtime SI2C]]+Tableau1[[#This Row],[First Receipt Days]]-Tableau1[[#This Row],[Day Customer Order]]+1</f>
        <v>85</v>
      </c>
      <c r="AW20" s="119">
        <f ca="1">IF(Tableau1[[#This Row],[Name ILN]]&lt;&gt;"SFK Freight Forwarder",Tableau1[[#This Row],[Cust. Leadtime]],Tableau1[[#This Row],[Leadtime SI2C]])</f>
        <v>85</v>
      </c>
      <c r="AX20" s="51" t="s">
        <v>144</v>
      </c>
      <c r="AY20" s="338">
        <f ca="1">IFERROR(VLOOKUP(Tableau1[[#This Row],[Key(ID-Actif)]],'DATA BTO'!A:N,4,FALSE),VLOOKUP(Tableau1[[#This Row],[ID]],'DATA BTO'!B:N,3,FALSE))</f>
        <v>46507</v>
      </c>
      <c r="AZ20" s="50" t="str">
        <f>IF(ISNUMBER(Tableau1[[#This Row],[Day Customer Order]]),"-","Please Check 'Name' information in 'Order' Sheet to make sure they have information")</f>
        <v>-</v>
      </c>
      <c r="BA2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" s="50"/>
    </row>
    <row r="21" spans="2:57" hidden="1">
      <c r="B21" s="67" t="str">
        <f>_xlfn.CONCAT(Tableau1[[#This Row],[Name ILN]],"-",Tableau1[[#This Row],[Name Shipper]],"-",Tableau1[[#This Row],[Name Site]])</f>
        <v>ILN FR-ILN FR-Curitiba CMO</v>
      </c>
      <c r="C21" s="67" t="str">
        <f ca="1">_xlfn.CONCAT(Tableau1[[#This Row],[Compte ILN]],"-",Tableau1[[#This Row],[Compte Shipper]],"-",Tableau1[[#This Row],[POL]],"-",Tableau1[[#This Row],[Compte Consignee]])</f>
        <v>92000100-92000100-FRLEH-90018600</v>
      </c>
      <c r="D21" s="66" t="str">
        <f ca="1">_xlfn.CONCAT(Tableau1[[#This Row],[Compte ILN]],"-",Tableau1[[#This Row],[Compte Shipper]],"-",Tableau1[[#This Row],[POL]])</f>
        <v>92000100-92000100-FRLEH</v>
      </c>
      <c r="E21" s="434" t="str">
        <f ca="1">_xlfn.CONCAT(Tableau1[[#This Row],[POL]],"-",Tableau1[[#This Row],[Carrier]],"-",Tableau1[[#This Row],[POD]])</f>
        <v>FRLEH-Maersk-BRPNG</v>
      </c>
      <c r="F21" s="66" t="str">
        <f>_xlfn.CONCAT(Tableau1[[#This Row],[ID]],"-","Actif")</f>
        <v>910-Actif</v>
      </c>
      <c r="G21" s="66" t="str">
        <f ca="1">_xlfn.CONCAT(Tableau1[[#This Row],[POD]],"-",Tableau1[[#This Row],[Code PFI]],"-",Tableau1[[#This Row],[Compte Consignee]])</f>
        <v>BRPNG---90018600</v>
      </c>
      <c r="H21" s="434" t="str">
        <f ca="1">_xlfn.CONCAT(IF(Tableau1[[#This Row],[Name ILN]]=Tableau1[[#This Row],[Name Shipper]],Tableau1[[#This Row],[Name ILN]],Tableau1[[#This Row],[Compte Shipper]]),Tableau1[[#This Row],[POL]],Tableau1[[#This Row],[Name Site]])</f>
        <v>ILN FRFRLEHCuritiba CMO</v>
      </c>
      <c r="I2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FR-ILN FR-910-FRLEH-Maersk-BRPNG-</v>
      </c>
      <c r="J21" s="435" t="str">
        <f ca="1">IF(COUNTIF(I:I,Tableau1[[#This Row],[Plant-ILN-shipper-POL-Carrier-POD-PFI]])=1,"Non","Oui")</f>
        <v>Non</v>
      </c>
      <c r="K21" s="440" t="str">
        <f>VLOOKUP(Tableau1[[#This Row],[Name Site]],Plant_AILN!A:D,4,FALSE)</f>
        <v>BRAZIL</v>
      </c>
      <c r="L21" s="10" t="s">
        <v>160</v>
      </c>
      <c r="M21" s="439">
        <f>VLOOKUP(Tableau1[[#This Row],[Name Site]],Plant_AILN!A:C,3,FALSE)</f>
        <v>90018600</v>
      </c>
      <c r="N21" s="55">
        <f>IF(Tableau1[[#This Row],[Name PFI/CDD]]="PFI VLL",2,VLOOKUP(Tableau1[[#This Row],[Compte Consignee]],Order!C:D,2,FALSE))</f>
        <v>7</v>
      </c>
      <c r="O21" s="116" t="s">
        <v>143</v>
      </c>
      <c r="P21" s="365">
        <f>VLOOKUP(Tableau1[[#This Row],[Name ILN]],Plant_AILN!F:G,2,FALSE)</f>
        <v>92000100</v>
      </c>
      <c r="Q21" s="50">
        <f>VLOOKUP(Tableau1[[#This Row],[Compte ILN]],'DATA ILN'!D:I,6,FALSE)</f>
        <v>9</v>
      </c>
      <c r="R21" s="50">
        <f ca="1">IFERROR(VLOOKUP(Tableau1[[#This Row],[Key(Compte ILN - shipper - POL - plant)]],'DATA ILN'!A:J,10,FALSE),VLOOKUP(Tableau1[[#This Row],[Key(Compte ILN - shipper - POL)]],'DATA ILN'!B:J,9,FALSE))</f>
        <v>14</v>
      </c>
      <c r="S21" s="50">
        <f ca="1">IFERROR(VLOOKUP(Tableau1[[#This Row],[Key(Compte ILN - shipper - POL - plant)]],'DATA ILN'!A:K,11,FALSE),VLOOKUP(Tableau1[[#This Row],[Key(Compte ILN - shipper - POL)]],'DATA ILN'!B:K,10,FALSE))</f>
        <v>5</v>
      </c>
      <c r="T21" s="50">
        <f ca="1">IFERROR(VLOOKUP(Tableau1[[#This Row],[Key(Compte ILN - shipper - POL - plant)]],'DATA ILN'!A:L,12,FALSE),VLOOKUP(Tableau1[[#This Row],[Key(Compte ILN - shipper - POL)]],'DATA ILN'!B:L,11,FALSE))</f>
        <v>7</v>
      </c>
      <c r="U21" s="50">
        <f ca="1">Tableau1[[#This Row],[Day ILN Order]]+Tableau1[[#This Row],[Delivery time to ILN/Shipper]]-1</f>
        <v>22</v>
      </c>
      <c r="V21" s="50">
        <f ca="1">IFERROR(VLOOKUP(Tableau1[[#This Row],[Key(Compte ILN - shipper - POL - plant)]],'DATA ILN'!A:N,14,FALSE),VLOOKUP(Tableau1[[#This Row],[Key(Compte ILN - shipper - POL)]],'DATA ILN'!B:N,13,FALSE))</f>
        <v>1</v>
      </c>
      <c r="W21" s="53">
        <f ca="1">IFERROR(VLOOKUP(Tableau1[[#This Row],[Key(Compte ILN - shipper - POL - plant)]],'DATA ILN'!A:P,16,FALSE),VLOOKUP(Tableau1[[#This Row],[Key(Compte ILN - shipper - POL)]],'DATA ILN'!B:P,15,FALSE))</f>
        <v>8</v>
      </c>
      <c r="X21" s="284" t="s">
        <v>143</v>
      </c>
      <c r="Y21" s="437">
        <f>IFERROR(VLOOKUP(Tableau1[[#This Row],[Name Shipper]],Plant_AILN!L:M,2,FALSE),0)</f>
        <v>92000100</v>
      </c>
      <c r="Z21" s="406">
        <v>910</v>
      </c>
      <c r="AA21" s="396" t="str">
        <f ca="1">VLOOKUP(Tableau1[[#This Row],[Key(ID-Actif)]],'DATA BTO'!A:N,5,FALSE)</f>
        <v>FRLEH</v>
      </c>
      <c r="AB21" s="3" t="str">
        <f ca="1">VLOOKUP(Tableau1[[#This Row],[Key(ID-Actif)]],'DATA BTO'!A:N,6,FALSE)</f>
        <v>Maersk</v>
      </c>
      <c r="AC21" s="50">
        <f ca="1">VLOOKUP(Tableau1[[#This Row],[Key(ID-Actif)]],'DATA BTO'!A:N,7,FALSE)</f>
        <v>2</v>
      </c>
      <c r="AD21" s="50">
        <f ca="1">VLOOKUP(Tableau1[[#This Row],[Key(ID-Actif)]],'DATA BTO'!A:N,8,FALSE)</f>
        <v>4</v>
      </c>
      <c r="AE21" s="50">
        <f ca="1">IF(Tableau1[[#This Row],[First Day to POL]]&lt;=Tableau1[[#This Row],[Day Cut Off]],Tableau1[[#This Row],[Day ETD]],Tableau1[[#This Row],[Day ETD]]+7)</f>
        <v>11</v>
      </c>
      <c r="AF21" s="50">
        <f ca="1">VLOOKUP(Tableau1[[#This Row],[Key(ID-Actif)]],'DATA BTO'!A:N,9,FALSE)</f>
        <v>26</v>
      </c>
      <c r="AG21" s="3" t="str">
        <f ca="1">VLOOKUP(Tableau1[[#This Row],[Key(ID-Actif)]],'DATA BTO'!A:N,10,FALSE)</f>
        <v>BRPNG</v>
      </c>
      <c r="AH21" s="3">
        <f ca="1">VLOOKUP(Tableau1[[#This Row],[Key(ID-Actif)]],'DATA BTO'!A:N,11,FALSE)</f>
        <v>3</v>
      </c>
      <c r="AI21" s="50">
        <f ca="1">VLOOKUP(Tableau1[[#This Row],[Key(ID-Actif)]],'DATA BTO'!A:N,12,FALSE)</f>
        <v>7</v>
      </c>
      <c r="AJ21" s="53" t="str">
        <f ca="1">VLOOKUP(Tableau1[[#This Row],[Key(ID-Actif)]],'DATA BTO'!A:N,14,FALSE)</f>
        <v>Wael</v>
      </c>
      <c r="AK21" s="54">
        <f ca="1">VLOOKUP(Tableau1[[#This Row],[Key(POD -PFI- Usine)]],'DATA Consignee'!A:F,6,FALSE)</f>
        <v>2</v>
      </c>
      <c r="AL21" s="127"/>
      <c r="AM21" s="438" t="str">
        <f>IF(Tableau1[[#This Row],[Name PFI/CDD]]="","-",VLOOKUP(Tableau1[[#This Row],[Name PFI/CDD]],Plant_AILN!I:J,2,FALSE))</f>
        <v>-</v>
      </c>
      <c r="AN2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" s="2">
        <f ca="1">VLOOKUP(Tableau1[[#This Row],[Key(POD -PFI- Usine)]],'DATA Consignee'!A:J,10,FALSE)</f>
        <v>0</v>
      </c>
      <c r="AQ21" s="50">
        <f ca="1">VLOOKUP(Tableau1[[#This Row],[Key(POD -PFI- Usine)]],'DATA Consignee'!A:N,14,FALSE)</f>
        <v>2</v>
      </c>
      <c r="AR2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21" s="50">
        <f ca="1">Tableau1[[#This Row],[Transit time]]+Tableau1[[#This Row],[Time for security]]+Tableau1[[#This Row],[Time for security2 buffer]]</f>
        <v>36</v>
      </c>
      <c r="AU2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21" s="433">
        <f ca="1">Tableau1[[#This Row],[Leadtime SI2C]]+Tableau1[[#This Row],[First Receipt Days]]-Tableau1[[#This Row],[Day Customer Order]]+1</f>
        <v>78</v>
      </c>
      <c r="AW21" s="119">
        <f ca="1">IF(Tableau1[[#This Row],[Name ILN]]&lt;&gt;"SFK Freight Forwarder",Tableau1[[#This Row],[Cust. Leadtime]],Tableau1[[#This Row],[Leadtime SI2C]])</f>
        <v>78</v>
      </c>
      <c r="AX21" s="51" t="s">
        <v>144</v>
      </c>
      <c r="AY21" s="338">
        <f ca="1">IFERROR(VLOOKUP(Tableau1[[#This Row],[Key(ID-Actif)]],'DATA BTO'!A:N,4,FALSE),VLOOKUP(Tableau1[[#This Row],[ID]],'DATA BTO'!B:N,3,FALSE))</f>
        <v>46507</v>
      </c>
      <c r="AZ21" s="50" t="str">
        <f>IF(ISNUMBER(Tableau1[[#This Row],[Day Customer Order]]),"-","Please Check 'Name' information in 'Order' Sheet to make sure they have information")</f>
        <v>-</v>
      </c>
      <c r="BA2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" s="50"/>
    </row>
    <row r="22" spans="2:57" hidden="1">
      <c r="B22" s="67" t="str">
        <f>_xlfn.CONCAT(Tableau1[[#This Row],[Name ILN]],"-",Tableau1[[#This Row],[Name Shipper]],"-",Tableau1[[#This Row],[Name Site]])</f>
        <v>ILN Pune-ILN Pune-Curitiba CMO</v>
      </c>
      <c r="C22" s="67" t="str">
        <f ca="1">_xlfn.CONCAT(Tableau1[[#This Row],[Compte ILN]],"-",Tableau1[[#This Row],[Compte Shipper]],"-",Tableau1[[#This Row],[POL]],"-",Tableau1[[#This Row],[Compte Consignee]])</f>
        <v>2533780535-2533780535-INNSA-90018600</v>
      </c>
      <c r="D22" s="66" t="str">
        <f ca="1">_xlfn.CONCAT(Tableau1[[#This Row],[Compte ILN]],"-",Tableau1[[#This Row],[Compte Shipper]],"-",Tableau1[[#This Row],[POL]])</f>
        <v>2533780535-2533780535-INNSA</v>
      </c>
      <c r="E22" s="434" t="str">
        <f ca="1">_xlfn.CONCAT(Tableau1[[#This Row],[POL]],"-",Tableau1[[#This Row],[Carrier]],"-",Tableau1[[#This Row],[POD]])</f>
        <v>INNSA-ONE-BRPNG</v>
      </c>
      <c r="F22" s="66" t="str">
        <f>_xlfn.CONCAT(Tableau1[[#This Row],[ID]],"-","Actif")</f>
        <v>912-Actif</v>
      </c>
      <c r="G22" s="66" t="str">
        <f ca="1">_xlfn.CONCAT(Tableau1[[#This Row],[POD]],"-",Tableau1[[#This Row],[Code PFI]],"-",Tableau1[[#This Row],[Compte Consignee]])</f>
        <v>BRPNG---90018600</v>
      </c>
      <c r="H22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PuneINNSACuritiba CMO</v>
      </c>
      <c r="I2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Pune-ILN Pune-912-INNSA-ONE-BRPNG-</v>
      </c>
      <c r="J22" s="435" t="str">
        <f ca="1">IF(COUNTIF(I:I,Tableau1[[#This Row],[Plant-ILN-shipper-POL-Carrier-POD-PFI]])=1,"Non","Oui")</f>
        <v>Non</v>
      </c>
      <c r="K22" s="436" t="str">
        <f>VLOOKUP(Tableau1[[#This Row],[Name Site]],Plant_AILN!A:D,4,FALSE)</f>
        <v>BRAZIL</v>
      </c>
      <c r="L22" s="285" t="s">
        <v>160</v>
      </c>
      <c r="M22" s="439">
        <f>VLOOKUP(Tableau1[[#This Row],[Name Site]],Plant_AILN!A:C,3,FALSE)</f>
        <v>90018600</v>
      </c>
      <c r="N22" s="55">
        <f>IF(Tableau1[[#This Row],[Name PFI/CDD]]="PFI VLL",2,VLOOKUP(Tableau1[[#This Row],[Compte Consignee]],Order!C:D,2,FALSE))</f>
        <v>7</v>
      </c>
      <c r="O22" s="116" t="s">
        <v>150</v>
      </c>
      <c r="P22" s="365">
        <f>VLOOKUP(Tableau1[[#This Row],[Name ILN]],Plant_AILN!F:G,2,FALSE)</f>
        <v>2533780535</v>
      </c>
      <c r="Q22" s="50">
        <f>VLOOKUP(Tableau1[[#This Row],[Compte ILN]],'DATA ILN'!D:I,6,FALSE)</f>
        <v>9</v>
      </c>
      <c r="R22" s="50">
        <f ca="1">IFERROR(VLOOKUP(Tableau1[[#This Row],[Key(Compte ILN - shipper - POL - plant)]],'DATA ILN'!A:J,10,FALSE),VLOOKUP(Tableau1[[#This Row],[Key(Compte ILN - shipper - POL)]],'DATA ILN'!B:J,9,FALSE))</f>
        <v>14</v>
      </c>
      <c r="S22" s="50">
        <f ca="1">IFERROR(VLOOKUP(Tableau1[[#This Row],[Key(Compte ILN - shipper - POL - plant)]],'DATA ILN'!A:K,11,FALSE),VLOOKUP(Tableau1[[#This Row],[Key(Compte ILN - shipper - POL)]],'DATA ILN'!B:K,10,FALSE))</f>
        <v>5</v>
      </c>
      <c r="T22" s="50">
        <f ca="1">IFERROR(VLOOKUP(Tableau1[[#This Row],[Key(Compte ILN - shipper - POL - plant)]],'DATA ILN'!A:L,12,FALSE),VLOOKUP(Tableau1[[#This Row],[Key(Compte ILN - shipper - POL)]],'DATA ILN'!B:L,11,FALSE))</f>
        <v>7</v>
      </c>
      <c r="U22" s="50">
        <f ca="1">Tableau1[[#This Row],[Day ILN Order]]+Tableau1[[#This Row],[Delivery time to ILN/Shipper]]-1</f>
        <v>22</v>
      </c>
      <c r="V22" s="50">
        <f ca="1">IFERROR(VLOOKUP(Tableau1[[#This Row],[Key(Compte ILN - shipper - POL - plant)]],'DATA ILN'!A:N,14,FALSE),VLOOKUP(Tableau1[[#This Row],[Key(Compte ILN - shipper - POL)]],'DATA ILN'!B:N,13,FALSE))</f>
        <v>4</v>
      </c>
      <c r="W22" s="53">
        <f ca="1">IFERROR(VLOOKUP(Tableau1[[#This Row],[Key(Compte ILN - shipper - POL - plant)]],'DATA ILN'!A:P,16,FALSE),VLOOKUP(Tableau1[[#This Row],[Key(Compte ILN - shipper - POL)]],'DATA ILN'!B:P,15,FALSE))</f>
        <v>5</v>
      </c>
      <c r="X22" s="284" t="s">
        <v>150</v>
      </c>
      <c r="Y22" s="437">
        <f>IFERROR(VLOOKUP(Tableau1[[#This Row],[Name Shipper]],Plant_AILN!L:M,2,FALSE),0)</f>
        <v>2533780535</v>
      </c>
      <c r="Z22" s="406">
        <v>912</v>
      </c>
      <c r="AA22" s="396" t="str">
        <f ca="1">VLOOKUP(Tableau1[[#This Row],[Key(ID-Actif)]],'DATA BTO'!A:N,5,FALSE)</f>
        <v>INNSA</v>
      </c>
      <c r="AB22" s="3" t="str">
        <f ca="1">VLOOKUP(Tableau1[[#This Row],[Key(ID-Actif)]],'DATA BTO'!A:N,6,FALSE)</f>
        <v>ONE</v>
      </c>
      <c r="AC22" s="50">
        <f ca="1">VLOOKUP(Tableau1[[#This Row],[Key(ID-Actif)]],'DATA BTO'!A:N,7,FALSE)</f>
        <v>5</v>
      </c>
      <c r="AD22" s="50">
        <f ca="1">VLOOKUP(Tableau1[[#This Row],[Key(ID-Actif)]],'DATA BTO'!A:N,8,FALSE)</f>
        <v>7</v>
      </c>
      <c r="AE22" s="50">
        <f ca="1">IF(Tableau1[[#This Row],[First Day to POL]]&lt;=Tableau1[[#This Row],[Day Cut Off]],Tableau1[[#This Row],[Day ETD]],Tableau1[[#This Row],[Day ETD]]+7)</f>
        <v>7</v>
      </c>
      <c r="AF22" s="50">
        <f ca="1">VLOOKUP(Tableau1[[#This Row],[Key(ID-Actif)]],'DATA BTO'!A:N,9,FALSE)</f>
        <v>44</v>
      </c>
      <c r="AG22" s="3" t="str">
        <f ca="1">VLOOKUP(Tableau1[[#This Row],[Key(ID-Actif)]],'DATA BTO'!A:N,10,FALSE)</f>
        <v>BRPNG</v>
      </c>
      <c r="AH22" s="3">
        <f ca="1">VLOOKUP(Tableau1[[#This Row],[Key(ID-Actif)]],'DATA BTO'!A:N,11,FALSE)</f>
        <v>3</v>
      </c>
      <c r="AI22" s="50">
        <f ca="1">VLOOKUP(Tableau1[[#This Row],[Key(ID-Actif)]],'DATA BTO'!A:N,12,FALSE)</f>
        <v>7</v>
      </c>
      <c r="AJ22" s="53" t="str">
        <f ca="1">VLOOKUP(Tableau1[[#This Row],[Key(ID-Actif)]],'DATA BTO'!A:N,14,FALSE)</f>
        <v>Marc-Aurele</v>
      </c>
      <c r="AK22" s="54">
        <f ca="1">VLOOKUP(Tableau1[[#This Row],[Key(POD -PFI- Usine)]],'DATA Consignee'!A:F,6,FALSE)</f>
        <v>2</v>
      </c>
      <c r="AL22" s="127"/>
      <c r="AM22" s="438" t="str">
        <f>IF(Tableau1[[#This Row],[Name PFI/CDD]]="","-",VLOOKUP(Tableau1[[#This Row],[Name PFI/CDD]],Plant_AILN!I:J,2,FALSE))</f>
        <v>-</v>
      </c>
      <c r="AN2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" s="2">
        <f ca="1">VLOOKUP(Tableau1[[#This Row],[Key(POD -PFI- Usine)]],'DATA Consignee'!A:J,10,FALSE)</f>
        <v>0</v>
      </c>
      <c r="AQ22" s="50">
        <f ca="1">VLOOKUP(Tableau1[[#This Row],[Key(POD -PFI- Usine)]],'DATA Consignee'!A:N,14,FALSE)</f>
        <v>2</v>
      </c>
      <c r="AR2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2" s="50">
        <f ca="1">Tableau1[[#This Row],[Transit time]]+Tableau1[[#This Row],[Time for security]]+Tableau1[[#This Row],[Time for security2 buffer]]</f>
        <v>54</v>
      </c>
      <c r="AU2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2" s="433">
        <f ca="1">Tableau1[[#This Row],[Leadtime SI2C]]+Tableau1[[#This Row],[First Receipt Days]]-Tableau1[[#This Row],[Day Customer Order]]+1</f>
        <v>92</v>
      </c>
      <c r="AW22" s="119">
        <f ca="1">IF(Tableau1[[#This Row],[Name ILN]]&lt;&gt;"SFK Freight Forwarder",Tableau1[[#This Row],[Cust. Leadtime]],Tableau1[[#This Row],[Leadtime SI2C]])</f>
        <v>92</v>
      </c>
      <c r="AX22" s="51" t="s">
        <v>144</v>
      </c>
      <c r="AY22" s="338">
        <f ca="1">IFERROR(VLOOKUP(Tableau1[[#This Row],[Key(ID-Actif)]],'DATA BTO'!A:N,4,FALSE),VLOOKUP(Tableau1[[#This Row],[ID]],'DATA BTO'!B:N,3,FALSE))</f>
        <v>46507</v>
      </c>
      <c r="AZ22" s="50" t="str">
        <f>IF(ISNUMBER(Tableau1[[#This Row],[Day Customer Order]]),"-","Please Check 'Name' information in 'Order' Sheet to make sure they have information")</f>
        <v>-</v>
      </c>
      <c r="BA2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" s="50"/>
    </row>
    <row r="23" spans="2:57" hidden="1">
      <c r="B23" s="67" t="str">
        <f>_xlfn.CONCAT(Tableau1[[#This Row],[Name ILN]],"-",Tableau1[[#This Row],[Name Shipper]],"-",Tableau1[[#This Row],[Name Site]])</f>
        <v>ILN Chennai-ILN Chennai-DACIA MECA</v>
      </c>
      <c r="C23" s="67" t="str">
        <f ca="1">_xlfn.CONCAT(Tableau1[[#This Row],[Compte ILN]],"-",Tableau1[[#This Row],[Compte Shipper]],"-",Tableau1[[#This Row],[POL]],"-",Tableau1[[#This Row],[Compte Consignee]])</f>
        <v>2533780546-2533780546-INENR-90012500</v>
      </c>
      <c r="D23" s="66" t="str">
        <f ca="1">_xlfn.CONCAT(Tableau1[[#This Row],[Compte ILN]],"-",Tableau1[[#This Row],[Compte Shipper]],"-",Tableau1[[#This Row],[POL]])</f>
        <v>2533780546-2533780546-INENR</v>
      </c>
      <c r="E23" s="434" t="str">
        <f ca="1">_xlfn.CONCAT(Tableau1[[#This Row],[POL]],"-",Tableau1[[#This Row],[Carrier]],"-",Tableau1[[#This Row],[POD]])</f>
        <v>INENR-CMA-CGM-ROCND</v>
      </c>
      <c r="F23" s="66" t="str">
        <f>_xlfn.CONCAT(Tableau1[[#This Row],[ID]],"-","Actif")</f>
        <v>915-Actif</v>
      </c>
      <c r="G23" s="66" t="str">
        <f ca="1">_xlfn.CONCAT(Tableau1[[#This Row],[POD]],"-",Tableau1[[#This Row],[Code PFI]],"-",Tableau1[[#This Row],[Compte Consignee]])</f>
        <v>ROCND-2839004-90012500</v>
      </c>
      <c r="H23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ChennaiINENRDACIA MECA</v>
      </c>
      <c r="I2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Chennai-ILN Chennai-915-INENR-CMA-CGM-ROCND-Magasin Dacia</v>
      </c>
      <c r="J23" s="435" t="str">
        <f ca="1">IF(COUNTIF(I:I,Tableau1[[#This Row],[Plant-ILN-shipper-POL-Carrier-POD-PFI]])=1,"Non","Oui")</f>
        <v>Non</v>
      </c>
      <c r="K23" s="436" t="str">
        <f>VLOOKUP(Tableau1[[#This Row],[Name Site]],Plant_AILN!A:D,4,FALSE)</f>
        <v>ROMANIA</v>
      </c>
      <c r="L23" s="411" t="s">
        <v>162</v>
      </c>
      <c r="M23" s="439">
        <f>VLOOKUP(Tableau1[[#This Row],[Name Site]],Plant_AILN!A:C,3,FALSE)</f>
        <v>90012500</v>
      </c>
      <c r="N23" s="55">
        <f>IF(Tableau1[[#This Row],[Name PFI/CDD]]="PFI VLL",2,VLOOKUP(Tableau1[[#This Row],[Compte Consignee]],Order!C:D,2,FALSE))</f>
        <v>7</v>
      </c>
      <c r="O23" s="116" t="s">
        <v>149</v>
      </c>
      <c r="P23" s="365">
        <f>VLOOKUP(Tableau1[[#This Row],[Name ILN]],Plant_AILN!F:G,2,FALSE)</f>
        <v>2533780546</v>
      </c>
      <c r="Q23" s="50">
        <f>VLOOKUP(Tableau1[[#This Row],[Compte ILN]],'DATA ILN'!D:I,6,FALSE)</f>
        <v>9</v>
      </c>
      <c r="R23" s="50">
        <f ca="1">IFERROR(VLOOKUP(Tableau1[[#This Row],[Key(Compte ILN - shipper - POL - plant)]],'DATA ILN'!A:J,10,FALSE),VLOOKUP(Tableau1[[#This Row],[Key(Compte ILN - shipper - POL)]],'DATA ILN'!B:J,9,FALSE))</f>
        <v>14</v>
      </c>
      <c r="S23" s="50">
        <f ca="1">IFERROR(VLOOKUP(Tableau1[[#This Row],[Key(Compte ILN - shipper - POL - plant)]],'DATA ILN'!A:K,11,FALSE),VLOOKUP(Tableau1[[#This Row],[Key(Compte ILN - shipper - POL)]],'DATA ILN'!B:K,10,FALSE))</f>
        <v>5</v>
      </c>
      <c r="T23" s="50">
        <f ca="1">IFERROR(VLOOKUP(Tableau1[[#This Row],[Key(Compte ILN - shipper - POL - plant)]],'DATA ILN'!A:L,12,FALSE),VLOOKUP(Tableau1[[#This Row],[Key(Compte ILN - shipper - POL)]],'DATA ILN'!B:L,11,FALSE))</f>
        <v>7</v>
      </c>
      <c r="U23" s="50">
        <f ca="1">Tableau1[[#This Row],[Day ILN Order]]+Tableau1[[#This Row],[Delivery time to ILN/Shipper]]-1</f>
        <v>22</v>
      </c>
      <c r="V23" s="50">
        <f ca="1">IFERROR(VLOOKUP(Tableau1[[#This Row],[Key(Compte ILN - shipper - POL - plant)]],'DATA ILN'!A:N,14,FALSE),VLOOKUP(Tableau1[[#This Row],[Key(Compte ILN - shipper - POL)]],'DATA ILN'!B:N,13,FALSE))</f>
        <v>2</v>
      </c>
      <c r="W23" s="53">
        <f ca="1">IFERROR(VLOOKUP(Tableau1[[#This Row],[Key(Compte ILN - shipper - POL - plant)]],'DATA ILN'!A:P,16,FALSE),VLOOKUP(Tableau1[[#This Row],[Key(Compte ILN - shipper - POL)]],'DATA ILN'!B:P,15,FALSE))</f>
        <v>5</v>
      </c>
      <c r="X23" s="284" t="s">
        <v>149</v>
      </c>
      <c r="Y23" s="437">
        <f>IFERROR(VLOOKUP(Tableau1[[#This Row],[Name Shipper]],Plant_AILN!L:M,2,FALSE),0)</f>
        <v>2533780546</v>
      </c>
      <c r="Z23" s="406">
        <v>915</v>
      </c>
      <c r="AA23" s="396" t="str">
        <f ca="1">VLOOKUP(Tableau1[[#This Row],[Key(ID-Actif)]],'DATA BTO'!A:N,5,FALSE)</f>
        <v>INENR</v>
      </c>
      <c r="AB23" s="3" t="str">
        <f ca="1">VLOOKUP(Tableau1[[#This Row],[Key(ID-Actif)]],'DATA BTO'!A:N,6,FALSE)</f>
        <v>CMA-CGM</v>
      </c>
      <c r="AC23" s="50">
        <f ca="1">VLOOKUP(Tableau1[[#This Row],[Key(ID-Actif)]],'DATA BTO'!A:N,7,FALSE)</f>
        <v>7</v>
      </c>
      <c r="AD23" s="50">
        <f ca="1">VLOOKUP(Tableau1[[#This Row],[Key(ID-Actif)]],'DATA BTO'!A:N,8,FALSE)</f>
        <v>10</v>
      </c>
      <c r="AE23" s="50">
        <f ca="1">IF(Tableau1[[#This Row],[First Day to POL]]&lt;=Tableau1[[#This Row],[Day Cut Off]],Tableau1[[#This Row],[Day ETD]],Tableau1[[#This Row],[Day ETD]]+7)</f>
        <v>10</v>
      </c>
      <c r="AF23" s="50">
        <f ca="1">VLOOKUP(Tableau1[[#This Row],[Key(ID-Actif)]],'DATA BTO'!A:N,9,FALSE)</f>
        <v>43</v>
      </c>
      <c r="AG23" s="3" t="str">
        <f ca="1">VLOOKUP(Tableau1[[#This Row],[Key(ID-Actif)]],'DATA BTO'!A:N,10,FALSE)</f>
        <v>ROCND</v>
      </c>
      <c r="AH23" s="3">
        <f ca="1">VLOOKUP(Tableau1[[#This Row],[Key(ID-Actif)]],'DATA BTO'!A:N,11,FALSE)</f>
        <v>3</v>
      </c>
      <c r="AI23" s="50">
        <f ca="1">VLOOKUP(Tableau1[[#This Row],[Key(ID-Actif)]],'DATA BTO'!A:N,12,FALSE)</f>
        <v>14</v>
      </c>
      <c r="AJ23" s="53" t="str">
        <f ca="1">VLOOKUP(Tableau1[[#This Row],[Key(ID-Actif)]],'DATA BTO'!A:N,14,FALSE)</f>
        <v>Marc-Aurele</v>
      </c>
      <c r="AK23" s="54">
        <f ca="1">VLOOKUP(Tableau1[[#This Row],[Key(POD -PFI- Usine)]],'DATA Consignee'!A:F,6,FALSE)</f>
        <v>1</v>
      </c>
      <c r="AL23" s="127" t="s">
        <v>164</v>
      </c>
      <c r="AM23" s="438">
        <f>IF(Tableau1[[#This Row],[Name PFI/CDD]]="","-",VLOOKUP(Tableau1[[#This Row],[Name PFI/CDD]],Plant_AILN!I:J,2,FALSE))</f>
        <v>2839004</v>
      </c>
      <c r="AN2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" s="2">
        <f ca="1">VLOOKUP(Tableau1[[#This Row],[Key(POD -PFI- Usine)]],'DATA Consignee'!A:J,10,FALSE)</f>
        <v>7</v>
      </c>
      <c r="AQ23" s="50">
        <f ca="1">VLOOKUP(Tableau1[[#This Row],[Key(POD -PFI- Usine)]],'DATA Consignee'!A:N,14,FALSE)</f>
        <v>1</v>
      </c>
      <c r="AR2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15</v>
      </c>
      <c r="AT23" s="50">
        <f ca="1">Tableau1[[#This Row],[Transit time]]+Tableau1[[#This Row],[Time for security]]+Tableau1[[#This Row],[Time for security2 buffer]]</f>
        <v>60</v>
      </c>
      <c r="AU2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23" s="433">
        <f ca="1">Tableau1[[#This Row],[Leadtime SI2C]]+Tableau1[[#This Row],[First Receipt Days]]-Tableau1[[#This Row],[Day Customer Order]]+1</f>
        <v>106</v>
      </c>
      <c r="AW23" s="119">
        <f ca="1">IF(Tableau1[[#This Row],[Name ILN]]&lt;&gt;"SFK Freight Forwarder",Tableau1[[#This Row],[Cust. Leadtime]],Tableau1[[#This Row],[Leadtime SI2C]])</f>
        <v>106</v>
      </c>
      <c r="AX23" s="51" t="s">
        <v>144</v>
      </c>
      <c r="AY23" s="338">
        <f ca="1">IFERROR(VLOOKUP(Tableau1[[#This Row],[Key(ID-Actif)]],'DATA BTO'!A:N,4,FALSE),VLOOKUP(Tableau1[[#This Row],[ID]],'DATA BTO'!B:N,3,FALSE))</f>
        <v>46507</v>
      </c>
      <c r="AZ23" s="50" t="str">
        <f>IF(ISNUMBER(Tableau1[[#This Row],[Day Customer Order]]),"-","Please Check 'Name' information in 'Order' Sheet to make sure they have information")</f>
        <v>-</v>
      </c>
      <c r="BA2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" s="50"/>
    </row>
    <row r="24" spans="2:57" hidden="1">
      <c r="B24" s="67" t="str">
        <f>_xlfn.CONCAT(Tableau1[[#This Row],[Name ILN]],"-",Tableau1[[#This Row],[Name Shipper]],"-",Tableau1[[#This Row],[Name Site]])</f>
        <v>ILN Curitiba-ILN Curitiba-MOTORES</v>
      </c>
      <c r="C24" s="67" t="str">
        <f ca="1">_xlfn.CONCAT(Tableau1[[#This Row],[Compte ILN]],"-",Tableau1[[#This Row],[Compte Shipper]],"-",Tableau1[[#This Row],[POL]],"-",Tableau1[[#This Row],[Compte Consignee]])</f>
        <v>95207-95207-BRPNG-91017700</v>
      </c>
      <c r="D24" s="66" t="str">
        <f ca="1">_xlfn.CONCAT(Tableau1[[#This Row],[Compte ILN]],"-",Tableau1[[#This Row],[Compte Shipper]],"-",Tableau1[[#This Row],[POL]])</f>
        <v>95207-95207-BRPNG</v>
      </c>
      <c r="E24" s="434" t="str">
        <f ca="1">_xlfn.CONCAT(Tableau1[[#This Row],[POL]],"-",Tableau1[[#This Row],[Carrier]],"-",Tableau1[[#This Row],[POD]])</f>
        <v>BRPNG-Hapag Lloyd-ESVLC</v>
      </c>
      <c r="F24" s="66" t="str">
        <f>_xlfn.CONCAT(Tableau1[[#This Row],[ID]],"-","Actif")</f>
        <v>916-Actif</v>
      </c>
      <c r="G24" s="66" t="str">
        <f ca="1">_xlfn.CONCAT(Tableau1[[#This Row],[POD]],"-",Tableau1[[#This Row],[Code PFI]],"-",Tableau1[[#This Row],[Compte Consignee]])</f>
        <v>ESVLC-91018400-91017700</v>
      </c>
      <c r="H24" s="434" t="str">
        <f ca="1">_xlfn.CONCAT(IF(Tableau1[[#This Row],[Name ILN]]=Tableau1[[#This Row],[Name Shipper]],Tableau1[[#This Row],[Name ILN]],Tableau1[[#This Row],[Compte Shipper]]),Tableau1[[#This Row],[POL]],Tableau1[[#This Row],[Name Site]])</f>
        <v>ILN CuritibaBRPNGMOTORES</v>
      </c>
      <c r="I2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Curitiba-ILN Curitiba-916-BRPNG-Hapag Lloyd-ESVLC-CDD VLL</v>
      </c>
      <c r="J24" s="435" t="str">
        <f ca="1">IF(COUNTIF(I:I,Tableau1[[#This Row],[Plant-ILN-shipper-POL-Carrier-POD-PFI]])=1,"Non","Oui")</f>
        <v>Non</v>
      </c>
      <c r="K24" s="436" t="str">
        <f>VLOOKUP(Tableau1[[#This Row],[Name Site]],Plant_AILN!A:D,4,FALSE)</f>
        <v>SPAIN</v>
      </c>
      <c r="L24" s="411" t="s">
        <v>63</v>
      </c>
      <c r="M24" s="439">
        <f>VLOOKUP(Tableau1[[#This Row],[Name Site]],Plant_AILN!A:C,3,FALSE)</f>
        <v>91017700</v>
      </c>
      <c r="N24" s="55">
        <f>IF(Tableau1[[#This Row],[Name PFI/CDD]]="PFI VLL",2,VLOOKUP(Tableau1[[#This Row],[Compte Consignee]],Order!C:D,2,FALSE))</f>
        <v>7</v>
      </c>
      <c r="O24" s="116" t="s">
        <v>163</v>
      </c>
      <c r="P24" s="365">
        <f>VLOOKUP(Tableau1[[#This Row],[Name ILN]],Plant_AILN!F:G,2,FALSE)</f>
        <v>95207</v>
      </c>
      <c r="Q24" s="50">
        <f>VLOOKUP(Tableau1[[#This Row],[Compte ILN]],'DATA ILN'!D:I,6,FALSE)</f>
        <v>9</v>
      </c>
      <c r="R24" s="50">
        <f ca="1">IFERROR(VLOOKUP(Tableau1[[#This Row],[Key(Compte ILN - shipper - POL - plant)]],'DATA ILN'!A:J,10,FALSE),VLOOKUP(Tableau1[[#This Row],[Key(Compte ILN - shipper - POL)]],'DATA ILN'!B:J,9,FALSE))</f>
        <v>7</v>
      </c>
      <c r="S24" s="50">
        <f ca="1">IFERROR(VLOOKUP(Tableau1[[#This Row],[Key(Compte ILN - shipper - POL - plant)]],'DATA ILN'!A:K,11,FALSE),VLOOKUP(Tableau1[[#This Row],[Key(Compte ILN - shipper - POL)]],'DATA ILN'!B:K,10,FALSE))</f>
        <v>5</v>
      </c>
      <c r="T24" s="50">
        <f ca="1">IFERROR(VLOOKUP(Tableau1[[#This Row],[Key(Compte ILN - shipper - POL - plant)]],'DATA ILN'!A:L,12,FALSE),VLOOKUP(Tableau1[[#This Row],[Key(Compte ILN - shipper - POL)]],'DATA ILN'!B:L,11,FALSE))</f>
        <v>7</v>
      </c>
      <c r="U24" s="50">
        <f ca="1">Tableau1[[#This Row],[Day ILN Order]]+Tableau1[[#This Row],[Delivery time to ILN/Shipper]]-1</f>
        <v>15</v>
      </c>
      <c r="V24" s="50">
        <f ca="1">IFERROR(VLOOKUP(Tableau1[[#This Row],[Key(Compte ILN - shipper - POL - plant)]],'DATA ILN'!A:N,14,FALSE),VLOOKUP(Tableau1[[#This Row],[Key(Compte ILN - shipper - POL)]],'DATA ILN'!B:N,13,FALSE))</f>
        <v>4</v>
      </c>
      <c r="W24" s="53">
        <f ca="1">IFERROR(VLOOKUP(Tableau1[[#This Row],[Key(Compte ILN - shipper - POL - plant)]],'DATA ILN'!A:P,16,FALSE),VLOOKUP(Tableau1[[#This Row],[Key(Compte ILN - shipper - POL)]],'DATA ILN'!B:P,15,FALSE))</f>
        <v>5</v>
      </c>
      <c r="X24" s="284" t="s">
        <v>163</v>
      </c>
      <c r="Y24" s="437">
        <f>IFERROR(VLOOKUP(Tableau1[[#This Row],[Name Shipper]],Plant_AILN!L:M,2,FALSE),0)</f>
        <v>95207</v>
      </c>
      <c r="Z24" s="406">
        <v>916</v>
      </c>
      <c r="AA24" s="396" t="str">
        <f ca="1">VLOOKUP(Tableau1[[#This Row],[Key(ID-Actif)]],'DATA BTO'!A:N,5,FALSE)</f>
        <v>BRPNG</v>
      </c>
      <c r="AB24" s="3" t="str">
        <f ca="1">VLOOKUP(Tableau1[[#This Row],[Key(ID-Actif)]],'DATA BTO'!A:N,6,FALSE)</f>
        <v>Hapag Lloyd</v>
      </c>
      <c r="AC24" s="50">
        <f ca="1">VLOOKUP(Tableau1[[#This Row],[Key(ID-Actif)]],'DATA BTO'!A:N,7,FALSE)</f>
        <v>3</v>
      </c>
      <c r="AD24" s="50">
        <f ca="1">VLOOKUP(Tableau1[[#This Row],[Key(ID-Actif)]],'DATA BTO'!A:N,8,FALSE)</f>
        <v>5</v>
      </c>
      <c r="AE24" s="50">
        <f ca="1">IF(Tableau1[[#This Row],[First Day to POL]]&lt;=Tableau1[[#This Row],[Day Cut Off]],Tableau1[[#This Row],[Day ETD]],Tableau1[[#This Row],[Day ETD]]+7)</f>
        <v>12</v>
      </c>
      <c r="AF24" s="50">
        <f ca="1">VLOOKUP(Tableau1[[#This Row],[Key(ID-Actif)]],'DATA BTO'!A:N,9,FALSE)</f>
        <v>31</v>
      </c>
      <c r="AG24" s="3" t="str">
        <f ca="1">VLOOKUP(Tableau1[[#This Row],[Key(ID-Actif)]],'DATA BTO'!A:N,10,FALSE)</f>
        <v>ESVLC</v>
      </c>
      <c r="AH24" s="3">
        <f ca="1">VLOOKUP(Tableau1[[#This Row],[Key(ID-Actif)]],'DATA BTO'!A:N,11,FALSE)</f>
        <v>3</v>
      </c>
      <c r="AI24" s="50">
        <f ca="1">VLOOKUP(Tableau1[[#This Row],[Key(ID-Actif)]],'DATA BTO'!A:N,12,FALSE)</f>
        <v>7</v>
      </c>
      <c r="AJ24" s="53" t="str">
        <f ca="1">VLOOKUP(Tableau1[[#This Row],[Key(ID-Actif)]],'DATA BTO'!A:N,14,FALSE)</f>
        <v>Jocelyn</v>
      </c>
      <c r="AK24" s="54">
        <f ca="1">VLOOKUP(Tableau1[[#This Row],[Key(POD -PFI- Usine)]],'DATA Consignee'!A:F,6,FALSE)</f>
        <v>2</v>
      </c>
      <c r="AL24" s="127" t="s">
        <v>169</v>
      </c>
      <c r="AM24" s="438">
        <f>IF(Tableau1[[#This Row],[Name PFI/CDD]]="","-",VLOOKUP(Tableau1[[#This Row],[Name PFI/CDD]],Plant_AILN!I:J,2,FALSE))</f>
        <v>91018400</v>
      </c>
      <c r="AN24" s="6">
        <f ca="1">IF(COUNTIF(buffer_train[AILN],Tableau1[[#This Row],[Name PFI/CDD]])&gt;0,Tableau1[[#This Row],[First Receipt Days]]+Tableau1[[#This Row],[Cust.]]+Tableau1[[#This Row],[Parts Vanning]]+Tableau1[[#This Row],[Transit Time2]],"-")</f>
        <v>75</v>
      </c>
      <c r="AO24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24" s="2">
        <f ca="1">VLOOKUP(Tableau1[[#This Row],[Key(POD -PFI- Usine)]],'DATA Consignee'!A:J,10,FALSE)</f>
        <v>3</v>
      </c>
      <c r="AQ24" s="50">
        <f ca="1">VLOOKUP(Tableau1[[#This Row],[Key(POD -PFI- Usine)]],'DATA Consignee'!A:N,14,FALSE)</f>
        <v>3</v>
      </c>
      <c r="AR2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24" s="50">
        <f ca="1">Tableau1[[#This Row],[Transit time]]+Tableau1[[#This Row],[Time for security]]+Tableau1[[#This Row],[Time for security2 buffer]]</f>
        <v>41</v>
      </c>
      <c r="AU2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24" s="433">
        <f ca="1">Tableau1[[#This Row],[Leadtime SI2C]]+Tableau1[[#This Row],[First Receipt Days]]-Tableau1[[#This Row],[Day Customer Order]]+1</f>
        <v>78</v>
      </c>
      <c r="AW24" s="119">
        <f ca="1">IF(Tableau1[[#This Row],[Name ILN]]&lt;&gt;"SFK Freight Forwarder",Tableau1[[#This Row],[Cust. Leadtime]],Tableau1[[#This Row],[Leadtime SI2C]])</f>
        <v>78</v>
      </c>
      <c r="AX24" s="51" t="s">
        <v>144</v>
      </c>
      <c r="AY24" s="338">
        <f ca="1">IFERROR(VLOOKUP(Tableau1[[#This Row],[Key(ID-Actif)]],'DATA BTO'!A:N,4,FALSE),VLOOKUP(Tableau1[[#This Row],[ID]],'DATA BTO'!B:N,3,FALSE))</f>
        <v>46507</v>
      </c>
      <c r="AZ24" s="50" t="str">
        <f>IF(ISNUMBER(Tableau1[[#This Row],[Day Customer Order]]),"-","Please Check 'Name' information in 'Order' Sheet to make sure they have information")</f>
        <v>-</v>
      </c>
      <c r="BA2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" s="50"/>
    </row>
    <row r="25" spans="2:57">
      <c r="B25" s="67" t="str">
        <f>_xlfn.CONCAT(Tableau1[[#This Row],[Name ILN]],"-",Tableau1[[#This Row],[Name Shipper]],"-",Tableau1[[#This Row],[Name Site]])</f>
        <v>ILN Chennai-ILN Chennai-OYAK MEKA</v>
      </c>
      <c r="C25" s="67" t="str">
        <f ca="1">_xlfn.CONCAT(Tableau1[[#This Row],[Compte ILN]],"-",Tableau1[[#This Row],[Compte Shipper]],"-",Tableau1[[#This Row],[POL]],"-",Tableau1[[#This Row],[Compte Consignee]])</f>
        <v>2533780546-2533780546-INENR-90014400</v>
      </c>
      <c r="D25" s="66" t="str">
        <f ca="1">_xlfn.CONCAT(Tableau1[[#This Row],[Compte ILN]],"-",Tableau1[[#This Row],[Compte Shipper]],"-",Tableau1[[#This Row],[POL]])</f>
        <v>2533780546-2533780546-INENR</v>
      </c>
      <c r="E25" s="434" t="str">
        <f ca="1">_xlfn.CONCAT(Tableau1[[#This Row],[POL]],"-",Tableau1[[#This Row],[Carrier]],"-",Tableau1[[#This Row],[POD]])</f>
        <v>INENR-Maersk-TRIZT</v>
      </c>
      <c r="F25" s="66" t="str">
        <f>_xlfn.CONCAT(Tableau1[[#This Row],[ID]],"-","Actif")</f>
        <v>917-Actif</v>
      </c>
      <c r="G25" s="66" t="str">
        <f ca="1">_xlfn.CONCAT(Tableau1[[#This Row],[POD]],"-",Tableau1[[#This Row],[Code PFI]],"-",Tableau1[[#This Row],[Compte Consignee]])</f>
        <v>TRIZT---90014400</v>
      </c>
      <c r="H25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ChennaiINENROYAK MEKA</v>
      </c>
      <c r="I2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Chennai-ILN Chennai-917-INENR-Maersk-TRIZT-</v>
      </c>
      <c r="J25" s="435" t="str">
        <f ca="1">IF(COUNTIF(I:I,Tableau1[[#This Row],[Plant-ILN-shipper-POL-Carrier-POD-PFI]])=1,"Non","Oui")</f>
        <v>Non</v>
      </c>
      <c r="K25" s="436" t="str">
        <f>VLOOKUP(Tableau1[[#This Row],[Name Site]],Plant_AILN!A:D,4,FALSE)</f>
        <v>TURKEY</v>
      </c>
      <c r="L25" s="285" t="s">
        <v>165</v>
      </c>
      <c r="M25" s="439">
        <f>VLOOKUP(Tableau1[[#This Row],[Name Site]],Plant_AILN!A:C,3,FALSE)</f>
        <v>90014400</v>
      </c>
      <c r="N25" s="55">
        <f>IF(Tableau1[[#This Row],[Name PFI/CDD]]="PFI VLL",2,VLOOKUP(Tableau1[[#This Row],[Compte Consignee]],Order!C:D,2,FALSE))</f>
        <v>2</v>
      </c>
      <c r="O25" s="116" t="s">
        <v>149</v>
      </c>
      <c r="P25" s="365">
        <f>VLOOKUP(Tableau1[[#This Row],[Name ILN]],Plant_AILN!F:G,2,FALSE)</f>
        <v>2533780546</v>
      </c>
      <c r="Q25" s="50">
        <f>VLOOKUP(Tableau1[[#This Row],[Compte ILN]],'DATA ILN'!D:I,6,FALSE)</f>
        <v>9</v>
      </c>
      <c r="R25" s="50">
        <f ca="1">IFERROR(VLOOKUP(Tableau1[[#This Row],[Key(Compte ILN - shipper - POL - plant)]],'DATA ILN'!A:J,10,FALSE),VLOOKUP(Tableau1[[#This Row],[Key(Compte ILN - shipper - POL)]],'DATA ILN'!B:J,9,FALSE))</f>
        <v>14</v>
      </c>
      <c r="S25" s="50">
        <f ca="1">IFERROR(VLOOKUP(Tableau1[[#This Row],[Key(Compte ILN - shipper - POL - plant)]],'DATA ILN'!A:K,11,FALSE),VLOOKUP(Tableau1[[#This Row],[Key(Compte ILN - shipper - POL)]],'DATA ILN'!B:K,10,FALSE))</f>
        <v>5</v>
      </c>
      <c r="T25" s="50">
        <f ca="1">IFERROR(VLOOKUP(Tableau1[[#This Row],[Key(Compte ILN - shipper - POL - plant)]],'DATA ILN'!A:L,12,FALSE),VLOOKUP(Tableau1[[#This Row],[Key(Compte ILN - shipper - POL)]],'DATA ILN'!B:L,11,FALSE))</f>
        <v>7</v>
      </c>
      <c r="U25" s="50">
        <f ca="1">Tableau1[[#This Row],[Day ILN Order]]+Tableau1[[#This Row],[Delivery time to ILN/Shipper]]-1</f>
        <v>22</v>
      </c>
      <c r="V25" s="50">
        <f ca="1">IFERROR(VLOOKUP(Tableau1[[#This Row],[Key(Compte ILN - shipper - POL - plant)]],'DATA ILN'!A:N,14,FALSE),VLOOKUP(Tableau1[[#This Row],[Key(Compte ILN - shipper - POL)]],'DATA ILN'!B:N,13,FALSE))</f>
        <v>2</v>
      </c>
      <c r="W25" s="53">
        <f ca="1">IFERROR(VLOOKUP(Tableau1[[#This Row],[Key(Compte ILN - shipper - POL - plant)]],'DATA ILN'!A:P,16,FALSE),VLOOKUP(Tableau1[[#This Row],[Key(Compte ILN - shipper - POL)]],'DATA ILN'!B:P,15,FALSE))</f>
        <v>5</v>
      </c>
      <c r="X25" s="284" t="s">
        <v>149</v>
      </c>
      <c r="Y25" s="437">
        <f>IFERROR(VLOOKUP(Tableau1[[#This Row],[Name Shipper]],Plant_AILN!L:M,2,FALSE),0)</f>
        <v>2533780546</v>
      </c>
      <c r="Z25" s="406">
        <v>917</v>
      </c>
      <c r="AA25" s="396" t="str">
        <f ca="1">VLOOKUP(Tableau1[[#This Row],[Key(ID-Actif)]],'DATA BTO'!A:N,5,FALSE)</f>
        <v>INENR</v>
      </c>
      <c r="AB25" s="3" t="str">
        <f ca="1">VLOOKUP(Tableau1[[#This Row],[Key(ID-Actif)]],'DATA BTO'!A:N,6,FALSE)</f>
        <v>Maersk</v>
      </c>
      <c r="AC25" s="50">
        <f ca="1">VLOOKUP(Tableau1[[#This Row],[Key(ID-Actif)]],'DATA BTO'!A:N,7,FALSE)</f>
        <v>1</v>
      </c>
      <c r="AD25" s="50">
        <f ca="1">VLOOKUP(Tableau1[[#This Row],[Key(ID-Actif)]],'DATA BTO'!A:N,8,FALSE)</f>
        <v>2</v>
      </c>
      <c r="AE25" s="50">
        <f ca="1">IF(Tableau1[[#This Row],[First Day to POL]]&lt;=Tableau1[[#This Row],[Day Cut Off]],Tableau1[[#This Row],[Day ETD]],Tableau1[[#This Row],[Day ETD]]+7)</f>
        <v>9</v>
      </c>
      <c r="AF25" s="50">
        <f ca="1">VLOOKUP(Tableau1[[#This Row],[Key(ID-Actif)]],'DATA BTO'!A:N,9,FALSE)</f>
        <v>37</v>
      </c>
      <c r="AG25" s="3" t="str">
        <f ca="1">VLOOKUP(Tableau1[[#This Row],[Key(ID-Actif)]],'DATA BTO'!A:N,10,FALSE)</f>
        <v>TRIZT</v>
      </c>
      <c r="AH25" s="3">
        <f ca="1">VLOOKUP(Tableau1[[#This Row],[Key(ID-Actif)]],'DATA BTO'!A:N,11,FALSE)</f>
        <v>3</v>
      </c>
      <c r="AI25" s="50">
        <f ca="1">VLOOKUP(Tableau1[[#This Row],[Key(ID-Actif)]],'DATA BTO'!A:N,12,FALSE)</f>
        <v>14</v>
      </c>
      <c r="AJ25" s="53" t="str">
        <f ca="1">VLOOKUP(Tableau1[[#This Row],[Key(ID-Actif)]],'DATA BTO'!A:N,14,FALSE)</f>
        <v>Marc-Aurele</v>
      </c>
      <c r="AK25" s="54">
        <f ca="1">VLOOKUP(Tableau1[[#This Row],[Key(POD -PFI- Usine)]],'DATA Consignee'!A:F,6,FALSE)</f>
        <v>4</v>
      </c>
      <c r="AL25" s="127"/>
      <c r="AM25" s="438" t="str">
        <f>IF(Tableau1[[#This Row],[Name PFI/CDD]]="","-",VLOOKUP(Tableau1[[#This Row],[Name PFI/CDD]],Plant_AILN!I:J,2,FALSE))</f>
        <v>-</v>
      </c>
      <c r="AN2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" s="2">
        <f ca="1">VLOOKUP(Tableau1[[#This Row],[Key(POD -PFI- Usine)]],'DATA Consignee'!A:J,10,FALSE)</f>
        <v>0</v>
      </c>
      <c r="AQ25" s="50">
        <f ca="1">VLOOKUP(Tableau1[[#This Row],[Key(POD -PFI- Usine)]],'DATA Consignee'!A:N,14,FALSE)</f>
        <v>3</v>
      </c>
      <c r="AR2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2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25" s="50">
        <f ca="1">Tableau1[[#This Row],[Transit time]]+Tableau1[[#This Row],[Time for security]]+Tableau1[[#This Row],[Time for security2 buffer]]</f>
        <v>54</v>
      </c>
      <c r="AU2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5" s="433">
        <f ca="1">Tableau1[[#This Row],[Leadtime SI2C]]+Tableau1[[#This Row],[First Receipt Days]]-Tableau1[[#This Row],[Day Customer Order]]+1</f>
        <v>97</v>
      </c>
      <c r="AW25" s="119">
        <f ca="1">IF(Tableau1[[#This Row],[Name ILN]]&lt;&gt;"SFK Freight Forwarder",Tableau1[[#This Row],[Cust. Leadtime]],Tableau1[[#This Row],[Leadtime SI2C]])</f>
        <v>97</v>
      </c>
      <c r="AX25" s="51" t="s">
        <v>144</v>
      </c>
      <c r="AY25" s="338">
        <f ca="1">IFERROR(VLOOKUP(Tableau1[[#This Row],[Key(ID-Actif)]],'DATA BTO'!A:N,4,FALSE),VLOOKUP(Tableau1[[#This Row],[ID]],'DATA BTO'!B:N,3,FALSE))</f>
        <v>46507</v>
      </c>
      <c r="AZ25" s="50" t="str">
        <f>IF(ISNUMBER(Tableau1[[#This Row],[Day Customer Order]]),"-","Please Check 'Name' information in 'Order' Sheet to make sure they have information")</f>
        <v>-</v>
      </c>
      <c r="BA2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" s="50"/>
    </row>
    <row r="26" spans="2:57" hidden="1">
      <c r="B26" s="67" t="str">
        <f>_xlfn.CONCAT(Tableau1[[#This Row],[Name ILN]],"-",Tableau1[[#This Row],[Name Shipper]],"-",Tableau1[[#This Row],[Name Site]])</f>
        <v>ILN Chennai-ILN Chennai-MOTORES</v>
      </c>
      <c r="C26" s="67" t="str">
        <f ca="1">_xlfn.CONCAT(Tableau1[[#This Row],[Compte ILN]],"-",Tableau1[[#This Row],[Compte Shipper]],"-",Tableau1[[#This Row],[POL]],"-",Tableau1[[#This Row],[Compte Consignee]])</f>
        <v>2533780546-2533780546-INENR-91017700</v>
      </c>
      <c r="D26" s="66" t="str">
        <f ca="1">_xlfn.CONCAT(Tableau1[[#This Row],[Compte ILN]],"-",Tableau1[[#This Row],[Compte Shipper]],"-",Tableau1[[#This Row],[POL]])</f>
        <v>2533780546-2533780546-INENR</v>
      </c>
      <c r="E26" s="434" t="str">
        <f ca="1">_xlfn.CONCAT(Tableau1[[#This Row],[POL]],"-",Tableau1[[#This Row],[Carrier]],"-",Tableau1[[#This Row],[POD]])</f>
        <v>INENR-Hapag Lloyd-ESVLC</v>
      </c>
      <c r="F26" s="66" t="str">
        <f>_xlfn.CONCAT(Tableau1[[#This Row],[ID]],"-","Actif")</f>
        <v>918-Actif</v>
      </c>
      <c r="G26" s="66" t="str">
        <f ca="1">_xlfn.CONCAT(Tableau1[[#This Row],[POD]],"-",Tableau1[[#This Row],[Code PFI]],"-",Tableau1[[#This Row],[Compte Consignee]])</f>
        <v>ESVLC---91017700</v>
      </c>
      <c r="H26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ChennaiINENRMOTORES</v>
      </c>
      <c r="I2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Chennai-ILN Chennai-918-INENR-Hapag Lloyd-ESVLC-</v>
      </c>
      <c r="J26" s="435" t="str">
        <f ca="1">IF(COUNTIF(I:I,Tableau1[[#This Row],[Plant-ILN-shipper-POL-Carrier-POD-PFI]])=1,"Non","Oui")</f>
        <v>Oui</v>
      </c>
      <c r="K26" s="128" t="str">
        <f>VLOOKUP(Tableau1[[#This Row],[Name Site]],Plant_AILN!A:D,4,FALSE)</f>
        <v>SPAIN</v>
      </c>
      <c r="L26" s="412" t="s">
        <v>63</v>
      </c>
      <c r="M26" s="439">
        <f>VLOOKUP(Tableau1[[#This Row],[Name Site]],Plant_AILN!A:C,3,FALSE)</f>
        <v>91017700</v>
      </c>
      <c r="N26" s="55">
        <f>IF(Tableau1[[#This Row],[Name PFI/CDD]]="PFI VLL",2,VLOOKUP(Tableau1[[#This Row],[Compte Consignee]],Order!C:D,2,FALSE))</f>
        <v>7</v>
      </c>
      <c r="O26" s="116" t="s">
        <v>149</v>
      </c>
      <c r="P26" s="365">
        <f>VLOOKUP(Tableau1[[#This Row],[Name ILN]],Plant_AILN!F:G,2,FALSE)</f>
        <v>2533780546</v>
      </c>
      <c r="Q26" s="50">
        <f>VLOOKUP(Tableau1[[#This Row],[Compte ILN]],'DATA ILN'!D:I,6,FALSE)</f>
        <v>9</v>
      </c>
      <c r="R26" s="50">
        <f ca="1">IFERROR(VLOOKUP(Tableau1[[#This Row],[Key(Compte ILN - shipper - POL - plant)]],'DATA ILN'!A:J,10,FALSE),VLOOKUP(Tableau1[[#This Row],[Key(Compte ILN - shipper - POL)]],'DATA ILN'!B:J,9,FALSE))</f>
        <v>14</v>
      </c>
      <c r="S26" s="50">
        <f ca="1">IFERROR(VLOOKUP(Tableau1[[#This Row],[Key(Compte ILN - shipper - POL - plant)]],'DATA ILN'!A:K,11,FALSE),VLOOKUP(Tableau1[[#This Row],[Key(Compte ILN - shipper - POL)]],'DATA ILN'!B:K,10,FALSE))</f>
        <v>5</v>
      </c>
      <c r="T26" s="50">
        <f ca="1">IFERROR(VLOOKUP(Tableau1[[#This Row],[Key(Compte ILN - shipper - POL - plant)]],'DATA ILN'!A:L,12,FALSE),VLOOKUP(Tableau1[[#This Row],[Key(Compte ILN - shipper - POL)]],'DATA ILN'!B:L,11,FALSE))</f>
        <v>7</v>
      </c>
      <c r="U26" s="50">
        <f ca="1">Tableau1[[#This Row],[Day ILN Order]]+Tableau1[[#This Row],[Delivery time to ILN/Shipper]]-1</f>
        <v>22</v>
      </c>
      <c r="V26" s="50">
        <f ca="1">IFERROR(VLOOKUP(Tableau1[[#This Row],[Key(Compte ILN - shipper - POL - plant)]],'DATA ILN'!A:N,14,FALSE),VLOOKUP(Tableau1[[#This Row],[Key(Compte ILN - shipper - POL)]],'DATA ILN'!B:N,13,FALSE))</f>
        <v>2</v>
      </c>
      <c r="W26" s="53">
        <f ca="1">IFERROR(VLOOKUP(Tableau1[[#This Row],[Key(Compte ILN - shipper - POL - plant)]],'DATA ILN'!A:P,16,FALSE),VLOOKUP(Tableau1[[#This Row],[Key(Compte ILN - shipper - POL)]],'DATA ILN'!B:P,15,FALSE))</f>
        <v>3</v>
      </c>
      <c r="X26" s="284" t="s">
        <v>149</v>
      </c>
      <c r="Y26" s="437">
        <f>IFERROR(VLOOKUP(Tableau1[[#This Row],[Name Shipper]],Plant_AILN!L:M,2,FALSE),0)</f>
        <v>2533780546</v>
      </c>
      <c r="Z26" s="406">
        <v>918</v>
      </c>
      <c r="AA26" s="396" t="str">
        <f ca="1">VLOOKUP(Tableau1[[#This Row],[Key(ID-Actif)]],'DATA BTO'!A:N,5,FALSE)</f>
        <v>INENR</v>
      </c>
      <c r="AB26" s="3" t="str">
        <f ca="1">VLOOKUP(Tableau1[[#This Row],[Key(ID-Actif)]],'DATA BTO'!A:N,6,FALSE)</f>
        <v>Hapag Lloyd</v>
      </c>
      <c r="AC26" s="50">
        <f ca="1">VLOOKUP(Tableau1[[#This Row],[Key(ID-Actif)]],'DATA BTO'!A:N,7,FALSE)</f>
        <v>7</v>
      </c>
      <c r="AD26" s="50">
        <f ca="1">VLOOKUP(Tableau1[[#This Row],[Key(ID-Actif)]],'DATA BTO'!A:N,8,FALSE)</f>
        <v>9</v>
      </c>
      <c r="AE26" s="50">
        <f ca="1">IF(Tableau1[[#This Row],[First Day to POL]]&lt;=Tableau1[[#This Row],[Day Cut Off]],Tableau1[[#This Row],[Day ETD]],Tableau1[[#This Row],[Day ETD]]+7)</f>
        <v>9</v>
      </c>
      <c r="AF26" s="50">
        <f ca="1">VLOOKUP(Tableau1[[#This Row],[Key(ID-Actif)]],'DATA BTO'!A:N,9,FALSE)</f>
        <v>36</v>
      </c>
      <c r="AG26" s="3" t="str">
        <f ca="1">VLOOKUP(Tableau1[[#This Row],[Key(ID-Actif)]],'DATA BTO'!A:N,10,FALSE)</f>
        <v>ESVLC</v>
      </c>
      <c r="AH26" s="3">
        <f ca="1">VLOOKUP(Tableau1[[#This Row],[Key(ID-Actif)]],'DATA BTO'!A:N,11,FALSE)</f>
        <v>3</v>
      </c>
      <c r="AI26" s="50">
        <f ca="1">VLOOKUP(Tableau1[[#This Row],[Key(ID-Actif)]],'DATA BTO'!A:N,12,FALSE)</f>
        <v>14</v>
      </c>
      <c r="AJ26" s="53" t="str">
        <f ca="1">VLOOKUP(Tableau1[[#This Row],[Key(ID-Actif)]],'DATA BTO'!A:N,14,FALSE)</f>
        <v>Marc-Aurele</v>
      </c>
      <c r="AK26" s="54">
        <f ca="1">VLOOKUP(Tableau1[[#This Row],[Key(POD -PFI- Usine)]],'DATA Consignee'!A:F,6,FALSE)</f>
        <v>2</v>
      </c>
      <c r="AL26" s="127"/>
      <c r="AM26" s="438" t="str">
        <f>IF(Tableau1[[#This Row],[Name PFI/CDD]]="","-",VLOOKUP(Tableau1[[#This Row],[Name PFI/CDD]],Plant_AILN!I:J,2,FALSE))</f>
        <v>-</v>
      </c>
      <c r="AN2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" s="2">
        <f ca="1">VLOOKUP(Tableau1[[#This Row],[Key(POD -PFI- Usine)]],'DATA Consignee'!A:J,10,FALSE)</f>
        <v>0</v>
      </c>
      <c r="AQ26" s="50">
        <f ca="1">VLOOKUP(Tableau1[[#This Row],[Key(POD -PFI- Usine)]],'DATA Consignee'!A:N,14,FALSE)</f>
        <v>3</v>
      </c>
      <c r="AR2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2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26" s="50">
        <f ca="1">Tableau1[[#This Row],[Transit time]]+Tableau1[[#This Row],[Time for security]]+Tableau1[[#This Row],[Time for security2 buffer]]</f>
        <v>53</v>
      </c>
      <c r="AU2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6" s="433">
        <f ca="1">Tableau1[[#This Row],[Leadtime SI2C]]+Tableau1[[#This Row],[First Receipt Days]]-Tableau1[[#This Row],[Day Customer Order]]+1</f>
        <v>92</v>
      </c>
      <c r="AW26" s="119">
        <f ca="1">IF(Tableau1[[#This Row],[Name ILN]]&lt;&gt;"SFK Freight Forwarder",Tableau1[[#This Row],[Cust. Leadtime]],Tableau1[[#This Row],[Leadtime SI2C]])</f>
        <v>92</v>
      </c>
      <c r="AX26" s="51" t="s">
        <v>144</v>
      </c>
      <c r="AY26" s="338">
        <f ca="1">IFERROR(VLOOKUP(Tableau1[[#This Row],[Key(ID-Actif)]],'DATA BTO'!A:N,4,FALSE),VLOOKUP(Tableau1[[#This Row],[ID]],'DATA BTO'!B:N,3,FALSE))</f>
        <v>46507</v>
      </c>
      <c r="AZ26" s="50" t="str">
        <f>IF(ISNUMBER(Tableau1[[#This Row],[Day Customer Order]]),"-","Please Check 'Name' information in 'Order' Sheet to make sure they have information")</f>
        <v>-</v>
      </c>
      <c r="BA2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" s="50"/>
    </row>
    <row r="27" spans="2:57" hidden="1">
      <c r="B27" s="67" t="str">
        <f>_xlfn.CONCAT(Tableau1[[#This Row],[Name ILN]],"-",Tableau1[[#This Row],[Name Shipper]],"-",Tableau1[[#This Row],[Name Site]])</f>
        <v>ILN Chennai-ILN Chennai-MOTORES</v>
      </c>
      <c r="C27" s="67" t="str">
        <f ca="1">_xlfn.CONCAT(Tableau1[[#This Row],[Compte ILN]],"-",Tableau1[[#This Row],[Compte Shipper]],"-",Tableau1[[#This Row],[POL]],"-",Tableau1[[#This Row],[Compte Consignee]])</f>
        <v>2533780546-2533780546-INENR-91017700</v>
      </c>
      <c r="D27" s="66" t="str">
        <f ca="1">_xlfn.CONCAT(Tableau1[[#This Row],[Compte ILN]],"-",Tableau1[[#This Row],[Compte Shipper]],"-",Tableau1[[#This Row],[POL]])</f>
        <v>2533780546-2533780546-INENR</v>
      </c>
      <c r="E27" s="434" t="str">
        <f ca="1">_xlfn.CONCAT(Tableau1[[#This Row],[POL]],"-",Tableau1[[#This Row],[Carrier]],"-",Tableau1[[#This Row],[POD]])</f>
        <v>INENR-Hapag Lloyd-ESVLC</v>
      </c>
      <c r="F27" s="66" t="str">
        <f>_xlfn.CONCAT(Tableau1[[#This Row],[ID]],"-","Actif")</f>
        <v>918-Actif</v>
      </c>
      <c r="G27" s="66" t="str">
        <f ca="1">_xlfn.CONCAT(Tableau1[[#This Row],[POD]],"-",Tableau1[[#This Row],[Code PFI]],"-",Tableau1[[#This Row],[Compte Consignee]])</f>
        <v>ESVLC---91017700</v>
      </c>
      <c r="H27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ChennaiINENRMOTORES</v>
      </c>
      <c r="I2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Chennai-ILN Chennai-918-INENR-Hapag Lloyd-ESVLC-</v>
      </c>
      <c r="J27" s="435" t="str">
        <f ca="1">IF(COUNTIF(I:I,Tableau1[[#This Row],[Plant-ILN-shipper-POL-Carrier-POD-PFI]])=1,"Non","Oui")</f>
        <v>Oui</v>
      </c>
      <c r="K27" s="128" t="str">
        <f>VLOOKUP(Tableau1[[#This Row],[Name Site]],Plant_AILN!A:D,4,FALSE)</f>
        <v>SPAIN</v>
      </c>
      <c r="L27" s="411" t="s">
        <v>63</v>
      </c>
      <c r="M27" s="439">
        <f>VLOOKUP(Tableau1[[#This Row],[Name Site]],Plant_AILN!A:C,3,FALSE)</f>
        <v>91017700</v>
      </c>
      <c r="N27" s="55">
        <f>IF(Tableau1[[#This Row],[Name PFI/CDD]]="PFI VLL",2,VLOOKUP(Tableau1[[#This Row],[Compte Consignee]],Order!C:D,2,FALSE))</f>
        <v>7</v>
      </c>
      <c r="O27" s="116" t="s">
        <v>149</v>
      </c>
      <c r="P27" s="365">
        <f>VLOOKUP(Tableau1[[#This Row],[Name ILN]],Plant_AILN!F:G,2,FALSE)</f>
        <v>2533780546</v>
      </c>
      <c r="Q27" s="50">
        <f>VLOOKUP(Tableau1[[#This Row],[Compte ILN]],'DATA ILN'!D:I,6,FALSE)</f>
        <v>9</v>
      </c>
      <c r="R27" s="50">
        <f ca="1">IFERROR(VLOOKUP(Tableau1[[#This Row],[Key(Compte ILN - shipper - POL - plant)]],'DATA ILN'!A:J,10,FALSE),VLOOKUP(Tableau1[[#This Row],[Key(Compte ILN - shipper - POL)]],'DATA ILN'!B:J,9,FALSE))</f>
        <v>14</v>
      </c>
      <c r="S27" s="50">
        <f ca="1">IFERROR(VLOOKUP(Tableau1[[#This Row],[Key(Compte ILN - shipper - POL - plant)]],'DATA ILN'!A:K,11,FALSE),VLOOKUP(Tableau1[[#This Row],[Key(Compte ILN - shipper - POL)]],'DATA ILN'!B:K,10,FALSE))</f>
        <v>5</v>
      </c>
      <c r="T27" s="50">
        <f ca="1">IFERROR(VLOOKUP(Tableau1[[#This Row],[Key(Compte ILN - shipper - POL - plant)]],'DATA ILN'!A:L,12,FALSE),VLOOKUP(Tableau1[[#This Row],[Key(Compte ILN - shipper - POL)]],'DATA ILN'!B:L,11,FALSE))</f>
        <v>7</v>
      </c>
      <c r="U27" s="50">
        <f ca="1">Tableau1[[#This Row],[Day ILN Order]]+Tableau1[[#This Row],[Delivery time to ILN/Shipper]]-1</f>
        <v>22</v>
      </c>
      <c r="V27" s="50">
        <f ca="1">IFERROR(VLOOKUP(Tableau1[[#This Row],[Key(Compte ILN - shipper - POL - plant)]],'DATA ILN'!A:N,14,FALSE),VLOOKUP(Tableau1[[#This Row],[Key(Compte ILN - shipper - POL)]],'DATA ILN'!B:N,13,FALSE))</f>
        <v>2</v>
      </c>
      <c r="W27" s="53">
        <f ca="1">IFERROR(VLOOKUP(Tableau1[[#This Row],[Key(Compte ILN - shipper - POL - plant)]],'DATA ILN'!A:P,16,FALSE),VLOOKUP(Tableau1[[#This Row],[Key(Compte ILN - shipper - POL)]],'DATA ILN'!B:P,15,FALSE))</f>
        <v>3</v>
      </c>
      <c r="X27" s="284" t="s">
        <v>149</v>
      </c>
      <c r="Y27" s="437">
        <f>IFERROR(VLOOKUP(Tableau1[[#This Row],[Name Shipper]],Plant_AILN!L:M,2,FALSE),0)</f>
        <v>2533780546</v>
      </c>
      <c r="Z27" s="406">
        <v>918</v>
      </c>
      <c r="AA27" s="396" t="str">
        <f ca="1">VLOOKUP(Tableau1[[#This Row],[Key(ID-Actif)]],'DATA BTO'!A:N,5,FALSE)</f>
        <v>INENR</v>
      </c>
      <c r="AB27" s="3" t="str">
        <f ca="1">VLOOKUP(Tableau1[[#This Row],[Key(ID-Actif)]],'DATA BTO'!A:N,6,FALSE)</f>
        <v>Hapag Lloyd</v>
      </c>
      <c r="AC27" s="50">
        <f ca="1">VLOOKUP(Tableau1[[#This Row],[Key(ID-Actif)]],'DATA BTO'!A:N,7,FALSE)</f>
        <v>7</v>
      </c>
      <c r="AD27" s="50">
        <f ca="1">VLOOKUP(Tableau1[[#This Row],[Key(ID-Actif)]],'DATA BTO'!A:N,8,FALSE)</f>
        <v>9</v>
      </c>
      <c r="AE27" s="50">
        <f ca="1">IF(Tableau1[[#This Row],[First Day to POL]]&lt;=Tableau1[[#This Row],[Day Cut Off]],Tableau1[[#This Row],[Day ETD]],Tableau1[[#This Row],[Day ETD]]+7)</f>
        <v>9</v>
      </c>
      <c r="AF27" s="50">
        <f ca="1">VLOOKUP(Tableau1[[#This Row],[Key(ID-Actif)]],'DATA BTO'!A:N,9,FALSE)</f>
        <v>36</v>
      </c>
      <c r="AG27" s="3" t="str">
        <f ca="1">VLOOKUP(Tableau1[[#This Row],[Key(ID-Actif)]],'DATA BTO'!A:N,10,FALSE)</f>
        <v>ESVLC</v>
      </c>
      <c r="AH27" s="3">
        <f ca="1">VLOOKUP(Tableau1[[#This Row],[Key(ID-Actif)]],'DATA BTO'!A:N,11,FALSE)</f>
        <v>3</v>
      </c>
      <c r="AI27" s="50">
        <f ca="1">VLOOKUP(Tableau1[[#This Row],[Key(ID-Actif)]],'DATA BTO'!A:N,12,FALSE)</f>
        <v>14</v>
      </c>
      <c r="AJ27" s="53" t="str">
        <f ca="1">VLOOKUP(Tableau1[[#This Row],[Key(ID-Actif)]],'DATA BTO'!A:N,14,FALSE)</f>
        <v>Marc-Aurele</v>
      </c>
      <c r="AK27" s="54">
        <f ca="1">VLOOKUP(Tableau1[[#This Row],[Key(POD -PFI- Usine)]],'DATA Consignee'!A:F,6,FALSE)</f>
        <v>2</v>
      </c>
      <c r="AL27" s="127"/>
      <c r="AM27" s="438" t="str">
        <f>IF(Tableau1[[#This Row],[Name PFI/CDD]]="","-",VLOOKUP(Tableau1[[#This Row],[Name PFI/CDD]],Plant_AILN!I:J,2,FALSE))</f>
        <v>-</v>
      </c>
      <c r="AN2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" s="2">
        <f ca="1">VLOOKUP(Tableau1[[#This Row],[Key(POD -PFI- Usine)]],'DATA Consignee'!A:J,10,FALSE)</f>
        <v>0</v>
      </c>
      <c r="AQ27" s="50">
        <f ca="1">VLOOKUP(Tableau1[[#This Row],[Key(POD -PFI- Usine)]],'DATA Consignee'!A:N,14,FALSE)</f>
        <v>3</v>
      </c>
      <c r="AR2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2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27" s="50">
        <f ca="1">Tableau1[[#This Row],[Transit time]]+Tableau1[[#This Row],[Time for security]]+Tableau1[[#This Row],[Time for security2 buffer]]</f>
        <v>53</v>
      </c>
      <c r="AU2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7" s="433">
        <f ca="1">Tableau1[[#This Row],[Leadtime SI2C]]+Tableau1[[#This Row],[First Receipt Days]]-Tableau1[[#This Row],[Day Customer Order]]+1</f>
        <v>92</v>
      </c>
      <c r="AW27" s="119">
        <f ca="1">IF(Tableau1[[#This Row],[Name ILN]]&lt;&gt;"SFK Freight Forwarder",Tableau1[[#This Row],[Cust. Leadtime]],Tableau1[[#This Row],[Leadtime SI2C]])</f>
        <v>92</v>
      </c>
      <c r="AX27" s="51" t="s">
        <v>144</v>
      </c>
      <c r="AY27" s="338">
        <f ca="1">IFERROR(VLOOKUP(Tableau1[[#This Row],[Key(ID-Actif)]],'DATA BTO'!A:N,4,FALSE),VLOOKUP(Tableau1[[#This Row],[ID]],'DATA BTO'!B:N,3,FALSE))</f>
        <v>46507</v>
      </c>
      <c r="AZ27" s="50" t="str">
        <f>IF(ISNUMBER(Tableau1[[#This Row],[Day Customer Order]]),"-","Please Check 'Name' information in 'Order' Sheet to make sure they have information")</f>
        <v>-</v>
      </c>
      <c r="BA2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" s="50"/>
    </row>
    <row r="28" spans="2:57" hidden="1">
      <c r="B28" s="67" t="str">
        <f>_xlfn.CONCAT(Tableau1[[#This Row],[Name ILN]],"-",Tableau1[[#This Row],[Name Shipper]],"-",Tableau1[[#This Row],[Name Site]])</f>
        <v>ILN Pune-ILN Pune-CACIA</v>
      </c>
      <c r="C28" s="67" t="str">
        <f ca="1">_xlfn.CONCAT(Tableau1[[#This Row],[Compte ILN]],"-",Tableau1[[#This Row],[Compte Shipper]],"-",Tableau1[[#This Row],[POL]],"-",Tableau1[[#This Row],[Compte Consignee]])</f>
        <v>2533780535-2533780535-INNSA-90016500</v>
      </c>
      <c r="D28" s="66" t="str">
        <f ca="1">_xlfn.CONCAT(Tableau1[[#This Row],[Compte ILN]],"-",Tableau1[[#This Row],[Compte Shipper]],"-",Tableau1[[#This Row],[POL]])</f>
        <v>2533780535-2533780535-INNSA</v>
      </c>
      <c r="E28" s="434" t="str">
        <f ca="1">_xlfn.CONCAT(Tableau1[[#This Row],[POL]],"-",Tableau1[[#This Row],[Carrier]],"-",Tableau1[[#This Row],[POD]])</f>
        <v>INNSA-Hapag Lloyd-ESVLC</v>
      </c>
      <c r="F28" s="66" t="str">
        <f>_xlfn.CONCAT(Tableau1[[#This Row],[ID]],"-","Actif")</f>
        <v>920-Actif</v>
      </c>
      <c r="G28" s="66" t="str">
        <f ca="1">_xlfn.CONCAT(Tableau1[[#This Row],[POD]],"-",Tableau1[[#This Row],[Code PFI]],"-",Tableau1[[#This Row],[Compte Consignee]])</f>
        <v>ESVLC-91018400-90016500</v>
      </c>
      <c r="H28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PuneINNSACACIA</v>
      </c>
      <c r="I2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CACIA-ILN Pune-ILN Pune-920-INNSA-Hapag Lloyd-ESVLC-PFI VLL</v>
      </c>
      <c r="J28" s="435" t="str">
        <f ca="1">IF(COUNTIF(I:I,Tableau1[[#This Row],[Plant-ILN-shipper-POL-Carrier-POD-PFI]])=1,"Non","Oui")</f>
        <v>Non</v>
      </c>
      <c r="K28" s="128" t="str">
        <f>VLOOKUP(Tableau1[[#This Row],[Name Site]],Plant_AILN!A:D,4,FALSE)</f>
        <v>PORTUGAL</v>
      </c>
      <c r="L28" s="412" t="s">
        <v>170</v>
      </c>
      <c r="M28" s="439">
        <f>VLOOKUP(Tableau1[[#This Row],[Name Site]],Plant_AILN!A:C,3,FALSE)</f>
        <v>90016500</v>
      </c>
      <c r="N28" s="55">
        <f>IF(Tableau1[[#This Row],[Name PFI/CDD]]="PFI VLL",2,VLOOKUP(Tableau1[[#This Row],[Compte Consignee]],Order!C:D,2,FALSE))</f>
        <v>2</v>
      </c>
      <c r="O28" s="116" t="s">
        <v>150</v>
      </c>
      <c r="P28" s="365">
        <f>VLOOKUP(Tableau1[[#This Row],[Name ILN]],Plant_AILN!F:G,2,FALSE)</f>
        <v>2533780535</v>
      </c>
      <c r="Q28" s="50">
        <f>VLOOKUP(Tableau1[[#This Row],[Compte ILN]],'DATA ILN'!D:I,6,FALSE)</f>
        <v>9</v>
      </c>
      <c r="R28" s="50">
        <f ca="1">IFERROR(VLOOKUP(Tableau1[[#This Row],[Key(Compte ILN - shipper - POL - plant)]],'DATA ILN'!A:J,10,FALSE),VLOOKUP(Tableau1[[#This Row],[Key(Compte ILN - shipper - POL)]],'DATA ILN'!B:J,9,FALSE))</f>
        <v>14</v>
      </c>
      <c r="S28" s="50">
        <f ca="1">IFERROR(VLOOKUP(Tableau1[[#This Row],[Key(Compte ILN - shipper - POL - plant)]],'DATA ILN'!A:K,11,FALSE),VLOOKUP(Tableau1[[#This Row],[Key(Compte ILN - shipper - POL)]],'DATA ILN'!B:K,10,FALSE))</f>
        <v>5</v>
      </c>
      <c r="T28" s="50">
        <f ca="1">IFERROR(VLOOKUP(Tableau1[[#This Row],[Key(Compte ILN - shipper - POL - plant)]],'DATA ILN'!A:L,12,FALSE),VLOOKUP(Tableau1[[#This Row],[Key(Compte ILN - shipper - POL)]],'DATA ILN'!B:L,11,FALSE))</f>
        <v>7</v>
      </c>
      <c r="U28" s="50">
        <f ca="1">Tableau1[[#This Row],[Day ILN Order]]+Tableau1[[#This Row],[Delivery time to ILN/Shipper]]-1</f>
        <v>22</v>
      </c>
      <c r="V28" s="50">
        <f ca="1">IFERROR(VLOOKUP(Tableau1[[#This Row],[Key(Compte ILN - shipper - POL - plant)]],'DATA ILN'!A:N,14,FALSE),VLOOKUP(Tableau1[[#This Row],[Key(Compte ILN - shipper - POL)]],'DATA ILN'!B:N,13,FALSE))</f>
        <v>3</v>
      </c>
      <c r="W28" s="53">
        <f ca="1">IFERROR(VLOOKUP(Tableau1[[#This Row],[Key(Compte ILN - shipper - POL - plant)]],'DATA ILN'!A:P,16,FALSE),VLOOKUP(Tableau1[[#This Row],[Key(Compte ILN - shipper - POL)]],'DATA ILN'!B:P,15,FALSE))</f>
        <v>5</v>
      </c>
      <c r="X28" s="284" t="s">
        <v>150</v>
      </c>
      <c r="Y28" s="437">
        <f>IFERROR(VLOOKUP(Tableau1[[#This Row],[Name Shipper]],Plant_AILN!L:M,2,FALSE),0)</f>
        <v>2533780535</v>
      </c>
      <c r="Z28" s="406">
        <v>920</v>
      </c>
      <c r="AA28" s="396" t="str">
        <f ca="1">VLOOKUP(Tableau1[[#This Row],[Key(ID-Actif)]],'DATA BTO'!A:N,5,FALSE)</f>
        <v>INNSA</v>
      </c>
      <c r="AB28" s="3" t="str">
        <f ca="1">VLOOKUP(Tableau1[[#This Row],[Key(ID-Actif)]],'DATA BTO'!A:N,6,FALSE)</f>
        <v>Hapag Lloyd</v>
      </c>
      <c r="AC28" s="50">
        <f ca="1">VLOOKUP(Tableau1[[#This Row],[Key(ID-Actif)]],'DATA BTO'!A:N,7,FALSE)</f>
        <v>2</v>
      </c>
      <c r="AD28" s="50">
        <f ca="1">VLOOKUP(Tableau1[[#This Row],[Key(ID-Actif)]],'DATA BTO'!A:N,8,FALSE)</f>
        <v>4</v>
      </c>
      <c r="AE28" s="50">
        <f ca="1">IF(Tableau1[[#This Row],[First Day to POL]]&lt;=Tableau1[[#This Row],[Day Cut Off]],Tableau1[[#This Row],[Day ETD]],Tableau1[[#This Row],[Day ETD]]+7)</f>
        <v>11</v>
      </c>
      <c r="AF28" s="50">
        <f ca="1">VLOOKUP(Tableau1[[#This Row],[Key(ID-Actif)]],'DATA BTO'!A:N,9,FALSE)</f>
        <v>39</v>
      </c>
      <c r="AG28" s="3" t="str">
        <f ca="1">VLOOKUP(Tableau1[[#This Row],[Key(ID-Actif)]],'DATA BTO'!A:N,10,FALSE)</f>
        <v>ESVLC</v>
      </c>
      <c r="AH28" s="3">
        <f ca="1">VLOOKUP(Tableau1[[#This Row],[Key(ID-Actif)]],'DATA BTO'!A:N,11,FALSE)</f>
        <v>3</v>
      </c>
      <c r="AI28" s="50">
        <f ca="1">VLOOKUP(Tableau1[[#This Row],[Key(ID-Actif)]],'DATA BTO'!A:N,12,FALSE)</f>
        <v>0</v>
      </c>
      <c r="AJ28" s="53" t="str">
        <f ca="1">VLOOKUP(Tableau1[[#This Row],[Key(ID-Actif)]],'DATA BTO'!A:N,14,FALSE)</f>
        <v>Marc-Aurele</v>
      </c>
      <c r="AK28" s="54">
        <f ca="1">VLOOKUP(Tableau1[[#This Row],[Key(POD -PFI- Usine)]],'DATA Consignee'!A:F,6,FALSE)</f>
        <v>3</v>
      </c>
      <c r="AL28" s="489" t="s">
        <v>171</v>
      </c>
      <c r="AM28" s="438">
        <f>IF(Tableau1[[#This Row],[Name PFI/CDD]]="","-",VLOOKUP(Tableau1[[#This Row],[Name PFI/CDD]],Plant_AILN!I:J,2,FALSE))</f>
        <v>91018400</v>
      </c>
      <c r="AN28" s="6">
        <f ca="1">IF(COUNTIF(buffer_train[AILN],Tableau1[[#This Row],[Name PFI/CDD]])&gt;0,Tableau1[[#This Row],[First Receipt Days]]+Tableau1[[#This Row],[Cust.]]+Tableau1[[#This Row],[Parts Vanning]]+Tableau1[[#This Row],[Transit Time2]],"-")</f>
        <v>83</v>
      </c>
      <c r="AO28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2</v>
      </c>
      <c r="AP28" s="2">
        <f ca="1">VLOOKUP(Tableau1[[#This Row],[Key(POD -PFI- Usine)]],'DATA Consignee'!A:J,10,FALSE)</f>
        <v>3</v>
      </c>
      <c r="AQ28" s="50">
        <f ca="1">VLOOKUP(Tableau1[[#This Row],[Key(POD -PFI- Usine)]],'DATA Consignee'!A:N,14,FALSE)</f>
        <v>4</v>
      </c>
      <c r="AR2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28" s="50">
        <f ca="1">Tableau1[[#This Row],[Transit time]]+Tableau1[[#This Row],[Time for security]]+Tableau1[[#This Row],[Time for security2 buffer]]</f>
        <v>42</v>
      </c>
      <c r="AU2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8" s="433">
        <f ca="1">Tableau1[[#This Row],[Leadtime SI2C]]+Tableau1[[#This Row],[First Receipt Days]]-Tableau1[[#This Row],[Day Customer Order]]+1</f>
        <v>97</v>
      </c>
      <c r="AW28" s="119">
        <f ca="1">IF(Tableau1[[#This Row],[Name ILN]]&lt;&gt;"SFK Freight Forwarder",Tableau1[[#This Row],[Cust. Leadtime]],Tableau1[[#This Row],[Leadtime SI2C]])</f>
        <v>97</v>
      </c>
      <c r="AX28" s="51" t="s">
        <v>144</v>
      </c>
      <c r="AY28" s="338">
        <f ca="1">IFERROR(VLOOKUP(Tableau1[[#This Row],[Key(ID-Actif)]],'DATA BTO'!A:N,4,FALSE),VLOOKUP(Tableau1[[#This Row],[ID]],'DATA BTO'!B:N,3,FALSE))</f>
        <v>46507</v>
      </c>
      <c r="AZ28" s="50" t="str">
        <f>IF(ISNUMBER(Tableau1[[#This Row],[Day Customer Order]]),"-","Please Check 'Name' information in 'Order' Sheet to make sure they have information")</f>
        <v>-</v>
      </c>
      <c r="BA2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" s="50"/>
    </row>
    <row r="29" spans="2:57" hidden="1">
      <c r="B29" s="67" t="str">
        <f>_xlfn.CONCAT(Tableau1[[#This Row],[Name ILN]],"-",Tableau1[[#This Row],[Name Shipper]],"-",Tableau1[[#This Row],[Name Site]])</f>
        <v>ILN Pune-ILN Pune-SEVILLA</v>
      </c>
      <c r="C29" s="67" t="str">
        <f ca="1">_xlfn.CONCAT(Tableau1[[#This Row],[Compte ILN]],"-",Tableau1[[#This Row],[Compte Shipper]],"-",Tableau1[[#This Row],[POL]],"-",Tableau1[[#This Row],[Compte Consignee]])</f>
        <v>2533780535-2533780535-INNSA-91017500</v>
      </c>
      <c r="D29" s="66" t="str">
        <f ca="1">_xlfn.CONCAT(Tableau1[[#This Row],[Compte ILN]],"-",Tableau1[[#This Row],[Compte Shipper]],"-",Tableau1[[#This Row],[POL]])</f>
        <v>2533780535-2533780535-INNSA</v>
      </c>
      <c r="E29" s="434" t="str">
        <f ca="1">_xlfn.CONCAT(Tableau1[[#This Row],[POL]],"-",Tableau1[[#This Row],[Carrier]],"-",Tableau1[[#This Row],[POD]])</f>
        <v>INNSA-Hapag Lloyd-ESVLC</v>
      </c>
      <c r="F29" s="66" t="str">
        <f>_xlfn.CONCAT(Tableau1[[#This Row],[ID]],"-","Actif")</f>
        <v>920-Actif</v>
      </c>
      <c r="G29" s="66" t="str">
        <f ca="1">_xlfn.CONCAT(Tableau1[[#This Row],[POD]],"-",Tableau1[[#This Row],[Code PFI]],"-",Tableau1[[#This Row],[Compte Consignee]])</f>
        <v>ESVLC-91018400-91017500</v>
      </c>
      <c r="H29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PuneINNSASEVILLA</v>
      </c>
      <c r="I2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SEVILLA-ILN Pune-ILN Pune-920-INNSA-Hapag Lloyd-ESVLC-PFI VLL</v>
      </c>
      <c r="J29" s="435" t="str">
        <f ca="1">IF(COUNTIF(I:I,Tableau1[[#This Row],[Plant-ILN-shipper-POL-Carrier-POD-PFI]])=1,"Non","Oui")</f>
        <v>Non</v>
      </c>
      <c r="K29" s="128" t="str">
        <f>VLOOKUP(Tableau1[[#This Row],[Name Site]],Plant_AILN!A:D,4,FALSE)</f>
        <v>SPAIN</v>
      </c>
      <c r="L29" s="412" t="s">
        <v>172</v>
      </c>
      <c r="M29" s="439">
        <f>VLOOKUP(Tableau1[[#This Row],[Name Site]],Plant_AILN!A:C,3,FALSE)</f>
        <v>91017500</v>
      </c>
      <c r="N29" s="55">
        <f>IF(Tableau1[[#This Row],[Name PFI/CDD]]="PFI VLL",2,VLOOKUP(Tableau1[[#This Row],[Compte Consignee]],Order!C:D,2,FALSE))</f>
        <v>2</v>
      </c>
      <c r="O29" s="116" t="s">
        <v>150</v>
      </c>
      <c r="P29" s="365">
        <f>VLOOKUP(Tableau1[[#This Row],[Name ILN]],Plant_AILN!F:G,2,FALSE)</f>
        <v>2533780535</v>
      </c>
      <c r="Q29" s="50">
        <f>VLOOKUP(Tableau1[[#This Row],[Compte ILN]],'DATA ILN'!D:I,6,FALSE)</f>
        <v>9</v>
      </c>
      <c r="R29" s="50">
        <f ca="1">IFERROR(VLOOKUP(Tableau1[[#This Row],[Key(Compte ILN - shipper - POL - plant)]],'DATA ILN'!A:J,10,FALSE),VLOOKUP(Tableau1[[#This Row],[Key(Compte ILN - shipper - POL)]],'DATA ILN'!B:J,9,FALSE))</f>
        <v>14</v>
      </c>
      <c r="S29" s="50">
        <f ca="1">IFERROR(VLOOKUP(Tableau1[[#This Row],[Key(Compte ILN - shipper - POL - plant)]],'DATA ILN'!A:K,11,FALSE),VLOOKUP(Tableau1[[#This Row],[Key(Compte ILN - shipper - POL)]],'DATA ILN'!B:K,10,FALSE))</f>
        <v>5</v>
      </c>
      <c r="T29" s="50">
        <f ca="1">IFERROR(VLOOKUP(Tableau1[[#This Row],[Key(Compte ILN - shipper - POL - plant)]],'DATA ILN'!A:L,12,FALSE),VLOOKUP(Tableau1[[#This Row],[Key(Compte ILN - shipper - POL)]],'DATA ILN'!B:L,11,FALSE))</f>
        <v>7</v>
      </c>
      <c r="U29" s="50">
        <f ca="1">Tableau1[[#This Row],[Day ILN Order]]+Tableau1[[#This Row],[Delivery time to ILN/Shipper]]-1</f>
        <v>22</v>
      </c>
      <c r="V29" s="50">
        <f ca="1">IFERROR(VLOOKUP(Tableau1[[#This Row],[Key(Compte ILN - shipper - POL - plant)]],'DATA ILN'!A:N,14,FALSE),VLOOKUP(Tableau1[[#This Row],[Key(Compte ILN - shipper - POL)]],'DATA ILN'!B:N,13,FALSE))</f>
        <v>3</v>
      </c>
      <c r="W29" s="53">
        <f ca="1">IFERROR(VLOOKUP(Tableau1[[#This Row],[Key(Compte ILN - shipper - POL - plant)]],'DATA ILN'!A:P,16,FALSE),VLOOKUP(Tableau1[[#This Row],[Key(Compte ILN - shipper - POL)]],'DATA ILN'!B:P,15,FALSE))</f>
        <v>5</v>
      </c>
      <c r="X29" s="284" t="s">
        <v>150</v>
      </c>
      <c r="Y29" s="437">
        <f>IFERROR(VLOOKUP(Tableau1[[#This Row],[Name Shipper]],Plant_AILN!L:M,2,FALSE),0)</f>
        <v>2533780535</v>
      </c>
      <c r="Z29" s="406">
        <v>920</v>
      </c>
      <c r="AA29" s="396" t="str">
        <f ca="1">VLOOKUP(Tableau1[[#This Row],[Key(ID-Actif)]],'DATA BTO'!A:N,5,FALSE)</f>
        <v>INNSA</v>
      </c>
      <c r="AB29" s="3" t="str">
        <f ca="1">VLOOKUP(Tableau1[[#This Row],[Key(ID-Actif)]],'DATA BTO'!A:N,6,FALSE)</f>
        <v>Hapag Lloyd</v>
      </c>
      <c r="AC29" s="50">
        <f ca="1">VLOOKUP(Tableau1[[#This Row],[Key(ID-Actif)]],'DATA BTO'!A:N,7,FALSE)</f>
        <v>2</v>
      </c>
      <c r="AD29" s="50">
        <f ca="1">VLOOKUP(Tableau1[[#This Row],[Key(ID-Actif)]],'DATA BTO'!A:N,8,FALSE)</f>
        <v>4</v>
      </c>
      <c r="AE29" s="50">
        <f ca="1">IF(Tableau1[[#This Row],[First Day to POL]]&lt;=Tableau1[[#This Row],[Day Cut Off]],Tableau1[[#This Row],[Day ETD]],Tableau1[[#This Row],[Day ETD]]+7)</f>
        <v>11</v>
      </c>
      <c r="AF29" s="50">
        <f ca="1">VLOOKUP(Tableau1[[#This Row],[Key(ID-Actif)]],'DATA BTO'!A:N,9,FALSE)</f>
        <v>39</v>
      </c>
      <c r="AG29" s="3" t="str">
        <f ca="1">VLOOKUP(Tableau1[[#This Row],[Key(ID-Actif)]],'DATA BTO'!A:N,10,FALSE)</f>
        <v>ESVLC</v>
      </c>
      <c r="AH29" s="3">
        <f ca="1">VLOOKUP(Tableau1[[#This Row],[Key(ID-Actif)]],'DATA BTO'!A:N,11,FALSE)</f>
        <v>3</v>
      </c>
      <c r="AI29" s="50">
        <f ca="1">VLOOKUP(Tableau1[[#This Row],[Key(ID-Actif)]],'DATA BTO'!A:N,12,FALSE)</f>
        <v>0</v>
      </c>
      <c r="AJ29" s="53" t="str">
        <f ca="1">VLOOKUP(Tableau1[[#This Row],[Key(ID-Actif)]],'DATA BTO'!A:N,14,FALSE)</f>
        <v>Marc-Aurele</v>
      </c>
      <c r="AK29" s="54">
        <f ca="1">VLOOKUP(Tableau1[[#This Row],[Key(POD -PFI- Usine)]],'DATA Consignee'!A:F,6,FALSE)</f>
        <v>2</v>
      </c>
      <c r="AL29" s="489" t="s">
        <v>171</v>
      </c>
      <c r="AM29" s="438">
        <f>IF(Tableau1[[#This Row],[Name PFI/CDD]]="","-",VLOOKUP(Tableau1[[#This Row],[Name PFI/CDD]],Plant_AILN!I:J,2,FALSE))</f>
        <v>91018400</v>
      </c>
      <c r="AN29" s="6">
        <f ca="1">IF(COUNTIF(buffer_train[AILN],Tableau1[[#This Row],[Name PFI/CDD]])&gt;0,Tableau1[[#This Row],[First Receipt Days]]+Tableau1[[#This Row],[Cust.]]+Tableau1[[#This Row],[Parts Vanning]]+Tableau1[[#This Row],[Transit Time2]],"-")</f>
        <v>82</v>
      </c>
      <c r="AO29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29" s="2">
        <f ca="1">VLOOKUP(Tableau1[[#This Row],[Key(POD -PFI- Usine)]],'DATA Consignee'!A:J,10,FALSE)</f>
        <v>3</v>
      </c>
      <c r="AQ29" s="50">
        <f ca="1">VLOOKUP(Tableau1[[#This Row],[Key(POD -PFI- Usine)]],'DATA Consignee'!A:N,14,FALSE)</f>
        <v>4</v>
      </c>
      <c r="AR2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29" s="50">
        <f ca="1">Tableau1[[#This Row],[Transit time]]+Tableau1[[#This Row],[Time for security]]+Tableau1[[#This Row],[Time for security2 buffer]]</f>
        <v>42</v>
      </c>
      <c r="AU2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9" s="433">
        <f ca="1">Tableau1[[#This Row],[Leadtime SI2C]]+Tableau1[[#This Row],[First Receipt Days]]-Tableau1[[#This Row],[Day Customer Order]]+1</f>
        <v>97</v>
      </c>
      <c r="AW29" s="119">
        <f ca="1">IF(Tableau1[[#This Row],[Name ILN]]&lt;&gt;"SFK Freight Forwarder",Tableau1[[#This Row],[Cust. Leadtime]],Tableau1[[#This Row],[Leadtime SI2C]])</f>
        <v>97</v>
      </c>
      <c r="AX29" s="51" t="s">
        <v>144</v>
      </c>
      <c r="AY29" s="338">
        <f ca="1">IFERROR(VLOOKUP(Tableau1[[#This Row],[Key(ID-Actif)]],'DATA BTO'!A:N,4,FALSE),VLOOKUP(Tableau1[[#This Row],[ID]],'DATA BTO'!B:N,3,FALSE))</f>
        <v>46507</v>
      </c>
      <c r="AZ29" s="50" t="str">
        <f>IF(ISNUMBER(Tableau1[[#This Row],[Day Customer Order]]),"-","Please Check 'Name' information in 'Order' Sheet to make sure they have information")</f>
        <v>-</v>
      </c>
      <c r="BA2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" s="50"/>
    </row>
    <row r="30" spans="2:57">
      <c r="B30" s="474" t="str">
        <f>_xlfn.CONCAT(Tableau1[[#This Row],[Name ILN]],"-",Tableau1[[#This Row],[Name Shipper]],"-",Tableau1[[#This Row],[Name Site]])</f>
        <v>ILN Pune-ILN Pune-OYAK MEKA</v>
      </c>
      <c r="C30" s="67" t="str">
        <f ca="1">_xlfn.CONCAT(Tableau1[[#This Row],[Compte ILN]],"-",Tableau1[[#This Row],[Compte Shipper]],"-",Tableau1[[#This Row],[POL]],"-",Tableau1[[#This Row],[Compte Consignee]])</f>
        <v>2533780535-2533780535-INNSA-90014400</v>
      </c>
      <c r="D30" s="66" t="str">
        <f ca="1">_xlfn.CONCAT(Tableau1[[#This Row],[Compte ILN]],"-",Tableau1[[#This Row],[Compte Shipper]],"-",Tableau1[[#This Row],[POL]])</f>
        <v>2533780535-2533780535-INNSA</v>
      </c>
      <c r="E30" s="434" t="str">
        <f ca="1">_xlfn.CONCAT(Tableau1[[#This Row],[POL]],"-",Tableau1[[#This Row],[Carrier]],"-",Tableau1[[#This Row],[POD]])</f>
        <v>INNSA-Hapag Lloyd-TRIZT</v>
      </c>
      <c r="F30" s="66" t="str">
        <f>_xlfn.CONCAT(Tableau1[[#This Row],[ID]],"-","Actif")</f>
        <v>921-Actif</v>
      </c>
      <c r="G30" s="66" t="str">
        <f ca="1">_xlfn.CONCAT(Tableau1[[#This Row],[POD]],"-",Tableau1[[#This Row],[Code PFI]],"-",Tableau1[[#This Row],[Compte Consignee]])</f>
        <v>TRIZT---90014400</v>
      </c>
      <c r="H30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PuneINNSAOYAK MEKA</v>
      </c>
      <c r="I3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Pune-ILN Pune-921-INNSA-Hapag Lloyd-TRIZT-</v>
      </c>
      <c r="J30" s="435" t="str">
        <f ca="1">IF(COUNTIF(I:I,Tableau1[[#This Row],[Plant-ILN-shipper-POL-Carrier-POD-PFI]])=1,"Non","Oui")</f>
        <v>Non</v>
      </c>
      <c r="K30" s="128" t="str">
        <f>VLOOKUP(Tableau1[[#This Row],[Name Site]],Plant_AILN!A:D,4,FALSE)</f>
        <v>TURKEY</v>
      </c>
      <c r="L30" s="411" t="s">
        <v>165</v>
      </c>
      <c r="M30" s="439">
        <f>VLOOKUP(Tableau1[[#This Row],[Name Site]],Plant_AILN!A:C,3,FALSE)</f>
        <v>90014400</v>
      </c>
      <c r="N30" s="55">
        <f>IF(Tableau1[[#This Row],[Name PFI/CDD]]="PFI VLL",2,VLOOKUP(Tableau1[[#This Row],[Compte Consignee]],Order!C:D,2,FALSE))</f>
        <v>2</v>
      </c>
      <c r="O30" s="116" t="s">
        <v>150</v>
      </c>
      <c r="P30" s="365">
        <f>VLOOKUP(Tableau1[[#This Row],[Name ILN]],Plant_AILN!F:G,2,FALSE)</f>
        <v>2533780535</v>
      </c>
      <c r="Q30" s="50">
        <f>VLOOKUP(Tableau1[[#This Row],[Compte ILN]],'DATA ILN'!D:I,6,FALSE)</f>
        <v>9</v>
      </c>
      <c r="R30" s="50">
        <f ca="1">IFERROR(VLOOKUP(Tableau1[[#This Row],[Key(Compte ILN - shipper - POL - plant)]],'DATA ILN'!A:J,10,FALSE),VLOOKUP(Tableau1[[#This Row],[Key(Compte ILN - shipper - POL)]],'DATA ILN'!B:J,9,FALSE))</f>
        <v>14</v>
      </c>
      <c r="S30" s="50">
        <f ca="1">IFERROR(VLOOKUP(Tableau1[[#This Row],[Key(Compte ILN - shipper - POL - plant)]],'DATA ILN'!A:K,11,FALSE),VLOOKUP(Tableau1[[#This Row],[Key(Compte ILN - shipper - POL)]],'DATA ILN'!B:K,10,FALSE))</f>
        <v>5</v>
      </c>
      <c r="T30" s="50">
        <f ca="1">IFERROR(VLOOKUP(Tableau1[[#This Row],[Key(Compte ILN - shipper - POL - plant)]],'DATA ILN'!A:L,12,FALSE),VLOOKUP(Tableau1[[#This Row],[Key(Compte ILN - shipper - POL)]],'DATA ILN'!B:L,11,FALSE))</f>
        <v>7</v>
      </c>
      <c r="U30" s="50">
        <f ca="1">Tableau1[[#This Row],[Day ILN Order]]+Tableau1[[#This Row],[Delivery time to ILN/Shipper]]-1</f>
        <v>22</v>
      </c>
      <c r="V30" s="50">
        <f ca="1">IFERROR(VLOOKUP(Tableau1[[#This Row],[Key(Compte ILN - shipper - POL - plant)]],'DATA ILN'!A:N,14,FALSE),VLOOKUP(Tableau1[[#This Row],[Key(Compte ILN - shipper - POL)]],'DATA ILN'!B:N,13,FALSE))</f>
        <v>3</v>
      </c>
      <c r="W30" s="53">
        <f ca="1">IFERROR(VLOOKUP(Tableau1[[#This Row],[Key(Compte ILN - shipper - POL - plant)]],'DATA ILN'!A:P,16,FALSE),VLOOKUP(Tableau1[[#This Row],[Key(Compte ILN - shipper - POL)]],'DATA ILN'!B:P,15,FALSE))</f>
        <v>5</v>
      </c>
      <c r="X30" s="284" t="s">
        <v>150</v>
      </c>
      <c r="Y30" s="437">
        <f>IFERROR(VLOOKUP(Tableau1[[#This Row],[Name Shipper]],Plant_AILN!L:M,2,FALSE),0)</f>
        <v>2533780535</v>
      </c>
      <c r="Z30" s="406">
        <v>921</v>
      </c>
      <c r="AA30" s="396" t="str">
        <f ca="1">VLOOKUP(Tableau1[[#This Row],[Key(ID-Actif)]],'DATA BTO'!A:N,5,FALSE)</f>
        <v>INNSA</v>
      </c>
      <c r="AB30" s="3" t="str">
        <f ca="1">VLOOKUP(Tableau1[[#This Row],[Key(ID-Actif)]],'DATA BTO'!A:N,6,FALSE)</f>
        <v>Hapag Lloyd</v>
      </c>
      <c r="AC30" s="50">
        <f ca="1">VLOOKUP(Tableau1[[#This Row],[Key(ID-Actif)]],'DATA BTO'!A:N,7,FALSE)</f>
        <v>2</v>
      </c>
      <c r="AD30" s="50">
        <f ca="1">VLOOKUP(Tableau1[[#This Row],[Key(ID-Actif)]],'DATA BTO'!A:N,8,FALSE)</f>
        <v>4</v>
      </c>
      <c r="AE30" s="50">
        <f ca="1">IF(Tableau1[[#This Row],[First Day to POL]]&lt;=Tableau1[[#This Row],[Day Cut Off]],Tableau1[[#This Row],[Day ETD]],Tableau1[[#This Row],[Day ETD]]+7)</f>
        <v>11</v>
      </c>
      <c r="AF30" s="50">
        <f ca="1">VLOOKUP(Tableau1[[#This Row],[Key(ID-Actif)]],'DATA BTO'!A:N,9,FALSE)</f>
        <v>46</v>
      </c>
      <c r="AG30" s="3" t="str">
        <f ca="1">VLOOKUP(Tableau1[[#This Row],[Key(ID-Actif)]],'DATA BTO'!A:N,10,FALSE)</f>
        <v>TRIZT</v>
      </c>
      <c r="AH30" s="3">
        <f ca="1">VLOOKUP(Tableau1[[#This Row],[Key(ID-Actif)]],'DATA BTO'!A:N,11,FALSE)</f>
        <v>3</v>
      </c>
      <c r="AI30" s="50">
        <f ca="1">VLOOKUP(Tableau1[[#This Row],[Key(ID-Actif)]],'DATA BTO'!A:N,12,FALSE)</f>
        <v>7</v>
      </c>
      <c r="AJ30" s="53" t="str">
        <f ca="1">VLOOKUP(Tableau1[[#This Row],[Key(ID-Actif)]],'DATA BTO'!A:N,14,FALSE)</f>
        <v>Marc-Aurele</v>
      </c>
      <c r="AK30" s="54">
        <f ca="1">VLOOKUP(Tableau1[[#This Row],[Key(POD -PFI- Usine)]],'DATA Consignee'!A:F,6,FALSE)</f>
        <v>4</v>
      </c>
      <c r="AL30" s="127"/>
      <c r="AM30" s="438" t="str">
        <f>IF(Tableau1[[#This Row],[Name PFI/CDD]]="","-",VLOOKUP(Tableau1[[#This Row],[Name PFI/CDD]],Plant_AILN!I:J,2,FALSE))</f>
        <v>-</v>
      </c>
      <c r="AN3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" s="2">
        <f ca="1">VLOOKUP(Tableau1[[#This Row],[Key(POD -PFI- Usine)]],'DATA Consignee'!A:J,10,FALSE)</f>
        <v>0</v>
      </c>
      <c r="AQ30" s="50">
        <f ca="1">VLOOKUP(Tableau1[[#This Row],[Key(POD -PFI- Usine)]],'DATA Consignee'!A:N,14,FALSE)</f>
        <v>3</v>
      </c>
      <c r="AR3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3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30" s="50">
        <f ca="1">Tableau1[[#This Row],[Transit time]]+Tableau1[[#This Row],[Time for security]]+Tableau1[[#This Row],[Time for security2 buffer]]</f>
        <v>56</v>
      </c>
      <c r="AU3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30" s="433">
        <f ca="1">Tableau1[[#This Row],[Leadtime SI2C]]+Tableau1[[#This Row],[First Receipt Days]]-Tableau1[[#This Row],[Day Customer Order]]+1</f>
        <v>104</v>
      </c>
      <c r="AW30" s="119">
        <f ca="1">IF(Tableau1[[#This Row],[Name ILN]]&lt;&gt;"SFK Freight Forwarder",Tableau1[[#This Row],[Cust. Leadtime]],Tableau1[[#This Row],[Leadtime SI2C]])</f>
        <v>104</v>
      </c>
      <c r="AX30" s="51" t="s">
        <v>144</v>
      </c>
      <c r="AY30" s="338">
        <f ca="1">IFERROR(VLOOKUP(Tableau1[[#This Row],[Key(ID-Actif)]],'DATA BTO'!A:N,4,FALSE),VLOOKUP(Tableau1[[#This Row],[ID]],'DATA BTO'!B:N,3,FALSE))</f>
        <v>46507</v>
      </c>
      <c r="AZ30" s="50" t="str">
        <f>IF(ISNUMBER(Tableau1[[#This Row],[Day Customer Order]]),"-","Please Check 'Name' information in 'Order' Sheet to make sure they have information")</f>
        <v>-</v>
      </c>
      <c r="BA3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" s="50"/>
    </row>
    <row r="31" spans="2:57" hidden="1">
      <c r="B31" s="67" t="str">
        <f>_xlfn.CONCAT(Tableau1[[#This Row],[Name ILN]],"-",Tableau1[[#This Row],[Name Shipper]],"-",Tableau1[[#This Row],[Name Site]])</f>
        <v>ILN Pune-ILN Pune-OYAK MONT</v>
      </c>
      <c r="C31" s="67" t="str">
        <f ca="1">_xlfn.CONCAT(Tableau1[[#This Row],[Compte ILN]],"-",Tableau1[[#This Row],[Compte Shipper]],"-",Tableau1[[#This Row],[POL]],"-",Tableau1[[#This Row],[Compte Consignee]])</f>
        <v>2533780535-2533780535-INNSA-90017000</v>
      </c>
      <c r="D31" s="66" t="str">
        <f ca="1">_xlfn.CONCAT(Tableau1[[#This Row],[Compte ILN]],"-",Tableau1[[#This Row],[Compte Shipper]],"-",Tableau1[[#This Row],[POL]])</f>
        <v>2533780535-2533780535-INNSA</v>
      </c>
      <c r="E31" s="434" t="str">
        <f ca="1">_xlfn.CONCAT(Tableau1[[#This Row],[POL]],"-",Tableau1[[#This Row],[Carrier]],"-",Tableau1[[#This Row],[POD]])</f>
        <v>INNSA-Hapag Lloyd-TRIZT</v>
      </c>
      <c r="F31" s="66" t="str">
        <f>_xlfn.CONCAT(Tableau1[[#This Row],[ID]],"-","Actif")</f>
        <v>921-Actif</v>
      </c>
      <c r="G31" s="66" t="str">
        <f ca="1">_xlfn.CONCAT(Tableau1[[#This Row],[POD]],"-",Tableau1[[#This Row],[Code PFI]],"-",Tableau1[[#This Row],[Compte Consignee]])</f>
        <v>TRIZT---90017000</v>
      </c>
      <c r="H31" s="434" t="str">
        <f ca="1">_xlfn.CONCAT(IF(Tableau1[[#This Row],[Name ILN]]=Tableau1[[#This Row],[Name Shipper]],Tableau1[[#This Row],[Name ILN]],Tableau1[[#This Row],[Compte Shipper]]),Tableau1[[#This Row],[POL]],Tableau1[[#This Row],[Name Site]])</f>
        <v>ILN PuneINNSAOYAK MONT</v>
      </c>
      <c r="I3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MONT-ILN Pune-ILN Pune-921-INNSA-Hapag Lloyd-TRIZT-</v>
      </c>
      <c r="J31" s="435" t="str">
        <f ca="1">IF(COUNTIF(I:I,Tableau1[[#This Row],[Plant-ILN-shipper-POL-Carrier-POD-PFI]])=1,"Non","Oui")</f>
        <v>Non</v>
      </c>
      <c r="K31" s="436" t="str">
        <f>VLOOKUP(Tableau1[[#This Row],[Name Site]],Plant_AILN!A:D,4,FALSE)</f>
        <v>TURKEY</v>
      </c>
      <c r="L31" s="285" t="s">
        <v>173</v>
      </c>
      <c r="M31" s="439">
        <f>VLOOKUP(Tableau1[[#This Row],[Name Site]],Plant_AILN!A:C,3,FALSE)</f>
        <v>90017000</v>
      </c>
      <c r="N31" s="55">
        <f>IF(Tableau1[[#This Row],[Name PFI/CDD]]="PFI VLL",2,VLOOKUP(Tableau1[[#This Row],[Compte Consignee]],Order!C:D,2,FALSE))</f>
        <v>7</v>
      </c>
      <c r="O31" s="116" t="s">
        <v>150</v>
      </c>
      <c r="P31" s="365">
        <f>VLOOKUP(Tableau1[[#This Row],[Name ILN]],Plant_AILN!F:G,2,FALSE)</f>
        <v>2533780535</v>
      </c>
      <c r="Q31" s="50">
        <f>VLOOKUP(Tableau1[[#This Row],[Compte ILN]],'DATA ILN'!D:I,6,FALSE)</f>
        <v>9</v>
      </c>
      <c r="R31" s="50">
        <f ca="1">IFERROR(VLOOKUP(Tableau1[[#This Row],[Key(Compte ILN - shipper - POL - plant)]],'DATA ILN'!A:J,10,FALSE),VLOOKUP(Tableau1[[#This Row],[Key(Compte ILN - shipper - POL)]],'DATA ILN'!B:J,9,FALSE))</f>
        <v>14</v>
      </c>
      <c r="S31" s="50">
        <f ca="1">IFERROR(VLOOKUP(Tableau1[[#This Row],[Key(Compte ILN - shipper - POL - plant)]],'DATA ILN'!A:K,11,FALSE),VLOOKUP(Tableau1[[#This Row],[Key(Compte ILN - shipper - POL)]],'DATA ILN'!B:K,10,FALSE))</f>
        <v>5</v>
      </c>
      <c r="T31" s="50">
        <f ca="1">IFERROR(VLOOKUP(Tableau1[[#This Row],[Key(Compte ILN - shipper - POL - plant)]],'DATA ILN'!A:L,12,FALSE),VLOOKUP(Tableau1[[#This Row],[Key(Compte ILN - shipper - POL)]],'DATA ILN'!B:L,11,FALSE))</f>
        <v>7</v>
      </c>
      <c r="U31" s="50">
        <f ca="1">Tableau1[[#This Row],[Day ILN Order]]+Tableau1[[#This Row],[Delivery time to ILN/Shipper]]-1</f>
        <v>22</v>
      </c>
      <c r="V31" s="50">
        <f ca="1">IFERROR(VLOOKUP(Tableau1[[#This Row],[Key(Compte ILN - shipper - POL - plant)]],'DATA ILN'!A:N,14,FALSE),VLOOKUP(Tableau1[[#This Row],[Key(Compte ILN - shipper - POL)]],'DATA ILN'!B:N,13,FALSE))</f>
        <v>0</v>
      </c>
      <c r="W31" s="53">
        <f ca="1">IFERROR(VLOOKUP(Tableau1[[#This Row],[Key(Compte ILN - shipper - POL - plant)]],'DATA ILN'!A:P,16,FALSE),VLOOKUP(Tableau1[[#This Row],[Key(Compte ILN - shipper - POL)]],'DATA ILN'!B:P,15,FALSE))</f>
        <v>3</v>
      </c>
      <c r="X31" s="284" t="s">
        <v>150</v>
      </c>
      <c r="Y31" s="437">
        <f>IFERROR(VLOOKUP(Tableau1[[#This Row],[Name Shipper]],Plant_AILN!L:M,2,FALSE),0)</f>
        <v>2533780535</v>
      </c>
      <c r="Z31" s="406">
        <v>921</v>
      </c>
      <c r="AA31" s="396" t="str">
        <f ca="1">VLOOKUP(Tableau1[[#This Row],[Key(ID-Actif)]],'DATA BTO'!A:N,5,FALSE)</f>
        <v>INNSA</v>
      </c>
      <c r="AB31" s="3" t="str">
        <f ca="1">VLOOKUP(Tableau1[[#This Row],[Key(ID-Actif)]],'DATA BTO'!A:N,6,FALSE)</f>
        <v>Hapag Lloyd</v>
      </c>
      <c r="AC31" s="50">
        <f ca="1">VLOOKUP(Tableau1[[#This Row],[Key(ID-Actif)]],'DATA BTO'!A:N,7,FALSE)</f>
        <v>2</v>
      </c>
      <c r="AD31" s="50">
        <f ca="1">VLOOKUP(Tableau1[[#This Row],[Key(ID-Actif)]],'DATA BTO'!A:N,8,FALSE)</f>
        <v>4</v>
      </c>
      <c r="AE31" s="50">
        <f ca="1">IF(Tableau1[[#This Row],[First Day to POL]]&lt;=Tableau1[[#This Row],[Day Cut Off]],Tableau1[[#This Row],[Day ETD]],Tableau1[[#This Row],[Day ETD]]+7)</f>
        <v>11</v>
      </c>
      <c r="AF31" s="50">
        <f ca="1">VLOOKUP(Tableau1[[#This Row],[Key(ID-Actif)]],'DATA BTO'!A:N,9,FALSE)</f>
        <v>46</v>
      </c>
      <c r="AG31" s="3" t="str">
        <f ca="1">VLOOKUP(Tableau1[[#This Row],[Key(ID-Actif)]],'DATA BTO'!A:N,10,FALSE)</f>
        <v>TRIZT</v>
      </c>
      <c r="AH31" s="3">
        <f ca="1">VLOOKUP(Tableau1[[#This Row],[Key(ID-Actif)]],'DATA BTO'!A:N,11,FALSE)</f>
        <v>3</v>
      </c>
      <c r="AI31" s="50">
        <f ca="1">VLOOKUP(Tableau1[[#This Row],[Key(ID-Actif)]],'DATA BTO'!A:N,12,FALSE)</f>
        <v>7</v>
      </c>
      <c r="AJ31" s="53" t="str">
        <f ca="1">VLOOKUP(Tableau1[[#This Row],[Key(ID-Actif)]],'DATA BTO'!A:N,14,FALSE)</f>
        <v>Marc-Aurele</v>
      </c>
      <c r="AK31" s="54">
        <f ca="1">VLOOKUP(Tableau1[[#This Row],[Key(POD -PFI- Usine)]],'DATA Consignee'!A:F,6,FALSE)</f>
        <v>4</v>
      </c>
      <c r="AL31" s="127"/>
      <c r="AM31" s="438" t="str">
        <f>IF(Tableau1[[#This Row],[Name PFI/CDD]]="","-",VLOOKUP(Tableau1[[#This Row],[Name PFI/CDD]],Plant_AILN!I:J,2,FALSE))</f>
        <v>-</v>
      </c>
      <c r="AN3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" s="2">
        <f ca="1">VLOOKUP(Tableau1[[#This Row],[Key(POD -PFI- Usine)]],'DATA Consignee'!A:J,10,FALSE)</f>
        <v>0</v>
      </c>
      <c r="AQ31" s="50">
        <f ca="1">VLOOKUP(Tableau1[[#This Row],[Key(POD -PFI- Usine)]],'DATA Consignee'!A:N,14,FALSE)</f>
        <v>3</v>
      </c>
      <c r="AR3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3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31" s="50">
        <f ca="1">Tableau1[[#This Row],[Transit time]]+Tableau1[[#This Row],[Time for security]]+Tableau1[[#This Row],[Time for security2 buffer]]</f>
        <v>56</v>
      </c>
      <c r="AU3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31" s="433">
        <f ca="1">Tableau1[[#This Row],[Leadtime SI2C]]+Tableau1[[#This Row],[First Receipt Days]]-Tableau1[[#This Row],[Day Customer Order]]+1</f>
        <v>99</v>
      </c>
      <c r="AW31" s="119">
        <f ca="1">IF(Tableau1[[#This Row],[Name ILN]]&lt;&gt;"SFK Freight Forwarder",Tableau1[[#This Row],[Cust. Leadtime]],Tableau1[[#This Row],[Leadtime SI2C]])</f>
        <v>99</v>
      </c>
      <c r="AX31" s="51" t="s">
        <v>144</v>
      </c>
      <c r="AY31" s="338">
        <f ca="1">IFERROR(VLOOKUP(Tableau1[[#This Row],[Key(ID-Actif)]],'DATA BTO'!A:N,4,FALSE),VLOOKUP(Tableau1[[#This Row],[ID]],'DATA BTO'!B:N,3,FALSE))</f>
        <v>46507</v>
      </c>
      <c r="AZ31" s="50" t="str">
        <f>IF(ISNUMBER(Tableau1[[#This Row],[Day Customer Order]]),"-","Please Check 'Name' information in 'Order' Sheet to make sure they have information")</f>
        <v>-</v>
      </c>
      <c r="BA3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" s="50"/>
    </row>
    <row r="32" spans="2:57" hidden="1">
      <c r="B32" s="67" t="str">
        <f>_xlfn.CONCAT(Tableau1[[#This Row],[Name ILN]],"-",Tableau1[[#This Row],[Name Shipper]],"-",Tableau1[[#This Row],[Name Site]])</f>
        <v>ILN Tanger-ILN Tanger-DACIA MECA</v>
      </c>
      <c r="C32" s="67" t="str">
        <f ca="1">_xlfn.CONCAT(Tableau1[[#This Row],[Compte ILN]],"-",Tableau1[[#This Row],[Compte Shipper]],"-",Tableau1[[#This Row],[POL]],"-",Tableau1[[#This Row],[Compte Consignee]])</f>
        <v>92050300-92050300-MAPTM-90012500</v>
      </c>
      <c r="D32" s="66" t="str">
        <f ca="1">_xlfn.CONCAT(Tableau1[[#This Row],[Compte ILN]],"-",Tableau1[[#This Row],[Compte Shipper]],"-",Tableau1[[#This Row],[POL]])</f>
        <v>92050300-92050300-MAPTM</v>
      </c>
      <c r="E32" s="434" t="str">
        <f ca="1">_xlfn.CONCAT(Tableau1[[#This Row],[POL]],"-",Tableau1[[#This Row],[Carrier]],"-",Tableau1[[#This Row],[POD]])</f>
        <v>MAPTM-Maersk-ROCND</v>
      </c>
      <c r="F32" s="66" t="str">
        <f>_xlfn.CONCAT(Tableau1[[#This Row],[ID]],"-","Actif")</f>
        <v>924-Actif</v>
      </c>
      <c r="G32" s="66" t="str">
        <f ca="1">_xlfn.CONCAT(Tableau1[[#This Row],[POD]],"-",Tableau1[[#This Row],[Code PFI]],"-",Tableau1[[#This Row],[Compte Consignee]])</f>
        <v>ROCND-2839004-90012500</v>
      </c>
      <c r="H32" s="434" t="str">
        <f ca="1">_xlfn.CONCAT(IF(Tableau1[[#This Row],[Name ILN]]=Tableau1[[#This Row],[Name Shipper]],Tableau1[[#This Row],[Name ILN]],Tableau1[[#This Row],[Compte Shipper]]),Tableau1[[#This Row],[POL]],Tableau1[[#This Row],[Name Site]])</f>
        <v>ILN TangerMAPTMDACIA MECA</v>
      </c>
      <c r="I3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Tanger-ILN Tanger-924-MAPTM-Maersk-ROCND-Magasin Dacia</v>
      </c>
      <c r="J32" s="435" t="str">
        <f ca="1">IF(COUNTIF(I:I,Tableau1[[#This Row],[Plant-ILN-shipper-POL-Carrier-POD-PFI]])=1,"Non","Oui")</f>
        <v>Non</v>
      </c>
      <c r="K32" s="436" t="str">
        <f>VLOOKUP(Tableau1[[#This Row],[Name Site]],Plant_AILN!A:D,4,FALSE)</f>
        <v>ROMANIA</v>
      </c>
      <c r="L32" s="411" t="s">
        <v>162</v>
      </c>
      <c r="M32" s="439">
        <f>VLOOKUP(Tableau1[[#This Row],[Name Site]],Plant_AILN!A:C,3,FALSE)</f>
        <v>90012500</v>
      </c>
      <c r="N32" s="55">
        <f>IF(Tableau1[[#This Row],[Name PFI/CDD]]="PFI VLL",2,VLOOKUP(Tableau1[[#This Row],[Compte Consignee]],Order!C:D,2,FALSE))</f>
        <v>7</v>
      </c>
      <c r="O32" s="116" t="s">
        <v>161</v>
      </c>
      <c r="P32" s="365">
        <f>VLOOKUP(Tableau1[[#This Row],[Name ILN]],Plant_AILN!F:G,2,FALSE)</f>
        <v>92050300</v>
      </c>
      <c r="Q32" s="50">
        <f>VLOOKUP(Tableau1[[#This Row],[Compte ILN]],'DATA ILN'!D:I,6,FALSE)</f>
        <v>9</v>
      </c>
      <c r="R32" s="50">
        <f ca="1">IFERROR(VLOOKUP(Tableau1[[#This Row],[Key(Compte ILN - shipper - POL - plant)]],'DATA ILN'!A:J,10,FALSE),VLOOKUP(Tableau1[[#This Row],[Key(Compte ILN - shipper - POL)]],'DATA ILN'!B:J,9,FALSE))</f>
        <v>7</v>
      </c>
      <c r="S32" s="50">
        <f ca="1">IFERROR(VLOOKUP(Tableau1[[#This Row],[Key(Compte ILN - shipper - POL - plant)]],'DATA ILN'!A:K,11,FALSE),VLOOKUP(Tableau1[[#This Row],[Key(Compte ILN - shipper - POL)]],'DATA ILN'!B:K,10,FALSE))</f>
        <v>5</v>
      </c>
      <c r="T32" s="50">
        <f ca="1">IFERROR(VLOOKUP(Tableau1[[#This Row],[Key(Compte ILN - shipper - POL - plant)]],'DATA ILN'!A:L,12,FALSE),VLOOKUP(Tableau1[[#This Row],[Key(Compte ILN - shipper - POL)]],'DATA ILN'!B:L,11,FALSE))</f>
        <v>7</v>
      </c>
      <c r="U32" s="50">
        <f ca="1">Tableau1[[#This Row],[Day ILN Order]]+Tableau1[[#This Row],[Delivery time to ILN/Shipper]]-1</f>
        <v>15</v>
      </c>
      <c r="V32" s="50">
        <f ca="1">IFERROR(VLOOKUP(Tableau1[[#This Row],[Key(Compte ILN - shipper - POL - plant)]],'DATA ILN'!A:N,14,FALSE),VLOOKUP(Tableau1[[#This Row],[Key(Compte ILN - shipper - POL)]],'DATA ILN'!B:N,13,FALSE))</f>
        <v>3</v>
      </c>
      <c r="W32" s="53">
        <f ca="1">IFERROR(VLOOKUP(Tableau1[[#This Row],[Key(Compte ILN - shipper - POL - plant)]],'DATA ILN'!A:P,16,FALSE),VLOOKUP(Tableau1[[#This Row],[Key(Compte ILN - shipper - POL)]],'DATA ILN'!B:P,15,FALSE))</f>
        <v>4</v>
      </c>
      <c r="X32" s="284" t="s">
        <v>161</v>
      </c>
      <c r="Y32" s="437">
        <f>IFERROR(VLOOKUP(Tableau1[[#This Row],[Name Shipper]],Plant_AILN!L:M,2,FALSE),0)</f>
        <v>92050300</v>
      </c>
      <c r="Z32" s="406">
        <v>924</v>
      </c>
      <c r="AA32" s="396" t="str">
        <f ca="1">VLOOKUP(Tableau1[[#This Row],[Key(ID-Actif)]],'DATA BTO'!A:N,5,FALSE)</f>
        <v>MAPTM</v>
      </c>
      <c r="AB32" s="3" t="str">
        <f ca="1">VLOOKUP(Tableau1[[#This Row],[Key(ID-Actif)]],'DATA BTO'!A:N,6,FALSE)</f>
        <v>Maersk</v>
      </c>
      <c r="AC32" s="50">
        <f ca="1">VLOOKUP(Tableau1[[#This Row],[Key(ID-Actif)]],'DATA BTO'!A:N,7,FALSE)</f>
        <v>2</v>
      </c>
      <c r="AD32" s="50">
        <f ca="1">VLOOKUP(Tableau1[[#This Row],[Key(ID-Actif)]],'DATA BTO'!A:N,8,FALSE)</f>
        <v>4</v>
      </c>
      <c r="AE32" s="50">
        <f ca="1">IF(Tableau1[[#This Row],[First Day to POL]]&lt;=Tableau1[[#This Row],[Day Cut Off]],Tableau1[[#This Row],[Day ETD]],Tableau1[[#This Row],[Day ETD]]+7)</f>
        <v>11</v>
      </c>
      <c r="AF32" s="50">
        <f ca="1">VLOOKUP(Tableau1[[#This Row],[Key(ID-Actif)]],'DATA BTO'!A:N,9,FALSE)</f>
        <v>17</v>
      </c>
      <c r="AG32" s="3" t="str">
        <f ca="1">VLOOKUP(Tableau1[[#This Row],[Key(ID-Actif)]],'DATA BTO'!A:N,10,FALSE)</f>
        <v>ROCND</v>
      </c>
      <c r="AH32" s="3">
        <f ca="1">VLOOKUP(Tableau1[[#This Row],[Key(ID-Actif)]],'DATA BTO'!A:N,11,FALSE)</f>
        <v>3</v>
      </c>
      <c r="AI32" s="50">
        <f ca="1">VLOOKUP(Tableau1[[#This Row],[Key(ID-Actif)]],'DATA BTO'!A:N,12,FALSE)</f>
        <v>7</v>
      </c>
      <c r="AJ32" s="53" t="str">
        <f ca="1">VLOOKUP(Tableau1[[#This Row],[Key(ID-Actif)]],'DATA BTO'!A:N,14,FALSE)</f>
        <v>Véronique</v>
      </c>
      <c r="AK32" s="54">
        <f ca="1">VLOOKUP(Tableau1[[#This Row],[Key(POD -PFI- Usine)]],'DATA Consignee'!A:F,6,FALSE)</f>
        <v>1</v>
      </c>
      <c r="AL32" s="127" t="s">
        <v>164</v>
      </c>
      <c r="AM32" s="438">
        <f>IF(Tableau1[[#This Row],[Name PFI/CDD]]="","-",VLOOKUP(Tableau1[[#This Row],[Name PFI/CDD]],Plant_AILN!I:J,2,FALSE))</f>
        <v>2839004</v>
      </c>
      <c r="AN3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" s="2">
        <f ca="1">VLOOKUP(Tableau1[[#This Row],[Key(POD -PFI- Usine)]],'DATA Consignee'!A:J,10,FALSE)</f>
        <v>7</v>
      </c>
      <c r="AQ32" s="50">
        <f ca="1">VLOOKUP(Tableau1[[#This Row],[Key(POD -PFI- Usine)]],'DATA Consignee'!A:N,14,FALSE)</f>
        <v>1</v>
      </c>
      <c r="AR3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32" s="50">
        <f ca="1">Tableau1[[#This Row],[Transit time]]+Tableau1[[#This Row],[Time for security]]+Tableau1[[#This Row],[Time for security2 buffer]]</f>
        <v>27</v>
      </c>
      <c r="AU3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32" s="433">
        <f ca="1">Tableau1[[#This Row],[Leadtime SI2C]]+Tableau1[[#This Row],[First Receipt Days]]-Tableau1[[#This Row],[Day Customer Order]]+1</f>
        <v>64</v>
      </c>
      <c r="AW32" s="119">
        <f ca="1">IF(Tableau1[[#This Row],[Name ILN]]&lt;&gt;"SFK Freight Forwarder",Tableau1[[#This Row],[Cust. Leadtime]],Tableau1[[#This Row],[Leadtime SI2C]])</f>
        <v>64</v>
      </c>
      <c r="AX32" s="51" t="s">
        <v>144</v>
      </c>
      <c r="AY32" s="338">
        <f ca="1">IFERROR(VLOOKUP(Tableau1[[#This Row],[Key(ID-Actif)]],'DATA BTO'!A:N,4,FALSE),VLOOKUP(Tableau1[[#This Row],[ID]],'DATA BTO'!B:N,3,FALSE))</f>
        <v>46507</v>
      </c>
      <c r="AZ32" s="50" t="str">
        <f>IF(ISNUMBER(Tableau1[[#This Row],[Day Customer Order]]),"-","Please Check 'Name' information in 'Order' Sheet to make sure they have information")</f>
        <v>-</v>
      </c>
      <c r="BA3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" s="50"/>
    </row>
    <row r="33" spans="2:57" hidden="1">
      <c r="B33" s="474" t="str">
        <f>_xlfn.CONCAT(Tableau1[[#This Row],[Name ILN]],"-",Tableau1[[#This Row],[Name Shipper]],"-",Tableau1[[#This Row],[Name Site]])</f>
        <v>ILN Chennai-ILN Chennai-CURITIBA CMO</v>
      </c>
      <c r="C33" s="67" t="str">
        <f ca="1">_xlfn.CONCAT(Tableau1[[#This Row],[Compte ILN]],"-",Tableau1[[#This Row],[Compte Shipper]],"-",Tableau1[[#This Row],[POL]],"-",Tableau1[[#This Row],[Compte Consignee]])</f>
        <v>2533780546-2533780546-INKAT-90018600</v>
      </c>
      <c r="D33" s="66" t="str">
        <f ca="1">_xlfn.CONCAT(Tableau1[[#This Row],[Compte ILN]],"-",Tableau1[[#This Row],[Compte Shipper]],"-",Tableau1[[#This Row],[POL]])</f>
        <v>2533780546-2533780546-INKAT</v>
      </c>
      <c r="E33" s="434" t="str">
        <f ca="1">_xlfn.CONCAT(Tableau1[[#This Row],[POL]],"-",Tableau1[[#This Row],[Carrier]],"-",Tableau1[[#This Row],[POD]])</f>
        <v>INKAT-ONE-BRPNG</v>
      </c>
      <c r="F33" s="66" t="str">
        <f>_xlfn.CONCAT(Tableau1[[#This Row],[ID]],"-","Actif")</f>
        <v>925-Actif</v>
      </c>
      <c r="G33" s="66" t="str">
        <f ca="1">_xlfn.CONCAT(Tableau1[[#This Row],[POD]],"-",Tableau1[[#This Row],[Code PFI]],"-",Tableau1[[#This Row],[Compte Consignee]])</f>
        <v>BRPNG---90018600</v>
      </c>
      <c r="H33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ChennaiINKATCURITIBA CMO</v>
      </c>
      <c r="I3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Chennai-ILN Chennai-925-INKAT-ONE-BRPNG-</v>
      </c>
      <c r="J33" s="435" t="str">
        <f ca="1">IF(COUNTIF(I:I,Tableau1[[#This Row],[Plant-ILN-shipper-POL-Carrier-POD-PFI]])=1,"Non","Oui")</f>
        <v>Non</v>
      </c>
      <c r="K33" s="128" t="str">
        <f>VLOOKUP(Tableau1[[#This Row],[Name Site]],Plant_AILN!A:D,4,FALSE)</f>
        <v>BRAZIL</v>
      </c>
      <c r="L33" s="411" t="s">
        <v>174</v>
      </c>
      <c r="M33" s="439">
        <f>VLOOKUP(Tableau1[[#This Row],[Name Site]],Plant_AILN!A:C,3,FALSE)</f>
        <v>90018600</v>
      </c>
      <c r="N33" s="55">
        <f>IF(Tableau1[[#This Row],[Name PFI/CDD]]="PFI VLL",2,VLOOKUP(Tableau1[[#This Row],[Compte Consignee]],Order!C:D,2,FALSE))</f>
        <v>7</v>
      </c>
      <c r="O33" s="116" t="s">
        <v>149</v>
      </c>
      <c r="P33" s="365">
        <f>VLOOKUP(Tableau1[[#This Row],[Name ILN]],Plant_AILN!F:G,2,FALSE)</f>
        <v>2533780546</v>
      </c>
      <c r="Q33" s="50">
        <f>VLOOKUP(Tableau1[[#This Row],[Compte ILN]],'DATA ILN'!D:I,6,FALSE)</f>
        <v>9</v>
      </c>
      <c r="R33" s="50">
        <f ca="1">IFERROR(VLOOKUP(Tableau1[[#This Row],[Key(Compte ILN - shipper - POL - plant)]],'DATA ILN'!A:J,10,FALSE),VLOOKUP(Tableau1[[#This Row],[Key(Compte ILN - shipper - POL)]],'DATA ILN'!B:J,9,FALSE))</f>
        <v>14</v>
      </c>
      <c r="S33" s="50">
        <f ca="1">IFERROR(VLOOKUP(Tableau1[[#This Row],[Key(Compte ILN - shipper - POL - plant)]],'DATA ILN'!A:K,11,FALSE),VLOOKUP(Tableau1[[#This Row],[Key(Compte ILN - shipper - POL)]],'DATA ILN'!B:K,10,FALSE))</f>
        <v>5</v>
      </c>
      <c r="T33" s="50">
        <f ca="1">IFERROR(VLOOKUP(Tableau1[[#This Row],[Key(Compte ILN - shipper - POL - plant)]],'DATA ILN'!A:L,12,FALSE),VLOOKUP(Tableau1[[#This Row],[Key(Compte ILN - shipper - POL)]],'DATA ILN'!B:L,11,FALSE))</f>
        <v>7</v>
      </c>
      <c r="U33" s="50">
        <f ca="1">Tableau1[[#This Row],[Day ILN Order]]+Tableau1[[#This Row],[Delivery time to ILN/Shipper]]-1</f>
        <v>22</v>
      </c>
      <c r="V33" s="50">
        <f ca="1">IFERROR(VLOOKUP(Tableau1[[#This Row],[Key(Compte ILN - shipper - POL - plant)]],'DATA ILN'!A:N,14,FALSE),VLOOKUP(Tableau1[[#This Row],[Key(Compte ILN - shipper - POL)]],'DATA ILN'!B:N,13,FALSE))</f>
        <v>2</v>
      </c>
      <c r="W33" s="53">
        <f ca="1">IFERROR(VLOOKUP(Tableau1[[#This Row],[Key(Compte ILN - shipper - POL - plant)]],'DATA ILN'!A:P,16,FALSE),VLOOKUP(Tableau1[[#This Row],[Key(Compte ILN - shipper - POL)]],'DATA ILN'!B:P,15,FALSE))</f>
        <v>4</v>
      </c>
      <c r="X33" s="284" t="s">
        <v>149</v>
      </c>
      <c r="Y33" s="437">
        <f>IFERROR(VLOOKUP(Tableau1[[#This Row],[Name Shipper]],Plant_AILN!L:M,2,FALSE),0)</f>
        <v>2533780546</v>
      </c>
      <c r="Z33" s="406">
        <v>925</v>
      </c>
      <c r="AA33" s="396" t="str">
        <f ca="1">VLOOKUP(Tableau1[[#This Row],[Key(ID-Actif)]],'DATA BTO'!A:N,5,FALSE)</f>
        <v>INKAT</v>
      </c>
      <c r="AB33" s="3" t="str">
        <f ca="1">VLOOKUP(Tableau1[[#This Row],[Key(ID-Actif)]],'DATA BTO'!A:N,6,FALSE)</f>
        <v>ONE</v>
      </c>
      <c r="AC33" s="50">
        <f ca="1">VLOOKUP(Tableau1[[#This Row],[Key(ID-Actif)]],'DATA BTO'!A:N,7,FALSE)</f>
        <v>5</v>
      </c>
      <c r="AD33" s="50">
        <f ca="1">VLOOKUP(Tableau1[[#This Row],[Key(ID-Actif)]],'DATA BTO'!A:N,8,FALSE)</f>
        <v>7</v>
      </c>
      <c r="AE33" s="50">
        <f ca="1">IF(Tableau1[[#This Row],[First Day to POL]]&lt;=Tableau1[[#This Row],[Day Cut Off]],Tableau1[[#This Row],[Day ETD]],Tableau1[[#This Row],[Day ETD]]+7)</f>
        <v>7</v>
      </c>
      <c r="AF33" s="50">
        <f ca="1">VLOOKUP(Tableau1[[#This Row],[Key(ID-Actif)]],'DATA BTO'!A:N,9,FALSE)</f>
        <v>40</v>
      </c>
      <c r="AG33" s="3" t="str">
        <f ca="1">VLOOKUP(Tableau1[[#This Row],[Key(ID-Actif)]],'DATA BTO'!A:N,10,FALSE)</f>
        <v>BRPNG</v>
      </c>
      <c r="AH33" s="3">
        <f ca="1">VLOOKUP(Tableau1[[#This Row],[Key(ID-Actif)]],'DATA BTO'!A:N,11,FALSE)</f>
        <v>3</v>
      </c>
      <c r="AI33" s="50">
        <f ca="1">VLOOKUP(Tableau1[[#This Row],[Key(ID-Actif)]],'DATA BTO'!A:N,12,FALSE)</f>
        <v>14</v>
      </c>
      <c r="AJ33" s="53" t="str">
        <f ca="1">VLOOKUP(Tableau1[[#This Row],[Key(ID-Actif)]],'DATA BTO'!A:N,14,FALSE)</f>
        <v>Marc-Aurele</v>
      </c>
      <c r="AK33" s="54">
        <f ca="1">VLOOKUP(Tableau1[[#This Row],[Key(POD -PFI- Usine)]],'DATA Consignee'!A:F,6,FALSE)</f>
        <v>2</v>
      </c>
      <c r="AL33" s="127"/>
      <c r="AM33" s="438" t="str">
        <f>IF(Tableau1[[#This Row],[Name PFI/CDD]]="","-",VLOOKUP(Tableau1[[#This Row],[Name PFI/CDD]],Plant_AILN!I:J,2,FALSE))</f>
        <v>-</v>
      </c>
      <c r="AN3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" s="2">
        <f ca="1">VLOOKUP(Tableau1[[#This Row],[Key(POD -PFI- Usine)]],'DATA Consignee'!A:J,10,FALSE)</f>
        <v>0</v>
      </c>
      <c r="AQ33" s="50">
        <f ca="1">VLOOKUP(Tableau1[[#This Row],[Key(POD -PFI- Usine)]],'DATA Consignee'!A:N,14,FALSE)</f>
        <v>2</v>
      </c>
      <c r="AR3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33" s="50">
        <f ca="1">Tableau1[[#This Row],[Transit time]]+Tableau1[[#This Row],[Time for security]]+Tableau1[[#This Row],[Time for security2 buffer]]</f>
        <v>57</v>
      </c>
      <c r="AU3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3" s="433">
        <f ca="1">Tableau1[[#This Row],[Leadtime SI2C]]+Tableau1[[#This Row],[First Receipt Days]]-Tableau1[[#This Row],[Day Customer Order]]+1</f>
        <v>92</v>
      </c>
      <c r="AW33" s="119">
        <f ca="1">IF(Tableau1[[#This Row],[Name ILN]]&lt;&gt;"SFK Freight Forwarder",Tableau1[[#This Row],[Cust. Leadtime]],Tableau1[[#This Row],[Leadtime SI2C]])</f>
        <v>92</v>
      </c>
      <c r="AX33" s="51" t="s">
        <v>144</v>
      </c>
      <c r="AY33" s="338">
        <f ca="1">IFERROR(VLOOKUP(Tableau1[[#This Row],[Key(ID-Actif)]],'DATA BTO'!A:N,4,FALSE),VLOOKUP(Tableau1[[#This Row],[ID]],'DATA BTO'!B:N,3,FALSE))</f>
        <v>46507</v>
      </c>
      <c r="AZ33" s="50" t="str">
        <f>IF(ISNUMBER(Tableau1[[#This Row],[Day Customer Order]]),"-","Please Check 'Name' information in 'Order' Sheet to make sure they have information")</f>
        <v>-</v>
      </c>
      <c r="BA3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" s="50"/>
    </row>
    <row r="34" spans="2:57">
      <c r="B34" s="474" t="str">
        <f>_xlfn.CONCAT(Tableau1[[#This Row],[Name ILN]],"-",Tableau1[[#This Row],[Name Shipper]],"-",Tableau1[[#This Row],[Name Site]])</f>
        <v>KWE Shanghai-KWE Shanghai-OYAK MEKA</v>
      </c>
      <c r="C34" s="67" t="str">
        <f ca="1">_xlfn.CONCAT(Tableau1[[#This Row],[Compte ILN]],"-",Tableau1[[#This Row],[Compte Shipper]],"-",Tableau1[[#This Row],[POL]],"-",Tableau1[[#This Row],[Compte Consignee]])</f>
        <v>26037000-26037000-CNSHA-90014400</v>
      </c>
      <c r="D34" s="66" t="str">
        <f ca="1">_xlfn.CONCAT(Tableau1[[#This Row],[Compte ILN]],"-",Tableau1[[#This Row],[Compte Shipper]],"-",Tableau1[[#This Row],[POL]])</f>
        <v>26037000-26037000-CNSHA</v>
      </c>
      <c r="E34" s="434" t="str">
        <f ca="1">_xlfn.CONCAT(Tableau1[[#This Row],[POL]],"-",Tableau1[[#This Row],[Carrier]],"-",Tableau1[[#This Row],[POD]])</f>
        <v>CNSHA-Hapag Lloyd-TRIZT</v>
      </c>
      <c r="F34" s="66" t="str">
        <f>_xlfn.CONCAT(Tableau1[[#This Row],[ID]],"-","Actif")</f>
        <v>927-Actif</v>
      </c>
      <c r="G34" s="66" t="str">
        <f ca="1">_xlfn.CONCAT(Tableau1[[#This Row],[POD]],"-",Tableau1[[#This Row],[Code PFI]],"-",Tableau1[[#This Row],[Compte Consignee]])</f>
        <v>TRIZT---90014400</v>
      </c>
      <c r="H34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ShanghaiCNSHAOYAK MEKA</v>
      </c>
      <c r="I3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MEKA-KWE Shanghai-KWE Shanghai-927-CNSHA-Hapag Lloyd-TRIZT-</v>
      </c>
      <c r="J34" s="435" t="str">
        <f ca="1">IF(COUNTIF(I:I,Tableau1[[#This Row],[Plant-ILN-shipper-POL-Carrier-POD-PFI]])=1,"Non","Oui")</f>
        <v>Non</v>
      </c>
      <c r="K34" s="128" t="str">
        <f>VLOOKUP(Tableau1[[#This Row],[Name Site]],Plant_AILN!A:D,4,FALSE)</f>
        <v>TURKEY</v>
      </c>
      <c r="L34" s="411" t="s">
        <v>165</v>
      </c>
      <c r="M34" s="439">
        <f>VLOOKUP(Tableau1[[#This Row],[Name Site]],Plant_AILN!A:C,3,FALSE)</f>
        <v>90014400</v>
      </c>
      <c r="N34" s="55">
        <f>IF(Tableau1[[#This Row],[Name PFI/CDD]]="PFI VLL",2,VLOOKUP(Tableau1[[#This Row],[Compte Consignee]],Order!C:D,2,FALSE))</f>
        <v>2</v>
      </c>
      <c r="O34" s="116" t="s">
        <v>62</v>
      </c>
      <c r="P34" s="365">
        <f>VLOOKUP(Tableau1[[#This Row],[Name ILN]],Plant_AILN!F:G,2,FALSE)</f>
        <v>26037000</v>
      </c>
      <c r="Q34" s="50">
        <f>VLOOKUP(Tableau1[[#This Row],[Compte ILN]],'DATA ILN'!D:I,6,FALSE)</f>
        <v>9</v>
      </c>
      <c r="R34" s="50">
        <f ca="1">IFERROR(VLOOKUP(Tableau1[[#This Row],[Key(Compte ILN - shipper - POL - plant)]],'DATA ILN'!A:J,10,FALSE),VLOOKUP(Tableau1[[#This Row],[Key(Compte ILN - shipper - POL)]],'DATA ILN'!B:J,9,FALSE))</f>
        <v>14</v>
      </c>
      <c r="S34" s="50">
        <f ca="1">IFERROR(VLOOKUP(Tableau1[[#This Row],[Key(Compte ILN - shipper - POL - plant)]],'DATA ILN'!A:K,11,FALSE),VLOOKUP(Tableau1[[#This Row],[Key(Compte ILN - shipper - POL)]],'DATA ILN'!B:K,10,FALSE))</f>
        <v>5</v>
      </c>
      <c r="T34" s="50">
        <f ca="1">IFERROR(VLOOKUP(Tableau1[[#This Row],[Key(Compte ILN - shipper - POL - plant)]],'DATA ILN'!A:L,12,FALSE),VLOOKUP(Tableau1[[#This Row],[Key(Compte ILN - shipper - POL)]],'DATA ILN'!B:L,11,FALSE))</f>
        <v>7</v>
      </c>
      <c r="U34" s="50">
        <f ca="1">Tableau1[[#This Row],[Day ILN Order]]+Tableau1[[#This Row],[Delivery time to ILN/Shipper]]-1</f>
        <v>22</v>
      </c>
      <c r="V34" s="50">
        <f ca="1">IFERROR(VLOOKUP(Tableau1[[#This Row],[Key(Compte ILN - shipper - POL - plant)]],'DATA ILN'!A:N,14,FALSE),VLOOKUP(Tableau1[[#This Row],[Key(Compte ILN - shipper - POL)]],'DATA ILN'!B:N,13,FALSE))</f>
        <v>1</v>
      </c>
      <c r="W34" s="53">
        <f ca="1">IFERROR(VLOOKUP(Tableau1[[#This Row],[Key(Compte ILN - shipper - POL - plant)]],'DATA ILN'!A:P,16,FALSE),VLOOKUP(Tableau1[[#This Row],[Key(Compte ILN - shipper - POL)]],'DATA ILN'!B:P,15,FALSE))</f>
        <v>2</v>
      </c>
      <c r="X34" s="284" t="s">
        <v>62</v>
      </c>
      <c r="Y34" s="437">
        <f>IFERROR(VLOOKUP(Tableau1[[#This Row],[Name Shipper]],Plant_AILN!L:M,2,FALSE),0)</f>
        <v>26037000</v>
      </c>
      <c r="Z34" s="406">
        <v>927</v>
      </c>
      <c r="AA34" s="396" t="str">
        <f ca="1">VLOOKUP(Tableau1[[#This Row],[Key(ID-Actif)]],'DATA BTO'!A:N,5,FALSE)</f>
        <v>CNSHA</v>
      </c>
      <c r="AB34" s="3" t="str">
        <f ca="1">VLOOKUP(Tableau1[[#This Row],[Key(ID-Actif)]],'DATA BTO'!A:N,6,FALSE)</f>
        <v>Hapag Lloyd</v>
      </c>
      <c r="AC34" s="50">
        <f ca="1">VLOOKUP(Tableau1[[#This Row],[Key(ID-Actif)]],'DATA BTO'!A:N,7,FALSE)</f>
        <v>2</v>
      </c>
      <c r="AD34" s="50">
        <f ca="1">VLOOKUP(Tableau1[[#This Row],[Key(ID-Actif)]],'DATA BTO'!A:N,8,FALSE)</f>
        <v>4</v>
      </c>
      <c r="AE34" s="50">
        <f ca="1">IF(Tableau1[[#This Row],[First Day to POL]]&lt;=Tableau1[[#This Row],[Day Cut Off]],Tableau1[[#This Row],[Day ETD]],Tableau1[[#This Row],[Day ETD]]+7)</f>
        <v>4</v>
      </c>
      <c r="AF34" s="50">
        <f ca="1">VLOOKUP(Tableau1[[#This Row],[Key(ID-Actif)]],'DATA BTO'!A:N,9,FALSE)</f>
        <v>46</v>
      </c>
      <c r="AG34" s="3" t="str">
        <f ca="1">VLOOKUP(Tableau1[[#This Row],[Key(ID-Actif)]],'DATA BTO'!A:N,10,FALSE)</f>
        <v>TRIZT</v>
      </c>
      <c r="AH34" s="3">
        <f ca="1">VLOOKUP(Tableau1[[#This Row],[Key(ID-Actif)]],'DATA BTO'!A:N,11,FALSE)</f>
        <v>3</v>
      </c>
      <c r="AI34" s="50">
        <f ca="1">VLOOKUP(Tableau1[[#This Row],[Key(ID-Actif)]],'DATA BTO'!A:N,12,FALSE)</f>
        <v>14</v>
      </c>
      <c r="AJ34" s="53" t="str">
        <f ca="1">VLOOKUP(Tableau1[[#This Row],[Key(ID-Actif)]],'DATA BTO'!A:N,14,FALSE)</f>
        <v>Marc-Aurele</v>
      </c>
      <c r="AK34" s="54">
        <f ca="1">VLOOKUP(Tableau1[[#This Row],[Key(POD -PFI- Usine)]],'DATA Consignee'!A:F,6,FALSE)</f>
        <v>4</v>
      </c>
      <c r="AL34" s="127"/>
      <c r="AM34" s="438" t="str">
        <f>IF(Tableau1[[#This Row],[Name PFI/CDD]]="","-",VLOOKUP(Tableau1[[#This Row],[Name PFI/CDD]],Plant_AILN!I:J,2,FALSE))</f>
        <v>-</v>
      </c>
      <c r="AN3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" s="2">
        <f ca="1">VLOOKUP(Tableau1[[#This Row],[Key(POD -PFI- Usine)]],'DATA Consignee'!A:J,10,FALSE)</f>
        <v>0</v>
      </c>
      <c r="AQ34" s="50">
        <f ca="1">VLOOKUP(Tableau1[[#This Row],[Key(POD -PFI- Usine)]],'DATA Consignee'!A:N,14,FALSE)</f>
        <v>3</v>
      </c>
      <c r="AR3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3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34" s="50">
        <f ca="1">Tableau1[[#This Row],[Transit time]]+Tableau1[[#This Row],[Time for security]]+Tableau1[[#This Row],[Time for security2 buffer]]</f>
        <v>63</v>
      </c>
      <c r="AU3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34" s="433">
        <f ca="1">Tableau1[[#This Row],[Leadtime SI2C]]+Tableau1[[#This Row],[First Receipt Days]]-Tableau1[[#This Row],[Day Customer Order]]+1</f>
        <v>104</v>
      </c>
      <c r="AW34" s="119">
        <f ca="1">IF(Tableau1[[#This Row],[Name ILN]]&lt;&gt;"SFK Freight Forwarder",Tableau1[[#This Row],[Cust. Leadtime]],Tableau1[[#This Row],[Leadtime SI2C]])</f>
        <v>104</v>
      </c>
      <c r="AX34" s="51" t="s">
        <v>144</v>
      </c>
      <c r="AY34" s="338">
        <f ca="1">IFERROR(VLOOKUP(Tableau1[[#This Row],[Key(ID-Actif)]],'DATA BTO'!A:N,4,FALSE),VLOOKUP(Tableau1[[#This Row],[ID]],'DATA BTO'!B:N,3,FALSE))</f>
        <v>46507</v>
      </c>
      <c r="AZ34" s="50" t="str">
        <f>IF(ISNUMBER(Tableau1[[#This Row],[Day Customer Order]]),"-","Please Check 'Name' information in 'Order' Sheet to make sure they have information")</f>
        <v>-</v>
      </c>
      <c r="BA3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" s="50"/>
    </row>
    <row r="35" spans="2:57" hidden="1">
      <c r="B35" s="67" t="str">
        <f>_xlfn.CONCAT(Tableau1[[#This Row],[Name ILN]],"-",Tableau1[[#This Row],[Name Shipper]],"-",Tableau1[[#This Row],[Name Site]])</f>
        <v>ILN VLL-ILN VLL-Curitiba CMO</v>
      </c>
      <c r="C35" s="67" t="str">
        <f ca="1">_xlfn.CONCAT(Tableau1[[#This Row],[Compte ILN]],"-",Tableau1[[#This Row],[Compte Shipper]],"-",Tableau1[[#This Row],[POL]],"-",Tableau1[[#This Row],[Compte Consignee]])</f>
        <v>91018400-91018400-ESVLC-90018600</v>
      </c>
      <c r="D35" s="66" t="str">
        <f ca="1">_xlfn.CONCAT(Tableau1[[#This Row],[Compte ILN]],"-",Tableau1[[#This Row],[Compte Shipper]],"-",Tableau1[[#This Row],[POL]])</f>
        <v>91018400-91018400-ESVLC</v>
      </c>
      <c r="E35" s="434" t="str">
        <f ca="1">_xlfn.CONCAT(Tableau1[[#This Row],[POL]],"-",Tableau1[[#This Row],[Carrier]],"-",Tableau1[[#This Row],[POD]])</f>
        <v>ESVLC-Hapag Lloyd-BRPNG</v>
      </c>
      <c r="F35" s="66" t="str">
        <f>_xlfn.CONCAT(Tableau1[[#This Row],[ID]],"-","Actif")</f>
        <v>928-Actif</v>
      </c>
      <c r="G35" s="66" t="str">
        <f ca="1">_xlfn.CONCAT(Tableau1[[#This Row],[POD]],"-",Tableau1[[#This Row],[Code PFI]],"-",Tableau1[[#This Row],[Compte Consignee]])</f>
        <v>BRPNG---90018600</v>
      </c>
      <c r="H35" s="434" t="str">
        <f ca="1">_xlfn.CONCAT(IF(Tableau1[[#This Row],[Name ILN]]=Tableau1[[#This Row],[Name Shipper]],Tableau1[[#This Row],[Name ILN]],Tableau1[[#This Row],[Compte Shipper]]),Tableau1[[#This Row],[POL]],Tableau1[[#This Row],[Name Site]])</f>
        <v>ILN VLLESVLCCuritiba CMO</v>
      </c>
      <c r="I3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VLL-ILN VLL-928-ESVLC-Hapag Lloyd-BRPNG-</v>
      </c>
      <c r="J35" s="435" t="str">
        <f ca="1">IF(COUNTIF(I:I,Tableau1[[#This Row],[Plant-ILN-shipper-POL-Carrier-POD-PFI]])=1,"Non","Oui")</f>
        <v>Non</v>
      </c>
      <c r="K35" s="440" t="str">
        <f>VLOOKUP(Tableau1[[#This Row],[Name Site]],Plant_AILN!A:D,4,FALSE)</f>
        <v>BRAZIL</v>
      </c>
      <c r="L35" s="10" t="s">
        <v>160</v>
      </c>
      <c r="M35" s="439">
        <f>VLOOKUP(Tableau1[[#This Row],[Name Site]],Plant_AILN!A:C,3,FALSE)</f>
        <v>90018600</v>
      </c>
      <c r="N35" s="55">
        <f>IF(Tableau1[[#This Row],[Name PFI/CDD]]="PFI VLL",2,VLOOKUP(Tableau1[[#This Row],[Compte Consignee]],Order!C:D,2,FALSE))</f>
        <v>7</v>
      </c>
      <c r="O35" s="116" t="s">
        <v>151</v>
      </c>
      <c r="P35" s="365">
        <f>VLOOKUP(Tableau1[[#This Row],[Name ILN]],Plant_AILN!F:G,2,FALSE)</f>
        <v>91018400</v>
      </c>
      <c r="Q35" s="50">
        <f>VLOOKUP(Tableau1[[#This Row],[Compte ILN]],'DATA ILN'!D:I,6,FALSE)</f>
        <v>9</v>
      </c>
      <c r="R35" s="50">
        <f ca="1">IFERROR(VLOOKUP(Tableau1[[#This Row],[Key(Compte ILN - shipper - POL - plant)]],'DATA ILN'!A:J,10,FALSE),VLOOKUP(Tableau1[[#This Row],[Key(Compte ILN - shipper - POL)]],'DATA ILN'!B:J,9,FALSE))</f>
        <v>7</v>
      </c>
      <c r="S35" s="50">
        <f ca="1">IFERROR(VLOOKUP(Tableau1[[#This Row],[Key(Compte ILN - shipper - POL - plant)]],'DATA ILN'!A:K,11,FALSE),VLOOKUP(Tableau1[[#This Row],[Key(Compte ILN - shipper - POL)]],'DATA ILN'!B:K,10,FALSE))</f>
        <v>5</v>
      </c>
      <c r="T35" s="50">
        <f ca="1">IFERROR(VLOOKUP(Tableau1[[#This Row],[Key(Compte ILN - shipper - POL - plant)]],'DATA ILN'!A:L,12,FALSE),VLOOKUP(Tableau1[[#This Row],[Key(Compte ILN - shipper - POL)]],'DATA ILN'!B:L,11,FALSE))</f>
        <v>7</v>
      </c>
      <c r="U35" s="50">
        <f ca="1">Tableau1[[#This Row],[Day ILN Order]]+Tableau1[[#This Row],[Delivery time to ILN/Shipper]]-1</f>
        <v>15</v>
      </c>
      <c r="V35" s="50">
        <f ca="1">IFERROR(VLOOKUP(Tableau1[[#This Row],[Key(Compte ILN - shipper - POL - plant)]],'DATA ILN'!A:N,14,FALSE),VLOOKUP(Tableau1[[#This Row],[Key(Compte ILN - shipper - POL)]],'DATA ILN'!B:N,13,FALSE))</f>
        <v>2</v>
      </c>
      <c r="W35" s="53">
        <f ca="1">IFERROR(VLOOKUP(Tableau1[[#This Row],[Key(Compte ILN - shipper - POL - plant)]],'DATA ILN'!A:P,16,FALSE),VLOOKUP(Tableau1[[#This Row],[Key(Compte ILN - shipper - POL)]],'DATA ILN'!B:P,15,FALSE))</f>
        <v>5</v>
      </c>
      <c r="X35" s="284" t="s">
        <v>151</v>
      </c>
      <c r="Y35" s="437">
        <f>IFERROR(VLOOKUP(Tableau1[[#This Row],[Name Shipper]],Plant_AILN!L:M,2,FALSE),0)</f>
        <v>91018400</v>
      </c>
      <c r="Z35" s="406">
        <v>928</v>
      </c>
      <c r="AA35" s="396" t="str">
        <f ca="1">VLOOKUP(Tableau1[[#This Row],[Key(ID-Actif)]],'DATA BTO'!A:N,5,FALSE)</f>
        <v>ESVLC</v>
      </c>
      <c r="AB35" s="3" t="str">
        <f ca="1">VLOOKUP(Tableau1[[#This Row],[Key(ID-Actif)]],'DATA BTO'!A:N,6,FALSE)</f>
        <v>Hapag Lloyd</v>
      </c>
      <c r="AC35" s="50">
        <f ca="1">VLOOKUP(Tableau1[[#This Row],[Key(ID-Actif)]],'DATA BTO'!A:N,7,FALSE)</f>
        <v>3</v>
      </c>
      <c r="AD35" s="50">
        <f ca="1">VLOOKUP(Tableau1[[#This Row],[Key(ID-Actif)]],'DATA BTO'!A:N,8,FALSE)</f>
        <v>5</v>
      </c>
      <c r="AE35" s="50">
        <f ca="1">IF(Tableau1[[#This Row],[First Day to POL]]&lt;=Tableau1[[#This Row],[Day Cut Off]],Tableau1[[#This Row],[Day ETD]],Tableau1[[#This Row],[Day ETD]]+7)</f>
        <v>12</v>
      </c>
      <c r="AF35" s="50">
        <f ca="1">VLOOKUP(Tableau1[[#This Row],[Key(ID-Actif)]],'DATA BTO'!A:N,9,FALSE)</f>
        <v>21</v>
      </c>
      <c r="AG35" s="3" t="str">
        <f ca="1">VLOOKUP(Tableau1[[#This Row],[Key(ID-Actif)]],'DATA BTO'!A:N,10,FALSE)</f>
        <v>BRPNG</v>
      </c>
      <c r="AH35" s="3">
        <f ca="1">VLOOKUP(Tableau1[[#This Row],[Key(ID-Actif)]],'DATA BTO'!A:N,11,FALSE)</f>
        <v>3</v>
      </c>
      <c r="AI35" s="50">
        <f ca="1">VLOOKUP(Tableau1[[#This Row],[Key(ID-Actif)]],'DATA BTO'!A:N,12,FALSE)</f>
        <v>7</v>
      </c>
      <c r="AJ35" s="53" t="str">
        <f ca="1">VLOOKUP(Tableau1[[#This Row],[Key(ID-Actif)]],'DATA BTO'!A:N,14,FALSE)</f>
        <v>Wael</v>
      </c>
      <c r="AK35" s="54">
        <f ca="1">VLOOKUP(Tableau1[[#This Row],[Key(POD -PFI- Usine)]],'DATA Consignee'!A:F,6,FALSE)</f>
        <v>2</v>
      </c>
      <c r="AL35" s="127"/>
      <c r="AM35" s="438" t="str">
        <f>IF(Tableau1[[#This Row],[Name PFI/CDD]]="","-",VLOOKUP(Tableau1[[#This Row],[Name PFI/CDD]],Plant_AILN!I:J,2,FALSE))</f>
        <v>-</v>
      </c>
      <c r="AN3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" s="2">
        <f ca="1">VLOOKUP(Tableau1[[#This Row],[Key(POD -PFI- Usine)]],'DATA Consignee'!A:J,10,FALSE)</f>
        <v>0</v>
      </c>
      <c r="AQ35" s="50">
        <f ca="1">VLOOKUP(Tableau1[[#This Row],[Key(POD -PFI- Usine)]],'DATA Consignee'!A:N,14,FALSE)</f>
        <v>2</v>
      </c>
      <c r="AR3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35" s="50">
        <f ca="1">Tableau1[[#This Row],[Transit time]]+Tableau1[[#This Row],[Time for security]]+Tableau1[[#This Row],[Time for security2 buffer]]</f>
        <v>31</v>
      </c>
      <c r="AU3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35" s="433">
        <f ca="1">Tableau1[[#This Row],[Leadtime SI2C]]+Tableau1[[#This Row],[First Receipt Days]]-Tableau1[[#This Row],[Day Customer Order]]+1</f>
        <v>64</v>
      </c>
      <c r="AW35" s="119">
        <f ca="1">IF(Tableau1[[#This Row],[Name ILN]]&lt;&gt;"SFK Freight Forwarder",Tableau1[[#This Row],[Cust. Leadtime]],Tableau1[[#This Row],[Leadtime SI2C]])</f>
        <v>64</v>
      </c>
      <c r="AX35" s="51" t="s">
        <v>144</v>
      </c>
      <c r="AY35" s="338">
        <f ca="1">IFERROR(VLOOKUP(Tableau1[[#This Row],[Key(ID-Actif)]],'DATA BTO'!A:N,4,FALSE),VLOOKUP(Tableau1[[#This Row],[ID]],'DATA BTO'!B:N,3,FALSE))</f>
        <v>46507</v>
      </c>
      <c r="AZ35" s="50" t="str">
        <f>IF(ISNUMBER(Tableau1[[#This Row],[Day Customer Order]]),"-","Please Check 'Name' information in 'Order' Sheet to make sure they have information")</f>
        <v>-</v>
      </c>
      <c r="BA3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" s="50"/>
    </row>
    <row r="36" spans="2:57" hidden="1">
      <c r="B36" s="67" t="str">
        <f>_xlfn.CONCAT(Tableau1[[#This Row],[Name ILN]],"-",Tableau1[[#This Row],[Name Shipper]],"-",Tableau1[[#This Row],[Name Site]])</f>
        <v>KWE Shanghai-KWE Shanghai-CACIA</v>
      </c>
      <c r="C36" s="67" t="str">
        <f ca="1">_xlfn.CONCAT(Tableau1[[#This Row],[Compte ILN]],"-",Tableau1[[#This Row],[Compte Shipper]],"-",Tableau1[[#This Row],[POL]],"-",Tableau1[[#This Row],[Compte Consignee]])</f>
        <v>26037000-26037000-CNSHA-90016500</v>
      </c>
      <c r="D36" s="66" t="str">
        <f ca="1">_xlfn.CONCAT(Tableau1[[#This Row],[Compte ILN]],"-",Tableau1[[#This Row],[Compte Shipper]],"-",Tableau1[[#This Row],[POL]])</f>
        <v>26037000-26037000-CNSHA</v>
      </c>
      <c r="E36" s="434" t="str">
        <f ca="1">_xlfn.CONCAT(Tableau1[[#This Row],[POL]],"-",Tableau1[[#This Row],[Carrier]],"-",Tableau1[[#This Row],[POD]])</f>
        <v>CNSHA-Hapag Lloyd-ESVLC</v>
      </c>
      <c r="F36" s="66" t="str">
        <f>_xlfn.CONCAT(Tableau1[[#This Row],[ID]],"-","Actif")</f>
        <v>930-Actif</v>
      </c>
      <c r="G36" s="66" t="str">
        <f ca="1">_xlfn.CONCAT(Tableau1[[#This Row],[POD]],"-",Tableau1[[#This Row],[Code PFI]],"-",Tableau1[[#This Row],[Compte Consignee]])</f>
        <v>ESVLC-91018400-90016500</v>
      </c>
      <c r="H36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ShanghaiCNSHACACIA</v>
      </c>
      <c r="I3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CACIA-KWE Shanghai-KWE Shanghai-930-CNSHA-Hapag Lloyd-ESVLC-PFI VLL</v>
      </c>
      <c r="J36" s="435" t="str">
        <f ca="1">IF(COUNTIF(I:I,Tableau1[[#This Row],[Plant-ILN-shipper-POL-Carrier-POD-PFI]])=1,"Non","Oui")</f>
        <v>Non</v>
      </c>
      <c r="K36" s="440" t="str">
        <f>VLOOKUP(Tableau1[[#This Row],[Name Site]],Plant_AILN!A:D,4,FALSE)</f>
        <v>PORTUGAL</v>
      </c>
      <c r="L36" s="10" t="s">
        <v>170</v>
      </c>
      <c r="M36" s="439">
        <f>VLOOKUP(Tableau1[[#This Row],[Name Site]],Plant_AILN!A:C,3,FALSE)</f>
        <v>90016500</v>
      </c>
      <c r="N36" s="55">
        <f>IF(Tableau1[[#This Row],[Name PFI/CDD]]="PFI VLL",2,VLOOKUP(Tableau1[[#This Row],[Compte Consignee]],Order!C:D,2,FALSE))</f>
        <v>2</v>
      </c>
      <c r="O36" s="116" t="s">
        <v>62</v>
      </c>
      <c r="P36" s="365">
        <f>VLOOKUP(Tableau1[[#This Row],[Name ILN]],Plant_AILN!F:G,2,FALSE)</f>
        <v>26037000</v>
      </c>
      <c r="Q36" s="50">
        <f>VLOOKUP(Tableau1[[#This Row],[Compte ILN]],'DATA ILN'!D:I,6,FALSE)</f>
        <v>9</v>
      </c>
      <c r="R36" s="50">
        <f ca="1">IFERROR(VLOOKUP(Tableau1[[#This Row],[Key(Compte ILN - shipper - POL - plant)]],'DATA ILN'!A:J,10,FALSE),VLOOKUP(Tableau1[[#This Row],[Key(Compte ILN - shipper - POL)]],'DATA ILN'!B:J,9,FALSE))</f>
        <v>14</v>
      </c>
      <c r="S36" s="50">
        <f ca="1">IFERROR(VLOOKUP(Tableau1[[#This Row],[Key(Compte ILN - shipper - POL - plant)]],'DATA ILN'!A:K,11,FALSE),VLOOKUP(Tableau1[[#This Row],[Key(Compte ILN - shipper - POL)]],'DATA ILN'!B:K,10,FALSE))</f>
        <v>5</v>
      </c>
      <c r="T36" s="50">
        <f ca="1">IFERROR(VLOOKUP(Tableau1[[#This Row],[Key(Compte ILN - shipper - POL - plant)]],'DATA ILN'!A:L,12,FALSE),VLOOKUP(Tableau1[[#This Row],[Key(Compte ILN - shipper - POL)]],'DATA ILN'!B:L,11,FALSE))</f>
        <v>7</v>
      </c>
      <c r="U36" s="50">
        <f ca="1">Tableau1[[#This Row],[Day ILN Order]]+Tableau1[[#This Row],[Delivery time to ILN/Shipper]]-1</f>
        <v>22</v>
      </c>
      <c r="V36" s="50">
        <f ca="1">IFERROR(VLOOKUP(Tableau1[[#This Row],[Key(Compte ILN - shipper - POL - plant)]],'DATA ILN'!A:N,14,FALSE),VLOOKUP(Tableau1[[#This Row],[Key(Compte ILN - shipper - POL)]],'DATA ILN'!B:N,13,FALSE))</f>
        <v>1</v>
      </c>
      <c r="W36" s="53">
        <f ca="1">IFERROR(VLOOKUP(Tableau1[[#This Row],[Key(Compte ILN - shipper - POL - plant)]],'DATA ILN'!A:P,16,FALSE),VLOOKUP(Tableau1[[#This Row],[Key(Compte ILN - shipper - POL)]],'DATA ILN'!B:P,15,FALSE))</f>
        <v>2</v>
      </c>
      <c r="X36" s="284" t="s">
        <v>62</v>
      </c>
      <c r="Y36" s="437">
        <f>IFERROR(VLOOKUP(Tableau1[[#This Row],[Name Shipper]],Plant_AILN!L:M,2,FALSE),0)</f>
        <v>26037000</v>
      </c>
      <c r="Z36" s="406">
        <v>930</v>
      </c>
      <c r="AA36" s="396" t="str">
        <f ca="1">VLOOKUP(Tableau1[[#This Row],[Key(ID-Actif)]],'DATA BTO'!A:N,5,FALSE)</f>
        <v>CNSHA</v>
      </c>
      <c r="AB36" s="3" t="str">
        <f ca="1">VLOOKUP(Tableau1[[#This Row],[Key(ID-Actif)]],'DATA BTO'!A:N,6,FALSE)</f>
        <v>Hapag Lloyd</v>
      </c>
      <c r="AC36" s="50">
        <f ca="1">VLOOKUP(Tableau1[[#This Row],[Key(ID-Actif)]],'DATA BTO'!A:N,7,FALSE)</f>
        <v>7</v>
      </c>
      <c r="AD36" s="50">
        <f ca="1">VLOOKUP(Tableau1[[#This Row],[Key(ID-Actif)]],'DATA BTO'!A:N,8,FALSE)</f>
        <v>9</v>
      </c>
      <c r="AE36" s="50">
        <f ca="1">IF(Tableau1[[#This Row],[First Day to POL]]&lt;=Tableau1[[#This Row],[Day Cut Off]],Tableau1[[#This Row],[Day ETD]],Tableau1[[#This Row],[Day ETD]]+7)</f>
        <v>9</v>
      </c>
      <c r="AF36" s="50">
        <f ca="1">VLOOKUP(Tableau1[[#This Row],[Key(ID-Actif)]],'DATA BTO'!A:N,9,FALSE)</f>
        <v>40</v>
      </c>
      <c r="AG36" s="3" t="str">
        <f ca="1">VLOOKUP(Tableau1[[#This Row],[Key(ID-Actif)]],'DATA BTO'!A:N,10,FALSE)</f>
        <v>ESVLC</v>
      </c>
      <c r="AH36" s="3">
        <f ca="1">VLOOKUP(Tableau1[[#This Row],[Key(ID-Actif)]],'DATA BTO'!A:N,11,FALSE)</f>
        <v>3</v>
      </c>
      <c r="AI36" s="50">
        <f ca="1">VLOOKUP(Tableau1[[#This Row],[Key(ID-Actif)]],'DATA BTO'!A:N,12,FALSE)</f>
        <v>7</v>
      </c>
      <c r="AJ36" s="53" t="str">
        <f ca="1">VLOOKUP(Tableau1[[#This Row],[Key(ID-Actif)]],'DATA BTO'!A:N,14,FALSE)</f>
        <v>Marc-Aurele</v>
      </c>
      <c r="AK36" s="54">
        <f ca="1">VLOOKUP(Tableau1[[#This Row],[Key(POD -PFI- Usine)]],'DATA Consignee'!A:F,6,FALSE)</f>
        <v>3</v>
      </c>
      <c r="AL36" s="127" t="s">
        <v>171</v>
      </c>
      <c r="AM36" s="438">
        <f>IF(Tableau1[[#This Row],[Name PFI/CDD]]="","-",VLOOKUP(Tableau1[[#This Row],[Name PFI/CDD]],Plant_AILN!I:J,2,FALSE))</f>
        <v>91018400</v>
      </c>
      <c r="AN36" s="6">
        <f ca="1">IF(COUNTIF(buffer_train[AILN],Tableau1[[#This Row],[Name PFI/CDD]])&gt;0,Tableau1[[#This Row],[First Receipt Days]]+Tableau1[[#This Row],[Cust.]]+Tableau1[[#This Row],[Parts Vanning]]+Tableau1[[#This Row],[Transit Time2]],"-")</f>
        <v>89</v>
      </c>
      <c r="AO36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36" s="2">
        <f ca="1">VLOOKUP(Tableau1[[#This Row],[Key(POD -PFI- Usine)]],'DATA Consignee'!A:J,10,FALSE)</f>
        <v>3</v>
      </c>
      <c r="AQ36" s="50">
        <f ca="1">VLOOKUP(Tableau1[[#This Row],[Key(POD -PFI- Usine)]],'DATA Consignee'!A:N,14,FALSE)</f>
        <v>4</v>
      </c>
      <c r="AR3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3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36" s="50">
        <f ca="1">Tableau1[[#This Row],[Transit time]]+Tableau1[[#This Row],[Time for security]]+Tableau1[[#This Row],[Time for security2 buffer]]</f>
        <v>50</v>
      </c>
      <c r="AU3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36" s="433">
        <f ca="1">Tableau1[[#This Row],[Leadtime SI2C]]+Tableau1[[#This Row],[First Receipt Days]]-Tableau1[[#This Row],[Day Customer Order]]+1</f>
        <v>104</v>
      </c>
      <c r="AW36" s="119">
        <f ca="1">IF(Tableau1[[#This Row],[Name ILN]]&lt;&gt;"SFK Freight Forwarder",Tableau1[[#This Row],[Cust. Leadtime]],Tableau1[[#This Row],[Leadtime SI2C]])</f>
        <v>104</v>
      </c>
      <c r="AX36" s="51" t="s">
        <v>144</v>
      </c>
      <c r="AY36" s="338">
        <f ca="1">IFERROR(VLOOKUP(Tableau1[[#This Row],[Key(ID-Actif)]],'DATA BTO'!A:N,4,FALSE),VLOOKUP(Tableau1[[#This Row],[ID]],'DATA BTO'!B:N,3,FALSE))</f>
        <v>46507</v>
      </c>
      <c r="AZ36" s="50" t="str">
        <f>IF(ISNUMBER(Tableau1[[#This Row],[Day Customer Order]]),"-","Please Check 'Name' information in 'Order' Sheet to make sure they have information")</f>
        <v>-</v>
      </c>
      <c r="BA3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" s="50"/>
    </row>
    <row r="37" spans="2:57" hidden="1">
      <c r="B37" s="67" t="str">
        <f>_xlfn.CONCAT(Tableau1[[#This Row],[Name ILN]],"-",Tableau1[[#This Row],[Name Shipper]],"-",Tableau1[[#This Row],[Name Site]])</f>
        <v>KWE Shanghai-KWE Shanghai-MOTORES</v>
      </c>
      <c r="C37" s="67" t="str">
        <f ca="1">_xlfn.CONCAT(Tableau1[[#This Row],[Compte ILN]],"-",Tableau1[[#This Row],[Compte Shipper]],"-",Tableau1[[#This Row],[POL]],"-",Tableau1[[#This Row],[Compte Consignee]])</f>
        <v>26037000-26037000-CNSHA-91017700</v>
      </c>
      <c r="D37" s="66" t="str">
        <f ca="1">_xlfn.CONCAT(Tableau1[[#This Row],[Compte ILN]],"-",Tableau1[[#This Row],[Compte Shipper]],"-",Tableau1[[#This Row],[POL]])</f>
        <v>26037000-26037000-CNSHA</v>
      </c>
      <c r="E37" s="434" t="str">
        <f ca="1">_xlfn.CONCAT(Tableau1[[#This Row],[POL]],"-",Tableau1[[#This Row],[Carrier]],"-",Tableau1[[#This Row],[POD]])</f>
        <v>CNSHA-Hapag Lloyd-ESVLC</v>
      </c>
      <c r="F37" s="66" t="str">
        <f>_xlfn.CONCAT(Tableau1[[#This Row],[ID]],"-","Actif")</f>
        <v>930-Actif</v>
      </c>
      <c r="G37" s="66" t="str">
        <f ca="1">_xlfn.CONCAT(Tableau1[[#This Row],[POD]],"-",Tableau1[[#This Row],[Code PFI]],"-",Tableau1[[#This Row],[Compte Consignee]])</f>
        <v>ESVLC-91018400-91017700</v>
      </c>
      <c r="H37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ShanghaiCNSHAMOTORES</v>
      </c>
      <c r="I3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MOTORES-KWE Shanghai-KWE Shanghai-930-CNSHA-Hapag Lloyd-ESVLC-CDD VLL</v>
      </c>
      <c r="J37" s="435" t="str">
        <f ca="1">IF(COUNTIF(I:I,Tableau1[[#This Row],[Plant-ILN-shipper-POL-Carrier-POD-PFI]])=1,"Non","Oui")</f>
        <v>Non</v>
      </c>
      <c r="K37" s="440" t="str">
        <f>VLOOKUP(Tableau1[[#This Row],[Name Site]],Plant_AILN!A:D,4,FALSE)</f>
        <v>SPAIN</v>
      </c>
      <c r="L37" s="10" t="s">
        <v>63</v>
      </c>
      <c r="M37" s="439">
        <f>VLOOKUP(Tableau1[[#This Row],[Name Site]],Plant_AILN!A:C,3,FALSE)</f>
        <v>91017700</v>
      </c>
      <c r="N37" s="55">
        <f>IF(Tableau1[[#This Row],[Name PFI/CDD]]="PFI VLL",2,VLOOKUP(Tableau1[[#This Row],[Compte Consignee]],Order!C:D,2,FALSE))</f>
        <v>7</v>
      </c>
      <c r="O37" s="116" t="s">
        <v>62</v>
      </c>
      <c r="P37" s="365">
        <f>VLOOKUP(Tableau1[[#This Row],[Name ILN]],Plant_AILN!F:G,2,FALSE)</f>
        <v>26037000</v>
      </c>
      <c r="Q37" s="50">
        <f>VLOOKUP(Tableau1[[#This Row],[Compte ILN]],'DATA ILN'!D:I,6,FALSE)</f>
        <v>9</v>
      </c>
      <c r="R37" s="50">
        <f ca="1">IFERROR(VLOOKUP(Tableau1[[#This Row],[Key(Compte ILN - shipper - POL - plant)]],'DATA ILN'!A:J,10,FALSE),VLOOKUP(Tableau1[[#This Row],[Key(Compte ILN - shipper - POL)]],'DATA ILN'!B:J,9,FALSE))</f>
        <v>14</v>
      </c>
      <c r="S37" s="50">
        <f ca="1">IFERROR(VLOOKUP(Tableau1[[#This Row],[Key(Compte ILN - shipper - POL - plant)]],'DATA ILN'!A:K,11,FALSE),VLOOKUP(Tableau1[[#This Row],[Key(Compte ILN - shipper - POL)]],'DATA ILN'!B:K,10,FALSE))</f>
        <v>5</v>
      </c>
      <c r="T37" s="50">
        <f ca="1">IFERROR(VLOOKUP(Tableau1[[#This Row],[Key(Compte ILN - shipper - POL - plant)]],'DATA ILN'!A:L,12,FALSE),VLOOKUP(Tableau1[[#This Row],[Key(Compte ILN - shipper - POL)]],'DATA ILN'!B:L,11,FALSE))</f>
        <v>7</v>
      </c>
      <c r="U37" s="50">
        <f ca="1">Tableau1[[#This Row],[Day ILN Order]]+Tableau1[[#This Row],[Delivery time to ILN/Shipper]]-1</f>
        <v>22</v>
      </c>
      <c r="V37" s="50">
        <f ca="1">IFERROR(VLOOKUP(Tableau1[[#This Row],[Key(Compte ILN - shipper - POL - plant)]],'DATA ILN'!A:N,14,FALSE),VLOOKUP(Tableau1[[#This Row],[Key(Compte ILN - shipper - POL)]],'DATA ILN'!B:N,13,FALSE))</f>
        <v>1</v>
      </c>
      <c r="W37" s="53">
        <f ca="1">IFERROR(VLOOKUP(Tableau1[[#This Row],[Key(Compte ILN - shipper - POL - plant)]],'DATA ILN'!A:P,16,FALSE),VLOOKUP(Tableau1[[#This Row],[Key(Compte ILN - shipper - POL)]],'DATA ILN'!B:P,15,FALSE))</f>
        <v>2</v>
      </c>
      <c r="X37" s="284" t="s">
        <v>62</v>
      </c>
      <c r="Y37" s="437">
        <f>IFERROR(VLOOKUP(Tableau1[[#This Row],[Name Shipper]],Plant_AILN!L:M,2,FALSE),0)</f>
        <v>26037000</v>
      </c>
      <c r="Z37" s="406">
        <v>930</v>
      </c>
      <c r="AA37" s="396" t="str">
        <f ca="1">VLOOKUP(Tableau1[[#This Row],[Key(ID-Actif)]],'DATA BTO'!A:N,5,FALSE)</f>
        <v>CNSHA</v>
      </c>
      <c r="AB37" s="3" t="str">
        <f ca="1">VLOOKUP(Tableau1[[#This Row],[Key(ID-Actif)]],'DATA BTO'!A:N,6,FALSE)</f>
        <v>Hapag Lloyd</v>
      </c>
      <c r="AC37" s="50">
        <f ca="1">VLOOKUP(Tableau1[[#This Row],[Key(ID-Actif)]],'DATA BTO'!A:N,7,FALSE)</f>
        <v>7</v>
      </c>
      <c r="AD37" s="50">
        <f ca="1">VLOOKUP(Tableau1[[#This Row],[Key(ID-Actif)]],'DATA BTO'!A:N,8,FALSE)</f>
        <v>9</v>
      </c>
      <c r="AE37" s="50">
        <f ca="1">IF(Tableau1[[#This Row],[First Day to POL]]&lt;=Tableau1[[#This Row],[Day Cut Off]],Tableau1[[#This Row],[Day ETD]],Tableau1[[#This Row],[Day ETD]]+7)</f>
        <v>9</v>
      </c>
      <c r="AF37" s="50">
        <f ca="1">VLOOKUP(Tableau1[[#This Row],[Key(ID-Actif)]],'DATA BTO'!A:N,9,FALSE)</f>
        <v>40</v>
      </c>
      <c r="AG37" s="3" t="str">
        <f ca="1">VLOOKUP(Tableau1[[#This Row],[Key(ID-Actif)]],'DATA BTO'!A:N,10,FALSE)</f>
        <v>ESVLC</v>
      </c>
      <c r="AH37" s="3">
        <f ca="1">VLOOKUP(Tableau1[[#This Row],[Key(ID-Actif)]],'DATA BTO'!A:N,11,FALSE)</f>
        <v>3</v>
      </c>
      <c r="AI37" s="50">
        <f ca="1">VLOOKUP(Tableau1[[#This Row],[Key(ID-Actif)]],'DATA BTO'!A:N,12,FALSE)</f>
        <v>7</v>
      </c>
      <c r="AJ37" s="53" t="str">
        <f ca="1">VLOOKUP(Tableau1[[#This Row],[Key(ID-Actif)]],'DATA BTO'!A:N,14,FALSE)</f>
        <v>Marc-Aurele</v>
      </c>
      <c r="AK37" s="54">
        <f ca="1">VLOOKUP(Tableau1[[#This Row],[Key(POD -PFI- Usine)]],'DATA Consignee'!A:F,6,FALSE)</f>
        <v>2</v>
      </c>
      <c r="AL37" s="127" t="s">
        <v>169</v>
      </c>
      <c r="AM37" s="438">
        <f>IF(Tableau1[[#This Row],[Name PFI/CDD]]="","-",VLOOKUP(Tableau1[[#This Row],[Name PFI/CDD]],Plant_AILN!I:J,2,FALSE))</f>
        <v>91018400</v>
      </c>
      <c r="AN37" s="6">
        <f ca="1">IF(COUNTIF(buffer_train[AILN],Tableau1[[#This Row],[Name PFI/CDD]])&gt;0,Tableau1[[#This Row],[First Receipt Days]]+Tableau1[[#This Row],[Cust.]]+Tableau1[[#This Row],[Parts Vanning]]+Tableau1[[#This Row],[Transit Time2]],"-")</f>
        <v>88</v>
      </c>
      <c r="AO37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4</v>
      </c>
      <c r="AP37" s="2">
        <f ca="1">VLOOKUP(Tableau1[[#This Row],[Key(POD -PFI- Usine)]],'DATA Consignee'!A:J,10,FALSE)</f>
        <v>3</v>
      </c>
      <c r="AQ37" s="50">
        <f ca="1">VLOOKUP(Tableau1[[#This Row],[Key(POD -PFI- Usine)]],'DATA Consignee'!A:N,14,FALSE)</f>
        <v>3</v>
      </c>
      <c r="AR3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37" s="50">
        <f ca="1">Tableau1[[#This Row],[Transit time]]+Tableau1[[#This Row],[Time for security]]+Tableau1[[#This Row],[Time for security2 buffer]]</f>
        <v>50</v>
      </c>
      <c r="AU3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7" s="433">
        <f ca="1">Tableau1[[#This Row],[Leadtime SI2C]]+Tableau1[[#This Row],[First Receipt Days]]-Tableau1[[#This Row],[Day Customer Order]]+1</f>
        <v>92</v>
      </c>
      <c r="AW37" s="119">
        <f ca="1">IF(Tableau1[[#This Row],[Name ILN]]&lt;&gt;"SFK Freight Forwarder",Tableau1[[#This Row],[Cust. Leadtime]],Tableau1[[#This Row],[Leadtime SI2C]])</f>
        <v>92</v>
      </c>
      <c r="AX37" s="51" t="s">
        <v>144</v>
      </c>
      <c r="AY37" s="338">
        <f ca="1">IFERROR(VLOOKUP(Tableau1[[#This Row],[Key(ID-Actif)]],'DATA BTO'!A:N,4,FALSE),VLOOKUP(Tableau1[[#This Row],[ID]],'DATA BTO'!B:N,3,FALSE))</f>
        <v>46507</v>
      </c>
      <c r="AZ37" s="50" t="str">
        <f>IF(ISNUMBER(Tableau1[[#This Row],[Day Customer Order]]),"-","Please Check 'Name' information in 'Order' Sheet to make sure they have information")</f>
        <v>-</v>
      </c>
      <c r="BA3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" s="50"/>
    </row>
    <row r="38" spans="2:57" hidden="1">
      <c r="B38" s="67" t="str">
        <f>_xlfn.CONCAT(Tableau1[[#This Row],[Name ILN]],"-",Tableau1[[#This Row],[Name Shipper]],"-",Tableau1[[#This Row],[Name Site]])</f>
        <v>KWE Shanghai-KWE Shanghai-VALL MONTAGE</v>
      </c>
      <c r="C38" s="67" t="str">
        <f ca="1">_xlfn.CONCAT(Tableau1[[#This Row],[Compte ILN]],"-",Tableau1[[#This Row],[Compte Shipper]],"-",Tableau1[[#This Row],[POL]],"-",Tableau1[[#This Row],[Compte Consignee]])</f>
        <v>26037000-26037000-CNSHA-91017300</v>
      </c>
      <c r="D38" s="66" t="str">
        <f ca="1">_xlfn.CONCAT(Tableau1[[#This Row],[Compte ILN]],"-",Tableau1[[#This Row],[Compte Shipper]],"-",Tableau1[[#This Row],[POL]])</f>
        <v>26037000-26037000-CNSHA</v>
      </c>
      <c r="E38" s="434" t="str">
        <f ca="1">_xlfn.CONCAT(Tableau1[[#This Row],[POL]],"-",Tableau1[[#This Row],[Carrier]],"-",Tableau1[[#This Row],[POD]])</f>
        <v>CNSHA-Hapag Lloyd-ESVLC</v>
      </c>
      <c r="F38" s="66" t="str">
        <f>_xlfn.CONCAT(Tableau1[[#This Row],[ID]],"-","Actif")</f>
        <v>930-Actif</v>
      </c>
      <c r="G38" s="66" t="str">
        <f ca="1">_xlfn.CONCAT(Tableau1[[#This Row],[POD]],"-",Tableau1[[#This Row],[Code PFI]],"-",Tableau1[[#This Row],[Compte Consignee]])</f>
        <v>ESVLC-91018400-91017300</v>
      </c>
      <c r="H38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ShanghaiCNSHAVALL MONTAGE</v>
      </c>
      <c r="I3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MONTAGE-KWE Shanghai-KWE Shanghai-930-CNSHA-Hapag Lloyd-ESVLC-CDD VLL</v>
      </c>
      <c r="J38" s="435" t="str">
        <f ca="1">IF(COUNTIF(I:I,Tableau1[[#This Row],[Plant-ILN-shipper-POL-Carrier-POD-PFI]])=1,"Non","Oui")</f>
        <v>Non</v>
      </c>
      <c r="K38" s="440" t="str">
        <f>VLOOKUP(Tableau1[[#This Row],[Name Site]],Plant_AILN!A:D,4,FALSE)</f>
        <v>SPAIN</v>
      </c>
      <c r="L38" s="10" t="s">
        <v>175</v>
      </c>
      <c r="M38" s="439">
        <f>VLOOKUP(Tableau1[[#This Row],[Name Site]],Plant_AILN!A:C,3,FALSE)</f>
        <v>91017300</v>
      </c>
      <c r="N38" s="55">
        <f>IF(Tableau1[[#This Row],[Name PFI/CDD]]="PFI VLL",2,VLOOKUP(Tableau1[[#This Row],[Compte Consignee]],Order!C:D,2,FALSE))</f>
        <v>7</v>
      </c>
      <c r="O38" s="116" t="s">
        <v>62</v>
      </c>
      <c r="P38" s="365">
        <f>VLOOKUP(Tableau1[[#This Row],[Name ILN]],Plant_AILN!F:G,2,FALSE)</f>
        <v>26037000</v>
      </c>
      <c r="Q38" s="50">
        <f>VLOOKUP(Tableau1[[#This Row],[Compte ILN]],'DATA ILN'!D:I,6,FALSE)</f>
        <v>9</v>
      </c>
      <c r="R38" s="50">
        <f ca="1">IFERROR(VLOOKUP(Tableau1[[#This Row],[Key(Compte ILN - shipper - POL - plant)]],'DATA ILN'!A:J,10,FALSE),VLOOKUP(Tableau1[[#This Row],[Key(Compte ILN - shipper - POL)]],'DATA ILN'!B:J,9,FALSE))</f>
        <v>14</v>
      </c>
      <c r="S38" s="50">
        <f ca="1">IFERROR(VLOOKUP(Tableau1[[#This Row],[Key(Compte ILN - shipper - POL - plant)]],'DATA ILN'!A:K,11,FALSE),VLOOKUP(Tableau1[[#This Row],[Key(Compte ILN - shipper - POL)]],'DATA ILN'!B:K,10,FALSE))</f>
        <v>5</v>
      </c>
      <c r="T38" s="50">
        <f ca="1">IFERROR(VLOOKUP(Tableau1[[#This Row],[Key(Compte ILN - shipper - POL - plant)]],'DATA ILN'!A:L,12,FALSE),VLOOKUP(Tableau1[[#This Row],[Key(Compte ILN - shipper - POL)]],'DATA ILN'!B:L,11,FALSE))</f>
        <v>7</v>
      </c>
      <c r="U38" s="50">
        <f ca="1">Tableau1[[#This Row],[Day ILN Order]]+Tableau1[[#This Row],[Delivery time to ILN/Shipper]]-1</f>
        <v>22</v>
      </c>
      <c r="V38" s="50">
        <f ca="1">IFERROR(VLOOKUP(Tableau1[[#This Row],[Key(Compte ILN - shipper - POL - plant)]],'DATA ILN'!A:N,14,FALSE),VLOOKUP(Tableau1[[#This Row],[Key(Compte ILN - shipper - POL)]],'DATA ILN'!B:N,13,FALSE))</f>
        <v>1</v>
      </c>
      <c r="W38" s="53">
        <f ca="1">IFERROR(VLOOKUP(Tableau1[[#This Row],[Key(Compte ILN - shipper - POL - plant)]],'DATA ILN'!A:P,16,FALSE),VLOOKUP(Tableau1[[#This Row],[Key(Compte ILN - shipper - POL)]],'DATA ILN'!B:P,15,FALSE))</f>
        <v>2</v>
      </c>
      <c r="X38" s="284" t="s">
        <v>62</v>
      </c>
      <c r="Y38" s="437">
        <f>IFERROR(VLOOKUP(Tableau1[[#This Row],[Name Shipper]],Plant_AILN!L:M,2,FALSE),0)</f>
        <v>26037000</v>
      </c>
      <c r="Z38" s="406">
        <v>930</v>
      </c>
      <c r="AA38" s="396" t="str">
        <f ca="1">VLOOKUP(Tableau1[[#This Row],[Key(ID-Actif)]],'DATA BTO'!A:N,5,FALSE)</f>
        <v>CNSHA</v>
      </c>
      <c r="AB38" s="3" t="str">
        <f ca="1">VLOOKUP(Tableau1[[#This Row],[Key(ID-Actif)]],'DATA BTO'!A:N,6,FALSE)</f>
        <v>Hapag Lloyd</v>
      </c>
      <c r="AC38" s="50">
        <f ca="1">VLOOKUP(Tableau1[[#This Row],[Key(ID-Actif)]],'DATA BTO'!A:N,7,FALSE)</f>
        <v>7</v>
      </c>
      <c r="AD38" s="50">
        <f ca="1">VLOOKUP(Tableau1[[#This Row],[Key(ID-Actif)]],'DATA BTO'!A:N,8,FALSE)</f>
        <v>9</v>
      </c>
      <c r="AE38" s="50">
        <f ca="1">IF(Tableau1[[#This Row],[First Day to POL]]&lt;=Tableau1[[#This Row],[Day Cut Off]],Tableau1[[#This Row],[Day ETD]],Tableau1[[#This Row],[Day ETD]]+7)</f>
        <v>9</v>
      </c>
      <c r="AF38" s="50">
        <f ca="1">VLOOKUP(Tableau1[[#This Row],[Key(ID-Actif)]],'DATA BTO'!A:N,9,FALSE)</f>
        <v>40</v>
      </c>
      <c r="AG38" s="3" t="str">
        <f ca="1">VLOOKUP(Tableau1[[#This Row],[Key(ID-Actif)]],'DATA BTO'!A:N,10,FALSE)</f>
        <v>ESVLC</v>
      </c>
      <c r="AH38" s="3">
        <f ca="1">VLOOKUP(Tableau1[[#This Row],[Key(ID-Actif)]],'DATA BTO'!A:N,11,FALSE)</f>
        <v>3</v>
      </c>
      <c r="AI38" s="50">
        <f ca="1">VLOOKUP(Tableau1[[#This Row],[Key(ID-Actif)]],'DATA BTO'!A:N,12,FALSE)</f>
        <v>7</v>
      </c>
      <c r="AJ38" s="53" t="str">
        <f ca="1">VLOOKUP(Tableau1[[#This Row],[Key(ID-Actif)]],'DATA BTO'!A:N,14,FALSE)</f>
        <v>Marc-Aurele</v>
      </c>
      <c r="AK38" s="54">
        <f ca="1">VLOOKUP(Tableau1[[#This Row],[Key(POD -PFI- Usine)]],'DATA Consignee'!A:F,6,FALSE)</f>
        <v>2</v>
      </c>
      <c r="AL38" s="127" t="s">
        <v>169</v>
      </c>
      <c r="AM38" s="438">
        <f>IF(Tableau1[[#This Row],[Name PFI/CDD]]="","-",VLOOKUP(Tableau1[[#This Row],[Name PFI/CDD]],Plant_AILN!I:J,2,FALSE))</f>
        <v>91018400</v>
      </c>
      <c r="AN38" s="6">
        <f ca="1">IF(COUNTIF(buffer_train[AILN],Tableau1[[#This Row],[Name PFI/CDD]])&gt;0,Tableau1[[#This Row],[First Receipt Days]]+Tableau1[[#This Row],[Cust.]]+Tableau1[[#This Row],[Parts Vanning]]+Tableau1[[#This Row],[Transit Time2]],"-")</f>
        <v>88</v>
      </c>
      <c r="AO38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4</v>
      </c>
      <c r="AP38" s="2">
        <f ca="1">VLOOKUP(Tableau1[[#This Row],[Key(POD -PFI- Usine)]],'DATA Consignee'!A:J,10,FALSE)</f>
        <v>3</v>
      </c>
      <c r="AQ38" s="50">
        <f ca="1">VLOOKUP(Tableau1[[#This Row],[Key(POD -PFI- Usine)]],'DATA Consignee'!A:N,14,FALSE)</f>
        <v>3</v>
      </c>
      <c r="AR3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38" s="50">
        <f ca="1">Tableau1[[#This Row],[Transit time]]+Tableau1[[#This Row],[Time for security]]+Tableau1[[#This Row],[Time for security2 buffer]]</f>
        <v>50</v>
      </c>
      <c r="AU3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8" s="433">
        <f ca="1">Tableau1[[#This Row],[Leadtime SI2C]]+Tableau1[[#This Row],[First Receipt Days]]-Tableau1[[#This Row],[Day Customer Order]]+1</f>
        <v>92</v>
      </c>
      <c r="AW38" s="119">
        <f ca="1">IF(Tableau1[[#This Row],[Name ILN]]&lt;&gt;"SFK Freight Forwarder",Tableau1[[#This Row],[Cust. Leadtime]],Tableau1[[#This Row],[Leadtime SI2C]])</f>
        <v>92</v>
      </c>
      <c r="AX38" s="51" t="s">
        <v>144</v>
      </c>
      <c r="AY38" s="338">
        <f ca="1">IFERROR(VLOOKUP(Tableau1[[#This Row],[Key(ID-Actif)]],'DATA BTO'!A:N,4,FALSE),VLOOKUP(Tableau1[[#This Row],[ID]],'DATA BTO'!B:N,3,FALSE))</f>
        <v>46507</v>
      </c>
      <c r="AZ38" s="50" t="str">
        <f>IF(ISNUMBER(Tableau1[[#This Row],[Day Customer Order]]),"-","Please Check 'Name' information in 'Order' Sheet to make sure they have information")</f>
        <v>-</v>
      </c>
      <c r="BA3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" s="50"/>
    </row>
    <row r="39" spans="2:57" hidden="1">
      <c r="B39" s="474" t="str">
        <f>_xlfn.CONCAT(Tableau1[[#This Row],[Name ILN]],"-",Tableau1[[#This Row],[Name Shipper]],"-",Tableau1[[#This Row],[Name Site]])</f>
        <v>KWE Shanghai-KWE Shanghai-CURITIBA CMO</v>
      </c>
      <c r="C39" s="67" t="str">
        <f ca="1">_xlfn.CONCAT(Tableau1[[#This Row],[Compte ILN]],"-",Tableau1[[#This Row],[Compte Shipper]],"-",Tableau1[[#This Row],[POL]],"-",Tableau1[[#This Row],[Compte Consignee]])</f>
        <v>26037000-26037000-CNSHA-90018600</v>
      </c>
      <c r="D39" s="66" t="str">
        <f ca="1">_xlfn.CONCAT(Tableau1[[#This Row],[Compte ILN]],"-",Tableau1[[#This Row],[Compte Shipper]],"-",Tableau1[[#This Row],[POL]])</f>
        <v>26037000-26037000-CNSHA</v>
      </c>
      <c r="E39" s="434" t="str">
        <f ca="1">_xlfn.CONCAT(Tableau1[[#This Row],[POL]],"-",Tableau1[[#This Row],[Carrier]],"-",Tableau1[[#This Row],[POD]])</f>
        <v>CNSHA-ONE-BRPNG</v>
      </c>
      <c r="F39" s="66" t="str">
        <f>_xlfn.CONCAT(Tableau1[[#This Row],[ID]],"-","Actif")</f>
        <v>931-Actif</v>
      </c>
      <c r="G39" s="66" t="str">
        <f ca="1">_xlfn.CONCAT(Tableau1[[#This Row],[POD]],"-",Tableau1[[#This Row],[Code PFI]],"-",Tableau1[[#This Row],[Compte Consignee]])</f>
        <v>BRPNG---90018600</v>
      </c>
      <c r="H39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ShanghaiCNSHACURITIBA CMO</v>
      </c>
      <c r="I3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CMO-KWE Shanghai-KWE Shanghai-931-CNSHA-ONE-BRPNG-</v>
      </c>
      <c r="J39" s="435" t="str">
        <f ca="1">IF(COUNTIF(I:I,Tableau1[[#This Row],[Plant-ILN-shipper-POL-Carrier-POD-PFI]])=1,"Non","Oui")</f>
        <v>Non</v>
      </c>
      <c r="K39" s="128" t="str">
        <f>VLOOKUP(Tableau1[[#This Row],[Name Site]],Plant_AILN!A:D,4,FALSE)</f>
        <v>BRAZIL</v>
      </c>
      <c r="L39" s="473" t="s">
        <v>174</v>
      </c>
      <c r="M39" s="439">
        <f>VLOOKUP(Tableau1[[#This Row],[Name Site]],Plant_AILN!A:C,3,FALSE)</f>
        <v>90018600</v>
      </c>
      <c r="N39" s="55">
        <f>IF(Tableau1[[#This Row],[Name PFI/CDD]]="PFI VLL",2,VLOOKUP(Tableau1[[#This Row],[Compte Consignee]],Order!C:D,2,FALSE))</f>
        <v>7</v>
      </c>
      <c r="O39" s="560" t="s">
        <v>62</v>
      </c>
      <c r="P39" s="365">
        <f>VLOOKUP(Tableau1[[#This Row],[Name ILN]],Plant_AILN!F:G,2,FALSE)</f>
        <v>26037000</v>
      </c>
      <c r="Q39" s="50">
        <f>VLOOKUP(Tableau1[[#This Row],[Compte ILN]],'DATA ILN'!D:I,6,FALSE)</f>
        <v>9</v>
      </c>
      <c r="R39" s="50">
        <f ca="1">IFERROR(VLOOKUP(Tableau1[[#This Row],[Key(Compte ILN - shipper - POL - plant)]],'DATA ILN'!A:J,10,FALSE),VLOOKUP(Tableau1[[#This Row],[Key(Compte ILN - shipper - POL)]],'DATA ILN'!B:J,9,FALSE))</f>
        <v>14</v>
      </c>
      <c r="S39" s="50">
        <f ca="1">IFERROR(VLOOKUP(Tableau1[[#This Row],[Key(Compte ILN - shipper - POL - plant)]],'DATA ILN'!A:K,11,FALSE),VLOOKUP(Tableau1[[#This Row],[Key(Compte ILN - shipper - POL)]],'DATA ILN'!B:K,10,FALSE))</f>
        <v>5</v>
      </c>
      <c r="T39" s="50">
        <f ca="1">IFERROR(VLOOKUP(Tableau1[[#This Row],[Key(Compte ILN - shipper - POL - plant)]],'DATA ILN'!A:L,12,FALSE),VLOOKUP(Tableau1[[#This Row],[Key(Compte ILN - shipper - POL)]],'DATA ILN'!B:L,11,FALSE))</f>
        <v>7</v>
      </c>
      <c r="U39" s="50">
        <f ca="1">Tableau1[[#This Row],[Day ILN Order]]+Tableau1[[#This Row],[Delivery time to ILN/Shipper]]-1</f>
        <v>22</v>
      </c>
      <c r="V39" s="50">
        <f ca="1">IFERROR(VLOOKUP(Tableau1[[#This Row],[Key(Compte ILN - shipper - POL - plant)]],'DATA ILN'!A:N,14,FALSE),VLOOKUP(Tableau1[[#This Row],[Key(Compte ILN - shipper - POL)]],'DATA ILN'!B:N,13,FALSE))</f>
        <v>1</v>
      </c>
      <c r="W39" s="53">
        <f ca="1">IFERROR(VLOOKUP(Tableau1[[#This Row],[Key(Compte ILN - shipper - POL - plant)]],'DATA ILN'!A:P,16,FALSE),VLOOKUP(Tableau1[[#This Row],[Key(Compte ILN - shipper - POL)]],'DATA ILN'!B:P,15,FALSE))</f>
        <v>2</v>
      </c>
      <c r="X39" s="284" t="s">
        <v>62</v>
      </c>
      <c r="Y39" s="437">
        <f>IFERROR(VLOOKUP(Tableau1[[#This Row],[Name Shipper]],Plant_AILN!L:M,2,FALSE),0)</f>
        <v>26037000</v>
      </c>
      <c r="Z39" s="406">
        <v>931</v>
      </c>
      <c r="AA39" s="396" t="str">
        <f ca="1">VLOOKUP(Tableau1[[#This Row],[Key(ID-Actif)]],'DATA BTO'!A:N,5,FALSE)</f>
        <v>CNSHA</v>
      </c>
      <c r="AB39" s="3" t="str">
        <f ca="1">VLOOKUP(Tableau1[[#This Row],[Key(ID-Actif)]],'DATA BTO'!A:N,6,FALSE)</f>
        <v>ONE</v>
      </c>
      <c r="AC39" s="50">
        <f ca="1">VLOOKUP(Tableau1[[#This Row],[Key(ID-Actif)]],'DATA BTO'!A:N,7,FALSE)</f>
        <v>5</v>
      </c>
      <c r="AD39" s="50">
        <f ca="1">VLOOKUP(Tableau1[[#This Row],[Key(ID-Actif)]],'DATA BTO'!A:N,8,FALSE)</f>
        <v>7</v>
      </c>
      <c r="AE39" s="50">
        <f ca="1">IF(Tableau1[[#This Row],[First Day to POL]]&lt;=Tableau1[[#This Row],[Day Cut Off]],Tableau1[[#This Row],[Day ETD]],Tableau1[[#This Row],[Day ETD]]+7)</f>
        <v>7</v>
      </c>
      <c r="AF39" s="50">
        <f ca="1">VLOOKUP(Tableau1[[#This Row],[Key(ID-Actif)]],'DATA BTO'!A:N,9,FALSE)</f>
        <v>43</v>
      </c>
      <c r="AG39" s="3" t="str">
        <f ca="1">VLOOKUP(Tableau1[[#This Row],[Key(ID-Actif)]],'DATA BTO'!A:N,10,FALSE)</f>
        <v>BRPNG</v>
      </c>
      <c r="AH39" s="3">
        <f ca="1">VLOOKUP(Tableau1[[#This Row],[Key(ID-Actif)]],'DATA BTO'!A:N,11,FALSE)</f>
        <v>3</v>
      </c>
      <c r="AI39" s="50">
        <f ca="1">VLOOKUP(Tableau1[[#This Row],[Key(ID-Actif)]],'DATA BTO'!A:N,12,FALSE)</f>
        <v>7</v>
      </c>
      <c r="AJ39" s="53" t="str">
        <f ca="1">VLOOKUP(Tableau1[[#This Row],[Key(ID-Actif)]],'DATA BTO'!A:N,14,FALSE)</f>
        <v>Marc-Aurele</v>
      </c>
      <c r="AK39" s="54">
        <f ca="1">VLOOKUP(Tableau1[[#This Row],[Key(POD -PFI- Usine)]],'DATA Consignee'!A:F,6,FALSE)</f>
        <v>2</v>
      </c>
      <c r="AL39" s="127"/>
      <c r="AM39" s="438" t="str">
        <f>IF(Tableau1[[#This Row],[Name PFI/CDD]]="","-",VLOOKUP(Tableau1[[#This Row],[Name PFI/CDD]],Plant_AILN!I:J,2,FALSE))</f>
        <v>-</v>
      </c>
      <c r="AN3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" s="2">
        <f ca="1">VLOOKUP(Tableau1[[#This Row],[Key(POD -PFI- Usine)]],'DATA Consignee'!A:J,10,FALSE)</f>
        <v>0</v>
      </c>
      <c r="AQ39" s="50">
        <f ca="1">VLOOKUP(Tableau1[[#This Row],[Key(POD -PFI- Usine)]],'DATA Consignee'!A:N,14,FALSE)</f>
        <v>2</v>
      </c>
      <c r="AR3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39" s="50">
        <f ca="1">Tableau1[[#This Row],[Transit time]]+Tableau1[[#This Row],[Time for security]]+Tableau1[[#This Row],[Time for security2 buffer]]</f>
        <v>53</v>
      </c>
      <c r="AU3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39" s="433">
        <f ca="1">Tableau1[[#This Row],[Leadtime SI2C]]+Tableau1[[#This Row],[First Receipt Days]]-Tableau1[[#This Row],[Day Customer Order]]+1</f>
        <v>85</v>
      </c>
      <c r="AW39" s="119">
        <f ca="1">IF(Tableau1[[#This Row],[Name ILN]]&lt;&gt;"SFK Freight Forwarder",Tableau1[[#This Row],[Cust. Leadtime]],Tableau1[[#This Row],[Leadtime SI2C]])</f>
        <v>85</v>
      </c>
      <c r="AX39" s="51" t="s">
        <v>144</v>
      </c>
      <c r="AY39" s="338">
        <f ca="1">IFERROR(VLOOKUP(Tableau1[[#This Row],[Key(ID-Actif)]],'DATA BTO'!A:N,4,FALSE),VLOOKUP(Tableau1[[#This Row],[ID]],'DATA BTO'!B:N,3,FALSE))</f>
        <v>46507</v>
      </c>
      <c r="AZ39" s="50" t="str">
        <f>IF(ISNUMBER(Tableau1[[#This Row],[Day Customer Order]]),"-","Please Check 'Name' information in 'Order' Sheet to make sure they have information")</f>
        <v>-</v>
      </c>
      <c r="BA3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" s="50"/>
    </row>
    <row r="40" spans="2:57" hidden="1">
      <c r="B40" s="67" t="str">
        <f>_xlfn.CONCAT(Tableau1[[#This Row],[Name ILN]],"-",Tableau1[[#This Row],[Name Shipper]],"-",Tableau1[[#This Row],[Name Site]])</f>
        <v>KWE Shanghai-KWE Shanghai-DACIA MECA</v>
      </c>
      <c r="C40" s="67" t="str">
        <f ca="1">_xlfn.CONCAT(Tableau1[[#This Row],[Compte ILN]],"-",Tableau1[[#This Row],[Compte Shipper]],"-",Tableau1[[#This Row],[POL]],"-",Tableau1[[#This Row],[Compte Consignee]])</f>
        <v>26037000-26037000-CNSHA-90012500</v>
      </c>
      <c r="D40" s="66" t="str">
        <f ca="1">_xlfn.CONCAT(Tableau1[[#This Row],[Compte ILN]],"-",Tableau1[[#This Row],[Compte Shipper]],"-",Tableau1[[#This Row],[POL]])</f>
        <v>26037000-26037000-CNSHA</v>
      </c>
      <c r="E40" s="434" t="str">
        <f ca="1">_xlfn.CONCAT(Tableau1[[#This Row],[POL]],"-",Tableau1[[#This Row],[Carrier]],"-",Tableau1[[#This Row],[POD]])</f>
        <v>CNSHA-CMA-CGM-ROCND</v>
      </c>
      <c r="F40" s="66" t="str">
        <f>_xlfn.CONCAT(Tableau1[[#This Row],[ID]],"-","Actif")</f>
        <v>932-Actif</v>
      </c>
      <c r="G40" s="66" t="str">
        <f ca="1">_xlfn.CONCAT(Tableau1[[#This Row],[POD]],"-",Tableau1[[#This Row],[Code PFI]],"-",Tableau1[[#This Row],[Compte Consignee]])</f>
        <v>ROCND-2839004-90012500</v>
      </c>
      <c r="H40" s="434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ShanghaiCNSHADACIA MECA</v>
      </c>
      <c r="I4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MECA-KWE Shanghai-KWE Shanghai-932-CNSHA-CMA-CGM-ROCND-Magasin Dacia</v>
      </c>
      <c r="J40" s="435" t="str">
        <f ca="1">IF(COUNTIF(I:I,Tableau1[[#This Row],[Plant-ILN-shipper-POL-Carrier-POD-PFI]])=1,"Non","Oui")</f>
        <v>Non</v>
      </c>
      <c r="K40" s="436" t="str">
        <f>VLOOKUP(Tableau1[[#This Row],[Name Site]],Plant_AILN!A:D,4,FALSE)</f>
        <v>ROMANIA</v>
      </c>
      <c r="L40" s="411" t="s">
        <v>162</v>
      </c>
      <c r="M40" s="439">
        <f>VLOOKUP(Tableau1[[#This Row],[Name Site]],Plant_AILN!A:C,3,FALSE)</f>
        <v>90012500</v>
      </c>
      <c r="N40" s="55">
        <f>IF(Tableau1[[#This Row],[Name PFI/CDD]]="PFI VLL",2,VLOOKUP(Tableau1[[#This Row],[Compte Consignee]],Order!C:D,2,FALSE))</f>
        <v>7</v>
      </c>
      <c r="O40" s="116" t="s">
        <v>62</v>
      </c>
      <c r="P40" s="365">
        <f>VLOOKUP(Tableau1[[#This Row],[Name ILN]],Plant_AILN!F:G,2,FALSE)</f>
        <v>26037000</v>
      </c>
      <c r="Q40" s="50">
        <f>VLOOKUP(Tableau1[[#This Row],[Compte ILN]],'DATA ILN'!D:I,6,FALSE)</f>
        <v>9</v>
      </c>
      <c r="R40" s="50">
        <f ca="1">IFERROR(VLOOKUP(Tableau1[[#This Row],[Key(Compte ILN - shipper - POL - plant)]],'DATA ILN'!A:J,10,FALSE),VLOOKUP(Tableau1[[#This Row],[Key(Compte ILN - shipper - POL)]],'DATA ILN'!B:J,9,FALSE))</f>
        <v>14</v>
      </c>
      <c r="S40" s="50">
        <f ca="1">IFERROR(VLOOKUP(Tableau1[[#This Row],[Key(Compte ILN - shipper - POL - plant)]],'DATA ILN'!A:K,11,FALSE),VLOOKUP(Tableau1[[#This Row],[Key(Compte ILN - shipper - POL)]],'DATA ILN'!B:K,10,FALSE))</f>
        <v>5</v>
      </c>
      <c r="T40" s="50">
        <f ca="1">IFERROR(VLOOKUP(Tableau1[[#This Row],[Key(Compte ILN - shipper - POL - plant)]],'DATA ILN'!A:L,12,FALSE),VLOOKUP(Tableau1[[#This Row],[Key(Compte ILN - shipper - POL)]],'DATA ILN'!B:L,11,FALSE))</f>
        <v>7</v>
      </c>
      <c r="U40" s="50">
        <f ca="1">Tableau1[[#This Row],[Day ILN Order]]+Tableau1[[#This Row],[Delivery time to ILN/Shipper]]-1</f>
        <v>22</v>
      </c>
      <c r="V40" s="50">
        <f ca="1">IFERROR(VLOOKUP(Tableau1[[#This Row],[Key(Compte ILN - shipper - POL - plant)]],'DATA ILN'!A:N,14,FALSE),VLOOKUP(Tableau1[[#This Row],[Key(Compte ILN - shipper - POL)]],'DATA ILN'!B:N,13,FALSE))</f>
        <v>1</v>
      </c>
      <c r="W40" s="53">
        <f ca="1">IFERROR(VLOOKUP(Tableau1[[#This Row],[Key(Compte ILN - shipper - POL - plant)]],'DATA ILN'!A:P,16,FALSE),VLOOKUP(Tableau1[[#This Row],[Key(Compte ILN - shipper - POL)]],'DATA ILN'!B:P,15,FALSE))</f>
        <v>2</v>
      </c>
      <c r="X40" s="284" t="s">
        <v>62</v>
      </c>
      <c r="Y40" s="437">
        <f>IFERROR(VLOOKUP(Tableau1[[#This Row],[Name Shipper]],Plant_AILN!L:M,2,FALSE),0)</f>
        <v>26037000</v>
      </c>
      <c r="Z40" s="406">
        <v>932</v>
      </c>
      <c r="AA40" s="396" t="str">
        <f ca="1">VLOOKUP(Tableau1[[#This Row],[Key(ID-Actif)]],'DATA BTO'!A:N,5,FALSE)</f>
        <v>CNSHA</v>
      </c>
      <c r="AB40" s="3" t="str">
        <f ca="1">VLOOKUP(Tableau1[[#This Row],[Key(ID-Actif)]],'DATA BTO'!A:N,6,FALSE)</f>
        <v>CMA-CGM</v>
      </c>
      <c r="AC40" s="50">
        <f ca="1">VLOOKUP(Tableau1[[#This Row],[Key(ID-Actif)]],'DATA BTO'!A:N,7,FALSE)</f>
        <v>7</v>
      </c>
      <c r="AD40" s="50">
        <f ca="1">VLOOKUP(Tableau1[[#This Row],[Key(ID-Actif)]],'DATA BTO'!A:N,8,FALSE)</f>
        <v>9</v>
      </c>
      <c r="AE40" s="50">
        <f ca="1">IF(Tableau1[[#This Row],[First Day to POL]]&lt;=Tableau1[[#This Row],[Day Cut Off]],Tableau1[[#This Row],[Day ETD]],Tableau1[[#This Row],[Day ETD]]+7)</f>
        <v>9</v>
      </c>
      <c r="AF40" s="50">
        <f ca="1">VLOOKUP(Tableau1[[#This Row],[Key(ID-Actif)]],'DATA BTO'!A:N,9,FALSE)</f>
        <v>58</v>
      </c>
      <c r="AG40" s="3" t="str">
        <f ca="1">VLOOKUP(Tableau1[[#This Row],[Key(ID-Actif)]],'DATA BTO'!A:N,10,FALSE)</f>
        <v>ROCND</v>
      </c>
      <c r="AH40" s="3">
        <f ca="1">VLOOKUP(Tableau1[[#This Row],[Key(ID-Actif)]],'DATA BTO'!A:N,11,FALSE)</f>
        <v>3</v>
      </c>
      <c r="AI40" s="50">
        <f ca="1">VLOOKUP(Tableau1[[#This Row],[Key(ID-Actif)]],'DATA BTO'!A:N,12,FALSE)</f>
        <v>7</v>
      </c>
      <c r="AJ40" s="53" t="str">
        <f ca="1">VLOOKUP(Tableau1[[#This Row],[Key(ID-Actif)]],'DATA BTO'!A:N,14,FALSE)</f>
        <v>Marc-Aurele</v>
      </c>
      <c r="AK40" s="54">
        <f ca="1">VLOOKUP(Tableau1[[#This Row],[Key(POD -PFI- Usine)]],'DATA Consignee'!A:F,6,FALSE)</f>
        <v>1</v>
      </c>
      <c r="AL40" s="127" t="s">
        <v>164</v>
      </c>
      <c r="AM40" s="438">
        <f>IF(Tableau1[[#This Row],[Name PFI/CDD]]="","-",VLOOKUP(Tableau1[[#This Row],[Name PFI/CDD]],Plant_AILN!I:J,2,FALSE))</f>
        <v>2839004</v>
      </c>
      <c r="AN4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0" s="2">
        <f ca="1">VLOOKUP(Tableau1[[#This Row],[Key(POD -PFI- Usine)]],'DATA Consignee'!A:J,10,FALSE)</f>
        <v>7</v>
      </c>
      <c r="AQ40" s="50">
        <f ca="1">VLOOKUP(Tableau1[[#This Row],[Key(POD -PFI- Usine)]],'DATA Consignee'!A:N,14,FALSE)</f>
        <v>1</v>
      </c>
      <c r="AR4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0" s="50">
        <f ca="1">Tableau1[[#This Row],[Transit time]]+Tableau1[[#This Row],[Time for security]]+Tableau1[[#This Row],[Time for security2 buffer]]</f>
        <v>68</v>
      </c>
      <c r="AU4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40" s="433">
        <f ca="1">Tableau1[[#This Row],[Leadtime SI2C]]+Tableau1[[#This Row],[First Receipt Days]]-Tableau1[[#This Row],[Day Customer Order]]+1</f>
        <v>113</v>
      </c>
      <c r="AW40" s="119">
        <f ca="1">IF(Tableau1[[#This Row],[Name ILN]]&lt;&gt;"SFK Freight Forwarder",Tableau1[[#This Row],[Cust. Leadtime]],Tableau1[[#This Row],[Leadtime SI2C]])</f>
        <v>113</v>
      </c>
      <c r="AX40" s="51" t="s">
        <v>144</v>
      </c>
      <c r="AY40" s="338">
        <f ca="1">IFERROR(VLOOKUP(Tableau1[[#This Row],[Key(ID-Actif)]],'DATA BTO'!A:N,4,FALSE),VLOOKUP(Tableau1[[#This Row],[ID]],'DATA BTO'!B:N,3,FALSE))</f>
        <v>46507</v>
      </c>
      <c r="AZ40" s="50" t="str">
        <f>IF(ISNUMBER(Tableau1[[#This Row],[Day Customer Order]]),"-","Please Check 'Name' information in 'Order' Sheet to make sure they have information")</f>
        <v>-</v>
      </c>
      <c r="BA4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" s="50"/>
    </row>
    <row r="41" spans="2:57" hidden="1">
      <c r="B41" s="474" t="str">
        <f>_xlfn.CONCAT(Tableau1[[#This Row],[Name ILN]],"-",Tableau1[[#This Row],[Name Shipper]],"-",Tableau1[[#This Row],[Name Site]])</f>
        <v>SFK Freight Forwarder-Jatco Mexique-RKM</v>
      </c>
      <c r="C41" s="67" t="str">
        <f ca="1">_xlfn.CONCAT(Tableau1[[#This Row],[Compte ILN]],"-",Tableau1[[#This Row],[Compte Shipper]],"-",Tableau1[[#This Row],[POL]],"-",Tableau1[[#This Row],[Compte Consignee]])</f>
        <v>0-261427-MXZLO-92002200</v>
      </c>
      <c r="D41" s="66" t="str">
        <f ca="1">_xlfn.CONCAT(Tableau1[[#This Row],[Compte ILN]],"-",Tableau1[[#This Row],[Compte Shipper]],"-",Tableau1[[#This Row],[POL]])</f>
        <v>0-261427-MXZLO</v>
      </c>
      <c r="E41" s="434" t="str">
        <f ca="1">_xlfn.CONCAT(Tableau1[[#This Row],[POL]],"-",Tableau1[[#This Row],[Carrier]],"-",Tableau1[[#This Row],[POD]])</f>
        <v>MXZLO-Hapag Lloyd-KRPUS</v>
      </c>
      <c r="F41" s="66" t="str">
        <f>_xlfn.CONCAT(Tableau1[[#This Row],[ID]],"-","Actif")</f>
        <v>1000-Actif</v>
      </c>
      <c r="G41" s="66" t="str">
        <f ca="1">_xlfn.CONCAT(Tableau1[[#This Row],[POD]],"-",Tableau1[[#This Row],[Code PFI]],"-",Tableau1[[#This Row],[Compte Consignee]])</f>
        <v>KRPUS---92002200</v>
      </c>
      <c r="H41" s="434" t="str">
        <f ca="1">_xlfn.CONCAT(IF(Tableau1[[#This Row],[Name ILN]]=Tableau1[[#This Row],[Name Shipper]],Tableau1[[#This Row],[Name ILN]],Tableau1[[#This Row],[Compte Shipper]]),Tableau1[[#This Row],[POL]],Tableau1[[#This Row],[Name Site]])</f>
        <v>261427MXZLORKM</v>
      </c>
      <c r="I4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Forwarder-Jatco Mexique-1000-MXZLO-Hapag Lloyd-KRPUS-</v>
      </c>
      <c r="J41" s="435" t="str">
        <f ca="1">IF(COUNTIF(I:I,Tableau1[[#This Row],[Plant-ILN-shipper-POL-Carrier-POD-PFI]])=1,"Non","Oui")</f>
        <v>Non</v>
      </c>
      <c r="K41" s="128" t="str">
        <f>VLOOKUP(Tableau1[[#This Row],[Name Site]],Plant_AILN!A:D,4,FALSE)</f>
        <v>KOREA</v>
      </c>
      <c r="L41" s="411" t="s">
        <v>145</v>
      </c>
      <c r="M41" s="439">
        <f>VLOOKUP(Tableau1[[#This Row],[Name Site]],Plant_AILN!A:C,3,FALSE)</f>
        <v>92002200</v>
      </c>
      <c r="N41" s="55">
        <f>IF(Tableau1[[#This Row],[Name PFI/CDD]]="PFI VLL",2,VLOOKUP(Tableau1[[#This Row],[Compte Consignee]],Order!C:D,2,FALSE))</f>
        <v>2</v>
      </c>
      <c r="O41" s="116" t="s">
        <v>146</v>
      </c>
      <c r="P41" s="365">
        <f>VLOOKUP(Tableau1[[#This Row],[Name ILN]],Plant_AILN!F:G,2,FALSE)</f>
        <v>0</v>
      </c>
      <c r="Q41" s="50">
        <f>VLOOKUP(Tableau1[[#This Row],[Compte ILN]],'DATA ILN'!D:I,6,FALSE)</f>
        <v>9</v>
      </c>
      <c r="R41" s="50">
        <f ca="1">IFERROR(VLOOKUP(Tableau1[[#This Row],[Key(Compte ILN - shipper - POL - plant)]],'DATA ILN'!A:J,10,FALSE),VLOOKUP(Tableau1[[#This Row],[Key(Compte ILN - shipper - POL)]],'DATA ILN'!B:J,9,FALSE))</f>
        <v>14</v>
      </c>
      <c r="S41" s="50">
        <f ca="1">IFERROR(VLOOKUP(Tableau1[[#This Row],[Key(Compte ILN - shipper - POL - plant)]],'DATA ILN'!A:K,11,FALSE),VLOOKUP(Tableau1[[#This Row],[Key(Compte ILN - shipper - POL)]],'DATA ILN'!B:K,10,FALSE))</f>
        <v>5</v>
      </c>
      <c r="T41" s="50">
        <f ca="1">IFERROR(VLOOKUP(Tableau1[[#This Row],[Key(Compte ILN - shipper - POL - plant)]],'DATA ILN'!A:L,12,FALSE),VLOOKUP(Tableau1[[#This Row],[Key(Compte ILN - shipper - POL)]],'DATA ILN'!B:L,11,FALSE))</f>
        <v>7</v>
      </c>
      <c r="U41" s="50">
        <f ca="1">Tableau1[[#This Row],[Day ILN Order]]+Tableau1[[#This Row],[Delivery time to ILN/Shipper]]-1</f>
        <v>22</v>
      </c>
      <c r="V41" s="50">
        <f ca="1">IFERROR(VLOOKUP(Tableau1[[#This Row],[Key(Compte ILN - shipper - POL - plant)]],'DATA ILN'!A:N,14,FALSE),VLOOKUP(Tableau1[[#This Row],[Key(Compte ILN - shipper - POL)]],'DATA ILN'!B:N,13,FALSE))</f>
        <v>2</v>
      </c>
      <c r="W41" s="53">
        <f ca="1">IFERROR(VLOOKUP(Tableau1[[#This Row],[Key(Compte ILN - shipper - POL - plant)]],'DATA ILN'!A:P,16,FALSE),VLOOKUP(Tableau1[[#This Row],[Key(Compte ILN - shipper - POL)]],'DATA ILN'!B:P,15,FALSE))</f>
        <v>5</v>
      </c>
      <c r="X41" s="284" t="s">
        <v>176</v>
      </c>
      <c r="Y41" s="437">
        <f>IFERROR(VLOOKUP(Tableau1[[#This Row],[Name Shipper]],Plant_AILN!L:M,2,FALSE),0)</f>
        <v>261427</v>
      </c>
      <c r="Z41" s="406">
        <v>1000</v>
      </c>
      <c r="AA41" s="396" t="str">
        <f ca="1">VLOOKUP(Tableau1[[#This Row],[Key(ID-Actif)]],'DATA BTO'!A:N,5,FALSE)</f>
        <v>MXZLO</v>
      </c>
      <c r="AB41" s="3" t="str">
        <f ca="1">VLOOKUP(Tableau1[[#This Row],[Key(ID-Actif)]],'DATA BTO'!A:N,6,FALSE)</f>
        <v>Hapag Lloyd</v>
      </c>
      <c r="AC41" s="50">
        <f ca="1">VLOOKUP(Tableau1[[#This Row],[Key(ID-Actif)]],'DATA BTO'!A:N,7,FALSE)</f>
        <v>1</v>
      </c>
      <c r="AD41" s="50">
        <f ca="1">VLOOKUP(Tableau1[[#This Row],[Key(ID-Actif)]],'DATA BTO'!A:N,8,FALSE)</f>
        <v>3</v>
      </c>
      <c r="AE41" s="50">
        <f ca="1">IF(Tableau1[[#This Row],[First Day to POL]]&lt;=Tableau1[[#This Row],[Day Cut Off]],Tableau1[[#This Row],[Day ETD]],Tableau1[[#This Row],[Day ETD]]+7)</f>
        <v>10</v>
      </c>
      <c r="AF41" s="50">
        <f ca="1">VLOOKUP(Tableau1[[#This Row],[Key(ID-Actif)]],'DATA BTO'!A:N,9,FALSE)</f>
        <v>21</v>
      </c>
      <c r="AG41" s="3" t="str">
        <f ca="1">VLOOKUP(Tableau1[[#This Row],[Key(ID-Actif)]],'DATA BTO'!A:N,10,FALSE)</f>
        <v>KRPUS</v>
      </c>
      <c r="AH41" s="3">
        <f ca="1">VLOOKUP(Tableau1[[#This Row],[Key(ID-Actif)]],'DATA BTO'!A:N,11,FALSE)</f>
        <v>3</v>
      </c>
      <c r="AI41" s="50">
        <f ca="1">VLOOKUP(Tableau1[[#This Row],[Key(ID-Actif)]],'DATA BTO'!A:N,12,FALSE)</f>
        <v>0</v>
      </c>
      <c r="AJ41" s="53" t="str">
        <f ca="1">VLOOKUP(Tableau1[[#This Row],[Key(ID-Actif)]],'DATA BTO'!A:N,14,FALSE)</f>
        <v>Max</v>
      </c>
      <c r="AK41" s="54">
        <f ca="1">VLOOKUP(Tableau1[[#This Row],[Key(POD -PFI- Usine)]],'DATA Consignee'!A:F,6,FALSE)</f>
        <v>2</v>
      </c>
      <c r="AL41" s="127"/>
      <c r="AM41" s="438" t="str">
        <f>IF(Tableau1[[#This Row],[Name PFI/CDD]]="","-",VLOOKUP(Tableau1[[#This Row],[Name PFI/CDD]],Plant_AILN!I:J,2,FALSE))</f>
        <v>-</v>
      </c>
      <c r="AN4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1" s="2">
        <f ca="1">VLOOKUP(Tableau1[[#This Row],[Key(POD -PFI- Usine)]],'DATA Consignee'!A:J,10,FALSE)</f>
        <v>0</v>
      </c>
      <c r="AQ41" s="50">
        <f ca="1">VLOOKUP(Tableau1[[#This Row],[Key(POD -PFI- Usine)]],'DATA Consignee'!A:N,14,FALSE)</f>
        <v>1</v>
      </c>
      <c r="AR4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15</v>
      </c>
      <c r="AT41" s="50">
        <f ca="1">Tableau1[[#This Row],[Transit time]]+Tableau1[[#This Row],[Time for security]]+Tableau1[[#This Row],[Time for security2 buffer]]</f>
        <v>24</v>
      </c>
      <c r="AU4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41" s="433">
        <f ca="1">Tableau1[[#This Row],[Leadtime SI2C]]+Tableau1[[#This Row],[First Receipt Days]]-Tableau1[[#This Row],[Day Customer Order]]+1</f>
        <v>69</v>
      </c>
      <c r="AW41" s="119">
        <f ca="1">IF(Tableau1[[#This Row],[Name ILN]]&lt;&gt;"SFK Freight Forwarder",Tableau1[[#This Row],[Cust. Leadtime]],Tableau1[[#This Row],[Leadtime SI2C]])</f>
        <v>48</v>
      </c>
      <c r="AX41" s="51" t="s">
        <v>148</v>
      </c>
      <c r="AY41" s="338">
        <f ca="1">IFERROR(VLOOKUP(Tableau1[[#This Row],[Key(ID-Actif)]],'DATA BTO'!A:N,4,FALSE),VLOOKUP(Tableau1[[#This Row],[ID]],'DATA BTO'!B:N,3,FALSE))</f>
        <v>46507</v>
      </c>
      <c r="AZ41" s="50" t="str">
        <f>IF(ISNUMBER(Tableau1[[#This Row],[Day Customer Order]]),"-","Please Check 'Name' information in 'Order' Sheet to make sure they have information")</f>
        <v>-</v>
      </c>
      <c r="BA4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1" s="50"/>
    </row>
    <row r="42" spans="2:57" hidden="1">
      <c r="B42" s="474" t="str">
        <f>_xlfn.CONCAT(Tableau1[[#This Row],[Name ILN]],"-",Tableau1[[#This Row],[Name Shipper]],"-",Tableau1[[#This Row],[Name Site]])</f>
        <v>SFK Freight Forwarder-Jatco Japon-SOFASA</v>
      </c>
      <c r="C42" s="67" t="str">
        <f ca="1">_xlfn.CONCAT(Tableau1[[#This Row],[Compte ILN]],"-",Tableau1[[#This Row],[Compte Shipper]],"-",Tableau1[[#This Row],[POL]],"-",Tableau1[[#This Row],[Compte Consignee]])</f>
        <v>0-119640-JPSMZ-9510600</v>
      </c>
      <c r="D42" s="66" t="str">
        <f ca="1">_xlfn.CONCAT(Tableau1[[#This Row],[Compte ILN]],"-",Tableau1[[#This Row],[Compte Shipper]],"-",Tableau1[[#This Row],[POL]])</f>
        <v>0-119640-JPSMZ</v>
      </c>
      <c r="E42" s="434" t="str">
        <f ca="1">_xlfn.CONCAT(Tableau1[[#This Row],[POL]],"-",Tableau1[[#This Row],[Carrier]],"-",Tableau1[[#This Row],[POD]])</f>
        <v>JPSMZ-ONE-COBUN</v>
      </c>
      <c r="F42" s="66" t="str">
        <f>_xlfn.CONCAT(Tableau1[[#This Row],[ID]],"-","Actif")</f>
        <v>1005-Actif</v>
      </c>
      <c r="G42" s="66" t="str">
        <f ca="1">_xlfn.CONCAT(Tableau1[[#This Row],[POD]],"-",Tableau1[[#This Row],[Code PFI]],"-",Tableau1[[#This Row],[Compte Consignee]])</f>
        <v>COBUN---9510600</v>
      </c>
      <c r="H42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119640JPSMZSOFASA</v>
      </c>
      <c r="I4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SOFASA-SFK Freight Forwarder-Jatco Japon-1005-JPSMZ-ONE-COBUN-</v>
      </c>
      <c r="J42" s="435" t="str">
        <f ca="1">IF(COUNTIF(I:I,Tableau1[[#This Row],[Plant-ILN-shipper-POL-Carrier-POD-PFI]])=1,"Non","Oui")</f>
        <v>Non</v>
      </c>
      <c r="K42" s="128" t="str">
        <f>VLOOKUP(Tableau1[[#This Row],[Name Site]],Plant_AILN!A:D,4,FALSE)</f>
        <v>COLOMBIA</v>
      </c>
      <c r="L42" s="411" t="s">
        <v>177</v>
      </c>
      <c r="M42" s="439">
        <f>VLOOKUP(Tableau1[[#This Row],[Name Site]],Plant_AILN!A:C,3,FALSE)</f>
        <v>9510600</v>
      </c>
      <c r="N42" s="55">
        <f>IF(Tableau1[[#This Row],[Name PFI/CDD]]="PFI VLL",2,VLOOKUP(Tableau1[[#This Row],[Compte Consignee]],Order!C:D,2,FALSE))</f>
        <v>7</v>
      </c>
      <c r="O42" s="116" t="s">
        <v>146</v>
      </c>
      <c r="P42" s="365">
        <f>VLOOKUP(Tableau1[[#This Row],[Name ILN]],Plant_AILN!F:G,2,FALSE)</f>
        <v>0</v>
      </c>
      <c r="Q42" s="50">
        <f>VLOOKUP(Tableau1[[#This Row],[Compte ILN]],'DATA ILN'!D:I,6,FALSE)</f>
        <v>9</v>
      </c>
      <c r="R42" s="50">
        <f ca="1">IFERROR(VLOOKUP(Tableau1[[#This Row],[Key(Compte ILN - shipper - POL - plant)]],'DATA ILN'!A:J,10,FALSE),VLOOKUP(Tableau1[[#This Row],[Key(Compte ILN - shipper - POL)]],'DATA ILN'!B:J,9,FALSE))</f>
        <v>14</v>
      </c>
      <c r="S42" s="50">
        <f ca="1">IFERROR(VLOOKUP(Tableau1[[#This Row],[Key(Compte ILN - shipper - POL - plant)]],'DATA ILN'!A:K,11,FALSE),VLOOKUP(Tableau1[[#This Row],[Key(Compte ILN - shipper - POL)]],'DATA ILN'!B:K,10,FALSE))</f>
        <v>5</v>
      </c>
      <c r="T42" s="50">
        <f ca="1">IFERROR(VLOOKUP(Tableau1[[#This Row],[Key(Compte ILN - shipper - POL - plant)]],'DATA ILN'!A:L,12,FALSE),VLOOKUP(Tableau1[[#This Row],[Key(Compte ILN - shipper - POL)]],'DATA ILN'!B:L,11,FALSE))</f>
        <v>7</v>
      </c>
      <c r="U42" s="50">
        <f ca="1">Tableau1[[#This Row],[Day ILN Order]]+Tableau1[[#This Row],[Delivery time to ILN/Shipper]]-1</f>
        <v>22</v>
      </c>
      <c r="V42" s="50">
        <f ca="1">IFERROR(VLOOKUP(Tableau1[[#This Row],[Key(Compte ILN - shipper - POL - plant)]],'DATA ILN'!A:N,14,FALSE),VLOOKUP(Tableau1[[#This Row],[Key(Compte ILN - shipper - POL)]],'DATA ILN'!B:N,13,FALSE))</f>
        <v>1</v>
      </c>
      <c r="W42" s="53">
        <f ca="1">IFERROR(VLOOKUP(Tableau1[[#This Row],[Key(Compte ILN - shipper - POL - plant)]],'DATA ILN'!A:P,16,FALSE),VLOOKUP(Tableau1[[#This Row],[Key(Compte ILN - shipper - POL)]],'DATA ILN'!B:P,15,FALSE))</f>
        <v>3</v>
      </c>
      <c r="X42" s="284" t="s">
        <v>178</v>
      </c>
      <c r="Y42" s="437">
        <f>IFERROR(VLOOKUP(Tableau1[[#This Row],[Name Shipper]],Plant_AILN!L:M,2,FALSE),0)</f>
        <v>119640</v>
      </c>
      <c r="Z42" s="406">
        <v>1005</v>
      </c>
      <c r="AA42" s="396" t="str">
        <f ca="1">VLOOKUP(Tableau1[[#This Row],[Key(ID-Actif)]],'DATA BTO'!A:N,5,FALSE)</f>
        <v>JPSMZ</v>
      </c>
      <c r="AB42" s="3" t="str">
        <f ca="1">VLOOKUP(Tableau1[[#This Row],[Key(ID-Actif)]],'DATA BTO'!A:N,6,FALSE)</f>
        <v>ONE</v>
      </c>
      <c r="AC42" s="50">
        <f ca="1">VLOOKUP(Tableau1[[#This Row],[Key(ID-Actif)]],'DATA BTO'!A:N,7,FALSE)</f>
        <v>3</v>
      </c>
      <c r="AD42" s="50">
        <f ca="1">VLOOKUP(Tableau1[[#This Row],[Key(ID-Actif)]],'DATA BTO'!A:N,8,FALSE)</f>
        <v>5</v>
      </c>
      <c r="AE42" s="50">
        <f ca="1">IF(Tableau1[[#This Row],[First Day to POL]]&lt;=Tableau1[[#This Row],[Day Cut Off]],Tableau1[[#This Row],[Day ETD]],Tableau1[[#This Row],[Day ETD]]+7)</f>
        <v>5</v>
      </c>
      <c r="AF42" s="50">
        <f ca="1">VLOOKUP(Tableau1[[#This Row],[Key(ID-Actif)]],'DATA BTO'!A:N,9,FALSE)</f>
        <v>34</v>
      </c>
      <c r="AG42" s="3" t="str">
        <f ca="1">VLOOKUP(Tableau1[[#This Row],[Key(ID-Actif)]],'DATA BTO'!A:N,10,FALSE)</f>
        <v>COBUN</v>
      </c>
      <c r="AH42" s="3">
        <f ca="1">VLOOKUP(Tableau1[[#This Row],[Key(ID-Actif)]],'DATA BTO'!A:N,11,FALSE)</f>
        <v>3</v>
      </c>
      <c r="AI42" s="50">
        <f ca="1">VLOOKUP(Tableau1[[#This Row],[Key(ID-Actif)]],'DATA BTO'!A:N,12,FALSE)</f>
        <v>14</v>
      </c>
      <c r="AJ42" s="53" t="str">
        <f ca="1">VLOOKUP(Tableau1[[#This Row],[Key(ID-Actif)]],'DATA BTO'!A:N,14,FALSE)</f>
        <v>Max</v>
      </c>
      <c r="AK42" s="54">
        <f ca="1">VLOOKUP(Tableau1[[#This Row],[Key(POD -PFI- Usine)]],'DATA Consignee'!A:F,6,FALSE)</f>
        <v>0</v>
      </c>
      <c r="AL42" s="127"/>
      <c r="AM42" s="438" t="str">
        <f>IF(Tableau1[[#This Row],[Name PFI/CDD]]="","-",VLOOKUP(Tableau1[[#This Row],[Name PFI/CDD]],Plant_AILN!I:J,2,FALSE))</f>
        <v>-</v>
      </c>
      <c r="AN4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2" s="2">
        <f ca="1">VLOOKUP(Tableau1[[#This Row],[Key(POD -PFI- Usine)]],'DATA Consignee'!A:J,10,FALSE)</f>
        <v>0</v>
      </c>
      <c r="AQ42" s="50">
        <f ca="1">VLOOKUP(Tableau1[[#This Row],[Key(POD -PFI- Usine)]],'DATA Consignee'!A:N,14,FALSE)</f>
        <v>0</v>
      </c>
      <c r="AR4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4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42" s="50">
        <f ca="1">Tableau1[[#This Row],[Transit time]]+Tableau1[[#This Row],[Time for security]]+Tableau1[[#This Row],[Time for security2 buffer]]</f>
        <v>51</v>
      </c>
      <c r="AU4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42" s="433">
        <f ca="1">Tableau1[[#This Row],[Leadtime SI2C]]+Tableau1[[#This Row],[First Receipt Days]]-Tableau1[[#This Row],[Day Customer Order]]+1</f>
        <v>78</v>
      </c>
      <c r="AW42" s="119">
        <f ca="1">IF(Tableau1[[#This Row],[Name ILN]]&lt;&gt;"SFK Freight Forwarder",Tableau1[[#This Row],[Cust. Leadtime]],Tableau1[[#This Row],[Leadtime SI2C]])</f>
        <v>62</v>
      </c>
      <c r="AX42" s="51" t="s">
        <v>148</v>
      </c>
      <c r="AY42" s="338">
        <f ca="1">IFERROR(VLOOKUP(Tableau1[[#This Row],[Key(ID-Actif)]],'DATA BTO'!A:N,4,FALSE),VLOOKUP(Tableau1[[#This Row],[ID]],'DATA BTO'!B:N,3,FALSE))</f>
        <v>46507</v>
      </c>
      <c r="AZ42" s="50" t="str">
        <f>IF(ISNUMBER(Tableau1[[#This Row],[Day Customer Order]]),"-","Please Check 'Name' information in 'Order' Sheet to make sure they have information")</f>
        <v>-</v>
      </c>
      <c r="BA4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2" s="50"/>
    </row>
    <row r="43" spans="2:57" hidden="1">
      <c r="B43" s="474" t="str">
        <f>_xlfn.CONCAT(Tableau1[[#This Row],[Name ILN]],"-",Tableau1[[#This Row],[Name Shipper]],"-",Tableau1[[#This Row],[Name Site]])</f>
        <v>SFK Freight Forwarder-Jatco Japon-SOMACA</v>
      </c>
      <c r="C43" s="67" t="str">
        <f ca="1">_xlfn.CONCAT(Tableau1[[#This Row],[Compte ILN]],"-",Tableau1[[#This Row],[Compte Shipper]],"-",Tableau1[[#This Row],[POL]],"-",Tableau1[[#This Row],[Compte Consignee]])</f>
        <v>0-119640-JPSMZ-90038200</v>
      </c>
      <c r="D43" s="66" t="str">
        <f ca="1">_xlfn.CONCAT(Tableau1[[#This Row],[Compte ILN]],"-",Tableau1[[#This Row],[Compte Shipper]],"-",Tableau1[[#This Row],[POL]])</f>
        <v>0-119640-JPSMZ</v>
      </c>
      <c r="E43" s="434" t="str">
        <f ca="1">_xlfn.CONCAT(Tableau1[[#This Row],[POL]],"-",Tableau1[[#This Row],[Carrier]],"-",Tableau1[[#This Row],[POD]])</f>
        <v>JPSMZ-Hyundai-MACAS</v>
      </c>
      <c r="F43" s="66" t="str">
        <f>_xlfn.CONCAT(Tableau1[[#This Row],[ID]],"-","Actif")</f>
        <v>1006-Actif</v>
      </c>
      <c r="G43" s="66" t="str">
        <f ca="1">_xlfn.CONCAT(Tableau1[[#This Row],[POD]],"-",Tableau1[[#This Row],[Code PFI]],"-",Tableau1[[#This Row],[Compte Consignee]])</f>
        <v>MACAS---90038200</v>
      </c>
      <c r="H43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119640JPSMZSOMACA</v>
      </c>
      <c r="I4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SOMACA-SFK Freight Forwarder-Jatco Japon-1006-JPSMZ-Hyundai-MACAS-</v>
      </c>
      <c r="J43" s="435" t="str">
        <f ca="1">IF(COUNTIF(I:I,Tableau1[[#This Row],[Plant-ILN-shipper-POL-Carrier-POD-PFI]])=1,"Non","Oui")</f>
        <v>Non</v>
      </c>
      <c r="K43" s="128" t="str">
        <f>VLOOKUP(Tableau1[[#This Row],[Name Site]],Plant_AILN!A:D,4,FALSE)</f>
        <v>MOROCCO</v>
      </c>
      <c r="L43" s="411" t="s">
        <v>179</v>
      </c>
      <c r="M43" s="439">
        <f>VLOOKUP(Tableau1[[#This Row],[Name Site]],Plant_AILN!A:C,3,FALSE)</f>
        <v>90038200</v>
      </c>
      <c r="N43" s="55">
        <f>IF(Tableau1[[#This Row],[Name PFI/CDD]]="PFI VLL",2,VLOOKUP(Tableau1[[#This Row],[Compte Consignee]],Order!C:D,2,FALSE))</f>
        <v>7</v>
      </c>
      <c r="O43" s="116" t="s">
        <v>146</v>
      </c>
      <c r="P43" s="365">
        <f>VLOOKUP(Tableau1[[#This Row],[Name ILN]],Plant_AILN!F:G,2,FALSE)</f>
        <v>0</v>
      </c>
      <c r="Q43" s="50">
        <f>VLOOKUP(Tableau1[[#This Row],[Compte ILN]],'DATA ILN'!D:I,6,FALSE)</f>
        <v>9</v>
      </c>
      <c r="R43" s="50">
        <f ca="1">IFERROR(VLOOKUP(Tableau1[[#This Row],[Key(Compte ILN - shipper - POL - plant)]],'DATA ILN'!A:J,10,FALSE),VLOOKUP(Tableau1[[#This Row],[Key(Compte ILN - shipper - POL)]],'DATA ILN'!B:J,9,FALSE))</f>
        <v>14</v>
      </c>
      <c r="S43" s="50">
        <f ca="1">IFERROR(VLOOKUP(Tableau1[[#This Row],[Key(Compte ILN - shipper - POL - plant)]],'DATA ILN'!A:K,11,FALSE),VLOOKUP(Tableau1[[#This Row],[Key(Compte ILN - shipper - POL)]],'DATA ILN'!B:K,10,FALSE))</f>
        <v>5</v>
      </c>
      <c r="T43" s="50">
        <f ca="1">IFERROR(VLOOKUP(Tableau1[[#This Row],[Key(Compte ILN - shipper - POL - plant)]],'DATA ILN'!A:L,12,FALSE),VLOOKUP(Tableau1[[#This Row],[Key(Compte ILN - shipper - POL)]],'DATA ILN'!B:L,11,FALSE))</f>
        <v>7</v>
      </c>
      <c r="U43" s="50">
        <f ca="1">Tableau1[[#This Row],[Day ILN Order]]+Tableau1[[#This Row],[Delivery time to ILN/Shipper]]-1</f>
        <v>22</v>
      </c>
      <c r="V43" s="50">
        <f ca="1">IFERROR(VLOOKUP(Tableau1[[#This Row],[Key(Compte ILN - shipper - POL - plant)]],'DATA ILN'!A:N,14,FALSE),VLOOKUP(Tableau1[[#This Row],[Key(Compte ILN - shipper - POL)]],'DATA ILN'!B:N,13,FALSE))</f>
        <v>1</v>
      </c>
      <c r="W43" s="53">
        <f ca="1">IFERROR(VLOOKUP(Tableau1[[#This Row],[Key(Compte ILN - shipper - POL - plant)]],'DATA ILN'!A:P,16,FALSE),VLOOKUP(Tableau1[[#This Row],[Key(Compte ILN - shipper - POL)]],'DATA ILN'!B:P,15,FALSE))</f>
        <v>3</v>
      </c>
      <c r="X43" s="284" t="s">
        <v>178</v>
      </c>
      <c r="Y43" s="437">
        <f>IFERROR(VLOOKUP(Tableau1[[#This Row],[Name Shipper]],Plant_AILN!L:M,2,FALSE),0)</f>
        <v>119640</v>
      </c>
      <c r="Z43" s="406">
        <v>1006</v>
      </c>
      <c r="AA43" s="396" t="str">
        <f ca="1">VLOOKUP(Tableau1[[#This Row],[Key(ID-Actif)]],'DATA BTO'!A:N,5,FALSE)</f>
        <v>JPSMZ</v>
      </c>
      <c r="AB43" s="3" t="str">
        <f ca="1">VLOOKUP(Tableau1[[#This Row],[Key(ID-Actif)]],'DATA BTO'!A:N,6,FALSE)</f>
        <v>Hyundai</v>
      </c>
      <c r="AC43" s="50">
        <f ca="1">VLOOKUP(Tableau1[[#This Row],[Key(ID-Actif)]],'DATA BTO'!A:N,7,FALSE)</f>
        <v>3</v>
      </c>
      <c r="AD43" s="50">
        <f ca="1">VLOOKUP(Tableau1[[#This Row],[Key(ID-Actif)]],'DATA BTO'!A:N,8,FALSE)</f>
        <v>6</v>
      </c>
      <c r="AE43" s="50">
        <f ca="1">IF(Tableau1[[#This Row],[First Day to POL]]&lt;=Tableau1[[#This Row],[Day Cut Off]],Tableau1[[#This Row],[Day ETD]],Tableau1[[#This Row],[Day ETD]]+7)</f>
        <v>6</v>
      </c>
      <c r="AF43" s="50">
        <f ca="1">VLOOKUP(Tableau1[[#This Row],[Key(ID-Actif)]],'DATA BTO'!A:N,9,FALSE)</f>
        <v>58</v>
      </c>
      <c r="AG43" s="3" t="str">
        <f ca="1">VLOOKUP(Tableau1[[#This Row],[Key(ID-Actif)]],'DATA BTO'!A:N,10,FALSE)</f>
        <v>MACAS</v>
      </c>
      <c r="AH43" s="3">
        <f ca="1">VLOOKUP(Tableau1[[#This Row],[Key(ID-Actif)]],'DATA BTO'!A:N,11,FALSE)</f>
        <v>3</v>
      </c>
      <c r="AI43" s="50">
        <f ca="1">VLOOKUP(Tableau1[[#This Row],[Key(ID-Actif)]],'DATA BTO'!A:N,12,FALSE)</f>
        <v>0</v>
      </c>
      <c r="AJ43" s="53" t="str">
        <f ca="1">VLOOKUP(Tableau1[[#This Row],[Key(ID-Actif)]],'DATA BTO'!A:N,14,FALSE)</f>
        <v>Max</v>
      </c>
      <c r="AK43" s="54">
        <f ca="1">VLOOKUP(Tableau1[[#This Row],[Key(POD -PFI- Usine)]],'DATA Consignee'!A:F,6,FALSE)</f>
        <v>1</v>
      </c>
      <c r="AL43" s="127"/>
      <c r="AM43" s="438" t="str">
        <f>IF(Tableau1[[#This Row],[Name PFI/CDD]]="","-",VLOOKUP(Tableau1[[#This Row],[Name PFI/CDD]],Plant_AILN!I:J,2,FALSE))</f>
        <v>-</v>
      </c>
      <c r="AN4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3" s="2">
        <f ca="1">VLOOKUP(Tableau1[[#This Row],[Key(POD -PFI- Usine)]],'DATA Consignee'!A:J,10,FALSE)</f>
        <v>0</v>
      </c>
      <c r="AQ43" s="50">
        <f ca="1">VLOOKUP(Tableau1[[#This Row],[Key(POD -PFI- Usine)]],'DATA Consignee'!A:N,14,FALSE)</f>
        <v>4</v>
      </c>
      <c r="AR4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43" s="50">
        <f ca="1">Tableau1[[#This Row],[Transit time]]+Tableau1[[#This Row],[Time for security]]+Tableau1[[#This Row],[Time for security2 buffer]]</f>
        <v>61</v>
      </c>
      <c r="AU4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43" s="433">
        <f ca="1">Tableau1[[#This Row],[Leadtime SI2C]]+Tableau1[[#This Row],[First Receipt Days]]-Tableau1[[#This Row],[Day Customer Order]]+1</f>
        <v>99</v>
      </c>
      <c r="AW43" s="119">
        <f ca="1">IF(Tableau1[[#This Row],[Name ILN]]&lt;&gt;"SFK Freight Forwarder",Tableau1[[#This Row],[Cust. Leadtime]],Tableau1[[#This Row],[Leadtime SI2C]])</f>
        <v>83</v>
      </c>
      <c r="AX43" s="51" t="s">
        <v>148</v>
      </c>
      <c r="AY43" s="338">
        <f ca="1">IFERROR(VLOOKUP(Tableau1[[#This Row],[Key(ID-Actif)]],'DATA BTO'!A:N,4,FALSE),VLOOKUP(Tableau1[[#This Row],[ID]],'DATA BTO'!B:N,3,FALSE))</f>
        <v>46507</v>
      </c>
      <c r="AZ43" s="50" t="str">
        <f>IF(ISNUMBER(Tableau1[[#This Row],[Day Customer Order]]),"-","Please Check 'Name' information in 'Order' Sheet to make sure they have information")</f>
        <v>-</v>
      </c>
      <c r="BA4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3" s="50"/>
    </row>
    <row r="44" spans="2:57" hidden="1">
      <c r="B44" s="474" t="str">
        <f>_xlfn.CONCAT(Tableau1[[#This Row],[Name ILN]],"-",Tableau1[[#This Row],[Name Shipper]],"-",Tableau1[[#This Row],[Name Site]])</f>
        <v>SFK Freight Forwarder-Jatco Japon-TANGER</v>
      </c>
      <c r="C44" s="67" t="str">
        <f ca="1">_xlfn.CONCAT(Tableau1[[#This Row],[Compte ILN]],"-",Tableau1[[#This Row],[Compte Shipper]],"-",Tableau1[[#This Row],[POL]],"-",Tableau1[[#This Row],[Compte Consignee]])</f>
        <v>0-119640-JPSMZ-900383</v>
      </c>
      <c r="D44" s="66" t="str">
        <f ca="1">_xlfn.CONCAT(Tableau1[[#This Row],[Compte ILN]],"-",Tableau1[[#This Row],[Compte Shipper]],"-",Tableau1[[#This Row],[POL]])</f>
        <v>0-119640-JPSMZ</v>
      </c>
      <c r="E44" s="434" t="str">
        <f ca="1">_xlfn.CONCAT(Tableau1[[#This Row],[POL]],"-",Tableau1[[#This Row],[Carrier]],"-",Tableau1[[#This Row],[POD]])</f>
        <v>JPSMZ-ONE-MAPTM</v>
      </c>
      <c r="F44" s="66" t="str">
        <f>_xlfn.CONCAT(Tableau1[[#This Row],[ID]],"-","Actif")</f>
        <v>1007-Actif</v>
      </c>
      <c r="G44" s="66" t="str">
        <f ca="1">_xlfn.CONCAT(Tableau1[[#This Row],[POD]],"-",Tableau1[[#This Row],[Code PFI]],"-",Tableau1[[#This Row],[Compte Consignee]])</f>
        <v>MAPTM---900383</v>
      </c>
      <c r="H44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119640JPSMZTANGER</v>
      </c>
      <c r="I4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TANGER-SFK Freight Forwarder-Jatco Japon-1007-JPSMZ-ONE-MAPTM-</v>
      </c>
      <c r="J44" s="435" t="str">
        <f ca="1">IF(COUNTIF(I:I,Tableau1[[#This Row],[Plant-ILN-shipper-POL-Carrier-POD-PFI]])=1,"Non","Oui")</f>
        <v>Non</v>
      </c>
      <c r="K44" s="128" t="str">
        <f>VLOOKUP(Tableau1[[#This Row],[Name Site]],Plant_AILN!A:D,4,FALSE)</f>
        <v>MOROCCO</v>
      </c>
      <c r="L44" s="411" t="s">
        <v>180</v>
      </c>
      <c r="M44" s="439">
        <f>VLOOKUP(Tableau1[[#This Row],[Name Site]],Plant_AILN!A:C,3,FALSE)</f>
        <v>900383</v>
      </c>
      <c r="N44" s="55">
        <f>IF(Tableau1[[#This Row],[Name PFI/CDD]]="PFI VLL",2,VLOOKUP(Tableau1[[#This Row],[Compte Consignee]],Order!C:D,2,FALSE))</f>
        <v>7</v>
      </c>
      <c r="O44" s="116" t="s">
        <v>146</v>
      </c>
      <c r="P44" s="365">
        <f>VLOOKUP(Tableau1[[#This Row],[Name ILN]],Plant_AILN!F:G,2,FALSE)</f>
        <v>0</v>
      </c>
      <c r="Q44" s="50">
        <f>VLOOKUP(Tableau1[[#This Row],[Compte ILN]],'DATA ILN'!D:I,6,FALSE)</f>
        <v>9</v>
      </c>
      <c r="R44" s="50">
        <f ca="1">IFERROR(VLOOKUP(Tableau1[[#This Row],[Key(Compte ILN - shipper - POL - plant)]],'DATA ILN'!A:J,10,FALSE),VLOOKUP(Tableau1[[#This Row],[Key(Compte ILN - shipper - POL)]],'DATA ILN'!B:J,9,FALSE))</f>
        <v>14</v>
      </c>
      <c r="S44" s="50">
        <f ca="1">IFERROR(VLOOKUP(Tableau1[[#This Row],[Key(Compte ILN - shipper - POL - plant)]],'DATA ILN'!A:K,11,FALSE),VLOOKUP(Tableau1[[#This Row],[Key(Compte ILN - shipper - POL)]],'DATA ILN'!B:K,10,FALSE))</f>
        <v>5</v>
      </c>
      <c r="T44" s="50">
        <f ca="1">IFERROR(VLOOKUP(Tableau1[[#This Row],[Key(Compte ILN - shipper - POL - plant)]],'DATA ILN'!A:L,12,FALSE),VLOOKUP(Tableau1[[#This Row],[Key(Compte ILN - shipper - POL)]],'DATA ILN'!B:L,11,FALSE))</f>
        <v>7</v>
      </c>
      <c r="U44" s="50">
        <f ca="1">Tableau1[[#This Row],[Day ILN Order]]+Tableau1[[#This Row],[Delivery time to ILN/Shipper]]-1</f>
        <v>22</v>
      </c>
      <c r="V44" s="50">
        <f ca="1">IFERROR(VLOOKUP(Tableau1[[#This Row],[Key(Compte ILN - shipper - POL - plant)]],'DATA ILN'!A:N,14,FALSE),VLOOKUP(Tableau1[[#This Row],[Key(Compte ILN - shipper - POL)]],'DATA ILN'!B:N,13,FALSE))</f>
        <v>1</v>
      </c>
      <c r="W44" s="53">
        <f ca="1">IFERROR(VLOOKUP(Tableau1[[#This Row],[Key(Compte ILN - shipper - POL - plant)]],'DATA ILN'!A:P,16,FALSE),VLOOKUP(Tableau1[[#This Row],[Key(Compte ILN - shipper - POL)]],'DATA ILN'!B:P,15,FALSE))</f>
        <v>3</v>
      </c>
      <c r="X44" s="284" t="s">
        <v>178</v>
      </c>
      <c r="Y44" s="437">
        <f>IFERROR(VLOOKUP(Tableau1[[#This Row],[Name Shipper]],Plant_AILN!L:M,2,FALSE),0)</f>
        <v>119640</v>
      </c>
      <c r="Z44" s="406">
        <v>1007</v>
      </c>
      <c r="AA44" s="396" t="str">
        <f ca="1">VLOOKUP(Tableau1[[#This Row],[Key(ID-Actif)]],'DATA BTO'!A:N,5,FALSE)</f>
        <v>JPSMZ</v>
      </c>
      <c r="AB44" s="3" t="str">
        <f ca="1">VLOOKUP(Tableau1[[#This Row],[Key(ID-Actif)]],'DATA BTO'!A:N,6,FALSE)</f>
        <v>ONE</v>
      </c>
      <c r="AC44" s="50">
        <f ca="1">VLOOKUP(Tableau1[[#This Row],[Key(ID-Actif)]],'DATA BTO'!A:N,7,FALSE)</f>
        <v>5</v>
      </c>
      <c r="AD44" s="50">
        <f ca="1">VLOOKUP(Tableau1[[#This Row],[Key(ID-Actif)]],'DATA BTO'!A:N,8,FALSE)</f>
        <v>7</v>
      </c>
      <c r="AE44" s="50">
        <f ca="1">IF(Tableau1[[#This Row],[First Day to POL]]&lt;=Tableau1[[#This Row],[Day Cut Off]],Tableau1[[#This Row],[Day ETD]],Tableau1[[#This Row],[Day ETD]]+7)</f>
        <v>7</v>
      </c>
      <c r="AF44" s="50">
        <f ca="1">VLOOKUP(Tableau1[[#This Row],[Key(ID-Actif)]],'DATA BTO'!A:N,9,FALSE)</f>
        <v>49</v>
      </c>
      <c r="AG44" s="3" t="str">
        <f ca="1">VLOOKUP(Tableau1[[#This Row],[Key(ID-Actif)]],'DATA BTO'!A:N,10,FALSE)</f>
        <v>MAPTM</v>
      </c>
      <c r="AH44" s="3">
        <f ca="1">VLOOKUP(Tableau1[[#This Row],[Key(ID-Actif)]],'DATA BTO'!A:N,11,FALSE)</f>
        <v>3</v>
      </c>
      <c r="AI44" s="50">
        <f ca="1">VLOOKUP(Tableau1[[#This Row],[Key(ID-Actif)]],'DATA BTO'!A:N,12,FALSE)</f>
        <v>7</v>
      </c>
      <c r="AJ44" s="53" t="str">
        <f ca="1">VLOOKUP(Tableau1[[#This Row],[Key(ID-Actif)]],'DATA BTO'!A:N,14,FALSE)</f>
        <v>Max</v>
      </c>
      <c r="AK44" s="54">
        <f ca="1">VLOOKUP(Tableau1[[#This Row],[Key(POD -PFI- Usine)]],'DATA Consignee'!A:F,6,FALSE)</f>
        <v>3</v>
      </c>
      <c r="AL44" s="127"/>
      <c r="AM44" s="438" t="str">
        <f>IF(Tableau1[[#This Row],[Name PFI/CDD]]="","-",VLOOKUP(Tableau1[[#This Row],[Name PFI/CDD]],Plant_AILN!I:J,2,FALSE))</f>
        <v>-</v>
      </c>
      <c r="AN4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4" s="2">
        <f ca="1">VLOOKUP(Tableau1[[#This Row],[Key(POD -PFI- Usine)]],'DATA Consignee'!A:J,10,FALSE)</f>
        <v>0</v>
      </c>
      <c r="AQ44" s="50">
        <f ca="1">VLOOKUP(Tableau1[[#This Row],[Key(POD -PFI- Usine)]],'DATA Consignee'!A:N,14,FALSE)</f>
        <v>1</v>
      </c>
      <c r="AR4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4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44" s="50">
        <f ca="1">Tableau1[[#This Row],[Transit time]]+Tableau1[[#This Row],[Time for security]]+Tableau1[[#This Row],[Time for security2 buffer]]</f>
        <v>59</v>
      </c>
      <c r="AU4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44" s="433">
        <f ca="1">Tableau1[[#This Row],[Leadtime SI2C]]+Tableau1[[#This Row],[First Receipt Days]]-Tableau1[[#This Row],[Day Customer Order]]+1</f>
        <v>92</v>
      </c>
      <c r="AW44" s="119">
        <f ca="1">IF(Tableau1[[#This Row],[Name ILN]]&lt;&gt;"SFK Freight Forwarder",Tableau1[[#This Row],[Cust. Leadtime]],Tableau1[[#This Row],[Leadtime SI2C]])</f>
        <v>76</v>
      </c>
      <c r="AX44" s="51" t="s">
        <v>148</v>
      </c>
      <c r="AY44" s="338">
        <f ca="1">IFERROR(VLOOKUP(Tableau1[[#This Row],[Key(ID-Actif)]],'DATA BTO'!A:N,4,FALSE),VLOOKUP(Tableau1[[#This Row],[ID]],'DATA BTO'!B:N,3,FALSE))</f>
        <v>46507</v>
      </c>
      <c r="AZ44" s="50" t="str">
        <f>IF(ISNUMBER(Tableau1[[#This Row],[Day Customer Order]]),"-","Please Check 'Name' information in 'Order' Sheet to make sure they have information")</f>
        <v>-</v>
      </c>
      <c r="BA4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4" s="50"/>
    </row>
    <row r="45" spans="2:57" hidden="1">
      <c r="B45" s="474" t="str">
        <f>_xlfn.CONCAT(Tableau1[[#This Row],[Name ILN]],"-",Tableau1[[#This Row],[Name Shipper]],"-",Tableau1[[#This Row],[Name Site]])</f>
        <v>SFK Freight Forwarder-Jatco Japon-REVOZ</v>
      </c>
      <c r="C45" s="67" t="str">
        <f ca="1">_xlfn.CONCAT(Tableau1[[#This Row],[Compte ILN]],"-",Tableau1[[#This Row],[Compte Shipper]],"-",Tableau1[[#This Row],[POL]],"-",Tableau1[[#This Row],[Compte Consignee]])</f>
        <v>0-119640-JPSMZ-90016700</v>
      </c>
      <c r="D45" s="66" t="str">
        <f ca="1">_xlfn.CONCAT(Tableau1[[#This Row],[Compte ILN]],"-",Tableau1[[#This Row],[Compte Shipper]],"-",Tableau1[[#This Row],[POL]])</f>
        <v>0-119640-JPSMZ</v>
      </c>
      <c r="E45" s="434" t="str">
        <f ca="1">_xlfn.CONCAT(Tableau1[[#This Row],[POL]],"-",Tableau1[[#This Row],[Carrier]],"-",Tableau1[[#This Row],[POD]])</f>
        <v>JPSMZ-Maersk-SIKOP</v>
      </c>
      <c r="F45" s="66" t="str">
        <f>_xlfn.CONCAT(Tableau1[[#This Row],[ID]],"-","Actif")</f>
        <v>1009-Actif</v>
      </c>
      <c r="G45" s="66" t="str">
        <f ca="1">_xlfn.CONCAT(Tableau1[[#This Row],[POD]],"-",Tableau1[[#This Row],[Code PFI]],"-",Tableau1[[#This Row],[Compte Consignee]])</f>
        <v>SIKOP---90016700</v>
      </c>
      <c r="H45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119640JPSMZREVOZ</v>
      </c>
      <c r="I4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REVOZ-SFK Freight Forwarder-Jatco Japon-1009-JPSMZ-Maersk-SIKOP-</v>
      </c>
      <c r="J45" s="435" t="str">
        <f ca="1">IF(COUNTIF(I:I,Tableau1[[#This Row],[Plant-ILN-shipper-POL-Carrier-POD-PFI]])=1,"Non","Oui")</f>
        <v>Non</v>
      </c>
      <c r="K45" s="128" t="str">
        <f>VLOOKUP(Tableau1[[#This Row],[Name Site]],Plant_AILN!A:D,4,FALSE)</f>
        <v>SLOVENIA</v>
      </c>
      <c r="L45" s="411" t="s">
        <v>35</v>
      </c>
      <c r="M45" s="439">
        <f>VLOOKUP(Tableau1[[#This Row],[Name Site]],Plant_AILN!A:C,3,FALSE)</f>
        <v>90016700</v>
      </c>
      <c r="N45" s="55">
        <f>IF(Tableau1[[#This Row],[Name PFI/CDD]]="PFI VLL",2,VLOOKUP(Tableau1[[#This Row],[Compte Consignee]],Order!C:D,2,FALSE))</f>
        <v>7</v>
      </c>
      <c r="O45" s="116" t="s">
        <v>146</v>
      </c>
      <c r="P45" s="365">
        <f>VLOOKUP(Tableau1[[#This Row],[Name ILN]],Plant_AILN!F:G,2,FALSE)</f>
        <v>0</v>
      </c>
      <c r="Q45" s="50">
        <f>VLOOKUP(Tableau1[[#This Row],[Compte ILN]],'DATA ILN'!D:I,6,FALSE)</f>
        <v>9</v>
      </c>
      <c r="R45" s="50">
        <f ca="1">IFERROR(VLOOKUP(Tableau1[[#This Row],[Key(Compte ILN - shipper - POL - plant)]],'DATA ILN'!A:J,10,FALSE),VLOOKUP(Tableau1[[#This Row],[Key(Compte ILN - shipper - POL)]],'DATA ILN'!B:J,9,FALSE))</f>
        <v>14</v>
      </c>
      <c r="S45" s="50">
        <f ca="1">IFERROR(VLOOKUP(Tableau1[[#This Row],[Key(Compte ILN - shipper - POL - plant)]],'DATA ILN'!A:K,11,FALSE),VLOOKUP(Tableau1[[#This Row],[Key(Compte ILN - shipper - POL)]],'DATA ILN'!B:K,10,FALSE))</f>
        <v>5</v>
      </c>
      <c r="T45" s="50">
        <f ca="1">IFERROR(VLOOKUP(Tableau1[[#This Row],[Key(Compte ILN - shipper - POL - plant)]],'DATA ILN'!A:L,12,FALSE),VLOOKUP(Tableau1[[#This Row],[Key(Compte ILN - shipper - POL)]],'DATA ILN'!B:L,11,FALSE))</f>
        <v>7</v>
      </c>
      <c r="U45" s="50">
        <f ca="1">Tableau1[[#This Row],[Day ILN Order]]+Tableau1[[#This Row],[Delivery time to ILN/Shipper]]-1</f>
        <v>22</v>
      </c>
      <c r="V45" s="50">
        <f ca="1">IFERROR(VLOOKUP(Tableau1[[#This Row],[Key(Compte ILN - shipper - POL - plant)]],'DATA ILN'!A:N,14,FALSE),VLOOKUP(Tableau1[[#This Row],[Key(Compte ILN - shipper - POL)]],'DATA ILN'!B:N,13,FALSE))</f>
        <v>1</v>
      </c>
      <c r="W45" s="53">
        <f ca="1">IFERROR(VLOOKUP(Tableau1[[#This Row],[Key(Compte ILN - shipper - POL - plant)]],'DATA ILN'!A:P,16,FALSE),VLOOKUP(Tableau1[[#This Row],[Key(Compte ILN - shipper - POL)]],'DATA ILN'!B:P,15,FALSE))</f>
        <v>3</v>
      </c>
      <c r="X45" s="284" t="s">
        <v>178</v>
      </c>
      <c r="Y45" s="437">
        <f>IFERROR(VLOOKUP(Tableau1[[#This Row],[Name Shipper]],Plant_AILN!L:M,2,FALSE),0)</f>
        <v>119640</v>
      </c>
      <c r="Z45" s="406">
        <v>1009</v>
      </c>
      <c r="AA45" s="396" t="str">
        <f ca="1">VLOOKUP(Tableau1[[#This Row],[Key(ID-Actif)]],'DATA BTO'!A:N,5,FALSE)</f>
        <v>JPSMZ</v>
      </c>
      <c r="AB45" s="3" t="str">
        <f ca="1">VLOOKUP(Tableau1[[#This Row],[Key(ID-Actif)]],'DATA BTO'!A:N,6,FALSE)</f>
        <v>Maersk</v>
      </c>
      <c r="AC45" s="50">
        <f ca="1">VLOOKUP(Tableau1[[#This Row],[Key(ID-Actif)]],'DATA BTO'!A:N,7,FALSE)</f>
        <v>1</v>
      </c>
      <c r="AD45" s="50">
        <f ca="1">VLOOKUP(Tableau1[[#This Row],[Key(ID-Actif)]],'DATA BTO'!A:N,8,FALSE)</f>
        <v>2</v>
      </c>
      <c r="AE45" s="50">
        <f ca="1">IF(Tableau1[[#This Row],[First Day to POL]]&lt;=Tableau1[[#This Row],[Day Cut Off]],Tableau1[[#This Row],[Day ETD]],Tableau1[[#This Row],[Day ETD]]+7)</f>
        <v>9</v>
      </c>
      <c r="AF45" s="50">
        <f ca="1">VLOOKUP(Tableau1[[#This Row],[Key(ID-Actif)]],'DATA BTO'!A:N,9,FALSE)</f>
        <v>53</v>
      </c>
      <c r="AG45" s="3" t="str">
        <f ca="1">VLOOKUP(Tableau1[[#This Row],[Key(ID-Actif)]],'DATA BTO'!A:N,10,FALSE)</f>
        <v>SIKOP</v>
      </c>
      <c r="AH45" s="3">
        <f ca="1">VLOOKUP(Tableau1[[#This Row],[Key(ID-Actif)]],'DATA BTO'!A:N,11,FALSE)</f>
        <v>3</v>
      </c>
      <c r="AI45" s="50">
        <f ca="1">VLOOKUP(Tableau1[[#This Row],[Key(ID-Actif)]],'DATA BTO'!A:N,12,FALSE)</f>
        <v>0</v>
      </c>
      <c r="AJ45" s="53" t="str">
        <f ca="1">VLOOKUP(Tableau1[[#This Row],[Key(ID-Actif)]],'DATA BTO'!A:N,14,FALSE)</f>
        <v>Max</v>
      </c>
      <c r="AK45" s="54">
        <f ca="1">VLOOKUP(Tableau1[[#This Row],[Key(POD -PFI- Usine)]],'DATA Consignee'!A:F,6,FALSE)</f>
        <v>2</v>
      </c>
      <c r="AL45" s="127"/>
      <c r="AM45" s="438" t="str">
        <f>IF(Tableau1[[#This Row],[Name PFI/CDD]]="","-",VLOOKUP(Tableau1[[#This Row],[Name PFI/CDD]],Plant_AILN!I:J,2,FALSE))</f>
        <v>-</v>
      </c>
      <c r="AN4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5" s="2">
        <f ca="1">VLOOKUP(Tableau1[[#This Row],[Key(POD -PFI- Usine)]],'DATA Consignee'!A:J,10,FALSE)</f>
        <v>0</v>
      </c>
      <c r="AQ45" s="50">
        <f ca="1">VLOOKUP(Tableau1[[#This Row],[Key(POD -PFI- Usine)]],'DATA Consignee'!A:N,14,FALSE)</f>
        <v>2</v>
      </c>
      <c r="AR4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4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5" s="50">
        <f ca="1">Tableau1[[#This Row],[Transit time]]+Tableau1[[#This Row],[Time for security]]+Tableau1[[#This Row],[Time for security2 buffer]]</f>
        <v>56</v>
      </c>
      <c r="AU4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45" s="433">
        <f ca="1">Tableau1[[#This Row],[Leadtime SI2C]]+Tableau1[[#This Row],[First Receipt Days]]-Tableau1[[#This Row],[Day Customer Order]]+1</f>
        <v>92</v>
      </c>
      <c r="AW45" s="119">
        <f ca="1">IF(Tableau1[[#This Row],[Name ILN]]&lt;&gt;"SFK Freight Forwarder",Tableau1[[#This Row],[Cust. Leadtime]],Tableau1[[#This Row],[Leadtime SI2C]])</f>
        <v>76</v>
      </c>
      <c r="AX45" s="51" t="s">
        <v>148</v>
      </c>
      <c r="AY45" s="338">
        <f ca="1">IFERROR(VLOOKUP(Tableau1[[#This Row],[Key(ID-Actif)]],'DATA BTO'!A:N,4,FALSE),VLOOKUP(Tableau1[[#This Row],[ID]],'DATA BTO'!B:N,3,FALSE))</f>
        <v>46507</v>
      </c>
      <c r="AZ45" s="50" t="str">
        <f>IF(ISNUMBER(Tableau1[[#This Row],[Day Customer Order]]),"-","Please Check 'Name' information in 'Order' Sheet to make sure they have information")</f>
        <v>-</v>
      </c>
      <c r="BA4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5" s="50"/>
    </row>
    <row r="46" spans="2:57" hidden="1">
      <c r="B46" s="474" t="str">
        <f>_xlfn.CONCAT(Tableau1[[#This Row],[Name ILN]],"-",Tableau1[[#This Row],[Name Shipper]],"-",Tableau1[[#This Row],[Name Site]])</f>
        <v>SFK Freight Forwarder-Jatco Japon-OYAK MONT</v>
      </c>
      <c r="C46" s="67" t="str">
        <f ca="1">_xlfn.CONCAT(Tableau1[[#This Row],[Compte ILN]],"-",Tableau1[[#This Row],[Compte Shipper]],"-",Tableau1[[#This Row],[POL]],"-",Tableau1[[#This Row],[Compte Consignee]])</f>
        <v>0-119640-JPSMZ-90017000</v>
      </c>
      <c r="D46" s="66" t="str">
        <f ca="1">_xlfn.CONCAT(Tableau1[[#This Row],[Compte ILN]],"-",Tableau1[[#This Row],[Compte Shipper]],"-",Tableau1[[#This Row],[POL]])</f>
        <v>0-119640-JPSMZ</v>
      </c>
      <c r="E46" s="434" t="str">
        <f ca="1">_xlfn.CONCAT(Tableau1[[#This Row],[POL]],"-",Tableau1[[#This Row],[Carrier]],"-",Tableau1[[#This Row],[POD]])</f>
        <v>JPSMZ-ONE-TRIZT</v>
      </c>
      <c r="F46" s="66" t="str">
        <f>_xlfn.CONCAT(Tableau1[[#This Row],[ID]],"-","Actif")</f>
        <v>1010-Actif</v>
      </c>
      <c r="G46" s="66" t="str">
        <f ca="1">_xlfn.CONCAT(Tableau1[[#This Row],[POD]],"-",Tableau1[[#This Row],[Code PFI]],"-",Tableau1[[#This Row],[Compte Consignee]])</f>
        <v>TRIZT---90017000</v>
      </c>
      <c r="H46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119640JPSMZOYAK MONT</v>
      </c>
      <c r="I4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MONT-SFK Freight Forwarder-Jatco Japon-1010-JPSMZ-ONE-TRIZT-</v>
      </c>
      <c r="J46" s="435" t="str">
        <f ca="1">IF(COUNTIF(I:I,Tableau1[[#This Row],[Plant-ILN-shipper-POL-Carrier-POD-PFI]])=1,"Non","Oui")</f>
        <v>Non</v>
      </c>
      <c r="K46" s="128" t="str">
        <f>VLOOKUP(Tableau1[[#This Row],[Name Site]],Plant_AILN!A:D,4,FALSE)</f>
        <v>TURKEY</v>
      </c>
      <c r="L46" s="411" t="s">
        <v>173</v>
      </c>
      <c r="M46" s="439">
        <f>VLOOKUP(Tableau1[[#This Row],[Name Site]],Plant_AILN!A:C,3,FALSE)</f>
        <v>90017000</v>
      </c>
      <c r="N46" s="55">
        <f>IF(Tableau1[[#This Row],[Name PFI/CDD]]="PFI VLL",2,VLOOKUP(Tableau1[[#This Row],[Compte Consignee]],Order!C:D,2,FALSE))</f>
        <v>7</v>
      </c>
      <c r="O46" s="116" t="s">
        <v>146</v>
      </c>
      <c r="P46" s="365">
        <f>VLOOKUP(Tableau1[[#This Row],[Name ILN]],Plant_AILN!F:G,2,FALSE)</f>
        <v>0</v>
      </c>
      <c r="Q46" s="50">
        <f>VLOOKUP(Tableau1[[#This Row],[Compte ILN]],'DATA ILN'!D:I,6,FALSE)</f>
        <v>9</v>
      </c>
      <c r="R46" s="50">
        <f ca="1">IFERROR(VLOOKUP(Tableau1[[#This Row],[Key(Compte ILN - shipper - POL - plant)]],'DATA ILN'!A:J,10,FALSE),VLOOKUP(Tableau1[[#This Row],[Key(Compte ILN - shipper - POL)]],'DATA ILN'!B:J,9,FALSE))</f>
        <v>14</v>
      </c>
      <c r="S46" s="50">
        <f ca="1">IFERROR(VLOOKUP(Tableau1[[#This Row],[Key(Compte ILN - shipper - POL - plant)]],'DATA ILN'!A:K,11,FALSE),VLOOKUP(Tableau1[[#This Row],[Key(Compte ILN - shipper - POL)]],'DATA ILN'!B:K,10,FALSE))</f>
        <v>5</v>
      </c>
      <c r="T46" s="50">
        <f ca="1">IFERROR(VLOOKUP(Tableau1[[#This Row],[Key(Compte ILN - shipper - POL - plant)]],'DATA ILN'!A:L,12,FALSE),VLOOKUP(Tableau1[[#This Row],[Key(Compte ILN - shipper - POL)]],'DATA ILN'!B:L,11,FALSE))</f>
        <v>7</v>
      </c>
      <c r="U46" s="50">
        <f ca="1">Tableau1[[#This Row],[Day ILN Order]]+Tableau1[[#This Row],[Delivery time to ILN/Shipper]]-1</f>
        <v>22</v>
      </c>
      <c r="V46" s="50">
        <f ca="1">IFERROR(VLOOKUP(Tableau1[[#This Row],[Key(Compte ILN - shipper - POL - plant)]],'DATA ILN'!A:N,14,FALSE),VLOOKUP(Tableau1[[#This Row],[Key(Compte ILN - shipper - POL)]],'DATA ILN'!B:N,13,FALSE))</f>
        <v>1</v>
      </c>
      <c r="W46" s="53">
        <f ca="1">IFERROR(VLOOKUP(Tableau1[[#This Row],[Key(Compte ILN - shipper - POL - plant)]],'DATA ILN'!A:P,16,FALSE),VLOOKUP(Tableau1[[#This Row],[Key(Compte ILN - shipper - POL)]],'DATA ILN'!B:P,15,FALSE))</f>
        <v>3</v>
      </c>
      <c r="X46" s="284" t="s">
        <v>178</v>
      </c>
      <c r="Y46" s="437">
        <f>IFERROR(VLOOKUP(Tableau1[[#This Row],[Name Shipper]],Plant_AILN!L:M,2,FALSE),0)</f>
        <v>119640</v>
      </c>
      <c r="Z46" s="406">
        <v>1010</v>
      </c>
      <c r="AA46" s="396" t="str">
        <f ca="1">VLOOKUP(Tableau1[[#This Row],[Key(ID-Actif)]],'DATA BTO'!A:N,5,FALSE)</f>
        <v>JPSMZ</v>
      </c>
      <c r="AB46" s="3" t="str">
        <f ca="1">VLOOKUP(Tableau1[[#This Row],[Key(ID-Actif)]],'DATA BTO'!A:N,6,FALSE)</f>
        <v>ONE</v>
      </c>
      <c r="AC46" s="50">
        <f ca="1">VLOOKUP(Tableau1[[#This Row],[Key(ID-Actif)]],'DATA BTO'!A:N,7,FALSE)</f>
        <v>5</v>
      </c>
      <c r="AD46" s="50">
        <f ca="1">VLOOKUP(Tableau1[[#This Row],[Key(ID-Actif)]],'DATA BTO'!A:N,8,FALSE)</f>
        <v>8</v>
      </c>
      <c r="AE46" s="50">
        <f ca="1">IF(Tableau1[[#This Row],[First Day to POL]]&lt;=Tableau1[[#This Row],[Day Cut Off]],Tableau1[[#This Row],[Day ETD]],Tableau1[[#This Row],[Day ETD]]+7)</f>
        <v>8</v>
      </c>
      <c r="AF46" s="50">
        <f ca="1">VLOOKUP(Tableau1[[#This Row],[Key(ID-Actif)]],'DATA BTO'!A:N,9,FALSE)</f>
        <v>63</v>
      </c>
      <c r="AG46" s="3" t="str">
        <f ca="1">VLOOKUP(Tableau1[[#This Row],[Key(ID-Actif)]],'DATA BTO'!A:N,10,FALSE)</f>
        <v>TRIZT</v>
      </c>
      <c r="AH46" s="3">
        <f ca="1">VLOOKUP(Tableau1[[#This Row],[Key(ID-Actif)]],'DATA BTO'!A:N,11,FALSE)</f>
        <v>3</v>
      </c>
      <c r="AI46" s="50">
        <f ca="1">VLOOKUP(Tableau1[[#This Row],[Key(ID-Actif)]],'DATA BTO'!A:N,12,FALSE)</f>
        <v>0</v>
      </c>
      <c r="AJ46" s="53" t="str">
        <f ca="1">VLOOKUP(Tableau1[[#This Row],[Key(ID-Actif)]],'DATA BTO'!A:N,14,FALSE)</f>
        <v>Max</v>
      </c>
      <c r="AK46" s="54">
        <f ca="1">VLOOKUP(Tableau1[[#This Row],[Key(POD -PFI- Usine)]],'DATA Consignee'!A:F,6,FALSE)</f>
        <v>4</v>
      </c>
      <c r="AL46" s="127"/>
      <c r="AM46" s="438" t="str">
        <f>IF(Tableau1[[#This Row],[Name PFI/CDD]]="","-",VLOOKUP(Tableau1[[#This Row],[Name PFI/CDD]],Plant_AILN!I:J,2,FALSE))</f>
        <v>-</v>
      </c>
      <c r="AN4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6" s="2">
        <f ca="1">VLOOKUP(Tableau1[[#This Row],[Key(POD -PFI- Usine)]],'DATA Consignee'!A:J,10,FALSE)</f>
        <v>0</v>
      </c>
      <c r="AQ46" s="50">
        <f ca="1">VLOOKUP(Tableau1[[#This Row],[Key(POD -PFI- Usine)]],'DATA Consignee'!A:N,14,FALSE)</f>
        <v>3</v>
      </c>
      <c r="AR4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4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46" s="50">
        <f ca="1">Tableau1[[#This Row],[Transit time]]+Tableau1[[#This Row],[Time for security]]+Tableau1[[#This Row],[Time for security2 buffer]]</f>
        <v>66</v>
      </c>
      <c r="AU4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46" s="433">
        <f ca="1">Tableau1[[#This Row],[Leadtime SI2C]]+Tableau1[[#This Row],[First Receipt Days]]-Tableau1[[#This Row],[Day Customer Order]]+1</f>
        <v>106</v>
      </c>
      <c r="AW46" s="119">
        <f ca="1">IF(Tableau1[[#This Row],[Name ILN]]&lt;&gt;"SFK Freight Forwarder",Tableau1[[#This Row],[Cust. Leadtime]],Tableau1[[#This Row],[Leadtime SI2C]])</f>
        <v>90</v>
      </c>
      <c r="AX46" s="51" t="s">
        <v>148</v>
      </c>
      <c r="AY46" s="338">
        <f ca="1">IFERROR(VLOOKUP(Tableau1[[#This Row],[Key(ID-Actif)]],'DATA BTO'!A:N,4,FALSE),VLOOKUP(Tableau1[[#This Row],[ID]],'DATA BTO'!B:N,3,FALSE))</f>
        <v>46507</v>
      </c>
      <c r="AZ46" s="50" t="str">
        <f>IF(ISNUMBER(Tableau1[[#This Row],[Day Customer Order]]),"-","Please Check 'Name' information in 'Order' Sheet to make sure they have information")</f>
        <v>-</v>
      </c>
      <c r="BA4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6" s="50"/>
    </row>
    <row r="47" spans="2:57" hidden="1">
      <c r="B47" s="474" t="str">
        <f>_xlfn.CONCAT(Tableau1[[#This Row],[Name ILN]],"-",Tableau1[[#This Row],[Name Shipper]],"-",Tableau1[[#This Row],[Name Site]])</f>
        <v>SFK Freight Forwarder-Jatco Japon-RKM</v>
      </c>
      <c r="C47" s="67" t="str">
        <f ca="1">_xlfn.CONCAT(Tableau1[[#This Row],[Compte ILN]],"-",Tableau1[[#This Row],[Compte Shipper]],"-",Tableau1[[#This Row],[POL]],"-",Tableau1[[#This Row],[Compte Consignee]])</f>
        <v>0-119640-JPSMZ-92002200</v>
      </c>
      <c r="D47" s="66" t="str">
        <f ca="1">_xlfn.CONCAT(Tableau1[[#This Row],[Compte ILN]],"-",Tableau1[[#This Row],[Compte Shipper]],"-",Tableau1[[#This Row],[POL]])</f>
        <v>0-119640-JPSMZ</v>
      </c>
      <c r="E47" s="434" t="str">
        <f ca="1">_xlfn.CONCAT(Tableau1[[#This Row],[POL]],"-",Tableau1[[#This Row],[Carrier]],"-",Tableau1[[#This Row],[POD]])</f>
        <v>JPSMZ-ONE-KRPUS</v>
      </c>
      <c r="F47" s="66" t="str">
        <f>_xlfn.CONCAT(Tableau1[[#This Row],[ID]],"-","Actif")</f>
        <v>1011-Actif</v>
      </c>
      <c r="G47" s="66" t="str">
        <f ca="1">_xlfn.CONCAT(Tableau1[[#This Row],[POD]],"-",Tableau1[[#This Row],[Code PFI]],"-",Tableau1[[#This Row],[Compte Consignee]])</f>
        <v>KRPUS---92002200</v>
      </c>
      <c r="H47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119640JPSMZRKM</v>
      </c>
      <c r="I4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Forwarder-Jatco Japon-1011-JPSMZ-ONE-KRPUS-</v>
      </c>
      <c r="J47" s="435" t="str">
        <f ca="1">IF(COUNTIF(I:I,Tableau1[[#This Row],[Plant-ILN-shipper-POL-Carrier-POD-PFI]])=1,"Non","Oui")</f>
        <v>Non</v>
      </c>
      <c r="K47" s="128" t="str">
        <f>VLOOKUP(Tableau1[[#This Row],[Name Site]],Plant_AILN!A:D,4,FALSE)</f>
        <v>KOREA</v>
      </c>
      <c r="L47" s="411" t="s">
        <v>145</v>
      </c>
      <c r="M47" s="439">
        <f>VLOOKUP(Tableau1[[#This Row],[Name Site]],Plant_AILN!A:C,3,FALSE)</f>
        <v>92002200</v>
      </c>
      <c r="N47" s="55">
        <f>IF(Tableau1[[#This Row],[Name PFI/CDD]]="PFI VLL",2,VLOOKUP(Tableau1[[#This Row],[Compte Consignee]],Order!C:D,2,FALSE))</f>
        <v>2</v>
      </c>
      <c r="O47" s="116" t="s">
        <v>146</v>
      </c>
      <c r="P47" s="365">
        <f>VLOOKUP(Tableau1[[#This Row],[Name ILN]],Plant_AILN!F:G,2,FALSE)</f>
        <v>0</v>
      </c>
      <c r="Q47" s="50">
        <f>VLOOKUP(Tableau1[[#This Row],[Compte ILN]],'DATA ILN'!D:I,6,FALSE)</f>
        <v>9</v>
      </c>
      <c r="R47" s="50">
        <f ca="1">IFERROR(VLOOKUP(Tableau1[[#This Row],[Key(Compte ILN - shipper - POL - plant)]],'DATA ILN'!A:J,10,FALSE),VLOOKUP(Tableau1[[#This Row],[Key(Compte ILN - shipper - POL)]],'DATA ILN'!B:J,9,FALSE))</f>
        <v>14</v>
      </c>
      <c r="S47" s="50">
        <f ca="1">IFERROR(VLOOKUP(Tableau1[[#This Row],[Key(Compte ILN - shipper - POL - plant)]],'DATA ILN'!A:K,11,FALSE),VLOOKUP(Tableau1[[#This Row],[Key(Compte ILN - shipper - POL)]],'DATA ILN'!B:K,10,FALSE))</f>
        <v>5</v>
      </c>
      <c r="T47" s="50">
        <f ca="1">IFERROR(VLOOKUP(Tableau1[[#This Row],[Key(Compte ILN - shipper - POL - plant)]],'DATA ILN'!A:L,12,FALSE),VLOOKUP(Tableau1[[#This Row],[Key(Compte ILN - shipper - POL)]],'DATA ILN'!B:L,11,FALSE))</f>
        <v>7</v>
      </c>
      <c r="U47" s="50">
        <f ca="1">Tableau1[[#This Row],[Day ILN Order]]+Tableau1[[#This Row],[Delivery time to ILN/Shipper]]-1</f>
        <v>22</v>
      </c>
      <c r="V47" s="50">
        <f ca="1">IFERROR(VLOOKUP(Tableau1[[#This Row],[Key(Compte ILN - shipper - POL - plant)]],'DATA ILN'!A:N,14,FALSE),VLOOKUP(Tableau1[[#This Row],[Key(Compte ILN - shipper - POL)]],'DATA ILN'!B:N,13,FALSE))</f>
        <v>1</v>
      </c>
      <c r="W47" s="53">
        <f ca="1">IFERROR(VLOOKUP(Tableau1[[#This Row],[Key(Compte ILN - shipper - POL - plant)]],'DATA ILN'!A:P,16,FALSE),VLOOKUP(Tableau1[[#This Row],[Key(Compte ILN - shipper - POL)]],'DATA ILN'!B:P,15,FALSE))</f>
        <v>3</v>
      </c>
      <c r="X47" s="284" t="s">
        <v>178</v>
      </c>
      <c r="Y47" s="437">
        <f>IFERROR(VLOOKUP(Tableau1[[#This Row],[Name Shipper]],Plant_AILN!L:M,2,FALSE),0)</f>
        <v>119640</v>
      </c>
      <c r="Z47" s="406">
        <v>1011</v>
      </c>
      <c r="AA47" s="396" t="str">
        <f ca="1">VLOOKUP(Tableau1[[#This Row],[Key(ID-Actif)]],'DATA BTO'!A:N,5,FALSE)</f>
        <v>JPSMZ</v>
      </c>
      <c r="AB47" s="3" t="str">
        <f ca="1">VLOOKUP(Tableau1[[#This Row],[Key(ID-Actif)]],'DATA BTO'!A:N,6,FALSE)</f>
        <v>ONE</v>
      </c>
      <c r="AC47" s="50">
        <f ca="1">VLOOKUP(Tableau1[[#This Row],[Key(ID-Actif)]],'DATA BTO'!A:N,7,FALSE)</f>
        <v>4</v>
      </c>
      <c r="AD47" s="50">
        <f ca="1">VLOOKUP(Tableau1[[#This Row],[Key(ID-Actif)]],'DATA BTO'!A:N,8,FALSE)</f>
        <v>6</v>
      </c>
      <c r="AE47" s="50">
        <f ca="1">IF(Tableau1[[#This Row],[First Day to POL]]&lt;=Tableau1[[#This Row],[Day Cut Off]],Tableau1[[#This Row],[Day ETD]],Tableau1[[#This Row],[Day ETD]]+7)</f>
        <v>6</v>
      </c>
      <c r="AF47" s="50">
        <f ca="1">VLOOKUP(Tableau1[[#This Row],[Key(ID-Actif)]],'DATA BTO'!A:N,9,FALSE)</f>
        <v>4</v>
      </c>
      <c r="AG47" s="3" t="str">
        <f ca="1">VLOOKUP(Tableau1[[#This Row],[Key(ID-Actif)]],'DATA BTO'!A:N,10,FALSE)</f>
        <v>KRPUS</v>
      </c>
      <c r="AH47" s="3">
        <f ca="1">VLOOKUP(Tableau1[[#This Row],[Key(ID-Actif)]],'DATA BTO'!A:N,11,FALSE)</f>
        <v>3</v>
      </c>
      <c r="AI47" s="50">
        <f ca="1">VLOOKUP(Tableau1[[#This Row],[Key(ID-Actif)]],'DATA BTO'!A:N,12,FALSE)</f>
        <v>7</v>
      </c>
      <c r="AJ47" s="53" t="str">
        <f ca="1">VLOOKUP(Tableau1[[#This Row],[Key(ID-Actif)]],'DATA BTO'!A:N,14,FALSE)</f>
        <v>Max</v>
      </c>
      <c r="AK47" s="54">
        <f ca="1">VLOOKUP(Tableau1[[#This Row],[Key(POD -PFI- Usine)]],'DATA Consignee'!A:F,6,FALSE)</f>
        <v>2</v>
      </c>
      <c r="AL47" s="127"/>
      <c r="AM47" s="438" t="str">
        <f>IF(Tableau1[[#This Row],[Name PFI/CDD]]="","-",VLOOKUP(Tableau1[[#This Row],[Name PFI/CDD]],Plant_AILN!I:J,2,FALSE))</f>
        <v>-</v>
      </c>
      <c r="AN4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7" s="2">
        <f ca="1">VLOOKUP(Tableau1[[#This Row],[Key(POD -PFI- Usine)]],'DATA Consignee'!A:J,10,FALSE)</f>
        <v>0</v>
      </c>
      <c r="AQ47" s="50">
        <f ca="1">VLOOKUP(Tableau1[[#This Row],[Key(POD -PFI- Usine)]],'DATA Consignee'!A:N,14,FALSE)</f>
        <v>1</v>
      </c>
      <c r="AR4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47" s="50">
        <f ca="1">Tableau1[[#This Row],[Transit time]]+Tableau1[[#This Row],[Time for security]]+Tableau1[[#This Row],[Time for security2 buffer]]</f>
        <v>14</v>
      </c>
      <c r="AU4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34</v>
      </c>
      <c r="AV47" s="433">
        <f ca="1">Tableau1[[#This Row],[Leadtime SI2C]]+Tableau1[[#This Row],[First Receipt Days]]-Tableau1[[#This Row],[Day Customer Order]]+1</f>
        <v>55</v>
      </c>
      <c r="AW47" s="119">
        <f ca="1">IF(Tableau1[[#This Row],[Name ILN]]&lt;&gt;"SFK Freight Forwarder",Tableau1[[#This Row],[Cust. Leadtime]],Tableau1[[#This Row],[Leadtime SI2C]])</f>
        <v>34</v>
      </c>
      <c r="AX47" s="51" t="s">
        <v>148</v>
      </c>
      <c r="AY47" s="338">
        <f ca="1">IFERROR(VLOOKUP(Tableau1[[#This Row],[Key(ID-Actif)]],'DATA BTO'!A:N,4,FALSE),VLOOKUP(Tableau1[[#This Row],[ID]],'DATA BTO'!B:N,3,FALSE))</f>
        <v>46507</v>
      </c>
      <c r="AZ47" s="50" t="str">
        <f>IF(ISNUMBER(Tableau1[[#This Row],[Day Customer Order]]),"-","Please Check 'Name' information in 'Order' Sheet to make sure they have information")</f>
        <v>-</v>
      </c>
      <c r="BA4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7" s="50"/>
    </row>
    <row r="48" spans="2:57" hidden="1">
      <c r="B48" s="474" t="str">
        <f>_xlfn.CONCAT(Tableau1[[#This Row],[Name ILN]],"-",Tableau1[[#This Row],[Name Shipper]],"-",Tableau1[[#This Row],[Name Site]])</f>
        <v>SFK Freight Forwarder-Jatco Japon-CURITIBA CVP</v>
      </c>
      <c r="C48" s="67" t="str">
        <f ca="1">_xlfn.CONCAT(Tableau1[[#This Row],[Compte ILN]],"-",Tableau1[[#This Row],[Compte Shipper]],"-",Tableau1[[#This Row],[POL]],"-",Tableau1[[#This Row],[Compte Consignee]])</f>
        <v>0-119640-JPSMZ-90018000</v>
      </c>
      <c r="D48" s="66" t="str">
        <f ca="1">_xlfn.CONCAT(Tableau1[[#This Row],[Compte ILN]],"-",Tableau1[[#This Row],[Compte Shipper]],"-",Tableau1[[#This Row],[POL]])</f>
        <v>0-119640-JPSMZ</v>
      </c>
      <c r="E48" s="434" t="str">
        <f ca="1">_xlfn.CONCAT(Tableau1[[#This Row],[POL]],"-",Tableau1[[#This Row],[Carrier]],"-",Tableau1[[#This Row],[POD]])</f>
        <v>JPSMZ-ONE-BRPNG</v>
      </c>
      <c r="F48" s="66" t="str">
        <f>_xlfn.CONCAT(Tableau1[[#This Row],[ID]],"-","Actif")</f>
        <v>1012-Actif</v>
      </c>
      <c r="G48" s="66" t="str">
        <f ca="1">_xlfn.CONCAT(Tableau1[[#This Row],[POD]],"-",Tableau1[[#This Row],[Code PFI]],"-",Tableau1[[#This Row],[Compte Consignee]])</f>
        <v>BRPNG---90018000</v>
      </c>
      <c r="H48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119640JPSMZCURITIBA CVP</v>
      </c>
      <c r="I4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Forwarder-Jatco Japon-1012-JPSMZ-ONE-BRPNG-</v>
      </c>
      <c r="J48" s="435" t="str">
        <f ca="1">IF(COUNTIF(I:I,Tableau1[[#This Row],[Plant-ILN-shipper-POL-Carrier-POD-PFI]])=1,"Non","Oui")</f>
        <v>Non</v>
      </c>
      <c r="K48" s="128" t="str">
        <f>VLOOKUP(Tableau1[[#This Row],[Name Site]],Plant_AILN!A:D,4,FALSE)</f>
        <v>BRAZIL</v>
      </c>
      <c r="L48" s="411" t="s">
        <v>181</v>
      </c>
      <c r="M48" s="439">
        <f>VLOOKUP(Tableau1[[#This Row],[Name Site]],Plant_AILN!A:C,3,FALSE)</f>
        <v>90018000</v>
      </c>
      <c r="N48" s="55">
        <f>IF(Tableau1[[#This Row],[Name PFI/CDD]]="PFI VLL",2,VLOOKUP(Tableau1[[#This Row],[Compte Consignee]],Order!C:D,2,FALSE))</f>
        <v>7</v>
      </c>
      <c r="O48" s="116" t="s">
        <v>146</v>
      </c>
      <c r="P48" s="365">
        <f>VLOOKUP(Tableau1[[#This Row],[Name ILN]],Plant_AILN!F:G,2,FALSE)</f>
        <v>0</v>
      </c>
      <c r="Q48" s="50">
        <f>VLOOKUP(Tableau1[[#This Row],[Compte ILN]],'DATA ILN'!D:I,6,FALSE)</f>
        <v>9</v>
      </c>
      <c r="R48" s="50">
        <f ca="1">IFERROR(VLOOKUP(Tableau1[[#This Row],[Key(Compte ILN - shipper - POL - plant)]],'DATA ILN'!A:J,10,FALSE),VLOOKUP(Tableau1[[#This Row],[Key(Compte ILN - shipper - POL)]],'DATA ILN'!B:J,9,FALSE))</f>
        <v>14</v>
      </c>
      <c r="S48" s="50">
        <f ca="1">IFERROR(VLOOKUP(Tableau1[[#This Row],[Key(Compte ILN - shipper - POL - plant)]],'DATA ILN'!A:K,11,FALSE),VLOOKUP(Tableau1[[#This Row],[Key(Compte ILN - shipper - POL)]],'DATA ILN'!B:K,10,FALSE))</f>
        <v>5</v>
      </c>
      <c r="T48" s="50">
        <f ca="1">IFERROR(VLOOKUP(Tableau1[[#This Row],[Key(Compte ILN - shipper - POL - plant)]],'DATA ILN'!A:L,12,FALSE),VLOOKUP(Tableau1[[#This Row],[Key(Compte ILN - shipper - POL)]],'DATA ILN'!B:L,11,FALSE))</f>
        <v>7</v>
      </c>
      <c r="U48" s="50">
        <f ca="1">Tableau1[[#This Row],[Day ILN Order]]+Tableau1[[#This Row],[Delivery time to ILN/Shipper]]-1</f>
        <v>22</v>
      </c>
      <c r="V48" s="50">
        <f ca="1">IFERROR(VLOOKUP(Tableau1[[#This Row],[Key(Compte ILN - shipper - POL - plant)]],'DATA ILN'!A:N,14,FALSE),VLOOKUP(Tableau1[[#This Row],[Key(Compte ILN - shipper - POL)]],'DATA ILN'!B:N,13,FALSE))</f>
        <v>1</v>
      </c>
      <c r="W48" s="53">
        <f ca="1">IFERROR(VLOOKUP(Tableau1[[#This Row],[Key(Compte ILN - shipper - POL - plant)]],'DATA ILN'!A:P,16,FALSE),VLOOKUP(Tableau1[[#This Row],[Key(Compte ILN - shipper - POL)]],'DATA ILN'!B:P,15,FALSE))</f>
        <v>3</v>
      </c>
      <c r="X48" s="284" t="s">
        <v>178</v>
      </c>
      <c r="Y48" s="437">
        <f>IFERROR(VLOOKUP(Tableau1[[#This Row],[Name Shipper]],Plant_AILN!L:M,2,FALSE),0)</f>
        <v>119640</v>
      </c>
      <c r="Z48" s="406">
        <v>1012</v>
      </c>
      <c r="AA48" s="396" t="str">
        <f ca="1">VLOOKUP(Tableau1[[#This Row],[Key(ID-Actif)]],'DATA BTO'!A:N,5,FALSE)</f>
        <v>JPSMZ</v>
      </c>
      <c r="AB48" s="3" t="str">
        <f ca="1">VLOOKUP(Tableau1[[#This Row],[Key(ID-Actif)]],'DATA BTO'!A:N,6,FALSE)</f>
        <v>ONE</v>
      </c>
      <c r="AC48" s="50">
        <f ca="1">VLOOKUP(Tableau1[[#This Row],[Key(ID-Actif)]],'DATA BTO'!A:N,7,FALSE)</f>
        <v>5</v>
      </c>
      <c r="AD48" s="50">
        <f ca="1">VLOOKUP(Tableau1[[#This Row],[Key(ID-Actif)]],'DATA BTO'!A:N,8,FALSE)</f>
        <v>9</v>
      </c>
      <c r="AE48" s="50">
        <f ca="1">IF(Tableau1[[#This Row],[First Day to POL]]&lt;=Tableau1[[#This Row],[Day Cut Off]],Tableau1[[#This Row],[Day ETD]],Tableau1[[#This Row],[Day ETD]]+7)</f>
        <v>9</v>
      </c>
      <c r="AF48" s="50">
        <f ca="1">VLOOKUP(Tableau1[[#This Row],[Key(ID-Actif)]],'DATA BTO'!A:N,9,FALSE)</f>
        <v>48</v>
      </c>
      <c r="AG48" s="3" t="str">
        <f ca="1">VLOOKUP(Tableau1[[#This Row],[Key(ID-Actif)]],'DATA BTO'!A:N,10,FALSE)</f>
        <v>BRPNG</v>
      </c>
      <c r="AH48" s="3">
        <f ca="1">VLOOKUP(Tableau1[[#This Row],[Key(ID-Actif)]],'DATA BTO'!A:N,11,FALSE)</f>
        <v>3</v>
      </c>
      <c r="AI48" s="50">
        <f ca="1">VLOOKUP(Tableau1[[#This Row],[Key(ID-Actif)]],'DATA BTO'!A:N,12,FALSE)</f>
        <v>14</v>
      </c>
      <c r="AJ48" s="53" t="str">
        <f ca="1">VLOOKUP(Tableau1[[#This Row],[Key(ID-Actif)]],'DATA BTO'!A:N,14,FALSE)</f>
        <v>Max</v>
      </c>
      <c r="AK48" s="54">
        <f ca="1">VLOOKUP(Tableau1[[#This Row],[Key(POD -PFI- Usine)]],'DATA Consignee'!A:F,6,FALSE)</f>
        <v>2</v>
      </c>
      <c r="AL48" s="127"/>
      <c r="AM48" s="438" t="str">
        <f>IF(Tableau1[[#This Row],[Name PFI/CDD]]="","-",VLOOKUP(Tableau1[[#This Row],[Name PFI/CDD]],Plant_AILN!I:J,2,FALSE))</f>
        <v>-</v>
      </c>
      <c r="AN4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8" s="2">
        <f ca="1">VLOOKUP(Tableau1[[#This Row],[Key(POD -PFI- Usine)]],'DATA Consignee'!A:J,10,FALSE)</f>
        <v>0</v>
      </c>
      <c r="AQ48" s="50">
        <f ca="1">VLOOKUP(Tableau1[[#This Row],[Key(POD -PFI- Usine)]],'DATA Consignee'!A:N,14,FALSE)</f>
        <v>2</v>
      </c>
      <c r="AR4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8" s="50">
        <f ca="1">Tableau1[[#This Row],[Transit time]]+Tableau1[[#This Row],[Time for security]]+Tableau1[[#This Row],[Time for security2 buffer]]</f>
        <v>65</v>
      </c>
      <c r="AU4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48" s="433">
        <f ca="1">Tableau1[[#This Row],[Leadtime SI2C]]+Tableau1[[#This Row],[First Receipt Days]]-Tableau1[[#This Row],[Day Customer Order]]+1</f>
        <v>99</v>
      </c>
      <c r="AW48" s="119">
        <f ca="1">IF(Tableau1[[#This Row],[Name ILN]]&lt;&gt;"SFK Freight Forwarder",Tableau1[[#This Row],[Cust. Leadtime]],Tableau1[[#This Row],[Leadtime SI2C]])</f>
        <v>83</v>
      </c>
      <c r="AX48" s="51" t="s">
        <v>148</v>
      </c>
      <c r="AY48" s="338">
        <f ca="1">IFERROR(VLOOKUP(Tableau1[[#This Row],[Key(ID-Actif)]],'DATA BTO'!A:N,4,FALSE),VLOOKUP(Tableau1[[#This Row],[ID]],'DATA BTO'!B:N,3,FALSE))</f>
        <v>46507</v>
      </c>
      <c r="AZ48" s="50" t="str">
        <f>IF(ISNUMBER(Tableau1[[#This Row],[Day Customer Order]]),"-","Please Check 'Name' information in 'Order' Sheet to make sure they have information")</f>
        <v>-</v>
      </c>
      <c r="BA4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8" s="50"/>
    </row>
    <row r="49" spans="2:57" hidden="1">
      <c r="B49" s="474" t="str">
        <f>_xlfn.CONCAT(Tableau1[[#This Row],[Name ILN]],"-",Tableau1[[#This Row],[Name Shipper]],"-",Tableau1[[#This Row],[Name Site]])</f>
        <v>SFK Freight Forwarder-Jatco Mexique-SOFASA</v>
      </c>
      <c r="C49" s="67" t="str">
        <f ca="1">_xlfn.CONCAT(Tableau1[[#This Row],[Compte ILN]],"-",Tableau1[[#This Row],[Compte Shipper]],"-",Tableau1[[#This Row],[POL]],"-",Tableau1[[#This Row],[Compte Consignee]])</f>
        <v>0-261427-MXVER-9510600</v>
      </c>
      <c r="D49" s="66" t="str">
        <f ca="1">_xlfn.CONCAT(Tableau1[[#This Row],[Compte ILN]],"-",Tableau1[[#This Row],[Compte Shipper]],"-",Tableau1[[#This Row],[POL]])</f>
        <v>0-261427-MXVER</v>
      </c>
      <c r="E49" s="434" t="str">
        <f ca="1">_xlfn.CONCAT(Tableau1[[#This Row],[POL]],"-",Tableau1[[#This Row],[Carrier]],"-",Tableau1[[#This Row],[POD]])</f>
        <v>MXVER-CMA-CGM-COCTG</v>
      </c>
      <c r="F49" s="66" t="str">
        <f>_xlfn.CONCAT(Tableau1[[#This Row],[ID]],"-","Actif")</f>
        <v>1014-Actif</v>
      </c>
      <c r="G49" s="66" t="str">
        <f ca="1">_xlfn.CONCAT(Tableau1[[#This Row],[POD]],"-",Tableau1[[#This Row],[Code PFI]],"-",Tableau1[[#This Row],[Compte Consignee]])</f>
        <v>COCTG---9510600</v>
      </c>
      <c r="H49" s="434" t="str">
        <f ca="1">_xlfn.CONCAT(IF(Tableau1[[#This Row],[Name ILN]]=Tableau1[[#This Row],[Name Shipper]],Tableau1[[#This Row],[Name ILN]],Tableau1[[#This Row],[Compte Shipper]]),Tableau1[[#This Row],[POL]],Tableau1[[#This Row],[Name Site]])</f>
        <v>261427MXVERSOFASA</v>
      </c>
      <c r="I4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SOFASA-SFK Freight Forwarder-Jatco Mexique-1014-MXVER-CMA-CGM-COCTG-</v>
      </c>
      <c r="J49" s="435" t="str">
        <f ca="1">IF(COUNTIF(I:I,Tableau1[[#This Row],[Plant-ILN-shipper-POL-Carrier-POD-PFI]])=1,"Non","Oui")</f>
        <v>Non</v>
      </c>
      <c r="K49" s="128" t="str">
        <f>VLOOKUP(Tableau1[[#This Row],[Name Site]],Plant_AILN!A:D,4,FALSE)</f>
        <v>COLOMBIA</v>
      </c>
      <c r="L49" s="411" t="s">
        <v>177</v>
      </c>
      <c r="M49" s="439">
        <f>VLOOKUP(Tableau1[[#This Row],[Name Site]],Plant_AILN!A:C,3,FALSE)</f>
        <v>9510600</v>
      </c>
      <c r="N49" s="55">
        <f>IF(Tableau1[[#This Row],[Name PFI/CDD]]="PFI VLL",2,VLOOKUP(Tableau1[[#This Row],[Compte Consignee]],Order!C:D,2,FALSE))</f>
        <v>7</v>
      </c>
      <c r="O49" s="116" t="s">
        <v>146</v>
      </c>
      <c r="P49" s="365">
        <f>VLOOKUP(Tableau1[[#This Row],[Name ILN]],Plant_AILN!F:G,2,FALSE)</f>
        <v>0</v>
      </c>
      <c r="Q49" s="50">
        <f>VLOOKUP(Tableau1[[#This Row],[Compte ILN]],'DATA ILN'!D:I,6,FALSE)</f>
        <v>9</v>
      </c>
      <c r="R49" s="50">
        <f ca="1">IFERROR(VLOOKUP(Tableau1[[#This Row],[Key(Compte ILN - shipper - POL - plant)]],'DATA ILN'!A:J,10,FALSE),VLOOKUP(Tableau1[[#This Row],[Key(Compte ILN - shipper - POL)]],'DATA ILN'!B:J,9,FALSE))</f>
        <v>14</v>
      </c>
      <c r="S49" s="50">
        <f ca="1">IFERROR(VLOOKUP(Tableau1[[#This Row],[Key(Compte ILN - shipper - POL - plant)]],'DATA ILN'!A:K,11,FALSE),VLOOKUP(Tableau1[[#This Row],[Key(Compte ILN - shipper - POL)]],'DATA ILN'!B:K,10,FALSE))</f>
        <v>5</v>
      </c>
      <c r="T49" s="50">
        <f ca="1">IFERROR(VLOOKUP(Tableau1[[#This Row],[Key(Compte ILN - shipper - POL - plant)]],'DATA ILN'!A:L,12,FALSE),VLOOKUP(Tableau1[[#This Row],[Key(Compte ILN - shipper - POL)]],'DATA ILN'!B:L,11,FALSE))</f>
        <v>7</v>
      </c>
      <c r="U49" s="50">
        <f ca="1">Tableau1[[#This Row],[Day ILN Order]]+Tableau1[[#This Row],[Delivery time to ILN/Shipper]]-1</f>
        <v>22</v>
      </c>
      <c r="V49" s="50">
        <f ca="1">IFERROR(VLOOKUP(Tableau1[[#This Row],[Key(Compte ILN - shipper - POL - plant)]],'DATA ILN'!A:N,14,FALSE),VLOOKUP(Tableau1[[#This Row],[Key(Compte ILN - shipper - POL)]],'DATA ILN'!B:N,13,FALSE))</f>
        <v>2</v>
      </c>
      <c r="W49" s="53">
        <f ca="1">IFERROR(VLOOKUP(Tableau1[[#This Row],[Key(Compte ILN - shipper - POL - plant)]],'DATA ILN'!A:P,16,FALSE),VLOOKUP(Tableau1[[#This Row],[Key(Compte ILN - shipper - POL)]],'DATA ILN'!B:P,15,FALSE))</f>
        <v>5</v>
      </c>
      <c r="X49" s="284" t="s">
        <v>176</v>
      </c>
      <c r="Y49" s="437">
        <f>IFERROR(VLOOKUP(Tableau1[[#This Row],[Name Shipper]],Plant_AILN!L:M,2,FALSE),0)</f>
        <v>261427</v>
      </c>
      <c r="Z49" s="406">
        <v>1014</v>
      </c>
      <c r="AA49" s="396" t="str">
        <f ca="1">VLOOKUP(Tableau1[[#This Row],[Key(ID-Actif)]],'DATA BTO'!A:N,5,FALSE)</f>
        <v>MXVER</v>
      </c>
      <c r="AB49" s="3" t="str">
        <f ca="1">VLOOKUP(Tableau1[[#This Row],[Key(ID-Actif)]],'DATA BTO'!A:N,6,FALSE)</f>
        <v>CMA-CGM</v>
      </c>
      <c r="AC49" s="50">
        <f ca="1">VLOOKUP(Tableau1[[#This Row],[Key(ID-Actif)]],'DATA BTO'!A:N,7,FALSE)</f>
        <v>4</v>
      </c>
      <c r="AD49" s="50">
        <f ca="1">VLOOKUP(Tableau1[[#This Row],[Key(ID-Actif)]],'DATA BTO'!A:N,8,FALSE)</f>
        <v>9</v>
      </c>
      <c r="AE49" s="50">
        <f ca="1">IF(Tableau1[[#This Row],[First Day to POL]]&lt;=Tableau1[[#This Row],[Day Cut Off]],Tableau1[[#This Row],[Day ETD]],Tableau1[[#This Row],[Day ETD]]+7)</f>
        <v>16</v>
      </c>
      <c r="AF49" s="50">
        <f ca="1">VLOOKUP(Tableau1[[#This Row],[Key(ID-Actif)]],'DATA BTO'!A:N,9,FALSE)</f>
        <v>17</v>
      </c>
      <c r="AG49" s="3" t="str">
        <f ca="1">VLOOKUP(Tableau1[[#This Row],[Key(ID-Actif)]],'DATA BTO'!A:N,10,FALSE)</f>
        <v>COCTG</v>
      </c>
      <c r="AH49" s="3">
        <f ca="1">VLOOKUP(Tableau1[[#This Row],[Key(ID-Actif)]],'DATA BTO'!A:N,11,FALSE)</f>
        <v>3</v>
      </c>
      <c r="AI49" s="50">
        <f ca="1">VLOOKUP(Tableau1[[#This Row],[Key(ID-Actif)]],'DATA BTO'!A:N,12,FALSE)</f>
        <v>0</v>
      </c>
      <c r="AJ49" s="53" t="str">
        <f ca="1">VLOOKUP(Tableau1[[#This Row],[Key(ID-Actif)]],'DATA BTO'!A:N,14,FALSE)</f>
        <v>Max</v>
      </c>
      <c r="AK49" s="54">
        <f ca="1">VLOOKUP(Tableau1[[#This Row],[Key(POD -PFI- Usine)]],'DATA Consignee'!A:F,6,FALSE)</f>
        <v>0</v>
      </c>
      <c r="AL49" s="127"/>
      <c r="AM49" s="438" t="str">
        <f>IF(Tableau1[[#This Row],[Name PFI/CDD]]="","-",VLOOKUP(Tableau1[[#This Row],[Name PFI/CDD]],Plant_AILN!I:J,2,FALSE))</f>
        <v>-</v>
      </c>
      <c r="AN4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9" s="2">
        <f ca="1">VLOOKUP(Tableau1[[#This Row],[Key(POD -PFI- Usine)]],'DATA Consignee'!A:J,10,FALSE)</f>
        <v>0</v>
      </c>
      <c r="AQ49" s="50">
        <f ca="1">VLOOKUP(Tableau1[[#This Row],[Key(POD -PFI- Usine)]],'DATA Consignee'!A:N,14,FALSE)</f>
        <v>0</v>
      </c>
      <c r="AR4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21</v>
      </c>
      <c r="AT49" s="50">
        <f ca="1">Tableau1[[#This Row],[Transit time]]+Tableau1[[#This Row],[Time for security]]+Tableau1[[#This Row],[Time for security2 buffer]]</f>
        <v>20</v>
      </c>
      <c r="AU4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41</v>
      </c>
      <c r="AV49" s="433">
        <f ca="1">Tableau1[[#This Row],[Leadtime SI2C]]+Tableau1[[#This Row],[First Receipt Days]]-Tableau1[[#This Row],[Day Customer Order]]+1</f>
        <v>57</v>
      </c>
      <c r="AW49" s="119">
        <f ca="1">IF(Tableau1[[#This Row],[Name ILN]]&lt;&gt;"SFK Freight Forwarder",Tableau1[[#This Row],[Cust. Leadtime]],Tableau1[[#This Row],[Leadtime SI2C]])</f>
        <v>41</v>
      </c>
      <c r="AX49" s="51" t="s">
        <v>148</v>
      </c>
      <c r="AY49" s="338">
        <f ca="1">IFERROR(VLOOKUP(Tableau1[[#This Row],[Key(ID-Actif)]],'DATA BTO'!A:N,4,FALSE),VLOOKUP(Tableau1[[#This Row],[ID]],'DATA BTO'!B:N,3,FALSE))</f>
        <v>46507</v>
      </c>
      <c r="AZ49" s="50" t="str">
        <f>IF(ISNUMBER(Tableau1[[#This Row],[Day Customer Order]]),"-","Please Check 'Name' information in 'Order' Sheet to make sure they have information")</f>
        <v>-</v>
      </c>
      <c r="BA4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9" s="50"/>
    </row>
    <row r="50" spans="2:57" hidden="1">
      <c r="B50" s="474" t="str">
        <f>_xlfn.CONCAT(Tableau1[[#This Row],[Name ILN]],"-",Tableau1[[#This Row],[Name Shipper]],"-",Tableau1[[#This Row],[Name Site]])</f>
        <v>SFK Freight Forwarder-Jatco Mexique-CURITIBA CVP</v>
      </c>
      <c r="C50" s="67" t="str">
        <f ca="1">_xlfn.CONCAT(Tableau1[[#This Row],[Compte ILN]],"-",Tableau1[[#This Row],[Compte Shipper]],"-",Tableau1[[#This Row],[POL]],"-",Tableau1[[#This Row],[Compte Consignee]])</f>
        <v>0-261427-MXVER-90018000</v>
      </c>
      <c r="D50" s="66" t="str">
        <f ca="1">_xlfn.CONCAT(Tableau1[[#This Row],[Compte ILN]],"-",Tableau1[[#This Row],[Compte Shipper]],"-",Tableau1[[#This Row],[POL]])</f>
        <v>0-261427-MXVER</v>
      </c>
      <c r="E50" s="434" t="str">
        <f ca="1">_xlfn.CONCAT(Tableau1[[#This Row],[POL]],"-",Tableau1[[#This Row],[Carrier]],"-",Tableau1[[#This Row],[POD]])</f>
        <v>MXVER-CMA-CGM-BRPNG</v>
      </c>
      <c r="F50" s="66" t="str">
        <f>_xlfn.CONCAT(Tableau1[[#This Row],[ID]],"-","Actif")</f>
        <v>1015-Actif</v>
      </c>
      <c r="G50" s="66" t="str">
        <f ca="1">_xlfn.CONCAT(Tableau1[[#This Row],[POD]],"-",Tableau1[[#This Row],[Code PFI]],"-",Tableau1[[#This Row],[Compte Consignee]])</f>
        <v>BRPNG---90018000</v>
      </c>
      <c r="H50" s="434" t="str">
        <f ca="1">_xlfn.CONCAT(IF(Tableau1[[#This Row],[Name ILN]]=Tableau1[[#This Row],[Name Shipper]],Tableau1[[#This Row],[Name ILN]],Tableau1[[#This Row],[Compte Shipper]]),Tableau1[[#This Row],[POL]],Tableau1[[#This Row],[Name Site]])</f>
        <v>261427MXVERCURITIBA CVP</v>
      </c>
      <c r="I5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Forwarder-Jatco Mexique-1015-MXVER-CMA-CGM-BRPNG-</v>
      </c>
      <c r="J50" s="435" t="str">
        <f ca="1">IF(COUNTIF(I:I,Tableau1[[#This Row],[Plant-ILN-shipper-POL-Carrier-POD-PFI]])=1,"Non","Oui")</f>
        <v>Non</v>
      </c>
      <c r="K50" s="128" t="str">
        <f>VLOOKUP(Tableau1[[#This Row],[Name Site]],Plant_AILN!A:D,4,FALSE)</f>
        <v>BRAZIL</v>
      </c>
      <c r="L50" s="411" t="s">
        <v>181</v>
      </c>
      <c r="M50" s="439">
        <f>VLOOKUP(Tableau1[[#This Row],[Name Site]],Plant_AILN!A:C,3,FALSE)</f>
        <v>90018000</v>
      </c>
      <c r="N50" s="55">
        <f>IF(Tableau1[[#This Row],[Name PFI/CDD]]="PFI VLL",2,VLOOKUP(Tableau1[[#This Row],[Compte Consignee]],Order!C:D,2,FALSE))</f>
        <v>7</v>
      </c>
      <c r="O50" s="116" t="s">
        <v>146</v>
      </c>
      <c r="P50" s="365">
        <f>VLOOKUP(Tableau1[[#This Row],[Name ILN]],Plant_AILN!F:G,2,FALSE)</f>
        <v>0</v>
      </c>
      <c r="Q50" s="50">
        <f>VLOOKUP(Tableau1[[#This Row],[Compte ILN]],'DATA ILN'!D:I,6,FALSE)</f>
        <v>9</v>
      </c>
      <c r="R50" s="50">
        <f ca="1">IFERROR(VLOOKUP(Tableau1[[#This Row],[Key(Compte ILN - shipper - POL - plant)]],'DATA ILN'!A:J,10,FALSE),VLOOKUP(Tableau1[[#This Row],[Key(Compte ILN - shipper - POL)]],'DATA ILN'!B:J,9,FALSE))</f>
        <v>14</v>
      </c>
      <c r="S50" s="50">
        <f ca="1">IFERROR(VLOOKUP(Tableau1[[#This Row],[Key(Compte ILN - shipper - POL - plant)]],'DATA ILN'!A:K,11,FALSE),VLOOKUP(Tableau1[[#This Row],[Key(Compte ILN - shipper - POL)]],'DATA ILN'!B:K,10,FALSE))</f>
        <v>5</v>
      </c>
      <c r="T50" s="50">
        <f ca="1">IFERROR(VLOOKUP(Tableau1[[#This Row],[Key(Compte ILN - shipper - POL - plant)]],'DATA ILN'!A:L,12,FALSE),VLOOKUP(Tableau1[[#This Row],[Key(Compte ILN - shipper - POL)]],'DATA ILN'!B:L,11,FALSE))</f>
        <v>7</v>
      </c>
      <c r="U50" s="50">
        <f ca="1">Tableau1[[#This Row],[Day ILN Order]]+Tableau1[[#This Row],[Delivery time to ILN/Shipper]]-1</f>
        <v>22</v>
      </c>
      <c r="V50" s="50">
        <f ca="1">IFERROR(VLOOKUP(Tableau1[[#This Row],[Key(Compte ILN - shipper - POL - plant)]],'DATA ILN'!A:N,14,FALSE),VLOOKUP(Tableau1[[#This Row],[Key(Compte ILN - shipper - POL)]],'DATA ILN'!B:N,13,FALSE))</f>
        <v>2</v>
      </c>
      <c r="W50" s="53">
        <f ca="1">IFERROR(VLOOKUP(Tableau1[[#This Row],[Key(Compte ILN - shipper - POL - plant)]],'DATA ILN'!A:P,16,FALSE),VLOOKUP(Tableau1[[#This Row],[Key(Compte ILN - shipper - POL)]],'DATA ILN'!B:P,15,FALSE))</f>
        <v>5</v>
      </c>
      <c r="X50" s="284" t="s">
        <v>176</v>
      </c>
      <c r="Y50" s="437">
        <f>IFERROR(VLOOKUP(Tableau1[[#This Row],[Name Shipper]],Plant_AILN!L:M,2,FALSE),0)</f>
        <v>261427</v>
      </c>
      <c r="Z50" s="406">
        <v>1015</v>
      </c>
      <c r="AA50" s="396" t="str">
        <f ca="1">VLOOKUP(Tableau1[[#This Row],[Key(ID-Actif)]],'DATA BTO'!A:N,5,FALSE)</f>
        <v>MXVER</v>
      </c>
      <c r="AB50" s="3" t="str">
        <f ca="1">VLOOKUP(Tableau1[[#This Row],[Key(ID-Actif)]],'DATA BTO'!A:N,6,FALSE)</f>
        <v>CMA-CGM</v>
      </c>
      <c r="AC50" s="50">
        <f ca="1">VLOOKUP(Tableau1[[#This Row],[Key(ID-Actif)]],'DATA BTO'!A:N,7,FALSE)</f>
        <v>4</v>
      </c>
      <c r="AD50" s="50">
        <f ca="1">VLOOKUP(Tableau1[[#This Row],[Key(ID-Actif)]],'DATA BTO'!A:N,8,FALSE)</f>
        <v>9</v>
      </c>
      <c r="AE50" s="50">
        <f ca="1">IF(Tableau1[[#This Row],[First Day to POL]]&lt;=Tableau1[[#This Row],[Day Cut Off]],Tableau1[[#This Row],[Day ETD]],Tableau1[[#This Row],[Day ETD]]+7)</f>
        <v>16</v>
      </c>
      <c r="AF50" s="50">
        <f ca="1">VLOOKUP(Tableau1[[#This Row],[Key(ID-Actif)]],'DATA BTO'!A:N,9,FALSE)</f>
        <v>34</v>
      </c>
      <c r="AG50" s="3" t="str">
        <f ca="1">VLOOKUP(Tableau1[[#This Row],[Key(ID-Actif)]],'DATA BTO'!A:N,10,FALSE)</f>
        <v>BRPNG</v>
      </c>
      <c r="AH50" s="3">
        <f ca="1">VLOOKUP(Tableau1[[#This Row],[Key(ID-Actif)]],'DATA BTO'!A:N,11,FALSE)</f>
        <v>3</v>
      </c>
      <c r="AI50" s="50">
        <f ca="1">VLOOKUP(Tableau1[[#This Row],[Key(ID-Actif)]],'DATA BTO'!A:N,12,FALSE)</f>
        <v>0</v>
      </c>
      <c r="AJ50" s="53" t="str">
        <f ca="1">VLOOKUP(Tableau1[[#This Row],[Key(ID-Actif)]],'DATA BTO'!A:N,14,FALSE)</f>
        <v>Max</v>
      </c>
      <c r="AK50" s="54">
        <f ca="1">VLOOKUP(Tableau1[[#This Row],[Key(POD -PFI- Usine)]],'DATA Consignee'!A:F,6,FALSE)</f>
        <v>2</v>
      </c>
      <c r="AL50" s="127"/>
      <c r="AM50" s="438" t="str">
        <f>IF(Tableau1[[#This Row],[Name PFI/CDD]]="","-",VLOOKUP(Tableau1[[#This Row],[Name PFI/CDD]],Plant_AILN!I:J,2,FALSE))</f>
        <v>-</v>
      </c>
      <c r="AN5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0" s="2">
        <f ca="1">VLOOKUP(Tableau1[[#This Row],[Key(POD -PFI- Usine)]],'DATA Consignee'!A:J,10,FALSE)</f>
        <v>0</v>
      </c>
      <c r="AQ50" s="50">
        <f ca="1">VLOOKUP(Tableau1[[#This Row],[Key(POD -PFI- Usine)]],'DATA Consignee'!A:N,14,FALSE)</f>
        <v>2</v>
      </c>
      <c r="AR5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5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21</v>
      </c>
      <c r="AT50" s="50">
        <f ca="1">Tableau1[[#This Row],[Transit time]]+Tableau1[[#This Row],[Time for security]]+Tableau1[[#This Row],[Time for security2 buffer]]</f>
        <v>37</v>
      </c>
      <c r="AU5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50" s="433">
        <f ca="1">Tableau1[[#This Row],[Leadtime SI2C]]+Tableau1[[#This Row],[First Receipt Days]]-Tableau1[[#This Row],[Day Customer Order]]+1</f>
        <v>78</v>
      </c>
      <c r="AW50" s="119">
        <f ca="1">IF(Tableau1[[#This Row],[Name ILN]]&lt;&gt;"SFK Freight Forwarder",Tableau1[[#This Row],[Cust. Leadtime]],Tableau1[[#This Row],[Leadtime SI2C]])</f>
        <v>62</v>
      </c>
      <c r="AX50" s="51" t="s">
        <v>148</v>
      </c>
      <c r="AY50" s="338">
        <f ca="1">IFERROR(VLOOKUP(Tableau1[[#This Row],[Key(ID-Actif)]],'DATA BTO'!A:N,4,FALSE),VLOOKUP(Tableau1[[#This Row],[ID]],'DATA BTO'!B:N,3,FALSE))</f>
        <v>46507</v>
      </c>
      <c r="AZ50" s="50" t="str">
        <f>IF(ISNUMBER(Tableau1[[#This Row],[Day Customer Order]]),"-","Please Check 'Name' information in 'Order' Sheet to make sure they have information")</f>
        <v>-</v>
      </c>
      <c r="BA5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0" s="50"/>
    </row>
    <row r="51" spans="2:57" hidden="1">
      <c r="B51" s="474" t="str">
        <f>_xlfn.CONCAT(Tableau1[[#This Row],[Name ILN]],"-",Tableau1[[#This Row],[Name Shipper]],"-",Tableau1[[#This Row],[Name Site]])</f>
        <v>SFK Freight Forwarder-Jatco Thailande-CHENNAI Vehicule</v>
      </c>
      <c r="C51" s="67" t="str">
        <f ca="1">_xlfn.CONCAT(Tableau1[[#This Row],[Compte ILN]],"-",Tableau1[[#This Row],[Compte Shipper]],"-",Tableau1[[#This Row],[POL]],"-",Tableau1[[#This Row],[Compte Consignee]])</f>
        <v>0-29770601-THLCH-26549502</v>
      </c>
      <c r="D51" s="66" t="str">
        <f ca="1">_xlfn.CONCAT(Tableau1[[#This Row],[Compte ILN]],"-",Tableau1[[#This Row],[Compte Shipper]],"-",Tableau1[[#This Row],[POL]])</f>
        <v>0-29770601-THLCH</v>
      </c>
      <c r="E51" s="434" t="str">
        <f ca="1">_xlfn.CONCAT(Tableau1[[#This Row],[POL]],"-",Tableau1[[#This Row],[Carrier]],"-",Tableau1[[#This Row],[POD]])</f>
        <v>THLCH-ONE-INKAT</v>
      </c>
      <c r="F51" s="66" t="str">
        <f>_xlfn.CONCAT(Tableau1[[#This Row],[ID]],"-","Actif")</f>
        <v>1022-Actif</v>
      </c>
      <c r="G51" s="66" t="str">
        <f ca="1">_xlfn.CONCAT(Tableau1[[#This Row],[POD]],"-",Tableau1[[#This Row],[Code PFI]],"-",Tableau1[[#This Row],[Compte Consignee]])</f>
        <v>INKAT---26549502</v>
      </c>
      <c r="H51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29770601THLCHCHENNAI Vehicule</v>
      </c>
      <c r="I5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CHENNAI Vehicule-SFK Freight Forwarder-Jatco Thailande-1022-THLCH-ONE-INKAT-</v>
      </c>
      <c r="J51" s="435" t="str">
        <f ca="1">IF(COUNTIF(I:I,Tableau1[[#This Row],[Plant-ILN-shipper-POL-Carrier-POD-PFI]])=1,"Non","Oui")</f>
        <v>Non</v>
      </c>
      <c r="K51" s="128" t="str">
        <f>VLOOKUP(Tableau1[[#This Row],[Name Site]],Plant_AILN!A:D,4,FALSE)</f>
        <v>INDIA</v>
      </c>
      <c r="L51" s="411" t="s">
        <v>159</v>
      </c>
      <c r="M51" s="439">
        <f>VLOOKUP(Tableau1[[#This Row],[Name Site]],Plant_AILN!A:C,3,FALSE)</f>
        <v>26549502</v>
      </c>
      <c r="N51" s="55">
        <f>VLOOKUP(Tableau1[[#This Row],[Compte Consignee]],Order!C:D,2,FALSE)</f>
        <v>5</v>
      </c>
      <c r="O51" s="116" t="s">
        <v>146</v>
      </c>
      <c r="P51" s="365">
        <f>VLOOKUP(Tableau1[[#This Row],[Name ILN]],Plant_AILN!F:G,2,FALSE)</f>
        <v>0</v>
      </c>
      <c r="Q51" s="50">
        <f>VLOOKUP(Tableau1[[#This Row],[Compte ILN]],'DATA ILN'!D:I,6,FALSE)</f>
        <v>9</v>
      </c>
      <c r="R51" s="50">
        <f ca="1">IFERROR(VLOOKUP(Tableau1[[#This Row],[Key(Compte ILN - shipper - POL - plant)]],'DATA ILN'!A:J,10,FALSE),VLOOKUP(Tableau1[[#This Row],[Key(Compte ILN - shipper - POL)]],'DATA ILN'!B:J,9,FALSE))</f>
        <v>14</v>
      </c>
      <c r="S51" s="50">
        <f ca="1">IFERROR(VLOOKUP(Tableau1[[#This Row],[Key(Compte ILN - shipper - POL - plant)]],'DATA ILN'!A:K,11,FALSE),VLOOKUP(Tableau1[[#This Row],[Key(Compte ILN - shipper - POL)]],'DATA ILN'!B:K,10,FALSE))</f>
        <v>5</v>
      </c>
      <c r="T51" s="50">
        <f ca="1">IFERROR(VLOOKUP(Tableau1[[#This Row],[Key(Compte ILN - shipper - POL - plant)]],'DATA ILN'!A:L,12,FALSE),VLOOKUP(Tableau1[[#This Row],[Key(Compte ILN - shipper - POL)]],'DATA ILN'!B:L,11,FALSE))</f>
        <v>7</v>
      </c>
      <c r="U51" s="50">
        <f ca="1">Tableau1[[#This Row],[Day ILN Order]]+Tableau1[[#This Row],[Delivery time to ILN/Shipper]]-1</f>
        <v>22</v>
      </c>
      <c r="V51" s="50">
        <f ca="1">IFERROR(VLOOKUP(Tableau1[[#This Row],[Key(Compte ILN - shipper - POL - plant)]],'DATA ILN'!A:N,14,FALSE),VLOOKUP(Tableau1[[#This Row],[Key(Compte ILN - shipper - POL)]],'DATA ILN'!B:N,13,FALSE))</f>
        <v>1</v>
      </c>
      <c r="W51" s="53">
        <f ca="1">IFERROR(VLOOKUP(Tableau1[[#This Row],[Key(Compte ILN - shipper - POL - plant)]],'DATA ILN'!A:P,16,FALSE),VLOOKUP(Tableau1[[#This Row],[Key(Compte ILN - shipper - POL)]],'DATA ILN'!B:P,15,FALSE))</f>
        <v>3</v>
      </c>
      <c r="X51" s="284" t="s">
        <v>182</v>
      </c>
      <c r="Y51" s="437">
        <f>IFERROR(VLOOKUP(Tableau1[[#This Row],[Name Shipper]],Plant_AILN!L:M,2,FALSE),0)</f>
        <v>29770601</v>
      </c>
      <c r="Z51" s="406">
        <v>1022</v>
      </c>
      <c r="AA51" s="396" t="str">
        <f ca="1">VLOOKUP(Tableau1[[#This Row],[Key(ID-Actif)]],'DATA BTO'!A:N,5,FALSE)</f>
        <v>THLCH</v>
      </c>
      <c r="AB51" s="3" t="str">
        <f ca="1">VLOOKUP(Tableau1[[#This Row],[Key(ID-Actif)]],'DATA BTO'!A:N,6,FALSE)</f>
        <v>ONE</v>
      </c>
      <c r="AC51" s="50">
        <f ca="1">VLOOKUP(Tableau1[[#This Row],[Key(ID-Actif)]],'DATA BTO'!A:N,7,FALSE)</f>
        <v>2</v>
      </c>
      <c r="AD51" s="50">
        <f ca="1">VLOOKUP(Tableau1[[#This Row],[Key(ID-Actif)]],'DATA BTO'!A:N,8,FALSE)</f>
        <v>4</v>
      </c>
      <c r="AE51" s="50">
        <f ca="1">IF(Tableau1[[#This Row],[First Day to POL]]&lt;=Tableau1[[#This Row],[Day Cut Off]],Tableau1[[#This Row],[Day ETD]],Tableau1[[#This Row],[Day ETD]]+7)</f>
        <v>11</v>
      </c>
      <c r="AF51" s="50">
        <f ca="1">VLOOKUP(Tableau1[[#This Row],[Key(ID-Actif)]],'DATA BTO'!A:N,9,FALSE)</f>
        <v>10</v>
      </c>
      <c r="AG51" s="3" t="str">
        <f ca="1">VLOOKUP(Tableau1[[#This Row],[Key(ID-Actif)]],'DATA BTO'!A:N,10,FALSE)</f>
        <v>INKAT</v>
      </c>
      <c r="AH51" s="3">
        <f ca="1">VLOOKUP(Tableau1[[#This Row],[Key(ID-Actif)]],'DATA BTO'!A:N,11,FALSE)</f>
        <v>3</v>
      </c>
      <c r="AI51" s="50">
        <f ca="1">VLOOKUP(Tableau1[[#This Row],[Key(ID-Actif)]],'DATA BTO'!A:N,12,FALSE)</f>
        <v>7</v>
      </c>
      <c r="AJ51" s="53" t="str">
        <f ca="1">VLOOKUP(Tableau1[[#This Row],[Key(ID-Actif)]],'DATA BTO'!A:N,14,FALSE)</f>
        <v>Max</v>
      </c>
      <c r="AK51" s="54">
        <f ca="1">VLOOKUP(Tableau1[[#This Row],[Key(POD -PFI- Usine)]],'DATA Consignee'!A:F,6,FALSE)</f>
        <v>4</v>
      </c>
      <c r="AL51" s="127"/>
      <c r="AM51" s="438" t="str">
        <f>IF(Tableau1[[#This Row],[Name PFI/CDD]]="","-",VLOOKUP(Tableau1[[#This Row],[Name PFI/CDD]],Plant_AILN!I:J,2,FALSE))</f>
        <v>-</v>
      </c>
      <c r="AN5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1" s="2">
        <f ca="1">VLOOKUP(Tableau1[[#This Row],[Key(POD -PFI- Usine)]],'DATA Consignee'!A:J,10,FALSE)</f>
        <v>0</v>
      </c>
      <c r="AQ51" s="50">
        <f ca="1">VLOOKUP(Tableau1[[#This Row],[Key(POD -PFI- Usine)]],'DATA Consignee'!A:N,14,FALSE)</f>
        <v>3</v>
      </c>
      <c r="AR5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5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1" s="50">
        <f ca="1">Tableau1[[#This Row],[Transit time]]+Tableau1[[#This Row],[Time for security]]+Tableau1[[#This Row],[Time for security2 buffer]]</f>
        <v>20</v>
      </c>
      <c r="AU5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51" s="433">
        <f ca="1">Tableau1[[#This Row],[Leadtime SI2C]]+Tableau1[[#This Row],[First Receipt Days]]-Tableau1[[#This Row],[Day Customer Order]]+1</f>
        <v>66</v>
      </c>
      <c r="AW51" s="119">
        <f ca="1">IF(Tableau1[[#This Row],[Name ILN]]&lt;&gt;"SFK Freight Forwarder",Tableau1[[#This Row],[Cust. Leadtime]],Tableau1[[#This Row],[Leadtime SI2C]])</f>
        <v>48</v>
      </c>
      <c r="AX51" s="51" t="s">
        <v>148</v>
      </c>
      <c r="AY51" s="338">
        <f ca="1">IFERROR(VLOOKUP(Tableau1[[#This Row],[Key(ID-Actif)]],'DATA BTO'!A:N,4,FALSE),VLOOKUP(Tableau1[[#This Row],[ID]],'DATA BTO'!B:N,3,FALSE))</f>
        <v>46507</v>
      </c>
      <c r="AZ51" s="50" t="str">
        <f>IF(ISNUMBER(Tableau1[[#This Row],[Day Customer Order]]),"-","Please Check 'Name' information in 'Order' Sheet to make sure they have information")</f>
        <v>-</v>
      </c>
      <c r="BA5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1" s="50"/>
    </row>
    <row r="52" spans="2:57" hidden="1">
      <c r="B52" s="474" t="str">
        <f>_xlfn.CONCAT(Tableau1[[#This Row],[Name ILN]],"-",Tableau1[[#This Row],[Name Shipper]],"-",Tableau1[[#This Row],[Name Site]])</f>
        <v>SFK Freight Forwarder-Jatco Japon-CLEON</v>
      </c>
      <c r="C52" s="67" t="str">
        <f ca="1">_xlfn.CONCAT(Tableau1[[#This Row],[Compte ILN]],"-",Tableau1[[#This Row],[Compte Shipper]],"-",Tableau1[[#This Row],[POL]],"-",Tableau1[[#This Row],[Compte Consignee]])</f>
        <v>0-119640-JPSMZ-92000100</v>
      </c>
      <c r="D52" s="66" t="str">
        <f ca="1">_xlfn.CONCAT(Tableau1[[#This Row],[Compte ILN]],"-",Tableau1[[#This Row],[Compte Shipper]],"-",Tableau1[[#This Row],[POL]])</f>
        <v>0-119640-JPSMZ</v>
      </c>
      <c r="E52" s="434" t="str">
        <f ca="1">_xlfn.CONCAT(Tableau1[[#This Row],[POL]],"-",Tableau1[[#This Row],[Carrier]],"-",Tableau1[[#This Row],[POD]])</f>
        <v>JPSMZ-ONE-FRLEH</v>
      </c>
      <c r="F52" s="66" t="str">
        <f>_xlfn.CONCAT(Tableau1[[#This Row],[ID]],"-","Actif")</f>
        <v>1030-Actif</v>
      </c>
      <c r="G52" s="66" t="str">
        <f ca="1">_xlfn.CONCAT(Tableau1[[#This Row],[POD]],"-",Tableau1[[#This Row],[Code PFI]],"-",Tableau1[[#This Row],[Compte Consignee]])</f>
        <v>FRLEH---92000100</v>
      </c>
      <c r="H52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119640JPSMZCLEON</v>
      </c>
      <c r="I5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CLEON-SFK Freight Forwarder-Jatco Japon-1030-JPSMZ-ONE-FRLEH-</v>
      </c>
      <c r="J52" s="435" t="str">
        <f ca="1">IF(COUNTIF(I:I,Tableau1[[#This Row],[Plant-ILN-shipper-POL-Carrier-POD-PFI]])=1,"Non","Oui")</f>
        <v>Non</v>
      </c>
      <c r="K52" s="128" t="str">
        <f>VLOOKUP(Tableau1[[#This Row],[Name Site]],Plant_AILN!A:D,4,FALSE)</f>
        <v>FRANCE</v>
      </c>
      <c r="L52" s="411" t="s">
        <v>183</v>
      </c>
      <c r="M52" s="439">
        <f>VLOOKUP(Tableau1[[#This Row],[Name Site]],Plant_AILN!A:C,3,FALSE)</f>
        <v>92000100</v>
      </c>
      <c r="N52" s="55">
        <f>VLOOKUP(Tableau1[[#This Row],[Compte Consignee]],Order!C:D,2,FALSE)</f>
        <v>7</v>
      </c>
      <c r="O52" s="116" t="s">
        <v>146</v>
      </c>
      <c r="P52" s="365">
        <f>VLOOKUP(Tableau1[[#This Row],[Name ILN]],Plant_AILN!F:G,2,FALSE)</f>
        <v>0</v>
      </c>
      <c r="Q52" s="50">
        <f>VLOOKUP(Tableau1[[#This Row],[Compte ILN]],'DATA ILN'!D:I,6,FALSE)</f>
        <v>9</v>
      </c>
      <c r="R52" s="50">
        <f ca="1">IFERROR(VLOOKUP(Tableau1[[#This Row],[Key(Compte ILN - shipper - POL - plant)]],'DATA ILN'!A:J,10,FALSE),VLOOKUP(Tableau1[[#This Row],[Key(Compte ILN - shipper - POL)]],'DATA ILN'!B:J,9,FALSE))</f>
        <v>14</v>
      </c>
      <c r="S52" s="50">
        <f ca="1">IFERROR(VLOOKUP(Tableau1[[#This Row],[Key(Compte ILN - shipper - POL - plant)]],'DATA ILN'!A:K,11,FALSE),VLOOKUP(Tableau1[[#This Row],[Key(Compte ILN - shipper - POL)]],'DATA ILN'!B:K,10,FALSE))</f>
        <v>5</v>
      </c>
      <c r="T52" s="50">
        <f ca="1">IFERROR(VLOOKUP(Tableau1[[#This Row],[Key(Compte ILN - shipper - POL - plant)]],'DATA ILN'!A:L,12,FALSE),VLOOKUP(Tableau1[[#This Row],[Key(Compte ILN - shipper - POL)]],'DATA ILN'!B:L,11,FALSE))</f>
        <v>7</v>
      </c>
      <c r="U52" s="50">
        <f ca="1">Tableau1[[#This Row],[Day ILN Order]]+Tableau1[[#This Row],[Delivery time to ILN/Shipper]]-1</f>
        <v>22</v>
      </c>
      <c r="V52" s="50">
        <f ca="1">IFERROR(VLOOKUP(Tableau1[[#This Row],[Key(Compte ILN - shipper - POL - plant)]],'DATA ILN'!A:N,14,FALSE),VLOOKUP(Tableau1[[#This Row],[Key(Compte ILN - shipper - POL)]],'DATA ILN'!B:N,13,FALSE))</f>
        <v>1</v>
      </c>
      <c r="W52" s="53">
        <f ca="1">IFERROR(VLOOKUP(Tableau1[[#This Row],[Key(Compte ILN - shipper - POL - plant)]],'DATA ILN'!A:P,16,FALSE),VLOOKUP(Tableau1[[#This Row],[Key(Compte ILN - shipper - POL)]],'DATA ILN'!B:P,15,FALSE))</f>
        <v>3</v>
      </c>
      <c r="X52" s="284" t="s">
        <v>178</v>
      </c>
      <c r="Y52" s="437">
        <f>IFERROR(VLOOKUP(Tableau1[[#This Row],[Name Shipper]],Plant_AILN!L:M,2,FALSE),0)</f>
        <v>119640</v>
      </c>
      <c r="Z52" s="406">
        <v>1030</v>
      </c>
      <c r="AA52" s="396" t="str">
        <f ca="1">VLOOKUP(Tableau1[[#This Row],[Key(ID-Actif)]],'DATA BTO'!A:N,5,FALSE)</f>
        <v>JPSMZ</v>
      </c>
      <c r="AB52" s="3" t="str">
        <f ca="1">VLOOKUP(Tableau1[[#This Row],[Key(ID-Actif)]],'DATA BTO'!A:N,6,FALSE)</f>
        <v>ONE</v>
      </c>
      <c r="AC52" s="50">
        <f ca="1">VLOOKUP(Tableau1[[#This Row],[Key(ID-Actif)]],'DATA BTO'!A:N,7,FALSE)</f>
        <v>5</v>
      </c>
      <c r="AD52" s="50">
        <f ca="1">VLOOKUP(Tableau1[[#This Row],[Key(ID-Actif)]],'DATA BTO'!A:N,8,FALSE)</f>
        <v>7</v>
      </c>
      <c r="AE52" s="50">
        <f ca="1">IF(Tableau1[[#This Row],[First Day to POL]]&lt;=Tableau1[[#This Row],[Day Cut Off]],Tableau1[[#This Row],[Day ETD]],Tableau1[[#This Row],[Day ETD]]+7)</f>
        <v>7</v>
      </c>
      <c r="AF52" s="50">
        <f ca="1">VLOOKUP(Tableau1[[#This Row],[Key(ID-Actif)]],'DATA BTO'!A:N,9,FALSE)</f>
        <v>54</v>
      </c>
      <c r="AG52" s="3" t="str">
        <f ca="1">VLOOKUP(Tableau1[[#This Row],[Key(ID-Actif)]],'DATA BTO'!A:N,10,FALSE)</f>
        <v>FRLEH</v>
      </c>
      <c r="AH52" s="3">
        <f ca="1">VLOOKUP(Tableau1[[#This Row],[Key(ID-Actif)]],'DATA BTO'!A:N,11,FALSE)</f>
        <v>3</v>
      </c>
      <c r="AI52" s="50">
        <f ca="1">VLOOKUP(Tableau1[[#This Row],[Key(ID-Actif)]],'DATA BTO'!A:N,12,FALSE)</f>
        <v>0</v>
      </c>
      <c r="AJ52" s="53" t="str">
        <f ca="1">VLOOKUP(Tableau1[[#This Row],[Key(ID-Actif)]],'DATA BTO'!A:N,14,FALSE)</f>
        <v>Max</v>
      </c>
      <c r="AK52" s="54">
        <f ca="1">VLOOKUP(Tableau1[[#This Row],[Key(POD -PFI- Usine)]],'DATA Consignee'!A:F,6,FALSE)</f>
        <v>3</v>
      </c>
      <c r="AL52" s="127"/>
      <c r="AM52" s="438" t="str">
        <f>IF(Tableau1[[#This Row],[Name PFI/CDD]]="","-",VLOOKUP(Tableau1[[#This Row],[Name PFI/CDD]],Plant_AILN!I:J,2,FALSE))</f>
        <v>-</v>
      </c>
      <c r="AN5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2" s="2">
        <f ca="1">VLOOKUP(Tableau1[[#This Row],[Key(POD -PFI- Usine)]],'DATA Consignee'!A:J,10,FALSE)</f>
        <v>0</v>
      </c>
      <c r="AQ52" s="50">
        <f ca="1">VLOOKUP(Tableau1[[#This Row],[Key(POD -PFI- Usine)]],'DATA Consignee'!A:N,14,FALSE)</f>
        <v>8</v>
      </c>
      <c r="AR5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5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52" s="50">
        <f ca="1">Tableau1[[#This Row],[Transit time]]+Tableau1[[#This Row],[Time for security]]+Tableau1[[#This Row],[Time for security2 buffer]]</f>
        <v>57</v>
      </c>
      <c r="AU5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52" s="433">
        <f ca="1">Tableau1[[#This Row],[Leadtime SI2C]]+Tableau1[[#This Row],[First Receipt Days]]-Tableau1[[#This Row],[Day Customer Order]]+1</f>
        <v>99</v>
      </c>
      <c r="AW52" s="119">
        <f ca="1">IF(Tableau1[[#This Row],[Name ILN]]&lt;&gt;"SFK Freight Forwarder",Tableau1[[#This Row],[Cust. Leadtime]],Tableau1[[#This Row],[Leadtime SI2C]])</f>
        <v>83</v>
      </c>
      <c r="AX52" s="51" t="s">
        <v>148</v>
      </c>
      <c r="AY52" s="338">
        <f ca="1">IFERROR(VLOOKUP(Tableau1[[#This Row],[Key(ID-Actif)]],'DATA BTO'!A:N,4,FALSE),VLOOKUP(Tableau1[[#This Row],[ID]],'DATA BTO'!B:N,3,FALSE))</f>
        <v>46507</v>
      </c>
      <c r="AZ52" s="50" t="str">
        <f>IF(ISNUMBER(Tableau1[[#This Row],[Day Customer Order]]),"-","Please Check 'Name' information in 'Order' Sheet to make sure they have information")</f>
        <v>-</v>
      </c>
      <c r="BA5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2" s="50"/>
    </row>
    <row r="53" spans="2:57" hidden="1">
      <c r="B53" s="474" t="str">
        <f>_xlfn.CONCAT(Tableau1[[#This Row],[Name ILN]],"-",Tableau1[[#This Row],[Name Shipper]],"-",Tableau1[[#This Row],[Name Site]])</f>
        <v>SFK Freight Forwarder-Jatco Japon-VALL MONTAGE</v>
      </c>
      <c r="C53" s="67" t="str">
        <f ca="1">_xlfn.CONCAT(Tableau1[[#This Row],[Compte ILN]],"-",Tableau1[[#This Row],[Compte Shipper]],"-",Tableau1[[#This Row],[POL]],"-",Tableau1[[#This Row],[Compte Consignee]])</f>
        <v>0-119640-JPSMZ-91017300</v>
      </c>
      <c r="D53" s="66" t="str">
        <f ca="1">_xlfn.CONCAT(Tableau1[[#This Row],[Compte ILN]],"-",Tableau1[[#This Row],[Compte Shipper]],"-",Tableau1[[#This Row],[POL]])</f>
        <v>0-119640-JPSMZ</v>
      </c>
      <c r="E53" s="434" t="str">
        <f ca="1">_xlfn.CONCAT(Tableau1[[#This Row],[POL]],"-",Tableau1[[#This Row],[Carrier]],"-",Tableau1[[#This Row],[POD]])</f>
        <v>JPSMZ-ONE-ESVLC</v>
      </c>
      <c r="F53" s="66" t="str">
        <f>_xlfn.CONCAT(Tableau1[[#This Row],[ID]],"-","Actif")</f>
        <v>1034-Actif</v>
      </c>
      <c r="G53" s="66" t="str">
        <f ca="1">_xlfn.CONCAT(Tableau1[[#This Row],[POD]],"-",Tableau1[[#This Row],[Code PFI]],"-",Tableau1[[#This Row],[Compte Consignee]])</f>
        <v>ESVLC-91018400-91017300</v>
      </c>
      <c r="H53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119640JPSMZVALL MONTAGE</v>
      </c>
      <c r="I5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MONTAGE-SFK Freight Forwarder-Jatco Japon-1034-JPSMZ-ONE-ESVLC-CDD VLL</v>
      </c>
      <c r="J53" s="435" t="str">
        <f ca="1">IF(COUNTIF(I:I,Tableau1[[#This Row],[Plant-ILN-shipper-POL-Carrier-POD-PFI]])=1,"Non","Oui")</f>
        <v>Non</v>
      </c>
      <c r="K53" s="128" t="str">
        <f>VLOOKUP(Tableau1[[#This Row],[Name Site]],Plant_AILN!A:D,4,FALSE)</f>
        <v>SPAIN</v>
      </c>
      <c r="L53" s="411" t="s">
        <v>175</v>
      </c>
      <c r="M53" s="439">
        <f>VLOOKUP(Tableau1[[#This Row],[Name Site]],Plant_AILN!A:C,3,FALSE)</f>
        <v>91017300</v>
      </c>
      <c r="N53" s="55">
        <f>IF(Tableau1[[#This Row],[Name PFI/CDD]]="PFI VLL",2,VLOOKUP(Tableau1[[#This Row],[Compte Consignee]],Order!C:D,2,FALSE))</f>
        <v>7</v>
      </c>
      <c r="O53" s="116" t="s">
        <v>146</v>
      </c>
      <c r="P53" s="365">
        <f>VLOOKUP(Tableau1[[#This Row],[Name ILN]],Plant_AILN!F:G,2,FALSE)</f>
        <v>0</v>
      </c>
      <c r="Q53" s="50">
        <f>VLOOKUP(Tableau1[[#This Row],[Compte ILN]],'DATA ILN'!D:I,6,FALSE)</f>
        <v>9</v>
      </c>
      <c r="R53" s="50">
        <f ca="1">IFERROR(VLOOKUP(Tableau1[[#This Row],[Key(Compte ILN - shipper - POL - plant)]],'DATA ILN'!A:J,10,FALSE),VLOOKUP(Tableau1[[#This Row],[Key(Compte ILN - shipper - POL)]],'DATA ILN'!B:J,9,FALSE))</f>
        <v>14</v>
      </c>
      <c r="S53" s="50">
        <f ca="1">IFERROR(VLOOKUP(Tableau1[[#This Row],[Key(Compte ILN - shipper - POL - plant)]],'DATA ILN'!A:K,11,FALSE),VLOOKUP(Tableau1[[#This Row],[Key(Compte ILN - shipper - POL)]],'DATA ILN'!B:K,10,FALSE))</f>
        <v>5</v>
      </c>
      <c r="T53" s="50">
        <f ca="1">IFERROR(VLOOKUP(Tableau1[[#This Row],[Key(Compte ILN - shipper - POL - plant)]],'DATA ILN'!A:L,12,FALSE),VLOOKUP(Tableau1[[#This Row],[Key(Compte ILN - shipper - POL)]],'DATA ILN'!B:L,11,FALSE))</f>
        <v>7</v>
      </c>
      <c r="U53" s="50">
        <f ca="1">Tableau1[[#This Row],[Day ILN Order]]+Tableau1[[#This Row],[Delivery time to ILN/Shipper]]-1</f>
        <v>22</v>
      </c>
      <c r="V53" s="50">
        <f ca="1">IFERROR(VLOOKUP(Tableau1[[#This Row],[Key(Compte ILN - shipper - POL - plant)]],'DATA ILN'!A:N,14,FALSE),VLOOKUP(Tableau1[[#This Row],[Key(Compte ILN - shipper - POL)]],'DATA ILN'!B:N,13,FALSE))</f>
        <v>1</v>
      </c>
      <c r="W53" s="53">
        <f ca="1">IFERROR(VLOOKUP(Tableau1[[#This Row],[Key(Compte ILN - shipper - POL - plant)]],'DATA ILN'!A:P,16,FALSE),VLOOKUP(Tableau1[[#This Row],[Key(Compte ILN - shipper - POL)]],'DATA ILN'!B:P,15,FALSE))</f>
        <v>3</v>
      </c>
      <c r="X53" s="284" t="s">
        <v>178</v>
      </c>
      <c r="Y53" s="437">
        <f>IFERROR(VLOOKUP(Tableau1[[#This Row],[Name Shipper]],Plant_AILN!L:M,2,FALSE),0)</f>
        <v>119640</v>
      </c>
      <c r="Z53" s="406">
        <v>1034</v>
      </c>
      <c r="AA53" s="396" t="str">
        <f ca="1">VLOOKUP(Tableau1[[#This Row],[Key(ID-Actif)]],'DATA BTO'!A:N,5,FALSE)</f>
        <v>JPSMZ</v>
      </c>
      <c r="AB53" s="3" t="str">
        <f ca="1">VLOOKUP(Tableau1[[#This Row],[Key(ID-Actif)]],'DATA BTO'!A:N,6,FALSE)</f>
        <v>ONE</v>
      </c>
      <c r="AC53" s="50">
        <f ca="1">VLOOKUP(Tableau1[[#This Row],[Key(ID-Actif)]],'DATA BTO'!A:N,7,FALSE)</f>
        <v>5</v>
      </c>
      <c r="AD53" s="50">
        <f ca="1">VLOOKUP(Tableau1[[#This Row],[Key(ID-Actif)]],'DATA BTO'!A:N,8,FALSE)</f>
        <v>7</v>
      </c>
      <c r="AE53" s="50">
        <f ca="1">IF(Tableau1[[#This Row],[First Day to POL]]&lt;=Tableau1[[#This Row],[Day Cut Off]],Tableau1[[#This Row],[Day ETD]],Tableau1[[#This Row],[Day ETD]]+7)</f>
        <v>7</v>
      </c>
      <c r="AF53" s="50">
        <f ca="1">VLOOKUP(Tableau1[[#This Row],[Key(ID-Actif)]],'DATA BTO'!A:N,9,FALSE)</f>
        <v>53</v>
      </c>
      <c r="AG53" s="3" t="str">
        <f ca="1">VLOOKUP(Tableau1[[#This Row],[Key(ID-Actif)]],'DATA BTO'!A:N,10,FALSE)</f>
        <v>ESVLC</v>
      </c>
      <c r="AH53" s="3">
        <f ca="1">VLOOKUP(Tableau1[[#This Row],[Key(ID-Actif)]],'DATA BTO'!A:N,11,FALSE)</f>
        <v>3</v>
      </c>
      <c r="AI53" s="50">
        <f ca="1">VLOOKUP(Tableau1[[#This Row],[Key(ID-Actif)]],'DATA BTO'!A:N,12,FALSE)</f>
        <v>0</v>
      </c>
      <c r="AJ53" s="53" t="str">
        <f ca="1">VLOOKUP(Tableau1[[#This Row],[Key(ID-Actif)]],'DATA BTO'!A:N,14,FALSE)</f>
        <v>Max</v>
      </c>
      <c r="AK53" s="54">
        <f ca="1">VLOOKUP(Tableau1[[#This Row],[Key(POD -PFI- Usine)]],'DATA Consignee'!A:F,6,FALSE)</f>
        <v>2</v>
      </c>
      <c r="AL53" s="127" t="s">
        <v>169</v>
      </c>
      <c r="AM53" s="438">
        <f>IF(Tableau1[[#This Row],[Name PFI/CDD]]="","-",VLOOKUP(Tableau1[[#This Row],[Name PFI/CDD]],Plant_AILN!I:J,2,FALSE))</f>
        <v>91018400</v>
      </c>
      <c r="AN53" s="6">
        <f ca="1">IF(COUNTIF(buffer_train[AILN],Tableau1[[#This Row],[Name PFI/CDD]])&gt;0,Tableau1[[#This Row],[First Receipt Days]]+Tableau1[[#This Row],[Cust.]]+Tableau1[[#This Row],[Parts Vanning]]+Tableau1[[#This Row],[Transit Time2]],"-")</f>
        <v>92</v>
      </c>
      <c r="AO53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0</v>
      </c>
      <c r="AP53" s="2">
        <f ca="1">VLOOKUP(Tableau1[[#This Row],[Key(POD -PFI- Usine)]],'DATA Consignee'!A:J,10,FALSE)</f>
        <v>3</v>
      </c>
      <c r="AQ53" s="50">
        <f ca="1">VLOOKUP(Tableau1[[#This Row],[Key(POD -PFI- Usine)]],'DATA Consignee'!A:N,14,FALSE)</f>
        <v>3</v>
      </c>
      <c r="AR5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5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53" s="50">
        <f ca="1">Tableau1[[#This Row],[Transit time]]+Tableau1[[#This Row],[Time for security]]+Tableau1[[#This Row],[Time for security2 buffer]]</f>
        <v>56</v>
      </c>
      <c r="AU5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3" s="433">
        <f ca="1">Tableau1[[#This Row],[Leadtime SI2C]]+Tableau1[[#This Row],[First Receipt Days]]-Tableau1[[#This Row],[Day Customer Order]]+1</f>
        <v>92</v>
      </c>
      <c r="AW53" s="119">
        <f ca="1">IF(Tableau1[[#This Row],[Name ILN]]&lt;&gt;"SFK Freight Forwarder",Tableau1[[#This Row],[Cust. Leadtime]],Tableau1[[#This Row],[Leadtime SI2C]])</f>
        <v>76</v>
      </c>
      <c r="AX53" s="51" t="s">
        <v>148</v>
      </c>
      <c r="AY53" s="338">
        <f ca="1">IFERROR(VLOOKUP(Tableau1[[#This Row],[Key(ID-Actif)]],'DATA BTO'!A:N,4,FALSE),VLOOKUP(Tableau1[[#This Row],[ID]],'DATA BTO'!B:N,3,FALSE))</f>
        <v>46507</v>
      </c>
      <c r="AZ53" s="50" t="str">
        <f>IF(ISNUMBER(Tableau1[[#This Row],[Day Customer Order]]),"-","Please Check 'Name' information in 'Order' Sheet to make sure they have information")</f>
        <v>-</v>
      </c>
      <c r="BA5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3" s="50"/>
    </row>
    <row r="54" spans="2:57" hidden="1">
      <c r="B54" s="474" t="str">
        <f>_xlfn.CONCAT(Tableau1[[#This Row],[Name ILN]],"-",Tableau1[[#This Row],[Name Shipper]],"-",Tableau1[[#This Row],[Name Site]])</f>
        <v>SFK Freight Forwarder-Jatco Mexique-PALENCIA</v>
      </c>
      <c r="C54" s="67" t="str">
        <f ca="1">_xlfn.CONCAT(Tableau1[[#This Row],[Compte ILN]],"-",Tableau1[[#This Row],[Compte Shipper]],"-",Tableau1[[#This Row],[POL]],"-",Tableau1[[#This Row],[Compte Consignee]])</f>
        <v>0-261427-MXATM-91017200</v>
      </c>
      <c r="D54" s="66" t="str">
        <f ca="1">_xlfn.CONCAT(Tableau1[[#This Row],[Compte ILN]],"-",Tableau1[[#This Row],[Compte Shipper]],"-",Tableau1[[#This Row],[POL]])</f>
        <v>0-261427-MXATM</v>
      </c>
      <c r="E54" s="434" t="str">
        <f ca="1">_xlfn.CONCAT(Tableau1[[#This Row],[POL]],"-",Tableau1[[#This Row],[Carrier]],"-",Tableau1[[#This Row],[POD]])</f>
        <v>MXATM-Hapag Lloyd-ESVLC</v>
      </c>
      <c r="F54" s="66" t="str">
        <f>_xlfn.CONCAT(Tableau1[[#This Row],[ID]],"-","Actif")</f>
        <v>1036-Actif</v>
      </c>
      <c r="G54" s="66" t="str">
        <f ca="1">_xlfn.CONCAT(Tableau1[[#This Row],[POD]],"-",Tableau1[[#This Row],[Code PFI]],"-",Tableau1[[#This Row],[Compte Consignee]])</f>
        <v>ESVLC-91018400-91017200</v>
      </c>
      <c r="H54" s="434" t="str">
        <f ca="1">_xlfn.CONCAT(IF(Tableau1[[#This Row],[Name ILN]]=Tableau1[[#This Row],[Name Shipper]],Tableau1[[#This Row],[Name ILN]],Tableau1[[#This Row],[Compte Shipper]]),Tableau1[[#This Row],[POL]],Tableau1[[#This Row],[Name Site]])</f>
        <v>261427MXATMPALENCIA</v>
      </c>
      <c r="I5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PALENCIA-SFK Freight Forwarder-Jatco Mexique-1036-MXATM-Hapag Lloyd-ESVLC-CDD VLL</v>
      </c>
      <c r="J54" s="435" t="str">
        <f ca="1">IF(COUNTIF(I:I,Tableau1[[#This Row],[Plant-ILN-shipper-POL-Carrier-POD-PFI]])=1,"Non","Oui")</f>
        <v>Non</v>
      </c>
      <c r="K54" s="128" t="str">
        <f>VLOOKUP(Tableau1[[#This Row],[Name Site]],Plant_AILN!A:D,4,FALSE)</f>
        <v>SPAIN</v>
      </c>
      <c r="L54" s="411" t="s">
        <v>184</v>
      </c>
      <c r="M54" s="439">
        <f>VLOOKUP(Tableau1[[#This Row],[Name Site]],Plant_AILN!A:C,3,FALSE)</f>
        <v>91017200</v>
      </c>
      <c r="N54" s="55">
        <f>IF(Tableau1[[#This Row],[Name PFI/CDD]]="PFI VLL",2,VLOOKUP(Tableau1[[#This Row],[Compte Consignee]],Order!C:D,2,FALSE))</f>
        <v>7</v>
      </c>
      <c r="O54" s="116" t="s">
        <v>146</v>
      </c>
      <c r="P54" s="365">
        <f>VLOOKUP(Tableau1[[#This Row],[Name ILN]],Plant_AILN!F:G,2,FALSE)</f>
        <v>0</v>
      </c>
      <c r="Q54" s="50">
        <f>VLOOKUP(Tableau1[[#This Row],[Compte ILN]],'DATA ILN'!D:I,6,FALSE)</f>
        <v>9</v>
      </c>
      <c r="R54" s="50">
        <f ca="1">IFERROR(VLOOKUP(Tableau1[[#This Row],[Key(Compte ILN - shipper - POL - plant)]],'DATA ILN'!A:J,10,FALSE),VLOOKUP(Tableau1[[#This Row],[Key(Compte ILN - shipper - POL)]],'DATA ILN'!B:J,9,FALSE))</f>
        <v>14</v>
      </c>
      <c r="S54" s="50">
        <f ca="1">IFERROR(VLOOKUP(Tableau1[[#This Row],[Key(Compte ILN - shipper - POL - plant)]],'DATA ILN'!A:K,11,FALSE),VLOOKUP(Tableau1[[#This Row],[Key(Compte ILN - shipper - POL)]],'DATA ILN'!B:K,10,FALSE))</f>
        <v>5</v>
      </c>
      <c r="T54" s="50">
        <f ca="1">IFERROR(VLOOKUP(Tableau1[[#This Row],[Key(Compte ILN - shipper - POL - plant)]],'DATA ILN'!A:L,12,FALSE),VLOOKUP(Tableau1[[#This Row],[Key(Compte ILN - shipper - POL)]],'DATA ILN'!B:L,11,FALSE))</f>
        <v>7</v>
      </c>
      <c r="U54" s="50">
        <f ca="1">Tableau1[[#This Row],[Day ILN Order]]+Tableau1[[#This Row],[Delivery time to ILN/Shipper]]-1</f>
        <v>22</v>
      </c>
      <c r="V54" s="50">
        <f ca="1">IFERROR(VLOOKUP(Tableau1[[#This Row],[Key(Compte ILN - shipper - POL - plant)]],'DATA ILN'!A:N,14,FALSE),VLOOKUP(Tableau1[[#This Row],[Key(Compte ILN - shipper - POL)]],'DATA ILN'!B:N,13,FALSE))</f>
        <v>2</v>
      </c>
      <c r="W54" s="53">
        <f ca="1">IFERROR(VLOOKUP(Tableau1[[#This Row],[Key(Compte ILN - shipper - POL - plant)]],'DATA ILN'!A:P,16,FALSE),VLOOKUP(Tableau1[[#This Row],[Key(Compte ILN - shipper - POL)]],'DATA ILN'!B:P,15,FALSE))</f>
        <v>5</v>
      </c>
      <c r="X54" s="284" t="s">
        <v>176</v>
      </c>
      <c r="Y54" s="437">
        <f>IFERROR(VLOOKUP(Tableau1[[#This Row],[Name Shipper]],Plant_AILN!L:M,2,FALSE),0)</f>
        <v>261427</v>
      </c>
      <c r="Z54" s="406">
        <v>1036</v>
      </c>
      <c r="AA54" s="396" t="str">
        <f ca="1">VLOOKUP(Tableau1[[#This Row],[Key(ID-Actif)]],'DATA BTO'!A:N,5,FALSE)</f>
        <v>MXATM</v>
      </c>
      <c r="AB54" s="3" t="str">
        <f ca="1">VLOOKUP(Tableau1[[#This Row],[Key(ID-Actif)]],'DATA BTO'!A:N,6,FALSE)</f>
        <v>Hapag Lloyd</v>
      </c>
      <c r="AC54" s="50">
        <f ca="1">VLOOKUP(Tableau1[[#This Row],[Key(ID-Actif)]],'DATA BTO'!A:N,7,FALSE)</f>
        <v>6</v>
      </c>
      <c r="AD54" s="50">
        <f ca="1">VLOOKUP(Tableau1[[#This Row],[Key(ID-Actif)]],'DATA BTO'!A:N,8,FALSE)</f>
        <v>8</v>
      </c>
      <c r="AE54" s="50">
        <f ca="1">IF(Tableau1[[#This Row],[First Day to POL]]&lt;=Tableau1[[#This Row],[Day Cut Off]],Tableau1[[#This Row],[Day ETD]],Tableau1[[#This Row],[Day ETD]]+7)</f>
        <v>8</v>
      </c>
      <c r="AF54" s="50">
        <f ca="1">VLOOKUP(Tableau1[[#This Row],[Key(ID-Actif)]],'DATA BTO'!A:N,9,FALSE)</f>
        <v>31</v>
      </c>
      <c r="AG54" s="3" t="str">
        <f ca="1">VLOOKUP(Tableau1[[#This Row],[Key(ID-Actif)]],'DATA BTO'!A:N,10,FALSE)</f>
        <v>ESVLC</v>
      </c>
      <c r="AH54" s="3">
        <f ca="1">VLOOKUP(Tableau1[[#This Row],[Key(ID-Actif)]],'DATA BTO'!A:N,11,FALSE)</f>
        <v>3</v>
      </c>
      <c r="AI54" s="50">
        <f ca="1">VLOOKUP(Tableau1[[#This Row],[Key(ID-Actif)]],'DATA BTO'!A:N,12,FALSE)</f>
        <v>0</v>
      </c>
      <c r="AJ54" s="53" t="str">
        <f ca="1">VLOOKUP(Tableau1[[#This Row],[Key(ID-Actif)]],'DATA BTO'!A:N,14,FALSE)</f>
        <v>Max</v>
      </c>
      <c r="AK54" s="54">
        <f ca="1">VLOOKUP(Tableau1[[#This Row],[Key(POD -PFI- Usine)]],'DATA Consignee'!A:F,6,FALSE)</f>
        <v>2</v>
      </c>
      <c r="AL54" s="127" t="s">
        <v>169</v>
      </c>
      <c r="AM54" s="438">
        <f>IF(Tableau1[[#This Row],[Name PFI/CDD]]="","-",VLOOKUP(Tableau1[[#This Row],[Name PFI/CDD]],Plant_AILN!I:J,2,FALSE))</f>
        <v>91018400</v>
      </c>
      <c r="AN54" s="6">
        <f ca="1">IF(COUNTIF(buffer_train[AILN],Tableau1[[#This Row],[Name PFI/CDD]])&gt;0,Tableau1[[#This Row],[First Receipt Days]]+Tableau1[[#This Row],[Cust.]]+Tableau1[[#This Row],[Parts Vanning]]+Tableau1[[#This Row],[Transit Time2]],"-")</f>
        <v>71</v>
      </c>
      <c r="AO54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0</v>
      </c>
      <c r="AP54" s="2">
        <f ca="1">VLOOKUP(Tableau1[[#This Row],[Key(POD -PFI- Usine)]],'DATA Consignee'!A:J,10,FALSE)</f>
        <v>3</v>
      </c>
      <c r="AQ54" s="50">
        <f ca="1">VLOOKUP(Tableau1[[#This Row],[Key(POD -PFI- Usine)]],'DATA Consignee'!A:N,14,FALSE)</f>
        <v>2</v>
      </c>
      <c r="AR5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5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54" s="50">
        <f ca="1">Tableau1[[#This Row],[Transit time]]+Tableau1[[#This Row],[Time for security]]+Tableau1[[#This Row],[Time for security2 buffer]]</f>
        <v>34</v>
      </c>
      <c r="AU5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54" s="433">
        <f ca="1">Tableau1[[#This Row],[Leadtime SI2C]]+Tableau1[[#This Row],[First Receipt Days]]-Tableau1[[#This Row],[Day Customer Order]]+1</f>
        <v>71</v>
      </c>
      <c r="AW54" s="119">
        <f ca="1">IF(Tableau1[[#This Row],[Name ILN]]&lt;&gt;"SFK Freight Forwarder",Tableau1[[#This Row],[Cust. Leadtime]],Tableau1[[#This Row],[Leadtime SI2C]])</f>
        <v>55</v>
      </c>
      <c r="AX54" s="51" t="s">
        <v>148</v>
      </c>
      <c r="AY54" s="338">
        <f ca="1">IFERROR(VLOOKUP(Tableau1[[#This Row],[Key(ID-Actif)]],'DATA BTO'!A:N,4,FALSE),VLOOKUP(Tableau1[[#This Row],[ID]],'DATA BTO'!B:N,3,FALSE))</f>
        <v>46507</v>
      </c>
      <c r="AZ54" s="50" t="str">
        <f>IF(ISNUMBER(Tableau1[[#This Row],[Day Customer Order]]),"-","Please Check 'Name' information in 'Order' Sheet to make sure they have information")</f>
        <v>-</v>
      </c>
      <c r="BA5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4" s="50"/>
    </row>
    <row r="55" spans="2:57" hidden="1">
      <c r="B55" s="474" t="str">
        <f>_xlfn.CONCAT(Tableau1[[#This Row],[Name ILN]],"-",Tableau1[[#This Row],[Name Shipper]],"-",Tableau1[[#This Row],[Name Site]])</f>
        <v>SFK Freight Forwarder-Jatco Japon-CORDOBA</v>
      </c>
      <c r="C55" s="67" t="str">
        <f ca="1">_xlfn.CONCAT(Tableau1[[#This Row],[Compte ILN]],"-",Tableau1[[#This Row],[Compte Shipper]],"-",Tableau1[[#This Row],[POL]],"-",Tableau1[[#This Row],[Compte Consignee]])</f>
        <v>0-119640-JPSMZ-90016000</v>
      </c>
      <c r="D55" s="66" t="str">
        <f ca="1">_xlfn.CONCAT(Tableau1[[#This Row],[Compte ILN]],"-",Tableau1[[#This Row],[Compte Shipper]],"-",Tableau1[[#This Row],[POL]])</f>
        <v>0-119640-JPSMZ</v>
      </c>
      <c r="E55" s="434" t="str">
        <f ca="1">_xlfn.CONCAT(Tableau1[[#This Row],[POL]],"-",Tableau1[[#This Row],[Carrier]],"-",Tableau1[[#This Row],[POD]])</f>
        <v>JPSMZ-ONE-ARZAE</v>
      </c>
      <c r="F55" s="66" t="str">
        <f>_xlfn.CONCAT(Tableau1[[#This Row],[ID]],"-","Actif")</f>
        <v>1037-Actif</v>
      </c>
      <c r="G55" s="66" t="str">
        <f ca="1">_xlfn.CONCAT(Tableau1[[#This Row],[POD]],"-",Tableau1[[#This Row],[Code PFI]],"-",Tableau1[[#This Row],[Compte Consignee]])</f>
        <v>ARZAE---90016000</v>
      </c>
      <c r="H55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119640JPSMZCORDOBA</v>
      </c>
      <c r="I5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CORDOBA-SFK Freight Forwarder-Jatco Japon-1037-JPSMZ-ONE-ARZAE-</v>
      </c>
      <c r="J55" s="435" t="str">
        <f ca="1">IF(COUNTIF(I:I,Tableau1[[#This Row],[Plant-ILN-shipper-POL-Carrier-POD-PFI]])=1,"Non","Oui")</f>
        <v>Non</v>
      </c>
      <c r="K55" s="128" t="str">
        <f>VLOOKUP(Tableau1[[#This Row],[Name Site]],Plant_AILN!A:D,4,FALSE)</f>
        <v>ARGENTINA</v>
      </c>
      <c r="L55" s="411" t="s">
        <v>158</v>
      </c>
      <c r="M55" s="439">
        <f>VLOOKUP(Tableau1[[#This Row],[Name Site]],Plant_AILN!A:C,3,FALSE)</f>
        <v>90016000</v>
      </c>
      <c r="N55" s="55">
        <f>IF(Tableau1[[#This Row],[Name PFI/CDD]]="PFI VLL",2,VLOOKUP(Tableau1[[#This Row],[Compte Consignee]],Order!C:D,2,FALSE))</f>
        <v>7</v>
      </c>
      <c r="O55" s="116" t="s">
        <v>146</v>
      </c>
      <c r="P55" s="365">
        <f>VLOOKUP(Tableau1[[#This Row],[Name ILN]],Plant_AILN!F:G,2,FALSE)</f>
        <v>0</v>
      </c>
      <c r="Q55" s="50">
        <f>VLOOKUP(Tableau1[[#This Row],[Compte ILN]],'DATA ILN'!D:I,6,FALSE)</f>
        <v>9</v>
      </c>
      <c r="R55" s="50">
        <f ca="1">IFERROR(VLOOKUP(Tableau1[[#This Row],[Key(Compte ILN - shipper - POL - plant)]],'DATA ILN'!A:J,10,FALSE),VLOOKUP(Tableau1[[#This Row],[Key(Compte ILN - shipper - POL)]],'DATA ILN'!B:J,9,FALSE))</f>
        <v>14</v>
      </c>
      <c r="S55" s="50">
        <f ca="1">IFERROR(VLOOKUP(Tableau1[[#This Row],[Key(Compte ILN - shipper - POL - plant)]],'DATA ILN'!A:K,11,FALSE),VLOOKUP(Tableau1[[#This Row],[Key(Compte ILN - shipper - POL)]],'DATA ILN'!B:K,10,FALSE))</f>
        <v>5</v>
      </c>
      <c r="T55" s="50">
        <f ca="1">IFERROR(VLOOKUP(Tableau1[[#This Row],[Key(Compte ILN - shipper - POL - plant)]],'DATA ILN'!A:L,12,FALSE),VLOOKUP(Tableau1[[#This Row],[Key(Compte ILN - shipper - POL)]],'DATA ILN'!B:L,11,FALSE))</f>
        <v>7</v>
      </c>
      <c r="U55" s="50">
        <f ca="1">Tableau1[[#This Row],[Day ILN Order]]+Tableau1[[#This Row],[Delivery time to ILN/Shipper]]-1</f>
        <v>22</v>
      </c>
      <c r="V55" s="50">
        <f ca="1">IFERROR(VLOOKUP(Tableau1[[#This Row],[Key(Compte ILN - shipper - POL - plant)]],'DATA ILN'!A:N,14,FALSE),VLOOKUP(Tableau1[[#This Row],[Key(Compte ILN - shipper - POL)]],'DATA ILN'!B:N,13,FALSE))</f>
        <v>1</v>
      </c>
      <c r="W55" s="53">
        <f ca="1">IFERROR(VLOOKUP(Tableau1[[#This Row],[Key(Compte ILN - shipper - POL - plant)]],'DATA ILN'!A:P,16,FALSE),VLOOKUP(Tableau1[[#This Row],[Key(Compte ILN - shipper - POL)]],'DATA ILN'!B:P,15,FALSE))</f>
        <v>3</v>
      </c>
      <c r="X55" s="284" t="s">
        <v>178</v>
      </c>
      <c r="Y55" s="437">
        <f>IFERROR(VLOOKUP(Tableau1[[#This Row],[Name Shipper]],Plant_AILN!L:M,2,FALSE),0)</f>
        <v>119640</v>
      </c>
      <c r="Z55" s="406">
        <v>1037</v>
      </c>
      <c r="AA55" s="396" t="str">
        <f ca="1">VLOOKUP(Tableau1[[#This Row],[Key(ID-Actif)]],'DATA BTO'!A:N,5,FALSE)</f>
        <v>JPSMZ</v>
      </c>
      <c r="AB55" s="3" t="str">
        <f ca="1">VLOOKUP(Tableau1[[#This Row],[Key(ID-Actif)]],'DATA BTO'!A:N,6,FALSE)</f>
        <v>ONE</v>
      </c>
      <c r="AC55" s="50">
        <f ca="1">VLOOKUP(Tableau1[[#This Row],[Key(ID-Actif)]],'DATA BTO'!A:N,7,FALSE)</f>
        <v>5</v>
      </c>
      <c r="AD55" s="50">
        <f ca="1">VLOOKUP(Tableau1[[#This Row],[Key(ID-Actif)]],'DATA BTO'!A:N,8,FALSE)</f>
        <v>8</v>
      </c>
      <c r="AE55" s="50">
        <f ca="1">IF(Tableau1[[#This Row],[First Day to POL]]&lt;=Tableau1[[#This Row],[Day Cut Off]],Tableau1[[#This Row],[Day ETD]],Tableau1[[#This Row],[Day ETD]]+7)</f>
        <v>8</v>
      </c>
      <c r="AF55" s="50">
        <f ca="1">VLOOKUP(Tableau1[[#This Row],[Key(ID-Actif)]],'DATA BTO'!A:N,9,FALSE)</f>
        <v>67</v>
      </c>
      <c r="AG55" s="3" t="str">
        <f ca="1">VLOOKUP(Tableau1[[#This Row],[Key(ID-Actif)]],'DATA BTO'!A:N,10,FALSE)</f>
        <v>ARZAE</v>
      </c>
      <c r="AH55" s="3">
        <f ca="1">VLOOKUP(Tableau1[[#This Row],[Key(ID-Actif)]],'DATA BTO'!A:N,11,FALSE)</f>
        <v>3</v>
      </c>
      <c r="AI55" s="50">
        <f ca="1">VLOOKUP(Tableau1[[#This Row],[Key(ID-Actif)]],'DATA BTO'!A:N,12,FALSE)</f>
        <v>7</v>
      </c>
      <c r="AJ55" s="53" t="str">
        <f ca="1">VLOOKUP(Tableau1[[#This Row],[Key(ID-Actif)]],'DATA BTO'!A:N,14,FALSE)</f>
        <v>Max</v>
      </c>
      <c r="AK55" s="54">
        <f ca="1">VLOOKUP(Tableau1[[#This Row],[Key(POD -PFI- Usine)]],'DATA Consignee'!A:F,6,FALSE)</f>
        <v>3</v>
      </c>
      <c r="AL55" s="127"/>
      <c r="AM55" s="438" t="str">
        <f>IF(Tableau1[[#This Row],[Name PFI/CDD]]="","-",VLOOKUP(Tableau1[[#This Row],[Name PFI/CDD]],Plant_AILN!I:J,2,FALSE))</f>
        <v>-</v>
      </c>
      <c r="AN5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5" s="2">
        <f ca="1">VLOOKUP(Tableau1[[#This Row],[Key(POD -PFI- Usine)]],'DATA Consignee'!A:J,10,FALSE)</f>
        <v>0</v>
      </c>
      <c r="AQ55" s="50">
        <f ca="1">VLOOKUP(Tableau1[[#This Row],[Key(POD -PFI- Usine)]],'DATA Consignee'!A:N,14,FALSE)</f>
        <v>3</v>
      </c>
      <c r="AR5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5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55" s="50">
        <f ca="1">Tableau1[[#This Row],[Transit time]]+Tableau1[[#This Row],[Time for security]]+Tableau1[[#This Row],[Time for security2 buffer]]</f>
        <v>77</v>
      </c>
      <c r="AU5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55" s="433">
        <f ca="1">Tableau1[[#This Row],[Leadtime SI2C]]+Tableau1[[#This Row],[First Receipt Days]]-Tableau1[[#This Row],[Day Customer Order]]+1</f>
        <v>113</v>
      </c>
      <c r="AW55" s="119">
        <f ca="1">IF(Tableau1[[#This Row],[Name ILN]]&lt;&gt;"SFK Freight Forwarder",Tableau1[[#This Row],[Cust. Leadtime]],Tableau1[[#This Row],[Leadtime SI2C]])</f>
        <v>97</v>
      </c>
      <c r="AX55" s="51" t="s">
        <v>148</v>
      </c>
      <c r="AY55" s="338">
        <f ca="1">IFERROR(VLOOKUP(Tableau1[[#This Row],[Key(ID-Actif)]],'DATA BTO'!A:N,4,FALSE),VLOOKUP(Tableau1[[#This Row],[ID]],'DATA BTO'!B:N,3,FALSE))</f>
        <v>46507</v>
      </c>
      <c r="AZ55" s="50" t="str">
        <f>IF(ISNUMBER(Tableau1[[#This Row],[Day Customer Order]]),"-","Please Check 'Name' information in 'Order' Sheet to make sure they have information")</f>
        <v>-</v>
      </c>
      <c r="BA5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5" s="50"/>
    </row>
    <row r="56" spans="2:57" hidden="1">
      <c r="B56" s="474" t="str">
        <f>_xlfn.CONCAT(Tableau1[[#This Row],[Name ILN]],"-",Tableau1[[#This Row],[Name Shipper]],"-",Tableau1[[#This Row],[Name Site]])</f>
        <v>ILN Chine -ILN Chine -MOTORES</v>
      </c>
      <c r="C56" s="67" t="str">
        <f ca="1">_xlfn.CONCAT(Tableau1[[#This Row],[Compte ILN]],"-",Tableau1[[#This Row],[Compte Shipper]],"-",Tableau1[[#This Row],[POL]],"-",Tableau1[[#This Row],[Compte Consignee]])</f>
        <v>424479-424479-CNSHA-91017700</v>
      </c>
      <c r="D56" s="66" t="str">
        <f ca="1">_xlfn.CONCAT(Tableau1[[#This Row],[Compte ILN]],"-",Tableau1[[#This Row],[Compte Shipper]],"-",Tableau1[[#This Row],[POL]])</f>
        <v>424479-424479-CNSHA</v>
      </c>
      <c r="E56" s="434" t="str">
        <f ca="1">_xlfn.CONCAT(Tableau1[[#This Row],[POL]],"-",Tableau1[[#This Row],[Carrier]],"-",Tableau1[[#This Row],[POD]])</f>
        <v>CNSHA-Hapag Lloyd-ESVLC</v>
      </c>
      <c r="F56" s="66" t="str">
        <f>_xlfn.CONCAT(Tableau1[[#This Row],[ID]],"-","Actif")</f>
        <v>1039-Actif</v>
      </c>
      <c r="G56" s="66" t="str">
        <f ca="1">_xlfn.CONCAT(Tableau1[[#This Row],[POD]],"-",Tableau1[[#This Row],[Code PFI]],"-",Tableau1[[#This Row],[Compte Consignee]])</f>
        <v>ESVLC---91017700</v>
      </c>
      <c r="H56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CNSHAMOTORES</v>
      </c>
      <c r="I5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Chine -ILN Chine -1039-CNSHA-Hapag Lloyd-ESVLC-</v>
      </c>
      <c r="J56" s="435" t="str">
        <f ca="1">IF(COUNTIF(I:I,Tableau1[[#This Row],[Plant-ILN-shipper-POL-Carrier-POD-PFI]])=1,"Non","Oui")</f>
        <v>Non</v>
      </c>
      <c r="K56" s="128" t="str">
        <f>VLOOKUP(Tableau1[[#This Row],[Name Site]],Plant_AILN!A:D,4,FALSE)</f>
        <v>SPAIN</v>
      </c>
      <c r="L56" s="411" t="s">
        <v>63</v>
      </c>
      <c r="M56" s="439">
        <f>VLOOKUP(Tableau1[[#This Row],[Name Site]],Plant_AILN!A:C,3,FALSE)</f>
        <v>91017700</v>
      </c>
      <c r="N56" s="55">
        <f>IF(Tableau1[[#This Row],[Name PFI/CDD]]="PFI VLL",2,VLOOKUP(Tableau1[[#This Row],[Compte Consignee]],Order!C:D,2,FALSE))</f>
        <v>7</v>
      </c>
      <c r="O56" s="116" t="s">
        <v>1</v>
      </c>
      <c r="P56" s="365">
        <f>VLOOKUP(Tableau1[[#This Row],[Name ILN]],Plant_AILN!F:G,2,FALSE)</f>
        <v>424479</v>
      </c>
      <c r="Q56" s="50">
        <f>VLOOKUP(Tableau1[[#This Row],[Compte ILN]],'DATA ILN'!D:I,6,FALSE)</f>
        <v>9</v>
      </c>
      <c r="R56" s="50">
        <f ca="1">IFERROR(VLOOKUP(Tableau1[[#This Row],[Key(Compte ILN - shipper - POL - plant)]],'DATA ILN'!A:J,10,FALSE),VLOOKUP(Tableau1[[#This Row],[Key(Compte ILN - shipper - POL)]],'DATA ILN'!B:J,9,FALSE))</f>
        <v>21</v>
      </c>
      <c r="S56" s="50">
        <f ca="1">IFERROR(VLOOKUP(Tableau1[[#This Row],[Key(Compte ILN - shipper - POL - plant)]],'DATA ILN'!A:K,11,FALSE),VLOOKUP(Tableau1[[#This Row],[Key(Compte ILN - shipper - POL)]],'DATA ILN'!B:K,10,FALSE))</f>
        <v>5</v>
      </c>
      <c r="T56" s="50">
        <f ca="1">IFERROR(VLOOKUP(Tableau1[[#This Row],[Key(Compte ILN - shipper - POL - plant)]],'DATA ILN'!A:L,12,FALSE),VLOOKUP(Tableau1[[#This Row],[Key(Compte ILN - shipper - POL)]],'DATA ILN'!B:L,11,FALSE))</f>
        <v>7</v>
      </c>
      <c r="U56" s="50">
        <f ca="1">Tableau1[[#This Row],[Day ILN Order]]+Tableau1[[#This Row],[Delivery time to ILN/Shipper]]-1</f>
        <v>29</v>
      </c>
      <c r="V56" s="50">
        <f ca="1">IFERROR(VLOOKUP(Tableau1[[#This Row],[Key(Compte ILN - shipper - POL - plant)]],'DATA ILN'!A:N,14,FALSE),VLOOKUP(Tableau1[[#This Row],[Key(Compte ILN - shipper - POL)]],'DATA ILN'!B:N,13,FALSE))</f>
        <v>1</v>
      </c>
      <c r="W56" s="53">
        <f ca="1">IFERROR(VLOOKUP(Tableau1[[#This Row],[Key(Compte ILN - shipper - POL - plant)]],'DATA ILN'!A:P,16,FALSE),VLOOKUP(Tableau1[[#This Row],[Key(Compte ILN - shipper - POL)]],'DATA ILN'!B:P,15,FALSE))</f>
        <v>2</v>
      </c>
      <c r="X56" s="284" t="s">
        <v>1</v>
      </c>
      <c r="Y56" s="437">
        <f>IFERROR(VLOOKUP(Tableau1[[#This Row],[Name Shipper]],Plant_AILN!L:M,2,FALSE),0)</f>
        <v>424479</v>
      </c>
      <c r="Z56" s="406">
        <v>1039</v>
      </c>
      <c r="AA56" s="396" t="str">
        <f ca="1">VLOOKUP(Tableau1[[#This Row],[Key(ID-Actif)]],'DATA BTO'!A:N,5,FALSE)</f>
        <v>CNSHA</v>
      </c>
      <c r="AB56" s="3" t="str">
        <f ca="1">VLOOKUP(Tableau1[[#This Row],[Key(ID-Actif)]],'DATA BTO'!A:N,6,FALSE)</f>
        <v>Hapag Lloyd</v>
      </c>
      <c r="AC56" s="50">
        <f ca="1">VLOOKUP(Tableau1[[#This Row],[Key(ID-Actif)]],'DATA BTO'!A:N,7,FALSE)</f>
        <v>7</v>
      </c>
      <c r="AD56" s="50">
        <f ca="1">VLOOKUP(Tableau1[[#This Row],[Key(ID-Actif)]],'DATA BTO'!A:N,8,FALSE)</f>
        <v>9</v>
      </c>
      <c r="AE56" s="50">
        <f ca="1">IF(Tableau1[[#This Row],[First Day to POL]]&lt;=Tableau1[[#This Row],[Day Cut Off]],Tableau1[[#This Row],[Day ETD]],Tableau1[[#This Row],[Day ETD]]+7)</f>
        <v>9</v>
      </c>
      <c r="AF56" s="50">
        <f ca="1">VLOOKUP(Tableau1[[#This Row],[Key(ID-Actif)]],'DATA BTO'!A:N,9,FALSE)</f>
        <v>40</v>
      </c>
      <c r="AG56" s="3" t="str">
        <f ca="1">VLOOKUP(Tableau1[[#This Row],[Key(ID-Actif)]],'DATA BTO'!A:N,10,FALSE)</f>
        <v>ESVLC</v>
      </c>
      <c r="AH56" s="3">
        <f ca="1">VLOOKUP(Tableau1[[#This Row],[Key(ID-Actif)]],'DATA BTO'!A:N,11,FALSE)</f>
        <v>3</v>
      </c>
      <c r="AI56" s="50">
        <f ca="1">VLOOKUP(Tableau1[[#This Row],[Key(ID-Actif)]],'DATA BTO'!A:N,12,FALSE)</f>
        <v>0</v>
      </c>
      <c r="AJ56" s="53" t="str">
        <f ca="1">VLOOKUP(Tableau1[[#This Row],[Key(ID-Actif)]],'DATA BTO'!A:N,14,FALSE)</f>
        <v>Marc-Aurele</v>
      </c>
      <c r="AK56" s="54">
        <f ca="1">VLOOKUP(Tableau1[[#This Row],[Key(POD -PFI- Usine)]],'DATA Consignee'!A:F,6,FALSE)</f>
        <v>2</v>
      </c>
      <c r="AL56" s="561"/>
      <c r="AM56" s="438" t="str">
        <f>IF(Tableau1[[#This Row],[Name PFI/CDD]]="","-",VLOOKUP(Tableau1[[#This Row],[Name PFI/CDD]],Plant_AILN!I:J,2,FALSE))</f>
        <v>-</v>
      </c>
      <c r="AN5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6" s="2">
        <f ca="1">VLOOKUP(Tableau1[[#This Row],[Key(POD -PFI- Usine)]],'DATA Consignee'!A:J,10,FALSE)</f>
        <v>0</v>
      </c>
      <c r="AQ56" s="50">
        <f ca="1">VLOOKUP(Tableau1[[#This Row],[Key(POD -PFI- Usine)]],'DATA Consignee'!A:N,14,FALSE)</f>
        <v>3</v>
      </c>
      <c r="AR5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5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56" s="50">
        <f ca="1">Tableau1[[#This Row],[Transit time]]+Tableau1[[#This Row],[Time for security]]+Tableau1[[#This Row],[Time for security2 buffer]]</f>
        <v>43</v>
      </c>
      <c r="AU5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56" s="433">
        <f ca="1">Tableau1[[#This Row],[Leadtime SI2C]]+Tableau1[[#This Row],[First Receipt Days]]-Tableau1[[#This Row],[Day Customer Order]]+1</f>
        <v>85</v>
      </c>
      <c r="AW56" s="119">
        <f ca="1">IF(Tableau1[[#This Row],[Name ILN]]&lt;&gt;"SFK Freight Forwarder",Tableau1[[#This Row],[Cust. Leadtime]],Tableau1[[#This Row],[Leadtime SI2C]])</f>
        <v>85</v>
      </c>
      <c r="AX56" s="51" t="s">
        <v>144</v>
      </c>
      <c r="AY56" s="338">
        <f ca="1">IFERROR(VLOOKUP(Tableau1[[#This Row],[Key(ID-Actif)]],'DATA BTO'!A:N,4,FALSE),VLOOKUP(Tableau1[[#This Row],[ID]],'DATA BTO'!B:N,3,FALSE))</f>
        <v>46507</v>
      </c>
      <c r="AZ56" s="50" t="str">
        <f>IF(ISNUMBER(Tableau1[[#This Row],[Day Customer Order]]),"-","Please Check 'Name' information in 'Order' Sheet to make sure they have information")</f>
        <v>-</v>
      </c>
      <c r="BA5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6" s="50"/>
    </row>
    <row r="57" spans="2:57" hidden="1">
      <c r="B57" s="474" t="str">
        <f>_xlfn.CONCAT(Tableau1[[#This Row],[Name ILN]],"-",Tableau1[[#This Row],[Name Shipper]],"-",Tableau1[[#This Row],[Name Site]])</f>
        <v>SFK Freight Forwarder-Jatco Japon-CHENNAI Vehicule</v>
      </c>
      <c r="C57" s="67" t="str">
        <f ca="1">_xlfn.CONCAT(Tableau1[[#This Row],[Compte ILN]],"-",Tableau1[[#This Row],[Compte Shipper]],"-",Tableau1[[#This Row],[POL]],"-",Tableau1[[#This Row],[Compte Consignee]])</f>
        <v>0-119640-JPSMZ-26549502</v>
      </c>
      <c r="D57" s="66" t="str">
        <f ca="1">_xlfn.CONCAT(Tableau1[[#This Row],[Compte ILN]],"-",Tableau1[[#This Row],[Compte Shipper]],"-",Tableau1[[#This Row],[POL]])</f>
        <v>0-119640-JPSMZ</v>
      </c>
      <c r="E57" s="434" t="str">
        <f ca="1">_xlfn.CONCAT(Tableau1[[#This Row],[POL]],"-",Tableau1[[#This Row],[Carrier]],"-",Tableau1[[#This Row],[POD]])</f>
        <v>JPSMZ-ONE-INKAT</v>
      </c>
      <c r="F57" s="66" t="str">
        <f>_xlfn.CONCAT(Tableau1[[#This Row],[ID]],"-","Actif")</f>
        <v>1040-Actif</v>
      </c>
      <c r="G57" s="66" t="str">
        <f ca="1">_xlfn.CONCAT(Tableau1[[#This Row],[POD]],"-",Tableau1[[#This Row],[Code PFI]],"-",Tableau1[[#This Row],[Compte Consignee]])</f>
        <v>INKAT---26549502</v>
      </c>
      <c r="H57" s="434" t="str">
        <f ca="1">_xlfn.CONCAT(IF(Tableau1[[#This Row],[Name ILN]]=Tableau1[[#This Row],[Name Shipper]],Tableau1[[#This Row],[Name ILN]],Tableau1[[#This Row],[Compte Shipper]]),Tableau1[[#This Row],[POL]],Tableau1[[#This Row],[Name Site]])</f>
        <v>119640JPSMZCHENNAI Vehicule</v>
      </c>
      <c r="I5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CHENNAI Vehicule-SFK Freight Forwarder-Jatco Japon-1040-JPSMZ-ONE-INKAT-</v>
      </c>
      <c r="J57" s="435" t="str">
        <f ca="1">IF(COUNTIF(I:I,Tableau1[[#This Row],[Plant-ILN-shipper-POL-Carrier-POD-PFI]])=1,"Non","Oui")</f>
        <v>Non</v>
      </c>
      <c r="K57" s="128" t="str">
        <f>VLOOKUP(Tableau1[[#This Row],[Name Site]],Plant_AILN!A:D,4,FALSE)</f>
        <v>INDIA</v>
      </c>
      <c r="L57" s="411" t="s">
        <v>159</v>
      </c>
      <c r="M57" s="439">
        <f>VLOOKUP(Tableau1[[#This Row],[Name Site]],Plant_AILN!A:C,3,FALSE)</f>
        <v>26549502</v>
      </c>
      <c r="N57" s="55">
        <f>IF(Tableau1[[#This Row],[Name PFI/CDD]]="PFI VLL",2,VLOOKUP(Tableau1[[#This Row],[Compte Consignee]],Order!C:D,2,FALSE))</f>
        <v>5</v>
      </c>
      <c r="O57" s="116" t="s">
        <v>146</v>
      </c>
      <c r="P57" s="365">
        <f>VLOOKUP(Tableau1[[#This Row],[Name ILN]],Plant_AILN!F:G,2,FALSE)</f>
        <v>0</v>
      </c>
      <c r="Q57" s="50">
        <f>VLOOKUP(Tableau1[[#This Row],[Compte ILN]],'DATA ILN'!D:I,6,FALSE)</f>
        <v>9</v>
      </c>
      <c r="R57" s="50">
        <f ca="1">IFERROR(VLOOKUP(Tableau1[[#This Row],[Key(Compte ILN - shipper - POL - plant)]],'DATA ILN'!A:J,10,FALSE),VLOOKUP(Tableau1[[#This Row],[Key(Compte ILN - shipper - POL)]],'DATA ILN'!B:J,9,FALSE))</f>
        <v>14</v>
      </c>
      <c r="S57" s="50">
        <f ca="1">IFERROR(VLOOKUP(Tableau1[[#This Row],[Key(Compte ILN - shipper - POL - plant)]],'DATA ILN'!A:K,11,FALSE),VLOOKUP(Tableau1[[#This Row],[Key(Compte ILN - shipper - POL)]],'DATA ILN'!B:K,10,FALSE))</f>
        <v>5</v>
      </c>
      <c r="T57" s="50">
        <f ca="1">IFERROR(VLOOKUP(Tableau1[[#This Row],[Key(Compte ILN - shipper - POL - plant)]],'DATA ILN'!A:L,12,FALSE),VLOOKUP(Tableau1[[#This Row],[Key(Compte ILN - shipper - POL)]],'DATA ILN'!B:L,11,FALSE))</f>
        <v>7</v>
      </c>
      <c r="U57" s="50">
        <f ca="1">Tableau1[[#This Row],[Day ILN Order]]+Tableau1[[#This Row],[Delivery time to ILN/Shipper]]-1</f>
        <v>22</v>
      </c>
      <c r="V57" s="50">
        <f ca="1">IFERROR(VLOOKUP(Tableau1[[#This Row],[Key(Compte ILN - shipper - POL - plant)]],'DATA ILN'!A:N,14,FALSE),VLOOKUP(Tableau1[[#This Row],[Key(Compte ILN - shipper - POL)]],'DATA ILN'!B:N,13,FALSE))</f>
        <v>1</v>
      </c>
      <c r="W57" s="53">
        <f ca="1">IFERROR(VLOOKUP(Tableau1[[#This Row],[Key(Compte ILN - shipper - POL - plant)]],'DATA ILN'!A:P,16,FALSE),VLOOKUP(Tableau1[[#This Row],[Key(Compte ILN - shipper - POL)]],'DATA ILN'!B:P,15,FALSE))</f>
        <v>3</v>
      </c>
      <c r="X57" s="284" t="s">
        <v>178</v>
      </c>
      <c r="Y57" s="437">
        <f>IFERROR(VLOOKUP(Tableau1[[#This Row],[Name Shipper]],Plant_AILN!L:M,2,FALSE),0)</f>
        <v>119640</v>
      </c>
      <c r="Z57" s="406">
        <v>1040</v>
      </c>
      <c r="AA57" s="396" t="str">
        <f ca="1">VLOOKUP(Tableau1[[#This Row],[Key(ID-Actif)]],'DATA BTO'!A:N,5,FALSE)</f>
        <v>JPSMZ</v>
      </c>
      <c r="AB57" s="3" t="str">
        <f ca="1">VLOOKUP(Tableau1[[#This Row],[Key(ID-Actif)]],'DATA BTO'!A:N,6,FALSE)</f>
        <v>ONE</v>
      </c>
      <c r="AC57" s="50">
        <f ca="1">VLOOKUP(Tableau1[[#This Row],[Key(ID-Actif)]],'DATA BTO'!A:N,7,FALSE)</f>
        <v>5</v>
      </c>
      <c r="AD57" s="50">
        <f ca="1">VLOOKUP(Tableau1[[#This Row],[Key(ID-Actif)]],'DATA BTO'!A:N,8,FALSE)</f>
        <v>8</v>
      </c>
      <c r="AE57" s="50">
        <f ca="1">IF(Tableau1[[#This Row],[First Day to POL]]&lt;=Tableau1[[#This Row],[Day Cut Off]],Tableau1[[#This Row],[Day ETD]],Tableau1[[#This Row],[Day ETD]]+7)</f>
        <v>8</v>
      </c>
      <c r="AF57" s="50">
        <f ca="1">VLOOKUP(Tableau1[[#This Row],[Key(ID-Actif)]],'DATA BTO'!A:N,9,FALSE)</f>
        <v>32</v>
      </c>
      <c r="AG57" s="3" t="str">
        <f ca="1">VLOOKUP(Tableau1[[#This Row],[Key(ID-Actif)]],'DATA BTO'!A:N,10,FALSE)</f>
        <v>INKAT</v>
      </c>
      <c r="AH57" s="3">
        <f ca="1">VLOOKUP(Tableau1[[#This Row],[Key(ID-Actif)]],'DATA BTO'!A:N,11,FALSE)</f>
        <v>3</v>
      </c>
      <c r="AI57" s="50">
        <f ca="1">VLOOKUP(Tableau1[[#This Row],[Key(ID-Actif)]],'DATA BTO'!A:N,12,FALSE)</f>
        <v>0</v>
      </c>
      <c r="AJ57" s="53" t="str">
        <f ca="1">VLOOKUP(Tableau1[[#This Row],[Key(ID-Actif)]],'DATA BTO'!A:N,14,FALSE)</f>
        <v>Max</v>
      </c>
      <c r="AK57" s="54">
        <f ca="1">VLOOKUP(Tableau1[[#This Row],[Key(POD -PFI- Usine)]],'DATA Consignee'!A:F,6,FALSE)</f>
        <v>4</v>
      </c>
      <c r="AL57" s="127"/>
      <c r="AM57" s="438" t="str">
        <f>IF(Tableau1[[#This Row],[Name PFI/CDD]]="","-",VLOOKUP(Tableau1[[#This Row],[Name PFI/CDD]],Plant_AILN!I:J,2,FALSE))</f>
        <v>-</v>
      </c>
      <c r="AN5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7" s="2">
        <f ca="1">VLOOKUP(Tableau1[[#This Row],[Key(POD -PFI- Usine)]],'DATA Consignee'!A:J,10,FALSE)</f>
        <v>0</v>
      </c>
      <c r="AQ57" s="50">
        <f ca="1">VLOOKUP(Tableau1[[#This Row],[Key(POD -PFI- Usine)]],'DATA Consignee'!A:N,14,FALSE)</f>
        <v>3</v>
      </c>
      <c r="AR5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5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57" s="50">
        <f ca="1">Tableau1[[#This Row],[Transit time]]+Tableau1[[#This Row],[Time for security]]+Tableau1[[#This Row],[Time for security2 buffer]]</f>
        <v>35</v>
      </c>
      <c r="AU5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57" s="433">
        <f ca="1">Tableau1[[#This Row],[Leadtime SI2C]]+Tableau1[[#This Row],[First Receipt Days]]-Tableau1[[#This Row],[Day Customer Order]]+1</f>
        <v>73</v>
      </c>
      <c r="AW57" s="119">
        <f ca="1">IF(Tableau1[[#This Row],[Name ILN]]&lt;&gt;"SFK Freight Forwarder",Tableau1[[#This Row],[Cust. Leadtime]],Tableau1[[#This Row],[Leadtime SI2C]])</f>
        <v>55</v>
      </c>
      <c r="AX57" s="51" t="s">
        <v>148</v>
      </c>
      <c r="AY57" s="338">
        <f ca="1">IFERROR(VLOOKUP(Tableau1[[#This Row],[Key(ID-Actif)]],'DATA BTO'!A:N,4,FALSE),VLOOKUP(Tableau1[[#This Row],[ID]],'DATA BTO'!B:N,3,FALSE))</f>
        <v>46507</v>
      </c>
      <c r="AZ57" s="50" t="str">
        <f>IF(ISNUMBER(Tableau1[[#This Row],[Day Customer Order]]),"-","Please Check 'Name' information in 'Order' Sheet to make sure they have information")</f>
        <v>-</v>
      </c>
      <c r="BA5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7" s="50"/>
    </row>
    <row r="58" spans="2:57">
      <c r="B58" s="474" t="str">
        <f>_xlfn.CONCAT(Tableau1[[#This Row],[Name ILN]],"-",Tableau1[[#This Row],[Name Shipper]],"-",Tableau1[[#This Row],[Name Site]])</f>
        <v>ILN Chine -ILN Chine -OYAK MEKA</v>
      </c>
      <c r="C58" s="67" t="str">
        <f ca="1">_xlfn.CONCAT(Tableau1[[#This Row],[Compte ILN]],"-",Tableau1[[#This Row],[Compte Shipper]],"-",Tableau1[[#This Row],[POL]],"-",Tableau1[[#This Row],[Compte Consignee]])</f>
        <v>424479-424479-CNSHA-90014400</v>
      </c>
      <c r="D58" s="66" t="str">
        <f ca="1">_xlfn.CONCAT(Tableau1[[#This Row],[Compte ILN]],"-",Tableau1[[#This Row],[Compte Shipper]],"-",Tableau1[[#This Row],[POL]])</f>
        <v>424479-424479-CNSHA</v>
      </c>
      <c r="E58" s="434" t="str">
        <f ca="1">_xlfn.CONCAT(Tableau1[[#This Row],[POL]],"-",Tableau1[[#This Row],[Carrier]],"-",Tableau1[[#This Row],[POD]])</f>
        <v>CNSHA-Hapag Lloyd-TRIZT</v>
      </c>
      <c r="F58" s="66" t="str">
        <f>_xlfn.CONCAT(Tableau1[[#This Row],[ID]],"-","Actif")</f>
        <v>1045-Actif</v>
      </c>
      <c r="G58" s="66" t="str">
        <f ca="1">_xlfn.CONCAT(Tableau1[[#This Row],[POD]],"-",Tableau1[[#This Row],[Code PFI]],"-",Tableau1[[#This Row],[Compte Consignee]])</f>
        <v>TRIZT---90014400</v>
      </c>
      <c r="H58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CNSHAOYAK MEKA</v>
      </c>
      <c r="I5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Chine -ILN Chine -1045-CNSHA-Hapag Lloyd-TRIZT-</v>
      </c>
      <c r="J58" s="435" t="str">
        <f ca="1">IF(COUNTIF(I:I,Tableau1[[#This Row],[Plant-ILN-shipper-POL-Carrier-POD-PFI]])=1,"Non","Oui")</f>
        <v>Non</v>
      </c>
      <c r="K58" s="128" t="str">
        <f>VLOOKUP(Tableau1[[#This Row],[Name Site]],Plant_AILN!A:D,4,FALSE)</f>
        <v>TURKEY</v>
      </c>
      <c r="L58" s="411" t="s">
        <v>165</v>
      </c>
      <c r="M58" s="439">
        <f>VLOOKUP(Tableau1[[#This Row],[Name Site]],Plant_AILN!A:C,3,FALSE)</f>
        <v>90014400</v>
      </c>
      <c r="N58" s="55">
        <f>IF(Tableau1[[#This Row],[Name PFI/CDD]]="PFI VLL",2,VLOOKUP(Tableau1[[#This Row],[Compte Consignee]],Order!C:D,2,FALSE))</f>
        <v>2</v>
      </c>
      <c r="O58" s="116" t="s">
        <v>1</v>
      </c>
      <c r="P58" s="365">
        <f>VLOOKUP(Tableau1[[#This Row],[Name ILN]],Plant_AILN!F:G,2,FALSE)</f>
        <v>424479</v>
      </c>
      <c r="Q58" s="50">
        <f>VLOOKUP(Tableau1[[#This Row],[Compte ILN]],'DATA ILN'!D:I,6,FALSE)</f>
        <v>9</v>
      </c>
      <c r="R58" s="50">
        <f ca="1">IFERROR(VLOOKUP(Tableau1[[#This Row],[Key(Compte ILN - shipper - POL - plant)]],'DATA ILN'!A:J,10,FALSE),VLOOKUP(Tableau1[[#This Row],[Key(Compte ILN - shipper - POL)]],'DATA ILN'!B:J,9,FALSE))</f>
        <v>21</v>
      </c>
      <c r="S58" s="50">
        <f ca="1">IFERROR(VLOOKUP(Tableau1[[#This Row],[Key(Compte ILN - shipper - POL - plant)]],'DATA ILN'!A:K,11,FALSE),VLOOKUP(Tableau1[[#This Row],[Key(Compte ILN - shipper - POL)]],'DATA ILN'!B:K,10,FALSE))</f>
        <v>5</v>
      </c>
      <c r="T58" s="50">
        <f ca="1">IFERROR(VLOOKUP(Tableau1[[#This Row],[Key(Compte ILN - shipper - POL - plant)]],'DATA ILN'!A:L,12,FALSE),VLOOKUP(Tableau1[[#This Row],[Key(Compte ILN - shipper - POL)]],'DATA ILN'!B:L,11,FALSE))</f>
        <v>7</v>
      </c>
      <c r="U58" s="50">
        <f ca="1">Tableau1[[#This Row],[Day ILN Order]]+Tableau1[[#This Row],[Delivery time to ILN/Shipper]]-1</f>
        <v>29</v>
      </c>
      <c r="V58" s="50">
        <f ca="1">IFERROR(VLOOKUP(Tableau1[[#This Row],[Key(Compte ILN - shipper - POL - plant)]],'DATA ILN'!A:N,14,FALSE),VLOOKUP(Tableau1[[#This Row],[Key(Compte ILN - shipper - POL)]],'DATA ILN'!B:N,13,FALSE))</f>
        <v>1</v>
      </c>
      <c r="W58" s="53">
        <f ca="1">IFERROR(VLOOKUP(Tableau1[[#This Row],[Key(Compte ILN - shipper - POL - plant)]],'DATA ILN'!A:P,16,FALSE),VLOOKUP(Tableau1[[#This Row],[Key(Compte ILN - shipper - POL)]],'DATA ILN'!B:P,15,FALSE))</f>
        <v>2</v>
      </c>
      <c r="X58" s="284" t="s">
        <v>1</v>
      </c>
      <c r="Y58" s="437">
        <f>IFERROR(VLOOKUP(Tableau1[[#This Row],[Name Shipper]],Plant_AILN!L:M,2,FALSE),0)</f>
        <v>424479</v>
      </c>
      <c r="Z58" s="406">
        <v>1045</v>
      </c>
      <c r="AA58" s="396" t="str">
        <f ca="1">VLOOKUP(Tableau1[[#This Row],[Key(ID-Actif)]],'DATA BTO'!A:N,5,FALSE)</f>
        <v>CNSHA</v>
      </c>
      <c r="AB58" s="3" t="str">
        <f ca="1">VLOOKUP(Tableau1[[#This Row],[Key(ID-Actif)]],'DATA BTO'!A:N,6,FALSE)</f>
        <v>Hapag Lloyd</v>
      </c>
      <c r="AC58" s="50">
        <f ca="1">VLOOKUP(Tableau1[[#This Row],[Key(ID-Actif)]],'DATA BTO'!A:N,7,FALSE)</f>
        <v>2</v>
      </c>
      <c r="AD58" s="50">
        <f ca="1">VLOOKUP(Tableau1[[#This Row],[Key(ID-Actif)]],'DATA BTO'!A:N,8,FALSE)</f>
        <v>4</v>
      </c>
      <c r="AE58" s="50">
        <f ca="1">IF(Tableau1[[#This Row],[First Day to POL]]&lt;=Tableau1[[#This Row],[Day Cut Off]],Tableau1[[#This Row],[Day ETD]],Tableau1[[#This Row],[Day ETD]]+7)</f>
        <v>4</v>
      </c>
      <c r="AF58" s="50">
        <f ca="1">VLOOKUP(Tableau1[[#This Row],[Key(ID-Actif)]],'DATA BTO'!A:N,9,FALSE)</f>
        <v>46</v>
      </c>
      <c r="AG58" s="3" t="str">
        <f ca="1">VLOOKUP(Tableau1[[#This Row],[Key(ID-Actif)]],'DATA BTO'!A:N,10,FALSE)</f>
        <v>TRIZT</v>
      </c>
      <c r="AH58" s="3">
        <f ca="1">VLOOKUP(Tableau1[[#This Row],[Key(ID-Actif)]],'DATA BTO'!A:N,11,FALSE)</f>
        <v>3</v>
      </c>
      <c r="AI58" s="50">
        <f ca="1">VLOOKUP(Tableau1[[#This Row],[Key(ID-Actif)]],'DATA BTO'!A:N,12,FALSE)</f>
        <v>7</v>
      </c>
      <c r="AJ58" s="53" t="str">
        <f ca="1">VLOOKUP(Tableau1[[#This Row],[Key(ID-Actif)]],'DATA BTO'!A:N,14,FALSE)</f>
        <v>Marc-Aurele</v>
      </c>
      <c r="AK58" s="54">
        <f ca="1">VLOOKUP(Tableau1[[#This Row],[Key(POD -PFI- Usine)]],'DATA Consignee'!A:F,6,FALSE)</f>
        <v>4</v>
      </c>
      <c r="AL58" s="561"/>
      <c r="AM58" s="438" t="str">
        <f>IF(Tableau1[[#This Row],[Name PFI/CDD]]="","-",VLOOKUP(Tableau1[[#This Row],[Name PFI/CDD]],Plant_AILN!I:J,2,FALSE))</f>
        <v>-</v>
      </c>
      <c r="AN5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8" s="2">
        <f ca="1">VLOOKUP(Tableau1[[#This Row],[Key(POD -PFI- Usine)]],'DATA Consignee'!A:J,10,FALSE)</f>
        <v>0</v>
      </c>
      <c r="AQ58" s="50">
        <f ca="1">VLOOKUP(Tableau1[[#This Row],[Key(POD -PFI- Usine)]],'DATA Consignee'!A:N,14,FALSE)</f>
        <v>3</v>
      </c>
      <c r="AR5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5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58" s="50">
        <f ca="1">Tableau1[[#This Row],[Transit time]]+Tableau1[[#This Row],[Time for security]]+Tableau1[[#This Row],[Time for security2 buffer]]</f>
        <v>56</v>
      </c>
      <c r="AU5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8" s="433">
        <f ca="1">Tableau1[[#This Row],[Leadtime SI2C]]+Tableau1[[#This Row],[First Receipt Days]]-Tableau1[[#This Row],[Day Customer Order]]+1</f>
        <v>104</v>
      </c>
      <c r="AW58" s="119">
        <f ca="1">IF(Tableau1[[#This Row],[Name ILN]]&lt;&gt;"SFK Freight Forwarder",Tableau1[[#This Row],[Cust. Leadtime]],Tableau1[[#This Row],[Leadtime SI2C]])</f>
        <v>104</v>
      </c>
      <c r="AX58" s="51" t="s">
        <v>144</v>
      </c>
      <c r="AY58" s="338">
        <f ca="1">IFERROR(VLOOKUP(Tableau1[[#This Row],[Key(ID-Actif)]],'DATA BTO'!A:N,4,FALSE),VLOOKUP(Tableau1[[#This Row],[ID]],'DATA BTO'!B:N,3,FALSE))</f>
        <v>46507</v>
      </c>
      <c r="AZ58" s="50" t="str">
        <f>IF(ISNUMBER(Tableau1[[#This Row],[Day Customer Order]]),"-","Please Check 'Name' information in 'Order' Sheet to make sure they have information")</f>
        <v>-</v>
      </c>
      <c r="BA5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8" s="475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8" s="50"/>
    </row>
    <row r="59" spans="2:57" hidden="1">
      <c r="B59" s="474" t="str">
        <f>_xlfn.CONCAT(Tableau1[[#This Row],[Name ILN]],"-",Tableau1[[#This Row],[Name Shipper]],"-",Tableau1[[#This Row],[Name Site]])</f>
        <v>ILN Chine -ILN Chine -OYAK MONT</v>
      </c>
      <c r="C59" s="67" t="str">
        <f ca="1">_xlfn.CONCAT(Tableau1[[#This Row],[Compte ILN]],"-",Tableau1[[#This Row],[Compte Shipper]],"-",Tableau1[[#This Row],[POL]],"-",Tableau1[[#This Row],[Compte Consignee]])</f>
        <v>424479-424479-CNSHA-90017000</v>
      </c>
      <c r="D59" s="66" t="str">
        <f ca="1">_xlfn.CONCAT(Tableau1[[#This Row],[Compte ILN]],"-",Tableau1[[#This Row],[Compte Shipper]],"-",Tableau1[[#This Row],[POL]])</f>
        <v>424479-424479-CNSHA</v>
      </c>
      <c r="E59" s="434" t="str">
        <f ca="1">_xlfn.CONCAT(Tableau1[[#This Row],[POL]],"-",Tableau1[[#This Row],[Carrier]],"-",Tableau1[[#This Row],[POD]])</f>
        <v>CNSHA-Hapag Lloyd-TRIZT</v>
      </c>
      <c r="F59" s="66" t="str">
        <f>_xlfn.CONCAT(Tableau1[[#This Row],[ID]],"-","Actif")</f>
        <v>1045-Actif</v>
      </c>
      <c r="G59" s="66" t="str">
        <f ca="1">_xlfn.CONCAT(Tableau1[[#This Row],[POD]],"-",Tableau1[[#This Row],[Code PFI]],"-",Tableau1[[#This Row],[Compte Consignee]])</f>
        <v>TRIZT---90017000</v>
      </c>
      <c r="H59" s="434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CNSHAOYAK MONT</v>
      </c>
      <c r="I5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MONT-ILN Chine -ILN Chine -1045-CNSHA-Hapag Lloyd-TRIZT-</v>
      </c>
      <c r="J59" s="435" t="str">
        <f ca="1">IF(COUNTIF(I:I,Tableau1[[#This Row],[Plant-ILN-shipper-POL-Carrier-POD-PFI]])=1,"Non","Oui")</f>
        <v>Non</v>
      </c>
      <c r="K59" s="128" t="str">
        <f>VLOOKUP(Tableau1[[#This Row],[Name Site]],Plant_AILN!A:D,4,FALSE)</f>
        <v>TURKEY</v>
      </c>
      <c r="L59" s="411" t="s">
        <v>173</v>
      </c>
      <c r="M59" s="439">
        <f>VLOOKUP(Tableau1[[#This Row],[Name Site]],Plant_AILN!A:C,3,FALSE)</f>
        <v>90017000</v>
      </c>
      <c r="N59" s="55">
        <f>VLOOKUP(Tableau1[[#This Row],[Compte Consignee]],Order!C:D,2,FALSE)</f>
        <v>7</v>
      </c>
      <c r="O59" s="116" t="s">
        <v>1</v>
      </c>
      <c r="P59" s="365">
        <f>VLOOKUP(Tableau1[[#This Row],[Name ILN]],Plant_AILN!F:G,2,FALSE)</f>
        <v>424479</v>
      </c>
      <c r="Q59" s="50">
        <f>VLOOKUP(Tableau1[[#This Row],[Compte ILN]],'DATA ILN'!D:I,6,FALSE)</f>
        <v>9</v>
      </c>
      <c r="R59" s="50">
        <f ca="1">IFERROR(VLOOKUP(Tableau1[[#This Row],[Key(Compte ILN - shipper - POL - plant)]],'DATA ILN'!A:J,10,FALSE),VLOOKUP(Tableau1[[#This Row],[Key(Compte ILN - shipper - POL)]],'DATA ILN'!B:J,9,FALSE))</f>
        <v>21</v>
      </c>
      <c r="S59" s="50">
        <f ca="1">IFERROR(VLOOKUP(Tableau1[[#This Row],[Key(Compte ILN - shipper - POL - plant)]],'DATA ILN'!A:K,11,FALSE),VLOOKUP(Tableau1[[#This Row],[Key(Compte ILN - shipper - POL)]],'DATA ILN'!B:K,10,FALSE))</f>
        <v>5</v>
      </c>
      <c r="T59" s="50">
        <f ca="1">IFERROR(VLOOKUP(Tableau1[[#This Row],[Key(Compte ILN - shipper - POL - plant)]],'DATA ILN'!A:L,12,FALSE),VLOOKUP(Tableau1[[#This Row],[Key(Compte ILN - shipper - POL)]],'DATA ILN'!B:L,11,FALSE))</f>
        <v>7</v>
      </c>
      <c r="U59" s="50">
        <f ca="1">Tableau1[[#This Row],[Day ILN Order]]+Tableau1[[#This Row],[Delivery time to ILN/Shipper]]-1</f>
        <v>29</v>
      </c>
      <c r="V59" s="50">
        <f ca="1">IFERROR(VLOOKUP(Tableau1[[#This Row],[Key(Compte ILN - shipper - POL - plant)]],'DATA ILN'!A:N,14,FALSE),VLOOKUP(Tableau1[[#This Row],[Key(Compte ILN - shipper - POL)]],'DATA ILN'!B:N,13,FALSE))</f>
        <v>1</v>
      </c>
      <c r="W59" s="53">
        <f ca="1">IFERROR(VLOOKUP(Tableau1[[#This Row],[Key(Compte ILN - shipper - POL - plant)]],'DATA ILN'!A:P,16,FALSE),VLOOKUP(Tableau1[[#This Row],[Key(Compte ILN - shipper - POL)]],'DATA ILN'!B:P,15,FALSE))</f>
        <v>2</v>
      </c>
      <c r="X59" s="284" t="s">
        <v>1</v>
      </c>
      <c r="Y59" s="437">
        <f>IFERROR(VLOOKUP(Tableau1[[#This Row],[Name Shipper]],Plant_AILN!L:M,2,FALSE),0)</f>
        <v>424479</v>
      </c>
      <c r="Z59" s="406">
        <v>1045</v>
      </c>
      <c r="AA59" s="396" t="str">
        <f ca="1">VLOOKUP(Tableau1[[#This Row],[Key(ID-Actif)]],'DATA BTO'!A:N,5,FALSE)</f>
        <v>CNSHA</v>
      </c>
      <c r="AB59" s="3" t="str">
        <f ca="1">VLOOKUP(Tableau1[[#This Row],[Key(ID-Actif)]],'DATA BTO'!A:N,6,FALSE)</f>
        <v>Hapag Lloyd</v>
      </c>
      <c r="AC59" s="50">
        <f ca="1">VLOOKUP(Tableau1[[#This Row],[Key(ID-Actif)]],'DATA BTO'!A:N,7,FALSE)</f>
        <v>2</v>
      </c>
      <c r="AD59" s="50">
        <f ca="1">VLOOKUP(Tableau1[[#This Row],[Key(ID-Actif)]],'DATA BTO'!A:N,8,FALSE)</f>
        <v>4</v>
      </c>
      <c r="AE59" s="50">
        <f ca="1">IF(Tableau1[[#This Row],[First Day to POL]]&lt;=Tableau1[[#This Row],[Day Cut Off]],Tableau1[[#This Row],[Day ETD]],Tableau1[[#This Row],[Day ETD]]+7)</f>
        <v>4</v>
      </c>
      <c r="AF59" s="50">
        <f ca="1">VLOOKUP(Tableau1[[#This Row],[Key(ID-Actif)]],'DATA BTO'!A:N,9,FALSE)</f>
        <v>46</v>
      </c>
      <c r="AG59" s="3" t="str">
        <f ca="1">VLOOKUP(Tableau1[[#This Row],[Key(ID-Actif)]],'DATA BTO'!A:N,10,FALSE)</f>
        <v>TRIZT</v>
      </c>
      <c r="AH59" s="3">
        <f ca="1">VLOOKUP(Tableau1[[#This Row],[Key(ID-Actif)]],'DATA BTO'!A:N,11,FALSE)</f>
        <v>3</v>
      </c>
      <c r="AI59" s="50">
        <f ca="1">VLOOKUP(Tableau1[[#This Row],[Key(ID-Actif)]],'DATA BTO'!A:N,12,FALSE)</f>
        <v>7</v>
      </c>
      <c r="AJ59" s="53" t="str">
        <f ca="1">VLOOKUP(Tableau1[[#This Row],[Key(ID-Actif)]],'DATA BTO'!A:N,14,FALSE)</f>
        <v>Marc-Aurele</v>
      </c>
      <c r="AK59" s="54">
        <f ca="1">VLOOKUP(Tableau1[[#This Row],[Key(POD -PFI- Usine)]],'DATA Consignee'!A:F,6,FALSE)</f>
        <v>4</v>
      </c>
      <c r="AL59" s="561"/>
      <c r="AM59" s="438" t="str">
        <f>IF(Tableau1[[#This Row],[Name PFI/CDD]]="","-",VLOOKUP(Tableau1[[#This Row],[Name PFI/CDD]],Plant_AILN!I:J,2,FALSE))</f>
        <v>-</v>
      </c>
      <c r="AN5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9" s="2">
        <f ca="1">VLOOKUP(Tableau1[[#This Row],[Key(POD -PFI- Usine)]],'DATA Consignee'!A:J,10,FALSE)</f>
        <v>0</v>
      </c>
      <c r="AQ59" s="50">
        <f ca="1">VLOOKUP(Tableau1[[#This Row],[Key(POD -PFI- Usine)]],'DATA Consignee'!A:N,14,FALSE)</f>
        <v>3</v>
      </c>
      <c r="AR5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5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59" s="50">
        <f ca="1">Tableau1[[#This Row],[Transit time]]+Tableau1[[#This Row],[Time for security]]+Tableau1[[#This Row],[Time for security2 buffer]]</f>
        <v>56</v>
      </c>
      <c r="AU5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9" s="433">
        <f ca="1">Tableau1[[#This Row],[Leadtime SI2C]]+Tableau1[[#This Row],[First Receipt Days]]-Tableau1[[#This Row],[Day Customer Order]]+1</f>
        <v>99</v>
      </c>
      <c r="AW59" s="119">
        <f ca="1">IF(Tableau1[[#This Row],[Name ILN]]&lt;&gt;"SFK Freight Forwarder",Tableau1[[#This Row],[Cust. Leadtime]],Tableau1[[#This Row],[Leadtime SI2C]])</f>
        <v>99</v>
      </c>
      <c r="AX59" s="51" t="s">
        <v>144</v>
      </c>
      <c r="AY59" s="338">
        <f ca="1">IFERROR(VLOOKUP(Tableau1[[#This Row],[Key(ID-Actif)]],'DATA BTO'!A:N,4,FALSE),VLOOKUP(Tableau1[[#This Row],[ID]],'DATA BTO'!B:N,3,FALSE))</f>
        <v>46507</v>
      </c>
      <c r="AZ59" s="50" t="str">
        <f>IF(ISNUMBER(Tableau1[[#This Row],[Day Customer Order]]),"-","Please Check 'Name' information in 'Order' Sheet to make sure they have information")</f>
        <v>-</v>
      </c>
      <c r="BA5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9" s="50"/>
    </row>
    <row r="60" spans="2:57" hidden="1">
      <c r="B60" s="474" t="str">
        <f>_xlfn.CONCAT(Tableau1[[#This Row],[Name ILN]],"-",Tableau1[[#This Row],[Name Shipper]],"-",Tableau1[[#This Row],[Name Site]])</f>
        <v>SFK Freight Forwarder-Jatco Thailande-SOFASA</v>
      </c>
      <c r="C60" s="67" t="str">
        <f ca="1">_xlfn.CONCAT(Tableau1[[#This Row],[Compte ILN]],"-",Tableau1[[#This Row],[Compte Shipper]],"-",Tableau1[[#This Row],[POL]],"-",Tableau1[[#This Row],[Compte Consignee]])</f>
        <v>0-29770601-THLCH-9510600</v>
      </c>
      <c r="D60" s="66" t="str">
        <f ca="1">_xlfn.CONCAT(Tableau1[[#This Row],[Compte ILN]],"-",Tableau1[[#This Row],[Compte Shipper]],"-",Tableau1[[#This Row],[POL]])</f>
        <v>0-29770601-THLCH</v>
      </c>
      <c r="E60" s="434" t="str">
        <f ca="1">_xlfn.CONCAT(Tableau1[[#This Row],[POL]],"-",Tableau1[[#This Row],[Carrier]],"-",Tableau1[[#This Row],[POD]])</f>
        <v>THLCH-Maersk-COBUN</v>
      </c>
      <c r="F60" s="66" t="str">
        <f>_xlfn.CONCAT(Tableau1[[#This Row],[ID]],"-","Actif")</f>
        <v>1065-Actif</v>
      </c>
      <c r="G60" s="66" t="str">
        <f ca="1">_xlfn.CONCAT(Tableau1[[#This Row],[POD]],"-",Tableau1[[#This Row],[Code PFI]],"-",Tableau1[[#This Row],[Compte Consignee]])</f>
        <v>COBUN---9510600</v>
      </c>
      <c r="H60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29770601THLCHSOFASA</v>
      </c>
      <c r="I6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SOFASA-SFK Freight Forwarder-Jatco Thailande-1065-THLCH-Maersk-COBUN-</v>
      </c>
      <c r="J60" s="435" t="str">
        <f ca="1">IF(COUNTIF(I:I,Tableau1[[#This Row],[Plant-ILN-shipper-POL-Carrier-POD-PFI]])=1,"Non","Oui")</f>
        <v>Non</v>
      </c>
      <c r="K60" s="128" t="str">
        <f>VLOOKUP(Tableau1[[#This Row],[Name Site]],Plant_AILN!A:D,4,FALSE)</f>
        <v>COLOMBIA</v>
      </c>
      <c r="L60" s="411" t="s">
        <v>177</v>
      </c>
      <c r="M60" s="439">
        <f>VLOOKUP(Tableau1[[#This Row],[Name Site]],Plant_AILN!A:C,3,FALSE)</f>
        <v>9510600</v>
      </c>
      <c r="N60" s="55">
        <f>IF(Tableau1[[#This Row],[Name PFI/CDD]]="PFI VLL",2,VLOOKUP(Tableau1[[#This Row],[Compte Consignee]],Order!C:D,2,FALSE))</f>
        <v>7</v>
      </c>
      <c r="O60" s="116" t="s">
        <v>146</v>
      </c>
      <c r="P60" s="365">
        <f>VLOOKUP(Tableau1[[#This Row],[Name ILN]],Plant_AILN!F:G,2,FALSE)</f>
        <v>0</v>
      </c>
      <c r="Q60" s="50">
        <f>VLOOKUP(Tableau1[[#This Row],[Compte ILN]],'DATA ILN'!D:I,6,FALSE)</f>
        <v>9</v>
      </c>
      <c r="R60" s="50">
        <f ca="1">IFERROR(VLOOKUP(Tableau1[[#This Row],[Key(Compte ILN - shipper - POL - plant)]],'DATA ILN'!A:J,10,FALSE),VLOOKUP(Tableau1[[#This Row],[Key(Compte ILN - shipper - POL)]],'DATA ILN'!B:J,9,FALSE))</f>
        <v>14</v>
      </c>
      <c r="S60" s="50">
        <f ca="1">IFERROR(VLOOKUP(Tableau1[[#This Row],[Key(Compte ILN - shipper - POL - plant)]],'DATA ILN'!A:K,11,FALSE),VLOOKUP(Tableau1[[#This Row],[Key(Compte ILN - shipper - POL)]],'DATA ILN'!B:K,10,FALSE))</f>
        <v>5</v>
      </c>
      <c r="T60" s="50">
        <f ca="1">IFERROR(VLOOKUP(Tableau1[[#This Row],[Key(Compte ILN - shipper - POL - plant)]],'DATA ILN'!A:L,12,FALSE),VLOOKUP(Tableau1[[#This Row],[Key(Compte ILN - shipper - POL)]],'DATA ILN'!B:L,11,FALSE))</f>
        <v>7</v>
      </c>
      <c r="U60" s="50">
        <f ca="1">Tableau1[[#This Row],[Day ILN Order]]+Tableau1[[#This Row],[Delivery time to ILN/Shipper]]-1</f>
        <v>22</v>
      </c>
      <c r="V60" s="50">
        <f ca="1">IFERROR(VLOOKUP(Tableau1[[#This Row],[Key(Compte ILN - shipper - POL - plant)]],'DATA ILN'!A:N,14,FALSE),VLOOKUP(Tableau1[[#This Row],[Key(Compte ILN - shipper - POL)]],'DATA ILN'!B:N,13,FALSE))</f>
        <v>1</v>
      </c>
      <c r="W60" s="53">
        <f ca="1">IFERROR(VLOOKUP(Tableau1[[#This Row],[Key(Compte ILN - shipper - POL - plant)]],'DATA ILN'!A:P,16,FALSE),VLOOKUP(Tableau1[[#This Row],[Key(Compte ILN - shipper - POL)]],'DATA ILN'!B:P,15,FALSE))</f>
        <v>3</v>
      </c>
      <c r="X60" s="284" t="s">
        <v>182</v>
      </c>
      <c r="Y60" s="437">
        <f>IFERROR(VLOOKUP(Tableau1[[#This Row],[Name Shipper]],Plant_AILN!L:M,2,FALSE),0)</f>
        <v>29770601</v>
      </c>
      <c r="Z60" s="406">
        <v>1065</v>
      </c>
      <c r="AA60" s="396" t="str">
        <f ca="1">VLOOKUP(Tableau1[[#This Row],[Key(ID-Actif)]],'DATA BTO'!A:N,5,FALSE)</f>
        <v>THLCH</v>
      </c>
      <c r="AB60" s="3" t="str">
        <f ca="1">VLOOKUP(Tableau1[[#This Row],[Key(ID-Actif)]],'DATA BTO'!A:N,6,FALSE)</f>
        <v>Maersk</v>
      </c>
      <c r="AC60" s="50">
        <f ca="1">VLOOKUP(Tableau1[[#This Row],[Key(ID-Actif)]],'DATA BTO'!A:N,7,FALSE)</f>
        <v>1</v>
      </c>
      <c r="AD60" s="50">
        <f ca="1">VLOOKUP(Tableau1[[#This Row],[Key(ID-Actif)]],'DATA BTO'!A:N,8,FALSE)</f>
        <v>2</v>
      </c>
      <c r="AE60" s="50">
        <f ca="1">IF(Tableau1[[#This Row],[First Day to POL]]&lt;=Tableau1[[#This Row],[Day Cut Off]],Tableau1[[#This Row],[Day ETD]],Tableau1[[#This Row],[Day ETD]]+7)</f>
        <v>9</v>
      </c>
      <c r="AF60" s="50">
        <f ca="1">VLOOKUP(Tableau1[[#This Row],[Key(ID-Actif)]],'DATA BTO'!A:N,9,FALSE)</f>
        <v>50</v>
      </c>
      <c r="AG60" s="3" t="str">
        <f ca="1">VLOOKUP(Tableau1[[#This Row],[Key(ID-Actif)]],'DATA BTO'!A:N,10,FALSE)</f>
        <v>COBUN</v>
      </c>
      <c r="AH60" s="3">
        <f ca="1">VLOOKUP(Tableau1[[#This Row],[Key(ID-Actif)]],'DATA BTO'!A:N,11,FALSE)</f>
        <v>3</v>
      </c>
      <c r="AI60" s="50">
        <f ca="1">VLOOKUP(Tableau1[[#This Row],[Key(ID-Actif)]],'DATA BTO'!A:N,12,FALSE)</f>
        <v>0</v>
      </c>
      <c r="AJ60" s="53" t="str">
        <f ca="1">VLOOKUP(Tableau1[[#This Row],[Key(ID-Actif)]],'DATA BTO'!A:N,14,FALSE)</f>
        <v>Max</v>
      </c>
      <c r="AK60" s="54">
        <f ca="1">VLOOKUP(Tableau1[[#This Row],[Key(POD -PFI- Usine)]],'DATA Consignee'!A:F,6,FALSE)</f>
        <v>0</v>
      </c>
      <c r="AL60" s="127"/>
      <c r="AM60" s="438" t="str">
        <f>IF(Tableau1[[#This Row],[Name PFI/CDD]]="","-",VLOOKUP(Tableau1[[#This Row],[Name PFI/CDD]],Plant_AILN!I:J,2,FALSE))</f>
        <v>-</v>
      </c>
      <c r="AN6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0" s="2">
        <f ca="1">VLOOKUP(Tableau1[[#This Row],[Key(POD -PFI- Usine)]],'DATA Consignee'!A:J,10,FALSE)</f>
        <v>0</v>
      </c>
      <c r="AQ60" s="50">
        <f ca="1">VLOOKUP(Tableau1[[#This Row],[Key(POD -PFI- Usine)]],'DATA Consignee'!A:N,14,FALSE)</f>
        <v>0</v>
      </c>
      <c r="AR6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6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60" s="50">
        <f ca="1">Tableau1[[#This Row],[Transit time]]+Tableau1[[#This Row],[Time for security]]+Tableau1[[#This Row],[Time for security2 buffer]]</f>
        <v>53</v>
      </c>
      <c r="AU6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0" s="433">
        <f ca="1">Tableau1[[#This Row],[Leadtime SI2C]]+Tableau1[[#This Row],[First Receipt Days]]-Tableau1[[#This Row],[Day Customer Order]]+1</f>
        <v>85</v>
      </c>
      <c r="AW60" s="119">
        <f ca="1">IF(Tableau1[[#This Row],[Name ILN]]&lt;&gt;"SFK Freight Forwarder",Tableau1[[#This Row],[Cust. Leadtime]],Tableau1[[#This Row],[Leadtime SI2C]])</f>
        <v>69</v>
      </c>
      <c r="AX60" s="51" t="s">
        <v>148</v>
      </c>
      <c r="AY60" s="338">
        <f ca="1">IFERROR(VLOOKUP(Tableau1[[#This Row],[Key(ID-Actif)]],'DATA BTO'!A:N,4,FALSE),VLOOKUP(Tableau1[[#This Row],[ID]],'DATA BTO'!B:N,3,FALSE))</f>
        <v>46507</v>
      </c>
      <c r="AZ60" s="50" t="str">
        <f>IF(ISNUMBER(Tableau1[[#This Row],[Day Customer Order]]),"-","Please Check 'Name' information in 'Order' Sheet to make sure they have information")</f>
        <v>-</v>
      </c>
      <c r="BA6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0" s="50"/>
    </row>
    <row r="61" spans="2:57" hidden="1">
      <c r="B61" s="474" t="str">
        <f>_xlfn.CONCAT(Tableau1[[#This Row],[Name ILN]],"-",Tableau1[[#This Row],[Name Shipper]],"-",Tableau1[[#This Row],[Name Site]])</f>
        <v>SFK Freight Forwarder-Jatco Thailande-SOMACA</v>
      </c>
      <c r="C61" s="67" t="str">
        <f ca="1">_xlfn.CONCAT(Tableau1[[#This Row],[Compte ILN]],"-",Tableau1[[#This Row],[Compte Shipper]],"-",Tableau1[[#This Row],[POL]],"-",Tableau1[[#This Row],[Compte Consignee]])</f>
        <v>0-29770601-THLCH-90038200</v>
      </c>
      <c r="D61" s="66" t="str">
        <f ca="1">_xlfn.CONCAT(Tableau1[[#This Row],[Compte ILN]],"-",Tableau1[[#This Row],[Compte Shipper]],"-",Tableau1[[#This Row],[POL]])</f>
        <v>0-29770601-THLCH</v>
      </c>
      <c r="E61" s="434" t="str">
        <f ca="1">_xlfn.CONCAT(Tableau1[[#This Row],[POL]],"-",Tableau1[[#This Row],[Carrier]],"-",Tableau1[[#This Row],[POD]])</f>
        <v>THLCH-Hyundai-MACAS</v>
      </c>
      <c r="F61" s="66" t="str">
        <f>_xlfn.CONCAT(Tableau1[[#This Row],[ID]],"-","Actif")</f>
        <v>1066-Actif</v>
      </c>
      <c r="G61" s="66" t="str">
        <f ca="1">_xlfn.CONCAT(Tableau1[[#This Row],[POD]],"-",Tableau1[[#This Row],[Code PFI]],"-",Tableau1[[#This Row],[Compte Consignee]])</f>
        <v>MACAS---90038200</v>
      </c>
      <c r="H61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29770601THLCHSOMACA</v>
      </c>
      <c r="I61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SOMACA-SFK Freight Forwarder-Jatco Thailande-1066-THLCH-Hyundai-MACAS-</v>
      </c>
      <c r="J61" s="435" t="str">
        <f ca="1">IF(COUNTIF(I:I,Tableau1[[#This Row],[Plant-ILN-shipper-POL-Carrier-POD-PFI]])=1,"Non","Oui")</f>
        <v>Non</v>
      </c>
      <c r="K61" s="128" t="str">
        <f>VLOOKUP(Tableau1[[#This Row],[Name Site]],Plant_AILN!A:D,4,FALSE)</f>
        <v>MOROCCO</v>
      </c>
      <c r="L61" s="411" t="s">
        <v>179</v>
      </c>
      <c r="M61" s="439">
        <f>VLOOKUP(Tableau1[[#This Row],[Name Site]],Plant_AILN!A:C,3,FALSE)</f>
        <v>90038200</v>
      </c>
      <c r="N61" s="55">
        <f>IF(Tableau1[[#This Row],[Name PFI/CDD]]="PFI VLL",2,VLOOKUP(Tableau1[[#This Row],[Compte Consignee]],Order!C:D,2,FALSE))</f>
        <v>7</v>
      </c>
      <c r="O61" s="116" t="s">
        <v>146</v>
      </c>
      <c r="P61" s="365">
        <f>VLOOKUP(Tableau1[[#This Row],[Name ILN]],Plant_AILN!F:G,2,FALSE)</f>
        <v>0</v>
      </c>
      <c r="Q61" s="50">
        <f>VLOOKUP(Tableau1[[#This Row],[Compte ILN]],'DATA ILN'!D:I,6,FALSE)</f>
        <v>9</v>
      </c>
      <c r="R61" s="50">
        <f ca="1">IFERROR(VLOOKUP(Tableau1[[#This Row],[Key(Compte ILN - shipper - POL - plant)]],'DATA ILN'!A:J,10,FALSE),VLOOKUP(Tableau1[[#This Row],[Key(Compte ILN - shipper - POL)]],'DATA ILN'!B:J,9,FALSE))</f>
        <v>14</v>
      </c>
      <c r="S61" s="50">
        <f ca="1">IFERROR(VLOOKUP(Tableau1[[#This Row],[Key(Compte ILN - shipper - POL - plant)]],'DATA ILN'!A:K,11,FALSE),VLOOKUP(Tableau1[[#This Row],[Key(Compte ILN - shipper - POL)]],'DATA ILN'!B:K,10,FALSE))</f>
        <v>5</v>
      </c>
      <c r="T61" s="50">
        <f ca="1">IFERROR(VLOOKUP(Tableau1[[#This Row],[Key(Compte ILN - shipper - POL - plant)]],'DATA ILN'!A:L,12,FALSE),VLOOKUP(Tableau1[[#This Row],[Key(Compte ILN - shipper - POL)]],'DATA ILN'!B:L,11,FALSE))</f>
        <v>7</v>
      </c>
      <c r="U61" s="50">
        <f ca="1">Tableau1[[#This Row],[Day ILN Order]]+Tableau1[[#This Row],[Delivery time to ILN/Shipper]]-1</f>
        <v>22</v>
      </c>
      <c r="V61" s="50">
        <f ca="1">IFERROR(VLOOKUP(Tableau1[[#This Row],[Key(Compte ILN - shipper - POL - plant)]],'DATA ILN'!A:N,14,FALSE),VLOOKUP(Tableau1[[#This Row],[Key(Compte ILN - shipper - POL)]],'DATA ILN'!B:N,13,FALSE))</f>
        <v>1</v>
      </c>
      <c r="W61" s="53">
        <f ca="1">IFERROR(VLOOKUP(Tableau1[[#This Row],[Key(Compte ILN - shipper - POL - plant)]],'DATA ILN'!A:P,16,FALSE),VLOOKUP(Tableau1[[#This Row],[Key(Compte ILN - shipper - POL)]],'DATA ILN'!B:P,15,FALSE))</f>
        <v>3</v>
      </c>
      <c r="X61" s="284" t="s">
        <v>182</v>
      </c>
      <c r="Y61" s="437">
        <f>IFERROR(VLOOKUP(Tableau1[[#This Row],[Name Shipper]],Plant_AILN!L:M,2,FALSE),0)</f>
        <v>29770601</v>
      </c>
      <c r="Z61" s="406">
        <v>1066</v>
      </c>
      <c r="AA61" s="396" t="str">
        <f ca="1">VLOOKUP(Tableau1[[#This Row],[Key(ID-Actif)]],'DATA BTO'!A:N,5,FALSE)</f>
        <v>THLCH</v>
      </c>
      <c r="AB61" s="3" t="str">
        <f ca="1">VLOOKUP(Tableau1[[#This Row],[Key(ID-Actif)]],'DATA BTO'!A:N,6,FALSE)</f>
        <v>Hyundai</v>
      </c>
      <c r="AC61" s="50">
        <f ca="1">VLOOKUP(Tableau1[[#This Row],[Key(ID-Actif)]],'DATA BTO'!A:N,7,FALSE)</f>
        <v>7</v>
      </c>
      <c r="AD61" s="50">
        <f ca="1">VLOOKUP(Tableau1[[#This Row],[Key(ID-Actif)]],'DATA BTO'!A:N,8,FALSE)</f>
        <v>9</v>
      </c>
      <c r="AE61" s="50">
        <f ca="1">IF(Tableau1[[#This Row],[First Day to POL]]&lt;=Tableau1[[#This Row],[Day Cut Off]],Tableau1[[#This Row],[Day ETD]],Tableau1[[#This Row],[Day ETD]]+7)</f>
        <v>9</v>
      </c>
      <c r="AF61" s="50">
        <f ca="1">VLOOKUP(Tableau1[[#This Row],[Key(ID-Actif)]],'DATA BTO'!A:N,9,FALSE)</f>
        <v>44</v>
      </c>
      <c r="AG61" s="3" t="str">
        <f ca="1">VLOOKUP(Tableau1[[#This Row],[Key(ID-Actif)]],'DATA BTO'!A:N,10,FALSE)</f>
        <v>MACAS</v>
      </c>
      <c r="AH61" s="3">
        <f ca="1">VLOOKUP(Tableau1[[#This Row],[Key(ID-Actif)]],'DATA BTO'!A:N,11,FALSE)</f>
        <v>3</v>
      </c>
      <c r="AI61" s="50">
        <f ca="1">VLOOKUP(Tableau1[[#This Row],[Key(ID-Actif)]],'DATA BTO'!A:N,12,FALSE)</f>
        <v>14</v>
      </c>
      <c r="AJ61" s="53" t="str">
        <f ca="1">VLOOKUP(Tableau1[[#This Row],[Key(ID-Actif)]],'DATA BTO'!A:N,14,FALSE)</f>
        <v>Max</v>
      </c>
      <c r="AK61" s="54">
        <f ca="1">VLOOKUP(Tableau1[[#This Row],[Key(POD -PFI- Usine)]],'DATA Consignee'!A:F,6,FALSE)</f>
        <v>1</v>
      </c>
      <c r="AL61" s="127"/>
      <c r="AM61" s="438" t="str">
        <f>IF(Tableau1[[#This Row],[Name PFI/CDD]]="","-",VLOOKUP(Tableau1[[#This Row],[Name PFI/CDD]],Plant_AILN!I:J,2,FALSE))</f>
        <v>-</v>
      </c>
      <c r="AN6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1" s="2">
        <f ca="1">VLOOKUP(Tableau1[[#This Row],[Key(POD -PFI- Usine)]],'DATA Consignee'!A:J,10,FALSE)</f>
        <v>0</v>
      </c>
      <c r="AQ61" s="50">
        <f ca="1">VLOOKUP(Tableau1[[#This Row],[Key(POD -PFI- Usine)]],'DATA Consignee'!A:N,14,FALSE)</f>
        <v>4</v>
      </c>
      <c r="AR6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6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61" s="50">
        <f ca="1">Tableau1[[#This Row],[Transit time]]+Tableau1[[#This Row],[Time for security]]+Tableau1[[#This Row],[Time for security2 buffer]]</f>
        <v>61</v>
      </c>
      <c r="AU6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61" s="433">
        <f ca="1">Tableau1[[#This Row],[Leadtime SI2C]]+Tableau1[[#This Row],[First Receipt Days]]-Tableau1[[#This Row],[Day Customer Order]]+1</f>
        <v>99</v>
      </c>
      <c r="AW61" s="119">
        <f ca="1">IF(Tableau1[[#This Row],[Name ILN]]&lt;&gt;"SFK Freight Forwarder",Tableau1[[#This Row],[Cust. Leadtime]],Tableau1[[#This Row],[Leadtime SI2C]])</f>
        <v>83</v>
      </c>
      <c r="AX61" s="51" t="s">
        <v>148</v>
      </c>
      <c r="AY61" s="338">
        <f ca="1">IFERROR(VLOOKUP(Tableau1[[#This Row],[Key(ID-Actif)]],'DATA BTO'!A:N,4,FALSE),VLOOKUP(Tableau1[[#This Row],[ID]],'DATA BTO'!B:N,3,FALSE))</f>
        <v>46507</v>
      </c>
      <c r="AZ61" s="50" t="str">
        <f>IF(ISNUMBER(Tableau1[[#This Row],[Day Customer Order]]),"-","Please Check 'Name' information in 'Order' Sheet to make sure they have information")</f>
        <v>-</v>
      </c>
      <c r="BA6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1" s="50"/>
    </row>
    <row r="62" spans="2:57" hidden="1">
      <c r="B62" s="474" t="str">
        <f>_xlfn.CONCAT(Tableau1[[#This Row],[Name ILN]],"-",Tableau1[[#This Row],[Name Shipper]],"-",Tableau1[[#This Row],[Name Site]])</f>
        <v>SFK Freight Forwarder-Jatco Thailande-TANGER</v>
      </c>
      <c r="C62" s="67" t="str">
        <f ca="1">_xlfn.CONCAT(Tableau1[[#This Row],[Compte ILN]],"-",Tableau1[[#This Row],[Compte Shipper]],"-",Tableau1[[#This Row],[POL]],"-",Tableau1[[#This Row],[Compte Consignee]])</f>
        <v>0-29770601-THLCH-900383</v>
      </c>
      <c r="D62" s="66" t="str">
        <f ca="1">_xlfn.CONCAT(Tableau1[[#This Row],[Compte ILN]],"-",Tableau1[[#This Row],[Compte Shipper]],"-",Tableau1[[#This Row],[POL]])</f>
        <v>0-29770601-THLCH</v>
      </c>
      <c r="E62" s="434" t="str">
        <f ca="1">_xlfn.CONCAT(Tableau1[[#This Row],[POL]],"-",Tableau1[[#This Row],[Carrier]],"-",Tableau1[[#This Row],[POD]])</f>
        <v>THLCH-ONE-MAPTM</v>
      </c>
      <c r="F62" s="66" t="str">
        <f>_xlfn.CONCAT(Tableau1[[#This Row],[ID]],"-","Actif")</f>
        <v>1067-Actif</v>
      </c>
      <c r="G62" s="66" t="str">
        <f ca="1">_xlfn.CONCAT(Tableau1[[#This Row],[POD]],"-",Tableau1[[#This Row],[Code PFI]],"-",Tableau1[[#This Row],[Compte Consignee]])</f>
        <v>MAPTM---900383</v>
      </c>
      <c r="H62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29770601THLCHTANGER</v>
      </c>
      <c r="I62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TANGER-SFK Freight Forwarder-Jatco Thailande-1067-THLCH-ONE-MAPTM-</v>
      </c>
      <c r="J62" s="435" t="str">
        <f ca="1">IF(COUNTIF(I:I,Tableau1[[#This Row],[Plant-ILN-shipper-POL-Carrier-POD-PFI]])=1,"Non","Oui")</f>
        <v>Non</v>
      </c>
      <c r="K62" s="128" t="str">
        <f>VLOOKUP(Tableau1[[#This Row],[Name Site]],Plant_AILN!A:D,4,FALSE)</f>
        <v>MOROCCO</v>
      </c>
      <c r="L62" s="411" t="s">
        <v>180</v>
      </c>
      <c r="M62" s="439">
        <f>VLOOKUP(Tableau1[[#This Row],[Name Site]],Plant_AILN!A:C,3,FALSE)</f>
        <v>900383</v>
      </c>
      <c r="N62" s="55">
        <f>IF(Tableau1[[#This Row],[Name PFI/CDD]]="PFI VLL",2,VLOOKUP(Tableau1[[#This Row],[Compte Consignee]],Order!C:D,2,FALSE))</f>
        <v>7</v>
      </c>
      <c r="O62" s="116" t="s">
        <v>146</v>
      </c>
      <c r="P62" s="365">
        <f>VLOOKUP(Tableau1[[#This Row],[Name ILN]],Plant_AILN!F:G,2,FALSE)</f>
        <v>0</v>
      </c>
      <c r="Q62" s="50">
        <f>VLOOKUP(Tableau1[[#This Row],[Compte ILN]],'DATA ILN'!D:I,6,FALSE)</f>
        <v>9</v>
      </c>
      <c r="R62" s="50">
        <f ca="1">IFERROR(VLOOKUP(Tableau1[[#This Row],[Key(Compte ILN - shipper - POL - plant)]],'DATA ILN'!A:J,10,FALSE),VLOOKUP(Tableau1[[#This Row],[Key(Compte ILN - shipper - POL)]],'DATA ILN'!B:J,9,FALSE))</f>
        <v>14</v>
      </c>
      <c r="S62" s="50">
        <f ca="1">IFERROR(VLOOKUP(Tableau1[[#This Row],[Key(Compte ILN - shipper - POL - plant)]],'DATA ILN'!A:K,11,FALSE),VLOOKUP(Tableau1[[#This Row],[Key(Compte ILN - shipper - POL)]],'DATA ILN'!B:K,10,FALSE))</f>
        <v>5</v>
      </c>
      <c r="T62" s="50">
        <f ca="1">IFERROR(VLOOKUP(Tableau1[[#This Row],[Key(Compte ILN - shipper - POL - plant)]],'DATA ILN'!A:L,12,FALSE),VLOOKUP(Tableau1[[#This Row],[Key(Compte ILN - shipper - POL)]],'DATA ILN'!B:L,11,FALSE))</f>
        <v>7</v>
      </c>
      <c r="U62" s="50">
        <f ca="1">Tableau1[[#This Row],[Day ILN Order]]+Tableau1[[#This Row],[Delivery time to ILN/Shipper]]-1</f>
        <v>22</v>
      </c>
      <c r="V62" s="50">
        <f ca="1">IFERROR(VLOOKUP(Tableau1[[#This Row],[Key(Compte ILN - shipper - POL - plant)]],'DATA ILN'!A:N,14,FALSE),VLOOKUP(Tableau1[[#This Row],[Key(Compte ILN - shipper - POL)]],'DATA ILN'!B:N,13,FALSE))</f>
        <v>1</v>
      </c>
      <c r="W62" s="53">
        <f ca="1">IFERROR(VLOOKUP(Tableau1[[#This Row],[Key(Compte ILN - shipper - POL - plant)]],'DATA ILN'!A:P,16,FALSE),VLOOKUP(Tableau1[[#This Row],[Key(Compte ILN - shipper - POL)]],'DATA ILN'!B:P,15,FALSE))</f>
        <v>3</v>
      </c>
      <c r="X62" s="284" t="s">
        <v>182</v>
      </c>
      <c r="Y62" s="437">
        <f>IFERROR(VLOOKUP(Tableau1[[#This Row],[Name Shipper]],Plant_AILN!L:M,2,FALSE),0)</f>
        <v>29770601</v>
      </c>
      <c r="Z62" s="406">
        <v>1067</v>
      </c>
      <c r="AA62" s="396" t="str">
        <f ca="1">VLOOKUP(Tableau1[[#This Row],[Key(ID-Actif)]],'DATA BTO'!A:N,5,FALSE)</f>
        <v>THLCH</v>
      </c>
      <c r="AB62" s="3" t="str">
        <f ca="1">VLOOKUP(Tableau1[[#This Row],[Key(ID-Actif)]],'DATA BTO'!A:N,6,FALSE)</f>
        <v>ONE</v>
      </c>
      <c r="AC62" s="50">
        <f ca="1">VLOOKUP(Tableau1[[#This Row],[Key(ID-Actif)]],'DATA BTO'!A:N,7,FALSE)</f>
        <v>3</v>
      </c>
      <c r="AD62" s="50">
        <f ca="1">VLOOKUP(Tableau1[[#This Row],[Key(ID-Actif)]],'DATA BTO'!A:N,8,FALSE)</f>
        <v>5</v>
      </c>
      <c r="AE62" s="50">
        <f ca="1">IF(Tableau1[[#This Row],[First Day to POL]]&lt;=Tableau1[[#This Row],[Day Cut Off]],Tableau1[[#This Row],[Day ETD]],Tableau1[[#This Row],[Day ETD]]+7)</f>
        <v>5</v>
      </c>
      <c r="AF62" s="50">
        <f ca="1">VLOOKUP(Tableau1[[#This Row],[Key(ID-Actif)]],'DATA BTO'!A:N,9,FALSE)</f>
        <v>38</v>
      </c>
      <c r="AG62" s="3" t="str">
        <f ca="1">VLOOKUP(Tableau1[[#This Row],[Key(ID-Actif)]],'DATA BTO'!A:N,10,FALSE)</f>
        <v>MAPTM</v>
      </c>
      <c r="AH62" s="3">
        <f ca="1">VLOOKUP(Tableau1[[#This Row],[Key(ID-Actif)]],'DATA BTO'!A:N,11,FALSE)</f>
        <v>3</v>
      </c>
      <c r="AI62" s="50">
        <f ca="1">VLOOKUP(Tableau1[[#This Row],[Key(ID-Actif)]],'DATA BTO'!A:N,12,FALSE)</f>
        <v>14</v>
      </c>
      <c r="AJ62" s="53" t="str">
        <f ca="1">VLOOKUP(Tableau1[[#This Row],[Key(ID-Actif)]],'DATA BTO'!A:N,14,FALSE)</f>
        <v>Max</v>
      </c>
      <c r="AK62" s="54">
        <f ca="1">VLOOKUP(Tableau1[[#This Row],[Key(POD -PFI- Usine)]],'DATA Consignee'!A:F,6,FALSE)</f>
        <v>3</v>
      </c>
      <c r="AL62" s="127"/>
      <c r="AM62" s="438" t="str">
        <f>IF(Tableau1[[#This Row],[Name PFI/CDD]]="","-",VLOOKUP(Tableau1[[#This Row],[Name PFI/CDD]],Plant_AILN!I:J,2,FALSE))</f>
        <v>-</v>
      </c>
      <c r="AN6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2" s="2">
        <f ca="1">VLOOKUP(Tableau1[[#This Row],[Key(POD -PFI- Usine)]],'DATA Consignee'!A:J,10,FALSE)</f>
        <v>0</v>
      </c>
      <c r="AQ62" s="50">
        <f ca="1">VLOOKUP(Tableau1[[#This Row],[Key(POD -PFI- Usine)]],'DATA Consignee'!A:N,14,FALSE)</f>
        <v>1</v>
      </c>
      <c r="AR6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6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62" s="50">
        <f ca="1">Tableau1[[#This Row],[Transit time]]+Tableau1[[#This Row],[Time for security]]+Tableau1[[#This Row],[Time for security2 buffer]]</f>
        <v>55</v>
      </c>
      <c r="AU6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2" s="433">
        <f ca="1">Tableau1[[#This Row],[Leadtime SI2C]]+Tableau1[[#This Row],[First Receipt Days]]-Tableau1[[#This Row],[Day Customer Order]]+1</f>
        <v>85</v>
      </c>
      <c r="AW62" s="119">
        <f ca="1">IF(Tableau1[[#This Row],[Name ILN]]&lt;&gt;"SFK Freight Forwarder",Tableau1[[#This Row],[Cust. Leadtime]],Tableau1[[#This Row],[Leadtime SI2C]])</f>
        <v>69</v>
      </c>
      <c r="AX62" s="51" t="s">
        <v>148</v>
      </c>
      <c r="AY62" s="338">
        <f ca="1">IFERROR(VLOOKUP(Tableau1[[#This Row],[Key(ID-Actif)]],'DATA BTO'!A:N,4,FALSE),VLOOKUP(Tableau1[[#This Row],[ID]],'DATA BTO'!B:N,3,FALSE))</f>
        <v>46507</v>
      </c>
      <c r="AZ62" s="50" t="str">
        <f>IF(ISNUMBER(Tableau1[[#This Row],[Day Customer Order]]),"-","Please Check 'Name' information in 'Order' Sheet to make sure they have information")</f>
        <v>-</v>
      </c>
      <c r="BA6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2" s="50"/>
    </row>
    <row r="63" spans="2:57" hidden="1">
      <c r="B63" s="474" t="str">
        <f>_xlfn.CONCAT(Tableau1[[#This Row],[Name ILN]],"-",Tableau1[[#This Row],[Name Shipper]],"-",Tableau1[[#This Row],[Name Site]])</f>
        <v>SFK Freight Forwarder-Jatco Thailande-DACIA MONT</v>
      </c>
      <c r="C63" s="67" t="str">
        <f ca="1">_xlfn.CONCAT(Tableau1[[#This Row],[Compte ILN]],"-",Tableau1[[#This Row],[Compte Shipper]],"-",Tableau1[[#This Row],[POL]],"-",Tableau1[[#This Row],[Compte Consignee]])</f>
        <v>0-29770601-THLCH-90016800</v>
      </c>
      <c r="D63" s="66" t="str">
        <f ca="1">_xlfn.CONCAT(Tableau1[[#This Row],[Compte ILN]],"-",Tableau1[[#This Row],[Compte Shipper]],"-",Tableau1[[#This Row],[POL]])</f>
        <v>0-29770601-THLCH</v>
      </c>
      <c r="E63" s="434" t="str">
        <f ca="1">_xlfn.CONCAT(Tableau1[[#This Row],[POL]],"-",Tableau1[[#This Row],[Carrier]],"-",Tableau1[[#This Row],[POD]])</f>
        <v>THLCH-ONE-ROCND</v>
      </c>
      <c r="F63" s="66" t="str">
        <f>_xlfn.CONCAT(Tableau1[[#This Row],[ID]],"-","Actif")</f>
        <v>1068-Actif</v>
      </c>
      <c r="G63" s="66" t="str">
        <f ca="1">_xlfn.CONCAT(Tableau1[[#This Row],[POD]],"-",Tableau1[[#This Row],[Code PFI]],"-",Tableau1[[#This Row],[Compte Consignee]])</f>
        <v>ROCND-2839004-90016800</v>
      </c>
      <c r="H63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29770601THLCHDACIA MONT</v>
      </c>
      <c r="I63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MONT-SFK Freight Forwarder-Jatco Thailande-1068-THLCH-ONE-ROCND-Magasin Dacia</v>
      </c>
      <c r="J63" s="435" t="str">
        <f ca="1">IF(COUNTIF(I:I,Tableau1[[#This Row],[Plant-ILN-shipper-POL-Carrier-POD-PFI]])=1,"Non","Oui")</f>
        <v>Non</v>
      </c>
      <c r="K63" s="128" t="str">
        <f>VLOOKUP(Tableau1[[#This Row],[Name Site]],Plant_AILN!A:D,4,FALSE)</f>
        <v>ROMANIA</v>
      </c>
      <c r="L63" s="411" t="s">
        <v>185</v>
      </c>
      <c r="M63" s="439">
        <f>VLOOKUP(Tableau1[[#This Row],[Name Site]],Plant_AILN!A:C,3,FALSE)</f>
        <v>90016800</v>
      </c>
      <c r="N63" s="55">
        <f>IF(Tableau1[[#This Row],[Name PFI/CDD]]="PFI VLL",2,VLOOKUP(Tableau1[[#This Row],[Compte Consignee]],Order!C:D,2,FALSE))</f>
        <v>7</v>
      </c>
      <c r="O63" s="116" t="s">
        <v>146</v>
      </c>
      <c r="P63" s="365">
        <f>VLOOKUP(Tableau1[[#This Row],[Name ILN]],Plant_AILN!F:G,2,FALSE)</f>
        <v>0</v>
      </c>
      <c r="Q63" s="50">
        <f>VLOOKUP(Tableau1[[#This Row],[Compte ILN]],'DATA ILN'!D:I,6,FALSE)</f>
        <v>9</v>
      </c>
      <c r="R63" s="50">
        <f ca="1">IFERROR(VLOOKUP(Tableau1[[#This Row],[Key(Compte ILN - shipper - POL - plant)]],'DATA ILN'!A:J,10,FALSE),VLOOKUP(Tableau1[[#This Row],[Key(Compte ILN - shipper - POL)]],'DATA ILN'!B:J,9,FALSE))</f>
        <v>14</v>
      </c>
      <c r="S63" s="50">
        <f ca="1">IFERROR(VLOOKUP(Tableau1[[#This Row],[Key(Compte ILN - shipper - POL - plant)]],'DATA ILN'!A:K,11,FALSE),VLOOKUP(Tableau1[[#This Row],[Key(Compte ILN - shipper - POL)]],'DATA ILN'!B:K,10,FALSE))</f>
        <v>5</v>
      </c>
      <c r="T63" s="50">
        <f ca="1">IFERROR(VLOOKUP(Tableau1[[#This Row],[Key(Compte ILN - shipper - POL - plant)]],'DATA ILN'!A:L,12,FALSE),VLOOKUP(Tableau1[[#This Row],[Key(Compte ILN - shipper - POL)]],'DATA ILN'!B:L,11,FALSE))</f>
        <v>7</v>
      </c>
      <c r="U63" s="50">
        <f ca="1">Tableau1[[#This Row],[Day ILN Order]]+Tableau1[[#This Row],[Delivery time to ILN/Shipper]]-1</f>
        <v>22</v>
      </c>
      <c r="V63" s="50">
        <f ca="1">IFERROR(VLOOKUP(Tableau1[[#This Row],[Key(Compte ILN - shipper - POL - plant)]],'DATA ILN'!A:N,14,FALSE),VLOOKUP(Tableau1[[#This Row],[Key(Compte ILN - shipper - POL)]],'DATA ILN'!B:N,13,FALSE))</f>
        <v>1</v>
      </c>
      <c r="W63" s="53">
        <f ca="1">IFERROR(VLOOKUP(Tableau1[[#This Row],[Key(Compte ILN - shipper - POL - plant)]],'DATA ILN'!A:P,16,FALSE),VLOOKUP(Tableau1[[#This Row],[Key(Compte ILN - shipper - POL)]],'DATA ILN'!B:P,15,FALSE))</f>
        <v>3</v>
      </c>
      <c r="X63" s="284" t="s">
        <v>182</v>
      </c>
      <c r="Y63" s="437">
        <f>IFERROR(VLOOKUP(Tableau1[[#This Row],[Name Shipper]],Plant_AILN!L:M,2,FALSE),0)</f>
        <v>29770601</v>
      </c>
      <c r="Z63" s="406">
        <v>1068</v>
      </c>
      <c r="AA63" s="396" t="str">
        <f ca="1">VLOOKUP(Tableau1[[#This Row],[Key(ID-Actif)]],'DATA BTO'!A:N,5,FALSE)</f>
        <v>THLCH</v>
      </c>
      <c r="AB63" s="3" t="str">
        <f ca="1">VLOOKUP(Tableau1[[#This Row],[Key(ID-Actif)]],'DATA BTO'!A:N,6,FALSE)</f>
        <v>ONE</v>
      </c>
      <c r="AC63" s="50">
        <f ca="1">VLOOKUP(Tableau1[[#This Row],[Key(ID-Actif)]],'DATA BTO'!A:N,7,FALSE)</f>
        <v>3</v>
      </c>
      <c r="AD63" s="50">
        <f ca="1">VLOOKUP(Tableau1[[#This Row],[Key(ID-Actif)]],'DATA BTO'!A:N,8,FALSE)</f>
        <v>5</v>
      </c>
      <c r="AE63" s="50">
        <f ca="1">IF(Tableau1[[#This Row],[First Day to POL]]&lt;=Tableau1[[#This Row],[Day Cut Off]],Tableau1[[#This Row],[Day ETD]],Tableau1[[#This Row],[Day ETD]]+7)</f>
        <v>5</v>
      </c>
      <c r="AF63" s="50">
        <f ca="1">VLOOKUP(Tableau1[[#This Row],[Key(ID-Actif)]],'DATA BTO'!A:N,9,FALSE)</f>
        <v>67</v>
      </c>
      <c r="AG63" s="3" t="str">
        <f ca="1">VLOOKUP(Tableau1[[#This Row],[Key(ID-Actif)]],'DATA BTO'!A:N,10,FALSE)</f>
        <v>ROCND</v>
      </c>
      <c r="AH63" s="3">
        <f ca="1">VLOOKUP(Tableau1[[#This Row],[Key(ID-Actif)]],'DATA BTO'!A:N,11,FALSE)</f>
        <v>3</v>
      </c>
      <c r="AI63" s="50">
        <f ca="1">VLOOKUP(Tableau1[[#This Row],[Key(ID-Actif)]],'DATA BTO'!A:N,12,FALSE)</f>
        <v>0</v>
      </c>
      <c r="AJ63" s="53" t="str">
        <f ca="1">VLOOKUP(Tableau1[[#This Row],[Key(ID-Actif)]],'DATA BTO'!A:N,14,FALSE)</f>
        <v>Max</v>
      </c>
      <c r="AK63" s="54">
        <f ca="1">VLOOKUP(Tableau1[[#This Row],[Key(POD -PFI- Usine)]],'DATA Consignee'!A:F,6,FALSE)</f>
        <v>1</v>
      </c>
      <c r="AL63" s="127" t="s">
        <v>164</v>
      </c>
      <c r="AM63" s="438">
        <f>IF(Tableau1[[#This Row],[Name PFI/CDD]]="","-",VLOOKUP(Tableau1[[#This Row],[Name PFI/CDD]],Plant_AILN!I:J,2,FALSE))</f>
        <v>2839004</v>
      </c>
      <c r="AN6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3" s="2">
        <f ca="1">VLOOKUP(Tableau1[[#This Row],[Key(POD -PFI- Usine)]],'DATA Consignee'!A:J,10,FALSE)</f>
        <v>7</v>
      </c>
      <c r="AQ63" s="50">
        <f ca="1">VLOOKUP(Tableau1[[#This Row],[Key(POD -PFI- Usine)]],'DATA Consignee'!A:N,14,FALSE)</f>
        <v>1</v>
      </c>
      <c r="AR6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6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63" s="50">
        <f ca="1">Tableau1[[#This Row],[Transit time]]+Tableau1[[#This Row],[Time for security]]+Tableau1[[#This Row],[Time for security2 buffer]]</f>
        <v>70</v>
      </c>
      <c r="AU6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63" s="433">
        <f ca="1">Tableau1[[#This Row],[Leadtime SI2C]]+Tableau1[[#This Row],[First Receipt Days]]-Tableau1[[#This Row],[Day Customer Order]]+1</f>
        <v>106</v>
      </c>
      <c r="AW63" s="119">
        <f ca="1">IF(Tableau1[[#This Row],[Name ILN]]&lt;&gt;"SFK Freight Forwarder",Tableau1[[#This Row],[Cust. Leadtime]],Tableau1[[#This Row],[Leadtime SI2C]])</f>
        <v>90</v>
      </c>
      <c r="AX63" s="51" t="s">
        <v>148</v>
      </c>
      <c r="AY63" s="338">
        <f ca="1">IFERROR(VLOOKUP(Tableau1[[#This Row],[Key(ID-Actif)]],'DATA BTO'!A:N,4,FALSE),VLOOKUP(Tableau1[[#This Row],[ID]],'DATA BTO'!B:N,3,FALSE))</f>
        <v>46507</v>
      </c>
      <c r="AZ63" s="50" t="str">
        <f>IF(ISNUMBER(Tableau1[[#This Row],[Day Customer Order]]),"-","Please Check 'Name' information in 'Order' Sheet to make sure they have information")</f>
        <v>-</v>
      </c>
      <c r="BA6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3" s="50"/>
    </row>
    <row r="64" spans="2:57" hidden="1">
      <c r="B64" s="474" t="str">
        <f>_xlfn.CONCAT(Tableau1[[#This Row],[Name ILN]],"-",Tableau1[[#This Row],[Name Shipper]],"-",Tableau1[[#This Row],[Name Site]])</f>
        <v>SFK Freight Forwarder-Jatco Thailande-REVOZ</v>
      </c>
      <c r="C64" s="67" t="str">
        <f ca="1">_xlfn.CONCAT(Tableau1[[#This Row],[Compte ILN]],"-",Tableau1[[#This Row],[Compte Shipper]],"-",Tableau1[[#This Row],[POL]],"-",Tableau1[[#This Row],[Compte Consignee]])</f>
        <v>0-29770601-THLCH-90016700</v>
      </c>
      <c r="D64" s="66" t="str">
        <f ca="1">_xlfn.CONCAT(Tableau1[[#This Row],[Compte ILN]],"-",Tableau1[[#This Row],[Compte Shipper]],"-",Tableau1[[#This Row],[POL]])</f>
        <v>0-29770601-THLCH</v>
      </c>
      <c r="E64" s="434" t="str">
        <f ca="1">_xlfn.CONCAT(Tableau1[[#This Row],[POL]],"-",Tableau1[[#This Row],[Carrier]],"-",Tableau1[[#This Row],[POD]])</f>
        <v>THLCH-CMA-CGM-SIKOP</v>
      </c>
      <c r="F64" s="66" t="str">
        <f>_xlfn.CONCAT(Tableau1[[#This Row],[ID]],"-","Actif")</f>
        <v>1069-Actif</v>
      </c>
      <c r="G64" s="66" t="str">
        <f ca="1">_xlfn.CONCAT(Tableau1[[#This Row],[POD]],"-",Tableau1[[#This Row],[Code PFI]],"-",Tableau1[[#This Row],[Compte Consignee]])</f>
        <v>SIKOP---90016700</v>
      </c>
      <c r="H64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29770601THLCHREVOZ</v>
      </c>
      <c r="I64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REVOZ-SFK Freight Forwarder-Jatco Thailande-1069-THLCH-CMA-CGM-SIKOP-</v>
      </c>
      <c r="J64" s="435" t="str">
        <f ca="1">IF(COUNTIF(I:I,Tableau1[[#This Row],[Plant-ILN-shipper-POL-Carrier-POD-PFI]])=1,"Non","Oui")</f>
        <v>Non</v>
      </c>
      <c r="K64" s="128" t="str">
        <f>VLOOKUP(Tableau1[[#This Row],[Name Site]],Plant_AILN!A:D,4,FALSE)</f>
        <v>SLOVENIA</v>
      </c>
      <c r="L64" s="411" t="s">
        <v>35</v>
      </c>
      <c r="M64" s="439">
        <f>VLOOKUP(Tableau1[[#This Row],[Name Site]],Plant_AILN!A:C,3,FALSE)</f>
        <v>90016700</v>
      </c>
      <c r="N64" s="55">
        <f>IF(Tableau1[[#This Row],[Name PFI/CDD]]="PFI VLL",2,VLOOKUP(Tableau1[[#This Row],[Compte Consignee]],Order!C:D,2,FALSE))</f>
        <v>7</v>
      </c>
      <c r="O64" s="116" t="s">
        <v>146</v>
      </c>
      <c r="P64" s="365">
        <f>VLOOKUP(Tableau1[[#This Row],[Name ILN]],Plant_AILN!F:G,2,FALSE)</f>
        <v>0</v>
      </c>
      <c r="Q64" s="50">
        <f>VLOOKUP(Tableau1[[#This Row],[Compte ILN]],'DATA ILN'!D:I,6,FALSE)</f>
        <v>9</v>
      </c>
      <c r="R64" s="50">
        <f ca="1">IFERROR(VLOOKUP(Tableau1[[#This Row],[Key(Compte ILN - shipper - POL - plant)]],'DATA ILN'!A:J,10,FALSE),VLOOKUP(Tableau1[[#This Row],[Key(Compte ILN - shipper - POL)]],'DATA ILN'!B:J,9,FALSE))</f>
        <v>14</v>
      </c>
      <c r="S64" s="50">
        <f ca="1">IFERROR(VLOOKUP(Tableau1[[#This Row],[Key(Compte ILN - shipper - POL - plant)]],'DATA ILN'!A:K,11,FALSE),VLOOKUP(Tableau1[[#This Row],[Key(Compte ILN - shipper - POL)]],'DATA ILN'!B:K,10,FALSE))</f>
        <v>5</v>
      </c>
      <c r="T64" s="50">
        <f ca="1">IFERROR(VLOOKUP(Tableau1[[#This Row],[Key(Compte ILN - shipper - POL - plant)]],'DATA ILN'!A:L,12,FALSE),VLOOKUP(Tableau1[[#This Row],[Key(Compte ILN - shipper - POL)]],'DATA ILN'!B:L,11,FALSE))</f>
        <v>7</v>
      </c>
      <c r="U64" s="50">
        <f ca="1">Tableau1[[#This Row],[Day ILN Order]]+Tableau1[[#This Row],[Delivery time to ILN/Shipper]]-1</f>
        <v>22</v>
      </c>
      <c r="V64" s="50">
        <f ca="1">IFERROR(VLOOKUP(Tableau1[[#This Row],[Key(Compte ILN - shipper - POL - plant)]],'DATA ILN'!A:N,14,FALSE),VLOOKUP(Tableau1[[#This Row],[Key(Compte ILN - shipper - POL)]],'DATA ILN'!B:N,13,FALSE))</f>
        <v>1</v>
      </c>
      <c r="W64" s="53">
        <f ca="1">IFERROR(VLOOKUP(Tableau1[[#This Row],[Key(Compte ILN - shipper - POL - plant)]],'DATA ILN'!A:P,16,FALSE),VLOOKUP(Tableau1[[#This Row],[Key(Compte ILN - shipper - POL)]],'DATA ILN'!B:P,15,FALSE))</f>
        <v>3</v>
      </c>
      <c r="X64" s="284" t="s">
        <v>182</v>
      </c>
      <c r="Y64" s="437">
        <f>IFERROR(VLOOKUP(Tableau1[[#This Row],[Name Shipper]],Plant_AILN!L:M,2,FALSE),0)</f>
        <v>29770601</v>
      </c>
      <c r="Z64" s="406">
        <v>1069</v>
      </c>
      <c r="AA64" s="396" t="str">
        <f ca="1">VLOOKUP(Tableau1[[#This Row],[Key(ID-Actif)]],'DATA BTO'!A:N,5,FALSE)</f>
        <v>THLCH</v>
      </c>
      <c r="AB64" s="3" t="str">
        <f ca="1">VLOOKUP(Tableau1[[#This Row],[Key(ID-Actif)]],'DATA BTO'!A:N,6,FALSE)</f>
        <v>CMA-CGM</v>
      </c>
      <c r="AC64" s="50">
        <f ca="1">VLOOKUP(Tableau1[[#This Row],[Key(ID-Actif)]],'DATA BTO'!A:N,7,FALSE)</f>
        <v>5</v>
      </c>
      <c r="AD64" s="50">
        <f ca="1">VLOOKUP(Tableau1[[#This Row],[Key(ID-Actif)]],'DATA BTO'!A:N,8,FALSE)</f>
        <v>8</v>
      </c>
      <c r="AE64" s="50">
        <f ca="1">IF(Tableau1[[#This Row],[First Day to POL]]&lt;=Tableau1[[#This Row],[Day Cut Off]],Tableau1[[#This Row],[Day ETD]],Tableau1[[#This Row],[Day ETD]]+7)</f>
        <v>8</v>
      </c>
      <c r="AF64" s="50">
        <f ca="1">VLOOKUP(Tableau1[[#This Row],[Key(ID-Actif)]],'DATA BTO'!A:N,9,FALSE)</f>
        <v>34</v>
      </c>
      <c r="AG64" s="3" t="str">
        <f ca="1">VLOOKUP(Tableau1[[#This Row],[Key(ID-Actif)]],'DATA BTO'!A:N,10,FALSE)</f>
        <v>SIKOP</v>
      </c>
      <c r="AH64" s="3">
        <f ca="1">VLOOKUP(Tableau1[[#This Row],[Key(ID-Actif)]],'DATA BTO'!A:N,11,FALSE)</f>
        <v>3</v>
      </c>
      <c r="AI64" s="50">
        <f ca="1">VLOOKUP(Tableau1[[#This Row],[Key(ID-Actif)]],'DATA BTO'!A:N,12,FALSE)</f>
        <v>14</v>
      </c>
      <c r="AJ64" s="53" t="str">
        <f ca="1">VLOOKUP(Tableau1[[#This Row],[Key(ID-Actif)]],'DATA BTO'!A:N,14,FALSE)</f>
        <v>Max</v>
      </c>
      <c r="AK64" s="54">
        <f ca="1">VLOOKUP(Tableau1[[#This Row],[Key(POD -PFI- Usine)]],'DATA Consignee'!A:F,6,FALSE)</f>
        <v>2</v>
      </c>
      <c r="AL64" s="127"/>
      <c r="AM64" s="438" t="str">
        <f>IF(Tableau1[[#This Row],[Name PFI/CDD]]="","-",VLOOKUP(Tableau1[[#This Row],[Name PFI/CDD]],Plant_AILN!I:J,2,FALSE))</f>
        <v>-</v>
      </c>
      <c r="AN6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4" s="2">
        <f ca="1">VLOOKUP(Tableau1[[#This Row],[Key(POD -PFI- Usine)]],'DATA Consignee'!A:J,10,FALSE)</f>
        <v>0</v>
      </c>
      <c r="AQ64" s="50">
        <f ca="1">VLOOKUP(Tableau1[[#This Row],[Key(POD -PFI- Usine)]],'DATA Consignee'!A:N,14,FALSE)</f>
        <v>2</v>
      </c>
      <c r="AR6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6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64" s="50">
        <f ca="1">Tableau1[[#This Row],[Transit time]]+Tableau1[[#This Row],[Time for security]]+Tableau1[[#This Row],[Time for security2 buffer]]</f>
        <v>51</v>
      </c>
      <c r="AU6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4" s="433">
        <f ca="1">Tableau1[[#This Row],[Leadtime SI2C]]+Tableau1[[#This Row],[First Receipt Days]]-Tableau1[[#This Row],[Day Customer Order]]+1</f>
        <v>85</v>
      </c>
      <c r="AW64" s="119">
        <f ca="1">IF(Tableau1[[#This Row],[Name ILN]]&lt;&gt;"SFK Freight Forwarder",Tableau1[[#This Row],[Cust. Leadtime]],Tableau1[[#This Row],[Leadtime SI2C]])</f>
        <v>69</v>
      </c>
      <c r="AX64" s="51" t="s">
        <v>148</v>
      </c>
      <c r="AY64" s="338">
        <f ca="1">IFERROR(VLOOKUP(Tableau1[[#This Row],[Key(ID-Actif)]],'DATA BTO'!A:N,4,FALSE),VLOOKUP(Tableau1[[#This Row],[ID]],'DATA BTO'!B:N,3,FALSE))</f>
        <v>46507</v>
      </c>
      <c r="AZ64" s="50" t="str">
        <f>IF(ISNUMBER(Tableau1[[#This Row],[Day Customer Order]]),"-","Please Check 'Name' information in 'Order' Sheet to make sure they have information")</f>
        <v>-</v>
      </c>
      <c r="BA6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4" s="50"/>
    </row>
    <row r="65" spans="2:57" hidden="1">
      <c r="B65" s="474" t="str">
        <f>_xlfn.CONCAT(Tableau1[[#This Row],[Name ILN]],"-",Tableau1[[#This Row],[Name Shipper]],"-",Tableau1[[#This Row],[Name Site]])</f>
        <v>SFK Freight Forwarder-Jatco Thailande-OYAK MONT</v>
      </c>
      <c r="C65" s="67" t="str">
        <f ca="1">_xlfn.CONCAT(Tableau1[[#This Row],[Compte ILN]],"-",Tableau1[[#This Row],[Compte Shipper]],"-",Tableau1[[#This Row],[POL]],"-",Tableau1[[#This Row],[Compte Consignee]])</f>
        <v>0-29770601-THLCH-90017000</v>
      </c>
      <c r="D65" s="66" t="str">
        <f ca="1">_xlfn.CONCAT(Tableau1[[#This Row],[Compte ILN]],"-",Tableau1[[#This Row],[Compte Shipper]],"-",Tableau1[[#This Row],[POL]])</f>
        <v>0-29770601-THLCH</v>
      </c>
      <c r="E65" s="434" t="str">
        <f ca="1">_xlfn.CONCAT(Tableau1[[#This Row],[POL]],"-",Tableau1[[#This Row],[Carrier]],"-",Tableau1[[#This Row],[POD]])</f>
        <v>THLCH-Maersk-TRIZT</v>
      </c>
      <c r="F65" s="66" t="str">
        <f>_xlfn.CONCAT(Tableau1[[#This Row],[ID]],"-","Actif")</f>
        <v>1070-Actif</v>
      </c>
      <c r="G65" s="66" t="str">
        <f ca="1">_xlfn.CONCAT(Tableau1[[#This Row],[POD]],"-",Tableau1[[#This Row],[Code PFI]],"-",Tableau1[[#This Row],[Compte Consignee]])</f>
        <v>TRIZT---90017000</v>
      </c>
      <c r="H65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29770601THLCHOYAK MONT</v>
      </c>
      <c r="I65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MONT-SFK Freight Forwarder-Jatco Thailande-1070-THLCH-Maersk-TRIZT-</v>
      </c>
      <c r="J65" s="435" t="str">
        <f ca="1">IF(COUNTIF(I:I,Tableau1[[#This Row],[Plant-ILN-shipper-POL-Carrier-POD-PFI]])=1,"Non","Oui")</f>
        <v>Non</v>
      </c>
      <c r="K65" s="128" t="str">
        <f>VLOOKUP(Tableau1[[#This Row],[Name Site]],Plant_AILN!A:D,4,FALSE)</f>
        <v>TURKEY</v>
      </c>
      <c r="L65" s="411" t="s">
        <v>173</v>
      </c>
      <c r="M65" s="439">
        <f>VLOOKUP(Tableau1[[#This Row],[Name Site]],Plant_AILN!A:C,3,FALSE)</f>
        <v>90017000</v>
      </c>
      <c r="N65" s="55">
        <f>IF(Tableau1[[#This Row],[Name PFI/CDD]]="PFI VLL",2,VLOOKUP(Tableau1[[#This Row],[Compte Consignee]],Order!C:D,2,FALSE))</f>
        <v>7</v>
      </c>
      <c r="O65" s="116" t="s">
        <v>146</v>
      </c>
      <c r="P65" s="365">
        <f>VLOOKUP(Tableau1[[#This Row],[Name ILN]],Plant_AILN!F:G,2,FALSE)</f>
        <v>0</v>
      </c>
      <c r="Q65" s="50">
        <f>VLOOKUP(Tableau1[[#This Row],[Compte ILN]],'DATA ILN'!D:I,6,FALSE)</f>
        <v>9</v>
      </c>
      <c r="R65" s="50">
        <f ca="1">IFERROR(VLOOKUP(Tableau1[[#This Row],[Key(Compte ILN - shipper - POL - plant)]],'DATA ILN'!A:J,10,FALSE),VLOOKUP(Tableau1[[#This Row],[Key(Compte ILN - shipper - POL)]],'DATA ILN'!B:J,9,FALSE))</f>
        <v>14</v>
      </c>
      <c r="S65" s="50">
        <f ca="1">IFERROR(VLOOKUP(Tableau1[[#This Row],[Key(Compte ILN - shipper - POL - plant)]],'DATA ILN'!A:K,11,FALSE),VLOOKUP(Tableau1[[#This Row],[Key(Compte ILN - shipper - POL)]],'DATA ILN'!B:K,10,FALSE))</f>
        <v>5</v>
      </c>
      <c r="T65" s="50">
        <f ca="1">IFERROR(VLOOKUP(Tableau1[[#This Row],[Key(Compte ILN - shipper - POL - plant)]],'DATA ILN'!A:L,12,FALSE),VLOOKUP(Tableau1[[#This Row],[Key(Compte ILN - shipper - POL)]],'DATA ILN'!B:L,11,FALSE))</f>
        <v>7</v>
      </c>
      <c r="U65" s="50">
        <f ca="1">Tableau1[[#This Row],[Day ILN Order]]+Tableau1[[#This Row],[Delivery time to ILN/Shipper]]-1</f>
        <v>22</v>
      </c>
      <c r="V65" s="50">
        <f ca="1">IFERROR(VLOOKUP(Tableau1[[#This Row],[Key(Compte ILN - shipper - POL - plant)]],'DATA ILN'!A:N,14,FALSE),VLOOKUP(Tableau1[[#This Row],[Key(Compte ILN - shipper - POL)]],'DATA ILN'!B:N,13,FALSE))</f>
        <v>1</v>
      </c>
      <c r="W65" s="53">
        <f ca="1">IFERROR(VLOOKUP(Tableau1[[#This Row],[Key(Compte ILN - shipper - POL - plant)]],'DATA ILN'!A:P,16,FALSE),VLOOKUP(Tableau1[[#This Row],[Key(Compte ILN - shipper - POL)]],'DATA ILN'!B:P,15,FALSE))</f>
        <v>3</v>
      </c>
      <c r="X65" s="284" t="s">
        <v>182</v>
      </c>
      <c r="Y65" s="437">
        <f>IFERROR(VLOOKUP(Tableau1[[#This Row],[Name Shipper]],Plant_AILN!L:M,2,FALSE),0)</f>
        <v>29770601</v>
      </c>
      <c r="Z65" s="406">
        <v>1070</v>
      </c>
      <c r="AA65" s="396" t="str">
        <f ca="1">VLOOKUP(Tableau1[[#This Row],[Key(ID-Actif)]],'DATA BTO'!A:N,5,FALSE)</f>
        <v>THLCH</v>
      </c>
      <c r="AB65" s="3" t="str">
        <f ca="1">VLOOKUP(Tableau1[[#This Row],[Key(ID-Actif)]],'DATA BTO'!A:N,6,FALSE)</f>
        <v>Maersk</v>
      </c>
      <c r="AC65" s="50">
        <f ca="1">VLOOKUP(Tableau1[[#This Row],[Key(ID-Actif)]],'DATA BTO'!A:N,7,FALSE)</f>
        <v>2</v>
      </c>
      <c r="AD65" s="50">
        <f ca="1">VLOOKUP(Tableau1[[#This Row],[Key(ID-Actif)]],'DATA BTO'!A:N,8,FALSE)</f>
        <v>4</v>
      </c>
      <c r="AE65" s="50">
        <f ca="1">IF(Tableau1[[#This Row],[First Day to POL]]&lt;=Tableau1[[#This Row],[Day Cut Off]],Tableau1[[#This Row],[Day ETD]],Tableau1[[#This Row],[Day ETD]]+7)</f>
        <v>11</v>
      </c>
      <c r="AF65" s="50">
        <f ca="1">VLOOKUP(Tableau1[[#This Row],[Key(ID-Actif)]],'DATA BTO'!A:N,9,FALSE)</f>
        <v>42</v>
      </c>
      <c r="AG65" s="3" t="str">
        <f ca="1">VLOOKUP(Tableau1[[#This Row],[Key(ID-Actif)]],'DATA BTO'!A:N,10,FALSE)</f>
        <v>TRIZT</v>
      </c>
      <c r="AH65" s="3">
        <f ca="1">VLOOKUP(Tableau1[[#This Row],[Key(ID-Actif)]],'DATA BTO'!A:N,11,FALSE)</f>
        <v>3</v>
      </c>
      <c r="AI65" s="50">
        <f ca="1">VLOOKUP(Tableau1[[#This Row],[Key(ID-Actif)]],'DATA BTO'!A:N,12,FALSE)</f>
        <v>7</v>
      </c>
      <c r="AJ65" s="53" t="str">
        <f ca="1">VLOOKUP(Tableau1[[#This Row],[Key(ID-Actif)]],'DATA BTO'!A:N,14,FALSE)</f>
        <v>Max</v>
      </c>
      <c r="AK65" s="54">
        <f ca="1">VLOOKUP(Tableau1[[#This Row],[Key(POD -PFI- Usine)]],'DATA Consignee'!A:F,6,FALSE)</f>
        <v>4</v>
      </c>
      <c r="AL65" s="127"/>
      <c r="AM65" s="438" t="str">
        <f>IF(Tableau1[[#This Row],[Name PFI/CDD]]="","-",VLOOKUP(Tableau1[[#This Row],[Name PFI/CDD]],Plant_AILN!I:J,2,FALSE))</f>
        <v>-</v>
      </c>
      <c r="AN6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5" s="2">
        <f ca="1">VLOOKUP(Tableau1[[#This Row],[Key(POD -PFI- Usine)]],'DATA Consignee'!A:J,10,FALSE)</f>
        <v>0</v>
      </c>
      <c r="AQ65" s="50">
        <f ca="1">VLOOKUP(Tableau1[[#This Row],[Key(POD -PFI- Usine)]],'DATA Consignee'!A:N,14,FALSE)</f>
        <v>3</v>
      </c>
      <c r="AR6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6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65" s="50">
        <f ca="1">Tableau1[[#This Row],[Transit time]]+Tableau1[[#This Row],[Time for security]]+Tableau1[[#This Row],[Time for security2 buffer]]</f>
        <v>52</v>
      </c>
      <c r="AU6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65" s="433">
        <f ca="1">Tableau1[[#This Row],[Leadtime SI2C]]+Tableau1[[#This Row],[First Receipt Days]]-Tableau1[[#This Row],[Day Customer Order]]+1</f>
        <v>92</v>
      </c>
      <c r="AW65" s="119">
        <f ca="1">IF(Tableau1[[#This Row],[Name ILN]]&lt;&gt;"SFK Freight Forwarder",Tableau1[[#This Row],[Cust. Leadtime]],Tableau1[[#This Row],[Leadtime SI2C]])</f>
        <v>76</v>
      </c>
      <c r="AX65" s="51" t="s">
        <v>148</v>
      </c>
      <c r="AY65" s="338">
        <f ca="1">IFERROR(VLOOKUP(Tableau1[[#This Row],[Key(ID-Actif)]],'DATA BTO'!A:N,4,FALSE),VLOOKUP(Tableau1[[#This Row],[ID]],'DATA BTO'!B:N,3,FALSE))</f>
        <v>46507</v>
      </c>
      <c r="AZ65" s="50" t="str">
        <f>IF(ISNUMBER(Tableau1[[#This Row],[Day Customer Order]]),"-","Please Check 'Name' information in 'Order' Sheet to make sure they have information")</f>
        <v>-</v>
      </c>
      <c r="BA6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5" s="50"/>
    </row>
    <row r="66" spans="2:57" hidden="1">
      <c r="B66" s="474" t="str">
        <f>_xlfn.CONCAT(Tableau1[[#This Row],[Name ILN]],"-",Tableau1[[#This Row],[Name Shipper]],"-",Tableau1[[#This Row],[Name Site]])</f>
        <v>SFK Freight Forwarder-Jatco Thailande-RKM</v>
      </c>
      <c r="C66" s="67" t="str">
        <f ca="1">_xlfn.CONCAT(Tableau1[[#This Row],[Compte ILN]],"-",Tableau1[[#This Row],[Compte Shipper]],"-",Tableau1[[#This Row],[POL]],"-",Tableau1[[#This Row],[Compte Consignee]])</f>
        <v>0-29770601-THLCH-92002200</v>
      </c>
      <c r="D66" s="66" t="str">
        <f ca="1">_xlfn.CONCAT(Tableau1[[#This Row],[Compte ILN]],"-",Tableau1[[#This Row],[Compte Shipper]],"-",Tableau1[[#This Row],[POL]])</f>
        <v>0-29770601-THLCH</v>
      </c>
      <c r="E66" s="434" t="str">
        <f ca="1">_xlfn.CONCAT(Tableau1[[#This Row],[POL]],"-",Tableau1[[#This Row],[Carrier]],"-",Tableau1[[#This Row],[POD]])</f>
        <v>THLCH-Hyundai-KRPUS</v>
      </c>
      <c r="F66" s="66" t="str">
        <f>_xlfn.CONCAT(Tableau1[[#This Row],[ID]],"-","Actif")</f>
        <v>1071-Actif</v>
      </c>
      <c r="G66" s="66" t="str">
        <f ca="1">_xlfn.CONCAT(Tableau1[[#This Row],[POD]],"-",Tableau1[[#This Row],[Code PFI]],"-",Tableau1[[#This Row],[Compte Consignee]])</f>
        <v>KRPUS---92002200</v>
      </c>
      <c r="H66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29770601THLCHRKM</v>
      </c>
      <c r="I66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Forwarder-Jatco Thailande-1071-THLCH-Hyundai-KRPUS-</v>
      </c>
      <c r="J66" s="435" t="str">
        <f ca="1">IF(COUNTIF(I:I,Tableau1[[#This Row],[Plant-ILN-shipper-POL-Carrier-POD-PFI]])=1,"Non","Oui")</f>
        <v>Non</v>
      </c>
      <c r="K66" s="128" t="str">
        <f>VLOOKUP(Tableau1[[#This Row],[Name Site]],Plant_AILN!A:D,4,FALSE)</f>
        <v>KOREA</v>
      </c>
      <c r="L66" s="411" t="s">
        <v>145</v>
      </c>
      <c r="M66" s="439">
        <f>VLOOKUP(Tableau1[[#This Row],[Name Site]],Plant_AILN!A:C,3,FALSE)</f>
        <v>92002200</v>
      </c>
      <c r="N66" s="55">
        <f>IF(Tableau1[[#This Row],[Name PFI/CDD]]="PFI VLL",2,VLOOKUP(Tableau1[[#This Row],[Compte Consignee]],Order!C:D,2,FALSE))</f>
        <v>2</v>
      </c>
      <c r="O66" s="116" t="s">
        <v>146</v>
      </c>
      <c r="P66" s="365">
        <f>VLOOKUP(Tableau1[[#This Row],[Name ILN]],Plant_AILN!F:G,2,FALSE)</f>
        <v>0</v>
      </c>
      <c r="Q66" s="50">
        <f>VLOOKUP(Tableau1[[#This Row],[Compte ILN]],'DATA ILN'!D:I,6,FALSE)</f>
        <v>9</v>
      </c>
      <c r="R66" s="50">
        <f ca="1">IFERROR(VLOOKUP(Tableau1[[#This Row],[Key(Compte ILN - shipper - POL - plant)]],'DATA ILN'!A:J,10,FALSE),VLOOKUP(Tableau1[[#This Row],[Key(Compte ILN - shipper - POL)]],'DATA ILN'!B:J,9,FALSE))</f>
        <v>14</v>
      </c>
      <c r="S66" s="50">
        <f ca="1">IFERROR(VLOOKUP(Tableau1[[#This Row],[Key(Compte ILN - shipper - POL - plant)]],'DATA ILN'!A:K,11,FALSE),VLOOKUP(Tableau1[[#This Row],[Key(Compte ILN - shipper - POL)]],'DATA ILN'!B:K,10,FALSE))</f>
        <v>5</v>
      </c>
      <c r="T66" s="50">
        <f ca="1">IFERROR(VLOOKUP(Tableau1[[#This Row],[Key(Compte ILN - shipper - POL - plant)]],'DATA ILN'!A:L,12,FALSE),VLOOKUP(Tableau1[[#This Row],[Key(Compte ILN - shipper - POL)]],'DATA ILN'!B:L,11,FALSE))</f>
        <v>7</v>
      </c>
      <c r="U66" s="50">
        <f ca="1">Tableau1[[#This Row],[Day ILN Order]]+Tableau1[[#This Row],[Delivery time to ILN/Shipper]]-1</f>
        <v>22</v>
      </c>
      <c r="V66" s="50">
        <f ca="1">IFERROR(VLOOKUP(Tableau1[[#This Row],[Key(Compte ILN - shipper - POL - plant)]],'DATA ILN'!A:N,14,FALSE),VLOOKUP(Tableau1[[#This Row],[Key(Compte ILN - shipper - POL)]],'DATA ILN'!B:N,13,FALSE))</f>
        <v>1</v>
      </c>
      <c r="W66" s="53">
        <f ca="1">IFERROR(VLOOKUP(Tableau1[[#This Row],[Key(Compte ILN - shipper - POL - plant)]],'DATA ILN'!A:P,16,FALSE),VLOOKUP(Tableau1[[#This Row],[Key(Compte ILN - shipper - POL)]],'DATA ILN'!B:P,15,FALSE))</f>
        <v>3</v>
      </c>
      <c r="X66" s="284" t="s">
        <v>182</v>
      </c>
      <c r="Y66" s="437">
        <f>IFERROR(VLOOKUP(Tableau1[[#This Row],[Name Shipper]],Plant_AILN!L:M,2,FALSE),0)</f>
        <v>29770601</v>
      </c>
      <c r="Z66" s="406">
        <v>1071</v>
      </c>
      <c r="AA66" s="396" t="str">
        <f ca="1">VLOOKUP(Tableau1[[#This Row],[Key(ID-Actif)]],'DATA BTO'!A:N,5,FALSE)</f>
        <v>THLCH</v>
      </c>
      <c r="AB66" s="3" t="str">
        <f ca="1">VLOOKUP(Tableau1[[#This Row],[Key(ID-Actif)]],'DATA BTO'!A:N,6,FALSE)</f>
        <v>Hyundai</v>
      </c>
      <c r="AC66" s="50">
        <f ca="1">VLOOKUP(Tableau1[[#This Row],[Key(ID-Actif)]],'DATA BTO'!A:N,7,FALSE)</f>
        <v>3</v>
      </c>
      <c r="AD66" s="50">
        <f ca="1">VLOOKUP(Tableau1[[#This Row],[Key(ID-Actif)]],'DATA BTO'!A:N,8,FALSE)</f>
        <v>6</v>
      </c>
      <c r="AE66" s="50">
        <f ca="1">IF(Tableau1[[#This Row],[First Day to POL]]&lt;=Tableau1[[#This Row],[Day Cut Off]],Tableau1[[#This Row],[Day ETD]],Tableau1[[#This Row],[Day ETD]]+7)</f>
        <v>6</v>
      </c>
      <c r="AF66" s="50">
        <f ca="1">VLOOKUP(Tableau1[[#This Row],[Key(ID-Actif)]],'DATA BTO'!A:N,9,FALSE)</f>
        <v>13</v>
      </c>
      <c r="AG66" s="3" t="str">
        <f ca="1">VLOOKUP(Tableau1[[#This Row],[Key(ID-Actif)]],'DATA BTO'!A:N,10,FALSE)</f>
        <v>KRPUS</v>
      </c>
      <c r="AH66" s="3">
        <f ca="1">VLOOKUP(Tableau1[[#This Row],[Key(ID-Actif)]],'DATA BTO'!A:N,11,FALSE)</f>
        <v>3</v>
      </c>
      <c r="AI66" s="50">
        <f ca="1">VLOOKUP(Tableau1[[#This Row],[Key(ID-Actif)]],'DATA BTO'!A:N,12,FALSE)</f>
        <v>0</v>
      </c>
      <c r="AJ66" s="53" t="str">
        <f ca="1">VLOOKUP(Tableau1[[#This Row],[Key(ID-Actif)]],'DATA BTO'!A:N,14,FALSE)</f>
        <v>Max</v>
      </c>
      <c r="AK66" s="54">
        <f ca="1">VLOOKUP(Tableau1[[#This Row],[Key(POD -PFI- Usine)]],'DATA Consignee'!A:F,6,FALSE)</f>
        <v>2</v>
      </c>
      <c r="AL66" s="127"/>
      <c r="AM66" s="438" t="str">
        <f>IF(Tableau1[[#This Row],[Name PFI/CDD]]="","-",VLOOKUP(Tableau1[[#This Row],[Name PFI/CDD]],Plant_AILN!I:J,2,FALSE))</f>
        <v>-</v>
      </c>
      <c r="AN6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6" s="2">
        <f ca="1">VLOOKUP(Tableau1[[#This Row],[Key(POD -PFI- Usine)]],'DATA Consignee'!A:J,10,FALSE)</f>
        <v>0</v>
      </c>
      <c r="AQ66" s="50">
        <f ca="1">VLOOKUP(Tableau1[[#This Row],[Key(POD -PFI- Usine)]],'DATA Consignee'!A:N,14,FALSE)</f>
        <v>1</v>
      </c>
      <c r="AR6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6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66" s="50">
        <f ca="1">Tableau1[[#This Row],[Transit time]]+Tableau1[[#This Row],[Time for security]]+Tableau1[[#This Row],[Time for security2 buffer]]</f>
        <v>16</v>
      </c>
      <c r="AU6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34</v>
      </c>
      <c r="AV66" s="433">
        <f ca="1">Tableau1[[#This Row],[Leadtime SI2C]]+Tableau1[[#This Row],[First Receipt Days]]-Tableau1[[#This Row],[Day Customer Order]]+1</f>
        <v>55</v>
      </c>
      <c r="AW66" s="119">
        <f ca="1">IF(Tableau1[[#This Row],[Name ILN]]&lt;&gt;"SFK Freight Forwarder",Tableau1[[#This Row],[Cust. Leadtime]],Tableau1[[#This Row],[Leadtime SI2C]])</f>
        <v>34</v>
      </c>
      <c r="AX66" s="51" t="s">
        <v>148</v>
      </c>
      <c r="AY66" s="338">
        <f ca="1">IFERROR(VLOOKUP(Tableau1[[#This Row],[Key(ID-Actif)]],'DATA BTO'!A:N,4,FALSE),VLOOKUP(Tableau1[[#This Row],[ID]],'DATA BTO'!B:N,3,FALSE))</f>
        <v>46507</v>
      </c>
      <c r="AZ66" s="50" t="str">
        <f>IF(ISNUMBER(Tableau1[[#This Row],[Day Customer Order]]),"-","Please Check 'Name' information in 'Order' Sheet to make sure they have information")</f>
        <v>-</v>
      </c>
      <c r="BA6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6" s="50"/>
    </row>
    <row r="67" spans="2:57" hidden="1">
      <c r="B67" s="474" t="str">
        <f>_xlfn.CONCAT(Tableau1[[#This Row],[Name ILN]],"-",Tableau1[[#This Row],[Name Shipper]],"-",Tableau1[[#This Row],[Name Site]])</f>
        <v>SFK Freight Forwarder-Jatco Thailande-CURITIBA CVP</v>
      </c>
      <c r="C67" s="67" t="str">
        <f ca="1">_xlfn.CONCAT(Tableau1[[#This Row],[Compte ILN]],"-",Tableau1[[#This Row],[Compte Shipper]],"-",Tableau1[[#This Row],[POL]],"-",Tableau1[[#This Row],[Compte Consignee]])</f>
        <v>0-29770601-THLCH-90018000</v>
      </c>
      <c r="D67" s="66" t="str">
        <f ca="1">_xlfn.CONCAT(Tableau1[[#This Row],[Compte ILN]],"-",Tableau1[[#This Row],[Compte Shipper]],"-",Tableau1[[#This Row],[POL]])</f>
        <v>0-29770601-THLCH</v>
      </c>
      <c r="E67" s="434" t="str">
        <f ca="1">_xlfn.CONCAT(Tableau1[[#This Row],[POL]],"-",Tableau1[[#This Row],[Carrier]],"-",Tableau1[[#This Row],[POD]])</f>
        <v>THLCH-ONE-BRPNG</v>
      </c>
      <c r="F67" s="66" t="str">
        <f>_xlfn.CONCAT(Tableau1[[#This Row],[ID]],"-","Actif")</f>
        <v>1072-Actif</v>
      </c>
      <c r="G67" s="66" t="str">
        <f ca="1">_xlfn.CONCAT(Tableau1[[#This Row],[POD]],"-",Tableau1[[#This Row],[Code PFI]],"-",Tableau1[[#This Row],[Compte Consignee]])</f>
        <v>BRPNG---90018000</v>
      </c>
      <c r="H67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29770601THLCHCURITIBA CVP</v>
      </c>
      <c r="I67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Forwarder-Jatco Thailande-1072-THLCH-ONE-BRPNG-</v>
      </c>
      <c r="J67" s="435" t="str">
        <f ca="1">IF(COUNTIF(I:I,Tableau1[[#This Row],[Plant-ILN-shipper-POL-Carrier-POD-PFI]])=1,"Non","Oui")</f>
        <v>Non</v>
      </c>
      <c r="K67" s="128" t="str">
        <f>VLOOKUP(Tableau1[[#This Row],[Name Site]],Plant_AILN!A:D,4,FALSE)</f>
        <v>BRAZIL</v>
      </c>
      <c r="L67" s="411" t="s">
        <v>181</v>
      </c>
      <c r="M67" s="439">
        <f>VLOOKUP(Tableau1[[#This Row],[Name Site]],Plant_AILN!A:C,3,FALSE)</f>
        <v>90018000</v>
      </c>
      <c r="N67" s="55">
        <f>IF(Tableau1[[#This Row],[Name PFI/CDD]]="PFI VLL",2,VLOOKUP(Tableau1[[#This Row],[Compte Consignee]],Order!C:D,2,FALSE))</f>
        <v>7</v>
      </c>
      <c r="O67" s="116" t="s">
        <v>146</v>
      </c>
      <c r="P67" s="365">
        <f>VLOOKUP(Tableau1[[#This Row],[Name ILN]],Plant_AILN!F:G,2,FALSE)</f>
        <v>0</v>
      </c>
      <c r="Q67" s="50">
        <f>VLOOKUP(Tableau1[[#This Row],[Compte ILN]],'DATA ILN'!D:I,6,FALSE)</f>
        <v>9</v>
      </c>
      <c r="R67" s="50">
        <f ca="1">IFERROR(VLOOKUP(Tableau1[[#This Row],[Key(Compte ILN - shipper - POL - plant)]],'DATA ILN'!A:J,10,FALSE),VLOOKUP(Tableau1[[#This Row],[Key(Compte ILN - shipper - POL)]],'DATA ILN'!B:J,9,FALSE))</f>
        <v>14</v>
      </c>
      <c r="S67" s="50">
        <f ca="1">IFERROR(VLOOKUP(Tableau1[[#This Row],[Key(Compte ILN - shipper - POL - plant)]],'DATA ILN'!A:K,11,FALSE),VLOOKUP(Tableau1[[#This Row],[Key(Compte ILN - shipper - POL)]],'DATA ILN'!B:K,10,FALSE))</f>
        <v>5</v>
      </c>
      <c r="T67" s="50">
        <f ca="1">IFERROR(VLOOKUP(Tableau1[[#This Row],[Key(Compte ILN - shipper - POL - plant)]],'DATA ILN'!A:L,12,FALSE),VLOOKUP(Tableau1[[#This Row],[Key(Compte ILN - shipper - POL)]],'DATA ILN'!B:L,11,FALSE))</f>
        <v>7</v>
      </c>
      <c r="U67" s="50">
        <f ca="1">Tableau1[[#This Row],[Day ILN Order]]+Tableau1[[#This Row],[Delivery time to ILN/Shipper]]-1</f>
        <v>22</v>
      </c>
      <c r="V67" s="50">
        <f ca="1">IFERROR(VLOOKUP(Tableau1[[#This Row],[Key(Compte ILN - shipper - POL - plant)]],'DATA ILN'!A:N,14,FALSE),VLOOKUP(Tableau1[[#This Row],[Key(Compte ILN - shipper - POL)]],'DATA ILN'!B:N,13,FALSE))</f>
        <v>1</v>
      </c>
      <c r="W67" s="53">
        <f ca="1">IFERROR(VLOOKUP(Tableau1[[#This Row],[Key(Compte ILN - shipper - POL - plant)]],'DATA ILN'!A:P,16,FALSE),VLOOKUP(Tableau1[[#This Row],[Key(Compte ILN - shipper - POL)]],'DATA ILN'!B:P,15,FALSE))</f>
        <v>3</v>
      </c>
      <c r="X67" s="284" t="s">
        <v>182</v>
      </c>
      <c r="Y67" s="437">
        <f>IFERROR(VLOOKUP(Tableau1[[#This Row],[Name Shipper]],Plant_AILN!L:M,2,FALSE),0)</f>
        <v>29770601</v>
      </c>
      <c r="Z67" s="406">
        <v>1072</v>
      </c>
      <c r="AA67" s="396" t="str">
        <f ca="1">VLOOKUP(Tableau1[[#This Row],[Key(ID-Actif)]],'DATA BTO'!A:N,5,FALSE)</f>
        <v>THLCH</v>
      </c>
      <c r="AB67" s="3" t="str">
        <f ca="1">VLOOKUP(Tableau1[[#This Row],[Key(ID-Actif)]],'DATA BTO'!A:N,6,FALSE)</f>
        <v>ONE</v>
      </c>
      <c r="AC67" s="50">
        <f ca="1">VLOOKUP(Tableau1[[#This Row],[Key(ID-Actif)]],'DATA BTO'!A:N,7,FALSE)</f>
        <v>2</v>
      </c>
      <c r="AD67" s="50">
        <f ca="1">VLOOKUP(Tableau1[[#This Row],[Key(ID-Actif)]],'DATA BTO'!A:N,8,FALSE)</f>
        <v>4</v>
      </c>
      <c r="AE67" s="50">
        <f ca="1">IF(Tableau1[[#This Row],[First Day to POL]]&lt;=Tableau1[[#This Row],[Day Cut Off]],Tableau1[[#This Row],[Day ETD]],Tableau1[[#This Row],[Day ETD]]+7)</f>
        <v>11</v>
      </c>
      <c r="AF67" s="50">
        <f ca="1">VLOOKUP(Tableau1[[#This Row],[Key(ID-Actif)]],'DATA BTO'!A:N,9,FALSE)</f>
        <v>35</v>
      </c>
      <c r="AG67" s="3" t="str">
        <f ca="1">VLOOKUP(Tableau1[[#This Row],[Key(ID-Actif)]],'DATA BTO'!A:N,10,FALSE)</f>
        <v>BRPNG</v>
      </c>
      <c r="AH67" s="3">
        <f ca="1">VLOOKUP(Tableau1[[#This Row],[Key(ID-Actif)]],'DATA BTO'!A:N,11,FALSE)</f>
        <v>3</v>
      </c>
      <c r="AI67" s="50">
        <f ca="1">VLOOKUP(Tableau1[[#This Row],[Key(ID-Actif)]],'DATA BTO'!A:N,12,FALSE)</f>
        <v>0</v>
      </c>
      <c r="AJ67" s="53" t="str">
        <f ca="1">VLOOKUP(Tableau1[[#This Row],[Key(ID-Actif)]],'DATA BTO'!A:N,14,FALSE)</f>
        <v>Max</v>
      </c>
      <c r="AK67" s="54">
        <f ca="1">VLOOKUP(Tableau1[[#This Row],[Key(POD -PFI- Usine)]],'DATA Consignee'!A:F,6,FALSE)</f>
        <v>2</v>
      </c>
      <c r="AL67" s="127"/>
      <c r="AM67" s="438" t="str">
        <f>IF(Tableau1[[#This Row],[Name PFI/CDD]]="","-",VLOOKUP(Tableau1[[#This Row],[Name PFI/CDD]],Plant_AILN!I:J,2,FALSE))</f>
        <v>-</v>
      </c>
      <c r="AN6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7" s="2">
        <f ca="1">VLOOKUP(Tableau1[[#This Row],[Key(POD -PFI- Usine)]],'DATA Consignee'!A:J,10,FALSE)</f>
        <v>0</v>
      </c>
      <c r="AQ67" s="50">
        <f ca="1">VLOOKUP(Tableau1[[#This Row],[Key(POD -PFI- Usine)]],'DATA Consignee'!A:N,14,FALSE)</f>
        <v>2</v>
      </c>
      <c r="AR6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6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67" s="50">
        <f ca="1">Tableau1[[#This Row],[Transit time]]+Tableau1[[#This Row],[Time for security]]+Tableau1[[#This Row],[Time for security2 buffer]]</f>
        <v>38</v>
      </c>
      <c r="AU6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67" s="433">
        <f ca="1">Tableau1[[#This Row],[Leadtime SI2C]]+Tableau1[[#This Row],[First Receipt Days]]-Tableau1[[#This Row],[Day Customer Order]]+1</f>
        <v>78</v>
      </c>
      <c r="AW67" s="119">
        <f ca="1">IF(Tableau1[[#This Row],[Name ILN]]&lt;&gt;"SFK Freight Forwarder",Tableau1[[#This Row],[Cust. Leadtime]],Tableau1[[#This Row],[Leadtime SI2C]])</f>
        <v>62</v>
      </c>
      <c r="AX67" s="51" t="s">
        <v>148</v>
      </c>
      <c r="AY67" s="338">
        <f ca="1">IFERROR(VLOOKUP(Tableau1[[#This Row],[Key(ID-Actif)]],'DATA BTO'!A:N,4,FALSE),VLOOKUP(Tableau1[[#This Row],[ID]],'DATA BTO'!B:N,3,FALSE))</f>
        <v>46507</v>
      </c>
      <c r="AZ67" s="50" t="str">
        <f>IF(ISNUMBER(Tableau1[[#This Row],[Day Customer Order]]),"-","Please Check 'Name' information in 'Order' Sheet to make sure they have information")</f>
        <v>-</v>
      </c>
      <c r="BA6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7" s="50"/>
    </row>
    <row r="68" spans="2:57" hidden="1">
      <c r="B68" s="474" t="str">
        <f>_xlfn.CONCAT(Tableau1[[#This Row],[Name ILN]],"-",Tableau1[[#This Row],[Name Shipper]],"-",Tableau1[[#This Row],[Name Site]])</f>
        <v>SFK Freight Forwarder-Jatco Thailande-VALL MONTAGE</v>
      </c>
      <c r="C68" s="67" t="str">
        <f ca="1">_xlfn.CONCAT(Tableau1[[#This Row],[Compte ILN]],"-",Tableau1[[#This Row],[Compte Shipper]],"-",Tableau1[[#This Row],[POL]],"-",Tableau1[[#This Row],[Compte Consignee]])</f>
        <v>0-29770601-THLCH-91017300</v>
      </c>
      <c r="D68" s="66" t="str">
        <f ca="1">_xlfn.CONCAT(Tableau1[[#This Row],[Compte ILN]],"-",Tableau1[[#This Row],[Compte Shipper]],"-",Tableau1[[#This Row],[POL]])</f>
        <v>0-29770601-THLCH</v>
      </c>
      <c r="E68" s="434" t="str">
        <f ca="1">_xlfn.CONCAT(Tableau1[[#This Row],[POL]],"-",Tableau1[[#This Row],[Carrier]],"-",Tableau1[[#This Row],[POD]])</f>
        <v>THLCH-CMA-CGM-ESVLC</v>
      </c>
      <c r="F68" s="66" t="str">
        <f>_xlfn.CONCAT(Tableau1[[#This Row],[ID]],"-","Actif")</f>
        <v>1073-Actif</v>
      </c>
      <c r="G68" s="66" t="str">
        <f ca="1">_xlfn.CONCAT(Tableau1[[#This Row],[POD]],"-",Tableau1[[#This Row],[Code PFI]],"-",Tableau1[[#This Row],[Compte Consignee]])</f>
        <v>ESVLC-91018400-91017300</v>
      </c>
      <c r="H68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29770601THLCHVALL MONTAGE</v>
      </c>
      <c r="I68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MONTAGE-SFK Freight Forwarder-Jatco Thailande-1073-THLCH-CMA-CGM-ESVLC-CDD VLL</v>
      </c>
      <c r="J68" s="435" t="str">
        <f ca="1">IF(COUNTIF(I:I,Tableau1[[#This Row],[Plant-ILN-shipper-POL-Carrier-POD-PFI]])=1,"Non","Oui")</f>
        <v>Non</v>
      </c>
      <c r="K68" s="128" t="str">
        <f>VLOOKUP(Tableau1[[#This Row],[Name Site]],Plant_AILN!A:D,4,FALSE)</f>
        <v>SPAIN</v>
      </c>
      <c r="L68" s="411" t="s">
        <v>175</v>
      </c>
      <c r="M68" s="439">
        <f>VLOOKUP(Tableau1[[#This Row],[Name Site]],Plant_AILN!A:C,3,FALSE)</f>
        <v>91017300</v>
      </c>
      <c r="N68" s="55">
        <f>IF(Tableau1[[#This Row],[Name PFI/CDD]]="PFI VLL",2,VLOOKUP(Tableau1[[#This Row],[Compte Consignee]],Order!C:D,2,FALSE))</f>
        <v>7</v>
      </c>
      <c r="O68" s="116" t="s">
        <v>146</v>
      </c>
      <c r="P68" s="365">
        <f>VLOOKUP(Tableau1[[#This Row],[Name ILN]],Plant_AILN!F:G,2,FALSE)</f>
        <v>0</v>
      </c>
      <c r="Q68" s="50">
        <f>VLOOKUP(Tableau1[[#This Row],[Compte ILN]],'DATA ILN'!D:I,6,FALSE)</f>
        <v>9</v>
      </c>
      <c r="R68" s="50">
        <f ca="1">IFERROR(VLOOKUP(Tableau1[[#This Row],[Key(Compte ILN - shipper - POL - plant)]],'DATA ILN'!A:J,10,FALSE),VLOOKUP(Tableau1[[#This Row],[Key(Compte ILN - shipper - POL)]],'DATA ILN'!B:J,9,FALSE))</f>
        <v>14</v>
      </c>
      <c r="S68" s="50">
        <f ca="1">IFERROR(VLOOKUP(Tableau1[[#This Row],[Key(Compte ILN - shipper - POL - plant)]],'DATA ILN'!A:K,11,FALSE),VLOOKUP(Tableau1[[#This Row],[Key(Compte ILN - shipper - POL)]],'DATA ILN'!B:K,10,FALSE))</f>
        <v>5</v>
      </c>
      <c r="T68" s="50">
        <f ca="1">IFERROR(VLOOKUP(Tableau1[[#This Row],[Key(Compte ILN - shipper - POL - plant)]],'DATA ILN'!A:L,12,FALSE),VLOOKUP(Tableau1[[#This Row],[Key(Compte ILN - shipper - POL)]],'DATA ILN'!B:L,11,FALSE))</f>
        <v>7</v>
      </c>
      <c r="U68" s="50">
        <f ca="1">Tableau1[[#This Row],[Day ILN Order]]+Tableau1[[#This Row],[Delivery time to ILN/Shipper]]-1</f>
        <v>22</v>
      </c>
      <c r="V68" s="50">
        <f ca="1">IFERROR(VLOOKUP(Tableau1[[#This Row],[Key(Compte ILN - shipper - POL - plant)]],'DATA ILN'!A:N,14,FALSE),VLOOKUP(Tableau1[[#This Row],[Key(Compte ILN - shipper - POL)]],'DATA ILN'!B:N,13,FALSE))</f>
        <v>1</v>
      </c>
      <c r="W68" s="53">
        <f ca="1">IFERROR(VLOOKUP(Tableau1[[#This Row],[Key(Compte ILN - shipper - POL - plant)]],'DATA ILN'!A:P,16,FALSE),VLOOKUP(Tableau1[[#This Row],[Key(Compte ILN - shipper - POL)]],'DATA ILN'!B:P,15,FALSE))</f>
        <v>3</v>
      </c>
      <c r="X68" s="284" t="s">
        <v>182</v>
      </c>
      <c r="Y68" s="437">
        <f>IFERROR(VLOOKUP(Tableau1[[#This Row],[Name Shipper]],Plant_AILN!L:M,2,FALSE),0)</f>
        <v>29770601</v>
      </c>
      <c r="Z68" s="406">
        <v>1073</v>
      </c>
      <c r="AA68" s="396" t="str">
        <f ca="1">VLOOKUP(Tableau1[[#This Row],[Key(ID-Actif)]],'DATA BTO'!A:N,5,FALSE)</f>
        <v>THLCH</v>
      </c>
      <c r="AB68" s="3" t="str">
        <f ca="1">VLOOKUP(Tableau1[[#This Row],[Key(ID-Actif)]],'DATA BTO'!A:N,6,FALSE)</f>
        <v>CMA-CGM</v>
      </c>
      <c r="AC68" s="50">
        <f ca="1">VLOOKUP(Tableau1[[#This Row],[Key(ID-Actif)]],'DATA BTO'!A:N,7,FALSE)</f>
        <v>2</v>
      </c>
      <c r="AD68" s="50">
        <f ca="1">VLOOKUP(Tableau1[[#This Row],[Key(ID-Actif)]],'DATA BTO'!A:N,8,FALSE)</f>
        <v>4</v>
      </c>
      <c r="AE68" s="50">
        <f ca="1">IF(Tableau1[[#This Row],[First Day to POL]]&lt;=Tableau1[[#This Row],[Day Cut Off]],Tableau1[[#This Row],[Day ETD]],Tableau1[[#This Row],[Day ETD]]+7)</f>
        <v>11</v>
      </c>
      <c r="AF68" s="50">
        <f ca="1">VLOOKUP(Tableau1[[#This Row],[Key(ID-Actif)]],'DATA BTO'!A:N,9,FALSE)</f>
        <v>36</v>
      </c>
      <c r="AG68" s="3" t="str">
        <f ca="1">VLOOKUP(Tableau1[[#This Row],[Key(ID-Actif)]],'DATA BTO'!A:N,10,FALSE)</f>
        <v>ESVLC</v>
      </c>
      <c r="AH68" s="3">
        <f ca="1">VLOOKUP(Tableau1[[#This Row],[Key(ID-Actif)]],'DATA BTO'!A:N,11,FALSE)</f>
        <v>3</v>
      </c>
      <c r="AI68" s="50">
        <f ca="1">VLOOKUP(Tableau1[[#This Row],[Key(ID-Actif)]],'DATA BTO'!A:N,12,FALSE)</f>
        <v>7</v>
      </c>
      <c r="AJ68" s="53" t="str">
        <f ca="1">VLOOKUP(Tableau1[[#This Row],[Key(ID-Actif)]],'DATA BTO'!A:N,14,FALSE)</f>
        <v>Max</v>
      </c>
      <c r="AK68" s="54">
        <f ca="1">VLOOKUP(Tableau1[[#This Row],[Key(POD -PFI- Usine)]],'DATA Consignee'!A:F,6,FALSE)</f>
        <v>2</v>
      </c>
      <c r="AL68" s="127" t="s">
        <v>169</v>
      </c>
      <c r="AM68" s="438">
        <f>IF(Tableau1[[#This Row],[Name PFI/CDD]]="","-",VLOOKUP(Tableau1[[#This Row],[Name PFI/CDD]],Plant_AILN!I:J,2,FALSE))</f>
        <v>91018400</v>
      </c>
      <c r="AN68" s="6">
        <f ca="1">IF(COUNTIF(buffer_train[AILN],Tableau1[[#This Row],[Name PFI/CDD]])&gt;0,Tableau1[[#This Row],[First Receipt Days]]+Tableau1[[#This Row],[Cust.]]+Tableau1[[#This Row],[Parts Vanning]]+Tableau1[[#This Row],[Transit Time2]],"-")</f>
        <v>86</v>
      </c>
      <c r="AO68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6</v>
      </c>
      <c r="AP68" s="2">
        <f ca="1">VLOOKUP(Tableau1[[#This Row],[Key(POD -PFI- Usine)]],'DATA Consignee'!A:J,10,FALSE)</f>
        <v>3</v>
      </c>
      <c r="AQ68" s="50">
        <f ca="1">VLOOKUP(Tableau1[[#This Row],[Key(POD -PFI- Usine)]],'DATA Consignee'!A:N,14,FALSE)</f>
        <v>3</v>
      </c>
      <c r="AR6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6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68" s="50">
        <f ca="1">Tableau1[[#This Row],[Transit time]]+Tableau1[[#This Row],[Time for security]]+Tableau1[[#This Row],[Time for security2 buffer]]</f>
        <v>46</v>
      </c>
      <c r="AU6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68" s="433">
        <f ca="1">Tableau1[[#This Row],[Leadtime SI2C]]+Tableau1[[#This Row],[First Receipt Days]]-Tableau1[[#This Row],[Day Customer Order]]+1</f>
        <v>92</v>
      </c>
      <c r="AW68" s="119">
        <f ca="1">IF(Tableau1[[#This Row],[Name ILN]]&lt;&gt;"SFK Freight Forwarder",Tableau1[[#This Row],[Cust. Leadtime]],Tableau1[[#This Row],[Leadtime SI2C]])</f>
        <v>76</v>
      </c>
      <c r="AX68" s="51" t="s">
        <v>148</v>
      </c>
      <c r="AY68" s="338">
        <f ca="1">IFERROR(VLOOKUP(Tableau1[[#This Row],[Key(ID-Actif)]],'DATA BTO'!A:N,4,FALSE),VLOOKUP(Tableau1[[#This Row],[ID]],'DATA BTO'!B:N,3,FALSE))</f>
        <v>46507</v>
      </c>
      <c r="AZ68" s="50" t="str">
        <f>IF(ISNUMBER(Tableau1[[#This Row],[Day Customer Order]]),"-","Please Check 'Name' information in 'Order' Sheet to make sure they have information")</f>
        <v>-</v>
      </c>
      <c r="BA6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8" s="50"/>
    </row>
    <row r="69" spans="2:57" hidden="1">
      <c r="B69" s="474" t="str">
        <f>_xlfn.CONCAT(Tableau1[[#This Row],[Name ILN]],"-",Tableau1[[#This Row],[Name Shipper]],"-",Tableau1[[#This Row],[Name Site]])</f>
        <v>SFK Freight Forwarder-Jatco Thailande-CORDOBA</v>
      </c>
      <c r="C69" s="67" t="str">
        <f ca="1">_xlfn.CONCAT(Tableau1[[#This Row],[Compte ILN]],"-",Tableau1[[#This Row],[Compte Shipper]],"-",Tableau1[[#This Row],[POL]],"-",Tableau1[[#This Row],[Compte Consignee]])</f>
        <v>0-29770601-THLCH-90016000</v>
      </c>
      <c r="D69" s="66" t="str">
        <f ca="1">_xlfn.CONCAT(Tableau1[[#This Row],[Compte ILN]],"-",Tableau1[[#This Row],[Compte Shipper]],"-",Tableau1[[#This Row],[POL]])</f>
        <v>0-29770601-THLCH</v>
      </c>
      <c r="E69" s="434" t="str">
        <f ca="1">_xlfn.CONCAT(Tableau1[[#This Row],[POL]],"-",Tableau1[[#This Row],[Carrier]],"-",Tableau1[[#This Row],[POD]])</f>
        <v>THLCH-ONE-ARZAE</v>
      </c>
      <c r="F69" s="66" t="str">
        <f>_xlfn.CONCAT(Tableau1[[#This Row],[ID]],"-","Actif")</f>
        <v>1074-Actif</v>
      </c>
      <c r="G69" s="66" t="str">
        <f ca="1">_xlfn.CONCAT(Tableau1[[#This Row],[POD]],"-",Tableau1[[#This Row],[Code PFI]],"-",Tableau1[[#This Row],[Compte Consignee]])</f>
        <v>ARZAE---90016000</v>
      </c>
      <c r="H69" s="434" t="str">
        <f ca="1">_xlfn.CONCAT(IF(Tableau1[[#This Row],[Name ILN]]=Tableau1[[#This Row],[Name Shipper]],Tableau1[[#This Row],[Name ILN]],Tableau1[[#This Row],[Compte Shipper]]),Tableau1[[#This Row],[POL]],Tableau1[[#This Row],[Name Site]])</f>
        <v>29770601THLCHCORDOBA</v>
      </c>
      <c r="I69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CORDOBA-SFK Freight Forwarder-Jatco Thailande-1074-THLCH-ONE-ARZAE-</v>
      </c>
      <c r="J69" s="435" t="str">
        <f ca="1">IF(COUNTIF(I:I,Tableau1[[#This Row],[Plant-ILN-shipper-POL-Carrier-POD-PFI]])=1,"Non","Oui")</f>
        <v>Non</v>
      </c>
      <c r="K69" s="128" t="str">
        <f>VLOOKUP(Tableau1[[#This Row],[Name Site]],Plant_AILN!A:D,4,FALSE)</f>
        <v>ARGENTINA</v>
      </c>
      <c r="L69" s="411" t="s">
        <v>158</v>
      </c>
      <c r="M69" s="439">
        <f>VLOOKUP(Tableau1[[#This Row],[Name Site]],Plant_AILN!A:C,3,FALSE)</f>
        <v>90016000</v>
      </c>
      <c r="N69" s="55">
        <f>IF(Tableau1[[#This Row],[Name PFI/CDD]]="PFI VLL",2,VLOOKUP(Tableau1[[#This Row],[Compte Consignee]],Order!C:D,2,FALSE))</f>
        <v>7</v>
      </c>
      <c r="O69" s="116" t="s">
        <v>146</v>
      </c>
      <c r="P69" s="365">
        <f>VLOOKUP(Tableau1[[#This Row],[Name ILN]],Plant_AILN!F:G,2,FALSE)</f>
        <v>0</v>
      </c>
      <c r="Q69" s="50">
        <f>VLOOKUP(Tableau1[[#This Row],[Compte ILN]],'DATA ILN'!D:I,6,FALSE)</f>
        <v>9</v>
      </c>
      <c r="R69" s="50">
        <f ca="1">IFERROR(VLOOKUP(Tableau1[[#This Row],[Key(Compte ILN - shipper - POL - plant)]],'DATA ILN'!A:J,10,FALSE),VLOOKUP(Tableau1[[#This Row],[Key(Compte ILN - shipper - POL)]],'DATA ILN'!B:J,9,FALSE))</f>
        <v>14</v>
      </c>
      <c r="S69" s="50">
        <f ca="1">IFERROR(VLOOKUP(Tableau1[[#This Row],[Key(Compte ILN - shipper - POL - plant)]],'DATA ILN'!A:K,11,FALSE),VLOOKUP(Tableau1[[#This Row],[Key(Compte ILN - shipper - POL)]],'DATA ILN'!B:K,10,FALSE))</f>
        <v>5</v>
      </c>
      <c r="T69" s="50">
        <f ca="1">IFERROR(VLOOKUP(Tableau1[[#This Row],[Key(Compte ILN - shipper - POL - plant)]],'DATA ILN'!A:L,12,FALSE),VLOOKUP(Tableau1[[#This Row],[Key(Compte ILN - shipper - POL)]],'DATA ILN'!B:L,11,FALSE))</f>
        <v>7</v>
      </c>
      <c r="U69" s="50">
        <f ca="1">Tableau1[[#This Row],[Day ILN Order]]+Tableau1[[#This Row],[Delivery time to ILN/Shipper]]-1</f>
        <v>22</v>
      </c>
      <c r="V69" s="50">
        <f ca="1">IFERROR(VLOOKUP(Tableau1[[#This Row],[Key(Compte ILN - shipper - POL - plant)]],'DATA ILN'!A:N,14,FALSE),VLOOKUP(Tableau1[[#This Row],[Key(Compte ILN - shipper - POL)]],'DATA ILN'!B:N,13,FALSE))</f>
        <v>1</v>
      </c>
      <c r="W69" s="53">
        <f ca="1">IFERROR(VLOOKUP(Tableau1[[#This Row],[Key(Compte ILN - shipper - POL - plant)]],'DATA ILN'!A:P,16,FALSE),VLOOKUP(Tableau1[[#This Row],[Key(Compte ILN - shipper - POL)]],'DATA ILN'!B:P,15,FALSE))</f>
        <v>3</v>
      </c>
      <c r="X69" s="284" t="s">
        <v>182</v>
      </c>
      <c r="Y69" s="437">
        <f>IFERROR(VLOOKUP(Tableau1[[#This Row],[Name Shipper]],Plant_AILN!L:M,2,FALSE),0)</f>
        <v>29770601</v>
      </c>
      <c r="Z69" s="406">
        <v>1074</v>
      </c>
      <c r="AA69" s="396" t="str">
        <f ca="1">VLOOKUP(Tableau1[[#This Row],[Key(ID-Actif)]],'DATA BTO'!A:N,5,FALSE)</f>
        <v>THLCH</v>
      </c>
      <c r="AB69" s="3" t="str">
        <f ca="1">VLOOKUP(Tableau1[[#This Row],[Key(ID-Actif)]],'DATA BTO'!A:N,6,FALSE)</f>
        <v>ONE</v>
      </c>
      <c r="AC69" s="50">
        <f ca="1">VLOOKUP(Tableau1[[#This Row],[Key(ID-Actif)]],'DATA BTO'!A:N,7,FALSE)</f>
        <v>2</v>
      </c>
      <c r="AD69" s="50">
        <f ca="1">VLOOKUP(Tableau1[[#This Row],[Key(ID-Actif)]],'DATA BTO'!A:N,8,FALSE)</f>
        <v>4</v>
      </c>
      <c r="AE69" s="50">
        <f ca="1">IF(Tableau1[[#This Row],[First Day to POL]]&lt;=Tableau1[[#This Row],[Day Cut Off]],Tableau1[[#This Row],[Day ETD]],Tableau1[[#This Row],[Day ETD]]+7)</f>
        <v>11</v>
      </c>
      <c r="AF69" s="50">
        <f ca="1">VLOOKUP(Tableau1[[#This Row],[Key(ID-Actif)]],'DATA BTO'!A:N,9,FALSE)</f>
        <v>36</v>
      </c>
      <c r="AG69" s="3" t="str">
        <f ca="1">VLOOKUP(Tableau1[[#This Row],[Key(ID-Actif)]],'DATA BTO'!A:N,10,FALSE)</f>
        <v>ARZAE</v>
      </c>
      <c r="AH69" s="3">
        <f ca="1">VLOOKUP(Tableau1[[#This Row],[Key(ID-Actif)]],'DATA BTO'!A:N,11,FALSE)</f>
        <v>3</v>
      </c>
      <c r="AI69" s="50">
        <f ca="1">VLOOKUP(Tableau1[[#This Row],[Key(ID-Actif)]],'DATA BTO'!A:N,12,FALSE)</f>
        <v>14</v>
      </c>
      <c r="AJ69" s="53" t="str">
        <f ca="1">VLOOKUP(Tableau1[[#This Row],[Key(ID-Actif)]],'DATA BTO'!A:N,14,FALSE)</f>
        <v>Max</v>
      </c>
      <c r="AK69" s="54">
        <f ca="1">VLOOKUP(Tableau1[[#This Row],[Key(POD -PFI- Usine)]],'DATA Consignee'!A:F,6,FALSE)</f>
        <v>3</v>
      </c>
      <c r="AL69" s="127"/>
      <c r="AM69" s="438" t="str">
        <f>IF(Tableau1[[#This Row],[Name PFI/CDD]]="","-",VLOOKUP(Tableau1[[#This Row],[Name PFI/CDD]],Plant_AILN!I:J,2,FALSE))</f>
        <v>-</v>
      </c>
      <c r="AN6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9" s="2">
        <f ca="1">VLOOKUP(Tableau1[[#This Row],[Key(POD -PFI- Usine)]],'DATA Consignee'!A:J,10,FALSE)</f>
        <v>0</v>
      </c>
      <c r="AQ69" s="50">
        <f ca="1">VLOOKUP(Tableau1[[#This Row],[Key(POD -PFI- Usine)]],'DATA Consignee'!A:N,14,FALSE)</f>
        <v>3</v>
      </c>
      <c r="AR6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6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69" s="50">
        <f ca="1">Tableau1[[#This Row],[Transit time]]+Tableau1[[#This Row],[Time for security]]+Tableau1[[#This Row],[Time for security2 buffer]]</f>
        <v>53</v>
      </c>
      <c r="AU6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69" s="433">
        <f ca="1">Tableau1[[#This Row],[Leadtime SI2C]]+Tableau1[[#This Row],[First Receipt Days]]-Tableau1[[#This Row],[Day Customer Order]]+1</f>
        <v>92</v>
      </c>
      <c r="AW69" s="119">
        <f ca="1">IF(Tableau1[[#This Row],[Name ILN]]&lt;&gt;"SFK Freight Forwarder",Tableau1[[#This Row],[Cust. Leadtime]],Tableau1[[#This Row],[Leadtime SI2C]])</f>
        <v>76</v>
      </c>
      <c r="AX69" s="51" t="s">
        <v>148</v>
      </c>
      <c r="AY69" s="338">
        <f ca="1">IFERROR(VLOOKUP(Tableau1[[#This Row],[Key(ID-Actif)]],'DATA BTO'!A:N,4,FALSE),VLOOKUP(Tableau1[[#This Row],[ID]],'DATA BTO'!B:N,3,FALSE))</f>
        <v>46507</v>
      </c>
      <c r="AZ69" s="50" t="str">
        <f>IF(ISNUMBER(Tableau1[[#This Row],[Day Customer Order]]),"-","Please Check 'Name' information in 'Order' Sheet to make sure they have information")</f>
        <v>-</v>
      </c>
      <c r="BA6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9" s="50"/>
    </row>
    <row r="70" spans="2:57" hidden="1">
      <c r="B70" s="474" t="str">
        <f>_xlfn.CONCAT(Tableau1[[#This Row],[Name ILN]],"-",Tableau1[[#This Row],[Name Shipper]],"-",Tableau1[[#This Row],[Name Site]])</f>
        <v>ILN Mexique-ILN Mexique-CURITIBA CMO</v>
      </c>
      <c r="C70" s="67" t="str">
        <f ca="1">_xlfn.CONCAT(Tableau1[[#This Row],[Compte ILN]],"-",Tableau1[[#This Row],[Compte Shipper]],"-",Tableau1[[#This Row],[POL]],"-",Tableau1[[#This Row],[Compte Consignee]])</f>
        <v>333333-333333-MXVER-90018600</v>
      </c>
      <c r="D70" s="66" t="str">
        <f ca="1">_xlfn.CONCAT(Tableau1[[#This Row],[Compte ILN]],"-",Tableau1[[#This Row],[Compte Shipper]],"-",Tableau1[[#This Row],[POL]])</f>
        <v>333333-333333-MXVER</v>
      </c>
      <c r="E70" s="434" t="str">
        <f ca="1">_xlfn.CONCAT(Tableau1[[#This Row],[POL]],"-",Tableau1[[#This Row],[Carrier]],"-",Tableau1[[#This Row],[POD]])</f>
        <v>MXVER-Maersk-BRPNG</v>
      </c>
      <c r="F70" s="66" t="str">
        <f>_xlfn.CONCAT(Tableau1[[#This Row],[ID]],"-","Actif")</f>
        <v>1084-Actif</v>
      </c>
      <c r="G70" s="66" t="str">
        <f ca="1">_xlfn.CONCAT(Tableau1[[#This Row],[POD]],"-",Tableau1[[#This Row],[Code PFI]],"-",Tableau1[[#This Row],[Compte Consignee]])</f>
        <v>BRPNG---90018600</v>
      </c>
      <c r="H70" s="434" t="str">
        <f ca="1">_xlfn.CONCAT(IF(Tableau1[[#This Row],[Name ILN]]=Tableau1[[#This Row],[Name Shipper]],Tableau1[[#This Row],[Name ILN]],Tableau1[[#This Row],[Compte Shipper]]),Tableau1[[#This Row],[POL]],Tableau1[[#This Row],[Name Site]])</f>
        <v>ILN MexiqueMXVERCURITIBA CMO</v>
      </c>
      <c r="I70" s="84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Mexique-ILN Mexique-1084-MXVER-Maersk-BRPNG-</v>
      </c>
      <c r="J70" s="435" t="str">
        <f ca="1">IF(COUNTIF(I:I,Tableau1[[#This Row],[Plant-ILN-shipper-POL-Carrier-POD-PFI]])=1,"Non","Oui")</f>
        <v>Non</v>
      </c>
      <c r="K70" s="128" t="str">
        <f>VLOOKUP(Tableau1[[#This Row],[Name Site]],Plant_AILN!A:D,4,FALSE)</f>
        <v>BRAZIL</v>
      </c>
      <c r="L70" s="411" t="s">
        <v>174</v>
      </c>
      <c r="M70" s="439">
        <f>VLOOKUP(Tableau1[[#This Row],[Name Site]],Plant_AILN!A:C,3,FALSE)</f>
        <v>90018600</v>
      </c>
      <c r="N70" s="55">
        <f>IF(Tableau1[[#This Row],[Name PFI/CDD]]="PFI VLL",2,VLOOKUP(Tableau1[[#This Row],[Compte Consignee]],Order!C:D,2,FALSE))</f>
        <v>7</v>
      </c>
      <c r="O70" s="116" t="s">
        <v>186</v>
      </c>
      <c r="P70" s="365">
        <f>VLOOKUP(Tableau1[[#This Row],[Name ILN]],Plant_AILN!F:G,2,FALSE)</f>
        <v>333333</v>
      </c>
      <c r="Q70" s="50">
        <f>VLOOKUP(Tableau1[[#This Row],[Compte ILN]],'DATA ILN'!D:I,6,FALSE)</f>
        <v>9</v>
      </c>
      <c r="R70" s="50">
        <f ca="1">IFERROR(VLOOKUP(Tableau1[[#This Row],[Key(Compte ILN - shipper - POL - plant)]],'DATA ILN'!A:J,10,FALSE),VLOOKUP(Tableau1[[#This Row],[Key(Compte ILN - shipper - POL)]],'DATA ILN'!B:J,9,FALSE))</f>
        <v>14</v>
      </c>
      <c r="S70" s="50">
        <f ca="1">IFERROR(VLOOKUP(Tableau1[[#This Row],[Key(Compte ILN - shipper - POL - plant)]],'DATA ILN'!A:K,11,FALSE),VLOOKUP(Tableau1[[#This Row],[Key(Compte ILN - shipper - POL)]],'DATA ILN'!B:K,10,FALSE))</f>
        <v>5</v>
      </c>
      <c r="T70" s="50">
        <f ca="1">IFERROR(VLOOKUP(Tableau1[[#This Row],[Key(Compte ILN - shipper - POL - plant)]],'DATA ILN'!A:L,12,FALSE),VLOOKUP(Tableau1[[#This Row],[Key(Compte ILN - shipper - POL)]],'DATA ILN'!B:L,11,FALSE))</f>
        <v>7</v>
      </c>
      <c r="U70" s="50">
        <f ca="1">Tableau1[[#This Row],[Day ILN Order]]+Tableau1[[#This Row],[Delivery time to ILN/Shipper]]-1</f>
        <v>22</v>
      </c>
      <c r="V70" s="50">
        <f ca="1">IFERROR(VLOOKUP(Tableau1[[#This Row],[Key(Compte ILN - shipper - POL - plant)]],'DATA ILN'!A:N,14,FALSE),VLOOKUP(Tableau1[[#This Row],[Key(Compte ILN - shipper - POL)]],'DATA ILN'!B:N,13,FALSE))</f>
        <v>2</v>
      </c>
      <c r="W70" s="53">
        <f ca="1">IFERROR(VLOOKUP(Tableau1[[#This Row],[Key(Compte ILN - shipper - POL - plant)]],'DATA ILN'!A:P,16,FALSE),VLOOKUP(Tableau1[[#This Row],[Key(Compte ILN - shipper - POL)]],'DATA ILN'!B:P,15,FALSE))</f>
        <v>1</v>
      </c>
      <c r="X70" s="284" t="s">
        <v>186</v>
      </c>
      <c r="Y70" s="437">
        <f>IFERROR(VLOOKUP(Tableau1[[#This Row],[Name Shipper]],Plant_AILN!L:M,2,FALSE),0)</f>
        <v>333333</v>
      </c>
      <c r="Z70" s="406">
        <v>1084</v>
      </c>
      <c r="AA70" s="396" t="str">
        <f ca="1">VLOOKUP(Tableau1[[#This Row],[Key(ID-Actif)]],'DATA BTO'!A:N,5,FALSE)</f>
        <v>MXVER</v>
      </c>
      <c r="AB70" s="3" t="str">
        <f ca="1">VLOOKUP(Tableau1[[#This Row],[Key(ID-Actif)]],'DATA BTO'!A:N,6,FALSE)</f>
        <v>Maersk</v>
      </c>
      <c r="AC70" s="50">
        <f ca="1">VLOOKUP(Tableau1[[#This Row],[Key(ID-Actif)]],'DATA BTO'!A:N,7,FALSE)</f>
        <v>4</v>
      </c>
      <c r="AD70" s="50">
        <f ca="1">VLOOKUP(Tableau1[[#This Row],[Key(ID-Actif)]],'DATA BTO'!A:N,8,FALSE)</f>
        <v>6</v>
      </c>
      <c r="AE70" s="50">
        <f ca="1">IF(Tableau1[[#This Row],[First Day to POL]]&lt;=Tableau1[[#This Row],[Day Cut Off]],Tableau1[[#This Row],[Day ETD]],Tableau1[[#This Row],[Day ETD]]+7)</f>
        <v>6</v>
      </c>
      <c r="AF70" s="50">
        <f ca="1">VLOOKUP(Tableau1[[#This Row],[Key(ID-Actif)]],'DATA BTO'!A:N,9,FALSE)</f>
        <v>35</v>
      </c>
      <c r="AG70" s="3" t="str">
        <f ca="1">VLOOKUP(Tableau1[[#This Row],[Key(ID-Actif)]],'DATA BTO'!A:N,10,FALSE)</f>
        <v>BRPNG</v>
      </c>
      <c r="AH70" s="3">
        <f ca="1">VLOOKUP(Tableau1[[#This Row],[Key(ID-Actif)]],'DATA BTO'!A:N,11,FALSE)</f>
        <v>3</v>
      </c>
      <c r="AI70" s="50">
        <f ca="1">VLOOKUP(Tableau1[[#This Row],[Key(ID-Actif)]],'DATA BTO'!A:N,12,FALSE)</f>
        <v>0</v>
      </c>
      <c r="AJ70" s="53" t="str">
        <f ca="1">VLOOKUP(Tableau1[[#This Row],[Key(ID-Actif)]],'DATA BTO'!A:N,14,FALSE)</f>
        <v>Jocelyn</v>
      </c>
      <c r="AK70" s="54">
        <f ca="1">VLOOKUP(Tableau1[[#This Row],[Key(POD -PFI- Usine)]],'DATA Consignee'!A:F,6,FALSE)</f>
        <v>2</v>
      </c>
      <c r="AL70" s="127"/>
      <c r="AM70" s="438" t="str">
        <f>IF(Tableau1[[#This Row],[Name PFI/CDD]]="","-",VLOOKUP(Tableau1[[#This Row],[Name PFI/CDD]],Plant_AILN!I:J,2,FALSE))</f>
        <v>-</v>
      </c>
      <c r="AN7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0" s="2">
        <f ca="1">VLOOKUP(Tableau1[[#This Row],[Key(POD -PFI- Usine)]],'DATA Consignee'!A:J,10,FALSE)</f>
        <v>0</v>
      </c>
      <c r="AQ70" s="50">
        <f ca="1">VLOOKUP(Tableau1[[#This Row],[Key(POD -PFI- Usine)]],'DATA Consignee'!A:N,14,FALSE)</f>
        <v>2</v>
      </c>
      <c r="AR7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7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70" s="50">
        <f ca="1">Tableau1[[#This Row],[Transit time]]+Tableau1[[#This Row],[Time for security]]+Tableau1[[#This Row],[Time for security2 buffer]]</f>
        <v>38</v>
      </c>
      <c r="AU7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70" s="433">
        <f ca="1">Tableau1[[#This Row],[Leadtime SI2C]]+Tableau1[[#This Row],[First Receipt Days]]-Tableau1[[#This Row],[Day Customer Order]]+1</f>
        <v>78</v>
      </c>
      <c r="AW70" s="119">
        <f ca="1">IF(Tableau1[[#This Row],[Name ILN]]&lt;&gt;"SFK Freight Forwarder",Tableau1[[#This Row],[Cust. Leadtime]],Tableau1[[#This Row],[Leadtime SI2C]])</f>
        <v>78</v>
      </c>
      <c r="AX70" s="51" t="s">
        <v>144</v>
      </c>
      <c r="AY70" s="338">
        <f ca="1">IFERROR(VLOOKUP(Tableau1[[#This Row],[Key(ID-Actif)]],'DATA BTO'!A:N,4,FALSE),VLOOKUP(Tableau1[[#This Row],[ID]],'DATA BTO'!B:N,3,FALSE))</f>
        <v>46507</v>
      </c>
      <c r="AZ70" s="50" t="str">
        <f>IF(ISNUMBER(Tableau1[[#This Row],[Day Customer Order]]),"-","Please Check 'Name' information in 'Order' Sheet to make sure they have information")</f>
        <v>-</v>
      </c>
      <c r="BA7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0" s="50"/>
    </row>
  </sheetData>
  <sheetProtection formatCells="0" formatColumns="0" formatRows="0" sort="0" autoFilter="0"/>
  <mergeCells count="18">
    <mergeCell ref="AX1:AX2"/>
    <mergeCell ref="S2:V2"/>
    <mergeCell ref="K1:N1"/>
    <mergeCell ref="O2:R2"/>
    <mergeCell ref="K2:N2"/>
    <mergeCell ref="AQ2:AR2"/>
    <mergeCell ref="AK2:AP2"/>
    <mergeCell ref="W2:Y2"/>
    <mergeCell ref="Z1:AI1"/>
    <mergeCell ref="Z2:AJ2"/>
    <mergeCell ref="AS2:AV2"/>
    <mergeCell ref="AK1:AQ1"/>
    <mergeCell ref="O1:Y1"/>
    <mergeCell ref="AR1:AW1"/>
    <mergeCell ref="B1:H1"/>
    <mergeCell ref="I1:J1"/>
    <mergeCell ref="I2:J2"/>
    <mergeCell ref="C3:D3"/>
  </mergeCells>
  <phoneticPr fontId="2" type="noConversion"/>
  <conditionalFormatting sqref="K5:AX70">
    <cfRule type="expression" dxfId="458" priority="36">
      <formula>$AY5&lt;=TODAY()</formula>
    </cfRule>
  </conditionalFormatting>
  <conditionalFormatting sqref="J5:J70">
    <cfRule type="expression" dxfId="457" priority="33">
      <formula>$J5="Oui"</formula>
    </cfRule>
  </conditionalFormatting>
  <dataValidations count="4">
    <dataValidation type="list" allowBlank="1" showInputMessage="1" showErrorMessage="1" sqref="X17:X1048201 X5:X12" xr:uid="{8694D2A6-C182-47C9-83BA-96F0607B1830}">
      <formula1>shippername</formula1>
    </dataValidation>
    <dataValidation type="list" allowBlank="1" showInputMessage="1" showErrorMessage="1" sqref="X13:X16 O5:O1048201" xr:uid="{C1F57FB1-D0CB-4E60-BCF5-E605248C9738}">
      <formula1>AILNname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5:L1048201" xr:uid="{F505FDEA-4A06-4276-92A4-3B63459F9938}">
      <formula1>plantname</formula1>
    </dataValidation>
    <dataValidation type="list" allowBlank="1" showInputMessage="1" showErrorMessage="1" sqref="AL5:AL1048201" xr:uid="{C373AB6A-FC75-402E-9BF8-1678CD53F889}">
      <formula1>PFIname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89EE2-4080-444A-B7DA-236C6C5FCE7F}">
  <sheetPr codeName="Feuil5">
    <tabColor rgb="FF002060"/>
  </sheetPr>
  <dimension ref="A1:DT37"/>
  <sheetViews>
    <sheetView workbookViewId="0">
      <selection sqref="A1:A2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customWidth="1"/>
    <col min="4" max="5" width="6.42578125" customWidth="1"/>
    <col min="6" max="124" width="1.42578125" customWidth="1"/>
  </cols>
  <sheetData>
    <row r="1" spans="1:124" s="11" customFormat="1" ht="9" customHeight="1" thickTop="1">
      <c r="A1" s="567" t="s">
        <v>0</v>
      </c>
      <c r="B1" s="647" t="s">
        <v>187</v>
      </c>
      <c r="C1" s="649">
        <f>_xlfn.XLOOKUP(A25,'VTT project'!B:B,'VTT project'!P:P,"-",0)</f>
        <v>27261102</v>
      </c>
      <c r="D1" s="650"/>
      <c r="E1" s="651"/>
      <c r="F1" s="565" t="str">
        <f ca="1">"W"&amp;WEEKNUM(F6)</f>
        <v>W20</v>
      </c>
      <c r="G1" s="565"/>
      <c r="H1" s="565"/>
      <c r="I1" s="565"/>
      <c r="J1" s="565"/>
      <c r="K1" s="565"/>
      <c r="L1" s="566"/>
      <c r="M1" s="565" t="str">
        <f ca="1">"W"&amp;WEEKNUM(M6)</f>
        <v>W21</v>
      </c>
      <c r="N1" s="565"/>
      <c r="O1" s="565"/>
      <c r="P1" s="565"/>
      <c r="Q1" s="565"/>
      <c r="R1" s="565"/>
      <c r="S1" s="566"/>
      <c r="T1" s="565" t="str">
        <f t="shared" ref="T1" ca="1" si="0">"W"&amp;WEEKNUM(T6)</f>
        <v>W22</v>
      </c>
      <c r="U1" s="565"/>
      <c r="V1" s="565"/>
      <c r="W1" s="565"/>
      <c r="X1" s="565"/>
      <c r="Y1" s="565"/>
      <c r="Z1" s="566"/>
      <c r="AA1" s="565" t="str">
        <f t="shared" ref="AA1" ca="1" si="1">"W"&amp;WEEKNUM(AA6)</f>
        <v>W23</v>
      </c>
      <c r="AB1" s="565"/>
      <c r="AC1" s="565"/>
      <c r="AD1" s="565"/>
      <c r="AE1" s="565"/>
      <c r="AF1" s="565"/>
      <c r="AG1" s="566"/>
      <c r="AH1" s="565" t="str">
        <f t="shared" ref="AH1" ca="1" si="2">"W"&amp;WEEKNUM(AH6)</f>
        <v>W24</v>
      </c>
      <c r="AI1" s="565"/>
      <c r="AJ1" s="565"/>
      <c r="AK1" s="565"/>
      <c r="AL1" s="565"/>
      <c r="AM1" s="565"/>
      <c r="AN1" s="566"/>
      <c r="AO1" s="565" t="str">
        <f t="shared" ref="AO1" ca="1" si="3">"W"&amp;WEEKNUM(AO6)</f>
        <v>W25</v>
      </c>
      <c r="AP1" s="565"/>
      <c r="AQ1" s="565"/>
      <c r="AR1" s="565"/>
      <c r="AS1" s="565"/>
      <c r="AT1" s="565"/>
      <c r="AU1" s="566"/>
      <c r="AV1" s="565" t="str">
        <f t="shared" ref="AV1" ca="1" si="4">"W"&amp;WEEKNUM(AV6)</f>
        <v>W26</v>
      </c>
      <c r="AW1" s="565"/>
      <c r="AX1" s="565"/>
      <c r="AY1" s="565"/>
      <c r="AZ1" s="565"/>
      <c r="BA1" s="565"/>
      <c r="BB1" s="566"/>
      <c r="BC1" s="565" t="str">
        <f t="shared" ref="BC1" ca="1" si="5">"W"&amp;WEEKNUM(BC6)</f>
        <v>W27</v>
      </c>
      <c r="BD1" s="565"/>
      <c r="BE1" s="565"/>
      <c r="BF1" s="565"/>
      <c r="BG1" s="565"/>
      <c r="BH1" s="565"/>
      <c r="BI1" s="566"/>
      <c r="BJ1" s="565" t="str">
        <f t="shared" ref="BJ1" ca="1" si="6">"W"&amp;WEEKNUM(BJ6)</f>
        <v>W28</v>
      </c>
      <c r="BK1" s="565"/>
      <c r="BL1" s="565"/>
      <c r="BM1" s="565"/>
      <c r="BN1" s="565"/>
      <c r="BO1" s="565"/>
      <c r="BP1" s="566"/>
      <c r="BQ1" s="565" t="str">
        <f t="shared" ref="BQ1" ca="1" si="7">"W"&amp;WEEKNUM(BQ6)</f>
        <v>W29</v>
      </c>
      <c r="BR1" s="565"/>
      <c r="BS1" s="565"/>
      <c r="BT1" s="565"/>
      <c r="BU1" s="565"/>
      <c r="BV1" s="565"/>
      <c r="BW1" s="566"/>
      <c r="BX1" s="565" t="str">
        <f t="shared" ref="BX1" ca="1" si="8">"W"&amp;WEEKNUM(BX6)</f>
        <v>W30</v>
      </c>
      <c r="BY1" s="565"/>
      <c r="BZ1" s="565"/>
      <c r="CA1" s="565"/>
      <c r="CB1" s="565"/>
      <c r="CC1" s="565"/>
      <c r="CD1" s="566"/>
      <c r="CE1" s="565" t="str">
        <f t="shared" ref="CE1" ca="1" si="9">"W"&amp;WEEKNUM(CE6)</f>
        <v>W31</v>
      </c>
      <c r="CF1" s="565"/>
      <c r="CG1" s="565"/>
      <c r="CH1" s="565"/>
      <c r="CI1" s="565"/>
      <c r="CJ1" s="565"/>
      <c r="CK1" s="566"/>
      <c r="CL1" s="565" t="str">
        <f t="shared" ref="CL1" ca="1" si="10">"W"&amp;WEEKNUM(CL6)</f>
        <v>W32</v>
      </c>
      <c r="CM1" s="565"/>
      <c r="CN1" s="565"/>
      <c r="CO1" s="565"/>
      <c r="CP1" s="565"/>
      <c r="CQ1" s="565"/>
      <c r="CR1" s="566"/>
      <c r="CS1" s="565" t="str">
        <f t="shared" ref="CS1" ca="1" si="11">"W"&amp;WEEKNUM(CS6)</f>
        <v>W33</v>
      </c>
      <c r="CT1" s="565"/>
      <c r="CU1" s="565"/>
      <c r="CV1" s="565"/>
      <c r="CW1" s="565"/>
      <c r="CX1" s="565"/>
      <c r="CY1" s="566"/>
      <c r="CZ1" s="565" t="str">
        <f t="shared" ref="CZ1" ca="1" si="12">"W"&amp;WEEKNUM(CZ6)</f>
        <v>W34</v>
      </c>
      <c r="DA1" s="565"/>
      <c r="DB1" s="565"/>
      <c r="DC1" s="565"/>
      <c r="DD1" s="565"/>
      <c r="DE1" s="565"/>
      <c r="DF1" s="566"/>
      <c r="DG1" s="565" t="str">
        <f t="shared" ref="DG1" ca="1" si="13">"W"&amp;WEEKNUM(DG6)</f>
        <v>W35</v>
      </c>
      <c r="DH1" s="565"/>
      <c r="DI1" s="565"/>
      <c r="DJ1" s="565"/>
      <c r="DK1" s="565"/>
      <c r="DL1" s="565"/>
      <c r="DM1" s="566"/>
      <c r="DN1" s="565" t="str">
        <f t="shared" ref="DN1" ca="1" si="14">"W"&amp;WEEKNUM(DN6)</f>
        <v>W36</v>
      </c>
      <c r="DO1" s="565"/>
      <c r="DP1" s="565"/>
      <c r="DQ1" s="565"/>
      <c r="DR1" s="565"/>
      <c r="DS1" s="565"/>
      <c r="DT1" s="566"/>
    </row>
    <row r="2" spans="1:124" s="11" customFormat="1" ht="9" customHeight="1" thickBot="1">
      <c r="A2" s="568"/>
      <c r="B2" s="648"/>
      <c r="C2" s="652"/>
      <c r="D2" s="653"/>
      <c r="E2" s="654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</row>
    <row r="3" spans="1:124" s="12" customFormat="1" ht="9" customHeight="1" thickTop="1">
      <c r="A3" s="580" t="s">
        <v>19</v>
      </c>
      <c r="B3" s="647" t="s">
        <v>187</v>
      </c>
      <c r="C3" s="650">
        <f>_xlfn.XLOOKUP(A25,'VTT project'!B:B,'VTT project'!Y:Y,"-",0)</f>
        <v>27261102</v>
      </c>
      <c r="D3" s="650"/>
      <c r="E3" s="651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</row>
    <row r="4" spans="1:124" s="12" customFormat="1" ht="9" customHeight="1" thickBot="1">
      <c r="A4" s="581"/>
      <c r="B4" s="648"/>
      <c r="C4" s="653"/>
      <c r="D4" s="653"/>
      <c r="E4" s="654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</row>
    <row r="5" spans="1:124" s="12" customFormat="1" ht="15.75" customHeight="1" thickTop="1" thickBot="1">
      <c r="A5" s="56" t="s">
        <v>33</v>
      </c>
      <c r="B5" s="56">
        <f>_xlfn.XLOOKUP(A25,'VTT project'!B:B,'VTT project'!AK:AK,"-",0)</f>
        <v>0</v>
      </c>
      <c r="C5" s="655" t="str">
        <f>_xlfn.XLOOKUP(A25,'VTT project'!B:B,'VTT project'!AL:AL,"-",0)</f>
        <v>-</v>
      </c>
      <c r="D5" s="656"/>
      <c r="E5" s="657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3" customHeight="1" thickTop="1" thickBot="1">
      <c r="A6" s="56" t="s">
        <v>34</v>
      </c>
      <c r="B6" s="57" t="s">
        <v>188</v>
      </c>
      <c r="C6" s="649">
        <f>_xlfn.XLOOKUP(A25,'VTT project'!B:B,'VTT project'!M:M,"-",0)</f>
        <v>90019100</v>
      </c>
      <c r="D6" s="650"/>
      <c r="E6" s="651"/>
      <c r="F6" s="42">
        <f ca="1">TODAY()-WEEKDAY(TODAY(),3)</f>
        <v>46153</v>
      </c>
      <c r="G6" s="43">
        <f ca="1">F6+1</f>
        <v>46154</v>
      </c>
      <c r="H6" s="43">
        <f t="shared" ref="H6:BS6" ca="1" si="15">G6+1</f>
        <v>46155</v>
      </c>
      <c r="I6" s="43">
        <f t="shared" ca="1" si="15"/>
        <v>46156</v>
      </c>
      <c r="J6" s="43">
        <f t="shared" ca="1" si="15"/>
        <v>46157</v>
      </c>
      <c r="K6" s="44">
        <f t="shared" ca="1" si="15"/>
        <v>46158</v>
      </c>
      <c r="L6" s="45">
        <f t="shared" ca="1" si="15"/>
        <v>46159</v>
      </c>
      <c r="M6" s="43">
        <f t="shared" ca="1" si="15"/>
        <v>46160</v>
      </c>
      <c r="N6" s="43">
        <f t="shared" ca="1" si="15"/>
        <v>46161</v>
      </c>
      <c r="O6" s="43">
        <f t="shared" ca="1" si="15"/>
        <v>46162</v>
      </c>
      <c r="P6" s="43">
        <f t="shared" ca="1" si="15"/>
        <v>46163</v>
      </c>
      <c r="Q6" s="43">
        <f t="shared" ca="1" si="15"/>
        <v>46164</v>
      </c>
      <c r="R6" s="44">
        <f t="shared" ca="1" si="15"/>
        <v>46165</v>
      </c>
      <c r="S6" s="45">
        <f t="shared" ca="1" si="15"/>
        <v>46166</v>
      </c>
      <c r="T6" s="43">
        <f t="shared" ca="1" si="15"/>
        <v>46167</v>
      </c>
      <c r="U6" s="43">
        <f t="shared" ca="1" si="15"/>
        <v>46168</v>
      </c>
      <c r="V6" s="43">
        <f t="shared" ca="1" si="15"/>
        <v>46169</v>
      </c>
      <c r="W6" s="43">
        <f t="shared" ca="1" si="15"/>
        <v>46170</v>
      </c>
      <c r="X6" s="43">
        <f t="shared" ca="1" si="15"/>
        <v>46171</v>
      </c>
      <c r="Y6" s="44">
        <f t="shared" ca="1" si="15"/>
        <v>46172</v>
      </c>
      <c r="Z6" s="45">
        <f t="shared" ca="1" si="15"/>
        <v>46173</v>
      </c>
      <c r="AA6" s="43">
        <f t="shared" ca="1" si="15"/>
        <v>46174</v>
      </c>
      <c r="AB6" s="43">
        <f t="shared" ca="1" si="15"/>
        <v>46175</v>
      </c>
      <c r="AC6" s="43">
        <f t="shared" ca="1" si="15"/>
        <v>46176</v>
      </c>
      <c r="AD6" s="43">
        <f t="shared" ca="1" si="15"/>
        <v>46177</v>
      </c>
      <c r="AE6" s="43">
        <f t="shared" ca="1" si="15"/>
        <v>46178</v>
      </c>
      <c r="AF6" s="44">
        <f t="shared" ca="1" si="15"/>
        <v>46179</v>
      </c>
      <c r="AG6" s="45">
        <f t="shared" ca="1" si="15"/>
        <v>46180</v>
      </c>
      <c r="AH6" s="43">
        <f t="shared" ca="1" si="15"/>
        <v>46181</v>
      </c>
      <c r="AI6" s="43">
        <f t="shared" ca="1" si="15"/>
        <v>46182</v>
      </c>
      <c r="AJ6" s="43">
        <f t="shared" ca="1" si="15"/>
        <v>46183</v>
      </c>
      <c r="AK6" s="43">
        <f t="shared" ca="1" si="15"/>
        <v>46184</v>
      </c>
      <c r="AL6" s="43">
        <f t="shared" ca="1" si="15"/>
        <v>46185</v>
      </c>
      <c r="AM6" s="44">
        <f t="shared" ca="1" si="15"/>
        <v>46186</v>
      </c>
      <c r="AN6" s="45">
        <f t="shared" ca="1" si="15"/>
        <v>46187</v>
      </c>
      <c r="AO6" s="43">
        <f t="shared" ca="1" si="15"/>
        <v>46188</v>
      </c>
      <c r="AP6" s="43">
        <f t="shared" ca="1" si="15"/>
        <v>46189</v>
      </c>
      <c r="AQ6" s="43">
        <f t="shared" ca="1" si="15"/>
        <v>46190</v>
      </c>
      <c r="AR6" s="43">
        <f t="shared" ca="1" si="15"/>
        <v>46191</v>
      </c>
      <c r="AS6" s="43">
        <f t="shared" ca="1" si="15"/>
        <v>46192</v>
      </c>
      <c r="AT6" s="44">
        <f t="shared" ca="1" si="15"/>
        <v>46193</v>
      </c>
      <c r="AU6" s="45">
        <f t="shared" ca="1" si="15"/>
        <v>46194</v>
      </c>
      <c r="AV6" s="43">
        <f t="shared" ca="1" si="15"/>
        <v>46195</v>
      </c>
      <c r="AW6" s="43">
        <f t="shared" ca="1" si="15"/>
        <v>46196</v>
      </c>
      <c r="AX6" s="43">
        <f t="shared" ca="1" si="15"/>
        <v>46197</v>
      </c>
      <c r="AY6" s="43">
        <f t="shared" ca="1" si="15"/>
        <v>46198</v>
      </c>
      <c r="AZ6" s="43">
        <f t="shared" ca="1" si="15"/>
        <v>46199</v>
      </c>
      <c r="BA6" s="44">
        <f t="shared" ca="1" si="15"/>
        <v>46200</v>
      </c>
      <c r="BB6" s="45">
        <f t="shared" ca="1" si="15"/>
        <v>46201</v>
      </c>
      <c r="BC6" s="43">
        <f t="shared" ca="1" si="15"/>
        <v>46202</v>
      </c>
      <c r="BD6" s="43">
        <f t="shared" ca="1" si="15"/>
        <v>46203</v>
      </c>
      <c r="BE6" s="43">
        <f t="shared" ca="1" si="15"/>
        <v>46204</v>
      </c>
      <c r="BF6" s="43">
        <f t="shared" ca="1" si="15"/>
        <v>46205</v>
      </c>
      <c r="BG6" s="43">
        <f t="shared" ca="1" si="15"/>
        <v>46206</v>
      </c>
      <c r="BH6" s="44">
        <f t="shared" ca="1" si="15"/>
        <v>46207</v>
      </c>
      <c r="BI6" s="45">
        <f t="shared" ca="1" si="15"/>
        <v>46208</v>
      </c>
      <c r="BJ6" s="43">
        <f t="shared" ca="1" si="15"/>
        <v>46209</v>
      </c>
      <c r="BK6" s="43">
        <f t="shared" ca="1" si="15"/>
        <v>46210</v>
      </c>
      <c r="BL6" s="43">
        <f t="shared" ca="1" si="15"/>
        <v>46211</v>
      </c>
      <c r="BM6" s="43">
        <f t="shared" ca="1" si="15"/>
        <v>46212</v>
      </c>
      <c r="BN6" s="43">
        <f t="shared" ca="1" si="15"/>
        <v>46213</v>
      </c>
      <c r="BO6" s="44">
        <f t="shared" ca="1" si="15"/>
        <v>46214</v>
      </c>
      <c r="BP6" s="45">
        <f t="shared" ca="1" si="15"/>
        <v>46215</v>
      </c>
      <c r="BQ6" s="43">
        <f t="shared" ca="1" si="15"/>
        <v>46216</v>
      </c>
      <c r="BR6" s="43">
        <f t="shared" ca="1" si="15"/>
        <v>46217</v>
      </c>
      <c r="BS6" s="43">
        <f t="shared" ca="1" si="15"/>
        <v>46218</v>
      </c>
      <c r="BT6" s="43">
        <f t="shared" ref="BT6:DT6" ca="1" si="16">BS6+1</f>
        <v>46219</v>
      </c>
      <c r="BU6" s="43">
        <f t="shared" ca="1" si="16"/>
        <v>46220</v>
      </c>
      <c r="BV6" s="44">
        <f t="shared" ca="1" si="16"/>
        <v>46221</v>
      </c>
      <c r="BW6" s="45">
        <f t="shared" ca="1" si="16"/>
        <v>46222</v>
      </c>
      <c r="BX6" s="43">
        <f t="shared" ca="1" si="16"/>
        <v>46223</v>
      </c>
      <c r="BY6" s="43">
        <f t="shared" ca="1" si="16"/>
        <v>46224</v>
      </c>
      <c r="BZ6" s="43">
        <f t="shared" ca="1" si="16"/>
        <v>46225</v>
      </c>
      <c r="CA6" s="43">
        <f t="shared" ca="1" si="16"/>
        <v>46226</v>
      </c>
      <c r="CB6" s="43">
        <f t="shared" ca="1" si="16"/>
        <v>46227</v>
      </c>
      <c r="CC6" s="44">
        <f t="shared" ca="1" si="16"/>
        <v>46228</v>
      </c>
      <c r="CD6" s="45">
        <f t="shared" ca="1" si="16"/>
        <v>46229</v>
      </c>
      <c r="CE6" s="43">
        <f t="shared" ca="1" si="16"/>
        <v>46230</v>
      </c>
      <c r="CF6" s="43">
        <f t="shared" ca="1" si="16"/>
        <v>46231</v>
      </c>
      <c r="CG6" s="43">
        <f t="shared" ca="1" si="16"/>
        <v>46232</v>
      </c>
      <c r="CH6" s="43">
        <f t="shared" ca="1" si="16"/>
        <v>46233</v>
      </c>
      <c r="CI6" s="43">
        <f t="shared" ca="1" si="16"/>
        <v>46234</v>
      </c>
      <c r="CJ6" s="44">
        <f t="shared" ca="1" si="16"/>
        <v>46235</v>
      </c>
      <c r="CK6" s="45">
        <f t="shared" ca="1" si="16"/>
        <v>46236</v>
      </c>
      <c r="CL6" s="43">
        <f t="shared" ca="1" si="16"/>
        <v>46237</v>
      </c>
      <c r="CM6" s="43">
        <f t="shared" ca="1" si="16"/>
        <v>46238</v>
      </c>
      <c r="CN6" s="43">
        <f t="shared" ca="1" si="16"/>
        <v>46239</v>
      </c>
      <c r="CO6" s="43">
        <f t="shared" ca="1" si="16"/>
        <v>46240</v>
      </c>
      <c r="CP6" s="43">
        <f t="shared" ca="1" si="16"/>
        <v>46241</v>
      </c>
      <c r="CQ6" s="44">
        <f t="shared" ca="1" si="16"/>
        <v>46242</v>
      </c>
      <c r="CR6" s="45">
        <f t="shared" ca="1" si="16"/>
        <v>46243</v>
      </c>
      <c r="CS6" s="43">
        <f t="shared" ca="1" si="16"/>
        <v>46244</v>
      </c>
      <c r="CT6" s="43">
        <f t="shared" ca="1" si="16"/>
        <v>46245</v>
      </c>
      <c r="CU6" s="43">
        <f t="shared" ca="1" si="16"/>
        <v>46246</v>
      </c>
      <c r="CV6" s="43">
        <f t="shared" ca="1" si="16"/>
        <v>46247</v>
      </c>
      <c r="CW6" s="43">
        <f t="shared" ca="1" si="16"/>
        <v>46248</v>
      </c>
      <c r="CX6" s="44">
        <f t="shared" ca="1" si="16"/>
        <v>46249</v>
      </c>
      <c r="CY6" s="45">
        <f t="shared" ca="1" si="16"/>
        <v>46250</v>
      </c>
      <c r="CZ6" s="43">
        <f t="shared" ca="1" si="16"/>
        <v>46251</v>
      </c>
      <c r="DA6" s="43">
        <f t="shared" ca="1" si="16"/>
        <v>46252</v>
      </c>
      <c r="DB6" s="43">
        <f t="shared" ca="1" si="16"/>
        <v>46253</v>
      </c>
      <c r="DC6" s="43">
        <f t="shared" ca="1" si="16"/>
        <v>46254</v>
      </c>
      <c r="DD6" s="43">
        <f t="shared" ca="1" si="16"/>
        <v>46255</v>
      </c>
      <c r="DE6" s="44">
        <f t="shared" ca="1" si="16"/>
        <v>46256</v>
      </c>
      <c r="DF6" s="45">
        <f t="shared" ca="1" si="16"/>
        <v>46257</v>
      </c>
      <c r="DG6" s="43">
        <f t="shared" ca="1" si="16"/>
        <v>46258</v>
      </c>
      <c r="DH6" s="43">
        <f t="shared" ca="1" si="16"/>
        <v>46259</v>
      </c>
      <c r="DI6" s="43">
        <f t="shared" ca="1" si="16"/>
        <v>46260</v>
      </c>
      <c r="DJ6" s="43">
        <f t="shared" ca="1" si="16"/>
        <v>46261</v>
      </c>
      <c r="DK6" s="43">
        <f t="shared" ca="1" si="16"/>
        <v>46262</v>
      </c>
      <c r="DL6" s="44">
        <f t="shared" ca="1" si="16"/>
        <v>46263</v>
      </c>
      <c r="DM6" s="45">
        <f t="shared" ca="1" si="16"/>
        <v>46264</v>
      </c>
      <c r="DN6" s="43">
        <f t="shared" ca="1" si="16"/>
        <v>46265</v>
      </c>
      <c r="DO6" s="43">
        <f t="shared" ca="1" si="16"/>
        <v>46266</v>
      </c>
      <c r="DP6" s="43">
        <f t="shared" ca="1" si="16"/>
        <v>46267</v>
      </c>
      <c r="DQ6" s="43">
        <f t="shared" ca="1" si="16"/>
        <v>46268</v>
      </c>
      <c r="DR6" s="43">
        <f t="shared" ca="1" si="16"/>
        <v>46269</v>
      </c>
      <c r="DS6" s="44">
        <f t="shared" ca="1" si="16"/>
        <v>46270</v>
      </c>
      <c r="DT6" s="45">
        <f t="shared" ca="1" si="16"/>
        <v>46271</v>
      </c>
    </row>
    <row r="7" spans="1:124" s="17" customFormat="1" ht="17.25" customHeight="1" thickTop="1">
      <c r="A7" s="56" t="s">
        <v>36</v>
      </c>
      <c r="B7" s="56" t="str">
        <f>_xlfn.XLOOKUP(A25,'VTT project'!B:B,'VTT project'!Z:Z,"-",0)</f>
        <v>FAL1-DKK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75" customHeight="1">
      <c r="A8" s="585" t="e">
        <f ca="1">_xlfn.XLOOKUP(A25,'VTT project'!B:B,'VTT project'!AA:AA,"-",0)&amp;" &gt; "&amp;_xlfn.XLOOKUP(A25,'VTT project'!B:B,'VTT project'!AF:AF,"-",0)</f>
        <v>#N/A</v>
      </c>
      <c r="B8" s="69" t="s">
        <v>40</v>
      </c>
      <c r="C8" s="19">
        <f>_xlfn.XLOOKUP(A25,'VTT project'!B:B,'VTT project'!N:N,"-",0)</f>
        <v>7</v>
      </c>
      <c r="D8" s="70">
        <v>0</v>
      </c>
      <c r="E8" s="19">
        <f>(C8+D8)</f>
        <v>7</v>
      </c>
      <c r="F8" s="13" t="str">
        <f t="shared" ref="F8:Z22" si="17">IF(AND(F$5&gt;=$C8,F$5&lt;=$E8),1,"")</f>
        <v/>
      </c>
      <c r="G8" s="14" t="str">
        <f t="shared" si="17"/>
        <v/>
      </c>
      <c r="H8" s="14" t="str">
        <f t="shared" si="17"/>
        <v/>
      </c>
      <c r="I8" s="14" t="str">
        <f t="shared" si="17"/>
        <v/>
      </c>
      <c r="J8" s="14" t="str">
        <f t="shared" si="17"/>
        <v/>
      </c>
      <c r="K8" s="15" t="str">
        <f t="shared" si="17"/>
        <v/>
      </c>
      <c r="L8" s="16">
        <f t="shared" si="17"/>
        <v>1</v>
      </c>
      <c r="M8" s="13" t="str">
        <f t="shared" si="17"/>
        <v/>
      </c>
      <c r="N8" s="14" t="str">
        <f t="shared" si="17"/>
        <v/>
      </c>
      <c r="O8" s="14" t="str">
        <f t="shared" si="17"/>
        <v/>
      </c>
      <c r="P8" s="14" t="str">
        <f t="shared" si="17"/>
        <v/>
      </c>
      <c r="Q8" s="14" t="str">
        <f t="shared" si="17"/>
        <v/>
      </c>
      <c r="R8" s="15" t="str">
        <f t="shared" si="17"/>
        <v/>
      </c>
      <c r="S8" s="16" t="str">
        <f t="shared" si="17"/>
        <v/>
      </c>
      <c r="T8" s="13" t="str">
        <f t="shared" si="17"/>
        <v/>
      </c>
      <c r="U8" s="14" t="str">
        <f t="shared" si="17"/>
        <v/>
      </c>
      <c r="V8" s="14" t="str">
        <f t="shared" si="17"/>
        <v/>
      </c>
      <c r="W8" s="14" t="str">
        <f t="shared" si="17"/>
        <v/>
      </c>
      <c r="X8" s="14" t="str">
        <f t="shared" si="17"/>
        <v/>
      </c>
      <c r="Y8" s="15" t="str">
        <f t="shared" si="17"/>
        <v/>
      </c>
      <c r="Z8" s="16" t="str">
        <f t="shared" si="17"/>
        <v/>
      </c>
      <c r="AA8" s="13" t="str">
        <f t="shared" ref="AA8:AP25" si="18">IF(AND(AA$5&gt;=$C8,AA$5&lt;=$E8),1,"")</f>
        <v/>
      </c>
      <c r="AB8" s="14" t="str">
        <f t="shared" si="18"/>
        <v/>
      </c>
      <c r="AC8" s="14" t="str">
        <f t="shared" si="18"/>
        <v/>
      </c>
      <c r="AD8" s="14" t="str">
        <f t="shared" si="18"/>
        <v/>
      </c>
      <c r="AE8" s="14" t="str">
        <f t="shared" si="18"/>
        <v/>
      </c>
      <c r="AF8" s="15" t="str">
        <f t="shared" si="18"/>
        <v/>
      </c>
      <c r="AG8" s="16" t="str">
        <f t="shared" si="18"/>
        <v/>
      </c>
      <c r="AH8" s="13" t="str">
        <f t="shared" si="18"/>
        <v/>
      </c>
      <c r="AI8" s="14" t="str">
        <f t="shared" si="18"/>
        <v/>
      </c>
      <c r="AJ8" s="14" t="str">
        <f t="shared" si="18"/>
        <v/>
      </c>
      <c r="AK8" s="14" t="str">
        <f t="shared" si="18"/>
        <v/>
      </c>
      <c r="AL8" s="14" t="str">
        <f t="shared" si="18"/>
        <v/>
      </c>
      <c r="AM8" s="15" t="str">
        <f t="shared" si="18"/>
        <v/>
      </c>
      <c r="AN8" s="16" t="str">
        <f t="shared" si="18"/>
        <v/>
      </c>
      <c r="AO8" s="13" t="str">
        <f t="shared" si="18"/>
        <v/>
      </c>
      <c r="AP8" s="14" t="str">
        <f t="shared" si="18"/>
        <v/>
      </c>
      <c r="AQ8" s="14" t="str">
        <f t="shared" ref="AQ8:BF25" si="19">IF(AND(AQ$5&gt;=$C8,AQ$5&lt;=$E8),1,"")</f>
        <v/>
      </c>
      <c r="AR8" s="14" t="str">
        <f t="shared" si="19"/>
        <v/>
      </c>
      <c r="AS8" s="14" t="str">
        <f t="shared" si="19"/>
        <v/>
      </c>
      <c r="AT8" s="15" t="str">
        <f t="shared" si="19"/>
        <v/>
      </c>
      <c r="AU8" s="16" t="str">
        <f t="shared" si="19"/>
        <v/>
      </c>
      <c r="AV8" s="13" t="str">
        <f t="shared" si="19"/>
        <v/>
      </c>
      <c r="AW8" s="14" t="str">
        <f t="shared" si="19"/>
        <v/>
      </c>
      <c r="AX8" s="14" t="str">
        <f t="shared" si="19"/>
        <v/>
      </c>
      <c r="AY8" s="14" t="str">
        <f t="shared" si="19"/>
        <v/>
      </c>
      <c r="AZ8" s="14" t="str">
        <f t="shared" si="19"/>
        <v/>
      </c>
      <c r="BA8" s="15" t="str">
        <f t="shared" si="19"/>
        <v/>
      </c>
      <c r="BB8" s="16" t="str">
        <f t="shared" si="19"/>
        <v/>
      </c>
      <c r="BC8" s="13" t="str">
        <f t="shared" si="19"/>
        <v/>
      </c>
      <c r="BD8" s="14" t="str">
        <f t="shared" si="19"/>
        <v/>
      </c>
      <c r="BE8" s="14" t="str">
        <f t="shared" si="19"/>
        <v/>
      </c>
      <c r="BF8" s="14" t="str">
        <f t="shared" si="19"/>
        <v/>
      </c>
      <c r="BG8" s="14" t="str">
        <f t="shared" ref="BG8:BV25" si="20">IF(AND(BG$5&gt;=$C8,BG$5&lt;=$E8),1,"")</f>
        <v/>
      </c>
      <c r="BH8" s="15" t="str">
        <f t="shared" si="20"/>
        <v/>
      </c>
      <c r="BI8" s="16" t="str">
        <f t="shared" si="20"/>
        <v/>
      </c>
      <c r="BJ8" s="13" t="str">
        <f t="shared" si="20"/>
        <v/>
      </c>
      <c r="BK8" s="14" t="str">
        <f t="shared" si="20"/>
        <v/>
      </c>
      <c r="BL8" s="14" t="str">
        <f t="shared" si="20"/>
        <v/>
      </c>
      <c r="BM8" s="14" t="str">
        <f t="shared" si="20"/>
        <v/>
      </c>
      <c r="BN8" s="14" t="str">
        <f t="shared" si="20"/>
        <v/>
      </c>
      <c r="BO8" s="15" t="str">
        <f t="shared" si="20"/>
        <v/>
      </c>
      <c r="BP8" s="16" t="str">
        <f t="shared" si="20"/>
        <v/>
      </c>
      <c r="BQ8" s="13" t="str">
        <f t="shared" si="20"/>
        <v/>
      </c>
      <c r="BR8" s="14" t="str">
        <f t="shared" si="20"/>
        <v/>
      </c>
      <c r="BS8" s="14" t="str">
        <f t="shared" si="20"/>
        <v/>
      </c>
      <c r="BT8" s="14" t="str">
        <f t="shared" si="20"/>
        <v/>
      </c>
      <c r="BU8" s="14" t="str">
        <f t="shared" si="20"/>
        <v/>
      </c>
      <c r="BV8" s="15" t="str">
        <f t="shared" si="20"/>
        <v/>
      </c>
      <c r="BW8" s="16" t="str">
        <f t="shared" ref="BW8:CL23" si="21">IF(AND(BW$5&gt;=$C8,BW$5&lt;=$E8),1,"")</f>
        <v/>
      </c>
      <c r="BX8" s="13" t="str">
        <f t="shared" si="21"/>
        <v/>
      </c>
      <c r="BY8" s="14" t="str">
        <f t="shared" si="21"/>
        <v/>
      </c>
      <c r="BZ8" s="14" t="str">
        <f t="shared" si="21"/>
        <v/>
      </c>
      <c r="CA8" s="14" t="str">
        <f t="shared" si="21"/>
        <v/>
      </c>
      <c r="CB8" s="14" t="str">
        <f t="shared" si="21"/>
        <v/>
      </c>
      <c r="CC8" s="15" t="str">
        <f t="shared" si="21"/>
        <v/>
      </c>
      <c r="CD8" s="16" t="str">
        <f t="shared" si="21"/>
        <v/>
      </c>
      <c r="CE8" s="13" t="str">
        <f t="shared" si="21"/>
        <v/>
      </c>
      <c r="CF8" s="14" t="str">
        <f t="shared" si="21"/>
        <v/>
      </c>
      <c r="CG8" s="14" t="str">
        <f t="shared" si="21"/>
        <v/>
      </c>
      <c r="CH8" s="14" t="str">
        <f t="shared" si="21"/>
        <v/>
      </c>
      <c r="CI8" s="14" t="str">
        <f t="shared" si="21"/>
        <v/>
      </c>
      <c r="CJ8" s="15" t="str">
        <f t="shared" si="21"/>
        <v/>
      </c>
      <c r="CK8" s="16" t="str">
        <f t="shared" si="21"/>
        <v/>
      </c>
      <c r="CL8" s="13" t="str">
        <f t="shared" si="21"/>
        <v/>
      </c>
      <c r="CM8" s="14" t="str">
        <f t="shared" ref="CM8:DB23" si="22">IF(AND(CM$5&gt;=$C8,CM$5&lt;=$E8),1,"")</f>
        <v/>
      </c>
      <c r="CN8" s="14" t="str">
        <f t="shared" si="22"/>
        <v/>
      </c>
      <c r="CO8" s="14" t="str">
        <f t="shared" si="22"/>
        <v/>
      </c>
      <c r="CP8" s="14" t="str">
        <f t="shared" si="22"/>
        <v/>
      </c>
      <c r="CQ8" s="15" t="str">
        <f t="shared" si="22"/>
        <v/>
      </c>
      <c r="CR8" s="16" t="str">
        <f t="shared" si="22"/>
        <v/>
      </c>
      <c r="CS8" s="13" t="str">
        <f t="shared" si="22"/>
        <v/>
      </c>
      <c r="CT8" s="14" t="str">
        <f t="shared" si="22"/>
        <v/>
      </c>
      <c r="CU8" s="14" t="str">
        <f t="shared" si="22"/>
        <v/>
      </c>
      <c r="CV8" s="14" t="str">
        <f t="shared" si="22"/>
        <v/>
      </c>
      <c r="CW8" s="14" t="str">
        <f t="shared" si="22"/>
        <v/>
      </c>
      <c r="CX8" s="15" t="str">
        <f t="shared" si="22"/>
        <v/>
      </c>
      <c r="CY8" s="16" t="str">
        <f t="shared" si="22"/>
        <v/>
      </c>
      <c r="CZ8" s="13" t="str">
        <f t="shared" si="22"/>
        <v/>
      </c>
      <c r="DA8" s="14" t="str">
        <f t="shared" si="22"/>
        <v/>
      </c>
      <c r="DB8" s="14" t="str">
        <f t="shared" si="22"/>
        <v/>
      </c>
      <c r="DC8" s="14" t="str">
        <f t="shared" ref="DC8:DT22" si="23">IF(AND(DC$5&gt;=$C8,DC$5&lt;=$E8),1,"")</f>
        <v/>
      </c>
      <c r="DD8" s="14" t="str">
        <f t="shared" si="23"/>
        <v/>
      </c>
      <c r="DE8" s="15" t="str">
        <f t="shared" si="23"/>
        <v/>
      </c>
      <c r="DF8" s="16" t="str">
        <f t="shared" si="23"/>
        <v/>
      </c>
      <c r="DG8" s="13" t="str">
        <f t="shared" si="23"/>
        <v/>
      </c>
      <c r="DH8" s="14" t="str">
        <f t="shared" si="23"/>
        <v/>
      </c>
      <c r="DI8" s="14" t="str">
        <f t="shared" si="23"/>
        <v/>
      </c>
      <c r="DJ8" s="14" t="str">
        <f t="shared" si="23"/>
        <v/>
      </c>
      <c r="DK8" s="14" t="str">
        <f t="shared" si="23"/>
        <v/>
      </c>
      <c r="DL8" s="15" t="str">
        <f t="shared" si="23"/>
        <v/>
      </c>
      <c r="DM8" s="16" t="str">
        <f t="shared" si="23"/>
        <v/>
      </c>
      <c r="DN8" s="13" t="str">
        <f t="shared" si="23"/>
        <v/>
      </c>
      <c r="DO8" s="14" t="str">
        <f t="shared" si="23"/>
        <v/>
      </c>
      <c r="DP8" s="14" t="str">
        <f t="shared" si="23"/>
        <v/>
      </c>
      <c r="DQ8" s="14" t="str">
        <f t="shared" si="23"/>
        <v/>
      </c>
      <c r="DR8" s="14" t="str">
        <f t="shared" si="23"/>
        <v/>
      </c>
      <c r="DS8" s="15" t="str">
        <f t="shared" si="23"/>
        <v/>
      </c>
      <c r="DT8" s="16" t="str">
        <f t="shared" si="23"/>
        <v/>
      </c>
    </row>
    <row r="9" spans="1:124" s="17" customFormat="1" ht="9.75" customHeight="1">
      <c r="A9" s="586"/>
      <c r="B9" s="69" t="str">
        <f>IF(B1="SFK Freight Forwarder","","Day ILN Order")</f>
        <v>Day ILN Order</v>
      </c>
      <c r="C9" s="19">
        <f>IF(B1="SFK Freight Forwarder",0,_xlfn.XLOOKUP(A25,'VTT project'!B:B,'VTT project'!Q:Q,"-",0))</f>
        <v>16</v>
      </c>
      <c r="D9" s="70">
        <v>0</v>
      </c>
      <c r="E9" s="19">
        <f>(C9+D9)</f>
        <v>16</v>
      </c>
      <c r="F9" s="13" t="str">
        <f>IF(AND(F$5&gt;=$C9,F$5&lt;=$E9),1,"")</f>
        <v/>
      </c>
      <c r="G9" s="14" t="str">
        <f t="shared" si="17"/>
        <v/>
      </c>
      <c r="H9" s="14" t="str">
        <f t="shared" si="17"/>
        <v/>
      </c>
      <c r="I9" s="14" t="str">
        <f t="shared" si="17"/>
        <v/>
      </c>
      <c r="J9" s="14" t="str">
        <f t="shared" si="17"/>
        <v/>
      </c>
      <c r="K9" s="15" t="str">
        <f t="shared" si="17"/>
        <v/>
      </c>
      <c r="L9" s="16" t="str">
        <f t="shared" si="17"/>
        <v/>
      </c>
      <c r="M9" s="13" t="str">
        <f t="shared" si="17"/>
        <v/>
      </c>
      <c r="N9" s="14" t="str">
        <f t="shared" si="17"/>
        <v/>
      </c>
      <c r="O9" s="14" t="str">
        <f t="shared" si="17"/>
        <v/>
      </c>
      <c r="P9" s="14" t="str">
        <f t="shared" si="17"/>
        <v/>
      </c>
      <c r="Q9" s="14" t="str">
        <f t="shared" si="17"/>
        <v/>
      </c>
      <c r="R9" s="15" t="str">
        <f t="shared" si="17"/>
        <v/>
      </c>
      <c r="S9" s="16" t="str">
        <f t="shared" si="17"/>
        <v/>
      </c>
      <c r="T9" s="13" t="str">
        <f t="shared" si="17"/>
        <v/>
      </c>
      <c r="U9" s="14">
        <f t="shared" si="17"/>
        <v>1</v>
      </c>
      <c r="V9" s="14" t="str">
        <f t="shared" si="17"/>
        <v/>
      </c>
      <c r="W9" s="14" t="str">
        <f t="shared" si="17"/>
        <v/>
      </c>
      <c r="X9" s="14" t="str">
        <f t="shared" si="17"/>
        <v/>
      </c>
      <c r="Y9" s="15" t="str">
        <f t="shared" si="17"/>
        <v/>
      </c>
      <c r="Z9" s="16" t="str">
        <f t="shared" si="17"/>
        <v/>
      </c>
      <c r="AA9" s="13" t="str">
        <f t="shared" si="18"/>
        <v/>
      </c>
      <c r="AB9" s="14" t="str">
        <f t="shared" si="18"/>
        <v/>
      </c>
      <c r="AC9" s="14" t="str">
        <f t="shared" si="18"/>
        <v/>
      </c>
      <c r="AD9" s="14" t="str">
        <f t="shared" si="18"/>
        <v/>
      </c>
      <c r="AE9" s="14" t="str">
        <f t="shared" si="18"/>
        <v/>
      </c>
      <c r="AF9" s="15" t="str">
        <f t="shared" si="18"/>
        <v/>
      </c>
      <c r="AG9" s="16" t="str">
        <f t="shared" si="18"/>
        <v/>
      </c>
      <c r="AH9" s="13" t="str">
        <f t="shared" si="18"/>
        <v/>
      </c>
      <c r="AI9" s="14" t="str">
        <f t="shared" si="18"/>
        <v/>
      </c>
      <c r="AJ9" s="14" t="str">
        <f t="shared" si="18"/>
        <v/>
      </c>
      <c r="AK9" s="14" t="str">
        <f t="shared" si="18"/>
        <v/>
      </c>
      <c r="AL9" s="14" t="str">
        <f t="shared" si="18"/>
        <v/>
      </c>
      <c r="AM9" s="15" t="str">
        <f t="shared" si="18"/>
        <v/>
      </c>
      <c r="AN9" s="16" t="str">
        <f t="shared" si="18"/>
        <v/>
      </c>
      <c r="AO9" s="13" t="str">
        <f t="shared" si="18"/>
        <v/>
      </c>
      <c r="AP9" s="14" t="str">
        <f t="shared" si="18"/>
        <v/>
      </c>
      <c r="AQ9" s="14" t="str">
        <f t="shared" si="19"/>
        <v/>
      </c>
      <c r="AR9" s="14" t="str">
        <f t="shared" si="19"/>
        <v/>
      </c>
      <c r="AS9" s="14" t="str">
        <f t="shared" si="19"/>
        <v/>
      </c>
      <c r="AT9" s="15" t="str">
        <f t="shared" si="19"/>
        <v/>
      </c>
      <c r="AU9" s="16" t="str">
        <f t="shared" si="19"/>
        <v/>
      </c>
      <c r="AV9" s="13" t="str">
        <f t="shared" si="19"/>
        <v/>
      </c>
      <c r="AW9" s="14" t="str">
        <f t="shared" si="19"/>
        <v/>
      </c>
      <c r="AX9" s="14" t="str">
        <f t="shared" si="19"/>
        <v/>
      </c>
      <c r="AY9" s="14" t="str">
        <f t="shared" si="19"/>
        <v/>
      </c>
      <c r="AZ9" s="14" t="str">
        <f t="shared" si="19"/>
        <v/>
      </c>
      <c r="BA9" s="15" t="str">
        <f t="shared" si="19"/>
        <v/>
      </c>
      <c r="BB9" s="16" t="str">
        <f t="shared" si="19"/>
        <v/>
      </c>
      <c r="BC9" s="13" t="str">
        <f t="shared" si="19"/>
        <v/>
      </c>
      <c r="BD9" s="14" t="str">
        <f t="shared" si="19"/>
        <v/>
      </c>
      <c r="BE9" s="14" t="str">
        <f t="shared" si="19"/>
        <v/>
      </c>
      <c r="BF9" s="14" t="str">
        <f t="shared" si="19"/>
        <v/>
      </c>
      <c r="BG9" s="14" t="str">
        <f t="shared" si="20"/>
        <v/>
      </c>
      <c r="BH9" s="15" t="str">
        <f t="shared" si="20"/>
        <v/>
      </c>
      <c r="BI9" s="16" t="str">
        <f t="shared" si="20"/>
        <v/>
      </c>
      <c r="BJ9" s="13" t="str">
        <f t="shared" si="20"/>
        <v/>
      </c>
      <c r="BK9" s="14" t="str">
        <f t="shared" si="20"/>
        <v/>
      </c>
      <c r="BL9" s="14" t="str">
        <f t="shared" si="20"/>
        <v/>
      </c>
      <c r="BM9" s="14" t="str">
        <f t="shared" si="20"/>
        <v/>
      </c>
      <c r="BN9" s="14" t="str">
        <f t="shared" si="20"/>
        <v/>
      </c>
      <c r="BO9" s="15" t="str">
        <f t="shared" si="20"/>
        <v/>
      </c>
      <c r="BP9" s="16" t="str">
        <f t="shared" si="20"/>
        <v/>
      </c>
      <c r="BQ9" s="13" t="str">
        <f t="shared" si="20"/>
        <v/>
      </c>
      <c r="BR9" s="14" t="str">
        <f t="shared" si="20"/>
        <v/>
      </c>
      <c r="BS9" s="14" t="str">
        <f t="shared" si="20"/>
        <v/>
      </c>
      <c r="BT9" s="14" t="str">
        <f t="shared" si="20"/>
        <v/>
      </c>
      <c r="BU9" s="14" t="str">
        <f t="shared" si="20"/>
        <v/>
      </c>
      <c r="BV9" s="15" t="str">
        <f t="shared" si="20"/>
        <v/>
      </c>
      <c r="BW9" s="16" t="str">
        <f t="shared" si="21"/>
        <v/>
      </c>
      <c r="BX9" s="13" t="str">
        <f t="shared" si="21"/>
        <v/>
      </c>
      <c r="BY9" s="14" t="str">
        <f t="shared" si="21"/>
        <v/>
      </c>
      <c r="BZ9" s="14" t="str">
        <f t="shared" si="21"/>
        <v/>
      </c>
      <c r="CA9" s="14" t="str">
        <f t="shared" si="21"/>
        <v/>
      </c>
      <c r="CB9" s="14" t="str">
        <f t="shared" si="21"/>
        <v/>
      </c>
      <c r="CC9" s="15" t="str">
        <f t="shared" si="21"/>
        <v/>
      </c>
      <c r="CD9" s="16" t="str">
        <f t="shared" si="21"/>
        <v/>
      </c>
      <c r="CE9" s="13" t="str">
        <f t="shared" si="21"/>
        <v/>
      </c>
      <c r="CF9" s="14" t="str">
        <f t="shared" si="21"/>
        <v/>
      </c>
      <c r="CG9" s="14" t="str">
        <f t="shared" si="21"/>
        <v/>
      </c>
      <c r="CH9" s="14" t="str">
        <f t="shared" si="21"/>
        <v/>
      </c>
      <c r="CI9" s="14" t="str">
        <f t="shared" si="21"/>
        <v/>
      </c>
      <c r="CJ9" s="15" t="str">
        <f t="shared" si="21"/>
        <v/>
      </c>
      <c r="CK9" s="16" t="str">
        <f t="shared" si="21"/>
        <v/>
      </c>
      <c r="CL9" s="13" t="str">
        <f t="shared" si="21"/>
        <v/>
      </c>
      <c r="CM9" s="14" t="str">
        <f t="shared" si="22"/>
        <v/>
      </c>
      <c r="CN9" s="14" t="str">
        <f t="shared" si="22"/>
        <v/>
      </c>
      <c r="CO9" s="14" t="str">
        <f t="shared" si="22"/>
        <v/>
      </c>
      <c r="CP9" s="14" t="str">
        <f t="shared" si="22"/>
        <v/>
      </c>
      <c r="CQ9" s="15" t="str">
        <f t="shared" si="22"/>
        <v/>
      </c>
      <c r="CR9" s="16" t="str">
        <f t="shared" si="22"/>
        <v/>
      </c>
      <c r="CS9" s="13" t="str">
        <f t="shared" si="22"/>
        <v/>
      </c>
      <c r="CT9" s="14" t="str">
        <f t="shared" si="22"/>
        <v/>
      </c>
      <c r="CU9" s="14" t="str">
        <f t="shared" si="22"/>
        <v/>
      </c>
      <c r="CV9" s="14" t="str">
        <f t="shared" si="22"/>
        <v/>
      </c>
      <c r="CW9" s="14" t="str">
        <f t="shared" si="22"/>
        <v/>
      </c>
      <c r="CX9" s="15" t="str">
        <f t="shared" si="22"/>
        <v/>
      </c>
      <c r="CY9" s="16" t="str">
        <f t="shared" si="22"/>
        <v/>
      </c>
      <c r="CZ9" s="13" t="str">
        <f t="shared" si="22"/>
        <v/>
      </c>
      <c r="DA9" s="14" t="str">
        <f t="shared" si="22"/>
        <v/>
      </c>
      <c r="DB9" s="14" t="str">
        <f t="shared" si="22"/>
        <v/>
      </c>
      <c r="DC9" s="14" t="str">
        <f t="shared" si="23"/>
        <v/>
      </c>
      <c r="DD9" s="14" t="str">
        <f t="shared" si="23"/>
        <v/>
      </c>
      <c r="DE9" s="15" t="str">
        <f t="shared" si="23"/>
        <v/>
      </c>
      <c r="DF9" s="16" t="str">
        <f t="shared" si="23"/>
        <v/>
      </c>
      <c r="DG9" s="13" t="str">
        <f t="shared" si="23"/>
        <v/>
      </c>
      <c r="DH9" s="14" t="str">
        <f t="shared" si="23"/>
        <v/>
      </c>
      <c r="DI9" s="14" t="str">
        <f t="shared" si="23"/>
        <v/>
      </c>
      <c r="DJ9" s="14" t="str">
        <f t="shared" si="23"/>
        <v/>
      </c>
      <c r="DK9" s="14" t="str">
        <f t="shared" si="23"/>
        <v/>
      </c>
      <c r="DL9" s="15" t="str">
        <f t="shared" si="23"/>
        <v/>
      </c>
      <c r="DM9" s="16" t="str">
        <f t="shared" si="23"/>
        <v/>
      </c>
      <c r="DN9" s="13" t="str">
        <f t="shared" si="23"/>
        <v/>
      </c>
      <c r="DO9" s="14" t="str">
        <f t="shared" si="23"/>
        <v/>
      </c>
      <c r="DP9" s="14" t="str">
        <f t="shared" si="23"/>
        <v/>
      </c>
      <c r="DQ9" s="14" t="str">
        <f t="shared" si="23"/>
        <v/>
      </c>
      <c r="DR9" s="14" t="str">
        <f t="shared" si="23"/>
        <v/>
      </c>
      <c r="DS9" s="15" t="str">
        <f t="shared" si="23"/>
        <v/>
      </c>
      <c r="DT9" s="16" t="str">
        <f t="shared" si="23"/>
        <v/>
      </c>
    </row>
    <row r="10" spans="1:124" s="17" customFormat="1" ht="9.75" customHeight="1">
      <c r="A10" s="586"/>
      <c r="B10" s="69" t="str">
        <f>IF(B1="SFK Freight Forwarder","","Time of recept in AILN")</f>
        <v>Time of recept in AILN</v>
      </c>
      <c r="C10" s="19" t="e">
        <f ca="1">IF(B1="SFK Freight Forwarder",0,_xlfn.XLOOKUP(A25,'VTT project'!B:B,'VTT project'!R:R,"-",0)+E9-1)</f>
        <v>#N/A</v>
      </c>
      <c r="D10" s="19" t="e">
        <f ca="1">IF(B1="SFK Freight Forwarder",0,_xlfn.XLOOKUP(A25,'VTT project'!B:B,'VTT project'!S:S,"-",0))</f>
        <v>#N/A</v>
      </c>
      <c r="E10" s="19" t="e">
        <f ca="1">IF(B1="SFK Freight Forwarder",0,(C10+D10)-1)</f>
        <v>#N/A</v>
      </c>
      <c r="F10" s="13" t="e">
        <f t="shared" ref="F10:BQ10" ca="1" si="24">IF(AND(F$5&gt;=$C10,F$5&lt;=$E10),1,"")</f>
        <v>#N/A</v>
      </c>
      <c r="G10" s="14" t="e">
        <f t="shared" ca="1" si="24"/>
        <v>#N/A</v>
      </c>
      <c r="H10" s="14" t="e">
        <f t="shared" ca="1" si="24"/>
        <v>#N/A</v>
      </c>
      <c r="I10" s="14" t="e">
        <f t="shared" ca="1" si="24"/>
        <v>#N/A</v>
      </c>
      <c r="J10" s="14" t="e">
        <f t="shared" ca="1" si="24"/>
        <v>#N/A</v>
      </c>
      <c r="K10" s="15" t="e">
        <f t="shared" ca="1" si="24"/>
        <v>#N/A</v>
      </c>
      <c r="L10" s="16" t="e">
        <f t="shared" ca="1" si="24"/>
        <v>#N/A</v>
      </c>
      <c r="M10" s="13" t="e">
        <f t="shared" ca="1" si="24"/>
        <v>#N/A</v>
      </c>
      <c r="N10" s="14" t="e">
        <f t="shared" ca="1" si="24"/>
        <v>#N/A</v>
      </c>
      <c r="O10" s="14" t="e">
        <f t="shared" ca="1" si="24"/>
        <v>#N/A</v>
      </c>
      <c r="P10" s="14" t="e">
        <f t="shared" ca="1" si="24"/>
        <v>#N/A</v>
      </c>
      <c r="Q10" s="14" t="e">
        <f t="shared" ca="1" si="24"/>
        <v>#N/A</v>
      </c>
      <c r="R10" s="15" t="e">
        <f t="shared" ca="1" si="24"/>
        <v>#N/A</v>
      </c>
      <c r="S10" s="16" t="e">
        <f t="shared" ca="1" si="24"/>
        <v>#N/A</v>
      </c>
      <c r="T10" s="13" t="e">
        <f t="shared" ca="1" si="24"/>
        <v>#N/A</v>
      </c>
      <c r="U10" s="14" t="e">
        <f t="shared" ca="1" si="24"/>
        <v>#N/A</v>
      </c>
      <c r="V10" s="14" t="e">
        <f t="shared" ca="1" si="24"/>
        <v>#N/A</v>
      </c>
      <c r="W10" s="14" t="e">
        <f t="shared" ca="1" si="24"/>
        <v>#N/A</v>
      </c>
      <c r="X10" s="14" t="e">
        <f t="shared" ca="1" si="24"/>
        <v>#N/A</v>
      </c>
      <c r="Y10" s="15" t="e">
        <f t="shared" ca="1" si="24"/>
        <v>#N/A</v>
      </c>
      <c r="Z10" s="16" t="e">
        <f t="shared" ca="1" si="24"/>
        <v>#N/A</v>
      </c>
      <c r="AA10" s="13" t="e">
        <f t="shared" ca="1" si="24"/>
        <v>#N/A</v>
      </c>
      <c r="AB10" s="14" t="e">
        <f t="shared" ca="1" si="24"/>
        <v>#N/A</v>
      </c>
      <c r="AC10" s="14" t="e">
        <f t="shared" ca="1" si="24"/>
        <v>#N/A</v>
      </c>
      <c r="AD10" s="14" t="e">
        <f t="shared" ca="1" si="24"/>
        <v>#N/A</v>
      </c>
      <c r="AE10" s="14" t="e">
        <f t="shared" ca="1" si="24"/>
        <v>#N/A</v>
      </c>
      <c r="AF10" s="15" t="e">
        <f t="shared" ca="1" si="24"/>
        <v>#N/A</v>
      </c>
      <c r="AG10" s="16" t="e">
        <f t="shared" ca="1" si="24"/>
        <v>#N/A</v>
      </c>
      <c r="AH10" s="13" t="e">
        <f t="shared" ca="1" si="24"/>
        <v>#N/A</v>
      </c>
      <c r="AI10" s="14" t="e">
        <f t="shared" ca="1" si="24"/>
        <v>#N/A</v>
      </c>
      <c r="AJ10" s="14" t="e">
        <f t="shared" ca="1" si="24"/>
        <v>#N/A</v>
      </c>
      <c r="AK10" s="14" t="e">
        <f t="shared" ca="1" si="24"/>
        <v>#N/A</v>
      </c>
      <c r="AL10" s="14" t="e">
        <f t="shared" ca="1" si="24"/>
        <v>#N/A</v>
      </c>
      <c r="AM10" s="15" t="e">
        <f t="shared" ca="1" si="24"/>
        <v>#N/A</v>
      </c>
      <c r="AN10" s="16" t="e">
        <f t="shared" ca="1" si="24"/>
        <v>#N/A</v>
      </c>
      <c r="AO10" s="13" t="e">
        <f t="shared" ca="1" si="24"/>
        <v>#N/A</v>
      </c>
      <c r="AP10" s="14" t="e">
        <f t="shared" ca="1" si="24"/>
        <v>#N/A</v>
      </c>
      <c r="AQ10" s="14" t="e">
        <f t="shared" ca="1" si="24"/>
        <v>#N/A</v>
      </c>
      <c r="AR10" s="14" t="e">
        <f t="shared" ca="1" si="24"/>
        <v>#N/A</v>
      </c>
      <c r="AS10" s="14" t="e">
        <f t="shared" ca="1" si="24"/>
        <v>#N/A</v>
      </c>
      <c r="AT10" s="15" t="e">
        <f t="shared" ca="1" si="24"/>
        <v>#N/A</v>
      </c>
      <c r="AU10" s="16" t="e">
        <f t="shared" ca="1" si="24"/>
        <v>#N/A</v>
      </c>
      <c r="AV10" s="13" t="e">
        <f t="shared" ca="1" si="24"/>
        <v>#N/A</v>
      </c>
      <c r="AW10" s="14" t="e">
        <f t="shared" ca="1" si="24"/>
        <v>#N/A</v>
      </c>
      <c r="AX10" s="14" t="e">
        <f t="shared" ca="1" si="24"/>
        <v>#N/A</v>
      </c>
      <c r="AY10" s="14" t="e">
        <f t="shared" ca="1" si="24"/>
        <v>#N/A</v>
      </c>
      <c r="AZ10" s="14" t="e">
        <f t="shared" ca="1" si="24"/>
        <v>#N/A</v>
      </c>
      <c r="BA10" s="15" t="e">
        <f t="shared" ca="1" si="24"/>
        <v>#N/A</v>
      </c>
      <c r="BB10" s="16" t="e">
        <f t="shared" ca="1" si="24"/>
        <v>#N/A</v>
      </c>
      <c r="BC10" s="13" t="e">
        <f t="shared" ca="1" si="24"/>
        <v>#N/A</v>
      </c>
      <c r="BD10" s="14" t="e">
        <f t="shared" ca="1" si="24"/>
        <v>#N/A</v>
      </c>
      <c r="BE10" s="14" t="e">
        <f t="shared" ca="1" si="24"/>
        <v>#N/A</v>
      </c>
      <c r="BF10" s="14" t="e">
        <f t="shared" ca="1" si="24"/>
        <v>#N/A</v>
      </c>
      <c r="BG10" s="14" t="e">
        <f t="shared" ca="1" si="24"/>
        <v>#N/A</v>
      </c>
      <c r="BH10" s="15" t="e">
        <f t="shared" ca="1" si="24"/>
        <v>#N/A</v>
      </c>
      <c r="BI10" s="16" t="e">
        <f t="shared" ca="1" si="24"/>
        <v>#N/A</v>
      </c>
      <c r="BJ10" s="13" t="e">
        <f t="shared" ca="1" si="24"/>
        <v>#N/A</v>
      </c>
      <c r="BK10" s="14" t="e">
        <f t="shared" ca="1" si="24"/>
        <v>#N/A</v>
      </c>
      <c r="BL10" s="14" t="e">
        <f t="shared" ca="1" si="24"/>
        <v>#N/A</v>
      </c>
      <c r="BM10" s="14" t="e">
        <f t="shared" ca="1" si="24"/>
        <v>#N/A</v>
      </c>
      <c r="BN10" s="14" t="e">
        <f t="shared" ca="1" si="24"/>
        <v>#N/A</v>
      </c>
      <c r="BO10" s="15" t="e">
        <f t="shared" ca="1" si="24"/>
        <v>#N/A</v>
      </c>
      <c r="BP10" s="16" t="e">
        <f t="shared" ca="1" si="24"/>
        <v>#N/A</v>
      </c>
      <c r="BQ10" s="13" t="e">
        <f t="shared" ca="1" si="24"/>
        <v>#N/A</v>
      </c>
      <c r="BR10" s="14" t="e">
        <f t="shared" ca="1" si="20"/>
        <v>#N/A</v>
      </c>
      <c r="BS10" s="14" t="e">
        <f t="shared" ca="1" si="20"/>
        <v>#N/A</v>
      </c>
      <c r="BT10" s="14" t="e">
        <f t="shared" ca="1" si="20"/>
        <v>#N/A</v>
      </c>
      <c r="BU10" s="14" t="e">
        <f t="shared" ca="1" si="20"/>
        <v>#N/A</v>
      </c>
      <c r="BV10" s="15" t="e">
        <f t="shared" ca="1" si="20"/>
        <v>#N/A</v>
      </c>
      <c r="BW10" s="16" t="e">
        <f t="shared" ca="1" si="21"/>
        <v>#N/A</v>
      </c>
      <c r="BX10" s="13" t="e">
        <f t="shared" ca="1" si="21"/>
        <v>#N/A</v>
      </c>
      <c r="BY10" s="14" t="e">
        <f t="shared" ca="1" si="21"/>
        <v>#N/A</v>
      </c>
      <c r="BZ10" s="14" t="e">
        <f t="shared" ca="1" si="21"/>
        <v>#N/A</v>
      </c>
      <c r="CA10" s="14" t="e">
        <f t="shared" ca="1" si="21"/>
        <v>#N/A</v>
      </c>
      <c r="CB10" s="14" t="e">
        <f t="shared" ca="1" si="21"/>
        <v>#N/A</v>
      </c>
      <c r="CC10" s="15" t="e">
        <f t="shared" ca="1" si="21"/>
        <v>#N/A</v>
      </c>
      <c r="CD10" s="16" t="e">
        <f t="shared" ca="1" si="21"/>
        <v>#N/A</v>
      </c>
      <c r="CE10" s="13" t="e">
        <f t="shared" ca="1" si="21"/>
        <v>#N/A</v>
      </c>
      <c r="CF10" s="14" t="e">
        <f t="shared" ca="1" si="21"/>
        <v>#N/A</v>
      </c>
      <c r="CG10" s="14" t="e">
        <f t="shared" ca="1" si="21"/>
        <v>#N/A</v>
      </c>
      <c r="CH10" s="14" t="e">
        <f t="shared" ca="1" si="21"/>
        <v>#N/A</v>
      </c>
      <c r="CI10" s="14" t="e">
        <f t="shared" ca="1" si="21"/>
        <v>#N/A</v>
      </c>
      <c r="CJ10" s="15" t="e">
        <f t="shared" ca="1" si="21"/>
        <v>#N/A</v>
      </c>
      <c r="CK10" s="16" t="e">
        <f t="shared" ca="1" si="21"/>
        <v>#N/A</v>
      </c>
      <c r="CL10" s="13" t="e">
        <f t="shared" ca="1" si="21"/>
        <v>#N/A</v>
      </c>
      <c r="CM10" s="14" t="e">
        <f t="shared" ca="1" si="22"/>
        <v>#N/A</v>
      </c>
      <c r="CN10" s="14" t="e">
        <f t="shared" ca="1" si="22"/>
        <v>#N/A</v>
      </c>
      <c r="CO10" s="14" t="e">
        <f t="shared" ca="1" si="22"/>
        <v>#N/A</v>
      </c>
      <c r="CP10" s="14" t="e">
        <f t="shared" ca="1" si="22"/>
        <v>#N/A</v>
      </c>
      <c r="CQ10" s="15" t="e">
        <f t="shared" ca="1" si="22"/>
        <v>#N/A</v>
      </c>
      <c r="CR10" s="16" t="e">
        <f t="shared" ca="1" si="22"/>
        <v>#N/A</v>
      </c>
      <c r="CS10" s="13" t="e">
        <f t="shared" ca="1" si="22"/>
        <v>#N/A</v>
      </c>
      <c r="CT10" s="14" t="e">
        <f t="shared" ca="1" si="22"/>
        <v>#N/A</v>
      </c>
      <c r="CU10" s="14" t="e">
        <f t="shared" ca="1" si="22"/>
        <v>#N/A</v>
      </c>
      <c r="CV10" s="14" t="e">
        <f t="shared" ca="1" si="22"/>
        <v>#N/A</v>
      </c>
      <c r="CW10" s="14" t="e">
        <f t="shared" ca="1" si="22"/>
        <v>#N/A</v>
      </c>
      <c r="CX10" s="15" t="e">
        <f t="shared" ca="1" si="22"/>
        <v>#N/A</v>
      </c>
      <c r="CY10" s="16" t="e">
        <f t="shared" ca="1" si="22"/>
        <v>#N/A</v>
      </c>
      <c r="CZ10" s="13" t="e">
        <f t="shared" ca="1" si="22"/>
        <v>#N/A</v>
      </c>
      <c r="DA10" s="14" t="e">
        <f t="shared" ca="1" si="22"/>
        <v>#N/A</v>
      </c>
      <c r="DB10" s="14" t="e">
        <f t="shared" ca="1" si="22"/>
        <v>#N/A</v>
      </c>
      <c r="DC10" s="14" t="e">
        <f t="shared" ca="1" si="23"/>
        <v>#N/A</v>
      </c>
      <c r="DD10" s="14" t="e">
        <f t="shared" ca="1" si="23"/>
        <v>#N/A</v>
      </c>
      <c r="DE10" s="15" t="e">
        <f t="shared" ca="1" si="23"/>
        <v>#N/A</v>
      </c>
      <c r="DF10" s="16" t="e">
        <f t="shared" ca="1" si="23"/>
        <v>#N/A</v>
      </c>
      <c r="DG10" s="13" t="e">
        <f t="shared" ca="1" si="23"/>
        <v>#N/A</v>
      </c>
      <c r="DH10" s="14" t="e">
        <f t="shared" ca="1" si="23"/>
        <v>#N/A</v>
      </c>
      <c r="DI10" s="14" t="e">
        <f t="shared" ca="1" si="23"/>
        <v>#N/A</v>
      </c>
      <c r="DJ10" s="14" t="e">
        <f t="shared" ca="1" si="23"/>
        <v>#N/A</v>
      </c>
      <c r="DK10" s="14" t="e">
        <f t="shared" ca="1" si="23"/>
        <v>#N/A</v>
      </c>
      <c r="DL10" s="15" t="e">
        <f t="shared" ca="1" si="23"/>
        <v>#N/A</v>
      </c>
      <c r="DM10" s="16" t="e">
        <f t="shared" ca="1" si="23"/>
        <v>#N/A</v>
      </c>
      <c r="DN10" s="13" t="e">
        <f t="shared" ca="1" si="23"/>
        <v>#N/A</v>
      </c>
      <c r="DO10" s="14" t="e">
        <f t="shared" ca="1" si="23"/>
        <v>#N/A</v>
      </c>
      <c r="DP10" s="14" t="e">
        <f t="shared" ca="1" si="23"/>
        <v>#N/A</v>
      </c>
      <c r="DQ10" s="14" t="e">
        <f t="shared" ca="1" si="23"/>
        <v>#N/A</v>
      </c>
      <c r="DR10" s="14" t="e">
        <f t="shared" ca="1" si="23"/>
        <v>#N/A</v>
      </c>
      <c r="DS10" s="15" t="e">
        <f t="shared" ca="1" si="23"/>
        <v>#N/A</v>
      </c>
      <c r="DT10" s="16" t="e">
        <f t="shared" ca="1" si="23"/>
        <v>#N/A</v>
      </c>
    </row>
    <row r="11" spans="1:124" s="17" customFormat="1" ht="9.75" customHeight="1">
      <c r="A11" s="586"/>
      <c r="B11" s="18" t="s">
        <v>41</v>
      </c>
      <c r="C11" s="19" t="e">
        <f ca="1">_xlfn.XLOOKUP(A25,'VTT project'!B:B,'VTT project'!U:U,"-",0)+1</f>
        <v>#N/A</v>
      </c>
      <c r="D11" s="19" t="e">
        <f ca="1">_xlfn.XLOOKUP(A25,'VTT project'!B:B,'VTT project'!T:T,"-",0)</f>
        <v>#N/A</v>
      </c>
      <c r="E11" s="19" t="e">
        <f t="shared" ref="E11:E24" ca="1" si="25">(C11+D11)-1</f>
        <v>#N/A</v>
      </c>
      <c r="F11" s="13" t="e">
        <f t="shared" ca="1" si="17"/>
        <v>#N/A</v>
      </c>
      <c r="G11" s="14" t="e">
        <f t="shared" ca="1" si="17"/>
        <v>#N/A</v>
      </c>
      <c r="H11" s="14" t="e">
        <f t="shared" ca="1" si="17"/>
        <v>#N/A</v>
      </c>
      <c r="I11" s="14" t="e">
        <f t="shared" ca="1" si="17"/>
        <v>#N/A</v>
      </c>
      <c r="J11" s="14" t="e">
        <f t="shared" ca="1" si="17"/>
        <v>#N/A</v>
      </c>
      <c r="K11" s="15" t="e">
        <f t="shared" ca="1" si="17"/>
        <v>#N/A</v>
      </c>
      <c r="L11" s="16" t="e">
        <f t="shared" ca="1" si="17"/>
        <v>#N/A</v>
      </c>
      <c r="M11" s="13" t="e">
        <f t="shared" ca="1" si="17"/>
        <v>#N/A</v>
      </c>
      <c r="N11" s="14" t="e">
        <f t="shared" ca="1" si="17"/>
        <v>#N/A</v>
      </c>
      <c r="O11" s="14" t="e">
        <f t="shared" ca="1" si="17"/>
        <v>#N/A</v>
      </c>
      <c r="P11" s="14" t="e">
        <f t="shared" ca="1" si="17"/>
        <v>#N/A</v>
      </c>
      <c r="Q11" s="14" t="e">
        <f t="shared" ca="1" si="17"/>
        <v>#N/A</v>
      </c>
      <c r="R11" s="15" t="e">
        <f t="shared" ca="1" si="17"/>
        <v>#N/A</v>
      </c>
      <c r="S11" s="16" t="e">
        <f t="shared" ca="1" si="17"/>
        <v>#N/A</v>
      </c>
      <c r="T11" s="13" t="e">
        <f t="shared" ca="1" si="17"/>
        <v>#N/A</v>
      </c>
      <c r="U11" s="14" t="e">
        <f t="shared" ca="1" si="17"/>
        <v>#N/A</v>
      </c>
      <c r="V11" s="14" t="e">
        <f t="shared" ca="1" si="17"/>
        <v>#N/A</v>
      </c>
      <c r="W11" s="14" t="e">
        <f t="shared" ca="1" si="17"/>
        <v>#N/A</v>
      </c>
      <c r="X11" s="14" t="e">
        <f t="shared" ca="1" si="17"/>
        <v>#N/A</v>
      </c>
      <c r="Y11" s="15" t="e">
        <f t="shared" ca="1" si="17"/>
        <v>#N/A</v>
      </c>
      <c r="Z11" s="16" t="e">
        <f t="shared" ca="1" si="17"/>
        <v>#N/A</v>
      </c>
      <c r="AA11" s="13" t="e">
        <f t="shared" ca="1" si="18"/>
        <v>#N/A</v>
      </c>
      <c r="AB11" s="14" t="e">
        <f t="shared" ca="1" si="18"/>
        <v>#N/A</v>
      </c>
      <c r="AC11" s="14" t="e">
        <f t="shared" ca="1" si="18"/>
        <v>#N/A</v>
      </c>
      <c r="AD11" s="14" t="e">
        <f t="shared" ca="1" si="18"/>
        <v>#N/A</v>
      </c>
      <c r="AE11" s="14" t="e">
        <f t="shared" ca="1" si="18"/>
        <v>#N/A</v>
      </c>
      <c r="AF11" s="15" t="e">
        <f t="shared" ca="1" si="18"/>
        <v>#N/A</v>
      </c>
      <c r="AG11" s="16" t="e">
        <f t="shared" ca="1" si="18"/>
        <v>#N/A</v>
      </c>
      <c r="AH11" s="13" t="e">
        <f t="shared" ca="1" si="18"/>
        <v>#N/A</v>
      </c>
      <c r="AI11" s="14" t="e">
        <f t="shared" ca="1" si="18"/>
        <v>#N/A</v>
      </c>
      <c r="AJ11" s="14" t="e">
        <f t="shared" ca="1" si="18"/>
        <v>#N/A</v>
      </c>
      <c r="AK11" s="14" t="e">
        <f t="shared" ca="1" si="18"/>
        <v>#N/A</v>
      </c>
      <c r="AL11" s="14" t="e">
        <f t="shared" ca="1" si="18"/>
        <v>#N/A</v>
      </c>
      <c r="AM11" s="15" t="e">
        <f t="shared" ca="1" si="18"/>
        <v>#N/A</v>
      </c>
      <c r="AN11" s="16" t="e">
        <f t="shared" ca="1" si="18"/>
        <v>#N/A</v>
      </c>
      <c r="AO11" s="13" t="e">
        <f t="shared" ca="1" si="18"/>
        <v>#N/A</v>
      </c>
      <c r="AP11" s="14" t="e">
        <f t="shared" ca="1" si="18"/>
        <v>#N/A</v>
      </c>
      <c r="AQ11" s="14" t="e">
        <f t="shared" ca="1" si="19"/>
        <v>#N/A</v>
      </c>
      <c r="AR11" s="14" t="e">
        <f t="shared" ca="1" si="19"/>
        <v>#N/A</v>
      </c>
      <c r="AS11" s="14" t="e">
        <f t="shared" ca="1" si="19"/>
        <v>#N/A</v>
      </c>
      <c r="AT11" s="15" t="e">
        <f t="shared" ca="1" si="19"/>
        <v>#N/A</v>
      </c>
      <c r="AU11" s="16" t="e">
        <f t="shared" ca="1" si="19"/>
        <v>#N/A</v>
      </c>
      <c r="AV11" s="13" t="e">
        <f t="shared" ca="1" si="19"/>
        <v>#N/A</v>
      </c>
      <c r="AW11" s="14" t="e">
        <f t="shared" ca="1" si="19"/>
        <v>#N/A</v>
      </c>
      <c r="AX11" s="14" t="e">
        <f t="shared" ca="1" si="19"/>
        <v>#N/A</v>
      </c>
      <c r="AY11" s="14" t="e">
        <f t="shared" ca="1" si="19"/>
        <v>#N/A</v>
      </c>
      <c r="AZ11" s="14" t="e">
        <f t="shared" ca="1" si="19"/>
        <v>#N/A</v>
      </c>
      <c r="BA11" s="15" t="e">
        <f t="shared" ca="1" si="19"/>
        <v>#N/A</v>
      </c>
      <c r="BB11" s="16" t="e">
        <f t="shared" ca="1" si="19"/>
        <v>#N/A</v>
      </c>
      <c r="BC11" s="13" t="e">
        <f t="shared" ca="1" si="19"/>
        <v>#N/A</v>
      </c>
      <c r="BD11" s="14" t="e">
        <f t="shared" ca="1" si="19"/>
        <v>#N/A</v>
      </c>
      <c r="BE11" s="14" t="e">
        <f t="shared" ca="1" si="19"/>
        <v>#N/A</v>
      </c>
      <c r="BF11" s="14" t="e">
        <f t="shared" ca="1" si="19"/>
        <v>#N/A</v>
      </c>
      <c r="BG11" s="14" t="e">
        <f t="shared" ca="1" si="20"/>
        <v>#N/A</v>
      </c>
      <c r="BH11" s="15" t="e">
        <f t="shared" ca="1" si="20"/>
        <v>#N/A</v>
      </c>
      <c r="BI11" s="16" t="e">
        <f t="shared" ca="1" si="20"/>
        <v>#N/A</v>
      </c>
      <c r="BJ11" s="13" t="e">
        <f t="shared" ca="1" si="20"/>
        <v>#N/A</v>
      </c>
      <c r="BK11" s="14" t="e">
        <f t="shared" ca="1" si="20"/>
        <v>#N/A</v>
      </c>
      <c r="BL11" s="14" t="e">
        <f t="shared" ca="1" si="20"/>
        <v>#N/A</v>
      </c>
      <c r="BM11" s="14" t="e">
        <f t="shared" ca="1" si="20"/>
        <v>#N/A</v>
      </c>
      <c r="BN11" s="14" t="e">
        <f t="shared" ca="1" si="20"/>
        <v>#N/A</v>
      </c>
      <c r="BO11" s="15" t="e">
        <f t="shared" ca="1" si="20"/>
        <v>#N/A</v>
      </c>
      <c r="BP11" s="16" t="e">
        <f t="shared" ca="1" si="20"/>
        <v>#N/A</v>
      </c>
      <c r="BQ11" s="13" t="e">
        <f t="shared" ca="1" si="20"/>
        <v>#N/A</v>
      </c>
      <c r="BR11" s="14" t="e">
        <f t="shared" ca="1" si="20"/>
        <v>#N/A</v>
      </c>
      <c r="BS11" s="14" t="e">
        <f t="shared" ca="1" si="20"/>
        <v>#N/A</v>
      </c>
      <c r="BT11" s="14" t="e">
        <f t="shared" ca="1" si="20"/>
        <v>#N/A</v>
      </c>
      <c r="BU11" s="14" t="e">
        <f t="shared" ca="1" si="20"/>
        <v>#N/A</v>
      </c>
      <c r="BV11" s="15" t="e">
        <f t="shared" ca="1" si="20"/>
        <v>#N/A</v>
      </c>
      <c r="BW11" s="16" t="e">
        <f t="shared" ca="1" si="21"/>
        <v>#N/A</v>
      </c>
      <c r="BX11" s="13" t="e">
        <f t="shared" ca="1" si="21"/>
        <v>#N/A</v>
      </c>
      <c r="BY11" s="14" t="e">
        <f t="shared" ca="1" si="21"/>
        <v>#N/A</v>
      </c>
      <c r="BZ11" s="14" t="e">
        <f t="shared" ca="1" si="21"/>
        <v>#N/A</v>
      </c>
      <c r="CA11" s="14" t="e">
        <f t="shared" ca="1" si="21"/>
        <v>#N/A</v>
      </c>
      <c r="CB11" s="14" t="e">
        <f t="shared" ca="1" si="21"/>
        <v>#N/A</v>
      </c>
      <c r="CC11" s="15" t="e">
        <f t="shared" ca="1" si="21"/>
        <v>#N/A</v>
      </c>
      <c r="CD11" s="16" t="e">
        <f t="shared" ca="1" si="21"/>
        <v>#N/A</v>
      </c>
      <c r="CE11" s="13" t="e">
        <f t="shared" ca="1" si="21"/>
        <v>#N/A</v>
      </c>
      <c r="CF11" s="14" t="e">
        <f t="shared" ca="1" si="21"/>
        <v>#N/A</v>
      </c>
      <c r="CG11" s="14" t="e">
        <f t="shared" ca="1" si="21"/>
        <v>#N/A</v>
      </c>
      <c r="CH11" s="14" t="e">
        <f t="shared" ca="1" si="21"/>
        <v>#N/A</v>
      </c>
      <c r="CI11" s="14" t="e">
        <f t="shared" ca="1" si="21"/>
        <v>#N/A</v>
      </c>
      <c r="CJ11" s="15" t="e">
        <f t="shared" ca="1" si="21"/>
        <v>#N/A</v>
      </c>
      <c r="CK11" s="16" t="e">
        <f t="shared" ca="1" si="21"/>
        <v>#N/A</v>
      </c>
      <c r="CL11" s="13" t="e">
        <f t="shared" ca="1" si="21"/>
        <v>#N/A</v>
      </c>
      <c r="CM11" s="14" t="e">
        <f t="shared" ca="1" si="22"/>
        <v>#N/A</v>
      </c>
      <c r="CN11" s="14" t="e">
        <f t="shared" ca="1" si="22"/>
        <v>#N/A</v>
      </c>
      <c r="CO11" s="14" t="e">
        <f t="shared" ca="1" si="22"/>
        <v>#N/A</v>
      </c>
      <c r="CP11" s="14" t="e">
        <f t="shared" ca="1" si="22"/>
        <v>#N/A</v>
      </c>
      <c r="CQ11" s="15" t="e">
        <f t="shared" ca="1" si="22"/>
        <v>#N/A</v>
      </c>
      <c r="CR11" s="16" t="e">
        <f t="shared" ca="1" si="22"/>
        <v>#N/A</v>
      </c>
      <c r="CS11" s="13" t="e">
        <f t="shared" ca="1" si="22"/>
        <v>#N/A</v>
      </c>
      <c r="CT11" s="14" t="e">
        <f t="shared" ca="1" si="22"/>
        <v>#N/A</v>
      </c>
      <c r="CU11" s="14" t="e">
        <f t="shared" ca="1" si="22"/>
        <v>#N/A</v>
      </c>
      <c r="CV11" s="14" t="e">
        <f t="shared" ca="1" si="22"/>
        <v>#N/A</v>
      </c>
      <c r="CW11" s="14" t="e">
        <f t="shared" ca="1" si="22"/>
        <v>#N/A</v>
      </c>
      <c r="CX11" s="15" t="e">
        <f t="shared" ca="1" si="22"/>
        <v>#N/A</v>
      </c>
      <c r="CY11" s="16" t="e">
        <f t="shared" ca="1" si="22"/>
        <v>#N/A</v>
      </c>
      <c r="CZ11" s="13" t="e">
        <f t="shared" ca="1" si="22"/>
        <v>#N/A</v>
      </c>
      <c r="DA11" s="14" t="e">
        <f t="shared" ca="1" si="22"/>
        <v>#N/A</v>
      </c>
      <c r="DB11" s="14" t="e">
        <f t="shared" ca="1" si="22"/>
        <v>#N/A</v>
      </c>
      <c r="DC11" s="14" t="e">
        <f t="shared" ca="1" si="23"/>
        <v>#N/A</v>
      </c>
      <c r="DD11" s="14" t="e">
        <f t="shared" ca="1" si="23"/>
        <v>#N/A</v>
      </c>
      <c r="DE11" s="15" t="e">
        <f t="shared" ca="1" si="23"/>
        <v>#N/A</v>
      </c>
      <c r="DF11" s="16" t="e">
        <f t="shared" ca="1" si="23"/>
        <v>#N/A</v>
      </c>
      <c r="DG11" s="13" t="e">
        <f t="shared" ca="1" si="23"/>
        <v>#N/A</v>
      </c>
      <c r="DH11" s="14" t="e">
        <f t="shared" ca="1" si="23"/>
        <v>#N/A</v>
      </c>
      <c r="DI11" s="14" t="e">
        <f t="shared" ca="1" si="23"/>
        <v>#N/A</v>
      </c>
      <c r="DJ11" s="14" t="e">
        <f t="shared" ca="1" si="23"/>
        <v>#N/A</v>
      </c>
      <c r="DK11" s="14" t="e">
        <f t="shared" ca="1" si="23"/>
        <v>#N/A</v>
      </c>
      <c r="DL11" s="15" t="e">
        <f t="shared" ca="1" si="23"/>
        <v>#N/A</v>
      </c>
      <c r="DM11" s="16" t="e">
        <f t="shared" ca="1" si="23"/>
        <v>#N/A</v>
      </c>
      <c r="DN11" s="13" t="e">
        <f t="shared" ca="1" si="23"/>
        <v>#N/A</v>
      </c>
      <c r="DO11" s="14" t="e">
        <f t="shared" ca="1" si="23"/>
        <v>#N/A</v>
      </c>
      <c r="DP11" s="14" t="e">
        <f t="shared" ca="1" si="23"/>
        <v>#N/A</v>
      </c>
      <c r="DQ11" s="14" t="e">
        <f t="shared" ca="1" si="23"/>
        <v>#N/A</v>
      </c>
      <c r="DR11" s="14" t="e">
        <f t="shared" ca="1" si="23"/>
        <v>#N/A</v>
      </c>
      <c r="DS11" s="15" t="e">
        <f t="shared" ca="1" si="23"/>
        <v>#N/A</v>
      </c>
      <c r="DT11" s="16" t="e">
        <f t="shared" ca="1" si="23"/>
        <v>#N/A</v>
      </c>
    </row>
    <row r="12" spans="1:124" s="17" customFormat="1" ht="9.75" customHeight="1">
      <c r="A12" s="586"/>
      <c r="B12" s="18" t="s">
        <v>42</v>
      </c>
      <c r="C12" s="19" t="e">
        <f ca="1">E11+1</f>
        <v>#N/A</v>
      </c>
      <c r="D12" s="19" t="e">
        <f ca="1">_xlfn.XLOOKUP(A25,'VTT project'!B:B,'VTT project'!V:V,"-",0)</f>
        <v>#N/A</v>
      </c>
      <c r="E12" s="21" t="e">
        <f t="shared" ca="1" si="25"/>
        <v>#N/A</v>
      </c>
      <c r="F12" s="13" t="e">
        <f t="shared" ca="1" si="17"/>
        <v>#N/A</v>
      </c>
      <c r="G12" s="14" t="e">
        <f t="shared" ca="1" si="17"/>
        <v>#N/A</v>
      </c>
      <c r="H12" s="14" t="e">
        <f t="shared" ca="1" si="17"/>
        <v>#N/A</v>
      </c>
      <c r="I12" s="14" t="e">
        <f t="shared" ca="1" si="17"/>
        <v>#N/A</v>
      </c>
      <c r="J12" s="14" t="e">
        <f t="shared" ca="1" si="17"/>
        <v>#N/A</v>
      </c>
      <c r="K12" s="15" t="e">
        <f t="shared" ca="1" si="17"/>
        <v>#N/A</v>
      </c>
      <c r="L12" s="16" t="e">
        <f t="shared" ca="1" si="17"/>
        <v>#N/A</v>
      </c>
      <c r="M12" s="13" t="e">
        <f t="shared" ca="1" si="17"/>
        <v>#N/A</v>
      </c>
      <c r="N12" s="14" t="e">
        <f t="shared" ca="1" si="17"/>
        <v>#N/A</v>
      </c>
      <c r="O12" s="14" t="e">
        <f t="shared" ca="1" si="17"/>
        <v>#N/A</v>
      </c>
      <c r="P12" s="14" t="e">
        <f t="shared" ca="1" si="17"/>
        <v>#N/A</v>
      </c>
      <c r="Q12" s="14" t="e">
        <f t="shared" ca="1" si="17"/>
        <v>#N/A</v>
      </c>
      <c r="R12" s="15" t="e">
        <f t="shared" ca="1" si="17"/>
        <v>#N/A</v>
      </c>
      <c r="S12" s="16" t="e">
        <f t="shared" ca="1" si="17"/>
        <v>#N/A</v>
      </c>
      <c r="T12" s="13" t="e">
        <f t="shared" ca="1" si="17"/>
        <v>#N/A</v>
      </c>
      <c r="U12" s="14" t="e">
        <f t="shared" ca="1" si="17"/>
        <v>#N/A</v>
      </c>
      <c r="V12" s="14" t="e">
        <f t="shared" ca="1" si="17"/>
        <v>#N/A</v>
      </c>
      <c r="W12" s="14" t="e">
        <f t="shared" ca="1" si="17"/>
        <v>#N/A</v>
      </c>
      <c r="X12" s="14" t="e">
        <f t="shared" ca="1" si="17"/>
        <v>#N/A</v>
      </c>
      <c r="Y12" s="15" t="e">
        <f t="shared" ca="1" si="17"/>
        <v>#N/A</v>
      </c>
      <c r="Z12" s="16" t="e">
        <f t="shared" ca="1" si="17"/>
        <v>#N/A</v>
      </c>
      <c r="AA12" s="13" t="e">
        <f t="shared" ca="1" si="18"/>
        <v>#N/A</v>
      </c>
      <c r="AB12" s="14" t="e">
        <f t="shared" ca="1" si="18"/>
        <v>#N/A</v>
      </c>
      <c r="AC12" s="14" t="e">
        <f t="shared" ca="1" si="18"/>
        <v>#N/A</v>
      </c>
      <c r="AD12" s="14" t="e">
        <f t="shared" ca="1" si="18"/>
        <v>#N/A</v>
      </c>
      <c r="AE12" s="14" t="e">
        <f t="shared" ca="1" si="18"/>
        <v>#N/A</v>
      </c>
      <c r="AF12" s="15" t="e">
        <f t="shared" ca="1" si="18"/>
        <v>#N/A</v>
      </c>
      <c r="AG12" s="16" t="e">
        <f t="shared" ca="1" si="18"/>
        <v>#N/A</v>
      </c>
      <c r="AH12" s="13" t="e">
        <f t="shared" ca="1" si="18"/>
        <v>#N/A</v>
      </c>
      <c r="AI12" s="14" t="e">
        <f t="shared" ca="1" si="18"/>
        <v>#N/A</v>
      </c>
      <c r="AJ12" s="14" t="e">
        <f t="shared" ca="1" si="18"/>
        <v>#N/A</v>
      </c>
      <c r="AK12" s="14" t="e">
        <f t="shared" ca="1" si="18"/>
        <v>#N/A</v>
      </c>
      <c r="AL12" s="14" t="e">
        <f t="shared" ca="1" si="18"/>
        <v>#N/A</v>
      </c>
      <c r="AM12" s="15" t="e">
        <f t="shared" ca="1" si="18"/>
        <v>#N/A</v>
      </c>
      <c r="AN12" s="16" t="e">
        <f t="shared" ca="1" si="18"/>
        <v>#N/A</v>
      </c>
      <c r="AO12" s="13" t="e">
        <f t="shared" ca="1" si="18"/>
        <v>#N/A</v>
      </c>
      <c r="AP12" s="14" t="e">
        <f t="shared" ca="1" si="18"/>
        <v>#N/A</v>
      </c>
      <c r="AQ12" s="14" t="e">
        <f t="shared" ca="1" si="19"/>
        <v>#N/A</v>
      </c>
      <c r="AR12" s="14" t="e">
        <f t="shared" ca="1" si="19"/>
        <v>#N/A</v>
      </c>
      <c r="AS12" s="14" t="e">
        <f t="shared" ca="1" si="19"/>
        <v>#N/A</v>
      </c>
      <c r="AT12" s="15" t="e">
        <f t="shared" ca="1" si="19"/>
        <v>#N/A</v>
      </c>
      <c r="AU12" s="16" t="e">
        <f t="shared" ca="1" si="19"/>
        <v>#N/A</v>
      </c>
      <c r="AV12" s="13" t="e">
        <f t="shared" ca="1" si="19"/>
        <v>#N/A</v>
      </c>
      <c r="AW12" s="14" t="e">
        <f t="shared" ca="1" si="19"/>
        <v>#N/A</v>
      </c>
      <c r="AX12" s="14" t="e">
        <f t="shared" ca="1" si="19"/>
        <v>#N/A</v>
      </c>
      <c r="AY12" s="14" t="e">
        <f t="shared" ca="1" si="19"/>
        <v>#N/A</v>
      </c>
      <c r="AZ12" s="14" t="e">
        <f t="shared" ca="1" si="19"/>
        <v>#N/A</v>
      </c>
      <c r="BA12" s="15" t="e">
        <f t="shared" ca="1" si="19"/>
        <v>#N/A</v>
      </c>
      <c r="BB12" s="16" t="e">
        <f t="shared" ca="1" si="19"/>
        <v>#N/A</v>
      </c>
      <c r="BC12" s="13" t="e">
        <f t="shared" ca="1" si="19"/>
        <v>#N/A</v>
      </c>
      <c r="BD12" s="14" t="e">
        <f t="shared" ca="1" si="19"/>
        <v>#N/A</v>
      </c>
      <c r="BE12" s="14" t="e">
        <f t="shared" ca="1" si="19"/>
        <v>#N/A</v>
      </c>
      <c r="BF12" s="14" t="e">
        <f t="shared" ca="1" si="19"/>
        <v>#N/A</v>
      </c>
      <c r="BG12" s="14" t="e">
        <f t="shared" ca="1" si="20"/>
        <v>#N/A</v>
      </c>
      <c r="BH12" s="15" t="e">
        <f t="shared" ca="1" si="20"/>
        <v>#N/A</v>
      </c>
      <c r="BI12" s="16" t="e">
        <f t="shared" ca="1" si="20"/>
        <v>#N/A</v>
      </c>
      <c r="BJ12" s="13" t="e">
        <f t="shared" ca="1" si="20"/>
        <v>#N/A</v>
      </c>
      <c r="BK12" s="14" t="e">
        <f t="shared" ca="1" si="20"/>
        <v>#N/A</v>
      </c>
      <c r="BL12" s="14" t="e">
        <f t="shared" ca="1" si="20"/>
        <v>#N/A</v>
      </c>
      <c r="BM12" s="14" t="e">
        <f t="shared" ca="1" si="20"/>
        <v>#N/A</v>
      </c>
      <c r="BN12" s="14" t="e">
        <f t="shared" ca="1" si="20"/>
        <v>#N/A</v>
      </c>
      <c r="BO12" s="15" t="e">
        <f t="shared" ca="1" si="20"/>
        <v>#N/A</v>
      </c>
      <c r="BP12" s="16" t="e">
        <f t="shared" ca="1" si="20"/>
        <v>#N/A</v>
      </c>
      <c r="BQ12" s="13" t="e">
        <f t="shared" ca="1" si="20"/>
        <v>#N/A</v>
      </c>
      <c r="BR12" s="14" t="e">
        <f t="shared" ca="1" si="20"/>
        <v>#N/A</v>
      </c>
      <c r="BS12" s="14" t="e">
        <f t="shared" ca="1" si="20"/>
        <v>#N/A</v>
      </c>
      <c r="BT12" s="14" t="e">
        <f t="shared" ca="1" si="20"/>
        <v>#N/A</v>
      </c>
      <c r="BU12" s="14" t="e">
        <f t="shared" ca="1" si="20"/>
        <v>#N/A</v>
      </c>
      <c r="BV12" s="15" t="e">
        <f t="shared" ca="1" si="20"/>
        <v>#N/A</v>
      </c>
      <c r="BW12" s="16" t="e">
        <f t="shared" ca="1" si="21"/>
        <v>#N/A</v>
      </c>
      <c r="BX12" s="13" t="e">
        <f t="shared" ca="1" si="21"/>
        <v>#N/A</v>
      </c>
      <c r="BY12" s="14" t="e">
        <f t="shared" ca="1" si="21"/>
        <v>#N/A</v>
      </c>
      <c r="BZ12" s="14" t="e">
        <f t="shared" ca="1" si="21"/>
        <v>#N/A</v>
      </c>
      <c r="CA12" s="14" t="e">
        <f t="shared" ca="1" si="21"/>
        <v>#N/A</v>
      </c>
      <c r="CB12" s="14" t="e">
        <f t="shared" ca="1" si="21"/>
        <v>#N/A</v>
      </c>
      <c r="CC12" s="15" t="e">
        <f t="shared" ca="1" si="21"/>
        <v>#N/A</v>
      </c>
      <c r="CD12" s="16" t="e">
        <f t="shared" ca="1" si="21"/>
        <v>#N/A</v>
      </c>
      <c r="CE12" s="13" t="e">
        <f t="shared" ca="1" si="21"/>
        <v>#N/A</v>
      </c>
      <c r="CF12" s="14" t="e">
        <f t="shared" ca="1" si="21"/>
        <v>#N/A</v>
      </c>
      <c r="CG12" s="14" t="e">
        <f t="shared" ca="1" si="21"/>
        <v>#N/A</v>
      </c>
      <c r="CH12" s="14" t="e">
        <f t="shared" ca="1" si="21"/>
        <v>#N/A</v>
      </c>
      <c r="CI12" s="14" t="e">
        <f t="shared" ca="1" si="21"/>
        <v>#N/A</v>
      </c>
      <c r="CJ12" s="15" t="e">
        <f t="shared" ca="1" si="21"/>
        <v>#N/A</v>
      </c>
      <c r="CK12" s="16" t="e">
        <f t="shared" ca="1" si="21"/>
        <v>#N/A</v>
      </c>
      <c r="CL12" s="13" t="e">
        <f t="shared" ca="1" si="21"/>
        <v>#N/A</v>
      </c>
      <c r="CM12" s="14" t="e">
        <f t="shared" ca="1" si="22"/>
        <v>#N/A</v>
      </c>
      <c r="CN12" s="14" t="e">
        <f t="shared" ca="1" si="22"/>
        <v>#N/A</v>
      </c>
      <c r="CO12" s="14" t="e">
        <f t="shared" ca="1" si="22"/>
        <v>#N/A</v>
      </c>
      <c r="CP12" s="14" t="e">
        <f t="shared" ca="1" si="22"/>
        <v>#N/A</v>
      </c>
      <c r="CQ12" s="15" t="e">
        <f t="shared" ca="1" si="22"/>
        <v>#N/A</v>
      </c>
      <c r="CR12" s="16" t="e">
        <f t="shared" ca="1" si="22"/>
        <v>#N/A</v>
      </c>
      <c r="CS12" s="13" t="e">
        <f t="shared" ca="1" si="22"/>
        <v>#N/A</v>
      </c>
      <c r="CT12" s="14" t="e">
        <f t="shared" ca="1" si="22"/>
        <v>#N/A</v>
      </c>
      <c r="CU12" s="14" t="e">
        <f t="shared" ca="1" si="22"/>
        <v>#N/A</v>
      </c>
      <c r="CV12" s="14" t="e">
        <f t="shared" ca="1" si="22"/>
        <v>#N/A</v>
      </c>
      <c r="CW12" s="14" t="e">
        <f t="shared" ca="1" si="22"/>
        <v>#N/A</v>
      </c>
      <c r="CX12" s="15" t="e">
        <f t="shared" ca="1" si="22"/>
        <v>#N/A</v>
      </c>
      <c r="CY12" s="16" t="e">
        <f t="shared" ca="1" si="22"/>
        <v>#N/A</v>
      </c>
      <c r="CZ12" s="13" t="e">
        <f t="shared" ca="1" si="22"/>
        <v>#N/A</v>
      </c>
      <c r="DA12" s="14" t="e">
        <f t="shared" ca="1" si="22"/>
        <v>#N/A</v>
      </c>
      <c r="DB12" s="14" t="e">
        <f t="shared" ca="1" si="22"/>
        <v>#N/A</v>
      </c>
      <c r="DC12" s="14" t="e">
        <f t="shared" ca="1" si="23"/>
        <v>#N/A</v>
      </c>
      <c r="DD12" s="14" t="e">
        <f t="shared" ca="1" si="23"/>
        <v>#N/A</v>
      </c>
      <c r="DE12" s="15" t="e">
        <f t="shared" ca="1" si="23"/>
        <v>#N/A</v>
      </c>
      <c r="DF12" s="16" t="e">
        <f t="shared" ca="1" si="23"/>
        <v>#N/A</v>
      </c>
      <c r="DG12" s="13" t="e">
        <f t="shared" ca="1" si="23"/>
        <v>#N/A</v>
      </c>
      <c r="DH12" s="14" t="e">
        <f t="shared" ca="1" si="23"/>
        <v>#N/A</v>
      </c>
      <c r="DI12" s="14" t="e">
        <f t="shared" ca="1" si="23"/>
        <v>#N/A</v>
      </c>
      <c r="DJ12" s="14" t="e">
        <f t="shared" ca="1" si="23"/>
        <v>#N/A</v>
      </c>
      <c r="DK12" s="14" t="e">
        <f t="shared" ca="1" si="23"/>
        <v>#N/A</v>
      </c>
      <c r="DL12" s="15" t="e">
        <f t="shared" ca="1" si="23"/>
        <v>#N/A</v>
      </c>
      <c r="DM12" s="16" t="e">
        <f t="shared" ca="1" si="23"/>
        <v>#N/A</v>
      </c>
      <c r="DN12" s="13" t="e">
        <f t="shared" ca="1" si="23"/>
        <v>#N/A</v>
      </c>
      <c r="DO12" s="14" t="e">
        <f t="shared" ca="1" si="23"/>
        <v>#N/A</v>
      </c>
      <c r="DP12" s="14" t="e">
        <f t="shared" ca="1" si="23"/>
        <v>#N/A</v>
      </c>
      <c r="DQ12" s="14" t="e">
        <f t="shared" ca="1" si="23"/>
        <v>#N/A</v>
      </c>
      <c r="DR12" s="14" t="e">
        <f t="shared" ca="1" si="23"/>
        <v>#N/A</v>
      </c>
      <c r="DS12" s="15" t="e">
        <f t="shared" ca="1" si="23"/>
        <v>#N/A</v>
      </c>
      <c r="DT12" s="16" t="e">
        <f t="shared" ca="1" si="23"/>
        <v>#N/A</v>
      </c>
    </row>
    <row r="13" spans="1:124" s="17" customFormat="1" ht="9.75" customHeight="1">
      <c r="A13" s="586"/>
      <c r="B13" s="22" t="s">
        <v>43</v>
      </c>
      <c r="C13" s="19" t="e">
        <f ca="1">IF(AND(_xlfn.XLOOKUP(A25,'VTT project'!B:B,'VTT project'!W:W,"-",0)=7,INT(E12/7)=E12/7),E12,IF((ROUNDDOWN(E12/7,0)*7+_xlfn.XLOOKUP(A25,'VTT project'!B:B,'VTT project'!W:W,"-",0))&lt;E12,(ROUNDDOWN(E12/7,0)*7+_xlfn.XLOOKUP(A25,'VTT project'!B:B,'VTT project'!W:W,"-",0))+7,(ROUNDDOWN(E12/7,0)*7+_xlfn.XLOOKUP(A25,'VTT project'!B:B,'VTT project'!W:W,"-",0))))</f>
        <v>#N/A</v>
      </c>
      <c r="D13" s="20">
        <v>0</v>
      </c>
      <c r="E13" s="19" t="e">
        <f ca="1">C13+D13</f>
        <v>#N/A</v>
      </c>
      <c r="F13" s="13" t="e">
        <f t="shared" ca="1" si="17"/>
        <v>#N/A</v>
      </c>
      <c r="G13" s="14" t="e">
        <f t="shared" ca="1" si="17"/>
        <v>#N/A</v>
      </c>
      <c r="H13" s="14" t="e">
        <f t="shared" ca="1" si="17"/>
        <v>#N/A</v>
      </c>
      <c r="I13" s="14" t="e">
        <f t="shared" ca="1" si="17"/>
        <v>#N/A</v>
      </c>
      <c r="J13" s="14" t="e">
        <f t="shared" ca="1" si="17"/>
        <v>#N/A</v>
      </c>
      <c r="K13" s="15" t="e">
        <f t="shared" ca="1" si="17"/>
        <v>#N/A</v>
      </c>
      <c r="L13" s="16" t="e">
        <f t="shared" ca="1" si="17"/>
        <v>#N/A</v>
      </c>
      <c r="M13" s="13" t="e">
        <f t="shared" ca="1" si="17"/>
        <v>#N/A</v>
      </c>
      <c r="N13" s="14" t="e">
        <f t="shared" ca="1" si="17"/>
        <v>#N/A</v>
      </c>
      <c r="O13" s="14" t="e">
        <f t="shared" ca="1" si="17"/>
        <v>#N/A</v>
      </c>
      <c r="P13" s="14" t="e">
        <f t="shared" ca="1" si="17"/>
        <v>#N/A</v>
      </c>
      <c r="Q13" s="14" t="e">
        <f t="shared" ca="1" si="17"/>
        <v>#N/A</v>
      </c>
      <c r="R13" s="15" t="e">
        <f t="shared" ca="1" si="17"/>
        <v>#N/A</v>
      </c>
      <c r="S13" s="16" t="e">
        <f t="shared" ca="1" si="17"/>
        <v>#N/A</v>
      </c>
      <c r="T13" s="13" t="e">
        <f t="shared" ca="1" si="17"/>
        <v>#N/A</v>
      </c>
      <c r="U13" s="14" t="e">
        <f t="shared" ca="1" si="17"/>
        <v>#N/A</v>
      </c>
      <c r="V13" s="14" t="e">
        <f t="shared" ca="1" si="17"/>
        <v>#N/A</v>
      </c>
      <c r="W13" s="14" t="e">
        <f t="shared" ca="1" si="17"/>
        <v>#N/A</v>
      </c>
      <c r="X13" s="14" t="e">
        <f t="shared" ca="1" si="17"/>
        <v>#N/A</v>
      </c>
      <c r="Y13" s="15" t="e">
        <f t="shared" ca="1" si="17"/>
        <v>#N/A</v>
      </c>
      <c r="Z13" s="16" t="e">
        <f t="shared" ca="1" si="17"/>
        <v>#N/A</v>
      </c>
      <c r="AA13" s="13" t="e">
        <f t="shared" ca="1" si="18"/>
        <v>#N/A</v>
      </c>
      <c r="AB13" s="14" t="e">
        <f t="shared" ca="1" si="18"/>
        <v>#N/A</v>
      </c>
      <c r="AC13" s="14" t="e">
        <f t="shared" ca="1" si="18"/>
        <v>#N/A</v>
      </c>
      <c r="AD13" s="14" t="e">
        <f t="shared" ca="1" si="18"/>
        <v>#N/A</v>
      </c>
      <c r="AE13" s="14" t="e">
        <f t="shared" ca="1" si="18"/>
        <v>#N/A</v>
      </c>
      <c r="AF13" s="15" t="e">
        <f t="shared" ca="1" si="18"/>
        <v>#N/A</v>
      </c>
      <c r="AG13" s="16" t="e">
        <f t="shared" ca="1" si="18"/>
        <v>#N/A</v>
      </c>
      <c r="AH13" s="13" t="e">
        <f t="shared" ca="1" si="18"/>
        <v>#N/A</v>
      </c>
      <c r="AI13" s="14" t="e">
        <f t="shared" ca="1" si="18"/>
        <v>#N/A</v>
      </c>
      <c r="AJ13" s="14" t="e">
        <f t="shared" ca="1" si="18"/>
        <v>#N/A</v>
      </c>
      <c r="AK13" s="14" t="e">
        <f t="shared" ca="1" si="18"/>
        <v>#N/A</v>
      </c>
      <c r="AL13" s="14" t="e">
        <f t="shared" ca="1" si="18"/>
        <v>#N/A</v>
      </c>
      <c r="AM13" s="15" t="e">
        <f t="shared" ca="1" si="18"/>
        <v>#N/A</v>
      </c>
      <c r="AN13" s="16" t="e">
        <f t="shared" ca="1" si="18"/>
        <v>#N/A</v>
      </c>
      <c r="AO13" s="13" t="e">
        <f t="shared" ca="1" si="18"/>
        <v>#N/A</v>
      </c>
      <c r="AP13" s="14" t="e">
        <f t="shared" ca="1" si="18"/>
        <v>#N/A</v>
      </c>
      <c r="AQ13" s="14" t="e">
        <f t="shared" ca="1" si="19"/>
        <v>#N/A</v>
      </c>
      <c r="AR13" s="14" t="e">
        <f t="shared" ca="1" si="19"/>
        <v>#N/A</v>
      </c>
      <c r="AS13" s="14" t="e">
        <f t="shared" ca="1" si="19"/>
        <v>#N/A</v>
      </c>
      <c r="AT13" s="15" t="e">
        <f t="shared" ca="1" si="19"/>
        <v>#N/A</v>
      </c>
      <c r="AU13" s="16" t="e">
        <f t="shared" ca="1" si="19"/>
        <v>#N/A</v>
      </c>
      <c r="AV13" s="13" t="e">
        <f t="shared" ca="1" si="19"/>
        <v>#N/A</v>
      </c>
      <c r="AW13" s="14" t="e">
        <f t="shared" ca="1" si="19"/>
        <v>#N/A</v>
      </c>
      <c r="AX13" s="14" t="e">
        <f t="shared" ca="1" si="19"/>
        <v>#N/A</v>
      </c>
      <c r="AY13" s="14" t="e">
        <f t="shared" ca="1" si="19"/>
        <v>#N/A</v>
      </c>
      <c r="AZ13" s="14" t="e">
        <f t="shared" ca="1" si="19"/>
        <v>#N/A</v>
      </c>
      <c r="BA13" s="15" t="e">
        <f t="shared" ca="1" si="19"/>
        <v>#N/A</v>
      </c>
      <c r="BB13" s="16" t="e">
        <f t="shared" ca="1" si="19"/>
        <v>#N/A</v>
      </c>
      <c r="BC13" s="13" t="e">
        <f t="shared" ca="1" si="19"/>
        <v>#N/A</v>
      </c>
      <c r="BD13" s="14" t="e">
        <f t="shared" ca="1" si="19"/>
        <v>#N/A</v>
      </c>
      <c r="BE13" s="14" t="e">
        <f t="shared" ca="1" si="19"/>
        <v>#N/A</v>
      </c>
      <c r="BF13" s="14" t="e">
        <f t="shared" ca="1" si="19"/>
        <v>#N/A</v>
      </c>
      <c r="BG13" s="14" t="e">
        <f t="shared" ca="1" si="20"/>
        <v>#N/A</v>
      </c>
      <c r="BH13" s="15" t="e">
        <f t="shared" ca="1" si="20"/>
        <v>#N/A</v>
      </c>
      <c r="BI13" s="16" t="e">
        <f t="shared" ca="1" si="20"/>
        <v>#N/A</v>
      </c>
      <c r="BJ13" s="13" t="e">
        <f t="shared" ca="1" si="20"/>
        <v>#N/A</v>
      </c>
      <c r="BK13" s="14" t="e">
        <f t="shared" ca="1" si="20"/>
        <v>#N/A</v>
      </c>
      <c r="BL13" s="14" t="e">
        <f t="shared" ca="1" si="20"/>
        <v>#N/A</v>
      </c>
      <c r="BM13" s="14" t="e">
        <f t="shared" ca="1" si="20"/>
        <v>#N/A</v>
      </c>
      <c r="BN13" s="14" t="e">
        <f t="shared" ca="1" si="20"/>
        <v>#N/A</v>
      </c>
      <c r="BO13" s="15" t="e">
        <f t="shared" ca="1" si="20"/>
        <v>#N/A</v>
      </c>
      <c r="BP13" s="16" t="e">
        <f t="shared" ca="1" si="20"/>
        <v>#N/A</v>
      </c>
      <c r="BQ13" s="13" t="e">
        <f t="shared" ca="1" si="20"/>
        <v>#N/A</v>
      </c>
      <c r="BR13" s="14" t="e">
        <f t="shared" ca="1" si="20"/>
        <v>#N/A</v>
      </c>
      <c r="BS13" s="14" t="e">
        <f t="shared" ca="1" si="20"/>
        <v>#N/A</v>
      </c>
      <c r="BT13" s="14" t="e">
        <f t="shared" ca="1" si="20"/>
        <v>#N/A</v>
      </c>
      <c r="BU13" s="14" t="e">
        <f t="shared" ca="1" si="20"/>
        <v>#N/A</v>
      </c>
      <c r="BV13" s="15" t="e">
        <f t="shared" ca="1" si="20"/>
        <v>#N/A</v>
      </c>
      <c r="BW13" s="16" t="e">
        <f t="shared" ca="1" si="21"/>
        <v>#N/A</v>
      </c>
      <c r="BX13" s="13" t="e">
        <f t="shared" ca="1" si="21"/>
        <v>#N/A</v>
      </c>
      <c r="BY13" s="14" t="e">
        <f t="shared" ca="1" si="21"/>
        <v>#N/A</v>
      </c>
      <c r="BZ13" s="14" t="e">
        <f t="shared" ca="1" si="21"/>
        <v>#N/A</v>
      </c>
      <c r="CA13" s="14" t="e">
        <f t="shared" ca="1" si="21"/>
        <v>#N/A</v>
      </c>
      <c r="CB13" s="14" t="e">
        <f t="shared" ca="1" si="21"/>
        <v>#N/A</v>
      </c>
      <c r="CC13" s="15" t="e">
        <f t="shared" ca="1" si="21"/>
        <v>#N/A</v>
      </c>
      <c r="CD13" s="16" t="e">
        <f t="shared" ca="1" si="21"/>
        <v>#N/A</v>
      </c>
      <c r="CE13" s="13" t="e">
        <f t="shared" ca="1" si="21"/>
        <v>#N/A</v>
      </c>
      <c r="CF13" s="14" t="e">
        <f t="shared" ca="1" si="21"/>
        <v>#N/A</v>
      </c>
      <c r="CG13" s="14" t="e">
        <f t="shared" ca="1" si="21"/>
        <v>#N/A</v>
      </c>
      <c r="CH13" s="14" t="e">
        <f t="shared" ca="1" si="21"/>
        <v>#N/A</v>
      </c>
      <c r="CI13" s="14" t="e">
        <f t="shared" ca="1" si="21"/>
        <v>#N/A</v>
      </c>
      <c r="CJ13" s="15" t="e">
        <f t="shared" ca="1" si="21"/>
        <v>#N/A</v>
      </c>
      <c r="CK13" s="16" t="e">
        <f t="shared" ca="1" si="21"/>
        <v>#N/A</v>
      </c>
      <c r="CL13" s="13" t="e">
        <f t="shared" ca="1" si="21"/>
        <v>#N/A</v>
      </c>
      <c r="CM13" s="14" t="e">
        <f t="shared" ca="1" si="22"/>
        <v>#N/A</v>
      </c>
      <c r="CN13" s="14" t="e">
        <f t="shared" ca="1" si="22"/>
        <v>#N/A</v>
      </c>
      <c r="CO13" s="14" t="e">
        <f t="shared" ca="1" si="22"/>
        <v>#N/A</v>
      </c>
      <c r="CP13" s="14" t="e">
        <f t="shared" ca="1" si="22"/>
        <v>#N/A</v>
      </c>
      <c r="CQ13" s="15" t="e">
        <f t="shared" ca="1" si="22"/>
        <v>#N/A</v>
      </c>
      <c r="CR13" s="16" t="e">
        <f t="shared" ca="1" si="22"/>
        <v>#N/A</v>
      </c>
      <c r="CS13" s="13" t="e">
        <f t="shared" ca="1" si="22"/>
        <v>#N/A</v>
      </c>
      <c r="CT13" s="14" t="e">
        <f t="shared" ca="1" si="22"/>
        <v>#N/A</v>
      </c>
      <c r="CU13" s="14" t="e">
        <f t="shared" ca="1" si="22"/>
        <v>#N/A</v>
      </c>
      <c r="CV13" s="14" t="e">
        <f t="shared" ca="1" si="22"/>
        <v>#N/A</v>
      </c>
      <c r="CW13" s="14" t="e">
        <f t="shared" ca="1" si="22"/>
        <v>#N/A</v>
      </c>
      <c r="CX13" s="15" t="e">
        <f t="shared" ca="1" si="22"/>
        <v>#N/A</v>
      </c>
      <c r="CY13" s="16" t="e">
        <f t="shared" ca="1" si="22"/>
        <v>#N/A</v>
      </c>
      <c r="CZ13" s="13" t="e">
        <f t="shared" ca="1" si="22"/>
        <v>#N/A</v>
      </c>
      <c r="DA13" s="14" t="e">
        <f t="shared" ca="1" si="22"/>
        <v>#N/A</v>
      </c>
      <c r="DB13" s="14" t="e">
        <f t="shared" ca="1" si="22"/>
        <v>#N/A</v>
      </c>
      <c r="DC13" s="14" t="e">
        <f t="shared" ca="1" si="23"/>
        <v>#N/A</v>
      </c>
      <c r="DD13" s="14" t="e">
        <f t="shared" ca="1" si="23"/>
        <v>#N/A</v>
      </c>
      <c r="DE13" s="15" t="e">
        <f t="shared" ca="1" si="23"/>
        <v>#N/A</v>
      </c>
      <c r="DF13" s="16" t="e">
        <f t="shared" ca="1" si="23"/>
        <v>#N/A</v>
      </c>
      <c r="DG13" s="13" t="e">
        <f t="shared" ca="1" si="23"/>
        <v>#N/A</v>
      </c>
      <c r="DH13" s="14" t="e">
        <f t="shared" ca="1" si="23"/>
        <v>#N/A</v>
      </c>
      <c r="DI13" s="14" t="e">
        <f t="shared" ca="1" si="23"/>
        <v>#N/A</v>
      </c>
      <c r="DJ13" s="14" t="e">
        <f t="shared" ca="1" si="23"/>
        <v>#N/A</v>
      </c>
      <c r="DK13" s="14" t="e">
        <f t="shared" ca="1" si="23"/>
        <v>#N/A</v>
      </c>
      <c r="DL13" s="15" t="e">
        <f t="shared" ca="1" si="23"/>
        <v>#N/A</v>
      </c>
      <c r="DM13" s="16" t="e">
        <f t="shared" ca="1" si="23"/>
        <v>#N/A</v>
      </c>
      <c r="DN13" s="13" t="e">
        <f t="shared" ca="1" si="23"/>
        <v>#N/A</v>
      </c>
      <c r="DO13" s="14" t="e">
        <f t="shared" ca="1" si="23"/>
        <v>#N/A</v>
      </c>
      <c r="DP13" s="14" t="e">
        <f t="shared" ca="1" si="23"/>
        <v>#N/A</v>
      </c>
      <c r="DQ13" s="14" t="e">
        <f t="shared" ca="1" si="23"/>
        <v>#N/A</v>
      </c>
      <c r="DR13" s="14" t="e">
        <f t="shared" ca="1" si="23"/>
        <v>#N/A</v>
      </c>
      <c r="DS13" s="15" t="e">
        <f t="shared" ca="1" si="23"/>
        <v>#N/A</v>
      </c>
      <c r="DT13" s="16" t="e">
        <f t="shared" ca="1" si="23"/>
        <v>#N/A</v>
      </c>
    </row>
    <row r="14" spans="1:124" s="17" customFormat="1" ht="9.75" customHeight="1">
      <c r="A14" s="586"/>
      <c r="B14" s="22" t="s">
        <v>44</v>
      </c>
      <c r="C14" s="19" t="e">
        <f ca="1">IF((ROUNDDOWN(E13/7,0)*7+_xlfn.XLOOKUP(A25,'VTT project'!B:B,'VTT project'!AC:AC,"-",0))&lt;E13,(ROUNDDOWN(E13/7,0)*7+_xlfn.XLOOKUP(A25,'VTT project'!B:B,'VTT project'!AC:AC,"-",0))+7,(ROUNDDOWN(E13/7,0)*7+_xlfn.XLOOKUP(A25,'VTT project'!B:B,'VTT project'!AC:AC,"-",0)))</f>
        <v>#N/A</v>
      </c>
      <c r="D14" s="20">
        <v>0</v>
      </c>
      <c r="E14" s="19" t="e">
        <f ca="1">C14+D14</f>
        <v>#N/A</v>
      </c>
      <c r="F14" s="13" t="e">
        <f t="shared" ca="1" si="17"/>
        <v>#N/A</v>
      </c>
      <c r="G14" s="14" t="e">
        <f t="shared" ca="1" si="17"/>
        <v>#N/A</v>
      </c>
      <c r="H14" s="14" t="e">
        <f t="shared" ca="1" si="17"/>
        <v>#N/A</v>
      </c>
      <c r="I14" s="14" t="e">
        <f t="shared" ca="1" si="17"/>
        <v>#N/A</v>
      </c>
      <c r="J14" s="14" t="e">
        <f t="shared" ca="1" si="17"/>
        <v>#N/A</v>
      </c>
      <c r="K14" s="15" t="e">
        <f t="shared" ca="1" si="17"/>
        <v>#N/A</v>
      </c>
      <c r="L14" s="16" t="e">
        <f t="shared" ca="1" si="17"/>
        <v>#N/A</v>
      </c>
      <c r="M14" s="13" t="e">
        <f ca="1">IF(AND(M$5&gt;=$C14,M$5&lt;=$E14),1,"")</f>
        <v>#N/A</v>
      </c>
      <c r="N14" s="14" t="e">
        <f t="shared" ca="1" si="17"/>
        <v>#N/A</v>
      </c>
      <c r="O14" s="14" t="e">
        <f t="shared" ca="1" si="17"/>
        <v>#N/A</v>
      </c>
      <c r="P14" s="14" t="e">
        <f t="shared" ca="1" si="17"/>
        <v>#N/A</v>
      </c>
      <c r="Q14" s="14" t="e">
        <f t="shared" ca="1" si="17"/>
        <v>#N/A</v>
      </c>
      <c r="R14" s="15" t="e">
        <f t="shared" ca="1" si="17"/>
        <v>#N/A</v>
      </c>
      <c r="S14" s="16" t="e">
        <f t="shared" ca="1" si="17"/>
        <v>#N/A</v>
      </c>
      <c r="T14" s="13" t="e">
        <f t="shared" ca="1" si="17"/>
        <v>#N/A</v>
      </c>
      <c r="U14" s="14" t="e">
        <f t="shared" ca="1" si="17"/>
        <v>#N/A</v>
      </c>
      <c r="V14" s="14" t="e">
        <f t="shared" ca="1" si="17"/>
        <v>#N/A</v>
      </c>
      <c r="W14" s="14" t="e">
        <f t="shared" ca="1" si="17"/>
        <v>#N/A</v>
      </c>
      <c r="X14" s="14" t="e">
        <f t="shared" ca="1" si="17"/>
        <v>#N/A</v>
      </c>
      <c r="Y14" s="15" t="e">
        <f t="shared" ca="1" si="17"/>
        <v>#N/A</v>
      </c>
      <c r="Z14" s="16" t="e">
        <f t="shared" ca="1" si="17"/>
        <v>#N/A</v>
      </c>
      <c r="AA14" s="13" t="e">
        <f t="shared" ca="1" si="18"/>
        <v>#N/A</v>
      </c>
      <c r="AB14" s="14" t="e">
        <f t="shared" ca="1" si="18"/>
        <v>#N/A</v>
      </c>
      <c r="AC14" s="14" t="e">
        <f t="shared" ca="1" si="18"/>
        <v>#N/A</v>
      </c>
      <c r="AD14" s="14" t="e">
        <f t="shared" ca="1" si="18"/>
        <v>#N/A</v>
      </c>
      <c r="AE14" s="14" t="e">
        <f t="shared" ca="1" si="18"/>
        <v>#N/A</v>
      </c>
      <c r="AF14" s="15" t="e">
        <f t="shared" ca="1" si="18"/>
        <v>#N/A</v>
      </c>
      <c r="AG14" s="16" t="e">
        <f t="shared" ca="1" si="18"/>
        <v>#N/A</v>
      </c>
      <c r="AH14" s="13" t="e">
        <f t="shared" ca="1" si="18"/>
        <v>#N/A</v>
      </c>
      <c r="AI14" s="14" t="e">
        <f t="shared" ca="1" si="18"/>
        <v>#N/A</v>
      </c>
      <c r="AJ14" s="14" t="e">
        <f t="shared" ca="1" si="18"/>
        <v>#N/A</v>
      </c>
      <c r="AK14" s="14" t="e">
        <f t="shared" ca="1" si="18"/>
        <v>#N/A</v>
      </c>
      <c r="AL14" s="14" t="e">
        <f t="shared" ca="1" si="18"/>
        <v>#N/A</v>
      </c>
      <c r="AM14" s="15" t="e">
        <f t="shared" ca="1" si="18"/>
        <v>#N/A</v>
      </c>
      <c r="AN14" s="16" t="e">
        <f t="shared" ca="1" si="18"/>
        <v>#N/A</v>
      </c>
      <c r="AO14" s="13" t="e">
        <f t="shared" ca="1" si="18"/>
        <v>#N/A</v>
      </c>
      <c r="AP14" s="14" t="e">
        <f t="shared" ca="1" si="18"/>
        <v>#N/A</v>
      </c>
      <c r="AQ14" s="14" t="e">
        <f t="shared" ca="1" si="19"/>
        <v>#N/A</v>
      </c>
      <c r="AR14" s="14" t="e">
        <f t="shared" ca="1" si="19"/>
        <v>#N/A</v>
      </c>
      <c r="AS14" s="14" t="e">
        <f t="shared" ca="1" si="19"/>
        <v>#N/A</v>
      </c>
      <c r="AT14" s="15" t="e">
        <f t="shared" ca="1" si="19"/>
        <v>#N/A</v>
      </c>
      <c r="AU14" s="16" t="e">
        <f t="shared" ca="1" si="19"/>
        <v>#N/A</v>
      </c>
      <c r="AV14" s="13" t="e">
        <f t="shared" ca="1" si="19"/>
        <v>#N/A</v>
      </c>
      <c r="AW14" s="14" t="e">
        <f t="shared" ca="1" si="19"/>
        <v>#N/A</v>
      </c>
      <c r="AX14" s="14" t="e">
        <f t="shared" ca="1" si="19"/>
        <v>#N/A</v>
      </c>
      <c r="AY14" s="14" t="e">
        <f t="shared" ca="1" si="19"/>
        <v>#N/A</v>
      </c>
      <c r="AZ14" s="14" t="e">
        <f t="shared" ca="1" si="19"/>
        <v>#N/A</v>
      </c>
      <c r="BA14" s="15" t="e">
        <f t="shared" ca="1" si="19"/>
        <v>#N/A</v>
      </c>
      <c r="BB14" s="16" t="e">
        <f t="shared" ca="1" si="19"/>
        <v>#N/A</v>
      </c>
      <c r="BC14" s="13" t="e">
        <f t="shared" ca="1" si="19"/>
        <v>#N/A</v>
      </c>
      <c r="BD14" s="14" t="e">
        <f t="shared" ca="1" si="19"/>
        <v>#N/A</v>
      </c>
      <c r="BE14" s="14" t="e">
        <f t="shared" ca="1" si="19"/>
        <v>#N/A</v>
      </c>
      <c r="BF14" s="14" t="e">
        <f t="shared" ca="1" si="19"/>
        <v>#N/A</v>
      </c>
      <c r="BG14" s="14" t="e">
        <f t="shared" ca="1" si="20"/>
        <v>#N/A</v>
      </c>
      <c r="BH14" s="15" t="e">
        <f t="shared" ca="1" si="20"/>
        <v>#N/A</v>
      </c>
      <c r="BI14" s="16" t="e">
        <f t="shared" ca="1" si="20"/>
        <v>#N/A</v>
      </c>
      <c r="BJ14" s="13" t="e">
        <f t="shared" ca="1" si="20"/>
        <v>#N/A</v>
      </c>
      <c r="BK14" s="14" t="e">
        <f t="shared" ca="1" si="20"/>
        <v>#N/A</v>
      </c>
      <c r="BL14" s="14" t="e">
        <f t="shared" ca="1" si="20"/>
        <v>#N/A</v>
      </c>
      <c r="BM14" s="14" t="e">
        <f t="shared" ca="1" si="20"/>
        <v>#N/A</v>
      </c>
      <c r="BN14" s="14" t="e">
        <f t="shared" ca="1" si="20"/>
        <v>#N/A</v>
      </c>
      <c r="BO14" s="15" t="e">
        <f t="shared" ca="1" si="20"/>
        <v>#N/A</v>
      </c>
      <c r="BP14" s="16" t="e">
        <f t="shared" ca="1" si="20"/>
        <v>#N/A</v>
      </c>
      <c r="BQ14" s="13" t="e">
        <f t="shared" ca="1" si="20"/>
        <v>#N/A</v>
      </c>
      <c r="BR14" s="14" t="e">
        <f t="shared" ca="1" si="20"/>
        <v>#N/A</v>
      </c>
      <c r="BS14" s="14" t="e">
        <f t="shared" ca="1" si="20"/>
        <v>#N/A</v>
      </c>
      <c r="BT14" s="14" t="e">
        <f t="shared" ca="1" si="20"/>
        <v>#N/A</v>
      </c>
      <c r="BU14" s="14" t="e">
        <f t="shared" ca="1" si="20"/>
        <v>#N/A</v>
      </c>
      <c r="BV14" s="15" t="e">
        <f t="shared" ca="1" si="20"/>
        <v>#N/A</v>
      </c>
      <c r="BW14" s="16" t="e">
        <f t="shared" ca="1" si="21"/>
        <v>#N/A</v>
      </c>
      <c r="BX14" s="13" t="e">
        <f t="shared" ca="1" si="21"/>
        <v>#N/A</v>
      </c>
      <c r="BY14" s="14" t="e">
        <f t="shared" ca="1" si="21"/>
        <v>#N/A</v>
      </c>
      <c r="BZ14" s="14" t="e">
        <f t="shared" ca="1" si="21"/>
        <v>#N/A</v>
      </c>
      <c r="CA14" s="14" t="e">
        <f t="shared" ca="1" si="21"/>
        <v>#N/A</v>
      </c>
      <c r="CB14" s="14" t="e">
        <f t="shared" ca="1" si="21"/>
        <v>#N/A</v>
      </c>
      <c r="CC14" s="15" t="e">
        <f t="shared" ca="1" si="21"/>
        <v>#N/A</v>
      </c>
      <c r="CD14" s="16" t="e">
        <f t="shared" ca="1" si="21"/>
        <v>#N/A</v>
      </c>
      <c r="CE14" s="13" t="e">
        <f t="shared" ca="1" si="21"/>
        <v>#N/A</v>
      </c>
      <c r="CF14" s="14" t="e">
        <f t="shared" ca="1" si="21"/>
        <v>#N/A</v>
      </c>
      <c r="CG14" s="14" t="e">
        <f t="shared" ca="1" si="21"/>
        <v>#N/A</v>
      </c>
      <c r="CH14" s="14" t="e">
        <f t="shared" ca="1" si="21"/>
        <v>#N/A</v>
      </c>
      <c r="CI14" s="14" t="e">
        <f t="shared" ca="1" si="21"/>
        <v>#N/A</v>
      </c>
      <c r="CJ14" s="15" t="e">
        <f t="shared" ca="1" si="21"/>
        <v>#N/A</v>
      </c>
      <c r="CK14" s="16" t="e">
        <f t="shared" ca="1" si="21"/>
        <v>#N/A</v>
      </c>
      <c r="CL14" s="13" t="e">
        <f t="shared" ca="1" si="21"/>
        <v>#N/A</v>
      </c>
      <c r="CM14" s="14" t="e">
        <f t="shared" ca="1" si="22"/>
        <v>#N/A</v>
      </c>
      <c r="CN14" s="14" t="e">
        <f t="shared" ca="1" si="22"/>
        <v>#N/A</v>
      </c>
      <c r="CO14" s="14" t="e">
        <f t="shared" ca="1" si="22"/>
        <v>#N/A</v>
      </c>
      <c r="CP14" s="14" t="e">
        <f t="shared" ca="1" si="22"/>
        <v>#N/A</v>
      </c>
      <c r="CQ14" s="15" t="e">
        <f t="shared" ca="1" si="22"/>
        <v>#N/A</v>
      </c>
      <c r="CR14" s="16" t="e">
        <f t="shared" ca="1" si="22"/>
        <v>#N/A</v>
      </c>
      <c r="CS14" s="13" t="e">
        <f t="shared" ca="1" si="22"/>
        <v>#N/A</v>
      </c>
      <c r="CT14" s="14" t="e">
        <f t="shared" ca="1" si="22"/>
        <v>#N/A</v>
      </c>
      <c r="CU14" s="14" t="e">
        <f t="shared" ca="1" si="22"/>
        <v>#N/A</v>
      </c>
      <c r="CV14" s="14" t="e">
        <f t="shared" ca="1" si="22"/>
        <v>#N/A</v>
      </c>
      <c r="CW14" s="14" t="e">
        <f t="shared" ca="1" si="22"/>
        <v>#N/A</v>
      </c>
      <c r="CX14" s="15" t="e">
        <f t="shared" ca="1" si="22"/>
        <v>#N/A</v>
      </c>
      <c r="CY14" s="16" t="e">
        <f t="shared" ca="1" si="22"/>
        <v>#N/A</v>
      </c>
      <c r="CZ14" s="13" t="e">
        <f t="shared" ca="1" si="22"/>
        <v>#N/A</v>
      </c>
      <c r="DA14" s="14" t="e">
        <f t="shared" ca="1" si="22"/>
        <v>#N/A</v>
      </c>
      <c r="DB14" s="14" t="e">
        <f t="shared" ca="1" si="22"/>
        <v>#N/A</v>
      </c>
      <c r="DC14" s="14" t="e">
        <f t="shared" ca="1" si="23"/>
        <v>#N/A</v>
      </c>
      <c r="DD14" s="14" t="e">
        <f t="shared" ca="1" si="23"/>
        <v>#N/A</v>
      </c>
      <c r="DE14" s="15" t="e">
        <f t="shared" ca="1" si="23"/>
        <v>#N/A</v>
      </c>
      <c r="DF14" s="16" t="e">
        <f t="shared" ca="1" si="23"/>
        <v>#N/A</v>
      </c>
      <c r="DG14" s="13" t="e">
        <f t="shared" ca="1" si="23"/>
        <v>#N/A</v>
      </c>
      <c r="DH14" s="14" t="e">
        <f t="shared" ca="1" si="23"/>
        <v>#N/A</v>
      </c>
      <c r="DI14" s="14" t="e">
        <f t="shared" ca="1" si="23"/>
        <v>#N/A</v>
      </c>
      <c r="DJ14" s="14" t="e">
        <f t="shared" ca="1" si="23"/>
        <v>#N/A</v>
      </c>
      <c r="DK14" s="14" t="e">
        <f t="shared" ca="1" si="23"/>
        <v>#N/A</v>
      </c>
      <c r="DL14" s="15" t="e">
        <f t="shared" ca="1" si="23"/>
        <v>#N/A</v>
      </c>
      <c r="DM14" s="16" t="e">
        <f t="shared" ca="1" si="23"/>
        <v>#N/A</v>
      </c>
      <c r="DN14" s="13" t="e">
        <f t="shared" ca="1" si="23"/>
        <v>#N/A</v>
      </c>
      <c r="DO14" s="14" t="e">
        <f t="shared" ca="1" si="23"/>
        <v>#N/A</v>
      </c>
      <c r="DP14" s="14" t="e">
        <f t="shared" ca="1" si="23"/>
        <v>#N/A</v>
      </c>
      <c r="DQ14" s="14" t="e">
        <f t="shared" ca="1" si="23"/>
        <v>#N/A</v>
      </c>
      <c r="DR14" s="14" t="e">
        <f t="shared" ca="1" si="23"/>
        <v>#N/A</v>
      </c>
      <c r="DS14" s="15" t="e">
        <f t="shared" ca="1" si="23"/>
        <v>#N/A</v>
      </c>
      <c r="DT14" s="16" t="e">
        <f t="shared" ca="1" si="23"/>
        <v>#N/A</v>
      </c>
    </row>
    <row r="15" spans="1:124" s="17" customFormat="1" ht="9.75" customHeight="1">
      <c r="A15" s="586"/>
      <c r="B15" s="22" t="s">
        <v>45</v>
      </c>
      <c r="C15" s="19" t="e">
        <f ca="1">E14+_xlfn.XLOOKUP(A25,'VTT project'!B:B,'VTT project'!AD:AD,"-",0)-_xlfn.XLOOKUP(A25,'VTT project'!B:B,'VTT project'!AC:AC,"-",0)</f>
        <v>#N/A</v>
      </c>
      <c r="D15" s="20">
        <v>0</v>
      </c>
      <c r="E15" s="19" t="e">
        <f ca="1">C15+D15</f>
        <v>#N/A</v>
      </c>
      <c r="F15" s="13" t="e">
        <f t="shared" ca="1" si="17"/>
        <v>#N/A</v>
      </c>
      <c r="G15" s="14" t="e">
        <f t="shared" ca="1" si="17"/>
        <v>#N/A</v>
      </c>
      <c r="H15" s="14" t="e">
        <f t="shared" ca="1" si="17"/>
        <v>#N/A</v>
      </c>
      <c r="I15" s="14" t="e">
        <f t="shared" ca="1" si="17"/>
        <v>#N/A</v>
      </c>
      <c r="J15" s="14" t="e">
        <f t="shared" ca="1" si="17"/>
        <v>#N/A</v>
      </c>
      <c r="K15" s="15" t="e">
        <f t="shared" ca="1" si="17"/>
        <v>#N/A</v>
      </c>
      <c r="L15" s="16" t="e">
        <f t="shared" ca="1" si="17"/>
        <v>#N/A</v>
      </c>
      <c r="M15" s="13" t="e">
        <f t="shared" ca="1" si="17"/>
        <v>#N/A</v>
      </c>
      <c r="N15" s="14" t="e">
        <f t="shared" ca="1" si="17"/>
        <v>#N/A</v>
      </c>
      <c r="O15" s="14" t="e">
        <f t="shared" ca="1" si="17"/>
        <v>#N/A</v>
      </c>
      <c r="P15" s="14" t="e">
        <f t="shared" ca="1" si="17"/>
        <v>#N/A</v>
      </c>
      <c r="Q15" s="14" t="e">
        <f t="shared" ca="1" si="17"/>
        <v>#N/A</v>
      </c>
      <c r="R15" s="15" t="e">
        <f t="shared" ca="1" si="17"/>
        <v>#N/A</v>
      </c>
      <c r="S15" s="16" t="e">
        <f t="shared" ca="1" si="17"/>
        <v>#N/A</v>
      </c>
      <c r="T15" s="13" t="e">
        <f t="shared" ca="1" si="17"/>
        <v>#N/A</v>
      </c>
      <c r="U15" s="14" t="e">
        <f t="shared" ca="1" si="17"/>
        <v>#N/A</v>
      </c>
      <c r="V15" s="14" t="e">
        <f t="shared" ca="1" si="17"/>
        <v>#N/A</v>
      </c>
      <c r="W15" s="14" t="e">
        <f t="shared" ca="1" si="17"/>
        <v>#N/A</v>
      </c>
      <c r="X15" s="14" t="e">
        <f t="shared" ca="1" si="17"/>
        <v>#N/A</v>
      </c>
      <c r="Y15" s="15" t="e">
        <f t="shared" ca="1" si="17"/>
        <v>#N/A</v>
      </c>
      <c r="Z15" s="16" t="e">
        <f t="shared" ca="1" si="17"/>
        <v>#N/A</v>
      </c>
      <c r="AA15" s="13" t="e">
        <f t="shared" ca="1" si="18"/>
        <v>#N/A</v>
      </c>
      <c r="AB15" s="14" t="e">
        <f t="shared" ca="1" si="18"/>
        <v>#N/A</v>
      </c>
      <c r="AC15" s="14" t="e">
        <f t="shared" ca="1" si="18"/>
        <v>#N/A</v>
      </c>
      <c r="AD15" s="14" t="e">
        <f t="shared" ca="1" si="18"/>
        <v>#N/A</v>
      </c>
      <c r="AE15" s="14" t="e">
        <f t="shared" ca="1" si="18"/>
        <v>#N/A</v>
      </c>
      <c r="AF15" s="15" t="e">
        <f t="shared" ca="1" si="18"/>
        <v>#N/A</v>
      </c>
      <c r="AG15" s="16" t="e">
        <f t="shared" ca="1" si="18"/>
        <v>#N/A</v>
      </c>
      <c r="AH15" s="13" t="e">
        <f t="shared" ca="1" si="18"/>
        <v>#N/A</v>
      </c>
      <c r="AI15" s="14" t="e">
        <f t="shared" ca="1" si="18"/>
        <v>#N/A</v>
      </c>
      <c r="AJ15" s="14" t="e">
        <f t="shared" ca="1" si="18"/>
        <v>#N/A</v>
      </c>
      <c r="AK15" s="14" t="e">
        <f t="shared" ca="1" si="18"/>
        <v>#N/A</v>
      </c>
      <c r="AL15" s="14" t="e">
        <f t="shared" ca="1" si="18"/>
        <v>#N/A</v>
      </c>
      <c r="AM15" s="15" t="e">
        <f t="shared" ca="1" si="18"/>
        <v>#N/A</v>
      </c>
      <c r="AN15" s="16" t="e">
        <f t="shared" ca="1" si="18"/>
        <v>#N/A</v>
      </c>
      <c r="AO15" s="13" t="e">
        <f t="shared" ca="1" si="18"/>
        <v>#N/A</v>
      </c>
      <c r="AP15" s="14" t="e">
        <f t="shared" ca="1" si="18"/>
        <v>#N/A</v>
      </c>
      <c r="AQ15" s="14" t="e">
        <f t="shared" ca="1" si="19"/>
        <v>#N/A</v>
      </c>
      <c r="AR15" s="14" t="e">
        <f t="shared" ca="1" si="19"/>
        <v>#N/A</v>
      </c>
      <c r="AS15" s="14" t="e">
        <f t="shared" ca="1" si="19"/>
        <v>#N/A</v>
      </c>
      <c r="AT15" s="15" t="e">
        <f t="shared" ca="1" si="19"/>
        <v>#N/A</v>
      </c>
      <c r="AU15" s="16" t="e">
        <f t="shared" ca="1" si="19"/>
        <v>#N/A</v>
      </c>
      <c r="AV15" s="13" t="e">
        <f t="shared" ca="1" si="19"/>
        <v>#N/A</v>
      </c>
      <c r="AW15" s="14" t="e">
        <f t="shared" ca="1" si="19"/>
        <v>#N/A</v>
      </c>
      <c r="AX15" s="14" t="e">
        <f t="shared" ca="1" si="19"/>
        <v>#N/A</v>
      </c>
      <c r="AY15" s="14" t="e">
        <f t="shared" ca="1" si="19"/>
        <v>#N/A</v>
      </c>
      <c r="AZ15" s="14" t="e">
        <f t="shared" ca="1" si="19"/>
        <v>#N/A</v>
      </c>
      <c r="BA15" s="15" t="e">
        <f t="shared" ca="1" si="19"/>
        <v>#N/A</v>
      </c>
      <c r="BB15" s="16" t="e">
        <f t="shared" ca="1" si="19"/>
        <v>#N/A</v>
      </c>
      <c r="BC15" s="13" t="e">
        <f t="shared" ca="1" si="19"/>
        <v>#N/A</v>
      </c>
      <c r="BD15" s="14" t="e">
        <f t="shared" ca="1" si="19"/>
        <v>#N/A</v>
      </c>
      <c r="BE15" s="14" t="e">
        <f t="shared" ca="1" si="19"/>
        <v>#N/A</v>
      </c>
      <c r="BF15" s="14" t="e">
        <f t="shared" ca="1" si="19"/>
        <v>#N/A</v>
      </c>
      <c r="BG15" s="14" t="e">
        <f t="shared" ca="1" si="20"/>
        <v>#N/A</v>
      </c>
      <c r="BH15" s="15" t="e">
        <f t="shared" ca="1" si="20"/>
        <v>#N/A</v>
      </c>
      <c r="BI15" s="16" t="e">
        <f t="shared" ca="1" si="20"/>
        <v>#N/A</v>
      </c>
      <c r="BJ15" s="13" t="e">
        <f t="shared" ca="1" si="20"/>
        <v>#N/A</v>
      </c>
      <c r="BK15" s="14" t="e">
        <f t="shared" ca="1" si="20"/>
        <v>#N/A</v>
      </c>
      <c r="BL15" s="14" t="e">
        <f t="shared" ca="1" si="20"/>
        <v>#N/A</v>
      </c>
      <c r="BM15" s="14" t="e">
        <f t="shared" ca="1" si="20"/>
        <v>#N/A</v>
      </c>
      <c r="BN15" s="14" t="e">
        <f t="shared" ca="1" si="20"/>
        <v>#N/A</v>
      </c>
      <c r="BO15" s="15" t="e">
        <f t="shared" ca="1" si="20"/>
        <v>#N/A</v>
      </c>
      <c r="BP15" s="16" t="e">
        <f t="shared" ca="1" si="20"/>
        <v>#N/A</v>
      </c>
      <c r="BQ15" s="13" t="e">
        <f t="shared" ca="1" si="20"/>
        <v>#N/A</v>
      </c>
      <c r="BR15" s="14" t="e">
        <f t="shared" ca="1" si="20"/>
        <v>#N/A</v>
      </c>
      <c r="BS15" s="14" t="e">
        <f t="shared" ca="1" si="20"/>
        <v>#N/A</v>
      </c>
      <c r="BT15" s="14" t="e">
        <f t="shared" ca="1" si="20"/>
        <v>#N/A</v>
      </c>
      <c r="BU15" s="14" t="e">
        <f t="shared" ca="1" si="20"/>
        <v>#N/A</v>
      </c>
      <c r="BV15" s="15" t="e">
        <f t="shared" ca="1" si="20"/>
        <v>#N/A</v>
      </c>
      <c r="BW15" s="16" t="e">
        <f t="shared" ca="1" si="21"/>
        <v>#N/A</v>
      </c>
      <c r="BX15" s="13" t="e">
        <f t="shared" ca="1" si="21"/>
        <v>#N/A</v>
      </c>
      <c r="BY15" s="14" t="e">
        <f t="shared" ca="1" si="21"/>
        <v>#N/A</v>
      </c>
      <c r="BZ15" s="14" t="e">
        <f t="shared" ca="1" si="21"/>
        <v>#N/A</v>
      </c>
      <c r="CA15" s="14" t="e">
        <f t="shared" ca="1" si="21"/>
        <v>#N/A</v>
      </c>
      <c r="CB15" s="14" t="e">
        <f t="shared" ca="1" si="21"/>
        <v>#N/A</v>
      </c>
      <c r="CC15" s="15" t="e">
        <f t="shared" ca="1" si="21"/>
        <v>#N/A</v>
      </c>
      <c r="CD15" s="16" t="e">
        <f t="shared" ca="1" si="21"/>
        <v>#N/A</v>
      </c>
      <c r="CE15" s="13" t="e">
        <f t="shared" ca="1" si="21"/>
        <v>#N/A</v>
      </c>
      <c r="CF15" s="14" t="e">
        <f t="shared" ca="1" si="21"/>
        <v>#N/A</v>
      </c>
      <c r="CG15" s="14" t="e">
        <f t="shared" ca="1" si="21"/>
        <v>#N/A</v>
      </c>
      <c r="CH15" s="14" t="e">
        <f t="shared" ca="1" si="21"/>
        <v>#N/A</v>
      </c>
      <c r="CI15" s="14" t="e">
        <f t="shared" ca="1" si="21"/>
        <v>#N/A</v>
      </c>
      <c r="CJ15" s="15" t="e">
        <f t="shared" ca="1" si="21"/>
        <v>#N/A</v>
      </c>
      <c r="CK15" s="16" t="e">
        <f t="shared" ca="1" si="21"/>
        <v>#N/A</v>
      </c>
      <c r="CL15" s="13" t="e">
        <f t="shared" ca="1" si="21"/>
        <v>#N/A</v>
      </c>
      <c r="CM15" s="14" t="e">
        <f t="shared" ca="1" si="22"/>
        <v>#N/A</v>
      </c>
      <c r="CN15" s="14" t="e">
        <f t="shared" ca="1" si="22"/>
        <v>#N/A</v>
      </c>
      <c r="CO15" s="14" t="e">
        <f t="shared" ca="1" si="22"/>
        <v>#N/A</v>
      </c>
      <c r="CP15" s="14" t="e">
        <f t="shared" ca="1" si="22"/>
        <v>#N/A</v>
      </c>
      <c r="CQ15" s="15" t="e">
        <f t="shared" ca="1" si="22"/>
        <v>#N/A</v>
      </c>
      <c r="CR15" s="16" t="e">
        <f t="shared" ca="1" si="22"/>
        <v>#N/A</v>
      </c>
      <c r="CS15" s="13" t="e">
        <f t="shared" ca="1" si="22"/>
        <v>#N/A</v>
      </c>
      <c r="CT15" s="14" t="e">
        <f t="shared" ca="1" si="22"/>
        <v>#N/A</v>
      </c>
      <c r="CU15" s="14" t="e">
        <f t="shared" ca="1" si="22"/>
        <v>#N/A</v>
      </c>
      <c r="CV15" s="14" t="e">
        <f t="shared" ca="1" si="22"/>
        <v>#N/A</v>
      </c>
      <c r="CW15" s="14" t="e">
        <f t="shared" ca="1" si="22"/>
        <v>#N/A</v>
      </c>
      <c r="CX15" s="15" t="e">
        <f t="shared" ca="1" si="22"/>
        <v>#N/A</v>
      </c>
      <c r="CY15" s="16" t="e">
        <f t="shared" ca="1" si="22"/>
        <v>#N/A</v>
      </c>
      <c r="CZ15" s="13" t="e">
        <f t="shared" ca="1" si="22"/>
        <v>#N/A</v>
      </c>
      <c r="DA15" s="14" t="e">
        <f t="shared" ca="1" si="22"/>
        <v>#N/A</v>
      </c>
      <c r="DB15" s="14" t="e">
        <f t="shared" ca="1" si="22"/>
        <v>#N/A</v>
      </c>
      <c r="DC15" s="14" t="e">
        <f t="shared" ca="1" si="23"/>
        <v>#N/A</v>
      </c>
      <c r="DD15" s="14" t="e">
        <f t="shared" ca="1" si="23"/>
        <v>#N/A</v>
      </c>
      <c r="DE15" s="15" t="e">
        <f t="shared" ca="1" si="23"/>
        <v>#N/A</v>
      </c>
      <c r="DF15" s="16" t="e">
        <f t="shared" ca="1" si="23"/>
        <v>#N/A</v>
      </c>
      <c r="DG15" s="13" t="e">
        <f t="shared" ca="1" si="23"/>
        <v>#N/A</v>
      </c>
      <c r="DH15" s="14" t="e">
        <f t="shared" ca="1" si="23"/>
        <v>#N/A</v>
      </c>
      <c r="DI15" s="14" t="e">
        <f t="shared" ca="1" si="23"/>
        <v>#N/A</v>
      </c>
      <c r="DJ15" s="14" t="e">
        <f t="shared" ca="1" si="23"/>
        <v>#N/A</v>
      </c>
      <c r="DK15" s="14" t="e">
        <f t="shared" ca="1" si="23"/>
        <v>#N/A</v>
      </c>
      <c r="DL15" s="15" t="e">
        <f t="shared" ca="1" si="23"/>
        <v>#N/A</v>
      </c>
      <c r="DM15" s="16" t="e">
        <f t="shared" ca="1" si="23"/>
        <v>#N/A</v>
      </c>
      <c r="DN15" s="13" t="e">
        <f t="shared" ca="1" si="23"/>
        <v>#N/A</v>
      </c>
      <c r="DO15" s="14" t="e">
        <f t="shared" ca="1" si="23"/>
        <v>#N/A</v>
      </c>
      <c r="DP15" s="14" t="e">
        <f t="shared" ca="1" si="23"/>
        <v>#N/A</v>
      </c>
      <c r="DQ15" s="14" t="e">
        <f t="shared" ca="1" si="23"/>
        <v>#N/A</v>
      </c>
      <c r="DR15" s="14" t="e">
        <f t="shared" ca="1" si="23"/>
        <v>#N/A</v>
      </c>
      <c r="DS15" s="15" t="e">
        <f t="shared" ca="1" si="23"/>
        <v>#N/A</v>
      </c>
      <c r="DT15" s="16" t="e">
        <f t="shared" ca="1" si="23"/>
        <v>#N/A</v>
      </c>
    </row>
    <row r="16" spans="1:124" s="17" customFormat="1" ht="9.75" customHeight="1">
      <c r="A16" s="586"/>
      <c r="B16" s="23" t="s">
        <v>46</v>
      </c>
      <c r="C16" s="19" t="e">
        <f ca="1">E15</f>
        <v>#N/A</v>
      </c>
      <c r="D16" s="19" t="e">
        <f ca="1">_xlfn.XLOOKUP(A25,'VTT project'!B:B,'VTT project'!AE:AE,"-",0)</f>
        <v>#N/A</v>
      </c>
      <c r="E16" s="19" t="e">
        <f t="shared" ca="1" si="25"/>
        <v>#N/A</v>
      </c>
      <c r="F16" s="13" t="e">
        <f t="shared" ca="1" si="17"/>
        <v>#N/A</v>
      </c>
      <c r="G16" s="14" t="e">
        <f t="shared" ca="1" si="17"/>
        <v>#N/A</v>
      </c>
      <c r="H16" s="14" t="e">
        <f t="shared" ca="1" si="17"/>
        <v>#N/A</v>
      </c>
      <c r="I16" s="14" t="e">
        <f t="shared" ca="1" si="17"/>
        <v>#N/A</v>
      </c>
      <c r="J16" s="14" t="e">
        <f t="shared" ca="1" si="17"/>
        <v>#N/A</v>
      </c>
      <c r="K16" s="15" t="e">
        <f t="shared" ca="1" si="17"/>
        <v>#N/A</v>
      </c>
      <c r="L16" s="16" t="e">
        <f t="shared" ca="1" si="17"/>
        <v>#N/A</v>
      </c>
      <c r="M16" s="13" t="e">
        <f t="shared" ca="1" si="17"/>
        <v>#N/A</v>
      </c>
      <c r="N16" s="14" t="e">
        <f t="shared" ca="1" si="17"/>
        <v>#N/A</v>
      </c>
      <c r="O16" s="14" t="e">
        <f t="shared" ca="1" si="17"/>
        <v>#N/A</v>
      </c>
      <c r="P16" s="14" t="e">
        <f t="shared" ca="1" si="17"/>
        <v>#N/A</v>
      </c>
      <c r="Q16" s="14" t="e">
        <f t="shared" ca="1" si="17"/>
        <v>#N/A</v>
      </c>
      <c r="R16" s="15" t="e">
        <f t="shared" ca="1" si="17"/>
        <v>#N/A</v>
      </c>
      <c r="S16" s="16" t="e">
        <f t="shared" ca="1" si="17"/>
        <v>#N/A</v>
      </c>
      <c r="T16" s="13" t="e">
        <f t="shared" ca="1" si="17"/>
        <v>#N/A</v>
      </c>
      <c r="U16" s="14" t="e">
        <f t="shared" ca="1" si="17"/>
        <v>#N/A</v>
      </c>
      <c r="V16" s="14" t="e">
        <f t="shared" ca="1" si="17"/>
        <v>#N/A</v>
      </c>
      <c r="W16" s="14" t="e">
        <f t="shared" ca="1" si="17"/>
        <v>#N/A</v>
      </c>
      <c r="X16" s="14" t="e">
        <f t="shared" ca="1" si="17"/>
        <v>#N/A</v>
      </c>
      <c r="Y16" s="15" t="e">
        <f t="shared" ca="1" si="17"/>
        <v>#N/A</v>
      </c>
      <c r="Z16" s="16" t="e">
        <f t="shared" ca="1" si="17"/>
        <v>#N/A</v>
      </c>
      <c r="AA16" s="13" t="e">
        <f t="shared" ca="1" si="18"/>
        <v>#N/A</v>
      </c>
      <c r="AB16" s="14" t="e">
        <f t="shared" ca="1" si="18"/>
        <v>#N/A</v>
      </c>
      <c r="AC16" s="14" t="e">
        <f t="shared" ca="1" si="18"/>
        <v>#N/A</v>
      </c>
      <c r="AD16" s="14" t="e">
        <f t="shared" ca="1" si="18"/>
        <v>#N/A</v>
      </c>
      <c r="AE16" s="14" t="e">
        <f t="shared" ca="1" si="18"/>
        <v>#N/A</v>
      </c>
      <c r="AF16" s="15" t="e">
        <f t="shared" ca="1" si="18"/>
        <v>#N/A</v>
      </c>
      <c r="AG16" s="16" t="e">
        <f t="shared" ca="1" si="18"/>
        <v>#N/A</v>
      </c>
      <c r="AH16" s="13" t="e">
        <f t="shared" ca="1" si="18"/>
        <v>#N/A</v>
      </c>
      <c r="AI16" s="14" t="e">
        <f t="shared" ca="1" si="18"/>
        <v>#N/A</v>
      </c>
      <c r="AJ16" s="14" t="e">
        <f t="shared" ca="1" si="18"/>
        <v>#N/A</v>
      </c>
      <c r="AK16" s="14" t="e">
        <f t="shared" ca="1" si="18"/>
        <v>#N/A</v>
      </c>
      <c r="AL16" s="14" t="e">
        <f t="shared" ca="1" si="18"/>
        <v>#N/A</v>
      </c>
      <c r="AM16" s="15" t="e">
        <f t="shared" ca="1" si="18"/>
        <v>#N/A</v>
      </c>
      <c r="AN16" s="16" t="e">
        <f t="shared" ca="1" si="18"/>
        <v>#N/A</v>
      </c>
      <c r="AO16" s="13" t="e">
        <f t="shared" ca="1" si="18"/>
        <v>#N/A</v>
      </c>
      <c r="AP16" s="14" t="e">
        <f t="shared" ca="1" si="18"/>
        <v>#N/A</v>
      </c>
      <c r="AQ16" s="14" t="e">
        <f t="shared" ca="1" si="19"/>
        <v>#N/A</v>
      </c>
      <c r="AR16" s="14" t="e">
        <f t="shared" ca="1" si="19"/>
        <v>#N/A</v>
      </c>
      <c r="AS16" s="14" t="e">
        <f t="shared" ca="1" si="19"/>
        <v>#N/A</v>
      </c>
      <c r="AT16" s="15" t="e">
        <f t="shared" ca="1" si="19"/>
        <v>#N/A</v>
      </c>
      <c r="AU16" s="16" t="e">
        <f t="shared" ca="1" si="19"/>
        <v>#N/A</v>
      </c>
      <c r="AV16" s="13" t="e">
        <f t="shared" ca="1" si="19"/>
        <v>#N/A</v>
      </c>
      <c r="AW16" s="14" t="e">
        <f t="shared" ca="1" si="19"/>
        <v>#N/A</v>
      </c>
      <c r="AX16" s="14" t="e">
        <f t="shared" ca="1" si="19"/>
        <v>#N/A</v>
      </c>
      <c r="AY16" s="14" t="e">
        <f t="shared" ca="1" si="19"/>
        <v>#N/A</v>
      </c>
      <c r="AZ16" s="14" t="e">
        <f t="shared" ca="1" si="19"/>
        <v>#N/A</v>
      </c>
      <c r="BA16" s="15" t="e">
        <f t="shared" ca="1" si="19"/>
        <v>#N/A</v>
      </c>
      <c r="BB16" s="16" t="e">
        <f t="shared" ca="1" si="19"/>
        <v>#N/A</v>
      </c>
      <c r="BC16" s="13" t="e">
        <f t="shared" ca="1" si="19"/>
        <v>#N/A</v>
      </c>
      <c r="BD16" s="14" t="e">
        <f t="shared" ca="1" si="19"/>
        <v>#N/A</v>
      </c>
      <c r="BE16" s="14" t="e">
        <f t="shared" ca="1" si="19"/>
        <v>#N/A</v>
      </c>
      <c r="BF16" s="14" t="e">
        <f t="shared" ca="1" si="19"/>
        <v>#N/A</v>
      </c>
      <c r="BG16" s="14" t="e">
        <f t="shared" ca="1" si="20"/>
        <v>#N/A</v>
      </c>
      <c r="BH16" s="15" t="e">
        <f t="shared" ca="1" si="20"/>
        <v>#N/A</v>
      </c>
      <c r="BI16" s="16" t="e">
        <f t="shared" ca="1" si="20"/>
        <v>#N/A</v>
      </c>
      <c r="BJ16" s="13" t="e">
        <f t="shared" ca="1" si="20"/>
        <v>#N/A</v>
      </c>
      <c r="BK16" s="14" t="e">
        <f t="shared" ca="1" si="20"/>
        <v>#N/A</v>
      </c>
      <c r="BL16" s="14" t="e">
        <f t="shared" ca="1" si="20"/>
        <v>#N/A</v>
      </c>
      <c r="BM16" s="14" t="e">
        <f t="shared" ca="1" si="20"/>
        <v>#N/A</v>
      </c>
      <c r="BN16" s="14" t="e">
        <f t="shared" ca="1" si="20"/>
        <v>#N/A</v>
      </c>
      <c r="BO16" s="15" t="e">
        <f t="shared" ca="1" si="20"/>
        <v>#N/A</v>
      </c>
      <c r="BP16" s="16" t="e">
        <f t="shared" ca="1" si="20"/>
        <v>#N/A</v>
      </c>
      <c r="BQ16" s="13" t="e">
        <f t="shared" ca="1" si="20"/>
        <v>#N/A</v>
      </c>
      <c r="BR16" s="14" t="e">
        <f t="shared" ca="1" si="20"/>
        <v>#N/A</v>
      </c>
      <c r="BS16" s="14" t="e">
        <f t="shared" ca="1" si="20"/>
        <v>#N/A</v>
      </c>
      <c r="BT16" s="14" t="e">
        <f t="shared" ca="1" si="20"/>
        <v>#N/A</v>
      </c>
      <c r="BU16" s="14" t="e">
        <f t="shared" ca="1" si="20"/>
        <v>#N/A</v>
      </c>
      <c r="BV16" s="15" t="e">
        <f t="shared" ca="1" si="20"/>
        <v>#N/A</v>
      </c>
      <c r="BW16" s="16" t="e">
        <f t="shared" ca="1" si="21"/>
        <v>#N/A</v>
      </c>
      <c r="BX16" s="13" t="e">
        <f t="shared" ca="1" si="21"/>
        <v>#N/A</v>
      </c>
      <c r="BY16" s="14" t="e">
        <f t="shared" ca="1" si="21"/>
        <v>#N/A</v>
      </c>
      <c r="BZ16" s="14" t="e">
        <f t="shared" ca="1" si="21"/>
        <v>#N/A</v>
      </c>
      <c r="CA16" s="14" t="e">
        <f t="shared" ca="1" si="21"/>
        <v>#N/A</v>
      </c>
      <c r="CB16" s="14" t="e">
        <f t="shared" ca="1" si="21"/>
        <v>#N/A</v>
      </c>
      <c r="CC16" s="15" t="e">
        <f t="shared" ca="1" si="21"/>
        <v>#N/A</v>
      </c>
      <c r="CD16" s="16" t="e">
        <f t="shared" ca="1" si="21"/>
        <v>#N/A</v>
      </c>
      <c r="CE16" s="13" t="e">
        <f t="shared" ca="1" si="21"/>
        <v>#N/A</v>
      </c>
      <c r="CF16" s="14" t="e">
        <f t="shared" ca="1" si="21"/>
        <v>#N/A</v>
      </c>
      <c r="CG16" s="14" t="e">
        <f t="shared" ca="1" si="21"/>
        <v>#N/A</v>
      </c>
      <c r="CH16" s="14" t="e">
        <f t="shared" ca="1" si="21"/>
        <v>#N/A</v>
      </c>
      <c r="CI16" s="14" t="e">
        <f t="shared" ca="1" si="21"/>
        <v>#N/A</v>
      </c>
      <c r="CJ16" s="15" t="e">
        <f t="shared" ca="1" si="21"/>
        <v>#N/A</v>
      </c>
      <c r="CK16" s="16" t="e">
        <f t="shared" ca="1" si="21"/>
        <v>#N/A</v>
      </c>
      <c r="CL16" s="13" t="e">
        <f t="shared" ca="1" si="21"/>
        <v>#N/A</v>
      </c>
      <c r="CM16" s="14" t="e">
        <f t="shared" ca="1" si="22"/>
        <v>#N/A</v>
      </c>
      <c r="CN16" s="14" t="e">
        <f t="shared" ca="1" si="22"/>
        <v>#N/A</v>
      </c>
      <c r="CO16" s="14" t="e">
        <f t="shared" ca="1" si="22"/>
        <v>#N/A</v>
      </c>
      <c r="CP16" s="14" t="e">
        <f t="shared" ca="1" si="22"/>
        <v>#N/A</v>
      </c>
      <c r="CQ16" s="15" t="e">
        <f t="shared" ca="1" si="22"/>
        <v>#N/A</v>
      </c>
      <c r="CR16" s="16" t="e">
        <f t="shared" ca="1" si="22"/>
        <v>#N/A</v>
      </c>
      <c r="CS16" s="13" t="e">
        <f t="shared" ca="1" si="22"/>
        <v>#N/A</v>
      </c>
      <c r="CT16" s="14" t="e">
        <f t="shared" ca="1" si="22"/>
        <v>#N/A</v>
      </c>
      <c r="CU16" s="14" t="e">
        <f t="shared" ca="1" si="22"/>
        <v>#N/A</v>
      </c>
      <c r="CV16" s="14" t="e">
        <f t="shared" ca="1" si="22"/>
        <v>#N/A</v>
      </c>
      <c r="CW16" s="14" t="e">
        <f t="shared" ca="1" si="22"/>
        <v>#N/A</v>
      </c>
      <c r="CX16" s="15" t="e">
        <f t="shared" ca="1" si="22"/>
        <v>#N/A</v>
      </c>
      <c r="CY16" s="16" t="e">
        <f t="shared" ca="1" si="22"/>
        <v>#N/A</v>
      </c>
      <c r="CZ16" s="13" t="e">
        <f t="shared" ca="1" si="22"/>
        <v>#N/A</v>
      </c>
      <c r="DA16" s="14" t="e">
        <f t="shared" ca="1" si="22"/>
        <v>#N/A</v>
      </c>
      <c r="DB16" s="14" t="e">
        <f t="shared" ca="1" si="22"/>
        <v>#N/A</v>
      </c>
      <c r="DC16" s="14" t="e">
        <f t="shared" ca="1" si="23"/>
        <v>#N/A</v>
      </c>
      <c r="DD16" s="14" t="e">
        <f t="shared" ca="1" si="23"/>
        <v>#N/A</v>
      </c>
      <c r="DE16" s="15" t="e">
        <f t="shared" ca="1" si="23"/>
        <v>#N/A</v>
      </c>
      <c r="DF16" s="16" t="e">
        <f t="shared" ca="1" si="23"/>
        <v>#N/A</v>
      </c>
      <c r="DG16" s="13" t="e">
        <f t="shared" ca="1" si="23"/>
        <v>#N/A</v>
      </c>
      <c r="DH16" s="14" t="e">
        <f t="shared" ca="1" si="23"/>
        <v>#N/A</v>
      </c>
      <c r="DI16" s="14" t="e">
        <f t="shared" ca="1" si="23"/>
        <v>#N/A</v>
      </c>
      <c r="DJ16" s="14" t="e">
        <f t="shared" ca="1" si="23"/>
        <v>#N/A</v>
      </c>
      <c r="DK16" s="14" t="e">
        <f t="shared" ca="1" si="23"/>
        <v>#N/A</v>
      </c>
      <c r="DL16" s="15" t="e">
        <f t="shared" ca="1" si="23"/>
        <v>#N/A</v>
      </c>
      <c r="DM16" s="16" t="e">
        <f t="shared" ca="1" si="23"/>
        <v>#N/A</v>
      </c>
      <c r="DN16" s="13" t="e">
        <f t="shared" ca="1" si="23"/>
        <v>#N/A</v>
      </c>
      <c r="DO16" s="14" t="e">
        <f t="shared" ca="1" si="23"/>
        <v>#N/A</v>
      </c>
      <c r="DP16" s="14" t="e">
        <f t="shared" ca="1" si="23"/>
        <v>#N/A</v>
      </c>
      <c r="DQ16" s="14" t="e">
        <f t="shared" ca="1" si="23"/>
        <v>#N/A</v>
      </c>
      <c r="DR16" s="14" t="e">
        <f t="shared" ca="1" si="23"/>
        <v>#N/A</v>
      </c>
      <c r="DS16" s="15" t="e">
        <f t="shared" ca="1" si="23"/>
        <v>#N/A</v>
      </c>
      <c r="DT16" s="16" t="e">
        <f t="shared" ca="1" si="23"/>
        <v>#N/A</v>
      </c>
    </row>
    <row r="17" spans="1:124" s="17" customFormat="1" ht="9.75" customHeight="1">
      <c r="A17" s="586"/>
      <c r="B17" s="23" t="s">
        <v>47</v>
      </c>
      <c r="C17" s="19" t="e">
        <f t="shared" ref="C17:C25" ca="1" si="26">E16+1</f>
        <v>#N/A</v>
      </c>
      <c r="D17" s="19" t="e">
        <f ca="1">_xlfn.XLOOKUP(A25,'VTT project'!B:B,'VTT project'!AG:AG,"-",0)</f>
        <v>#N/A</v>
      </c>
      <c r="E17" s="19" t="e">
        <f t="shared" ca="1" si="25"/>
        <v>#N/A</v>
      </c>
      <c r="F17" s="13" t="e">
        <f t="shared" ca="1" si="17"/>
        <v>#N/A</v>
      </c>
      <c r="G17" s="14" t="e">
        <f t="shared" ca="1" si="17"/>
        <v>#N/A</v>
      </c>
      <c r="H17" s="14" t="e">
        <f t="shared" ca="1" si="17"/>
        <v>#N/A</v>
      </c>
      <c r="I17" s="14" t="e">
        <f t="shared" ca="1" si="17"/>
        <v>#N/A</v>
      </c>
      <c r="J17" s="14" t="e">
        <f t="shared" ca="1" si="17"/>
        <v>#N/A</v>
      </c>
      <c r="K17" s="15" t="e">
        <f t="shared" ca="1" si="17"/>
        <v>#N/A</v>
      </c>
      <c r="L17" s="16" t="e">
        <f t="shared" ca="1" si="17"/>
        <v>#N/A</v>
      </c>
      <c r="M17" s="13" t="e">
        <f t="shared" ca="1" si="17"/>
        <v>#N/A</v>
      </c>
      <c r="N17" s="14" t="e">
        <f t="shared" ca="1" si="17"/>
        <v>#N/A</v>
      </c>
      <c r="O17" s="14" t="e">
        <f t="shared" ca="1" si="17"/>
        <v>#N/A</v>
      </c>
      <c r="P17" s="14" t="e">
        <f t="shared" ca="1" si="17"/>
        <v>#N/A</v>
      </c>
      <c r="Q17" s="14" t="e">
        <f t="shared" ca="1" si="17"/>
        <v>#N/A</v>
      </c>
      <c r="R17" s="15" t="e">
        <f t="shared" ca="1" si="17"/>
        <v>#N/A</v>
      </c>
      <c r="S17" s="16" t="e">
        <f t="shared" ca="1" si="17"/>
        <v>#N/A</v>
      </c>
      <c r="T17" s="13" t="e">
        <f t="shared" ca="1" si="17"/>
        <v>#N/A</v>
      </c>
      <c r="U17" s="14" t="e">
        <f t="shared" ca="1" si="17"/>
        <v>#N/A</v>
      </c>
      <c r="V17" s="14" t="e">
        <f t="shared" ca="1" si="17"/>
        <v>#N/A</v>
      </c>
      <c r="W17" s="14" t="e">
        <f t="shared" ca="1" si="17"/>
        <v>#N/A</v>
      </c>
      <c r="X17" s="14" t="e">
        <f t="shared" ca="1" si="17"/>
        <v>#N/A</v>
      </c>
      <c r="Y17" s="15" t="e">
        <f t="shared" ca="1" si="17"/>
        <v>#N/A</v>
      </c>
      <c r="Z17" s="16" t="e">
        <f t="shared" ca="1" si="17"/>
        <v>#N/A</v>
      </c>
      <c r="AA17" s="13" t="e">
        <f t="shared" ca="1" si="18"/>
        <v>#N/A</v>
      </c>
      <c r="AB17" s="14" t="e">
        <f t="shared" ca="1" si="18"/>
        <v>#N/A</v>
      </c>
      <c r="AC17" s="14" t="e">
        <f t="shared" ca="1" si="18"/>
        <v>#N/A</v>
      </c>
      <c r="AD17" s="14" t="e">
        <f t="shared" ca="1" si="18"/>
        <v>#N/A</v>
      </c>
      <c r="AE17" s="14" t="e">
        <f t="shared" ca="1" si="18"/>
        <v>#N/A</v>
      </c>
      <c r="AF17" s="15" t="e">
        <f t="shared" ca="1" si="18"/>
        <v>#N/A</v>
      </c>
      <c r="AG17" s="16" t="e">
        <f t="shared" ca="1" si="18"/>
        <v>#N/A</v>
      </c>
      <c r="AH17" s="13" t="e">
        <f t="shared" ca="1" si="18"/>
        <v>#N/A</v>
      </c>
      <c r="AI17" s="14" t="e">
        <f t="shared" ca="1" si="18"/>
        <v>#N/A</v>
      </c>
      <c r="AJ17" s="14" t="e">
        <f t="shared" ca="1" si="18"/>
        <v>#N/A</v>
      </c>
      <c r="AK17" s="14" t="e">
        <f t="shared" ca="1" si="18"/>
        <v>#N/A</v>
      </c>
      <c r="AL17" s="14" t="e">
        <f t="shared" ca="1" si="18"/>
        <v>#N/A</v>
      </c>
      <c r="AM17" s="15" t="e">
        <f t="shared" ca="1" si="18"/>
        <v>#N/A</v>
      </c>
      <c r="AN17" s="16" t="e">
        <f t="shared" ca="1" si="18"/>
        <v>#N/A</v>
      </c>
      <c r="AO17" s="13" t="e">
        <f t="shared" ca="1" si="18"/>
        <v>#N/A</v>
      </c>
      <c r="AP17" s="14" t="e">
        <f t="shared" ca="1" si="18"/>
        <v>#N/A</v>
      </c>
      <c r="AQ17" s="14" t="e">
        <f t="shared" ca="1" si="19"/>
        <v>#N/A</v>
      </c>
      <c r="AR17" s="14" t="e">
        <f t="shared" ca="1" si="19"/>
        <v>#N/A</v>
      </c>
      <c r="AS17" s="14" t="e">
        <f t="shared" ca="1" si="19"/>
        <v>#N/A</v>
      </c>
      <c r="AT17" s="15" t="e">
        <f t="shared" ca="1" si="19"/>
        <v>#N/A</v>
      </c>
      <c r="AU17" s="16" t="e">
        <f t="shared" ca="1" si="19"/>
        <v>#N/A</v>
      </c>
      <c r="AV17" s="13" t="e">
        <f t="shared" ca="1" si="19"/>
        <v>#N/A</v>
      </c>
      <c r="AW17" s="14" t="e">
        <f t="shared" ca="1" si="19"/>
        <v>#N/A</v>
      </c>
      <c r="AX17" s="14" t="e">
        <f t="shared" ca="1" si="19"/>
        <v>#N/A</v>
      </c>
      <c r="AY17" s="14" t="e">
        <f t="shared" ca="1" si="19"/>
        <v>#N/A</v>
      </c>
      <c r="AZ17" s="14" t="e">
        <f t="shared" ca="1" si="19"/>
        <v>#N/A</v>
      </c>
      <c r="BA17" s="15" t="e">
        <f t="shared" ca="1" si="19"/>
        <v>#N/A</v>
      </c>
      <c r="BB17" s="16" t="e">
        <f t="shared" ca="1" si="19"/>
        <v>#N/A</v>
      </c>
      <c r="BC17" s="13" t="e">
        <f t="shared" ca="1" si="19"/>
        <v>#N/A</v>
      </c>
      <c r="BD17" s="14" t="e">
        <f t="shared" ca="1" si="19"/>
        <v>#N/A</v>
      </c>
      <c r="BE17" s="14" t="e">
        <f t="shared" ca="1" si="19"/>
        <v>#N/A</v>
      </c>
      <c r="BF17" s="14" t="e">
        <f t="shared" ca="1" si="19"/>
        <v>#N/A</v>
      </c>
      <c r="BG17" s="14" t="e">
        <f t="shared" ca="1" si="20"/>
        <v>#N/A</v>
      </c>
      <c r="BH17" s="15" t="e">
        <f t="shared" ca="1" si="20"/>
        <v>#N/A</v>
      </c>
      <c r="BI17" s="16" t="e">
        <f t="shared" ca="1" si="20"/>
        <v>#N/A</v>
      </c>
      <c r="BJ17" s="13" t="e">
        <f t="shared" ca="1" si="20"/>
        <v>#N/A</v>
      </c>
      <c r="BK17" s="14" t="e">
        <f t="shared" ca="1" si="20"/>
        <v>#N/A</v>
      </c>
      <c r="BL17" s="14" t="e">
        <f t="shared" ca="1" si="20"/>
        <v>#N/A</v>
      </c>
      <c r="BM17" s="14" t="e">
        <f t="shared" ca="1" si="20"/>
        <v>#N/A</v>
      </c>
      <c r="BN17" s="14" t="e">
        <f t="shared" ca="1" si="20"/>
        <v>#N/A</v>
      </c>
      <c r="BO17" s="15" t="e">
        <f t="shared" ca="1" si="20"/>
        <v>#N/A</v>
      </c>
      <c r="BP17" s="16" t="e">
        <f t="shared" ca="1" si="20"/>
        <v>#N/A</v>
      </c>
      <c r="BQ17" s="13" t="e">
        <f t="shared" ca="1" si="20"/>
        <v>#N/A</v>
      </c>
      <c r="BR17" s="14" t="e">
        <f t="shared" ca="1" si="20"/>
        <v>#N/A</v>
      </c>
      <c r="BS17" s="14" t="e">
        <f t="shared" ca="1" si="20"/>
        <v>#N/A</v>
      </c>
      <c r="BT17" s="14" t="e">
        <f t="shared" ca="1" si="20"/>
        <v>#N/A</v>
      </c>
      <c r="BU17" s="14" t="e">
        <f t="shared" ca="1" si="20"/>
        <v>#N/A</v>
      </c>
      <c r="BV17" s="15" t="e">
        <f t="shared" ca="1" si="20"/>
        <v>#N/A</v>
      </c>
      <c r="BW17" s="16" t="e">
        <f t="shared" ca="1" si="21"/>
        <v>#N/A</v>
      </c>
      <c r="BX17" s="13" t="e">
        <f t="shared" ca="1" si="21"/>
        <v>#N/A</v>
      </c>
      <c r="BY17" s="14" t="e">
        <f t="shared" ca="1" si="21"/>
        <v>#N/A</v>
      </c>
      <c r="BZ17" s="14" t="e">
        <f t="shared" ca="1" si="21"/>
        <v>#N/A</v>
      </c>
      <c r="CA17" s="14" t="e">
        <f t="shared" ca="1" si="21"/>
        <v>#N/A</v>
      </c>
      <c r="CB17" s="14" t="e">
        <f t="shared" ca="1" si="21"/>
        <v>#N/A</v>
      </c>
      <c r="CC17" s="15" t="e">
        <f t="shared" ca="1" si="21"/>
        <v>#N/A</v>
      </c>
      <c r="CD17" s="16" t="e">
        <f t="shared" ca="1" si="21"/>
        <v>#N/A</v>
      </c>
      <c r="CE17" s="13" t="e">
        <f t="shared" ca="1" si="21"/>
        <v>#N/A</v>
      </c>
      <c r="CF17" s="14" t="e">
        <f t="shared" ca="1" si="21"/>
        <v>#N/A</v>
      </c>
      <c r="CG17" s="14" t="e">
        <f t="shared" ca="1" si="21"/>
        <v>#N/A</v>
      </c>
      <c r="CH17" s="14" t="e">
        <f t="shared" ca="1" si="21"/>
        <v>#N/A</v>
      </c>
      <c r="CI17" s="14" t="e">
        <f t="shared" ca="1" si="21"/>
        <v>#N/A</v>
      </c>
      <c r="CJ17" s="15" t="e">
        <f t="shared" ca="1" si="21"/>
        <v>#N/A</v>
      </c>
      <c r="CK17" s="16" t="e">
        <f t="shared" ca="1" si="21"/>
        <v>#N/A</v>
      </c>
      <c r="CL17" s="13" t="e">
        <f t="shared" ca="1" si="21"/>
        <v>#N/A</v>
      </c>
      <c r="CM17" s="14" t="e">
        <f t="shared" ca="1" si="22"/>
        <v>#N/A</v>
      </c>
      <c r="CN17" s="14" t="e">
        <f t="shared" ca="1" si="22"/>
        <v>#N/A</v>
      </c>
      <c r="CO17" s="14" t="e">
        <f t="shared" ca="1" si="22"/>
        <v>#N/A</v>
      </c>
      <c r="CP17" s="14" t="e">
        <f t="shared" ca="1" si="22"/>
        <v>#N/A</v>
      </c>
      <c r="CQ17" s="15" t="e">
        <f t="shared" ca="1" si="22"/>
        <v>#N/A</v>
      </c>
      <c r="CR17" s="16" t="e">
        <f t="shared" ca="1" si="22"/>
        <v>#N/A</v>
      </c>
      <c r="CS17" s="13" t="e">
        <f t="shared" ca="1" si="22"/>
        <v>#N/A</v>
      </c>
      <c r="CT17" s="14" t="e">
        <f t="shared" ca="1" si="22"/>
        <v>#N/A</v>
      </c>
      <c r="CU17" s="14" t="e">
        <f t="shared" ca="1" si="22"/>
        <v>#N/A</v>
      </c>
      <c r="CV17" s="14" t="e">
        <f t="shared" ca="1" si="22"/>
        <v>#N/A</v>
      </c>
      <c r="CW17" s="14" t="e">
        <f t="shared" ca="1" si="22"/>
        <v>#N/A</v>
      </c>
      <c r="CX17" s="15" t="e">
        <f t="shared" ca="1" si="22"/>
        <v>#N/A</v>
      </c>
      <c r="CY17" s="16" t="e">
        <f t="shared" ca="1" si="22"/>
        <v>#N/A</v>
      </c>
      <c r="CZ17" s="13" t="e">
        <f t="shared" ca="1" si="22"/>
        <v>#N/A</v>
      </c>
      <c r="DA17" s="14" t="e">
        <f t="shared" ca="1" si="22"/>
        <v>#N/A</v>
      </c>
      <c r="DB17" s="14" t="e">
        <f t="shared" ca="1" si="22"/>
        <v>#N/A</v>
      </c>
      <c r="DC17" s="14" t="e">
        <f t="shared" ca="1" si="23"/>
        <v>#N/A</v>
      </c>
      <c r="DD17" s="14" t="e">
        <f t="shared" ca="1" si="23"/>
        <v>#N/A</v>
      </c>
      <c r="DE17" s="15" t="e">
        <f t="shared" ca="1" si="23"/>
        <v>#N/A</v>
      </c>
      <c r="DF17" s="16" t="e">
        <f t="shared" ca="1" si="23"/>
        <v>#N/A</v>
      </c>
      <c r="DG17" s="13" t="e">
        <f t="shared" ca="1" si="23"/>
        <v>#N/A</v>
      </c>
      <c r="DH17" s="14" t="e">
        <f t="shared" ca="1" si="23"/>
        <v>#N/A</v>
      </c>
      <c r="DI17" s="14" t="e">
        <f t="shared" ca="1" si="23"/>
        <v>#N/A</v>
      </c>
      <c r="DJ17" s="14" t="e">
        <f t="shared" ca="1" si="23"/>
        <v>#N/A</v>
      </c>
      <c r="DK17" s="14" t="e">
        <f t="shared" ca="1" si="23"/>
        <v>#N/A</v>
      </c>
      <c r="DL17" s="15" t="e">
        <f t="shared" ca="1" si="23"/>
        <v>#N/A</v>
      </c>
      <c r="DM17" s="16" t="e">
        <f t="shared" ca="1" si="23"/>
        <v>#N/A</v>
      </c>
      <c r="DN17" s="13" t="e">
        <f t="shared" ca="1" si="23"/>
        <v>#N/A</v>
      </c>
      <c r="DO17" s="14" t="e">
        <f t="shared" ca="1" si="23"/>
        <v>#N/A</v>
      </c>
      <c r="DP17" s="14" t="e">
        <f t="shared" ca="1" si="23"/>
        <v>#N/A</v>
      </c>
      <c r="DQ17" s="14" t="e">
        <f t="shared" ca="1" si="23"/>
        <v>#N/A</v>
      </c>
      <c r="DR17" s="14" t="e">
        <f t="shared" ca="1" si="23"/>
        <v>#N/A</v>
      </c>
      <c r="DS17" s="15" t="e">
        <f t="shared" ca="1" si="23"/>
        <v>#N/A</v>
      </c>
      <c r="DT17" s="16" t="e">
        <f t="shared" ca="1" si="23"/>
        <v>#N/A</v>
      </c>
    </row>
    <row r="18" spans="1:124" s="17" customFormat="1" ht="9.75" customHeight="1">
      <c r="A18" s="586"/>
      <c r="B18" s="26" t="s">
        <v>48</v>
      </c>
      <c r="C18" s="19" t="e">
        <f t="shared" ca="1" si="26"/>
        <v>#N/A</v>
      </c>
      <c r="D18" s="19" t="e">
        <f ca="1">_xlfn.XLOOKUP(A25,'VTT project'!B:B,'VTT project'!AH:AH,"-",0)</f>
        <v>#N/A</v>
      </c>
      <c r="E18" s="19" t="e">
        <f t="shared" ca="1" si="25"/>
        <v>#N/A</v>
      </c>
      <c r="F18" s="13" t="e">
        <f t="shared" ca="1" si="17"/>
        <v>#N/A</v>
      </c>
      <c r="G18" s="14" t="e">
        <f t="shared" ca="1" si="17"/>
        <v>#N/A</v>
      </c>
      <c r="H18" s="14" t="e">
        <f t="shared" ca="1" si="17"/>
        <v>#N/A</v>
      </c>
      <c r="I18" s="14" t="e">
        <f t="shared" ca="1" si="17"/>
        <v>#N/A</v>
      </c>
      <c r="J18" s="14" t="e">
        <f t="shared" ca="1" si="17"/>
        <v>#N/A</v>
      </c>
      <c r="K18" s="15" t="e">
        <f t="shared" ca="1" si="17"/>
        <v>#N/A</v>
      </c>
      <c r="L18" s="16" t="e">
        <f t="shared" ca="1" si="17"/>
        <v>#N/A</v>
      </c>
      <c r="M18" s="13" t="e">
        <f t="shared" ca="1" si="17"/>
        <v>#N/A</v>
      </c>
      <c r="N18" s="14" t="e">
        <f t="shared" ca="1" si="17"/>
        <v>#N/A</v>
      </c>
      <c r="O18" s="14" t="e">
        <f t="shared" ca="1" si="17"/>
        <v>#N/A</v>
      </c>
      <c r="P18" s="14" t="e">
        <f t="shared" ca="1" si="17"/>
        <v>#N/A</v>
      </c>
      <c r="Q18" s="14" t="e">
        <f t="shared" ca="1" si="17"/>
        <v>#N/A</v>
      </c>
      <c r="R18" s="15" t="e">
        <f t="shared" ca="1" si="17"/>
        <v>#N/A</v>
      </c>
      <c r="S18" s="16" t="e">
        <f t="shared" ca="1" si="17"/>
        <v>#N/A</v>
      </c>
      <c r="T18" s="13" t="e">
        <f t="shared" ca="1" si="17"/>
        <v>#N/A</v>
      </c>
      <c r="U18" s="14" t="e">
        <f t="shared" ca="1" si="17"/>
        <v>#N/A</v>
      </c>
      <c r="V18" s="14" t="e">
        <f t="shared" ca="1" si="17"/>
        <v>#N/A</v>
      </c>
      <c r="W18" s="14" t="e">
        <f t="shared" ca="1" si="17"/>
        <v>#N/A</v>
      </c>
      <c r="X18" s="14" t="e">
        <f t="shared" ca="1" si="17"/>
        <v>#N/A</v>
      </c>
      <c r="Y18" s="15" t="e">
        <f t="shared" ca="1" si="17"/>
        <v>#N/A</v>
      </c>
      <c r="Z18" s="16" t="e">
        <f t="shared" ca="1" si="17"/>
        <v>#N/A</v>
      </c>
      <c r="AA18" s="13" t="e">
        <f t="shared" ca="1" si="18"/>
        <v>#N/A</v>
      </c>
      <c r="AB18" s="14" t="e">
        <f t="shared" ca="1" si="18"/>
        <v>#N/A</v>
      </c>
      <c r="AC18" s="14" t="e">
        <f t="shared" ca="1" si="18"/>
        <v>#N/A</v>
      </c>
      <c r="AD18" s="14" t="e">
        <f t="shared" ca="1" si="18"/>
        <v>#N/A</v>
      </c>
      <c r="AE18" s="14" t="e">
        <f t="shared" ca="1" si="18"/>
        <v>#N/A</v>
      </c>
      <c r="AF18" s="15" t="e">
        <f t="shared" ca="1" si="18"/>
        <v>#N/A</v>
      </c>
      <c r="AG18" s="16" t="e">
        <f t="shared" ca="1" si="18"/>
        <v>#N/A</v>
      </c>
      <c r="AH18" s="13" t="e">
        <f t="shared" ca="1" si="18"/>
        <v>#N/A</v>
      </c>
      <c r="AI18" s="14" t="e">
        <f t="shared" ca="1" si="18"/>
        <v>#N/A</v>
      </c>
      <c r="AJ18" s="14" t="e">
        <f t="shared" ca="1" si="18"/>
        <v>#N/A</v>
      </c>
      <c r="AK18" s="14" t="e">
        <f t="shared" ca="1" si="18"/>
        <v>#N/A</v>
      </c>
      <c r="AL18" s="14" t="e">
        <f t="shared" ca="1" si="18"/>
        <v>#N/A</v>
      </c>
      <c r="AM18" s="15" t="e">
        <f t="shared" ca="1" si="18"/>
        <v>#N/A</v>
      </c>
      <c r="AN18" s="16" t="e">
        <f t="shared" ca="1" si="18"/>
        <v>#N/A</v>
      </c>
      <c r="AO18" s="13" t="e">
        <f t="shared" ca="1" si="18"/>
        <v>#N/A</v>
      </c>
      <c r="AP18" s="14" t="e">
        <f t="shared" ca="1" si="18"/>
        <v>#N/A</v>
      </c>
      <c r="AQ18" s="14" t="e">
        <f t="shared" ca="1" si="19"/>
        <v>#N/A</v>
      </c>
      <c r="AR18" s="14" t="e">
        <f t="shared" ca="1" si="19"/>
        <v>#N/A</v>
      </c>
      <c r="AS18" s="14" t="e">
        <f t="shared" ca="1" si="19"/>
        <v>#N/A</v>
      </c>
      <c r="AT18" s="15" t="e">
        <f t="shared" ca="1" si="19"/>
        <v>#N/A</v>
      </c>
      <c r="AU18" s="16" t="e">
        <f t="shared" ca="1" si="19"/>
        <v>#N/A</v>
      </c>
      <c r="AV18" s="13" t="e">
        <f t="shared" ca="1" si="19"/>
        <v>#N/A</v>
      </c>
      <c r="AW18" s="14" t="e">
        <f t="shared" ca="1" si="19"/>
        <v>#N/A</v>
      </c>
      <c r="AX18" s="14" t="e">
        <f t="shared" ca="1" si="19"/>
        <v>#N/A</v>
      </c>
      <c r="AY18" s="14" t="e">
        <f t="shared" ca="1" si="19"/>
        <v>#N/A</v>
      </c>
      <c r="AZ18" s="14" t="e">
        <f t="shared" ca="1" si="19"/>
        <v>#N/A</v>
      </c>
      <c r="BA18" s="15" t="e">
        <f t="shared" ca="1" si="19"/>
        <v>#N/A</v>
      </c>
      <c r="BB18" s="16" t="e">
        <f t="shared" ca="1" si="19"/>
        <v>#N/A</v>
      </c>
      <c r="BC18" s="13" t="e">
        <f t="shared" ca="1" si="19"/>
        <v>#N/A</v>
      </c>
      <c r="BD18" s="14" t="e">
        <f t="shared" ca="1" si="19"/>
        <v>#N/A</v>
      </c>
      <c r="BE18" s="14" t="e">
        <f t="shared" ca="1" si="19"/>
        <v>#N/A</v>
      </c>
      <c r="BF18" s="14" t="e">
        <f t="shared" ca="1" si="19"/>
        <v>#N/A</v>
      </c>
      <c r="BG18" s="14" t="e">
        <f t="shared" ca="1" si="20"/>
        <v>#N/A</v>
      </c>
      <c r="BH18" s="15" t="e">
        <f t="shared" ca="1" si="20"/>
        <v>#N/A</v>
      </c>
      <c r="BI18" s="16" t="e">
        <f t="shared" ca="1" si="20"/>
        <v>#N/A</v>
      </c>
      <c r="BJ18" s="13" t="e">
        <f t="shared" ca="1" si="20"/>
        <v>#N/A</v>
      </c>
      <c r="BK18" s="14" t="e">
        <f t="shared" ca="1" si="20"/>
        <v>#N/A</v>
      </c>
      <c r="BL18" s="14" t="e">
        <f t="shared" ca="1" si="20"/>
        <v>#N/A</v>
      </c>
      <c r="BM18" s="14" t="e">
        <f t="shared" ca="1" si="20"/>
        <v>#N/A</v>
      </c>
      <c r="BN18" s="14" t="e">
        <f t="shared" ca="1" si="20"/>
        <v>#N/A</v>
      </c>
      <c r="BO18" s="15" t="e">
        <f t="shared" ca="1" si="20"/>
        <v>#N/A</v>
      </c>
      <c r="BP18" s="16" t="e">
        <f t="shared" ca="1" si="20"/>
        <v>#N/A</v>
      </c>
      <c r="BQ18" s="13" t="e">
        <f t="shared" ca="1" si="20"/>
        <v>#N/A</v>
      </c>
      <c r="BR18" s="14" t="e">
        <f t="shared" ca="1" si="20"/>
        <v>#N/A</v>
      </c>
      <c r="BS18" s="14" t="e">
        <f t="shared" ca="1" si="20"/>
        <v>#N/A</v>
      </c>
      <c r="BT18" s="14" t="e">
        <f t="shared" ca="1" si="20"/>
        <v>#N/A</v>
      </c>
      <c r="BU18" s="14" t="e">
        <f t="shared" ca="1" si="20"/>
        <v>#N/A</v>
      </c>
      <c r="BV18" s="15" t="e">
        <f t="shared" ca="1" si="20"/>
        <v>#N/A</v>
      </c>
      <c r="BW18" s="16" t="e">
        <f t="shared" ca="1" si="21"/>
        <v>#N/A</v>
      </c>
      <c r="BX18" s="13" t="e">
        <f t="shared" ca="1" si="21"/>
        <v>#N/A</v>
      </c>
      <c r="BY18" s="14" t="e">
        <f t="shared" ca="1" si="21"/>
        <v>#N/A</v>
      </c>
      <c r="BZ18" s="14" t="e">
        <f t="shared" ca="1" si="21"/>
        <v>#N/A</v>
      </c>
      <c r="CA18" s="14" t="e">
        <f t="shared" ca="1" si="21"/>
        <v>#N/A</v>
      </c>
      <c r="CB18" s="14" t="e">
        <f t="shared" ca="1" si="21"/>
        <v>#N/A</v>
      </c>
      <c r="CC18" s="15" t="e">
        <f t="shared" ca="1" si="21"/>
        <v>#N/A</v>
      </c>
      <c r="CD18" s="16" t="e">
        <f t="shared" ca="1" si="21"/>
        <v>#N/A</v>
      </c>
      <c r="CE18" s="13" t="e">
        <f t="shared" ca="1" si="21"/>
        <v>#N/A</v>
      </c>
      <c r="CF18" s="14" t="e">
        <f t="shared" ca="1" si="21"/>
        <v>#N/A</v>
      </c>
      <c r="CG18" s="14" t="e">
        <f t="shared" ca="1" si="21"/>
        <v>#N/A</v>
      </c>
      <c r="CH18" s="14" t="e">
        <f t="shared" ca="1" si="21"/>
        <v>#N/A</v>
      </c>
      <c r="CI18" s="14" t="e">
        <f t="shared" ca="1" si="21"/>
        <v>#N/A</v>
      </c>
      <c r="CJ18" s="15" t="e">
        <f t="shared" ca="1" si="21"/>
        <v>#N/A</v>
      </c>
      <c r="CK18" s="16" t="e">
        <f t="shared" ca="1" si="21"/>
        <v>#N/A</v>
      </c>
      <c r="CL18" s="13" t="e">
        <f t="shared" ca="1" si="21"/>
        <v>#N/A</v>
      </c>
      <c r="CM18" s="14" t="e">
        <f t="shared" ca="1" si="22"/>
        <v>#N/A</v>
      </c>
      <c r="CN18" s="14" t="e">
        <f t="shared" ca="1" si="22"/>
        <v>#N/A</v>
      </c>
      <c r="CO18" s="14" t="e">
        <f t="shared" ca="1" si="22"/>
        <v>#N/A</v>
      </c>
      <c r="CP18" s="14" t="e">
        <f t="shared" ca="1" si="22"/>
        <v>#N/A</v>
      </c>
      <c r="CQ18" s="15" t="e">
        <f t="shared" ca="1" si="22"/>
        <v>#N/A</v>
      </c>
      <c r="CR18" s="16" t="e">
        <f t="shared" ca="1" si="22"/>
        <v>#N/A</v>
      </c>
      <c r="CS18" s="13" t="e">
        <f t="shared" ca="1" si="22"/>
        <v>#N/A</v>
      </c>
      <c r="CT18" s="14" t="e">
        <f t="shared" ca="1" si="22"/>
        <v>#N/A</v>
      </c>
      <c r="CU18" s="14" t="e">
        <f t="shared" ca="1" si="22"/>
        <v>#N/A</v>
      </c>
      <c r="CV18" s="14" t="e">
        <f t="shared" ca="1" si="22"/>
        <v>#N/A</v>
      </c>
      <c r="CW18" s="14" t="e">
        <f t="shared" ca="1" si="22"/>
        <v>#N/A</v>
      </c>
      <c r="CX18" s="15" t="e">
        <f t="shared" ca="1" si="22"/>
        <v>#N/A</v>
      </c>
      <c r="CY18" s="16" t="e">
        <f t="shared" ca="1" si="22"/>
        <v>#N/A</v>
      </c>
      <c r="CZ18" s="13" t="e">
        <f t="shared" ca="1" si="22"/>
        <v>#N/A</v>
      </c>
      <c r="DA18" s="14" t="e">
        <f t="shared" ca="1" si="22"/>
        <v>#N/A</v>
      </c>
      <c r="DB18" s="14" t="e">
        <f t="shared" ca="1" si="22"/>
        <v>#N/A</v>
      </c>
      <c r="DC18" s="14" t="e">
        <f t="shared" ca="1" si="23"/>
        <v>#N/A</v>
      </c>
      <c r="DD18" s="14" t="e">
        <f t="shared" ca="1" si="23"/>
        <v>#N/A</v>
      </c>
      <c r="DE18" s="15" t="e">
        <f t="shared" ca="1" si="23"/>
        <v>#N/A</v>
      </c>
      <c r="DF18" s="16" t="e">
        <f t="shared" ca="1" si="23"/>
        <v>#N/A</v>
      </c>
      <c r="DG18" s="13" t="e">
        <f t="shared" ca="1" si="23"/>
        <v>#N/A</v>
      </c>
      <c r="DH18" s="14" t="e">
        <f t="shared" ca="1" si="23"/>
        <v>#N/A</v>
      </c>
      <c r="DI18" s="14" t="e">
        <f t="shared" ca="1" si="23"/>
        <v>#N/A</v>
      </c>
      <c r="DJ18" s="14" t="e">
        <f t="shared" ca="1" si="23"/>
        <v>#N/A</v>
      </c>
      <c r="DK18" s="14" t="e">
        <f t="shared" ca="1" si="23"/>
        <v>#N/A</v>
      </c>
      <c r="DL18" s="15" t="e">
        <f t="shared" ca="1" si="23"/>
        <v>#N/A</v>
      </c>
      <c r="DM18" s="16" t="e">
        <f t="shared" ca="1" si="23"/>
        <v>#N/A</v>
      </c>
      <c r="DN18" s="13" t="e">
        <f t="shared" ca="1" si="23"/>
        <v>#N/A</v>
      </c>
      <c r="DO18" s="14" t="e">
        <f t="shared" ca="1" si="23"/>
        <v>#N/A</v>
      </c>
      <c r="DP18" s="14" t="e">
        <f t="shared" ca="1" si="23"/>
        <v>#N/A</v>
      </c>
      <c r="DQ18" s="14" t="e">
        <f t="shared" ca="1" si="23"/>
        <v>#N/A</v>
      </c>
      <c r="DR18" s="14" t="e">
        <f t="shared" ca="1" si="23"/>
        <v>#N/A</v>
      </c>
      <c r="DS18" s="15" t="e">
        <f t="shared" ca="1" si="23"/>
        <v>#N/A</v>
      </c>
      <c r="DT18" s="16" t="e">
        <f t="shared" ca="1" si="23"/>
        <v>#N/A</v>
      </c>
    </row>
    <row r="19" spans="1:124" s="17" customFormat="1" ht="9.75" customHeight="1">
      <c r="A19" s="587" t="e">
        <f ca="1">_xlfn.XLOOKUP(A25,'VTT project'!B:B,'VTT project'!AB:AB,"-",0)</f>
        <v>#N/A</v>
      </c>
      <c r="B19" s="24" t="s">
        <v>49</v>
      </c>
      <c r="C19" s="19" t="e">
        <f t="shared" ca="1" si="26"/>
        <v>#N/A</v>
      </c>
      <c r="D19" s="19" t="e">
        <f ca="1">_xlfn.XLOOKUP(A25,'VTT project'!B:B,'VTT project'!AJ:AJ,"-",0)</f>
        <v>#N/A</v>
      </c>
      <c r="E19" s="19" t="e">
        <f ca="1">C19-1+D19</f>
        <v>#N/A</v>
      </c>
      <c r="F19" s="13" t="e">
        <f t="shared" ca="1" si="17"/>
        <v>#N/A</v>
      </c>
      <c r="G19" s="14" t="e">
        <f t="shared" ca="1" si="17"/>
        <v>#N/A</v>
      </c>
      <c r="H19" s="14" t="e">
        <f t="shared" ca="1" si="17"/>
        <v>#N/A</v>
      </c>
      <c r="I19" s="14" t="e">
        <f t="shared" ca="1" si="17"/>
        <v>#N/A</v>
      </c>
      <c r="J19" s="14" t="e">
        <f t="shared" ca="1" si="17"/>
        <v>#N/A</v>
      </c>
      <c r="K19" s="15" t="e">
        <f t="shared" ca="1" si="17"/>
        <v>#N/A</v>
      </c>
      <c r="L19" s="16" t="e">
        <f t="shared" ca="1" si="17"/>
        <v>#N/A</v>
      </c>
      <c r="M19" s="13" t="e">
        <f t="shared" ca="1" si="17"/>
        <v>#N/A</v>
      </c>
      <c r="N19" s="14" t="e">
        <f t="shared" ca="1" si="17"/>
        <v>#N/A</v>
      </c>
      <c r="O19" s="14" t="e">
        <f t="shared" ca="1" si="17"/>
        <v>#N/A</v>
      </c>
      <c r="P19" s="14" t="e">
        <f t="shared" ca="1" si="17"/>
        <v>#N/A</v>
      </c>
      <c r="Q19" s="14" t="e">
        <f t="shared" ca="1" si="17"/>
        <v>#N/A</v>
      </c>
      <c r="R19" s="15" t="e">
        <f t="shared" ca="1" si="17"/>
        <v>#N/A</v>
      </c>
      <c r="S19" s="16" t="e">
        <f t="shared" ca="1" si="17"/>
        <v>#N/A</v>
      </c>
      <c r="T19" s="13" t="e">
        <f t="shared" ca="1" si="17"/>
        <v>#N/A</v>
      </c>
      <c r="U19" s="14" t="e">
        <f t="shared" ca="1" si="17"/>
        <v>#N/A</v>
      </c>
      <c r="V19" s="14" t="e">
        <f t="shared" ca="1" si="17"/>
        <v>#N/A</v>
      </c>
      <c r="W19" s="14" t="e">
        <f t="shared" ca="1" si="17"/>
        <v>#N/A</v>
      </c>
      <c r="X19" s="14" t="e">
        <f t="shared" ca="1" si="17"/>
        <v>#N/A</v>
      </c>
      <c r="Y19" s="15" t="e">
        <f t="shared" ca="1" si="17"/>
        <v>#N/A</v>
      </c>
      <c r="Z19" s="16" t="e">
        <f t="shared" ca="1" si="17"/>
        <v>#N/A</v>
      </c>
      <c r="AA19" s="13" t="e">
        <f t="shared" ca="1" si="18"/>
        <v>#N/A</v>
      </c>
      <c r="AB19" s="14" t="e">
        <f t="shared" ca="1" si="18"/>
        <v>#N/A</v>
      </c>
      <c r="AC19" s="14" t="e">
        <f t="shared" ca="1" si="18"/>
        <v>#N/A</v>
      </c>
      <c r="AD19" s="14" t="e">
        <f t="shared" ca="1" si="18"/>
        <v>#N/A</v>
      </c>
      <c r="AE19" s="14" t="e">
        <f t="shared" ca="1" si="18"/>
        <v>#N/A</v>
      </c>
      <c r="AF19" s="15" t="e">
        <f t="shared" ca="1" si="18"/>
        <v>#N/A</v>
      </c>
      <c r="AG19" s="16" t="e">
        <f t="shared" ca="1" si="18"/>
        <v>#N/A</v>
      </c>
      <c r="AH19" s="13" t="e">
        <f t="shared" ca="1" si="18"/>
        <v>#N/A</v>
      </c>
      <c r="AI19" s="14" t="e">
        <f t="shared" ca="1" si="18"/>
        <v>#N/A</v>
      </c>
      <c r="AJ19" s="14" t="e">
        <f t="shared" ca="1" si="18"/>
        <v>#N/A</v>
      </c>
      <c r="AK19" s="14" t="e">
        <f t="shared" ca="1" si="18"/>
        <v>#N/A</v>
      </c>
      <c r="AL19" s="14" t="e">
        <f t="shared" ca="1" si="18"/>
        <v>#N/A</v>
      </c>
      <c r="AM19" s="15" t="e">
        <f t="shared" ca="1" si="18"/>
        <v>#N/A</v>
      </c>
      <c r="AN19" s="16" t="e">
        <f t="shared" ca="1" si="18"/>
        <v>#N/A</v>
      </c>
      <c r="AO19" s="13" t="e">
        <f t="shared" ca="1" si="18"/>
        <v>#N/A</v>
      </c>
      <c r="AP19" s="14" t="e">
        <f t="shared" ca="1" si="18"/>
        <v>#N/A</v>
      </c>
      <c r="AQ19" s="14" t="e">
        <f t="shared" ca="1" si="19"/>
        <v>#N/A</v>
      </c>
      <c r="AR19" s="14" t="e">
        <f t="shared" ca="1" si="19"/>
        <v>#N/A</v>
      </c>
      <c r="AS19" s="14" t="e">
        <f t="shared" ca="1" si="19"/>
        <v>#N/A</v>
      </c>
      <c r="AT19" s="15" t="e">
        <f t="shared" ca="1" si="19"/>
        <v>#N/A</v>
      </c>
      <c r="AU19" s="16" t="e">
        <f t="shared" ca="1" si="19"/>
        <v>#N/A</v>
      </c>
      <c r="AV19" s="13" t="e">
        <f t="shared" ca="1" si="19"/>
        <v>#N/A</v>
      </c>
      <c r="AW19" s="14" t="e">
        <f t="shared" ca="1" si="19"/>
        <v>#N/A</v>
      </c>
      <c r="AX19" s="14" t="e">
        <f t="shared" ca="1" si="19"/>
        <v>#N/A</v>
      </c>
      <c r="AY19" s="14" t="e">
        <f t="shared" ca="1" si="19"/>
        <v>#N/A</v>
      </c>
      <c r="AZ19" s="14" t="e">
        <f t="shared" ca="1" si="19"/>
        <v>#N/A</v>
      </c>
      <c r="BA19" s="15" t="e">
        <f t="shared" ca="1" si="19"/>
        <v>#N/A</v>
      </c>
      <c r="BB19" s="16" t="e">
        <f t="shared" ca="1" si="19"/>
        <v>#N/A</v>
      </c>
      <c r="BC19" s="13" t="e">
        <f t="shared" ca="1" si="19"/>
        <v>#N/A</v>
      </c>
      <c r="BD19" s="14" t="e">
        <f t="shared" ca="1" si="19"/>
        <v>#N/A</v>
      </c>
      <c r="BE19" s="14" t="e">
        <f t="shared" ca="1" si="19"/>
        <v>#N/A</v>
      </c>
      <c r="BF19" s="14" t="e">
        <f t="shared" ca="1" si="19"/>
        <v>#N/A</v>
      </c>
      <c r="BG19" s="14" t="e">
        <f t="shared" ca="1" si="20"/>
        <v>#N/A</v>
      </c>
      <c r="BH19" s="15" t="e">
        <f t="shared" ca="1" si="20"/>
        <v>#N/A</v>
      </c>
      <c r="BI19" s="16" t="e">
        <f t="shared" ca="1" si="20"/>
        <v>#N/A</v>
      </c>
      <c r="BJ19" s="13" t="e">
        <f t="shared" ca="1" si="20"/>
        <v>#N/A</v>
      </c>
      <c r="BK19" s="14" t="e">
        <f t="shared" ca="1" si="20"/>
        <v>#N/A</v>
      </c>
      <c r="BL19" s="14" t="e">
        <f t="shared" ca="1" si="20"/>
        <v>#N/A</v>
      </c>
      <c r="BM19" s="14" t="e">
        <f t="shared" ca="1" si="20"/>
        <v>#N/A</v>
      </c>
      <c r="BN19" s="14" t="e">
        <f t="shared" ca="1" si="20"/>
        <v>#N/A</v>
      </c>
      <c r="BO19" s="15" t="e">
        <f t="shared" ca="1" si="20"/>
        <v>#N/A</v>
      </c>
      <c r="BP19" s="16" t="e">
        <f t="shared" ca="1" si="20"/>
        <v>#N/A</v>
      </c>
      <c r="BQ19" s="13" t="e">
        <f t="shared" ca="1" si="20"/>
        <v>#N/A</v>
      </c>
      <c r="BR19" s="14" t="e">
        <f t="shared" ca="1" si="20"/>
        <v>#N/A</v>
      </c>
      <c r="BS19" s="14" t="e">
        <f t="shared" ca="1" si="20"/>
        <v>#N/A</v>
      </c>
      <c r="BT19" s="14" t="e">
        <f t="shared" ca="1" si="20"/>
        <v>#N/A</v>
      </c>
      <c r="BU19" s="14" t="e">
        <f t="shared" ca="1" si="20"/>
        <v>#N/A</v>
      </c>
      <c r="BV19" s="15" t="e">
        <f t="shared" ca="1" si="20"/>
        <v>#N/A</v>
      </c>
      <c r="BW19" s="16" t="e">
        <f t="shared" ca="1" si="21"/>
        <v>#N/A</v>
      </c>
      <c r="BX19" s="13" t="e">
        <f t="shared" ca="1" si="21"/>
        <v>#N/A</v>
      </c>
      <c r="BY19" s="14" t="e">
        <f t="shared" ca="1" si="21"/>
        <v>#N/A</v>
      </c>
      <c r="BZ19" s="14" t="e">
        <f t="shared" ca="1" si="21"/>
        <v>#N/A</v>
      </c>
      <c r="CA19" s="14" t="e">
        <f t="shared" ca="1" si="21"/>
        <v>#N/A</v>
      </c>
      <c r="CB19" s="14" t="e">
        <f t="shared" ca="1" si="21"/>
        <v>#N/A</v>
      </c>
      <c r="CC19" s="15" t="e">
        <f t="shared" ca="1" si="21"/>
        <v>#N/A</v>
      </c>
      <c r="CD19" s="16" t="e">
        <f t="shared" ca="1" si="21"/>
        <v>#N/A</v>
      </c>
      <c r="CE19" s="13" t="e">
        <f t="shared" ca="1" si="21"/>
        <v>#N/A</v>
      </c>
      <c r="CF19" s="14" t="e">
        <f t="shared" ca="1" si="21"/>
        <v>#N/A</v>
      </c>
      <c r="CG19" s="14" t="e">
        <f t="shared" ca="1" si="21"/>
        <v>#N/A</v>
      </c>
      <c r="CH19" s="14" t="e">
        <f t="shared" ca="1" si="21"/>
        <v>#N/A</v>
      </c>
      <c r="CI19" s="14" t="e">
        <f t="shared" ca="1" si="21"/>
        <v>#N/A</v>
      </c>
      <c r="CJ19" s="15" t="e">
        <f t="shared" ca="1" si="21"/>
        <v>#N/A</v>
      </c>
      <c r="CK19" s="16" t="e">
        <f t="shared" ca="1" si="21"/>
        <v>#N/A</v>
      </c>
      <c r="CL19" s="13" t="e">
        <f t="shared" ca="1" si="21"/>
        <v>#N/A</v>
      </c>
      <c r="CM19" s="14" t="e">
        <f t="shared" ca="1" si="22"/>
        <v>#N/A</v>
      </c>
      <c r="CN19" s="14" t="e">
        <f t="shared" ca="1" si="22"/>
        <v>#N/A</v>
      </c>
      <c r="CO19" s="14" t="e">
        <f t="shared" ca="1" si="22"/>
        <v>#N/A</v>
      </c>
      <c r="CP19" s="14" t="e">
        <f t="shared" ca="1" si="22"/>
        <v>#N/A</v>
      </c>
      <c r="CQ19" s="15" t="e">
        <f t="shared" ca="1" si="22"/>
        <v>#N/A</v>
      </c>
      <c r="CR19" s="16" t="e">
        <f t="shared" ca="1" si="22"/>
        <v>#N/A</v>
      </c>
      <c r="CS19" s="13" t="e">
        <f t="shared" ca="1" si="22"/>
        <v>#N/A</v>
      </c>
      <c r="CT19" s="14" t="e">
        <f t="shared" ca="1" si="22"/>
        <v>#N/A</v>
      </c>
      <c r="CU19" s="14" t="e">
        <f t="shared" ca="1" si="22"/>
        <v>#N/A</v>
      </c>
      <c r="CV19" s="14" t="e">
        <f t="shared" ca="1" si="22"/>
        <v>#N/A</v>
      </c>
      <c r="CW19" s="14" t="e">
        <f t="shared" ca="1" si="22"/>
        <v>#N/A</v>
      </c>
      <c r="CX19" s="15" t="e">
        <f t="shared" ca="1" si="22"/>
        <v>#N/A</v>
      </c>
      <c r="CY19" s="16" t="e">
        <f t="shared" ca="1" si="22"/>
        <v>#N/A</v>
      </c>
      <c r="CZ19" s="13" t="e">
        <f t="shared" ca="1" si="22"/>
        <v>#N/A</v>
      </c>
      <c r="DA19" s="14" t="e">
        <f t="shared" ca="1" si="22"/>
        <v>#N/A</v>
      </c>
      <c r="DB19" s="14" t="e">
        <f t="shared" ca="1" si="22"/>
        <v>#N/A</v>
      </c>
      <c r="DC19" s="14" t="e">
        <f t="shared" ca="1" si="23"/>
        <v>#N/A</v>
      </c>
      <c r="DD19" s="14" t="e">
        <f t="shared" ca="1" si="23"/>
        <v>#N/A</v>
      </c>
      <c r="DE19" s="15" t="e">
        <f t="shared" ca="1" si="23"/>
        <v>#N/A</v>
      </c>
      <c r="DF19" s="16" t="e">
        <f t="shared" ca="1" si="23"/>
        <v>#N/A</v>
      </c>
      <c r="DG19" s="13" t="e">
        <f t="shared" ca="1" si="23"/>
        <v>#N/A</v>
      </c>
      <c r="DH19" s="14" t="e">
        <f t="shared" ca="1" si="23"/>
        <v>#N/A</v>
      </c>
      <c r="DI19" s="14" t="e">
        <f t="shared" ca="1" si="23"/>
        <v>#N/A</v>
      </c>
      <c r="DJ19" s="14" t="e">
        <f t="shared" ca="1" si="23"/>
        <v>#N/A</v>
      </c>
      <c r="DK19" s="14" t="e">
        <f t="shared" ca="1" si="23"/>
        <v>#N/A</v>
      </c>
      <c r="DL19" s="15" t="e">
        <f t="shared" ca="1" si="23"/>
        <v>#N/A</v>
      </c>
      <c r="DM19" s="16" t="e">
        <f t="shared" ca="1" si="23"/>
        <v>#N/A</v>
      </c>
      <c r="DN19" s="13" t="e">
        <f t="shared" ca="1" si="23"/>
        <v>#N/A</v>
      </c>
      <c r="DO19" s="14" t="e">
        <f t="shared" ca="1" si="23"/>
        <v>#N/A</v>
      </c>
      <c r="DP19" s="14" t="e">
        <f t="shared" ca="1" si="23"/>
        <v>#N/A</v>
      </c>
      <c r="DQ19" s="14" t="e">
        <f t="shared" ca="1" si="23"/>
        <v>#N/A</v>
      </c>
      <c r="DR19" s="14" t="e">
        <f t="shared" ca="1" si="23"/>
        <v>#N/A</v>
      </c>
      <c r="DS19" s="15" t="e">
        <f t="shared" ca="1" si="23"/>
        <v>#N/A</v>
      </c>
      <c r="DT19" s="16" t="e">
        <f t="shared" ca="1" si="23"/>
        <v>#N/A</v>
      </c>
    </row>
    <row r="20" spans="1:124" s="17" customFormat="1" ht="9.75" customHeight="1">
      <c r="A20" s="587"/>
      <c r="B20" s="26" t="str">
        <f>IF(COUNTIF(buffer_train[AILN],B5)&gt;0,"Buffer Train","")</f>
        <v/>
      </c>
      <c r="C20" s="19" t="e">
        <f ca="1">E19+1</f>
        <v>#N/A</v>
      </c>
      <c r="D20" s="19" t="str">
        <f>_xlfn.XLOOKUP(A25,'VTT project'!B:B,'VTT project'!AN:AN,"-",0)</f>
        <v>-</v>
      </c>
      <c r="E20" s="19" t="e">
        <f ca="1">C20-1+IF(D20="-",0,D20)</f>
        <v>#N/A</v>
      </c>
      <c r="F20" s="13" t="e">
        <f ca="1">IF(AND(F$5&gt;=$C20,F$5&lt;=$E20),1,"")</f>
        <v>#N/A</v>
      </c>
      <c r="G20" s="14" t="e">
        <f t="shared" ca="1" si="17"/>
        <v>#N/A</v>
      </c>
      <c r="H20" s="14" t="e">
        <f t="shared" ca="1" si="17"/>
        <v>#N/A</v>
      </c>
      <c r="I20" s="14" t="e">
        <f t="shared" ca="1" si="17"/>
        <v>#N/A</v>
      </c>
      <c r="J20" s="14" t="e">
        <f t="shared" ca="1" si="17"/>
        <v>#N/A</v>
      </c>
      <c r="K20" s="15" t="e">
        <f t="shared" ca="1" si="17"/>
        <v>#N/A</v>
      </c>
      <c r="L20" s="16" t="e">
        <f t="shared" ca="1" si="17"/>
        <v>#N/A</v>
      </c>
      <c r="M20" s="13" t="e">
        <f t="shared" ca="1" si="17"/>
        <v>#N/A</v>
      </c>
      <c r="N20" s="14" t="e">
        <f t="shared" ca="1" si="17"/>
        <v>#N/A</v>
      </c>
      <c r="O20" s="14" t="e">
        <f t="shared" ca="1" si="17"/>
        <v>#N/A</v>
      </c>
      <c r="P20" s="14" t="e">
        <f t="shared" ca="1" si="17"/>
        <v>#N/A</v>
      </c>
      <c r="Q20" s="14" t="e">
        <f t="shared" ca="1" si="17"/>
        <v>#N/A</v>
      </c>
      <c r="R20" s="15" t="e">
        <f t="shared" ca="1" si="17"/>
        <v>#N/A</v>
      </c>
      <c r="S20" s="16" t="e">
        <f t="shared" ca="1" si="17"/>
        <v>#N/A</v>
      </c>
      <c r="T20" s="13" t="e">
        <f t="shared" ca="1" si="17"/>
        <v>#N/A</v>
      </c>
      <c r="U20" s="14" t="e">
        <f t="shared" ca="1" si="17"/>
        <v>#N/A</v>
      </c>
      <c r="V20" s="14" t="e">
        <f t="shared" ca="1" si="17"/>
        <v>#N/A</v>
      </c>
      <c r="W20" s="14" t="e">
        <f t="shared" ca="1" si="17"/>
        <v>#N/A</v>
      </c>
      <c r="X20" s="14" t="e">
        <f t="shared" ca="1" si="17"/>
        <v>#N/A</v>
      </c>
      <c r="Y20" s="15" t="e">
        <f t="shared" ca="1" si="17"/>
        <v>#N/A</v>
      </c>
      <c r="Z20" s="16" t="e">
        <f t="shared" ca="1" si="17"/>
        <v>#N/A</v>
      </c>
      <c r="AA20" s="13" t="e">
        <f t="shared" ca="1" si="18"/>
        <v>#N/A</v>
      </c>
      <c r="AB20" s="14" t="e">
        <f t="shared" ca="1" si="18"/>
        <v>#N/A</v>
      </c>
      <c r="AC20" s="14" t="e">
        <f t="shared" ca="1" si="18"/>
        <v>#N/A</v>
      </c>
      <c r="AD20" s="14" t="e">
        <f t="shared" ca="1" si="18"/>
        <v>#N/A</v>
      </c>
      <c r="AE20" s="14" t="e">
        <f t="shared" ca="1" si="18"/>
        <v>#N/A</v>
      </c>
      <c r="AF20" s="15" t="e">
        <f t="shared" ca="1" si="18"/>
        <v>#N/A</v>
      </c>
      <c r="AG20" s="16" t="e">
        <f t="shared" ca="1" si="18"/>
        <v>#N/A</v>
      </c>
      <c r="AH20" s="13" t="e">
        <f t="shared" ca="1" si="18"/>
        <v>#N/A</v>
      </c>
      <c r="AI20" s="14" t="e">
        <f t="shared" ca="1" si="18"/>
        <v>#N/A</v>
      </c>
      <c r="AJ20" s="14" t="e">
        <f t="shared" ca="1" si="18"/>
        <v>#N/A</v>
      </c>
      <c r="AK20" s="14" t="e">
        <f t="shared" ca="1" si="18"/>
        <v>#N/A</v>
      </c>
      <c r="AL20" s="14" t="e">
        <f t="shared" ca="1" si="18"/>
        <v>#N/A</v>
      </c>
      <c r="AM20" s="15" t="e">
        <f t="shared" ca="1" si="18"/>
        <v>#N/A</v>
      </c>
      <c r="AN20" s="16" t="e">
        <f t="shared" ca="1" si="18"/>
        <v>#N/A</v>
      </c>
      <c r="AO20" s="13" t="e">
        <f t="shared" ca="1" si="18"/>
        <v>#N/A</v>
      </c>
      <c r="AP20" s="14" t="e">
        <f t="shared" ca="1" si="18"/>
        <v>#N/A</v>
      </c>
      <c r="AQ20" s="14" t="e">
        <f t="shared" ca="1" si="19"/>
        <v>#N/A</v>
      </c>
      <c r="AR20" s="14" t="e">
        <f t="shared" ca="1" si="19"/>
        <v>#N/A</v>
      </c>
      <c r="AS20" s="14" t="e">
        <f t="shared" ca="1" si="19"/>
        <v>#N/A</v>
      </c>
      <c r="AT20" s="15" t="e">
        <f t="shared" ca="1" si="19"/>
        <v>#N/A</v>
      </c>
      <c r="AU20" s="16" t="e">
        <f t="shared" ca="1" si="19"/>
        <v>#N/A</v>
      </c>
      <c r="AV20" s="13" t="e">
        <f t="shared" ca="1" si="19"/>
        <v>#N/A</v>
      </c>
      <c r="AW20" s="14" t="e">
        <f t="shared" ca="1" si="19"/>
        <v>#N/A</v>
      </c>
      <c r="AX20" s="14" t="e">
        <f t="shared" ca="1" si="19"/>
        <v>#N/A</v>
      </c>
      <c r="AY20" s="14" t="e">
        <f t="shared" ca="1" si="19"/>
        <v>#N/A</v>
      </c>
      <c r="AZ20" s="14" t="e">
        <f t="shared" ca="1" si="19"/>
        <v>#N/A</v>
      </c>
      <c r="BA20" s="15" t="e">
        <f t="shared" ca="1" si="19"/>
        <v>#N/A</v>
      </c>
      <c r="BB20" s="16" t="e">
        <f t="shared" ca="1" si="19"/>
        <v>#N/A</v>
      </c>
      <c r="BC20" s="13" t="e">
        <f t="shared" ca="1" si="19"/>
        <v>#N/A</v>
      </c>
      <c r="BD20" s="14" t="e">
        <f t="shared" ca="1" si="19"/>
        <v>#N/A</v>
      </c>
      <c r="BE20" s="14" t="e">
        <f t="shared" ca="1" si="19"/>
        <v>#N/A</v>
      </c>
      <c r="BF20" s="14" t="e">
        <f t="shared" ca="1" si="19"/>
        <v>#N/A</v>
      </c>
      <c r="BG20" s="14" t="e">
        <f t="shared" ca="1" si="20"/>
        <v>#N/A</v>
      </c>
      <c r="BH20" s="15" t="e">
        <f t="shared" ca="1" si="20"/>
        <v>#N/A</v>
      </c>
      <c r="BI20" s="16" t="e">
        <f t="shared" ca="1" si="20"/>
        <v>#N/A</v>
      </c>
      <c r="BJ20" s="13" t="e">
        <f t="shared" ca="1" si="20"/>
        <v>#N/A</v>
      </c>
      <c r="BK20" s="14" t="e">
        <f t="shared" ca="1" si="20"/>
        <v>#N/A</v>
      </c>
      <c r="BL20" s="14" t="e">
        <f t="shared" ca="1" si="20"/>
        <v>#N/A</v>
      </c>
      <c r="BM20" s="14" t="e">
        <f t="shared" ca="1" si="20"/>
        <v>#N/A</v>
      </c>
      <c r="BN20" s="14" t="e">
        <f t="shared" ca="1" si="20"/>
        <v>#N/A</v>
      </c>
      <c r="BO20" s="15" t="e">
        <f t="shared" ca="1" si="20"/>
        <v>#N/A</v>
      </c>
      <c r="BP20" s="16" t="e">
        <f t="shared" ca="1" si="20"/>
        <v>#N/A</v>
      </c>
      <c r="BQ20" s="13" t="e">
        <f t="shared" ca="1" si="20"/>
        <v>#N/A</v>
      </c>
      <c r="BR20" s="14" t="e">
        <f t="shared" ca="1" si="20"/>
        <v>#N/A</v>
      </c>
      <c r="BS20" s="14" t="e">
        <f t="shared" ca="1" si="20"/>
        <v>#N/A</v>
      </c>
      <c r="BT20" s="14" t="e">
        <f t="shared" ca="1" si="20"/>
        <v>#N/A</v>
      </c>
      <c r="BU20" s="14" t="e">
        <f t="shared" ca="1" si="20"/>
        <v>#N/A</v>
      </c>
      <c r="BV20" s="15" t="e">
        <f t="shared" ca="1" si="20"/>
        <v>#N/A</v>
      </c>
      <c r="BW20" s="16" t="e">
        <f t="shared" ca="1" si="21"/>
        <v>#N/A</v>
      </c>
      <c r="BX20" s="13" t="e">
        <f t="shared" ca="1" si="21"/>
        <v>#N/A</v>
      </c>
      <c r="BY20" s="14" t="e">
        <f t="shared" ca="1" si="21"/>
        <v>#N/A</v>
      </c>
      <c r="BZ20" s="14" t="e">
        <f t="shared" ca="1" si="21"/>
        <v>#N/A</v>
      </c>
      <c r="CA20" s="14" t="e">
        <f t="shared" ca="1" si="21"/>
        <v>#N/A</v>
      </c>
      <c r="CB20" s="14" t="e">
        <f t="shared" ca="1" si="21"/>
        <v>#N/A</v>
      </c>
      <c r="CC20" s="15" t="e">
        <f t="shared" ca="1" si="21"/>
        <v>#N/A</v>
      </c>
      <c r="CD20" s="16" t="e">
        <f t="shared" ca="1" si="21"/>
        <v>#N/A</v>
      </c>
      <c r="CE20" s="13" t="e">
        <f t="shared" ca="1" si="21"/>
        <v>#N/A</v>
      </c>
      <c r="CF20" s="14" t="e">
        <f t="shared" ca="1" si="21"/>
        <v>#N/A</v>
      </c>
      <c r="CG20" s="14" t="e">
        <f t="shared" ca="1" si="21"/>
        <v>#N/A</v>
      </c>
      <c r="CH20" s="14" t="e">
        <f t="shared" ca="1" si="21"/>
        <v>#N/A</v>
      </c>
      <c r="CI20" s="14" t="e">
        <f t="shared" ca="1" si="21"/>
        <v>#N/A</v>
      </c>
      <c r="CJ20" s="15" t="e">
        <f t="shared" ca="1" si="21"/>
        <v>#N/A</v>
      </c>
      <c r="CK20" s="16" t="e">
        <f t="shared" ca="1" si="21"/>
        <v>#N/A</v>
      </c>
      <c r="CL20" s="13" t="e">
        <f t="shared" ca="1" si="21"/>
        <v>#N/A</v>
      </c>
      <c r="CM20" s="14" t="e">
        <f t="shared" ca="1" si="22"/>
        <v>#N/A</v>
      </c>
      <c r="CN20" s="14" t="e">
        <f t="shared" ca="1" si="22"/>
        <v>#N/A</v>
      </c>
      <c r="CO20" s="14" t="e">
        <f t="shared" ca="1" si="22"/>
        <v>#N/A</v>
      </c>
      <c r="CP20" s="14" t="e">
        <f t="shared" ca="1" si="22"/>
        <v>#N/A</v>
      </c>
      <c r="CQ20" s="15" t="e">
        <f t="shared" ca="1" si="22"/>
        <v>#N/A</v>
      </c>
      <c r="CR20" s="16" t="e">
        <f t="shared" ca="1" si="22"/>
        <v>#N/A</v>
      </c>
      <c r="CS20" s="13" t="e">
        <f t="shared" ca="1" si="22"/>
        <v>#N/A</v>
      </c>
      <c r="CT20" s="14" t="e">
        <f t="shared" ca="1" si="22"/>
        <v>#N/A</v>
      </c>
      <c r="CU20" s="14" t="e">
        <f t="shared" ca="1" si="22"/>
        <v>#N/A</v>
      </c>
      <c r="CV20" s="14" t="e">
        <f t="shared" ca="1" si="22"/>
        <v>#N/A</v>
      </c>
      <c r="CW20" s="14" t="e">
        <f t="shared" ca="1" si="22"/>
        <v>#N/A</v>
      </c>
      <c r="CX20" s="15" t="e">
        <f t="shared" ca="1" si="22"/>
        <v>#N/A</v>
      </c>
      <c r="CY20" s="16" t="e">
        <f t="shared" ca="1" si="22"/>
        <v>#N/A</v>
      </c>
      <c r="CZ20" s="13" t="e">
        <f t="shared" ca="1" si="22"/>
        <v>#N/A</v>
      </c>
      <c r="DA20" s="14" t="e">
        <f t="shared" ca="1" si="22"/>
        <v>#N/A</v>
      </c>
      <c r="DB20" s="14" t="e">
        <f t="shared" ca="1" si="22"/>
        <v>#N/A</v>
      </c>
      <c r="DC20" s="14" t="e">
        <f t="shared" ca="1" si="23"/>
        <v>#N/A</v>
      </c>
      <c r="DD20" s="14" t="e">
        <f t="shared" ca="1" si="23"/>
        <v>#N/A</v>
      </c>
      <c r="DE20" s="15" t="e">
        <f t="shared" ca="1" si="23"/>
        <v>#N/A</v>
      </c>
      <c r="DF20" s="16" t="e">
        <f t="shared" ca="1" si="23"/>
        <v>#N/A</v>
      </c>
      <c r="DG20" s="13" t="e">
        <f t="shared" ca="1" si="23"/>
        <v>#N/A</v>
      </c>
      <c r="DH20" s="14" t="e">
        <f t="shared" ca="1" si="23"/>
        <v>#N/A</v>
      </c>
      <c r="DI20" s="14" t="e">
        <f t="shared" ca="1" si="23"/>
        <v>#N/A</v>
      </c>
      <c r="DJ20" s="14" t="e">
        <f t="shared" ca="1" si="23"/>
        <v>#N/A</v>
      </c>
      <c r="DK20" s="14" t="e">
        <f t="shared" ca="1" si="23"/>
        <v>#N/A</v>
      </c>
      <c r="DL20" s="15" t="e">
        <f t="shared" ca="1" si="23"/>
        <v>#N/A</v>
      </c>
      <c r="DM20" s="16" t="e">
        <f t="shared" ca="1" si="23"/>
        <v>#N/A</v>
      </c>
      <c r="DN20" s="13" t="e">
        <f t="shared" ca="1" si="23"/>
        <v>#N/A</v>
      </c>
      <c r="DO20" s="14" t="e">
        <f t="shared" ca="1" si="23"/>
        <v>#N/A</v>
      </c>
      <c r="DP20" s="14" t="e">
        <f t="shared" ca="1" si="23"/>
        <v>#N/A</v>
      </c>
      <c r="DQ20" s="14" t="e">
        <f t="shared" ca="1" si="23"/>
        <v>#N/A</v>
      </c>
      <c r="DR20" s="14" t="e">
        <f t="shared" ca="1" si="23"/>
        <v>#N/A</v>
      </c>
      <c r="DS20" s="15" t="e">
        <f t="shared" ca="1" si="23"/>
        <v>#N/A</v>
      </c>
      <c r="DT20" s="16" t="e">
        <f t="shared" ca="1" si="23"/>
        <v>#N/A</v>
      </c>
    </row>
    <row r="21" spans="1:124" s="17" customFormat="1" ht="9.75" customHeight="1">
      <c r="A21" s="92"/>
      <c r="B21" s="24" t="str">
        <f>IF(B5=0,"","Transport to PFI")</f>
        <v/>
      </c>
      <c r="C21" s="19" t="e">
        <f ca="1">E20+1</f>
        <v>#N/A</v>
      </c>
      <c r="D21" s="19" t="e">
        <f ca="1">_xlfn.XLOOKUP(A25,'VTT project'!B:B,'VTT project'!AO:AO,"-",0)</f>
        <v>#N/A</v>
      </c>
      <c r="E21" s="19" t="e">
        <f ca="1">C21-1+IF(D21="-",0,D21)</f>
        <v>#N/A</v>
      </c>
      <c r="F21" s="13" t="e">
        <f t="shared" ref="F21:BQ25" ca="1" si="27">IF(AND(F$5&gt;=$C21,F$5&lt;=$E21),1,"")</f>
        <v>#N/A</v>
      </c>
      <c r="G21" s="14" t="e">
        <f t="shared" ca="1" si="27"/>
        <v>#N/A</v>
      </c>
      <c r="H21" s="14" t="e">
        <f t="shared" ca="1" si="27"/>
        <v>#N/A</v>
      </c>
      <c r="I21" s="14" t="e">
        <f t="shared" ca="1" si="27"/>
        <v>#N/A</v>
      </c>
      <c r="J21" s="14" t="e">
        <f t="shared" ca="1" si="27"/>
        <v>#N/A</v>
      </c>
      <c r="K21" s="15" t="e">
        <f t="shared" ca="1" si="27"/>
        <v>#N/A</v>
      </c>
      <c r="L21" s="16" t="e">
        <f t="shared" ca="1" si="27"/>
        <v>#N/A</v>
      </c>
      <c r="M21" s="13" t="e">
        <f t="shared" ca="1" si="27"/>
        <v>#N/A</v>
      </c>
      <c r="N21" s="14" t="e">
        <f t="shared" ca="1" si="27"/>
        <v>#N/A</v>
      </c>
      <c r="O21" s="14" t="e">
        <f t="shared" ca="1" si="27"/>
        <v>#N/A</v>
      </c>
      <c r="P21" s="14" t="e">
        <f t="shared" ca="1" si="27"/>
        <v>#N/A</v>
      </c>
      <c r="Q21" s="14" t="e">
        <f t="shared" ca="1" si="27"/>
        <v>#N/A</v>
      </c>
      <c r="R21" s="15" t="e">
        <f t="shared" ca="1" si="27"/>
        <v>#N/A</v>
      </c>
      <c r="S21" s="16" t="e">
        <f t="shared" ca="1" si="27"/>
        <v>#N/A</v>
      </c>
      <c r="T21" s="13" t="e">
        <f t="shared" ca="1" si="27"/>
        <v>#N/A</v>
      </c>
      <c r="U21" s="14" t="e">
        <f t="shared" ca="1" si="27"/>
        <v>#N/A</v>
      </c>
      <c r="V21" s="14" t="e">
        <f t="shared" ca="1" si="27"/>
        <v>#N/A</v>
      </c>
      <c r="W21" s="14" t="e">
        <f t="shared" ca="1" si="27"/>
        <v>#N/A</v>
      </c>
      <c r="X21" s="14" t="e">
        <f t="shared" ca="1" si="27"/>
        <v>#N/A</v>
      </c>
      <c r="Y21" s="15" t="e">
        <f t="shared" ca="1" si="27"/>
        <v>#N/A</v>
      </c>
      <c r="Z21" s="16" t="e">
        <f t="shared" ca="1" si="27"/>
        <v>#N/A</v>
      </c>
      <c r="AA21" s="13" t="e">
        <f t="shared" ca="1" si="27"/>
        <v>#N/A</v>
      </c>
      <c r="AB21" s="14" t="e">
        <f t="shared" ca="1" si="27"/>
        <v>#N/A</v>
      </c>
      <c r="AC21" s="14" t="e">
        <f t="shared" ca="1" si="27"/>
        <v>#N/A</v>
      </c>
      <c r="AD21" s="14" t="e">
        <f t="shared" ca="1" si="27"/>
        <v>#N/A</v>
      </c>
      <c r="AE21" s="14" t="e">
        <f t="shared" ca="1" si="27"/>
        <v>#N/A</v>
      </c>
      <c r="AF21" s="15" t="e">
        <f t="shared" ca="1" si="27"/>
        <v>#N/A</v>
      </c>
      <c r="AG21" s="16" t="e">
        <f t="shared" ca="1" si="27"/>
        <v>#N/A</v>
      </c>
      <c r="AH21" s="13" t="e">
        <f t="shared" ca="1" si="27"/>
        <v>#N/A</v>
      </c>
      <c r="AI21" s="14" t="e">
        <f t="shared" ca="1" si="27"/>
        <v>#N/A</v>
      </c>
      <c r="AJ21" s="14" t="e">
        <f t="shared" ca="1" si="27"/>
        <v>#N/A</v>
      </c>
      <c r="AK21" s="14" t="e">
        <f t="shared" ca="1" si="27"/>
        <v>#N/A</v>
      </c>
      <c r="AL21" s="14" t="e">
        <f t="shared" ca="1" si="27"/>
        <v>#N/A</v>
      </c>
      <c r="AM21" s="15" t="e">
        <f t="shared" ca="1" si="27"/>
        <v>#N/A</v>
      </c>
      <c r="AN21" s="16" t="e">
        <f t="shared" ca="1" si="27"/>
        <v>#N/A</v>
      </c>
      <c r="AO21" s="13" t="e">
        <f t="shared" ca="1" si="27"/>
        <v>#N/A</v>
      </c>
      <c r="AP21" s="14" t="e">
        <f t="shared" ca="1" si="27"/>
        <v>#N/A</v>
      </c>
      <c r="AQ21" s="14" t="e">
        <f t="shared" ca="1" si="27"/>
        <v>#N/A</v>
      </c>
      <c r="AR21" s="14" t="e">
        <f t="shared" ca="1" si="27"/>
        <v>#N/A</v>
      </c>
      <c r="AS21" s="14" t="e">
        <f t="shared" ca="1" si="27"/>
        <v>#N/A</v>
      </c>
      <c r="AT21" s="15" t="e">
        <f t="shared" ca="1" si="27"/>
        <v>#N/A</v>
      </c>
      <c r="AU21" s="16" t="e">
        <f t="shared" ca="1" si="27"/>
        <v>#N/A</v>
      </c>
      <c r="AV21" s="13" t="e">
        <f t="shared" ca="1" si="27"/>
        <v>#N/A</v>
      </c>
      <c r="AW21" s="14" t="e">
        <f t="shared" ca="1" si="27"/>
        <v>#N/A</v>
      </c>
      <c r="AX21" s="14" t="e">
        <f t="shared" ca="1" si="27"/>
        <v>#N/A</v>
      </c>
      <c r="AY21" s="14" t="e">
        <f t="shared" ca="1" si="27"/>
        <v>#N/A</v>
      </c>
      <c r="AZ21" s="14" t="e">
        <f t="shared" ca="1" si="27"/>
        <v>#N/A</v>
      </c>
      <c r="BA21" s="15" t="e">
        <f t="shared" ca="1" si="27"/>
        <v>#N/A</v>
      </c>
      <c r="BB21" s="16" t="e">
        <f t="shared" ca="1" si="27"/>
        <v>#N/A</v>
      </c>
      <c r="BC21" s="13" t="e">
        <f t="shared" ca="1" si="27"/>
        <v>#N/A</v>
      </c>
      <c r="BD21" s="14" t="e">
        <f t="shared" ca="1" si="27"/>
        <v>#N/A</v>
      </c>
      <c r="BE21" s="14" t="e">
        <f t="shared" ca="1" si="27"/>
        <v>#N/A</v>
      </c>
      <c r="BF21" s="14" t="e">
        <f t="shared" ca="1" si="27"/>
        <v>#N/A</v>
      </c>
      <c r="BG21" s="14" t="e">
        <f t="shared" ca="1" si="27"/>
        <v>#N/A</v>
      </c>
      <c r="BH21" s="15" t="e">
        <f t="shared" ca="1" si="27"/>
        <v>#N/A</v>
      </c>
      <c r="BI21" s="16" t="e">
        <f t="shared" ca="1" si="27"/>
        <v>#N/A</v>
      </c>
      <c r="BJ21" s="13" t="e">
        <f t="shared" ca="1" si="27"/>
        <v>#N/A</v>
      </c>
      <c r="BK21" s="14" t="e">
        <f t="shared" ca="1" si="27"/>
        <v>#N/A</v>
      </c>
      <c r="BL21" s="14" t="e">
        <f t="shared" ca="1" si="27"/>
        <v>#N/A</v>
      </c>
      <c r="BM21" s="14" t="e">
        <f t="shared" ca="1" si="27"/>
        <v>#N/A</v>
      </c>
      <c r="BN21" s="14" t="e">
        <f t="shared" ca="1" si="27"/>
        <v>#N/A</v>
      </c>
      <c r="BO21" s="15" t="e">
        <f t="shared" ca="1" si="27"/>
        <v>#N/A</v>
      </c>
      <c r="BP21" s="16" t="e">
        <f t="shared" ca="1" si="27"/>
        <v>#N/A</v>
      </c>
      <c r="BQ21" s="13" t="e">
        <f t="shared" ca="1" si="27"/>
        <v>#N/A</v>
      </c>
      <c r="BR21" s="14" t="e">
        <f t="shared" ca="1" si="20"/>
        <v>#N/A</v>
      </c>
      <c r="BS21" s="14" t="e">
        <f t="shared" ca="1" si="20"/>
        <v>#N/A</v>
      </c>
      <c r="BT21" s="14" t="e">
        <f t="shared" ca="1" si="20"/>
        <v>#N/A</v>
      </c>
      <c r="BU21" s="14" t="e">
        <f t="shared" ca="1" si="20"/>
        <v>#N/A</v>
      </c>
      <c r="BV21" s="15" t="e">
        <f t="shared" ca="1" si="20"/>
        <v>#N/A</v>
      </c>
      <c r="BW21" s="16" t="e">
        <f t="shared" ca="1" si="21"/>
        <v>#N/A</v>
      </c>
      <c r="BX21" s="13" t="e">
        <f t="shared" ca="1" si="21"/>
        <v>#N/A</v>
      </c>
      <c r="BY21" s="14" t="e">
        <f t="shared" ca="1" si="21"/>
        <v>#N/A</v>
      </c>
      <c r="BZ21" s="14" t="e">
        <f t="shared" ca="1" si="21"/>
        <v>#N/A</v>
      </c>
      <c r="CA21" s="14" t="e">
        <f t="shared" ca="1" si="21"/>
        <v>#N/A</v>
      </c>
      <c r="CB21" s="14" t="e">
        <f t="shared" ca="1" si="21"/>
        <v>#N/A</v>
      </c>
      <c r="CC21" s="15" t="e">
        <f t="shared" ca="1" si="21"/>
        <v>#N/A</v>
      </c>
      <c r="CD21" s="16" t="e">
        <f t="shared" ca="1" si="21"/>
        <v>#N/A</v>
      </c>
      <c r="CE21" s="13" t="e">
        <f t="shared" ca="1" si="21"/>
        <v>#N/A</v>
      </c>
      <c r="CF21" s="14" t="e">
        <f t="shared" ca="1" si="21"/>
        <v>#N/A</v>
      </c>
      <c r="CG21" s="14" t="e">
        <f t="shared" ca="1" si="21"/>
        <v>#N/A</v>
      </c>
      <c r="CH21" s="14" t="e">
        <f t="shared" ca="1" si="21"/>
        <v>#N/A</v>
      </c>
      <c r="CI21" s="14" t="e">
        <f t="shared" ca="1" si="21"/>
        <v>#N/A</v>
      </c>
      <c r="CJ21" s="15" t="e">
        <f t="shared" ca="1" si="21"/>
        <v>#N/A</v>
      </c>
      <c r="CK21" s="16" t="e">
        <f t="shared" ca="1" si="21"/>
        <v>#N/A</v>
      </c>
      <c r="CL21" s="13" t="e">
        <f t="shared" ca="1" si="21"/>
        <v>#N/A</v>
      </c>
      <c r="CM21" s="14" t="e">
        <f t="shared" ca="1" si="22"/>
        <v>#N/A</v>
      </c>
      <c r="CN21" s="14" t="e">
        <f t="shared" ca="1" si="22"/>
        <v>#N/A</v>
      </c>
      <c r="CO21" s="14" t="e">
        <f t="shared" ca="1" si="22"/>
        <v>#N/A</v>
      </c>
      <c r="CP21" s="14" t="e">
        <f t="shared" ca="1" si="22"/>
        <v>#N/A</v>
      </c>
      <c r="CQ21" s="15" t="e">
        <f t="shared" ca="1" si="22"/>
        <v>#N/A</v>
      </c>
      <c r="CR21" s="16" t="e">
        <f t="shared" ca="1" si="22"/>
        <v>#N/A</v>
      </c>
      <c r="CS21" s="13" t="e">
        <f t="shared" ca="1" si="22"/>
        <v>#N/A</v>
      </c>
      <c r="CT21" s="14" t="e">
        <f t="shared" ca="1" si="22"/>
        <v>#N/A</v>
      </c>
      <c r="CU21" s="14" t="e">
        <f t="shared" ca="1" si="22"/>
        <v>#N/A</v>
      </c>
      <c r="CV21" s="14" t="e">
        <f t="shared" ca="1" si="22"/>
        <v>#N/A</v>
      </c>
      <c r="CW21" s="14" t="e">
        <f t="shared" ca="1" si="22"/>
        <v>#N/A</v>
      </c>
      <c r="CX21" s="15" t="e">
        <f t="shared" ca="1" si="22"/>
        <v>#N/A</v>
      </c>
      <c r="CY21" s="16" t="e">
        <f t="shared" ca="1" si="22"/>
        <v>#N/A</v>
      </c>
      <c r="CZ21" s="13" t="e">
        <f t="shared" ca="1" si="22"/>
        <v>#N/A</v>
      </c>
      <c r="DA21" s="14" t="e">
        <f t="shared" ca="1" si="22"/>
        <v>#N/A</v>
      </c>
      <c r="DB21" s="14" t="e">
        <f t="shared" ca="1" si="22"/>
        <v>#N/A</v>
      </c>
      <c r="DC21" s="14" t="e">
        <f t="shared" ca="1" si="23"/>
        <v>#N/A</v>
      </c>
      <c r="DD21" s="14" t="e">
        <f t="shared" ca="1" si="23"/>
        <v>#N/A</v>
      </c>
      <c r="DE21" s="15" t="e">
        <f t="shared" ca="1" si="23"/>
        <v>#N/A</v>
      </c>
      <c r="DF21" s="16" t="e">
        <f t="shared" ca="1" si="23"/>
        <v>#N/A</v>
      </c>
      <c r="DG21" s="13" t="e">
        <f t="shared" ca="1" si="23"/>
        <v>#N/A</v>
      </c>
      <c r="DH21" s="14" t="e">
        <f t="shared" ca="1" si="23"/>
        <v>#N/A</v>
      </c>
      <c r="DI21" s="14" t="e">
        <f t="shared" ca="1" si="23"/>
        <v>#N/A</v>
      </c>
      <c r="DJ21" s="14" t="e">
        <f t="shared" ca="1" si="23"/>
        <v>#N/A</v>
      </c>
      <c r="DK21" s="14" t="e">
        <f t="shared" ca="1" si="23"/>
        <v>#N/A</v>
      </c>
      <c r="DL21" s="15" t="e">
        <f t="shared" ca="1" si="23"/>
        <v>#N/A</v>
      </c>
      <c r="DM21" s="16" t="e">
        <f t="shared" ca="1" si="23"/>
        <v>#N/A</v>
      </c>
      <c r="DN21" s="13" t="e">
        <f t="shared" ca="1" si="23"/>
        <v>#N/A</v>
      </c>
      <c r="DO21" s="14" t="e">
        <f t="shared" ca="1" si="23"/>
        <v>#N/A</v>
      </c>
      <c r="DP21" s="14" t="e">
        <f t="shared" ca="1" si="23"/>
        <v>#N/A</v>
      </c>
      <c r="DQ21" s="14" t="e">
        <f t="shared" ca="1" si="23"/>
        <v>#N/A</v>
      </c>
      <c r="DR21" s="14" t="e">
        <f t="shared" ca="1" si="23"/>
        <v>#N/A</v>
      </c>
      <c r="DS21" s="15" t="e">
        <f t="shared" ca="1" si="23"/>
        <v>#N/A</v>
      </c>
      <c r="DT21" s="16" t="e">
        <f t="shared" ca="1" si="23"/>
        <v>#N/A</v>
      </c>
    </row>
    <row r="22" spans="1:124" s="17" customFormat="1" ht="9.75" customHeight="1">
      <c r="A22" s="25" t="s">
        <v>50</v>
      </c>
      <c r="B22" s="24" t="s">
        <v>51</v>
      </c>
      <c r="C22" s="19" t="e">
        <f t="shared" ca="1" si="26"/>
        <v>#N/A</v>
      </c>
      <c r="D22" s="19" t="e">
        <f ca="1">_xlfn.XLOOKUP(A25,'VTT project'!B:B,'VTT project'!AP:AP,"-",0)</f>
        <v>#N/A</v>
      </c>
      <c r="E22" s="19" t="e">
        <f ca="1">C22-1+D22</f>
        <v>#N/A</v>
      </c>
      <c r="F22" s="13" t="e">
        <f t="shared" ca="1" si="17"/>
        <v>#N/A</v>
      </c>
      <c r="G22" s="14" t="e">
        <f t="shared" ca="1" si="17"/>
        <v>#N/A</v>
      </c>
      <c r="H22" s="14" t="e">
        <f t="shared" ca="1" si="17"/>
        <v>#N/A</v>
      </c>
      <c r="I22" s="14" t="e">
        <f t="shared" ca="1" si="17"/>
        <v>#N/A</v>
      </c>
      <c r="J22" s="14" t="e">
        <f t="shared" ca="1" si="17"/>
        <v>#N/A</v>
      </c>
      <c r="K22" s="15" t="e">
        <f t="shared" ca="1" si="17"/>
        <v>#N/A</v>
      </c>
      <c r="L22" s="16" t="e">
        <f t="shared" ca="1" si="27"/>
        <v>#N/A</v>
      </c>
      <c r="M22" s="13" t="e">
        <f t="shared" ca="1" si="27"/>
        <v>#N/A</v>
      </c>
      <c r="N22" s="14" t="e">
        <f t="shared" ca="1" si="27"/>
        <v>#N/A</v>
      </c>
      <c r="O22" s="14" t="e">
        <f t="shared" ca="1" si="27"/>
        <v>#N/A</v>
      </c>
      <c r="P22" s="14" t="e">
        <f t="shared" ca="1" si="27"/>
        <v>#N/A</v>
      </c>
      <c r="Q22" s="14" t="e">
        <f t="shared" ca="1" si="27"/>
        <v>#N/A</v>
      </c>
      <c r="R22" s="15" t="e">
        <f t="shared" ca="1" si="27"/>
        <v>#N/A</v>
      </c>
      <c r="S22" s="16" t="e">
        <f t="shared" ca="1" si="27"/>
        <v>#N/A</v>
      </c>
      <c r="T22" s="13" t="e">
        <f t="shared" ca="1" si="27"/>
        <v>#N/A</v>
      </c>
      <c r="U22" s="14" t="e">
        <f t="shared" ca="1" si="27"/>
        <v>#N/A</v>
      </c>
      <c r="V22" s="14" t="e">
        <f t="shared" ca="1" si="27"/>
        <v>#N/A</v>
      </c>
      <c r="W22" s="14" t="e">
        <f t="shared" ca="1" si="27"/>
        <v>#N/A</v>
      </c>
      <c r="X22" s="14" t="e">
        <f t="shared" ca="1" si="27"/>
        <v>#N/A</v>
      </c>
      <c r="Y22" s="15" t="e">
        <f t="shared" ca="1" si="27"/>
        <v>#N/A</v>
      </c>
      <c r="Z22" s="16" t="e">
        <f t="shared" ca="1" si="27"/>
        <v>#N/A</v>
      </c>
      <c r="AA22" s="13" t="e">
        <f t="shared" ca="1" si="18"/>
        <v>#N/A</v>
      </c>
      <c r="AB22" s="14" t="e">
        <f t="shared" ca="1" si="18"/>
        <v>#N/A</v>
      </c>
      <c r="AC22" s="14" t="e">
        <f t="shared" ca="1" si="18"/>
        <v>#N/A</v>
      </c>
      <c r="AD22" s="14" t="e">
        <f t="shared" ca="1" si="18"/>
        <v>#N/A</v>
      </c>
      <c r="AE22" s="14" t="e">
        <f t="shared" ca="1" si="18"/>
        <v>#N/A</v>
      </c>
      <c r="AF22" s="15" t="e">
        <f t="shared" ca="1" si="18"/>
        <v>#N/A</v>
      </c>
      <c r="AG22" s="16" t="e">
        <f t="shared" ca="1" si="18"/>
        <v>#N/A</v>
      </c>
      <c r="AH22" s="13" t="e">
        <f t="shared" ca="1" si="18"/>
        <v>#N/A</v>
      </c>
      <c r="AI22" s="14" t="e">
        <f t="shared" ca="1" si="18"/>
        <v>#N/A</v>
      </c>
      <c r="AJ22" s="14" t="e">
        <f t="shared" ca="1" si="18"/>
        <v>#N/A</v>
      </c>
      <c r="AK22" s="14" t="e">
        <f t="shared" ca="1" si="18"/>
        <v>#N/A</v>
      </c>
      <c r="AL22" s="14" t="e">
        <f t="shared" ca="1" si="18"/>
        <v>#N/A</v>
      </c>
      <c r="AM22" s="15" t="e">
        <f t="shared" ca="1" si="18"/>
        <v>#N/A</v>
      </c>
      <c r="AN22" s="16" t="e">
        <f t="shared" ca="1" si="18"/>
        <v>#N/A</v>
      </c>
      <c r="AO22" s="13" t="e">
        <f t="shared" ca="1" si="18"/>
        <v>#N/A</v>
      </c>
      <c r="AP22" s="14" t="e">
        <f t="shared" ca="1" si="18"/>
        <v>#N/A</v>
      </c>
      <c r="AQ22" s="14" t="e">
        <f t="shared" ca="1" si="19"/>
        <v>#N/A</v>
      </c>
      <c r="AR22" s="14" t="e">
        <f t="shared" ca="1" si="19"/>
        <v>#N/A</v>
      </c>
      <c r="AS22" s="14" t="e">
        <f t="shared" ca="1" si="19"/>
        <v>#N/A</v>
      </c>
      <c r="AT22" s="15" t="e">
        <f t="shared" ca="1" si="19"/>
        <v>#N/A</v>
      </c>
      <c r="AU22" s="16" t="e">
        <f t="shared" ca="1" si="19"/>
        <v>#N/A</v>
      </c>
      <c r="AV22" s="13" t="e">
        <f t="shared" ca="1" si="19"/>
        <v>#N/A</v>
      </c>
      <c r="AW22" s="14" t="e">
        <f t="shared" ca="1" si="19"/>
        <v>#N/A</v>
      </c>
      <c r="AX22" s="14" t="e">
        <f t="shared" ca="1" si="19"/>
        <v>#N/A</v>
      </c>
      <c r="AY22" s="14" t="e">
        <f t="shared" ca="1" si="19"/>
        <v>#N/A</v>
      </c>
      <c r="AZ22" s="14" t="e">
        <f t="shared" ca="1" si="19"/>
        <v>#N/A</v>
      </c>
      <c r="BA22" s="15" t="e">
        <f t="shared" ca="1" si="19"/>
        <v>#N/A</v>
      </c>
      <c r="BB22" s="16" t="e">
        <f t="shared" ca="1" si="19"/>
        <v>#N/A</v>
      </c>
      <c r="BC22" s="13" t="e">
        <f t="shared" ca="1" si="19"/>
        <v>#N/A</v>
      </c>
      <c r="BD22" s="14" t="e">
        <f t="shared" ca="1" si="19"/>
        <v>#N/A</v>
      </c>
      <c r="BE22" s="14" t="e">
        <f t="shared" ca="1" si="19"/>
        <v>#N/A</v>
      </c>
      <c r="BF22" s="14" t="e">
        <f t="shared" ca="1" si="19"/>
        <v>#N/A</v>
      </c>
      <c r="BG22" s="14" t="e">
        <f t="shared" ca="1" si="20"/>
        <v>#N/A</v>
      </c>
      <c r="BH22" s="15" t="e">
        <f t="shared" ca="1" si="20"/>
        <v>#N/A</v>
      </c>
      <c r="BI22" s="16" t="e">
        <f t="shared" ca="1" si="20"/>
        <v>#N/A</v>
      </c>
      <c r="BJ22" s="13" t="e">
        <f t="shared" ca="1" si="20"/>
        <v>#N/A</v>
      </c>
      <c r="BK22" s="14" t="e">
        <f t="shared" ca="1" si="20"/>
        <v>#N/A</v>
      </c>
      <c r="BL22" s="14" t="e">
        <f t="shared" ca="1" si="20"/>
        <v>#N/A</v>
      </c>
      <c r="BM22" s="14" t="e">
        <f t="shared" ca="1" si="20"/>
        <v>#N/A</v>
      </c>
      <c r="BN22" s="14" t="e">
        <f t="shared" ca="1" si="20"/>
        <v>#N/A</v>
      </c>
      <c r="BO22" s="15" t="e">
        <f t="shared" ca="1" si="20"/>
        <v>#N/A</v>
      </c>
      <c r="BP22" s="16" t="e">
        <f t="shared" ca="1" si="20"/>
        <v>#N/A</v>
      </c>
      <c r="BQ22" s="13" t="e">
        <f t="shared" ca="1" si="20"/>
        <v>#N/A</v>
      </c>
      <c r="BR22" s="14" t="e">
        <f t="shared" ca="1" si="20"/>
        <v>#N/A</v>
      </c>
      <c r="BS22" s="14" t="e">
        <f t="shared" ca="1" si="20"/>
        <v>#N/A</v>
      </c>
      <c r="BT22" s="14" t="e">
        <f t="shared" ca="1" si="20"/>
        <v>#N/A</v>
      </c>
      <c r="BU22" s="14" t="e">
        <f t="shared" ca="1" si="20"/>
        <v>#N/A</v>
      </c>
      <c r="BV22" s="15" t="e">
        <f t="shared" ca="1" si="20"/>
        <v>#N/A</v>
      </c>
      <c r="BW22" s="16" t="e">
        <f t="shared" ca="1" si="21"/>
        <v>#N/A</v>
      </c>
      <c r="BX22" s="13" t="e">
        <f t="shared" ca="1" si="21"/>
        <v>#N/A</v>
      </c>
      <c r="BY22" s="14" t="e">
        <f t="shared" ca="1" si="21"/>
        <v>#N/A</v>
      </c>
      <c r="BZ22" s="14" t="e">
        <f t="shared" ca="1" si="21"/>
        <v>#N/A</v>
      </c>
      <c r="CA22" s="14" t="e">
        <f t="shared" ca="1" si="21"/>
        <v>#N/A</v>
      </c>
      <c r="CB22" s="14" t="e">
        <f t="shared" ca="1" si="21"/>
        <v>#N/A</v>
      </c>
      <c r="CC22" s="15" t="e">
        <f t="shared" ca="1" si="21"/>
        <v>#N/A</v>
      </c>
      <c r="CD22" s="16" t="e">
        <f t="shared" ca="1" si="21"/>
        <v>#N/A</v>
      </c>
      <c r="CE22" s="13" t="e">
        <f t="shared" ca="1" si="21"/>
        <v>#N/A</v>
      </c>
      <c r="CF22" s="14" t="e">
        <f t="shared" ca="1" si="21"/>
        <v>#N/A</v>
      </c>
      <c r="CG22" s="14" t="e">
        <f t="shared" ca="1" si="21"/>
        <v>#N/A</v>
      </c>
      <c r="CH22" s="14" t="e">
        <f t="shared" ca="1" si="21"/>
        <v>#N/A</v>
      </c>
      <c r="CI22" s="14" t="e">
        <f t="shared" ca="1" si="21"/>
        <v>#N/A</v>
      </c>
      <c r="CJ22" s="15" t="e">
        <f t="shared" ca="1" si="21"/>
        <v>#N/A</v>
      </c>
      <c r="CK22" s="16" t="e">
        <f t="shared" ca="1" si="21"/>
        <v>#N/A</v>
      </c>
      <c r="CL22" s="13" t="e">
        <f t="shared" ca="1" si="21"/>
        <v>#N/A</v>
      </c>
      <c r="CM22" s="14" t="e">
        <f t="shared" ca="1" si="22"/>
        <v>#N/A</v>
      </c>
      <c r="CN22" s="14" t="e">
        <f t="shared" ca="1" si="22"/>
        <v>#N/A</v>
      </c>
      <c r="CO22" s="14" t="e">
        <f t="shared" ca="1" si="22"/>
        <v>#N/A</v>
      </c>
      <c r="CP22" s="14" t="e">
        <f t="shared" ca="1" si="22"/>
        <v>#N/A</v>
      </c>
      <c r="CQ22" s="15" t="e">
        <f t="shared" ca="1" si="22"/>
        <v>#N/A</v>
      </c>
      <c r="CR22" s="16" t="e">
        <f t="shared" ca="1" si="22"/>
        <v>#N/A</v>
      </c>
      <c r="CS22" s="13" t="e">
        <f t="shared" ca="1" si="22"/>
        <v>#N/A</v>
      </c>
      <c r="CT22" s="14" t="e">
        <f t="shared" ca="1" si="22"/>
        <v>#N/A</v>
      </c>
      <c r="CU22" s="14" t="e">
        <f t="shared" ca="1" si="22"/>
        <v>#N/A</v>
      </c>
      <c r="CV22" s="14" t="e">
        <f t="shared" ca="1" si="22"/>
        <v>#N/A</v>
      </c>
      <c r="CW22" s="14" t="e">
        <f t="shared" ca="1" si="22"/>
        <v>#N/A</v>
      </c>
      <c r="CX22" s="15" t="e">
        <f t="shared" ca="1" si="22"/>
        <v>#N/A</v>
      </c>
      <c r="CY22" s="16" t="e">
        <f t="shared" ca="1" si="22"/>
        <v>#N/A</v>
      </c>
      <c r="CZ22" s="13" t="e">
        <f t="shared" ca="1" si="22"/>
        <v>#N/A</v>
      </c>
      <c r="DA22" s="14" t="e">
        <f t="shared" ca="1" si="22"/>
        <v>#N/A</v>
      </c>
      <c r="DB22" s="14" t="e">
        <f t="shared" ca="1" si="22"/>
        <v>#N/A</v>
      </c>
      <c r="DC22" s="14" t="e">
        <f t="shared" ca="1" si="23"/>
        <v>#N/A</v>
      </c>
      <c r="DD22" s="14" t="e">
        <f t="shared" ca="1" si="23"/>
        <v>#N/A</v>
      </c>
      <c r="DE22" s="15" t="e">
        <f t="shared" ca="1" si="23"/>
        <v>#N/A</v>
      </c>
      <c r="DF22" s="16" t="e">
        <f t="shared" ref="DF22:DT25" ca="1" si="28">IF(AND(DF$5&gt;=$C22,DF$5&lt;=$E22),1,"")</f>
        <v>#N/A</v>
      </c>
      <c r="DG22" s="13" t="e">
        <f t="shared" ca="1" si="28"/>
        <v>#N/A</v>
      </c>
      <c r="DH22" s="14" t="e">
        <f t="shared" ca="1" si="28"/>
        <v>#N/A</v>
      </c>
      <c r="DI22" s="14" t="e">
        <f t="shared" ca="1" si="28"/>
        <v>#N/A</v>
      </c>
      <c r="DJ22" s="14" t="e">
        <f t="shared" ca="1" si="28"/>
        <v>#N/A</v>
      </c>
      <c r="DK22" s="14" t="e">
        <f t="shared" ca="1" si="28"/>
        <v>#N/A</v>
      </c>
      <c r="DL22" s="15" t="e">
        <f t="shared" ca="1" si="28"/>
        <v>#N/A</v>
      </c>
      <c r="DM22" s="16" t="e">
        <f t="shared" ca="1" si="28"/>
        <v>#N/A</v>
      </c>
      <c r="DN22" s="13" t="e">
        <f t="shared" ca="1" si="28"/>
        <v>#N/A</v>
      </c>
      <c r="DO22" s="14" t="e">
        <f t="shared" ca="1" si="28"/>
        <v>#N/A</v>
      </c>
      <c r="DP22" s="14" t="e">
        <f t="shared" ca="1" si="28"/>
        <v>#N/A</v>
      </c>
      <c r="DQ22" s="14" t="e">
        <f t="shared" ca="1" si="28"/>
        <v>#N/A</v>
      </c>
      <c r="DR22" s="14" t="e">
        <f t="shared" ca="1" si="28"/>
        <v>#N/A</v>
      </c>
      <c r="DS22" s="15" t="e">
        <f t="shared" ca="1" si="28"/>
        <v>#N/A</v>
      </c>
      <c r="DT22" s="16" t="e">
        <f t="shared" ca="1" si="28"/>
        <v>#N/A</v>
      </c>
    </row>
    <row r="23" spans="1:124" s="17" customFormat="1" ht="9.75" customHeight="1">
      <c r="A23" s="27" t="e">
        <f ca="1">IFERROR(VLOOKUP(_xlfn.CONCAT(B7,"-","Next"),'DATA BTO'!A:D,3,FALSE),VLOOKUP(_xlfn.CONCAT(B7,"-","Actif"),'DATA BTO'!A:D,3,FALSE))</f>
        <v>#N/A</v>
      </c>
      <c r="B23" s="26" t="s">
        <v>52</v>
      </c>
      <c r="C23" s="19" t="e">
        <f ca="1">E22+1</f>
        <v>#N/A</v>
      </c>
      <c r="D23" s="19" t="e">
        <f ca="1">_xlfn.XLOOKUP(A25,'VTT project'!B:B,'VTT project'!AQ:AQ,"-",0)</f>
        <v>#N/A</v>
      </c>
      <c r="E23" s="19" t="e">
        <f ca="1">C23+D23-1</f>
        <v>#N/A</v>
      </c>
      <c r="F23" s="13" t="e">
        <f t="shared" ref="F23:U25" ca="1" si="29">IF(AND(F$5&gt;=$C23,F$5&lt;=$E23),1,"")</f>
        <v>#N/A</v>
      </c>
      <c r="G23" s="14" t="e">
        <f t="shared" ca="1" si="29"/>
        <v>#N/A</v>
      </c>
      <c r="H23" s="14" t="e">
        <f t="shared" ca="1" si="29"/>
        <v>#N/A</v>
      </c>
      <c r="I23" s="14" t="e">
        <f t="shared" ca="1" si="29"/>
        <v>#N/A</v>
      </c>
      <c r="J23" s="14" t="e">
        <f t="shared" ca="1" si="29"/>
        <v>#N/A</v>
      </c>
      <c r="K23" s="15" t="e">
        <f t="shared" ca="1" si="29"/>
        <v>#N/A</v>
      </c>
      <c r="L23" s="16" t="e">
        <f t="shared" ca="1" si="29"/>
        <v>#N/A</v>
      </c>
      <c r="M23" s="13" t="e">
        <f t="shared" ca="1" si="29"/>
        <v>#N/A</v>
      </c>
      <c r="N23" s="14" t="e">
        <f t="shared" ca="1" si="29"/>
        <v>#N/A</v>
      </c>
      <c r="O23" s="14" t="e">
        <f t="shared" ca="1" si="29"/>
        <v>#N/A</v>
      </c>
      <c r="P23" s="14" t="e">
        <f t="shared" ca="1" si="29"/>
        <v>#N/A</v>
      </c>
      <c r="Q23" s="14" t="e">
        <f t="shared" ca="1" si="29"/>
        <v>#N/A</v>
      </c>
      <c r="R23" s="15" t="e">
        <f t="shared" ca="1" si="29"/>
        <v>#N/A</v>
      </c>
      <c r="S23" s="16" t="e">
        <f t="shared" ca="1" si="29"/>
        <v>#N/A</v>
      </c>
      <c r="T23" s="13" t="e">
        <f t="shared" ca="1" si="29"/>
        <v>#N/A</v>
      </c>
      <c r="U23" s="14" t="e">
        <f t="shared" ca="1" si="29"/>
        <v>#N/A</v>
      </c>
      <c r="V23" s="14" t="e">
        <f t="shared" ca="1" si="27"/>
        <v>#N/A</v>
      </c>
      <c r="W23" s="14" t="e">
        <f t="shared" ca="1" si="27"/>
        <v>#N/A</v>
      </c>
      <c r="X23" s="14" t="e">
        <f t="shared" ca="1" si="27"/>
        <v>#N/A</v>
      </c>
      <c r="Y23" s="15" t="e">
        <f t="shared" ca="1" si="27"/>
        <v>#N/A</v>
      </c>
      <c r="Z23" s="16" t="e">
        <f t="shared" ca="1" si="27"/>
        <v>#N/A</v>
      </c>
      <c r="AA23" s="13" t="e">
        <f t="shared" ca="1" si="18"/>
        <v>#N/A</v>
      </c>
      <c r="AB23" s="14" t="e">
        <f t="shared" ca="1" si="18"/>
        <v>#N/A</v>
      </c>
      <c r="AC23" s="14" t="e">
        <f t="shared" ca="1" si="18"/>
        <v>#N/A</v>
      </c>
      <c r="AD23" s="14" t="e">
        <f t="shared" ca="1" si="18"/>
        <v>#N/A</v>
      </c>
      <c r="AE23" s="14" t="e">
        <f t="shared" ca="1" si="18"/>
        <v>#N/A</v>
      </c>
      <c r="AF23" s="15" t="e">
        <f t="shared" ca="1" si="18"/>
        <v>#N/A</v>
      </c>
      <c r="AG23" s="16" t="e">
        <f t="shared" ca="1" si="18"/>
        <v>#N/A</v>
      </c>
      <c r="AH23" s="13" t="e">
        <f t="shared" ca="1" si="18"/>
        <v>#N/A</v>
      </c>
      <c r="AI23" s="14" t="e">
        <f t="shared" ca="1" si="18"/>
        <v>#N/A</v>
      </c>
      <c r="AJ23" s="14" t="e">
        <f t="shared" ca="1" si="18"/>
        <v>#N/A</v>
      </c>
      <c r="AK23" s="14" t="e">
        <f t="shared" ca="1" si="18"/>
        <v>#N/A</v>
      </c>
      <c r="AL23" s="14" t="e">
        <f t="shared" ca="1" si="18"/>
        <v>#N/A</v>
      </c>
      <c r="AM23" s="15" t="e">
        <f t="shared" ca="1" si="18"/>
        <v>#N/A</v>
      </c>
      <c r="AN23" s="16" t="e">
        <f t="shared" ca="1" si="18"/>
        <v>#N/A</v>
      </c>
      <c r="AO23" s="13" t="e">
        <f t="shared" ca="1" si="18"/>
        <v>#N/A</v>
      </c>
      <c r="AP23" s="14" t="e">
        <f t="shared" ca="1" si="18"/>
        <v>#N/A</v>
      </c>
      <c r="AQ23" s="14" t="e">
        <f t="shared" ca="1" si="19"/>
        <v>#N/A</v>
      </c>
      <c r="AR23" s="14" t="e">
        <f t="shared" ca="1" si="19"/>
        <v>#N/A</v>
      </c>
      <c r="AS23" s="14" t="e">
        <f t="shared" ca="1" si="19"/>
        <v>#N/A</v>
      </c>
      <c r="AT23" s="15" t="e">
        <f t="shared" ca="1" si="19"/>
        <v>#N/A</v>
      </c>
      <c r="AU23" s="16" t="e">
        <f t="shared" ca="1" si="19"/>
        <v>#N/A</v>
      </c>
      <c r="AV23" s="13" t="e">
        <f t="shared" ca="1" si="19"/>
        <v>#N/A</v>
      </c>
      <c r="AW23" s="14" t="e">
        <f t="shared" ca="1" si="19"/>
        <v>#N/A</v>
      </c>
      <c r="AX23" s="14" t="e">
        <f t="shared" ca="1" si="19"/>
        <v>#N/A</v>
      </c>
      <c r="AY23" s="14" t="e">
        <f t="shared" ca="1" si="19"/>
        <v>#N/A</v>
      </c>
      <c r="AZ23" s="14" t="e">
        <f t="shared" ca="1" si="19"/>
        <v>#N/A</v>
      </c>
      <c r="BA23" s="15" t="e">
        <f t="shared" ca="1" si="19"/>
        <v>#N/A</v>
      </c>
      <c r="BB23" s="16" t="e">
        <f t="shared" ca="1" si="19"/>
        <v>#N/A</v>
      </c>
      <c r="BC23" s="13" t="e">
        <f t="shared" ca="1" si="19"/>
        <v>#N/A</v>
      </c>
      <c r="BD23" s="14" t="e">
        <f t="shared" ca="1" si="19"/>
        <v>#N/A</v>
      </c>
      <c r="BE23" s="14" t="e">
        <f t="shared" ca="1" si="19"/>
        <v>#N/A</v>
      </c>
      <c r="BF23" s="14" t="e">
        <f t="shared" ca="1" si="19"/>
        <v>#N/A</v>
      </c>
      <c r="BG23" s="14" t="e">
        <f t="shared" ca="1" si="20"/>
        <v>#N/A</v>
      </c>
      <c r="BH23" s="15" t="e">
        <f t="shared" ca="1" si="20"/>
        <v>#N/A</v>
      </c>
      <c r="BI23" s="16" t="e">
        <f t="shared" ca="1" si="20"/>
        <v>#N/A</v>
      </c>
      <c r="BJ23" s="13" t="e">
        <f t="shared" ca="1" si="20"/>
        <v>#N/A</v>
      </c>
      <c r="BK23" s="14" t="e">
        <f t="shared" ca="1" si="20"/>
        <v>#N/A</v>
      </c>
      <c r="BL23" s="14" t="e">
        <f t="shared" ca="1" si="20"/>
        <v>#N/A</v>
      </c>
      <c r="BM23" s="14" t="e">
        <f t="shared" ca="1" si="20"/>
        <v>#N/A</v>
      </c>
      <c r="BN23" s="14" t="e">
        <f t="shared" ca="1" si="20"/>
        <v>#N/A</v>
      </c>
      <c r="BO23" s="15" t="e">
        <f t="shared" ca="1" si="20"/>
        <v>#N/A</v>
      </c>
      <c r="BP23" s="16" t="e">
        <f t="shared" ca="1" si="20"/>
        <v>#N/A</v>
      </c>
      <c r="BQ23" s="13" t="e">
        <f t="shared" ca="1" si="20"/>
        <v>#N/A</v>
      </c>
      <c r="BR23" s="14" t="e">
        <f t="shared" ca="1" si="20"/>
        <v>#N/A</v>
      </c>
      <c r="BS23" s="14" t="e">
        <f t="shared" ca="1" si="20"/>
        <v>#N/A</v>
      </c>
      <c r="BT23" s="14" t="e">
        <f t="shared" ca="1" si="20"/>
        <v>#N/A</v>
      </c>
      <c r="BU23" s="14" t="e">
        <f t="shared" ca="1" si="20"/>
        <v>#N/A</v>
      </c>
      <c r="BV23" s="15" t="e">
        <f t="shared" ca="1" si="20"/>
        <v>#N/A</v>
      </c>
      <c r="BW23" s="16" t="e">
        <f t="shared" ca="1" si="21"/>
        <v>#N/A</v>
      </c>
      <c r="BX23" s="13" t="e">
        <f t="shared" ca="1" si="21"/>
        <v>#N/A</v>
      </c>
      <c r="BY23" s="14" t="e">
        <f t="shared" ca="1" si="21"/>
        <v>#N/A</v>
      </c>
      <c r="BZ23" s="14" t="e">
        <f t="shared" ca="1" si="21"/>
        <v>#N/A</v>
      </c>
      <c r="CA23" s="14" t="e">
        <f t="shared" ca="1" si="21"/>
        <v>#N/A</v>
      </c>
      <c r="CB23" s="14" t="e">
        <f t="shared" ca="1" si="21"/>
        <v>#N/A</v>
      </c>
      <c r="CC23" s="15" t="e">
        <f t="shared" ca="1" si="21"/>
        <v>#N/A</v>
      </c>
      <c r="CD23" s="16" t="e">
        <f t="shared" ca="1" si="21"/>
        <v>#N/A</v>
      </c>
      <c r="CE23" s="13" t="e">
        <f t="shared" ca="1" si="21"/>
        <v>#N/A</v>
      </c>
      <c r="CF23" s="14" t="e">
        <f t="shared" ca="1" si="21"/>
        <v>#N/A</v>
      </c>
      <c r="CG23" s="14" t="e">
        <f t="shared" ca="1" si="21"/>
        <v>#N/A</v>
      </c>
      <c r="CH23" s="14" t="e">
        <f t="shared" ca="1" si="21"/>
        <v>#N/A</v>
      </c>
      <c r="CI23" s="14" t="e">
        <f t="shared" ca="1" si="21"/>
        <v>#N/A</v>
      </c>
      <c r="CJ23" s="15" t="e">
        <f t="shared" ca="1" si="21"/>
        <v>#N/A</v>
      </c>
      <c r="CK23" s="16" t="e">
        <f t="shared" ca="1" si="21"/>
        <v>#N/A</v>
      </c>
      <c r="CL23" s="13" t="e">
        <f t="shared" ref="CL23" ca="1" si="30">IF(AND(CL$5&gt;=$C23,CL$5&lt;=$E23),1,"")</f>
        <v>#N/A</v>
      </c>
      <c r="CM23" s="14" t="e">
        <f t="shared" ca="1" si="22"/>
        <v>#N/A</v>
      </c>
      <c r="CN23" s="14" t="e">
        <f t="shared" ca="1" si="22"/>
        <v>#N/A</v>
      </c>
      <c r="CO23" s="14" t="e">
        <f t="shared" ca="1" si="22"/>
        <v>#N/A</v>
      </c>
      <c r="CP23" s="14" t="e">
        <f t="shared" ca="1" si="22"/>
        <v>#N/A</v>
      </c>
      <c r="CQ23" s="15" t="e">
        <f t="shared" ca="1" si="22"/>
        <v>#N/A</v>
      </c>
      <c r="CR23" s="16" t="e">
        <f t="shared" ca="1" si="22"/>
        <v>#N/A</v>
      </c>
      <c r="CS23" s="13" t="e">
        <f t="shared" ca="1" si="22"/>
        <v>#N/A</v>
      </c>
      <c r="CT23" s="14" t="e">
        <f t="shared" ca="1" si="22"/>
        <v>#N/A</v>
      </c>
      <c r="CU23" s="14" t="e">
        <f t="shared" ca="1" si="22"/>
        <v>#N/A</v>
      </c>
      <c r="CV23" s="14" t="e">
        <f t="shared" ca="1" si="22"/>
        <v>#N/A</v>
      </c>
      <c r="CW23" s="14" t="e">
        <f t="shared" ca="1" si="22"/>
        <v>#N/A</v>
      </c>
      <c r="CX23" s="15" t="e">
        <f t="shared" ca="1" si="22"/>
        <v>#N/A</v>
      </c>
      <c r="CY23" s="16" t="e">
        <f t="shared" ca="1" si="22"/>
        <v>#N/A</v>
      </c>
      <c r="CZ23" s="13" t="e">
        <f t="shared" ca="1" si="22"/>
        <v>#N/A</v>
      </c>
      <c r="DA23" s="14" t="e">
        <f t="shared" ca="1" si="22"/>
        <v>#N/A</v>
      </c>
      <c r="DB23" s="14" t="e">
        <f t="shared" ref="DB23:DQ25" ca="1" si="31">IF(AND(DB$5&gt;=$C23,DB$5&lt;=$E23),1,"")</f>
        <v>#N/A</v>
      </c>
      <c r="DC23" s="14" t="e">
        <f t="shared" ca="1" si="31"/>
        <v>#N/A</v>
      </c>
      <c r="DD23" s="14" t="e">
        <f t="shared" ca="1" si="31"/>
        <v>#N/A</v>
      </c>
      <c r="DE23" s="15" t="e">
        <f t="shared" ca="1" si="31"/>
        <v>#N/A</v>
      </c>
      <c r="DF23" s="16" t="e">
        <f t="shared" ca="1" si="31"/>
        <v>#N/A</v>
      </c>
      <c r="DG23" s="13" t="e">
        <f t="shared" ca="1" si="31"/>
        <v>#N/A</v>
      </c>
      <c r="DH23" s="14" t="e">
        <f t="shared" ca="1" si="31"/>
        <v>#N/A</v>
      </c>
      <c r="DI23" s="14" t="e">
        <f t="shared" ca="1" si="31"/>
        <v>#N/A</v>
      </c>
      <c r="DJ23" s="14" t="e">
        <f t="shared" ca="1" si="31"/>
        <v>#N/A</v>
      </c>
      <c r="DK23" s="14" t="e">
        <f t="shared" ca="1" si="31"/>
        <v>#N/A</v>
      </c>
      <c r="DL23" s="15" t="e">
        <f t="shared" ca="1" si="31"/>
        <v>#N/A</v>
      </c>
      <c r="DM23" s="16" t="e">
        <f t="shared" ca="1" si="31"/>
        <v>#N/A</v>
      </c>
      <c r="DN23" s="13" t="e">
        <f t="shared" ca="1" si="31"/>
        <v>#N/A</v>
      </c>
      <c r="DO23" s="14" t="e">
        <f t="shared" ca="1" si="31"/>
        <v>#N/A</v>
      </c>
      <c r="DP23" s="14" t="e">
        <f t="shared" ca="1" si="31"/>
        <v>#N/A</v>
      </c>
      <c r="DQ23" s="14" t="e">
        <f t="shared" ca="1" si="31"/>
        <v>#N/A</v>
      </c>
      <c r="DR23" s="14" t="e">
        <f t="shared" ca="1" si="28"/>
        <v>#N/A</v>
      </c>
      <c r="DS23" s="15" t="e">
        <f t="shared" ca="1" si="28"/>
        <v>#N/A</v>
      </c>
      <c r="DT23" s="16" t="e">
        <f t="shared" ca="1" si="28"/>
        <v>#N/A</v>
      </c>
    </row>
    <row r="24" spans="1:124" s="17" customFormat="1" ht="9.75" customHeight="1">
      <c r="A24" s="27" t="e">
        <f ca="1">IFERROR(VLOOKUP(_xlfn.CONCAT(B7,"-","Next"),'DATA BTO'!A:D,4,FALSE),VLOOKUP(_xlfn.CONCAT(B7,"-","Actif"),'DATA BTO'!A:D,4,FALSE))</f>
        <v>#N/A</v>
      </c>
      <c r="B24" s="28" t="s">
        <v>53</v>
      </c>
      <c r="C24" s="19" t="e">
        <f t="shared" ca="1" si="26"/>
        <v>#N/A</v>
      </c>
      <c r="D24" s="20">
        <v>7</v>
      </c>
      <c r="E24" s="19" t="e">
        <f t="shared" ca="1" si="25"/>
        <v>#N/A</v>
      </c>
      <c r="F24" s="13" t="e">
        <f t="shared" ca="1" si="29"/>
        <v>#N/A</v>
      </c>
      <c r="G24" s="14" t="e">
        <f t="shared" ca="1" si="29"/>
        <v>#N/A</v>
      </c>
      <c r="H24" s="14" t="e">
        <f t="shared" ca="1" si="29"/>
        <v>#N/A</v>
      </c>
      <c r="I24" s="14" t="e">
        <f t="shared" ca="1" si="29"/>
        <v>#N/A</v>
      </c>
      <c r="J24" s="14" t="e">
        <f t="shared" ca="1" si="29"/>
        <v>#N/A</v>
      </c>
      <c r="K24" s="15" t="e">
        <f t="shared" ca="1" si="29"/>
        <v>#N/A</v>
      </c>
      <c r="L24" s="16" t="e">
        <f t="shared" ca="1" si="29"/>
        <v>#N/A</v>
      </c>
      <c r="M24" s="13" t="e">
        <f t="shared" ca="1" si="29"/>
        <v>#N/A</v>
      </c>
      <c r="N24" s="14" t="e">
        <f t="shared" ca="1" si="29"/>
        <v>#N/A</v>
      </c>
      <c r="O24" s="14" t="e">
        <f t="shared" ca="1" si="29"/>
        <v>#N/A</v>
      </c>
      <c r="P24" s="14" t="e">
        <f t="shared" ca="1" si="29"/>
        <v>#N/A</v>
      </c>
      <c r="Q24" s="14" t="e">
        <f t="shared" ca="1" si="29"/>
        <v>#N/A</v>
      </c>
      <c r="R24" s="15" t="e">
        <f t="shared" ca="1" si="29"/>
        <v>#N/A</v>
      </c>
      <c r="S24" s="16" t="e">
        <f t="shared" ca="1" si="29"/>
        <v>#N/A</v>
      </c>
      <c r="T24" s="13" t="e">
        <f t="shared" ca="1" si="29"/>
        <v>#N/A</v>
      </c>
      <c r="U24" s="14" t="e">
        <f t="shared" ca="1" si="29"/>
        <v>#N/A</v>
      </c>
      <c r="V24" s="14" t="e">
        <f t="shared" ca="1" si="27"/>
        <v>#N/A</v>
      </c>
      <c r="W24" s="14" t="e">
        <f t="shared" ca="1" si="27"/>
        <v>#N/A</v>
      </c>
      <c r="X24" s="14" t="e">
        <f t="shared" ca="1" si="27"/>
        <v>#N/A</v>
      </c>
      <c r="Y24" s="15" t="e">
        <f t="shared" ca="1" si="27"/>
        <v>#N/A</v>
      </c>
      <c r="Z24" s="16" t="e">
        <f t="shared" ca="1" si="27"/>
        <v>#N/A</v>
      </c>
      <c r="AA24" s="13" t="e">
        <f t="shared" ca="1" si="18"/>
        <v>#N/A</v>
      </c>
      <c r="AB24" s="14" t="e">
        <f t="shared" ca="1" si="18"/>
        <v>#N/A</v>
      </c>
      <c r="AC24" s="14" t="e">
        <f t="shared" ca="1" si="18"/>
        <v>#N/A</v>
      </c>
      <c r="AD24" s="14" t="e">
        <f t="shared" ca="1" si="18"/>
        <v>#N/A</v>
      </c>
      <c r="AE24" s="14" t="e">
        <f t="shared" ca="1" si="18"/>
        <v>#N/A</v>
      </c>
      <c r="AF24" s="15" t="e">
        <f t="shared" ca="1" si="18"/>
        <v>#N/A</v>
      </c>
      <c r="AG24" s="16" t="e">
        <f t="shared" ca="1" si="18"/>
        <v>#N/A</v>
      </c>
      <c r="AH24" s="13" t="e">
        <f t="shared" ca="1" si="18"/>
        <v>#N/A</v>
      </c>
      <c r="AI24" s="14" t="e">
        <f t="shared" ca="1" si="18"/>
        <v>#N/A</v>
      </c>
      <c r="AJ24" s="14" t="e">
        <f t="shared" ca="1" si="18"/>
        <v>#N/A</v>
      </c>
      <c r="AK24" s="14" t="e">
        <f t="shared" ca="1" si="18"/>
        <v>#N/A</v>
      </c>
      <c r="AL24" s="14" t="e">
        <f t="shared" ca="1" si="18"/>
        <v>#N/A</v>
      </c>
      <c r="AM24" s="15" t="e">
        <f t="shared" ca="1" si="18"/>
        <v>#N/A</v>
      </c>
      <c r="AN24" s="16" t="e">
        <f t="shared" ca="1" si="18"/>
        <v>#N/A</v>
      </c>
      <c r="AO24" s="13" t="e">
        <f t="shared" ca="1" si="18"/>
        <v>#N/A</v>
      </c>
      <c r="AP24" s="14" t="e">
        <f t="shared" ca="1" si="18"/>
        <v>#N/A</v>
      </c>
      <c r="AQ24" s="14" t="e">
        <f t="shared" ca="1" si="19"/>
        <v>#N/A</v>
      </c>
      <c r="AR24" s="14" t="e">
        <f t="shared" ca="1" si="19"/>
        <v>#N/A</v>
      </c>
      <c r="AS24" s="14" t="e">
        <f t="shared" ca="1" si="19"/>
        <v>#N/A</v>
      </c>
      <c r="AT24" s="15" t="e">
        <f t="shared" ca="1" si="19"/>
        <v>#N/A</v>
      </c>
      <c r="AU24" s="16" t="e">
        <f t="shared" ca="1" si="19"/>
        <v>#N/A</v>
      </c>
      <c r="AV24" s="13" t="e">
        <f t="shared" ca="1" si="19"/>
        <v>#N/A</v>
      </c>
      <c r="AW24" s="14" t="e">
        <f t="shared" ca="1" si="19"/>
        <v>#N/A</v>
      </c>
      <c r="AX24" s="14" t="e">
        <f t="shared" ca="1" si="19"/>
        <v>#N/A</v>
      </c>
      <c r="AY24" s="14" t="e">
        <f t="shared" ca="1" si="19"/>
        <v>#N/A</v>
      </c>
      <c r="AZ24" s="14" t="e">
        <f t="shared" ca="1" si="19"/>
        <v>#N/A</v>
      </c>
      <c r="BA24" s="15" t="e">
        <f t="shared" ca="1" si="19"/>
        <v>#N/A</v>
      </c>
      <c r="BB24" s="16" t="e">
        <f t="shared" ca="1" si="19"/>
        <v>#N/A</v>
      </c>
      <c r="BC24" s="13" t="e">
        <f t="shared" ca="1" si="19"/>
        <v>#N/A</v>
      </c>
      <c r="BD24" s="14" t="e">
        <f t="shared" ca="1" si="19"/>
        <v>#N/A</v>
      </c>
      <c r="BE24" s="14" t="e">
        <f t="shared" ca="1" si="19"/>
        <v>#N/A</v>
      </c>
      <c r="BF24" s="14" t="e">
        <f t="shared" ca="1" si="19"/>
        <v>#N/A</v>
      </c>
      <c r="BG24" s="14" t="e">
        <f t="shared" ca="1" si="20"/>
        <v>#N/A</v>
      </c>
      <c r="BH24" s="15" t="e">
        <f t="shared" ca="1" si="20"/>
        <v>#N/A</v>
      </c>
      <c r="BI24" s="16" t="e">
        <f t="shared" ca="1" si="20"/>
        <v>#N/A</v>
      </c>
      <c r="BJ24" s="13" t="e">
        <f t="shared" ca="1" si="20"/>
        <v>#N/A</v>
      </c>
      <c r="BK24" s="14" t="e">
        <f t="shared" ca="1" si="20"/>
        <v>#N/A</v>
      </c>
      <c r="BL24" s="14" t="e">
        <f t="shared" ca="1" si="20"/>
        <v>#N/A</v>
      </c>
      <c r="BM24" s="14" t="e">
        <f t="shared" ca="1" si="20"/>
        <v>#N/A</v>
      </c>
      <c r="BN24" s="14" t="e">
        <f t="shared" ca="1" si="20"/>
        <v>#N/A</v>
      </c>
      <c r="BO24" s="15" t="e">
        <f t="shared" ca="1" si="20"/>
        <v>#N/A</v>
      </c>
      <c r="BP24" s="16" t="e">
        <f t="shared" ca="1" si="20"/>
        <v>#N/A</v>
      </c>
      <c r="BQ24" s="13" t="e">
        <f t="shared" ca="1" si="20"/>
        <v>#N/A</v>
      </c>
      <c r="BR24" s="14" t="e">
        <f t="shared" ca="1" si="20"/>
        <v>#N/A</v>
      </c>
      <c r="BS24" s="14" t="e">
        <f t="shared" ca="1" si="20"/>
        <v>#N/A</v>
      </c>
      <c r="BT24" s="14" t="e">
        <f t="shared" ca="1" si="20"/>
        <v>#N/A</v>
      </c>
      <c r="BU24" s="14" t="e">
        <f t="shared" ca="1" si="20"/>
        <v>#N/A</v>
      </c>
      <c r="BV24" s="15" t="e">
        <f t="shared" ca="1" si="20"/>
        <v>#N/A</v>
      </c>
      <c r="BW24" s="16" t="e">
        <f t="shared" ref="BW24:CL25" ca="1" si="32">IF(AND(BW$5&gt;=$C24,BW$5&lt;=$E24),1,"")</f>
        <v>#N/A</v>
      </c>
      <c r="BX24" s="13" t="e">
        <f t="shared" ca="1" si="32"/>
        <v>#N/A</v>
      </c>
      <c r="BY24" s="14" t="e">
        <f t="shared" ca="1" si="32"/>
        <v>#N/A</v>
      </c>
      <c r="BZ24" s="14" t="e">
        <f t="shared" ca="1" si="32"/>
        <v>#N/A</v>
      </c>
      <c r="CA24" s="14" t="e">
        <f t="shared" ca="1" si="32"/>
        <v>#N/A</v>
      </c>
      <c r="CB24" s="14" t="e">
        <f t="shared" ca="1" si="32"/>
        <v>#N/A</v>
      </c>
      <c r="CC24" s="15" t="e">
        <f t="shared" ca="1" si="32"/>
        <v>#N/A</v>
      </c>
      <c r="CD24" s="16" t="e">
        <f t="shared" ca="1" si="32"/>
        <v>#N/A</v>
      </c>
      <c r="CE24" s="13" t="e">
        <f t="shared" ca="1" si="32"/>
        <v>#N/A</v>
      </c>
      <c r="CF24" s="14" t="e">
        <f t="shared" ca="1" si="32"/>
        <v>#N/A</v>
      </c>
      <c r="CG24" s="14" t="e">
        <f t="shared" ca="1" si="32"/>
        <v>#N/A</v>
      </c>
      <c r="CH24" s="14" t="e">
        <f t="shared" ca="1" si="32"/>
        <v>#N/A</v>
      </c>
      <c r="CI24" s="14" t="e">
        <f t="shared" ca="1" si="32"/>
        <v>#N/A</v>
      </c>
      <c r="CJ24" s="15" t="e">
        <f t="shared" ca="1" si="32"/>
        <v>#N/A</v>
      </c>
      <c r="CK24" s="16" t="e">
        <f t="shared" ca="1" si="32"/>
        <v>#N/A</v>
      </c>
      <c r="CL24" s="13" t="e">
        <f t="shared" ca="1" si="32"/>
        <v>#N/A</v>
      </c>
      <c r="CM24" s="14" t="e">
        <f t="shared" ref="CM24:DB25" ca="1" si="33">IF(AND(CM$5&gt;=$C24,CM$5&lt;=$E24),1,"")</f>
        <v>#N/A</v>
      </c>
      <c r="CN24" s="14" t="e">
        <f t="shared" ca="1" si="33"/>
        <v>#N/A</v>
      </c>
      <c r="CO24" s="14" t="e">
        <f t="shared" ca="1" si="33"/>
        <v>#N/A</v>
      </c>
      <c r="CP24" s="14" t="e">
        <f t="shared" ca="1" si="33"/>
        <v>#N/A</v>
      </c>
      <c r="CQ24" s="15" t="e">
        <f t="shared" ca="1" si="33"/>
        <v>#N/A</v>
      </c>
      <c r="CR24" s="16" t="e">
        <f t="shared" ca="1" si="33"/>
        <v>#N/A</v>
      </c>
      <c r="CS24" s="13" t="e">
        <f t="shared" ca="1" si="33"/>
        <v>#N/A</v>
      </c>
      <c r="CT24" s="14" t="e">
        <f t="shared" ca="1" si="33"/>
        <v>#N/A</v>
      </c>
      <c r="CU24" s="14" t="e">
        <f t="shared" ca="1" si="33"/>
        <v>#N/A</v>
      </c>
      <c r="CV24" s="14" t="e">
        <f t="shared" ca="1" si="33"/>
        <v>#N/A</v>
      </c>
      <c r="CW24" s="14" t="e">
        <f t="shared" ca="1" si="33"/>
        <v>#N/A</v>
      </c>
      <c r="CX24" s="15" t="e">
        <f t="shared" ca="1" si="33"/>
        <v>#N/A</v>
      </c>
      <c r="CY24" s="16" t="e">
        <f t="shared" ca="1" si="33"/>
        <v>#N/A</v>
      </c>
      <c r="CZ24" s="13" t="e">
        <f t="shared" ca="1" si="33"/>
        <v>#N/A</v>
      </c>
      <c r="DA24" s="14" t="e">
        <f t="shared" ca="1" si="33"/>
        <v>#N/A</v>
      </c>
      <c r="DB24" s="14" t="e">
        <f t="shared" ca="1" si="33"/>
        <v>#N/A</v>
      </c>
      <c r="DC24" s="14" t="e">
        <f t="shared" ca="1" si="31"/>
        <v>#N/A</v>
      </c>
      <c r="DD24" s="14" t="e">
        <f t="shared" ca="1" si="31"/>
        <v>#N/A</v>
      </c>
      <c r="DE24" s="15" t="e">
        <f t="shared" ca="1" si="31"/>
        <v>#N/A</v>
      </c>
      <c r="DF24" s="16" t="e">
        <f t="shared" ca="1" si="31"/>
        <v>#N/A</v>
      </c>
      <c r="DG24" s="13" t="e">
        <f t="shared" ca="1" si="31"/>
        <v>#N/A</v>
      </c>
      <c r="DH24" s="14" t="e">
        <f t="shared" ca="1" si="31"/>
        <v>#N/A</v>
      </c>
      <c r="DI24" s="14" t="e">
        <f t="shared" ca="1" si="31"/>
        <v>#N/A</v>
      </c>
      <c r="DJ24" s="14" t="e">
        <f t="shared" ca="1" si="31"/>
        <v>#N/A</v>
      </c>
      <c r="DK24" s="14" t="e">
        <f t="shared" ca="1" si="31"/>
        <v>#N/A</v>
      </c>
      <c r="DL24" s="15" t="e">
        <f t="shared" ca="1" si="31"/>
        <v>#N/A</v>
      </c>
      <c r="DM24" s="16" t="e">
        <f t="shared" ca="1" si="31"/>
        <v>#N/A</v>
      </c>
      <c r="DN24" s="13" t="e">
        <f t="shared" ca="1" si="31"/>
        <v>#N/A</v>
      </c>
      <c r="DO24" s="14" t="e">
        <f t="shared" ca="1" si="31"/>
        <v>#N/A</v>
      </c>
      <c r="DP24" s="14" t="e">
        <f t="shared" ca="1" si="31"/>
        <v>#N/A</v>
      </c>
      <c r="DQ24" s="14" t="e">
        <f t="shared" ca="1" si="31"/>
        <v>#N/A</v>
      </c>
      <c r="DR24" s="14" t="e">
        <f t="shared" ca="1" si="28"/>
        <v>#N/A</v>
      </c>
      <c r="DS24" s="15" t="e">
        <f t="shared" ca="1" si="28"/>
        <v>#N/A</v>
      </c>
      <c r="DT24" s="16" t="e">
        <f t="shared" ca="1" si="28"/>
        <v>#N/A</v>
      </c>
    </row>
    <row r="25" spans="1:124" s="17" customFormat="1" ht="9.75" customHeight="1">
      <c r="A25" s="92" t="str">
        <f>_xlfn.CONCAT(B1,"-",B3,"-",B6)</f>
        <v>NSL Shanghai-NSL Shanghai-DOUAI</v>
      </c>
      <c r="B25" s="28" t="s">
        <v>54</v>
      </c>
      <c r="C25" s="19" t="e">
        <f t="shared" ca="1" si="26"/>
        <v>#N/A</v>
      </c>
      <c r="D25" s="20">
        <v>7</v>
      </c>
      <c r="E25" s="19" t="e">
        <f ca="1">(C25+D25)-1</f>
        <v>#N/A</v>
      </c>
      <c r="F25" s="13" t="e">
        <f t="shared" ca="1" si="29"/>
        <v>#N/A</v>
      </c>
      <c r="G25" s="14" t="e">
        <f t="shared" ca="1" si="29"/>
        <v>#N/A</v>
      </c>
      <c r="H25" s="14" t="e">
        <f t="shared" ca="1" si="29"/>
        <v>#N/A</v>
      </c>
      <c r="I25" s="14" t="e">
        <f t="shared" ca="1" si="29"/>
        <v>#N/A</v>
      </c>
      <c r="J25" s="14" t="e">
        <f t="shared" ca="1" si="29"/>
        <v>#N/A</v>
      </c>
      <c r="K25" s="15" t="e">
        <f t="shared" ca="1" si="29"/>
        <v>#N/A</v>
      </c>
      <c r="L25" s="16" t="e">
        <f t="shared" ca="1" si="29"/>
        <v>#N/A</v>
      </c>
      <c r="M25" s="13" t="e">
        <f t="shared" ca="1" si="29"/>
        <v>#N/A</v>
      </c>
      <c r="N25" s="14" t="e">
        <f t="shared" ca="1" si="29"/>
        <v>#N/A</v>
      </c>
      <c r="O25" s="14" t="e">
        <f t="shared" ca="1" si="29"/>
        <v>#N/A</v>
      </c>
      <c r="P25" s="14" t="e">
        <f t="shared" ca="1" si="29"/>
        <v>#N/A</v>
      </c>
      <c r="Q25" s="14" t="e">
        <f t="shared" ca="1" si="29"/>
        <v>#N/A</v>
      </c>
      <c r="R25" s="15" t="e">
        <f t="shared" ca="1" si="29"/>
        <v>#N/A</v>
      </c>
      <c r="S25" s="16" t="e">
        <f t="shared" ca="1" si="29"/>
        <v>#N/A</v>
      </c>
      <c r="T25" s="13" t="e">
        <f t="shared" ca="1" si="29"/>
        <v>#N/A</v>
      </c>
      <c r="U25" s="14" t="e">
        <f t="shared" ca="1" si="29"/>
        <v>#N/A</v>
      </c>
      <c r="V25" s="14" t="e">
        <f t="shared" ca="1" si="27"/>
        <v>#N/A</v>
      </c>
      <c r="W25" s="14" t="e">
        <f t="shared" ca="1" si="27"/>
        <v>#N/A</v>
      </c>
      <c r="X25" s="14" t="e">
        <f t="shared" ca="1" si="27"/>
        <v>#N/A</v>
      </c>
      <c r="Y25" s="15" t="e">
        <f t="shared" ca="1" si="27"/>
        <v>#N/A</v>
      </c>
      <c r="Z25" s="16" t="e">
        <f t="shared" ca="1" si="27"/>
        <v>#N/A</v>
      </c>
      <c r="AA25" s="13" t="e">
        <f t="shared" ca="1" si="18"/>
        <v>#N/A</v>
      </c>
      <c r="AB25" s="14" t="e">
        <f t="shared" ca="1" si="18"/>
        <v>#N/A</v>
      </c>
      <c r="AC25" s="14" t="e">
        <f t="shared" ca="1" si="18"/>
        <v>#N/A</v>
      </c>
      <c r="AD25" s="14" t="e">
        <f t="shared" ca="1" si="18"/>
        <v>#N/A</v>
      </c>
      <c r="AE25" s="14" t="e">
        <f t="shared" ca="1" si="18"/>
        <v>#N/A</v>
      </c>
      <c r="AF25" s="15" t="e">
        <f t="shared" ca="1" si="18"/>
        <v>#N/A</v>
      </c>
      <c r="AG25" s="16" t="e">
        <f t="shared" ca="1" si="18"/>
        <v>#N/A</v>
      </c>
      <c r="AH25" s="13" t="e">
        <f t="shared" ca="1" si="18"/>
        <v>#N/A</v>
      </c>
      <c r="AI25" s="14" t="e">
        <f t="shared" ca="1" si="18"/>
        <v>#N/A</v>
      </c>
      <c r="AJ25" s="14" t="e">
        <f t="shared" ca="1" si="18"/>
        <v>#N/A</v>
      </c>
      <c r="AK25" s="14" t="e">
        <f t="shared" ca="1" si="18"/>
        <v>#N/A</v>
      </c>
      <c r="AL25" s="14" t="e">
        <f t="shared" ca="1" si="18"/>
        <v>#N/A</v>
      </c>
      <c r="AM25" s="15" t="e">
        <f t="shared" ca="1" si="18"/>
        <v>#N/A</v>
      </c>
      <c r="AN25" s="16" t="e">
        <f t="shared" ca="1" si="18"/>
        <v>#N/A</v>
      </c>
      <c r="AO25" s="13" t="e">
        <f t="shared" ca="1" si="18"/>
        <v>#N/A</v>
      </c>
      <c r="AP25" s="14" t="e">
        <f t="shared" ref="AP25" ca="1" si="34">IF(AND(AP$5&gt;=$C25,AP$5&lt;=$E25),1,"")</f>
        <v>#N/A</v>
      </c>
      <c r="AQ25" s="14" t="e">
        <f t="shared" ca="1" si="19"/>
        <v>#N/A</v>
      </c>
      <c r="AR25" s="14" t="e">
        <f t="shared" ca="1" si="19"/>
        <v>#N/A</v>
      </c>
      <c r="AS25" s="14" t="e">
        <f t="shared" ca="1" si="19"/>
        <v>#N/A</v>
      </c>
      <c r="AT25" s="15" t="e">
        <f t="shared" ca="1" si="19"/>
        <v>#N/A</v>
      </c>
      <c r="AU25" s="16" t="e">
        <f t="shared" ca="1" si="19"/>
        <v>#N/A</v>
      </c>
      <c r="AV25" s="13" t="e">
        <f t="shared" ca="1" si="19"/>
        <v>#N/A</v>
      </c>
      <c r="AW25" s="14" t="e">
        <f t="shared" ca="1" si="19"/>
        <v>#N/A</v>
      </c>
      <c r="AX25" s="14" t="e">
        <f t="shared" ca="1" si="19"/>
        <v>#N/A</v>
      </c>
      <c r="AY25" s="14" t="e">
        <f t="shared" ca="1" si="19"/>
        <v>#N/A</v>
      </c>
      <c r="AZ25" s="14" t="e">
        <f t="shared" ca="1" si="19"/>
        <v>#N/A</v>
      </c>
      <c r="BA25" s="15" t="e">
        <f t="shared" ca="1" si="19"/>
        <v>#N/A</v>
      </c>
      <c r="BB25" s="16" t="e">
        <f t="shared" ca="1" si="19"/>
        <v>#N/A</v>
      </c>
      <c r="BC25" s="13" t="e">
        <f t="shared" ca="1" si="19"/>
        <v>#N/A</v>
      </c>
      <c r="BD25" s="14" t="e">
        <f t="shared" ca="1" si="19"/>
        <v>#N/A</v>
      </c>
      <c r="BE25" s="14" t="e">
        <f t="shared" ca="1" si="19"/>
        <v>#N/A</v>
      </c>
      <c r="BF25" s="14" t="e">
        <f t="shared" ref="BF25" ca="1" si="35">IF(AND(BF$5&gt;=$C25,BF$5&lt;=$E25),1,"")</f>
        <v>#N/A</v>
      </c>
      <c r="BG25" s="14" t="e">
        <f t="shared" ca="1" si="20"/>
        <v>#N/A</v>
      </c>
      <c r="BH25" s="15" t="e">
        <f t="shared" ca="1" si="20"/>
        <v>#N/A</v>
      </c>
      <c r="BI25" s="16" t="e">
        <f t="shared" ca="1" si="20"/>
        <v>#N/A</v>
      </c>
      <c r="BJ25" s="13" t="e">
        <f t="shared" ca="1" si="20"/>
        <v>#N/A</v>
      </c>
      <c r="BK25" s="14" t="e">
        <f t="shared" ca="1" si="20"/>
        <v>#N/A</v>
      </c>
      <c r="BL25" s="14" t="e">
        <f t="shared" ref="BL25:BV25" ca="1" si="36">IF(AND(BL$5&gt;=$C25,BL$5&lt;=$E25),1,"")</f>
        <v>#N/A</v>
      </c>
      <c r="BM25" s="14" t="e">
        <f t="shared" ca="1" si="36"/>
        <v>#N/A</v>
      </c>
      <c r="BN25" s="14" t="e">
        <f t="shared" ca="1" si="36"/>
        <v>#N/A</v>
      </c>
      <c r="BO25" s="15" t="e">
        <f t="shared" ca="1" si="36"/>
        <v>#N/A</v>
      </c>
      <c r="BP25" s="16" t="e">
        <f t="shared" ca="1" si="36"/>
        <v>#N/A</v>
      </c>
      <c r="BQ25" s="13" t="e">
        <f t="shared" ca="1" si="36"/>
        <v>#N/A</v>
      </c>
      <c r="BR25" s="14" t="e">
        <f t="shared" ca="1" si="36"/>
        <v>#N/A</v>
      </c>
      <c r="BS25" s="14" t="e">
        <f t="shared" ca="1" si="36"/>
        <v>#N/A</v>
      </c>
      <c r="BT25" s="14" t="e">
        <f t="shared" ca="1" si="36"/>
        <v>#N/A</v>
      </c>
      <c r="BU25" s="14" t="e">
        <f t="shared" ca="1" si="36"/>
        <v>#N/A</v>
      </c>
      <c r="BV25" s="15" t="e">
        <f t="shared" ca="1" si="36"/>
        <v>#N/A</v>
      </c>
      <c r="BW25" s="16" t="e">
        <f t="shared" ca="1" si="32"/>
        <v>#N/A</v>
      </c>
      <c r="BX25" s="13" t="e">
        <f t="shared" ca="1" si="32"/>
        <v>#N/A</v>
      </c>
      <c r="BY25" s="14" t="e">
        <f t="shared" ca="1" si="32"/>
        <v>#N/A</v>
      </c>
      <c r="BZ25" s="14" t="e">
        <f t="shared" ca="1" si="32"/>
        <v>#N/A</v>
      </c>
      <c r="CA25" s="14" t="e">
        <f t="shared" ca="1" si="32"/>
        <v>#N/A</v>
      </c>
      <c r="CB25" s="14" t="e">
        <f t="shared" ca="1" si="32"/>
        <v>#N/A</v>
      </c>
      <c r="CC25" s="15" t="e">
        <f t="shared" ca="1" si="32"/>
        <v>#N/A</v>
      </c>
      <c r="CD25" s="16" t="e">
        <f t="shared" ca="1" si="32"/>
        <v>#N/A</v>
      </c>
      <c r="CE25" s="13" t="e">
        <f t="shared" ca="1" si="32"/>
        <v>#N/A</v>
      </c>
      <c r="CF25" s="14" t="e">
        <f t="shared" ca="1" si="32"/>
        <v>#N/A</v>
      </c>
      <c r="CG25" s="14" t="e">
        <f t="shared" ca="1" si="32"/>
        <v>#N/A</v>
      </c>
      <c r="CH25" s="14" t="e">
        <f t="shared" ca="1" si="32"/>
        <v>#N/A</v>
      </c>
      <c r="CI25" s="14" t="e">
        <f t="shared" ca="1" si="32"/>
        <v>#N/A</v>
      </c>
      <c r="CJ25" s="15" t="e">
        <f t="shared" ca="1" si="32"/>
        <v>#N/A</v>
      </c>
      <c r="CK25" s="16" t="e">
        <f t="shared" ca="1" si="32"/>
        <v>#N/A</v>
      </c>
      <c r="CL25" s="13" t="e">
        <f t="shared" ca="1" si="32"/>
        <v>#N/A</v>
      </c>
      <c r="CM25" s="14" t="e">
        <f t="shared" ca="1" si="33"/>
        <v>#N/A</v>
      </c>
      <c r="CN25" s="14" t="e">
        <f t="shared" ca="1" si="33"/>
        <v>#N/A</v>
      </c>
      <c r="CO25" s="14" t="e">
        <f t="shared" ca="1" si="33"/>
        <v>#N/A</v>
      </c>
      <c r="CP25" s="14" t="e">
        <f t="shared" ca="1" si="33"/>
        <v>#N/A</v>
      </c>
      <c r="CQ25" s="15" t="e">
        <f t="shared" ca="1" si="33"/>
        <v>#N/A</v>
      </c>
      <c r="CR25" s="16" t="e">
        <f t="shared" ca="1" si="33"/>
        <v>#N/A</v>
      </c>
      <c r="CS25" s="13" t="e">
        <f t="shared" ca="1" si="33"/>
        <v>#N/A</v>
      </c>
      <c r="CT25" s="14" t="e">
        <f t="shared" ca="1" si="33"/>
        <v>#N/A</v>
      </c>
      <c r="CU25" s="14" t="e">
        <f t="shared" ca="1" si="33"/>
        <v>#N/A</v>
      </c>
      <c r="CV25" s="14" t="e">
        <f t="shared" ca="1" si="33"/>
        <v>#N/A</v>
      </c>
      <c r="CW25" s="14" t="e">
        <f t="shared" ca="1" si="33"/>
        <v>#N/A</v>
      </c>
      <c r="CX25" s="15" t="e">
        <f t="shared" ca="1" si="33"/>
        <v>#N/A</v>
      </c>
      <c r="CY25" s="16" t="e">
        <f t="shared" ca="1" si="33"/>
        <v>#N/A</v>
      </c>
      <c r="CZ25" s="13" t="e">
        <f t="shared" ca="1" si="33"/>
        <v>#N/A</v>
      </c>
      <c r="DA25" s="14" t="e">
        <f t="shared" ca="1" si="33"/>
        <v>#N/A</v>
      </c>
      <c r="DB25" s="14" t="e">
        <f t="shared" ca="1" si="33"/>
        <v>#N/A</v>
      </c>
      <c r="DC25" s="14" t="e">
        <f t="shared" ca="1" si="31"/>
        <v>#N/A</v>
      </c>
      <c r="DD25" s="14" t="e">
        <f t="shared" ca="1" si="31"/>
        <v>#N/A</v>
      </c>
      <c r="DE25" s="15" t="e">
        <f t="shared" ca="1" si="31"/>
        <v>#N/A</v>
      </c>
      <c r="DF25" s="16" t="e">
        <f t="shared" ca="1" si="31"/>
        <v>#N/A</v>
      </c>
      <c r="DG25" s="13" t="e">
        <f t="shared" ca="1" si="28"/>
        <v>#N/A</v>
      </c>
      <c r="DH25" s="14" t="e">
        <f t="shared" ca="1" si="28"/>
        <v>#N/A</v>
      </c>
      <c r="DI25" s="14" t="e">
        <f t="shared" ca="1" si="28"/>
        <v>#N/A</v>
      </c>
      <c r="DJ25" s="14" t="e">
        <f t="shared" ca="1" si="28"/>
        <v>#N/A</v>
      </c>
      <c r="DK25" s="14" t="e">
        <f t="shared" ca="1" si="28"/>
        <v>#N/A</v>
      </c>
      <c r="DL25" s="15" t="e">
        <f t="shared" ca="1" si="28"/>
        <v>#N/A</v>
      </c>
      <c r="DM25" s="16" t="e">
        <f t="shared" ca="1" si="28"/>
        <v>#N/A</v>
      </c>
      <c r="DN25" s="13" t="e">
        <f t="shared" ca="1" si="28"/>
        <v>#N/A</v>
      </c>
      <c r="DO25" s="14" t="e">
        <f t="shared" ca="1" si="28"/>
        <v>#N/A</v>
      </c>
      <c r="DP25" s="14" t="e">
        <f t="shared" ca="1" si="28"/>
        <v>#N/A</v>
      </c>
      <c r="DQ25" s="14" t="e">
        <f t="shared" ca="1" si="28"/>
        <v>#N/A</v>
      </c>
      <c r="DR25" s="14" t="e">
        <f t="shared" ca="1" si="28"/>
        <v>#N/A</v>
      </c>
      <c r="DS25" s="15" t="e">
        <f t="shared" ca="1" si="28"/>
        <v>#N/A</v>
      </c>
      <c r="DT25" s="16" t="e">
        <f t="shared" ca="1" si="28"/>
        <v>#N/A</v>
      </c>
    </row>
    <row r="26" spans="1:124" s="17" customFormat="1" ht="6" customHeight="1"/>
    <row r="27" spans="1:124" s="17" customFormat="1" ht="15" customHeight="1">
      <c r="A27" s="588" t="s">
        <v>55</v>
      </c>
      <c r="B27" s="588"/>
      <c r="C27" s="589" t="e">
        <f ca="1">C15-C11</f>
        <v>#N/A</v>
      </c>
      <c r="D27" s="589"/>
      <c r="E27" s="590"/>
      <c r="F27" s="14" t="e">
        <f t="shared" ref="F27:BQ27" ca="1" si="37">IF(AND(F$5&gt;=$C$11,F$5&lt;=$E$15-1),1,"")</f>
        <v>#N/A</v>
      </c>
      <c r="G27" s="14" t="e">
        <f t="shared" ca="1" si="37"/>
        <v>#N/A</v>
      </c>
      <c r="H27" s="14" t="e">
        <f t="shared" ca="1" si="37"/>
        <v>#N/A</v>
      </c>
      <c r="I27" s="14" t="e">
        <f t="shared" ca="1" si="37"/>
        <v>#N/A</v>
      </c>
      <c r="J27" s="14" t="e">
        <f t="shared" ca="1" si="37"/>
        <v>#N/A</v>
      </c>
      <c r="K27" s="15" t="e">
        <f t="shared" ca="1" si="37"/>
        <v>#N/A</v>
      </c>
      <c r="L27" s="16" t="e">
        <f t="shared" ca="1" si="37"/>
        <v>#N/A</v>
      </c>
      <c r="M27" s="13" t="e">
        <f t="shared" ca="1" si="37"/>
        <v>#N/A</v>
      </c>
      <c r="N27" s="14" t="e">
        <f t="shared" ca="1" si="37"/>
        <v>#N/A</v>
      </c>
      <c r="O27" s="14" t="e">
        <f t="shared" ca="1" si="37"/>
        <v>#N/A</v>
      </c>
      <c r="P27" s="14" t="e">
        <f t="shared" ca="1" si="37"/>
        <v>#N/A</v>
      </c>
      <c r="Q27" s="14" t="e">
        <f t="shared" ca="1" si="37"/>
        <v>#N/A</v>
      </c>
      <c r="R27" s="15" t="e">
        <f t="shared" ca="1" si="37"/>
        <v>#N/A</v>
      </c>
      <c r="S27" s="16" t="e">
        <f t="shared" ca="1" si="37"/>
        <v>#N/A</v>
      </c>
      <c r="T27" s="13" t="e">
        <f t="shared" ca="1" si="37"/>
        <v>#N/A</v>
      </c>
      <c r="U27" s="14" t="e">
        <f t="shared" ca="1" si="37"/>
        <v>#N/A</v>
      </c>
      <c r="V27" s="14" t="e">
        <f t="shared" ca="1" si="37"/>
        <v>#N/A</v>
      </c>
      <c r="W27" s="14" t="e">
        <f t="shared" ca="1" si="37"/>
        <v>#N/A</v>
      </c>
      <c r="X27" s="14" t="e">
        <f t="shared" ca="1" si="37"/>
        <v>#N/A</v>
      </c>
      <c r="Y27" s="15" t="e">
        <f t="shared" ca="1" si="37"/>
        <v>#N/A</v>
      </c>
      <c r="Z27" s="16" t="e">
        <f t="shared" ca="1" si="37"/>
        <v>#N/A</v>
      </c>
      <c r="AA27" s="13" t="e">
        <f t="shared" ca="1" si="37"/>
        <v>#N/A</v>
      </c>
      <c r="AB27" s="14" t="e">
        <f t="shared" ca="1" si="37"/>
        <v>#N/A</v>
      </c>
      <c r="AC27" s="14" t="e">
        <f t="shared" ca="1" si="37"/>
        <v>#N/A</v>
      </c>
      <c r="AD27" s="14" t="e">
        <f t="shared" ca="1" si="37"/>
        <v>#N/A</v>
      </c>
      <c r="AE27" s="14" t="e">
        <f t="shared" ca="1" si="37"/>
        <v>#N/A</v>
      </c>
      <c r="AF27" s="15" t="e">
        <f t="shared" ca="1" si="37"/>
        <v>#N/A</v>
      </c>
      <c r="AG27" s="16" t="e">
        <f t="shared" ca="1" si="37"/>
        <v>#N/A</v>
      </c>
      <c r="AH27" s="13" t="e">
        <f t="shared" ca="1" si="37"/>
        <v>#N/A</v>
      </c>
      <c r="AI27" s="14" t="e">
        <f t="shared" ca="1" si="37"/>
        <v>#N/A</v>
      </c>
      <c r="AJ27" s="14" t="e">
        <f t="shared" ca="1" si="37"/>
        <v>#N/A</v>
      </c>
      <c r="AK27" s="14" t="e">
        <f t="shared" ca="1" si="37"/>
        <v>#N/A</v>
      </c>
      <c r="AL27" s="14" t="e">
        <f t="shared" ca="1" si="37"/>
        <v>#N/A</v>
      </c>
      <c r="AM27" s="15" t="e">
        <f t="shared" ca="1" si="37"/>
        <v>#N/A</v>
      </c>
      <c r="AN27" s="16" t="e">
        <f t="shared" ca="1" si="37"/>
        <v>#N/A</v>
      </c>
      <c r="AO27" s="13" t="e">
        <f t="shared" ca="1" si="37"/>
        <v>#N/A</v>
      </c>
      <c r="AP27" s="14" t="e">
        <f t="shared" ca="1" si="37"/>
        <v>#N/A</v>
      </c>
      <c r="AQ27" s="14" t="e">
        <f t="shared" ca="1" si="37"/>
        <v>#N/A</v>
      </c>
      <c r="AR27" s="14" t="e">
        <f t="shared" ca="1" si="37"/>
        <v>#N/A</v>
      </c>
      <c r="AS27" s="14" t="e">
        <f t="shared" ca="1" si="37"/>
        <v>#N/A</v>
      </c>
      <c r="AT27" s="15" t="e">
        <f t="shared" ca="1" si="37"/>
        <v>#N/A</v>
      </c>
      <c r="AU27" s="16" t="e">
        <f t="shared" ca="1" si="37"/>
        <v>#N/A</v>
      </c>
      <c r="AV27" s="13" t="e">
        <f t="shared" ca="1" si="37"/>
        <v>#N/A</v>
      </c>
      <c r="AW27" s="14" t="e">
        <f t="shared" ca="1" si="37"/>
        <v>#N/A</v>
      </c>
      <c r="AX27" s="14" t="e">
        <f t="shared" ca="1" si="37"/>
        <v>#N/A</v>
      </c>
      <c r="AY27" s="14" t="e">
        <f t="shared" ca="1" si="37"/>
        <v>#N/A</v>
      </c>
      <c r="AZ27" s="14" t="e">
        <f t="shared" ca="1" si="37"/>
        <v>#N/A</v>
      </c>
      <c r="BA27" s="15" t="e">
        <f t="shared" ca="1" si="37"/>
        <v>#N/A</v>
      </c>
      <c r="BB27" s="16" t="e">
        <f t="shared" ca="1" si="37"/>
        <v>#N/A</v>
      </c>
      <c r="BC27" s="13" t="e">
        <f t="shared" ca="1" si="37"/>
        <v>#N/A</v>
      </c>
      <c r="BD27" s="14" t="e">
        <f t="shared" ca="1" si="37"/>
        <v>#N/A</v>
      </c>
      <c r="BE27" s="14" t="e">
        <f t="shared" ca="1" si="37"/>
        <v>#N/A</v>
      </c>
      <c r="BF27" s="14" t="e">
        <f t="shared" ca="1" si="37"/>
        <v>#N/A</v>
      </c>
      <c r="BG27" s="14" t="e">
        <f t="shared" ca="1" si="37"/>
        <v>#N/A</v>
      </c>
      <c r="BH27" s="15" t="e">
        <f t="shared" ca="1" si="37"/>
        <v>#N/A</v>
      </c>
      <c r="BI27" s="16" t="e">
        <f t="shared" ca="1" si="37"/>
        <v>#N/A</v>
      </c>
      <c r="BJ27" s="13" t="e">
        <f t="shared" ca="1" si="37"/>
        <v>#N/A</v>
      </c>
      <c r="BK27" s="14" t="e">
        <f t="shared" ca="1" si="37"/>
        <v>#N/A</v>
      </c>
      <c r="BL27" s="14" t="e">
        <f t="shared" ca="1" si="37"/>
        <v>#N/A</v>
      </c>
      <c r="BM27" s="14" t="e">
        <f t="shared" ca="1" si="37"/>
        <v>#N/A</v>
      </c>
      <c r="BN27" s="14" t="e">
        <f t="shared" ca="1" si="37"/>
        <v>#N/A</v>
      </c>
      <c r="BO27" s="15" t="e">
        <f t="shared" ca="1" si="37"/>
        <v>#N/A</v>
      </c>
      <c r="BP27" s="16" t="e">
        <f t="shared" ca="1" si="37"/>
        <v>#N/A</v>
      </c>
      <c r="BQ27" s="13" t="e">
        <f t="shared" ca="1" si="37"/>
        <v>#N/A</v>
      </c>
      <c r="BR27" s="14" t="e">
        <f t="shared" ref="BR27:DT27" ca="1" si="38">IF(AND(BR$5&gt;=$C$11,BR$5&lt;=$E$15-1),1,"")</f>
        <v>#N/A</v>
      </c>
      <c r="BS27" s="14" t="e">
        <f t="shared" ca="1" si="38"/>
        <v>#N/A</v>
      </c>
      <c r="BT27" s="14" t="e">
        <f t="shared" ca="1" si="38"/>
        <v>#N/A</v>
      </c>
      <c r="BU27" s="14" t="e">
        <f t="shared" ca="1" si="38"/>
        <v>#N/A</v>
      </c>
      <c r="BV27" s="15" t="e">
        <f t="shared" ca="1" si="38"/>
        <v>#N/A</v>
      </c>
      <c r="BW27" s="16" t="e">
        <f t="shared" ca="1" si="38"/>
        <v>#N/A</v>
      </c>
      <c r="BX27" s="13" t="e">
        <f t="shared" ca="1" si="38"/>
        <v>#N/A</v>
      </c>
      <c r="BY27" s="14" t="e">
        <f t="shared" ca="1" si="38"/>
        <v>#N/A</v>
      </c>
      <c r="BZ27" s="14" t="e">
        <f t="shared" ca="1" si="38"/>
        <v>#N/A</v>
      </c>
      <c r="CA27" s="14" t="e">
        <f t="shared" ca="1" si="38"/>
        <v>#N/A</v>
      </c>
      <c r="CB27" s="14" t="e">
        <f t="shared" ca="1" si="38"/>
        <v>#N/A</v>
      </c>
      <c r="CC27" s="15" t="e">
        <f t="shared" ca="1" si="38"/>
        <v>#N/A</v>
      </c>
      <c r="CD27" s="16" t="e">
        <f t="shared" ca="1" si="38"/>
        <v>#N/A</v>
      </c>
      <c r="CE27" s="13" t="e">
        <f t="shared" ca="1" si="38"/>
        <v>#N/A</v>
      </c>
      <c r="CF27" s="14" t="e">
        <f t="shared" ca="1" si="38"/>
        <v>#N/A</v>
      </c>
      <c r="CG27" s="14" t="e">
        <f t="shared" ca="1" si="38"/>
        <v>#N/A</v>
      </c>
      <c r="CH27" s="14" t="e">
        <f t="shared" ca="1" si="38"/>
        <v>#N/A</v>
      </c>
      <c r="CI27" s="14" t="e">
        <f t="shared" ca="1" si="38"/>
        <v>#N/A</v>
      </c>
      <c r="CJ27" s="15" t="e">
        <f t="shared" ca="1" si="38"/>
        <v>#N/A</v>
      </c>
      <c r="CK27" s="16" t="e">
        <f t="shared" ca="1" si="38"/>
        <v>#N/A</v>
      </c>
      <c r="CL27" s="13" t="e">
        <f t="shared" ca="1" si="38"/>
        <v>#N/A</v>
      </c>
      <c r="CM27" s="14" t="e">
        <f t="shared" ca="1" si="38"/>
        <v>#N/A</v>
      </c>
      <c r="CN27" s="14" t="e">
        <f t="shared" ca="1" si="38"/>
        <v>#N/A</v>
      </c>
      <c r="CO27" s="14" t="e">
        <f t="shared" ca="1" si="38"/>
        <v>#N/A</v>
      </c>
      <c r="CP27" s="14" t="e">
        <f t="shared" ca="1" si="38"/>
        <v>#N/A</v>
      </c>
      <c r="CQ27" s="15" t="e">
        <f t="shared" ca="1" si="38"/>
        <v>#N/A</v>
      </c>
      <c r="CR27" s="16" t="e">
        <f t="shared" ca="1" si="38"/>
        <v>#N/A</v>
      </c>
      <c r="CS27" s="13" t="e">
        <f t="shared" ca="1" si="38"/>
        <v>#N/A</v>
      </c>
      <c r="CT27" s="14" t="e">
        <f t="shared" ca="1" si="38"/>
        <v>#N/A</v>
      </c>
      <c r="CU27" s="14" t="e">
        <f t="shared" ca="1" si="38"/>
        <v>#N/A</v>
      </c>
      <c r="CV27" s="14" t="e">
        <f t="shared" ca="1" si="38"/>
        <v>#N/A</v>
      </c>
      <c r="CW27" s="14" t="e">
        <f t="shared" ca="1" si="38"/>
        <v>#N/A</v>
      </c>
      <c r="CX27" s="15" t="e">
        <f t="shared" ca="1" si="38"/>
        <v>#N/A</v>
      </c>
      <c r="CY27" s="16" t="e">
        <f t="shared" ca="1" si="38"/>
        <v>#N/A</v>
      </c>
      <c r="CZ27" s="13" t="e">
        <f t="shared" ca="1" si="38"/>
        <v>#N/A</v>
      </c>
      <c r="DA27" s="14" t="e">
        <f t="shared" ca="1" si="38"/>
        <v>#N/A</v>
      </c>
      <c r="DB27" s="14" t="e">
        <f t="shared" ca="1" si="38"/>
        <v>#N/A</v>
      </c>
      <c r="DC27" s="14" t="e">
        <f t="shared" ca="1" si="38"/>
        <v>#N/A</v>
      </c>
      <c r="DD27" s="14" t="e">
        <f t="shared" ca="1" si="38"/>
        <v>#N/A</v>
      </c>
      <c r="DE27" s="15" t="e">
        <f t="shared" ca="1" si="38"/>
        <v>#N/A</v>
      </c>
      <c r="DF27" s="16" t="e">
        <f t="shared" ca="1" si="38"/>
        <v>#N/A</v>
      </c>
      <c r="DG27" s="13" t="e">
        <f t="shared" ca="1" si="38"/>
        <v>#N/A</v>
      </c>
      <c r="DH27" s="14" t="e">
        <f t="shared" ca="1" si="38"/>
        <v>#N/A</v>
      </c>
      <c r="DI27" s="14" t="e">
        <f t="shared" ca="1" si="38"/>
        <v>#N/A</v>
      </c>
      <c r="DJ27" s="14" t="e">
        <f t="shared" ca="1" si="38"/>
        <v>#N/A</v>
      </c>
      <c r="DK27" s="14" t="e">
        <f t="shared" ca="1" si="38"/>
        <v>#N/A</v>
      </c>
      <c r="DL27" s="15" t="e">
        <f t="shared" ca="1" si="38"/>
        <v>#N/A</v>
      </c>
      <c r="DM27" s="16" t="e">
        <f t="shared" ca="1" si="38"/>
        <v>#N/A</v>
      </c>
      <c r="DN27" s="13" t="e">
        <f t="shared" ca="1" si="38"/>
        <v>#N/A</v>
      </c>
      <c r="DO27" s="14" t="e">
        <f t="shared" ca="1" si="38"/>
        <v>#N/A</v>
      </c>
      <c r="DP27" s="14" t="e">
        <f t="shared" ca="1" si="38"/>
        <v>#N/A</v>
      </c>
      <c r="DQ27" s="14" t="e">
        <f t="shared" ca="1" si="38"/>
        <v>#N/A</v>
      </c>
      <c r="DR27" s="14" t="e">
        <f t="shared" ca="1" si="38"/>
        <v>#N/A</v>
      </c>
      <c r="DS27" s="15" t="e">
        <f t="shared" ca="1" si="38"/>
        <v>#N/A</v>
      </c>
      <c r="DT27" s="16" t="e">
        <f t="shared" ca="1" si="38"/>
        <v>#N/A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97" t="s">
        <v>56</v>
      </c>
      <c r="B29" s="597"/>
      <c r="C29" s="598" t="e">
        <f ca="1">C15-C12+2</f>
        <v>#N/A</v>
      </c>
      <c r="D29" s="598"/>
      <c r="E29" s="599"/>
      <c r="F29" s="14" t="e">
        <f t="shared" ref="F29:AM29" ca="1" si="39">IF(AND(F$5&gt;=$E$11,F$5&lt;=$E$15),1,"")</f>
        <v>#N/A</v>
      </c>
      <c r="G29" s="14" t="e">
        <f t="shared" ca="1" si="39"/>
        <v>#N/A</v>
      </c>
      <c r="H29" s="14" t="e">
        <f t="shared" ca="1" si="39"/>
        <v>#N/A</v>
      </c>
      <c r="I29" s="14" t="e">
        <f t="shared" ca="1" si="39"/>
        <v>#N/A</v>
      </c>
      <c r="J29" s="14" t="e">
        <f t="shared" ca="1" si="39"/>
        <v>#N/A</v>
      </c>
      <c r="K29" s="15" t="e">
        <f t="shared" ca="1" si="39"/>
        <v>#N/A</v>
      </c>
      <c r="L29" s="16" t="e">
        <f t="shared" ca="1" si="39"/>
        <v>#N/A</v>
      </c>
      <c r="M29" s="13" t="e">
        <f t="shared" ca="1" si="39"/>
        <v>#N/A</v>
      </c>
      <c r="N29" s="14" t="e">
        <f t="shared" ca="1" si="39"/>
        <v>#N/A</v>
      </c>
      <c r="O29" s="14" t="e">
        <f t="shared" ca="1" si="39"/>
        <v>#N/A</v>
      </c>
      <c r="P29" s="14" t="e">
        <f t="shared" ca="1" si="39"/>
        <v>#N/A</v>
      </c>
      <c r="Q29" s="14" t="e">
        <f t="shared" ca="1" si="39"/>
        <v>#N/A</v>
      </c>
      <c r="R29" s="15" t="e">
        <f t="shared" ca="1" si="39"/>
        <v>#N/A</v>
      </c>
      <c r="S29" s="16" t="e">
        <f t="shared" ca="1" si="39"/>
        <v>#N/A</v>
      </c>
      <c r="T29" s="13" t="e">
        <f t="shared" ca="1" si="39"/>
        <v>#N/A</v>
      </c>
      <c r="U29" s="14" t="e">
        <f t="shared" ca="1" si="39"/>
        <v>#N/A</v>
      </c>
      <c r="V29" s="14" t="e">
        <f t="shared" ca="1" si="39"/>
        <v>#N/A</v>
      </c>
      <c r="W29" s="14" t="e">
        <f t="shared" ca="1" si="39"/>
        <v>#N/A</v>
      </c>
      <c r="X29" s="14" t="e">
        <f t="shared" ca="1" si="39"/>
        <v>#N/A</v>
      </c>
      <c r="Y29" s="15" t="e">
        <f t="shared" ca="1" si="39"/>
        <v>#N/A</v>
      </c>
      <c r="Z29" s="16" t="e">
        <f t="shared" ca="1" si="39"/>
        <v>#N/A</v>
      </c>
      <c r="AA29" s="13" t="e">
        <f t="shared" ca="1" si="39"/>
        <v>#N/A</v>
      </c>
      <c r="AB29" s="14" t="e">
        <f t="shared" ca="1" si="39"/>
        <v>#N/A</v>
      </c>
      <c r="AC29" s="14" t="e">
        <f t="shared" ca="1" si="39"/>
        <v>#N/A</v>
      </c>
      <c r="AD29" s="14" t="e">
        <f t="shared" ca="1" si="39"/>
        <v>#N/A</v>
      </c>
      <c r="AE29" s="14" t="e">
        <f t="shared" ca="1" si="39"/>
        <v>#N/A</v>
      </c>
      <c r="AF29" s="15" t="e">
        <f t="shared" ca="1" si="39"/>
        <v>#N/A</v>
      </c>
      <c r="AG29" s="16" t="e">
        <f t="shared" ca="1" si="39"/>
        <v>#N/A</v>
      </c>
      <c r="AH29" s="13" t="e">
        <f t="shared" ca="1" si="39"/>
        <v>#N/A</v>
      </c>
      <c r="AI29" s="14" t="e">
        <f t="shared" ca="1" si="39"/>
        <v>#N/A</v>
      </c>
      <c r="AJ29" s="14" t="e">
        <f t="shared" ca="1" si="39"/>
        <v>#N/A</v>
      </c>
      <c r="AK29" s="14" t="e">
        <f t="shared" ca="1" si="39"/>
        <v>#N/A</v>
      </c>
      <c r="AL29" s="14" t="e">
        <f t="shared" ca="1" si="39"/>
        <v>#N/A</v>
      </c>
      <c r="AM29" s="15" t="e">
        <f t="shared" ca="1" si="39"/>
        <v>#N/A</v>
      </c>
      <c r="AN29" s="16" t="e">
        <f ca="1">IF(AND(AN$5&gt;=$E$11,AN$5&lt;=$E$15),1,"")</f>
        <v>#N/A</v>
      </c>
      <c r="AO29" s="13" t="e">
        <f t="shared" ref="AO29:CZ29" ca="1" si="40">IF(AND(AO$5&gt;=$E$11,AO$5&lt;=$E$15),1,"")</f>
        <v>#N/A</v>
      </c>
      <c r="AP29" s="14" t="e">
        <f t="shared" ca="1" si="40"/>
        <v>#N/A</v>
      </c>
      <c r="AQ29" s="14" t="e">
        <f t="shared" ca="1" si="40"/>
        <v>#N/A</v>
      </c>
      <c r="AR29" s="14" t="e">
        <f t="shared" ca="1" si="40"/>
        <v>#N/A</v>
      </c>
      <c r="AS29" s="14" t="e">
        <f t="shared" ca="1" si="40"/>
        <v>#N/A</v>
      </c>
      <c r="AT29" s="15" t="e">
        <f t="shared" ca="1" si="40"/>
        <v>#N/A</v>
      </c>
      <c r="AU29" s="16" t="e">
        <f t="shared" ca="1" si="40"/>
        <v>#N/A</v>
      </c>
      <c r="AV29" s="13" t="e">
        <f t="shared" ca="1" si="40"/>
        <v>#N/A</v>
      </c>
      <c r="AW29" s="14" t="e">
        <f t="shared" ca="1" si="40"/>
        <v>#N/A</v>
      </c>
      <c r="AX29" s="14" t="e">
        <f t="shared" ca="1" si="40"/>
        <v>#N/A</v>
      </c>
      <c r="AY29" s="14" t="e">
        <f t="shared" ca="1" si="40"/>
        <v>#N/A</v>
      </c>
      <c r="AZ29" s="14" t="e">
        <f t="shared" ca="1" si="40"/>
        <v>#N/A</v>
      </c>
      <c r="BA29" s="15" t="e">
        <f t="shared" ca="1" si="40"/>
        <v>#N/A</v>
      </c>
      <c r="BB29" s="16" t="e">
        <f t="shared" ca="1" si="40"/>
        <v>#N/A</v>
      </c>
      <c r="BC29" s="13" t="e">
        <f t="shared" ca="1" si="40"/>
        <v>#N/A</v>
      </c>
      <c r="BD29" s="14" t="e">
        <f t="shared" ca="1" si="40"/>
        <v>#N/A</v>
      </c>
      <c r="BE29" s="14" t="e">
        <f t="shared" ca="1" si="40"/>
        <v>#N/A</v>
      </c>
      <c r="BF29" s="14" t="e">
        <f t="shared" ca="1" si="40"/>
        <v>#N/A</v>
      </c>
      <c r="BG29" s="14" t="e">
        <f t="shared" ca="1" si="40"/>
        <v>#N/A</v>
      </c>
      <c r="BH29" s="15" t="e">
        <f t="shared" ca="1" si="40"/>
        <v>#N/A</v>
      </c>
      <c r="BI29" s="16" t="e">
        <f t="shared" ca="1" si="40"/>
        <v>#N/A</v>
      </c>
      <c r="BJ29" s="13" t="e">
        <f t="shared" ca="1" si="40"/>
        <v>#N/A</v>
      </c>
      <c r="BK29" s="14" t="e">
        <f t="shared" ca="1" si="40"/>
        <v>#N/A</v>
      </c>
      <c r="BL29" s="14" t="e">
        <f t="shared" ca="1" si="40"/>
        <v>#N/A</v>
      </c>
      <c r="BM29" s="14" t="e">
        <f t="shared" ca="1" si="40"/>
        <v>#N/A</v>
      </c>
      <c r="BN29" s="14" t="e">
        <f t="shared" ca="1" si="40"/>
        <v>#N/A</v>
      </c>
      <c r="BO29" s="15" t="e">
        <f t="shared" ca="1" si="40"/>
        <v>#N/A</v>
      </c>
      <c r="BP29" s="16" t="e">
        <f t="shared" ca="1" si="40"/>
        <v>#N/A</v>
      </c>
      <c r="BQ29" s="13" t="e">
        <f t="shared" ca="1" si="40"/>
        <v>#N/A</v>
      </c>
      <c r="BR29" s="14" t="e">
        <f t="shared" ca="1" si="40"/>
        <v>#N/A</v>
      </c>
      <c r="BS29" s="14" t="e">
        <f t="shared" ca="1" si="40"/>
        <v>#N/A</v>
      </c>
      <c r="BT29" s="14" t="e">
        <f t="shared" ca="1" si="40"/>
        <v>#N/A</v>
      </c>
      <c r="BU29" s="14" t="e">
        <f t="shared" ca="1" si="40"/>
        <v>#N/A</v>
      </c>
      <c r="BV29" s="15" t="e">
        <f t="shared" ca="1" si="40"/>
        <v>#N/A</v>
      </c>
      <c r="BW29" s="16" t="e">
        <f t="shared" ca="1" si="40"/>
        <v>#N/A</v>
      </c>
      <c r="BX29" s="13" t="e">
        <f t="shared" ca="1" si="40"/>
        <v>#N/A</v>
      </c>
      <c r="BY29" s="14" t="e">
        <f t="shared" ca="1" si="40"/>
        <v>#N/A</v>
      </c>
      <c r="BZ29" s="14" t="e">
        <f t="shared" ca="1" si="40"/>
        <v>#N/A</v>
      </c>
      <c r="CA29" s="14" t="e">
        <f t="shared" ca="1" si="40"/>
        <v>#N/A</v>
      </c>
      <c r="CB29" s="14" t="e">
        <f t="shared" ca="1" si="40"/>
        <v>#N/A</v>
      </c>
      <c r="CC29" s="15" t="e">
        <f t="shared" ca="1" si="40"/>
        <v>#N/A</v>
      </c>
      <c r="CD29" s="16" t="e">
        <f t="shared" ca="1" si="40"/>
        <v>#N/A</v>
      </c>
      <c r="CE29" s="13" t="e">
        <f t="shared" ca="1" si="40"/>
        <v>#N/A</v>
      </c>
      <c r="CF29" s="14" t="e">
        <f t="shared" ca="1" si="40"/>
        <v>#N/A</v>
      </c>
      <c r="CG29" s="14" t="e">
        <f t="shared" ca="1" si="40"/>
        <v>#N/A</v>
      </c>
      <c r="CH29" s="14" t="e">
        <f t="shared" ca="1" si="40"/>
        <v>#N/A</v>
      </c>
      <c r="CI29" s="14" t="e">
        <f t="shared" ca="1" si="40"/>
        <v>#N/A</v>
      </c>
      <c r="CJ29" s="15" t="e">
        <f t="shared" ca="1" si="40"/>
        <v>#N/A</v>
      </c>
      <c r="CK29" s="16" t="e">
        <f t="shared" ca="1" si="40"/>
        <v>#N/A</v>
      </c>
      <c r="CL29" s="13" t="e">
        <f t="shared" ca="1" si="40"/>
        <v>#N/A</v>
      </c>
      <c r="CM29" s="14" t="e">
        <f t="shared" ca="1" si="40"/>
        <v>#N/A</v>
      </c>
      <c r="CN29" s="14" t="e">
        <f t="shared" ca="1" si="40"/>
        <v>#N/A</v>
      </c>
      <c r="CO29" s="14" t="e">
        <f t="shared" ca="1" si="40"/>
        <v>#N/A</v>
      </c>
      <c r="CP29" s="14" t="e">
        <f t="shared" ca="1" si="40"/>
        <v>#N/A</v>
      </c>
      <c r="CQ29" s="15" t="e">
        <f t="shared" ca="1" si="40"/>
        <v>#N/A</v>
      </c>
      <c r="CR29" s="16" t="e">
        <f t="shared" ca="1" si="40"/>
        <v>#N/A</v>
      </c>
      <c r="CS29" s="13" t="e">
        <f t="shared" ca="1" si="40"/>
        <v>#N/A</v>
      </c>
      <c r="CT29" s="14" t="e">
        <f t="shared" ca="1" si="40"/>
        <v>#N/A</v>
      </c>
      <c r="CU29" s="14" t="e">
        <f t="shared" ca="1" si="40"/>
        <v>#N/A</v>
      </c>
      <c r="CV29" s="14" t="e">
        <f t="shared" ca="1" si="40"/>
        <v>#N/A</v>
      </c>
      <c r="CW29" s="14" t="e">
        <f t="shared" ca="1" si="40"/>
        <v>#N/A</v>
      </c>
      <c r="CX29" s="15" t="e">
        <f t="shared" ca="1" si="40"/>
        <v>#N/A</v>
      </c>
      <c r="CY29" s="16" t="e">
        <f t="shared" ca="1" si="40"/>
        <v>#N/A</v>
      </c>
      <c r="CZ29" s="13" t="e">
        <f t="shared" ca="1" si="40"/>
        <v>#N/A</v>
      </c>
      <c r="DA29" s="14" t="e">
        <f t="shared" ref="DA29:DT29" ca="1" si="41">IF(AND(DA$5&gt;=$E$11,DA$5&lt;=$E$15),1,"")</f>
        <v>#N/A</v>
      </c>
      <c r="DB29" s="14" t="e">
        <f t="shared" ca="1" si="41"/>
        <v>#N/A</v>
      </c>
      <c r="DC29" s="14" t="e">
        <f t="shared" ca="1" si="41"/>
        <v>#N/A</v>
      </c>
      <c r="DD29" s="14" t="e">
        <f t="shared" ca="1" si="41"/>
        <v>#N/A</v>
      </c>
      <c r="DE29" s="15" t="e">
        <f t="shared" ca="1" si="41"/>
        <v>#N/A</v>
      </c>
      <c r="DF29" s="16" t="e">
        <f t="shared" ca="1" si="41"/>
        <v>#N/A</v>
      </c>
      <c r="DG29" s="13" t="e">
        <f t="shared" ca="1" si="41"/>
        <v>#N/A</v>
      </c>
      <c r="DH29" s="14" t="e">
        <f t="shared" ca="1" si="41"/>
        <v>#N/A</v>
      </c>
      <c r="DI29" s="14" t="e">
        <f t="shared" ca="1" si="41"/>
        <v>#N/A</v>
      </c>
      <c r="DJ29" s="14" t="e">
        <f t="shared" ca="1" si="41"/>
        <v>#N/A</v>
      </c>
      <c r="DK29" s="14" t="e">
        <f t="shared" ca="1" si="41"/>
        <v>#N/A</v>
      </c>
      <c r="DL29" s="15" t="e">
        <f t="shared" ca="1" si="41"/>
        <v>#N/A</v>
      </c>
      <c r="DM29" s="16" t="e">
        <f t="shared" ca="1" si="41"/>
        <v>#N/A</v>
      </c>
      <c r="DN29" s="13" t="e">
        <f t="shared" ca="1" si="41"/>
        <v>#N/A</v>
      </c>
      <c r="DO29" s="14" t="e">
        <f t="shared" ca="1" si="41"/>
        <v>#N/A</v>
      </c>
      <c r="DP29" s="14" t="e">
        <f t="shared" ca="1" si="41"/>
        <v>#N/A</v>
      </c>
      <c r="DQ29" s="14" t="e">
        <f t="shared" ca="1" si="41"/>
        <v>#N/A</v>
      </c>
      <c r="DR29" s="14" t="e">
        <f t="shared" ca="1" si="41"/>
        <v>#N/A</v>
      </c>
      <c r="DS29" s="15" t="e">
        <f t="shared" ca="1" si="41"/>
        <v>#N/A</v>
      </c>
      <c r="DT29" s="16" t="e">
        <f t="shared" ca="1" si="41"/>
        <v>#N/A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609" t="s">
        <v>57</v>
      </c>
      <c r="B31" s="609"/>
      <c r="C31" s="610" t="e">
        <f ca="1">E17-C16+1</f>
        <v>#N/A</v>
      </c>
      <c r="D31" s="610"/>
      <c r="E31" s="611"/>
      <c r="F31" s="14" t="e">
        <f t="shared" ref="F31:AJ31" ca="1" si="42">IF(AND(F$5&gt;=$C$16,F$5&lt;=$E$17),1,"")</f>
        <v>#N/A</v>
      </c>
      <c r="G31" s="14" t="e">
        <f t="shared" ca="1" si="42"/>
        <v>#N/A</v>
      </c>
      <c r="H31" s="14" t="e">
        <f t="shared" ca="1" si="42"/>
        <v>#N/A</v>
      </c>
      <c r="I31" s="14" t="e">
        <f t="shared" ca="1" si="42"/>
        <v>#N/A</v>
      </c>
      <c r="J31" s="14" t="e">
        <f t="shared" ca="1" si="42"/>
        <v>#N/A</v>
      </c>
      <c r="K31" s="15" t="e">
        <f t="shared" ca="1" si="42"/>
        <v>#N/A</v>
      </c>
      <c r="L31" s="16" t="e">
        <f t="shared" ca="1" si="42"/>
        <v>#N/A</v>
      </c>
      <c r="M31" s="13" t="e">
        <f t="shared" ca="1" si="42"/>
        <v>#N/A</v>
      </c>
      <c r="N31" s="14" t="e">
        <f t="shared" ca="1" si="42"/>
        <v>#N/A</v>
      </c>
      <c r="O31" s="14" t="e">
        <f t="shared" ca="1" si="42"/>
        <v>#N/A</v>
      </c>
      <c r="P31" s="14" t="e">
        <f t="shared" ca="1" si="42"/>
        <v>#N/A</v>
      </c>
      <c r="Q31" s="14" t="e">
        <f t="shared" ca="1" si="42"/>
        <v>#N/A</v>
      </c>
      <c r="R31" s="15" t="e">
        <f t="shared" ca="1" si="42"/>
        <v>#N/A</v>
      </c>
      <c r="S31" s="16" t="e">
        <f t="shared" ca="1" si="42"/>
        <v>#N/A</v>
      </c>
      <c r="T31" s="13" t="e">
        <f t="shared" ca="1" si="42"/>
        <v>#N/A</v>
      </c>
      <c r="U31" s="14" t="e">
        <f t="shared" ca="1" si="42"/>
        <v>#N/A</v>
      </c>
      <c r="V31" s="14" t="e">
        <f t="shared" ca="1" si="42"/>
        <v>#N/A</v>
      </c>
      <c r="W31" s="14" t="e">
        <f t="shared" ca="1" si="42"/>
        <v>#N/A</v>
      </c>
      <c r="X31" s="14" t="e">
        <f t="shared" ca="1" si="42"/>
        <v>#N/A</v>
      </c>
      <c r="Y31" s="15" t="e">
        <f t="shared" ca="1" si="42"/>
        <v>#N/A</v>
      </c>
      <c r="Z31" s="16" t="e">
        <f t="shared" ca="1" si="42"/>
        <v>#N/A</v>
      </c>
      <c r="AA31" s="13" t="e">
        <f t="shared" ca="1" si="42"/>
        <v>#N/A</v>
      </c>
      <c r="AB31" s="14" t="e">
        <f t="shared" ca="1" si="42"/>
        <v>#N/A</v>
      </c>
      <c r="AC31" s="14" t="e">
        <f t="shared" ca="1" si="42"/>
        <v>#N/A</v>
      </c>
      <c r="AD31" s="14" t="e">
        <f t="shared" ca="1" si="42"/>
        <v>#N/A</v>
      </c>
      <c r="AE31" s="14" t="e">
        <f t="shared" ca="1" si="42"/>
        <v>#N/A</v>
      </c>
      <c r="AF31" s="15" t="e">
        <f t="shared" ca="1" si="42"/>
        <v>#N/A</v>
      </c>
      <c r="AG31" s="16" t="e">
        <f t="shared" ca="1" si="42"/>
        <v>#N/A</v>
      </c>
      <c r="AH31" s="13" t="e">
        <f t="shared" ca="1" si="42"/>
        <v>#N/A</v>
      </c>
      <c r="AI31" s="14" t="e">
        <f t="shared" ca="1" si="42"/>
        <v>#N/A</v>
      </c>
      <c r="AJ31" s="14" t="e">
        <f t="shared" ca="1" si="42"/>
        <v>#N/A</v>
      </c>
      <c r="AK31" s="14" t="e">
        <f ca="1">IF(AND(AK$5&gt;=$C$16,AK$5&lt;=$E$17),1,"")</f>
        <v>#N/A</v>
      </c>
      <c r="AL31" s="14" t="e">
        <f t="shared" ref="AL31:CW31" ca="1" si="43">IF(AND(AL$5&gt;=$C$16,AL$5&lt;=$E$17),1,"")</f>
        <v>#N/A</v>
      </c>
      <c r="AM31" s="15" t="e">
        <f t="shared" ca="1" si="43"/>
        <v>#N/A</v>
      </c>
      <c r="AN31" s="16" t="e">
        <f t="shared" ca="1" si="43"/>
        <v>#N/A</v>
      </c>
      <c r="AO31" s="13" t="e">
        <f t="shared" ca="1" si="43"/>
        <v>#N/A</v>
      </c>
      <c r="AP31" s="14" t="e">
        <f t="shared" ca="1" si="43"/>
        <v>#N/A</v>
      </c>
      <c r="AQ31" s="14" t="e">
        <f t="shared" ca="1" si="43"/>
        <v>#N/A</v>
      </c>
      <c r="AR31" s="14" t="e">
        <f t="shared" ca="1" si="43"/>
        <v>#N/A</v>
      </c>
      <c r="AS31" s="14" t="e">
        <f t="shared" ca="1" si="43"/>
        <v>#N/A</v>
      </c>
      <c r="AT31" s="15" t="e">
        <f t="shared" ca="1" si="43"/>
        <v>#N/A</v>
      </c>
      <c r="AU31" s="16" t="e">
        <f t="shared" ca="1" si="43"/>
        <v>#N/A</v>
      </c>
      <c r="AV31" s="13" t="e">
        <f t="shared" ca="1" si="43"/>
        <v>#N/A</v>
      </c>
      <c r="AW31" s="14" t="e">
        <f t="shared" ca="1" si="43"/>
        <v>#N/A</v>
      </c>
      <c r="AX31" s="14" t="e">
        <f t="shared" ca="1" si="43"/>
        <v>#N/A</v>
      </c>
      <c r="AY31" s="14" t="e">
        <f t="shared" ca="1" si="43"/>
        <v>#N/A</v>
      </c>
      <c r="AZ31" s="14" t="e">
        <f t="shared" ca="1" si="43"/>
        <v>#N/A</v>
      </c>
      <c r="BA31" s="15" t="e">
        <f t="shared" ca="1" si="43"/>
        <v>#N/A</v>
      </c>
      <c r="BB31" s="16" t="e">
        <f t="shared" ca="1" si="43"/>
        <v>#N/A</v>
      </c>
      <c r="BC31" s="13" t="e">
        <f t="shared" ca="1" si="43"/>
        <v>#N/A</v>
      </c>
      <c r="BD31" s="14" t="e">
        <f t="shared" ca="1" si="43"/>
        <v>#N/A</v>
      </c>
      <c r="BE31" s="14" t="e">
        <f t="shared" ca="1" si="43"/>
        <v>#N/A</v>
      </c>
      <c r="BF31" s="14" t="e">
        <f t="shared" ca="1" si="43"/>
        <v>#N/A</v>
      </c>
      <c r="BG31" s="14" t="e">
        <f t="shared" ca="1" si="43"/>
        <v>#N/A</v>
      </c>
      <c r="BH31" s="15" t="e">
        <f t="shared" ca="1" si="43"/>
        <v>#N/A</v>
      </c>
      <c r="BI31" s="16" t="e">
        <f t="shared" ca="1" si="43"/>
        <v>#N/A</v>
      </c>
      <c r="BJ31" s="13" t="e">
        <f t="shared" ca="1" si="43"/>
        <v>#N/A</v>
      </c>
      <c r="BK31" s="14" t="e">
        <f t="shared" ca="1" si="43"/>
        <v>#N/A</v>
      </c>
      <c r="BL31" s="14" t="e">
        <f t="shared" ca="1" si="43"/>
        <v>#N/A</v>
      </c>
      <c r="BM31" s="14" t="e">
        <f t="shared" ca="1" si="43"/>
        <v>#N/A</v>
      </c>
      <c r="BN31" s="14" t="e">
        <f t="shared" ca="1" si="43"/>
        <v>#N/A</v>
      </c>
      <c r="BO31" s="15" t="e">
        <f t="shared" ca="1" si="43"/>
        <v>#N/A</v>
      </c>
      <c r="BP31" s="16" t="e">
        <f t="shared" ca="1" si="43"/>
        <v>#N/A</v>
      </c>
      <c r="BQ31" s="13" t="e">
        <f t="shared" ca="1" si="43"/>
        <v>#N/A</v>
      </c>
      <c r="BR31" s="14" t="e">
        <f t="shared" ca="1" si="43"/>
        <v>#N/A</v>
      </c>
      <c r="BS31" s="14" t="e">
        <f t="shared" ca="1" si="43"/>
        <v>#N/A</v>
      </c>
      <c r="BT31" s="14" t="e">
        <f t="shared" ca="1" si="43"/>
        <v>#N/A</v>
      </c>
      <c r="BU31" s="14" t="e">
        <f t="shared" ca="1" si="43"/>
        <v>#N/A</v>
      </c>
      <c r="BV31" s="15" t="e">
        <f t="shared" ca="1" si="43"/>
        <v>#N/A</v>
      </c>
      <c r="BW31" s="16" t="e">
        <f t="shared" ca="1" si="43"/>
        <v>#N/A</v>
      </c>
      <c r="BX31" s="13" t="e">
        <f t="shared" ca="1" si="43"/>
        <v>#N/A</v>
      </c>
      <c r="BY31" s="14" t="e">
        <f t="shared" ca="1" si="43"/>
        <v>#N/A</v>
      </c>
      <c r="BZ31" s="14" t="e">
        <f t="shared" ca="1" si="43"/>
        <v>#N/A</v>
      </c>
      <c r="CA31" s="14" t="e">
        <f t="shared" ca="1" si="43"/>
        <v>#N/A</v>
      </c>
      <c r="CB31" s="14" t="e">
        <f t="shared" ca="1" si="43"/>
        <v>#N/A</v>
      </c>
      <c r="CC31" s="15" t="e">
        <f t="shared" ca="1" si="43"/>
        <v>#N/A</v>
      </c>
      <c r="CD31" s="16" t="e">
        <f t="shared" ca="1" si="43"/>
        <v>#N/A</v>
      </c>
      <c r="CE31" s="13" t="e">
        <f t="shared" ca="1" si="43"/>
        <v>#N/A</v>
      </c>
      <c r="CF31" s="14" t="e">
        <f t="shared" ca="1" si="43"/>
        <v>#N/A</v>
      </c>
      <c r="CG31" s="14" t="e">
        <f t="shared" ca="1" si="43"/>
        <v>#N/A</v>
      </c>
      <c r="CH31" s="14" t="e">
        <f t="shared" ca="1" si="43"/>
        <v>#N/A</v>
      </c>
      <c r="CI31" s="14" t="e">
        <f t="shared" ca="1" si="43"/>
        <v>#N/A</v>
      </c>
      <c r="CJ31" s="15" t="e">
        <f t="shared" ca="1" si="43"/>
        <v>#N/A</v>
      </c>
      <c r="CK31" s="16" t="e">
        <f t="shared" ca="1" si="43"/>
        <v>#N/A</v>
      </c>
      <c r="CL31" s="13" t="e">
        <f t="shared" ca="1" si="43"/>
        <v>#N/A</v>
      </c>
      <c r="CM31" s="14" t="e">
        <f t="shared" ca="1" si="43"/>
        <v>#N/A</v>
      </c>
      <c r="CN31" s="14" t="e">
        <f t="shared" ca="1" si="43"/>
        <v>#N/A</v>
      </c>
      <c r="CO31" s="14" t="e">
        <f t="shared" ca="1" si="43"/>
        <v>#N/A</v>
      </c>
      <c r="CP31" s="14" t="e">
        <f t="shared" ca="1" si="43"/>
        <v>#N/A</v>
      </c>
      <c r="CQ31" s="15" t="e">
        <f t="shared" ca="1" si="43"/>
        <v>#N/A</v>
      </c>
      <c r="CR31" s="16" t="e">
        <f t="shared" ca="1" si="43"/>
        <v>#N/A</v>
      </c>
      <c r="CS31" s="13" t="e">
        <f t="shared" ca="1" si="43"/>
        <v>#N/A</v>
      </c>
      <c r="CT31" s="14" t="e">
        <f t="shared" ca="1" si="43"/>
        <v>#N/A</v>
      </c>
      <c r="CU31" s="14" t="e">
        <f t="shared" ca="1" si="43"/>
        <v>#N/A</v>
      </c>
      <c r="CV31" s="14" t="e">
        <f t="shared" ca="1" si="43"/>
        <v>#N/A</v>
      </c>
      <c r="CW31" s="14" t="e">
        <f t="shared" ca="1" si="43"/>
        <v>#N/A</v>
      </c>
      <c r="CX31" s="15" t="e">
        <f t="shared" ref="CX31:DT31" ca="1" si="44">IF(AND(CX$5&gt;=$C$16,CX$5&lt;=$E$17),1,"")</f>
        <v>#N/A</v>
      </c>
      <c r="CY31" s="16" t="e">
        <f t="shared" ca="1" si="44"/>
        <v>#N/A</v>
      </c>
      <c r="CZ31" s="13" t="e">
        <f t="shared" ca="1" si="44"/>
        <v>#N/A</v>
      </c>
      <c r="DA31" s="14" t="e">
        <f t="shared" ca="1" si="44"/>
        <v>#N/A</v>
      </c>
      <c r="DB31" s="14" t="e">
        <f t="shared" ca="1" si="44"/>
        <v>#N/A</v>
      </c>
      <c r="DC31" s="14" t="e">
        <f t="shared" ca="1" si="44"/>
        <v>#N/A</v>
      </c>
      <c r="DD31" s="14" t="e">
        <f t="shared" ca="1" si="44"/>
        <v>#N/A</v>
      </c>
      <c r="DE31" s="15" t="e">
        <f t="shared" ca="1" si="44"/>
        <v>#N/A</v>
      </c>
      <c r="DF31" s="16" t="e">
        <f t="shared" ca="1" si="44"/>
        <v>#N/A</v>
      </c>
      <c r="DG31" s="13" t="e">
        <f t="shared" ca="1" si="44"/>
        <v>#N/A</v>
      </c>
      <c r="DH31" s="14" t="e">
        <f t="shared" ca="1" si="44"/>
        <v>#N/A</v>
      </c>
      <c r="DI31" s="14" t="e">
        <f t="shared" ca="1" si="44"/>
        <v>#N/A</v>
      </c>
      <c r="DJ31" s="14" t="e">
        <f t="shared" ca="1" si="44"/>
        <v>#N/A</v>
      </c>
      <c r="DK31" s="14" t="e">
        <f t="shared" ca="1" si="44"/>
        <v>#N/A</v>
      </c>
      <c r="DL31" s="15" t="e">
        <f t="shared" ca="1" si="44"/>
        <v>#N/A</v>
      </c>
      <c r="DM31" s="16" t="e">
        <f t="shared" ca="1" si="44"/>
        <v>#N/A</v>
      </c>
      <c r="DN31" s="13" t="e">
        <f t="shared" ca="1" si="44"/>
        <v>#N/A</v>
      </c>
      <c r="DO31" s="14" t="e">
        <f t="shared" ca="1" si="44"/>
        <v>#N/A</v>
      </c>
      <c r="DP31" s="14" t="e">
        <f t="shared" ca="1" si="44"/>
        <v>#N/A</v>
      </c>
      <c r="DQ31" s="14" t="e">
        <f t="shared" ca="1" si="44"/>
        <v>#N/A</v>
      </c>
      <c r="DR31" s="14" t="e">
        <f t="shared" ca="1" si="44"/>
        <v>#N/A</v>
      </c>
      <c r="DS31" s="15" t="e">
        <f t="shared" ca="1" si="44"/>
        <v>#N/A</v>
      </c>
      <c r="DT31" s="16" t="e">
        <f t="shared" ca="1" si="44"/>
        <v>#N/A</v>
      </c>
    </row>
    <row r="32" spans="1:124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603" t="s">
        <v>58</v>
      </c>
      <c r="B33" s="603"/>
      <c r="C33" s="604" t="e">
        <f ca="1">E23-C11+1</f>
        <v>#N/A</v>
      </c>
      <c r="D33" s="604"/>
      <c r="E33" s="605"/>
      <c r="F33" s="14" t="e">
        <f t="shared" ref="F33:BQ33" ca="1" si="45">IF(AND(F$5&gt;=$C$11,F$5&lt;=$E$23),1,"")</f>
        <v>#N/A</v>
      </c>
      <c r="G33" s="14" t="e">
        <f t="shared" ca="1" si="45"/>
        <v>#N/A</v>
      </c>
      <c r="H33" s="14" t="e">
        <f t="shared" ca="1" si="45"/>
        <v>#N/A</v>
      </c>
      <c r="I33" s="14" t="e">
        <f t="shared" ca="1" si="45"/>
        <v>#N/A</v>
      </c>
      <c r="J33" s="14" t="e">
        <f t="shared" ca="1" si="45"/>
        <v>#N/A</v>
      </c>
      <c r="K33" s="15" t="e">
        <f t="shared" ca="1" si="45"/>
        <v>#N/A</v>
      </c>
      <c r="L33" s="16" t="e">
        <f t="shared" ca="1" si="45"/>
        <v>#N/A</v>
      </c>
      <c r="M33" s="13" t="e">
        <f t="shared" ca="1" si="45"/>
        <v>#N/A</v>
      </c>
      <c r="N33" s="14" t="e">
        <f t="shared" ca="1" si="45"/>
        <v>#N/A</v>
      </c>
      <c r="O33" s="14" t="e">
        <f t="shared" ca="1" si="45"/>
        <v>#N/A</v>
      </c>
      <c r="P33" s="14" t="e">
        <f t="shared" ca="1" si="45"/>
        <v>#N/A</v>
      </c>
      <c r="Q33" s="14" t="e">
        <f t="shared" ca="1" si="45"/>
        <v>#N/A</v>
      </c>
      <c r="R33" s="15" t="e">
        <f t="shared" ca="1" si="45"/>
        <v>#N/A</v>
      </c>
      <c r="S33" s="16" t="e">
        <f t="shared" ca="1" si="45"/>
        <v>#N/A</v>
      </c>
      <c r="T33" s="13" t="e">
        <f t="shared" ca="1" si="45"/>
        <v>#N/A</v>
      </c>
      <c r="U33" s="14" t="e">
        <f t="shared" ca="1" si="45"/>
        <v>#N/A</v>
      </c>
      <c r="V33" s="14" t="e">
        <f t="shared" ca="1" si="45"/>
        <v>#N/A</v>
      </c>
      <c r="W33" s="14" t="e">
        <f t="shared" ca="1" si="45"/>
        <v>#N/A</v>
      </c>
      <c r="X33" s="14" t="e">
        <f t="shared" ca="1" si="45"/>
        <v>#N/A</v>
      </c>
      <c r="Y33" s="15" t="e">
        <f t="shared" ca="1" si="45"/>
        <v>#N/A</v>
      </c>
      <c r="Z33" s="16" t="e">
        <f t="shared" ca="1" si="45"/>
        <v>#N/A</v>
      </c>
      <c r="AA33" s="13" t="e">
        <f t="shared" ca="1" si="45"/>
        <v>#N/A</v>
      </c>
      <c r="AB33" s="14" t="e">
        <f t="shared" ca="1" si="45"/>
        <v>#N/A</v>
      </c>
      <c r="AC33" s="14" t="e">
        <f t="shared" ca="1" si="45"/>
        <v>#N/A</v>
      </c>
      <c r="AD33" s="14" t="e">
        <f t="shared" ca="1" si="45"/>
        <v>#N/A</v>
      </c>
      <c r="AE33" s="14" t="e">
        <f t="shared" ca="1" si="45"/>
        <v>#N/A</v>
      </c>
      <c r="AF33" s="15" t="e">
        <f t="shared" ca="1" si="45"/>
        <v>#N/A</v>
      </c>
      <c r="AG33" s="16" t="e">
        <f t="shared" ca="1" si="45"/>
        <v>#N/A</v>
      </c>
      <c r="AH33" s="13" t="e">
        <f t="shared" ca="1" si="45"/>
        <v>#N/A</v>
      </c>
      <c r="AI33" s="14" t="e">
        <f t="shared" ca="1" si="45"/>
        <v>#N/A</v>
      </c>
      <c r="AJ33" s="14" t="e">
        <f t="shared" ca="1" si="45"/>
        <v>#N/A</v>
      </c>
      <c r="AK33" s="14" t="e">
        <f t="shared" ca="1" si="45"/>
        <v>#N/A</v>
      </c>
      <c r="AL33" s="14" t="e">
        <f t="shared" ca="1" si="45"/>
        <v>#N/A</v>
      </c>
      <c r="AM33" s="15" t="e">
        <f t="shared" ca="1" si="45"/>
        <v>#N/A</v>
      </c>
      <c r="AN33" s="16" t="e">
        <f t="shared" ca="1" si="45"/>
        <v>#N/A</v>
      </c>
      <c r="AO33" s="13" t="e">
        <f t="shared" ca="1" si="45"/>
        <v>#N/A</v>
      </c>
      <c r="AP33" s="14" t="e">
        <f t="shared" ca="1" si="45"/>
        <v>#N/A</v>
      </c>
      <c r="AQ33" s="14" t="e">
        <f t="shared" ca="1" si="45"/>
        <v>#N/A</v>
      </c>
      <c r="AR33" s="14" t="e">
        <f t="shared" ca="1" si="45"/>
        <v>#N/A</v>
      </c>
      <c r="AS33" s="14" t="e">
        <f t="shared" ca="1" si="45"/>
        <v>#N/A</v>
      </c>
      <c r="AT33" s="15" t="e">
        <f t="shared" ca="1" si="45"/>
        <v>#N/A</v>
      </c>
      <c r="AU33" s="16" t="e">
        <f t="shared" ca="1" si="45"/>
        <v>#N/A</v>
      </c>
      <c r="AV33" s="13" t="e">
        <f t="shared" ca="1" si="45"/>
        <v>#N/A</v>
      </c>
      <c r="AW33" s="14" t="e">
        <f t="shared" ca="1" si="45"/>
        <v>#N/A</v>
      </c>
      <c r="AX33" s="14" t="e">
        <f t="shared" ca="1" si="45"/>
        <v>#N/A</v>
      </c>
      <c r="AY33" s="14" t="e">
        <f t="shared" ca="1" si="45"/>
        <v>#N/A</v>
      </c>
      <c r="AZ33" s="14" t="e">
        <f t="shared" ca="1" si="45"/>
        <v>#N/A</v>
      </c>
      <c r="BA33" s="15" t="e">
        <f t="shared" ca="1" si="45"/>
        <v>#N/A</v>
      </c>
      <c r="BB33" s="16" t="e">
        <f t="shared" ca="1" si="45"/>
        <v>#N/A</v>
      </c>
      <c r="BC33" s="13" t="e">
        <f t="shared" ca="1" si="45"/>
        <v>#N/A</v>
      </c>
      <c r="BD33" s="14" t="e">
        <f t="shared" ca="1" si="45"/>
        <v>#N/A</v>
      </c>
      <c r="BE33" s="14" t="e">
        <f t="shared" ca="1" si="45"/>
        <v>#N/A</v>
      </c>
      <c r="BF33" s="14" t="e">
        <f t="shared" ca="1" si="45"/>
        <v>#N/A</v>
      </c>
      <c r="BG33" s="14" t="e">
        <f t="shared" ca="1" si="45"/>
        <v>#N/A</v>
      </c>
      <c r="BH33" s="15" t="e">
        <f t="shared" ca="1" si="45"/>
        <v>#N/A</v>
      </c>
      <c r="BI33" s="16" t="e">
        <f t="shared" ca="1" si="45"/>
        <v>#N/A</v>
      </c>
      <c r="BJ33" s="13" t="e">
        <f t="shared" ca="1" si="45"/>
        <v>#N/A</v>
      </c>
      <c r="BK33" s="14" t="e">
        <f t="shared" ca="1" si="45"/>
        <v>#N/A</v>
      </c>
      <c r="BL33" s="14" t="e">
        <f t="shared" ca="1" si="45"/>
        <v>#N/A</v>
      </c>
      <c r="BM33" s="14" t="e">
        <f t="shared" ca="1" si="45"/>
        <v>#N/A</v>
      </c>
      <c r="BN33" s="14" t="e">
        <f t="shared" ca="1" si="45"/>
        <v>#N/A</v>
      </c>
      <c r="BO33" s="15" t="e">
        <f t="shared" ca="1" si="45"/>
        <v>#N/A</v>
      </c>
      <c r="BP33" s="16" t="e">
        <f t="shared" ca="1" si="45"/>
        <v>#N/A</v>
      </c>
      <c r="BQ33" s="13" t="e">
        <f t="shared" ca="1" si="45"/>
        <v>#N/A</v>
      </c>
      <c r="BR33" s="14" t="e">
        <f t="shared" ref="BR33:DT33" ca="1" si="46">IF(AND(BR$5&gt;=$C$11,BR$5&lt;=$E$23),1,"")</f>
        <v>#N/A</v>
      </c>
      <c r="BS33" s="14" t="e">
        <f t="shared" ca="1" si="46"/>
        <v>#N/A</v>
      </c>
      <c r="BT33" s="14" t="e">
        <f t="shared" ca="1" si="46"/>
        <v>#N/A</v>
      </c>
      <c r="BU33" s="14" t="e">
        <f t="shared" ca="1" si="46"/>
        <v>#N/A</v>
      </c>
      <c r="BV33" s="15" t="e">
        <f t="shared" ca="1" si="46"/>
        <v>#N/A</v>
      </c>
      <c r="BW33" s="16" t="e">
        <f t="shared" ca="1" si="46"/>
        <v>#N/A</v>
      </c>
      <c r="BX33" s="13" t="e">
        <f t="shared" ca="1" si="46"/>
        <v>#N/A</v>
      </c>
      <c r="BY33" s="14" t="e">
        <f t="shared" ca="1" si="46"/>
        <v>#N/A</v>
      </c>
      <c r="BZ33" s="14" t="e">
        <f t="shared" ca="1" si="46"/>
        <v>#N/A</v>
      </c>
      <c r="CA33" s="14" t="e">
        <f t="shared" ca="1" si="46"/>
        <v>#N/A</v>
      </c>
      <c r="CB33" s="14" t="e">
        <f t="shared" ca="1" si="46"/>
        <v>#N/A</v>
      </c>
      <c r="CC33" s="15" t="e">
        <f t="shared" ca="1" si="46"/>
        <v>#N/A</v>
      </c>
      <c r="CD33" s="16" t="e">
        <f t="shared" ca="1" si="46"/>
        <v>#N/A</v>
      </c>
      <c r="CE33" s="13" t="e">
        <f t="shared" ca="1" si="46"/>
        <v>#N/A</v>
      </c>
      <c r="CF33" s="14" t="e">
        <f t="shared" ca="1" si="46"/>
        <v>#N/A</v>
      </c>
      <c r="CG33" s="14" t="e">
        <f t="shared" ca="1" si="46"/>
        <v>#N/A</v>
      </c>
      <c r="CH33" s="14" t="e">
        <f t="shared" ca="1" si="46"/>
        <v>#N/A</v>
      </c>
      <c r="CI33" s="14" t="e">
        <f t="shared" ca="1" si="46"/>
        <v>#N/A</v>
      </c>
      <c r="CJ33" s="15" t="e">
        <f t="shared" ca="1" si="46"/>
        <v>#N/A</v>
      </c>
      <c r="CK33" s="16" t="e">
        <f t="shared" ca="1" si="46"/>
        <v>#N/A</v>
      </c>
      <c r="CL33" s="13" t="e">
        <f t="shared" ca="1" si="46"/>
        <v>#N/A</v>
      </c>
      <c r="CM33" s="14" t="e">
        <f t="shared" ca="1" si="46"/>
        <v>#N/A</v>
      </c>
      <c r="CN33" s="14" t="e">
        <f t="shared" ca="1" si="46"/>
        <v>#N/A</v>
      </c>
      <c r="CO33" s="14" t="e">
        <f t="shared" ca="1" si="46"/>
        <v>#N/A</v>
      </c>
      <c r="CP33" s="14" t="e">
        <f t="shared" ca="1" si="46"/>
        <v>#N/A</v>
      </c>
      <c r="CQ33" s="15" t="e">
        <f t="shared" ca="1" si="46"/>
        <v>#N/A</v>
      </c>
      <c r="CR33" s="16" t="e">
        <f t="shared" ca="1" si="46"/>
        <v>#N/A</v>
      </c>
      <c r="CS33" s="13" t="e">
        <f t="shared" ca="1" si="46"/>
        <v>#N/A</v>
      </c>
      <c r="CT33" s="14" t="e">
        <f t="shared" ca="1" si="46"/>
        <v>#N/A</v>
      </c>
      <c r="CU33" s="14" t="e">
        <f t="shared" ca="1" si="46"/>
        <v>#N/A</v>
      </c>
      <c r="CV33" s="14" t="e">
        <f t="shared" ca="1" si="46"/>
        <v>#N/A</v>
      </c>
      <c r="CW33" s="14" t="e">
        <f t="shared" ca="1" si="46"/>
        <v>#N/A</v>
      </c>
      <c r="CX33" s="15" t="e">
        <f t="shared" ca="1" si="46"/>
        <v>#N/A</v>
      </c>
      <c r="CY33" s="16" t="e">
        <f t="shared" ca="1" si="46"/>
        <v>#N/A</v>
      </c>
      <c r="CZ33" s="13" t="e">
        <f t="shared" ca="1" si="46"/>
        <v>#N/A</v>
      </c>
      <c r="DA33" s="14" t="e">
        <f t="shared" ca="1" si="46"/>
        <v>#N/A</v>
      </c>
      <c r="DB33" s="14" t="e">
        <f t="shared" ca="1" si="46"/>
        <v>#N/A</v>
      </c>
      <c r="DC33" s="14" t="e">
        <f t="shared" ca="1" si="46"/>
        <v>#N/A</v>
      </c>
      <c r="DD33" s="14" t="e">
        <f t="shared" ca="1" si="46"/>
        <v>#N/A</v>
      </c>
      <c r="DE33" s="15" t="e">
        <f t="shared" ca="1" si="46"/>
        <v>#N/A</v>
      </c>
      <c r="DF33" s="16" t="e">
        <f t="shared" ca="1" si="46"/>
        <v>#N/A</v>
      </c>
      <c r="DG33" s="13" t="e">
        <f t="shared" ca="1" si="46"/>
        <v>#N/A</v>
      </c>
      <c r="DH33" s="14" t="e">
        <f t="shared" ca="1" si="46"/>
        <v>#N/A</v>
      </c>
      <c r="DI33" s="14" t="e">
        <f t="shared" ca="1" si="46"/>
        <v>#N/A</v>
      </c>
      <c r="DJ33" s="14" t="e">
        <f t="shared" ca="1" si="46"/>
        <v>#N/A</v>
      </c>
      <c r="DK33" s="14" t="e">
        <f t="shared" ca="1" si="46"/>
        <v>#N/A</v>
      </c>
      <c r="DL33" s="15" t="e">
        <f t="shared" ca="1" si="46"/>
        <v>#N/A</v>
      </c>
      <c r="DM33" s="16" t="e">
        <f t="shared" ca="1" si="46"/>
        <v>#N/A</v>
      </c>
      <c r="DN33" s="13" t="e">
        <f t="shared" ca="1" si="46"/>
        <v>#N/A</v>
      </c>
      <c r="DO33" s="14" t="e">
        <f t="shared" ca="1" si="46"/>
        <v>#N/A</v>
      </c>
      <c r="DP33" s="14" t="e">
        <f t="shared" ca="1" si="46"/>
        <v>#N/A</v>
      </c>
      <c r="DQ33" s="14" t="e">
        <f t="shared" ca="1" si="46"/>
        <v>#N/A</v>
      </c>
      <c r="DR33" s="14" t="e">
        <f t="shared" ca="1" si="46"/>
        <v>#N/A</v>
      </c>
      <c r="DS33" s="15" t="e">
        <f t="shared" ca="1" si="46"/>
        <v>#N/A</v>
      </c>
      <c r="DT33" s="16" t="e">
        <f t="shared" ca="1" si="46"/>
        <v>#N/A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91" t="s">
        <v>59</v>
      </c>
      <c r="B35" s="591"/>
      <c r="C35" s="592" t="e">
        <f ca="1">E23-C8+1</f>
        <v>#N/A</v>
      </c>
      <c r="D35" s="592"/>
      <c r="E35" s="593"/>
      <c r="F35" s="14" t="e">
        <f t="shared" ref="F35:BQ35" ca="1" si="47">IF(AND(F$5&gt;=$C$8,F$5&lt;=$E$23),1,"")</f>
        <v>#N/A</v>
      </c>
      <c r="G35" s="14" t="e">
        <f t="shared" ca="1" si="47"/>
        <v>#N/A</v>
      </c>
      <c r="H35" s="14" t="e">
        <f t="shared" ca="1" si="47"/>
        <v>#N/A</v>
      </c>
      <c r="I35" s="14" t="e">
        <f t="shared" ca="1" si="47"/>
        <v>#N/A</v>
      </c>
      <c r="J35" s="14" t="e">
        <f t="shared" ca="1" si="47"/>
        <v>#N/A</v>
      </c>
      <c r="K35" s="15" t="e">
        <f t="shared" ca="1" si="47"/>
        <v>#N/A</v>
      </c>
      <c r="L35" s="16" t="e">
        <f t="shared" ca="1" si="47"/>
        <v>#N/A</v>
      </c>
      <c r="M35" s="13" t="e">
        <f t="shared" ca="1" si="47"/>
        <v>#N/A</v>
      </c>
      <c r="N35" s="14" t="e">
        <f t="shared" ca="1" si="47"/>
        <v>#N/A</v>
      </c>
      <c r="O35" s="14" t="e">
        <f t="shared" ca="1" si="47"/>
        <v>#N/A</v>
      </c>
      <c r="P35" s="14" t="e">
        <f t="shared" ca="1" si="47"/>
        <v>#N/A</v>
      </c>
      <c r="Q35" s="14" t="e">
        <f t="shared" ca="1" si="47"/>
        <v>#N/A</v>
      </c>
      <c r="R35" s="15" t="e">
        <f t="shared" ca="1" si="47"/>
        <v>#N/A</v>
      </c>
      <c r="S35" s="16" t="e">
        <f t="shared" ca="1" si="47"/>
        <v>#N/A</v>
      </c>
      <c r="T35" s="13" t="e">
        <f t="shared" ca="1" si="47"/>
        <v>#N/A</v>
      </c>
      <c r="U35" s="14" t="e">
        <f t="shared" ca="1" si="47"/>
        <v>#N/A</v>
      </c>
      <c r="V35" s="14" t="e">
        <f t="shared" ca="1" si="47"/>
        <v>#N/A</v>
      </c>
      <c r="W35" s="14" t="e">
        <f t="shared" ca="1" si="47"/>
        <v>#N/A</v>
      </c>
      <c r="X35" s="14" t="e">
        <f t="shared" ca="1" si="47"/>
        <v>#N/A</v>
      </c>
      <c r="Y35" s="15" t="e">
        <f t="shared" ca="1" si="47"/>
        <v>#N/A</v>
      </c>
      <c r="Z35" s="16" t="e">
        <f t="shared" ca="1" si="47"/>
        <v>#N/A</v>
      </c>
      <c r="AA35" s="13" t="e">
        <f t="shared" ca="1" si="47"/>
        <v>#N/A</v>
      </c>
      <c r="AB35" s="14" t="e">
        <f t="shared" ca="1" si="47"/>
        <v>#N/A</v>
      </c>
      <c r="AC35" s="14" t="e">
        <f t="shared" ca="1" si="47"/>
        <v>#N/A</v>
      </c>
      <c r="AD35" s="14" t="e">
        <f t="shared" ca="1" si="47"/>
        <v>#N/A</v>
      </c>
      <c r="AE35" s="14" t="e">
        <f t="shared" ca="1" si="47"/>
        <v>#N/A</v>
      </c>
      <c r="AF35" s="15" t="e">
        <f t="shared" ca="1" si="47"/>
        <v>#N/A</v>
      </c>
      <c r="AG35" s="16" t="e">
        <f t="shared" ca="1" si="47"/>
        <v>#N/A</v>
      </c>
      <c r="AH35" s="13" t="e">
        <f t="shared" ca="1" si="47"/>
        <v>#N/A</v>
      </c>
      <c r="AI35" s="14" t="e">
        <f t="shared" ca="1" si="47"/>
        <v>#N/A</v>
      </c>
      <c r="AJ35" s="14" t="e">
        <f t="shared" ca="1" si="47"/>
        <v>#N/A</v>
      </c>
      <c r="AK35" s="14" t="e">
        <f t="shared" ca="1" si="47"/>
        <v>#N/A</v>
      </c>
      <c r="AL35" s="14" t="e">
        <f t="shared" ca="1" si="47"/>
        <v>#N/A</v>
      </c>
      <c r="AM35" s="15" t="e">
        <f t="shared" ca="1" si="47"/>
        <v>#N/A</v>
      </c>
      <c r="AN35" s="16" t="e">
        <f t="shared" ca="1" si="47"/>
        <v>#N/A</v>
      </c>
      <c r="AO35" s="13" t="e">
        <f t="shared" ca="1" si="47"/>
        <v>#N/A</v>
      </c>
      <c r="AP35" s="14" t="e">
        <f t="shared" ca="1" si="47"/>
        <v>#N/A</v>
      </c>
      <c r="AQ35" s="14" t="e">
        <f t="shared" ca="1" si="47"/>
        <v>#N/A</v>
      </c>
      <c r="AR35" s="14" t="e">
        <f t="shared" ca="1" si="47"/>
        <v>#N/A</v>
      </c>
      <c r="AS35" s="14" t="e">
        <f t="shared" ca="1" si="47"/>
        <v>#N/A</v>
      </c>
      <c r="AT35" s="15" t="e">
        <f t="shared" ca="1" si="47"/>
        <v>#N/A</v>
      </c>
      <c r="AU35" s="16" t="e">
        <f t="shared" ca="1" si="47"/>
        <v>#N/A</v>
      </c>
      <c r="AV35" s="13" t="e">
        <f t="shared" ca="1" si="47"/>
        <v>#N/A</v>
      </c>
      <c r="AW35" s="14" t="e">
        <f t="shared" ca="1" si="47"/>
        <v>#N/A</v>
      </c>
      <c r="AX35" s="14" t="e">
        <f t="shared" ca="1" si="47"/>
        <v>#N/A</v>
      </c>
      <c r="AY35" s="14" t="e">
        <f t="shared" ca="1" si="47"/>
        <v>#N/A</v>
      </c>
      <c r="AZ35" s="14" t="e">
        <f t="shared" ca="1" si="47"/>
        <v>#N/A</v>
      </c>
      <c r="BA35" s="15" t="e">
        <f t="shared" ca="1" si="47"/>
        <v>#N/A</v>
      </c>
      <c r="BB35" s="16" t="e">
        <f t="shared" ca="1" si="47"/>
        <v>#N/A</v>
      </c>
      <c r="BC35" s="13" t="e">
        <f t="shared" ca="1" si="47"/>
        <v>#N/A</v>
      </c>
      <c r="BD35" s="14" t="e">
        <f t="shared" ca="1" si="47"/>
        <v>#N/A</v>
      </c>
      <c r="BE35" s="14" t="e">
        <f t="shared" ca="1" si="47"/>
        <v>#N/A</v>
      </c>
      <c r="BF35" s="14" t="e">
        <f t="shared" ca="1" si="47"/>
        <v>#N/A</v>
      </c>
      <c r="BG35" s="14" t="e">
        <f t="shared" ca="1" si="47"/>
        <v>#N/A</v>
      </c>
      <c r="BH35" s="15" t="e">
        <f t="shared" ca="1" si="47"/>
        <v>#N/A</v>
      </c>
      <c r="BI35" s="16" t="e">
        <f t="shared" ca="1" si="47"/>
        <v>#N/A</v>
      </c>
      <c r="BJ35" s="13" t="e">
        <f t="shared" ca="1" si="47"/>
        <v>#N/A</v>
      </c>
      <c r="BK35" s="14" t="e">
        <f t="shared" ca="1" si="47"/>
        <v>#N/A</v>
      </c>
      <c r="BL35" s="14" t="e">
        <f t="shared" ca="1" si="47"/>
        <v>#N/A</v>
      </c>
      <c r="BM35" s="14" t="e">
        <f t="shared" ca="1" si="47"/>
        <v>#N/A</v>
      </c>
      <c r="BN35" s="14" t="e">
        <f t="shared" ca="1" si="47"/>
        <v>#N/A</v>
      </c>
      <c r="BO35" s="15" t="e">
        <f t="shared" ca="1" si="47"/>
        <v>#N/A</v>
      </c>
      <c r="BP35" s="16" t="e">
        <f t="shared" ca="1" si="47"/>
        <v>#N/A</v>
      </c>
      <c r="BQ35" s="13" t="e">
        <f t="shared" ca="1" si="47"/>
        <v>#N/A</v>
      </c>
      <c r="BR35" s="14" t="e">
        <f t="shared" ref="BR35:DT35" ca="1" si="48">IF(AND(BR$5&gt;=$C$8,BR$5&lt;=$E$23),1,"")</f>
        <v>#N/A</v>
      </c>
      <c r="BS35" s="14" t="e">
        <f t="shared" ca="1" si="48"/>
        <v>#N/A</v>
      </c>
      <c r="BT35" s="14" t="e">
        <f t="shared" ca="1" si="48"/>
        <v>#N/A</v>
      </c>
      <c r="BU35" s="14" t="e">
        <f t="shared" ca="1" si="48"/>
        <v>#N/A</v>
      </c>
      <c r="BV35" s="15" t="e">
        <f t="shared" ca="1" si="48"/>
        <v>#N/A</v>
      </c>
      <c r="BW35" s="16" t="e">
        <f t="shared" ca="1" si="48"/>
        <v>#N/A</v>
      </c>
      <c r="BX35" s="13" t="e">
        <f t="shared" ca="1" si="48"/>
        <v>#N/A</v>
      </c>
      <c r="BY35" s="14" t="e">
        <f t="shared" ca="1" si="48"/>
        <v>#N/A</v>
      </c>
      <c r="BZ35" s="14" t="e">
        <f t="shared" ca="1" si="48"/>
        <v>#N/A</v>
      </c>
      <c r="CA35" s="14" t="e">
        <f t="shared" ca="1" si="48"/>
        <v>#N/A</v>
      </c>
      <c r="CB35" s="14" t="e">
        <f t="shared" ca="1" si="48"/>
        <v>#N/A</v>
      </c>
      <c r="CC35" s="15" t="e">
        <f t="shared" ca="1" si="48"/>
        <v>#N/A</v>
      </c>
      <c r="CD35" s="16" t="e">
        <f t="shared" ca="1" si="48"/>
        <v>#N/A</v>
      </c>
      <c r="CE35" s="13" t="e">
        <f t="shared" ca="1" si="48"/>
        <v>#N/A</v>
      </c>
      <c r="CF35" s="14" t="e">
        <f t="shared" ca="1" si="48"/>
        <v>#N/A</v>
      </c>
      <c r="CG35" s="14" t="e">
        <f t="shared" ca="1" si="48"/>
        <v>#N/A</v>
      </c>
      <c r="CH35" s="14" t="e">
        <f t="shared" ca="1" si="48"/>
        <v>#N/A</v>
      </c>
      <c r="CI35" s="14" t="e">
        <f t="shared" ca="1" si="48"/>
        <v>#N/A</v>
      </c>
      <c r="CJ35" s="15" t="e">
        <f t="shared" ca="1" si="48"/>
        <v>#N/A</v>
      </c>
      <c r="CK35" s="16" t="e">
        <f t="shared" ca="1" si="48"/>
        <v>#N/A</v>
      </c>
      <c r="CL35" s="13" t="e">
        <f t="shared" ca="1" si="48"/>
        <v>#N/A</v>
      </c>
      <c r="CM35" s="14" t="e">
        <f t="shared" ca="1" si="48"/>
        <v>#N/A</v>
      </c>
      <c r="CN35" s="14" t="e">
        <f t="shared" ca="1" si="48"/>
        <v>#N/A</v>
      </c>
      <c r="CO35" s="14" t="e">
        <f t="shared" ca="1" si="48"/>
        <v>#N/A</v>
      </c>
      <c r="CP35" s="14" t="e">
        <f t="shared" ca="1" si="48"/>
        <v>#N/A</v>
      </c>
      <c r="CQ35" s="15" t="e">
        <f t="shared" ca="1" si="48"/>
        <v>#N/A</v>
      </c>
      <c r="CR35" s="16" t="e">
        <f t="shared" ca="1" si="48"/>
        <v>#N/A</v>
      </c>
      <c r="CS35" s="13" t="e">
        <f t="shared" ca="1" si="48"/>
        <v>#N/A</v>
      </c>
      <c r="CT35" s="14" t="e">
        <f t="shared" ca="1" si="48"/>
        <v>#N/A</v>
      </c>
      <c r="CU35" s="14" t="e">
        <f t="shared" ca="1" si="48"/>
        <v>#N/A</v>
      </c>
      <c r="CV35" s="14" t="e">
        <f t="shared" ca="1" si="48"/>
        <v>#N/A</v>
      </c>
      <c r="CW35" s="14" t="e">
        <f t="shared" ca="1" si="48"/>
        <v>#N/A</v>
      </c>
      <c r="CX35" s="15" t="e">
        <f t="shared" ca="1" si="48"/>
        <v>#N/A</v>
      </c>
      <c r="CY35" s="16" t="e">
        <f t="shared" ca="1" si="48"/>
        <v>#N/A</v>
      </c>
      <c r="CZ35" s="13" t="e">
        <f t="shared" ca="1" si="48"/>
        <v>#N/A</v>
      </c>
      <c r="DA35" s="14" t="e">
        <f t="shared" ca="1" si="48"/>
        <v>#N/A</v>
      </c>
      <c r="DB35" s="14" t="e">
        <f t="shared" ca="1" si="48"/>
        <v>#N/A</v>
      </c>
      <c r="DC35" s="14" t="e">
        <f t="shared" ca="1" si="48"/>
        <v>#N/A</v>
      </c>
      <c r="DD35" s="14" t="e">
        <f t="shared" ca="1" si="48"/>
        <v>#N/A</v>
      </c>
      <c r="DE35" s="15" t="e">
        <f t="shared" ca="1" si="48"/>
        <v>#N/A</v>
      </c>
      <c r="DF35" s="16" t="e">
        <f t="shared" ca="1" si="48"/>
        <v>#N/A</v>
      </c>
      <c r="DG35" s="13" t="e">
        <f t="shared" ca="1" si="48"/>
        <v>#N/A</v>
      </c>
      <c r="DH35" s="14" t="e">
        <f t="shared" ca="1" si="48"/>
        <v>#N/A</v>
      </c>
      <c r="DI35" s="14" t="e">
        <f t="shared" ca="1" si="48"/>
        <v>#N/A</v>
      </c>
      <c r="DJ35" s="14" t="e">
        <f t="shared" ca="1" si="48"/>
        <v>#N/A</v>
      </c>
      <c r="DK35" s="14" t="e">
        <f t="shared" ca="1" si="48"/>
        <v>#N/A</v>
      </c>
      <c r="DL35" s="15" t="e">
        <f t="shared" ca="1" si="48"/>
        <v>#N/A</v>
      </c>
      <c r="DM35" s="16" t="e">
        <f t="shared" ca="1" si="48"/>
        <v>#N/A</v>
      </c>
      <c r="DN35" s="13" t="e">
        <f t="shared" ca="1" si="48"/>
        <v>#N/A</v>
      </c>
      <c r="DO35" s="14" t="e">
        <f t="shared" ca="1" si="48"/>
        <v>#N/A</v>
      </c>
      <c r="DP35" s="14" t="e">
        <f t="shared" ca="1" si="48"/>
        <v>#N/A</v>
      </c>
      <c r="DQ35" s="14" t="e">
        <f t="shared" ca="1" si="48"/>
        <v>#N/A</v>
      </c>
      <c r="DR35" s="14" t="e">
        <f t="shared" ca="1" si="48"/>
        <v>#N/A</v>
      </c>
      <c r="DS35" s="15" t="e">
        <f t="shared" ca="1" si="48"/>
        <v>#N/A</v>
      </c>
      <c r="DT35" s="16" t="e">
        <f t="shared" ca="1" si="48"/>
        <v>#N/A</v>
      </c>
    </row>
    <row r="36" spans="1:124" ht="2.1" customHeight="1"/>
    <row r="37" spans="1:124" s="17" customFormat="1" ht="15" customHeight="1">
      <c r="A37" s="594" t="s">
        <v>60</v>
      </c>
      <c r="B37" s="594"/>
      <c r="C37" s="595" t="e">
        <f ca="1">E23-IF(B1="SFK Freight Forwarder",C11,C8)+1</f>
        <v>#N/A</v>
      </c>
      <c r="D37" s="595"/>
      <c r="E37" s="596"/>
      <c r="F37" s="14" t="e">
        <f t="shared" ref="F37:K37" ca="1" si="49">IF($B$1="SFK Freight Forwarder",IF(AND(F$5&gt;=$C$11,F$5&lt;=$E$23),1,""),IF(AND(F$5&gt;=$C$8,F$5&lt;=$E$23),1,""))</f>
        <v>#N/A</v>
      </c>
      <c r="G37" s="14" t="e">
        <f t="shared" ca="1" si="49"/>
        <v>#N/A</v>
      </c>
      <c r="H37" s="14" t="e">
        <f t="shared" ca="1" si="49"/>
        <v>#N/A</v>
      </c>
      <c r="I37" s="14" t="e">
        <f t="shared" ca="1" si="49"/>
        <v>#N/A</v>
      </c>
      <c r="J37" s="14" t="e">
        <f t="shared" ca="1" si="49"/>
        <v>#N/A</v>
      </c>
      <c r="K37" s="15" t="e">
        <f t="shared" ca="1" si="49"/>
        <v>#N/A</v>
      </c>
      <c r="L37" s="94" t="e">
        <f ca="1">IF($B$1="SFK Freight Forwarder",IF(AND(L$5&gt;=$C$11,L$5&lt;=$E$23),1,""),IF(AND(L$5&gt;=$C$8,L$5&lt;=$E$23),1,""))</f>
        <v>#N/A</v>
      </c>
      <c r="M37" s="13" t="e">
        <f ca="1">IF($B$1="SFK Freight Forwarder",IF(AND(M$5&gt;=$C$11,M$5&lt;=$E$23),1,""),IF(AND(M$5&gt;=$C$8,M$5&lt;=$E$23),1,""))</f>
        <v>#N/A</v>
      </c>
      <c r="N37" s="14" t="e">
        <f t="shared" ref="N37:BY37" ca="1" si="50">IF($B$1="SFK Freight Forwarder",IF(AND(N$5&gt;=$C$11,N$5&lt;=$E$23),1,""),IF(AND(N$5&gt;=$C$8,N$5&lt;=$E$23),1,""))</f>
        <v>#N/A</v>
      </c>
      <c r="O37" s="14" t="e">
        <f t="shared" ca="1" si="50"/>
        <v>#N/A</v>
      </c>
      <c r="P37" s="14" t="e">
        <f t="shared" ca="1" si="50"/>
        <v>#N/A</v>
      </c>
      <c r="Q37" s="14" t="e">
        <f t="shared" ca="1" si="50"/>
        <v>#N/A</v>
      </c>
      <c r="R37" s="15" t="e">
        <f t="shared" ca="1" si="50"/>
        <v>#N/A</v>
      </c>
      <c r="S37" s="16" t="e">
        <f t="shared" ca="1" si="50"/>
        <v>#N/A</v>
      </c>
      <c r="T37" s="13" t="e">
        <f t="shared" ca="1" si="50"/>
        <v>#N/A</v>
      </c>
      <c r="U37" s="14" t="e">
        <f t="shared" ca="1" si="50"/>
        <v>#N/A</v>
      </c>
      <c r="V37" s="14" t="e">
        <f t="shared" ca="1" si="50"/>
        <v>#N/A</v>
      </c>
      <c r="W37" s="14" t="e">
        <f t="shared" ca="1" si="50"/>
        <v>#N/A</v>
      </c>
      <c r="X37" s="14" t="e">
        <f t="shared" ca="1" si="50"/>
        <v>#N/A</v>
      </c>
      <c r="Y37" s="15" t="e">
        <f t="shared" ca="1" si="50"/>
        <v>#N/A</v>
      </c>
      <c r="Z37" s="16" t="e">
        <f t="shared" ca="1" si="50"/>
        <v>#N/A</v>
      </c>
      <c r="AA37" s="13" t="e">
        <f t="shared" ca="1" si="50"/>
        <v>#N/A</v>
      </c>
      <c r="AB37" s="14" t="e">
        <f t="shared" ca="1" si="50"/>
        <v>#N/A</v>
      </c>
      <c r="AC37" s="14" t="e">
        <f t="shared" ca="1" si="50"/>
        <v>#N/A</v>
      </c>
      <c r="AD37" s="14" t="e">
        <f t="shared" ca="1" si="50"/>
        <v>#N/A</v>
      </c>
      <c r="AE37" s="14" t="e">
        <f t="shared" ca="1" si="50"/>
        <v>#N/A</v>
      </c>
      <c r="AF37" s="15" t="e">
        <f t="shared" ca="1" si="50"/>
        <v>#N/A</v>
      </c>
      <c r="AG37" s="16" t="e">
        <f t="shared" ca="1" si="50"/>
        <v>#N/A</v>
      </c>
      <c r="AH37" s="13" t="e">
        <f t="shared" ca="1" si="50"/>
        <v>#N/A</v>
      </c>
      <c r="AI37" s="14" t="e">
        <f t="shared" ca="1" si="50"/>
        <v>#N/A</v>
      </c>
      <c r="AJ37" s="14" t="e">
        <f t="shared" ca="1" si="50"/>
        <v>#N/A</v>
      </c>
      <c r="AK37" s="14" t="e">
        <f t="shared" ca="1" si="50"/>
        <v>#N/A</v>
      </c>
      <c r="AL37" s="14" t="e">
        <f t="shared" ca="1" si="50"/>
        <v>#N/A</v>
      </c>
      <c r="AM37" s="15" t="e">
        <f t="shared" ca="1" si="50"/>
        <v>#N/A</v>
      </c>
      <c r="AN37" s="16" t="e">
        <f t="shared" ca="1" si="50"/>
        <v>#N/A</v>
      </c>
      <c r="AO37" s="13" t="e">
        <f t="shared" ca="1" si="50"/>
        <v>#N/A</v>
      </c>
      <c r="AP37" s="14" t="e">
        <f t="shared" ca="1" si="50"/>
        <v>#N/A</v>
      </c>
      <c r="AQ37" s="14" t="e">
        <f t="shared" ca="1" si="50"/>
        <v>#N/A</v>
      </c>
      <c r="AR37" s="14" t="e">
        <f t="shared" ca="1" si="50"/>
        <v>#N/A</v>
      </c>
      <c r="AS37" s="14" t="e">
        <f t="shared" ca="1" si="50"/>
        <v>#N/A</v>
      </c>
      <c r="AT37" s="15" t="e">
        <f t="shared" ca="1" si="50"/>
        <v>#N/A</v>
      </c>
      <c r="AU37" s="16" t="e">
        <f t="shared" ca="1" si="50"/>
        <v>#N/A</v>
      </c>
      <c r="AV37" s="13" t="e">
        <f t="shared" ca="1" si="50"/>
        <v>#N/A</v>
      </c>
      <c r="AW37" s="14" t="e">
        <f t="shared" ca="1" si="50"/>
        <v>#N/A</v>
      </c>
      <c r="AX37" s="14" t="e">
        <f t="shared" ca="1" si="50"/>
        <v>#N/A</v>
      </c>
      <c r="AY37" s="14" t="e">
        <f t="shared" ca="1" si="50"/>
        <v>#N/A</v>
      </c>
      <c r="AZ37" s="14" t="e">
        <f t="shared" ca="1" si="50"/>
        <v>#N/A</v>
      </c>
      <c r="BA37" s="15" t="e">
        <f t="shared" ca="1" si="50"/>
        <v>#N/A</v>
      </c>
      <c r="BB37" s="16" t="e">
        <f t="shared" ca="1" si="50"/>
        <v>#N/A</v>
      </c>
      <c r="BC37" s="13" t="e">
        <f t="shared" ca="1" si="50"/>
        <v>#N/A</v>
      </c>
      <c r="BD37" s="14" t="e">
        <f t="shared" ca="1" si="50"/>
        <v>#N/A</v>
      </c>
      <c r="BE37" s="14" t="e">
        <f t="shared" ca="1" si="50"/>
        <v>#N/A</v>
      </c>
      <c r="BF37" s="14" t="e">
        <f t="shared" ca="1" si="50"/>
        <v>#N/A</v>
      </c>
      <c r="BG37" s="14" t="e">
        <f t="shared" ca="1" si="50"/>
        <v>#N/A</v>
      </c>
      <c r="BH37" s="15" t="e">
        <f t="shared" ca="1" si="50"/>
        <v>#N/A</v>
      </c>
      <c r="BI37" s="16" t="e">
        <f t="shared" ca="1" si="50"/>
        <v>#N/A</v>
      </c>
      <c r="BJ37" s="13" t="e">
        <f t="shared" ca="1" si="50"/>
        <v>#N/A</v>
      </c>
      <c r="BK37" s="14" t="e">
        <f t="shared" ca="1" si="50"/>
        <v>#N/A</v>
      </c>
      <c r="BL37" s="14" t="e">
        <f t="shared" ca="1" si="50"/>
        <v>#N/A</v>
      </c>
      <c r="BM37" s="14" t="e">
        <f t="shared" ca="1" si="50"/>
        <v>#N/A</v>
      </c>
      <c r="BN37" s="14" t="e">
        <f t="shared" ca="1" si="50"/>
        <v>#N/A</v>
      </c>
      <c r="BO37" s="15" t="e">
        <f t="shared" ca="1" si="50"/>
        <v>#N/A</v>
      </c>
      <c r="BP37" s="16" t="e">
        <f t="shared" ca="1" si="50"/>
        <v>#N/A</v>
      </c>
      <c r="BQ37" s="13" t="e">
        <f t="shared" ca="1" si="50"/>
        <v>#N/A</v>
      </c>
      <c r="BR37" s="14" t="e">
        <f t="shared" ca="1" si="50"/>
        <v>#N/A</v>
      </c>
      <c r="BS37" s="14" t="e">
        <f t="shared" ca="1" si="50"/>
        <v>#N/A</v>
      </c>
      <c r="BT37" s="14" t="e">
        <f t="shared" ca="1" si="50"/>
        <v>#N/A</v>
      </c>
      <c r="BU37" s="14" t="e">
        <f t="shared" ca="1" si="50"/>
        <v>#N/A</v>
      </c>
      <c r="BV37" s="15" t="e">
        <f t="shared" ca="1" si="50"/>
        <v>#N/A</v>
      </c>
      <c r="BW37" s="16" t="e">
        <f t="shared" ca="1" si="50"/>
        <v>#N/A</v>
      </c>
      <c r="BX37" s="13" t="e">
        <f t="shared" ca="1" si="50"/>
        <v>#N/A</v>
      </c>
      <c r="BY37" s="14" t="e">
        <f t="shared" ca="1" si="50"/>
        <v>#N/A</v>
      </c>
      <c r="BZ37" s="14" t="e">
        <f t="shared" ref="BZ37:DT37" ca="1" si="51">IF($B$1="SFK Freight Forwarder",IF(AND(BZ$5&gt;=$C$11,BZ$5&lt;=$E$23),1,""),IF(AND(BZ$5&gt;=$C$8,BZ$5&lt;=$E$23),1,""))</f>
        <v>#N/A</v>
      </c>
      <c r="CA37" s="14" t="e">
        <f t="shared" ca="1" si="51"/>
        <v>#N/A</v>
      </c>
      <c r="CB37" s="14" t="e">
        <f t="shared" ca="1" si="51"/>
        <v>#N/A</v>
      </c>
      <c r="CC37" s="15" t="e">
        <f t="shared" ca="1" si="51"/>
        <v>#N/A</v>
      </c>
      <c r="CD37" s="16" t="e">
        <f t="shared" ca="1" si="51"/>
        <v>#N/A</v>
      </c>
      <c r="CE37" s="13" t="e">
        <f t="shared" ca="1" si="51"/>
        <v>#N/A</v>
      </c>
      <c r="CF37" s="14" t="e">
        <f t="shared" ca="1" si="51"/>
        <v>#N/A</v>
      </c>
      <c r="CG37" s="14" t="e">
        <f t="shared" ca="1" si="51"/>
        <v>#N/A</v>
      </c>
      <c r="CH37" s="14" t="e">
        <f t="shared" ca="1" si="51"/>
        <v>#N/A</v>
      </c>
      <c r="CI37" s="14" t="e">
        <f t="shared" ca="1" si="51"/>
        <v>#N/A</v>
      </c>
      <c r="CJ37" s="15" t="e">
        <f t="shared" ca="1" si="51"/>
        <v>#N/A</v>
      </c>
      <c r="CK37" s="16" t="e">
        <f t="shared" ca="1" si="51"/>
        <v>#N/A</v>
      </c>
      <c r="CL37" s="13" t="e">
        <f t="shared" ca="1" si="51"/>
        <v>#N/A</v>
      </c>
      <c r="CM37" s="14" t="e">
        <f t="shared" ca="1" si="51"/>
        <v>#N/A</v>
      </c>
      <c r="CN37" s="14" t="e">
        <f t="shared" ca="1" si="51"/>
        <v>#N/A</v>
      </c>
      <c r="CO37" s="14" t="e">
        <f t="shared" ca="1" si="51"/>
        <v>#N/A</v>
      </c>
      <c r="CP37" s="14" t="e">
        <f t="shared" ca="1" si="51"/>
        <v>#N/A</v>
      </c>
      <c r="CQ37" s="15" t="e">
        <f t="shared" ca="1" si="51"/>
        <v>#N/A</v>
      </c>
      <c r="CR37" s="16" t="e">
        <f t="shared" ca="1" si="51"/>
        <v>#N/A</v>
      </c>
      <c r="CS37" s="13" t="e">
        <f t="shared" ca="1" si="51"/>
        <v>#N/A</v>
      </c>
      <c r="CT37" s="14" t="e">
        <f t="shared" ca="1" si="51"/>
        <v>#N/A</v>
      </c>
      <c r="CU37" s="14" t="e">
        <f t="shared" ca="1" si="51"/>
        <v>#N/A</v>
      </c>
      <c r="CV37" s="14" t="e">
        <f t="shared" ca="1" si="51"/>
        <v>#N/A</v>
      </c>
      <c r="CW37" s="14" t="e">
        <f t="shared" ca="1" si="51"/>
        <v>#N/A</v>
      </c>
      <c r="CX37" s="15" t="e">
        <f t="shared" ca="1" si="51"/>
        <v>#N/A</v>
      </c>
      <c r="CY37" s="16" t="e">
        <f t="shared" ca="1" si="51"/>
        <v>#N/A</v>
      </c>
      <c r="CZ37" s="13" t="e">
        <f t="shared" ca="1" si="51"/>
        <v>#N/A</v>
      </c>
      <c r="DA37" s="14" t="e">
        <f t="shared" ca="1" si="51"/>
        <v>#N/A</v>
      </c>
      <c r="DB37" s="14" t="e">
        <f t="shared" ca="1" si="51"/>
        <v>#N/A</v>
      </c>
      <c r="DC37" s="14" t="e">
        <f t="shared" ca="1" si="51"/>
        <v>#N/A</v>
      </c>
      <c r="DD37" s="14" t="e">
        <f t="shared" ca="1" si="51"/>
        <v>#N/A</v>
      </c>
      <c r="DE37" s="15" t="e">
        <f t="shared" ca="1" si="51"/>
        <v>#N/A</v>
      </c>
      <c r="DF37" s="16" t="e">
        <f t="shared" ca="1" si="51"/>
        <v>#N/A</v>
      </c>
      <c r="DG37" s="13" t="e">
        <f t="shared" ca="1" si="51"/>
        <v>#N/A</v>
      </c>
      <c r="DH37" s="14" t="e">
        <f t="shared" ca="1" si="51"/>
        <v>#N/A</v>
      </c>
      <c r="DI37" s="14" t="e">
        <f t="shared" ca="1" si="51"/>
        <v>#N/A</v>
      </c>
      <c r="DJ37" s="14" t="e">
        <f t="shared" ca="1" si="51"/>
        <v>#N/A</v>
      </c>
      <c r="DK37" s="14" t="e">
        <f t="shared" ca="1" si="51"/>
        <v>#N/A</v>
      </c>
      <c r="DL37" s="15" t="e">
        <f t="shared" ca="1" si="51"/>
        <v>#N/A</v>
      </c>
      <c r="DM37" s="16" t="e">
        <f t="shared" ca="1" si="51"/>
        <v>#N/A</v>
      </c>
      <c r="DN37" s="13" t="e">
        <f t="shared" ca="1" si="51"/>
        <v>#N/A</v>
      </c>
      <c r="DO37" s="14" t="e">
        <f t="shared" ca="1" si="51"/>
        <v>#N/A</v>
      </c>
      <c r="DP37" s="14" t="e">
        <f t="shared" ca="1" si="51"/>
        <v>#N/A</v>
      </c>
      <c r="DQ37" s="14" t="e">
        <f t="shared" ca="1" si="51"/>
        <v>#N/A</v>
      </c>
      <c r="DR37" s="14" t="e">
        <f t="shared" ca="1" si="51"/>
        <v>#N/A</v>
      </c>
      <c r="DS37" s="15" t="e">
        <f t="shared" ca="1" si="51"/>
        <v>#N/A</v>
      </c>
      <c r="DT37" s="16" t="e">
        <f t="shared" ca="1" si="51"/>
        <v>#N/A</v>
      </c>
    </row>
  </sheetData>
  <sheetProtection algorithmName="SHA-512" hashValue="Ki4nte4oKiMAseKcW2GKkMuSx0ocNGd5zSeUyH9YIExYXKV3YJTXQ/NJzAs/5K8uWz/E2/c5CCVccmsD7xpzSg==" saltValue="SyFxHcQg51UAV4jyVs3flw==" spinCount="100000" sheet="1" sort="0" autoFilter="0" pivotTables="0"/>
  <mergeCells count="56"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  <mergeCell ref="C5:E5"/>
    <mergeCell ref="C6:E6"/>
    <mergeCell ref="A8:A18"/>
    <mergeCell ref="A19:A20"/>
    <mergeCell ref="A27:B27"/>
    <mergeCell ref="C27:E27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</mergeCells>
  <phoneticPr fontId="77" type="noConversion"/>
  <conditionalFormatting sqref="F8:Q9 S8:DT10 F11:DT12 G10:Q10">
    <cfRule type="cellIs" dxfId="397" priority="15" stopIfTrue="1" operator="equal">
      <formula>1</formula>
    </cfRule>
  </conditionalFormatting>
  <conditionalFormatting sqref="F16:DT17">
    <cfRule type="cellIs" dxfId="396" priority="17" stopIfTrue="1" operator="equal">
      <formula>1</formula>
    </cfRule>
  </conditionalFormatting>
  <conditionalFormatting sqref="F31:DT31">
    <cfRule type="cellIs" dxfId="395" priority="22" stopIfTrue="1" operator="equal">
      <formula>1</formula>
    </cfRule>
  </conditionalFormatting>
  <conditionalFormatting sqref="F27:DT27">
    <cfRule type="cellIs" dxfId="394" priority="21" stopIfTrue="1" operator="equal">
      <formula>1</formula>
    </cfRule>
  </conditionalFormatting>
  <conditionalFormatting sqref="F19:DT19 F21:DT22">
    <cfRule type="cellIs" dxfId="393" priority="18" stopIfTrue="1" operator="equal">
      <formula>1</formula>
    </cfRule>
  </conditionalFormatting>
  <conditionalFormatting sqref="F24:DT25">
    <cfRule type="cellIs" dxfId="392" priority="20" stopIfTrue="1" operator="equal">
      <formula>1</formula>
    </cfRule>
  </conditionalFormatting>
  <conditionalFormatting sqref="F33:DT33">
    <cfRule type="cellIs" dxfId="391" priority="23" stopIfTrue="1" operator="equal">
      <formula>1</formula>
    </cfRule>
  </conditionalFormatting>
  <conditionalFormatting sqref="F35:DT35">
    <cfRule type="cellIs" dxfId="390" priority="24" stopIfTrue="1" operator="equal">
      <formula>1</formula>
    </cfRule>
  </conditionalFormatting>
  <conditionalFormatting sqref="F23:DT23">
    <cfRule type="cellIs" dxfId="389" priority="19" stopIfTrue="1" operator="equal">
      <formula>1</formula>
    </cfRule>
  </conditionalFormatting>
  <conditionalFormatting sqref="F13:DT15">
    <cfRule type="cellIs" dxfId="388" priority="16" stopIfTrue="1" operator="equal">
      <formula>1</formula>
    </cfRule>
  </conditionalFormatting>
  <conditionalFormatting sqref="F8:Q9 S8:DT10 F11:DT17 G10:Q10 F31:DT35 F21:DT28 F19:DT19">
    <cfRule type="containsErrors" dxfId="387" priority="14" stopIfTrue="1">
      <formula>ISERROR(F8)</formula>
    </cfRule>
  </conditionalFormatting>
  <conditionalFormatting sqref="R8:R10">
    <cfRule type="cellIs" dxfId="386" priority="13" stopIfTrue="1" operator="equal">
      <formula>1</formula>
    </cfRule>
  </conditionalFormatting>
  <conditionalFormatting sqref="R8:R10">
    <cfRule type="containsErrors" dxfId="385" priority="12" stopIfTrue="1">
      <formula>ISERROR(R8)</formula>
    </cfRule>
  </conditionalFormatting>
  <conditionalFormatting sqref="A23">
    <cfRule type="cellIs" dxfId="384" priority="11" operator="lessThan">
      <formula>TODAY()</formula>
    </cfRule>
  </conditionalFormatting>
  <conditionalFormatting sqref="F37:DT37">
    <cfRule type="cellIs" dxfId="383" priority="10" stopIfTrue="1" operator="equal">
      <formula>1</formula>
    </cfRule>
  </conditionalFormatting>
  <conditionalFormatting sqref="F37:DT37">
    <cfRule type="containsErrors" dxfId="382" priority="9" stopIfTrue="1">
      <formula>ISERROR(F37)</formula>
    </cfRule>
  </conditionalFormatting>
  <conditionalFormatting sqref="F10">
    <cfRule type="cellIs" dxfId="381" priority="8" stopIfTrue="1" operator="equal">
      <formula>1</formula>
    </cfRule>
  </conditionalFormatting>
  <conditionalFormatting sqref="F10">
    <cfRule type="containsErrors" dxfId="380" priority="7" stopIfTrue="1">
      <formula>ISERROR(F10)</formula>
    </cfRule>
  </conditionalFormatting>
  <conditionalFormatting sqref="F29:DT29">
    <cfRule type="cellIs" dxfId="379" priority="6" stopIfTrue="1" operator="equal">
      <formula>1</formula>
    </cfRule>
  </conditionalFormatting>
  <conditionalFormatting sqref="F29:DT30">
    <cfRule type="containsErrors" dxfId="378" priority="5" stopIfTrue="1">
      <formula>ISERROR(F29)</formula>
    </cfRule>
  </conditionalFormatting>
  <conditionalFormatting sqref="F20:DT20">
    <cfRule type="cellIs" dxfId="377" priority="4" stopIfTrue="1" operator="equal">
      <formula>1</formula>
    </cfRule>
  </conditionalFormatting>
  <conditionalFormatting sqref="F20:DT20">
    <cfRule type="containsErrors" dxfId="376" priority="3" stopIfTrue="1">
      <formula>ISERROR(F20)</formula>
    </cfRule>
  </conditionalFormatting>
  <conditionalFormatting sqref="F18:DT18">
    <cfRule type="cellIs" dxfId="375" priority="2" stopIfTrue="1" operator="equal">
      <formula>1</formula>
    </cfRule>
  </conditionalFormatting>
  <conditionalFormatting sqref="F18:DT18">
    <cfRule type="containsErrors" dxfId="374" priority="1" stopIfTrue="1">
      <formula>ISERROR(F18)</formula>
    </cfRule>
  </conditionalFormatting>
  <dataValidations count="2">
    <dataValidation type="list" allowBlank="1" showInputMessage="1" showErrorMessage="1" sqref="B3:B4" xr:uid="{CCF3DBC1-DE3A-46A6-A0E3-449ADE2D2DC3}">
      <formula1>shippername</formula1>
    </dataValidation>
    <dataValidation type="list" allowBlank="1" showInputMessage="1" showErrorMessage="1" sqref="B1:B2" xr:uid="{C2865115-04D4-407F-A1B9-3C3E10000441}">
      <formula1>AILNname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3C34C6-A604-4EE5-B45B-52FB4FFC43ED}">
          <x14:formula1>
            <xm:f>Plant_AILN!$A$2:$A$56</xm:f>
          </x14:formula1>
          <xm:sqref>B6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B1787-F6DE-426F-BD83-F56496338158}">
  <sheetPr codeName="Feuil6">
    <tabColor rgb="FF002060"/>
  </sheetPr>
  <dimension ref="A1:DT37"/>
  <sheetViews>
    <sheetView workbookViewId="0">
      <selection sqref="A1:A2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bestFit="1" customWidth="1"/>
    <col min="4" max="5" width="6.42578125" customWidth="1"/>
    <col min="6" max="124" width="1.42578125" customWidth="1"/>
  </cols>
  <sheetData>
    <row r="1" spans="1:124" s="11" customFormat="1" ht="9" customHeight="1" thickTop="1">
      <c r="A1" s="567" t="s">
        <v>0</v>
      </c>
      <c r="B1" s="614" t="str">
        <f>_xlfn.XLOOKUP(A25,'VTT project'!F:F,'VTT project'!O:O,"-",0)</f>
        <v>-</v>
      </c>
      <c r="C1" s="649" t="str">
        <f>_xlfn.XLOOKUP(A25,'VTT project'!F:F,'VTT project'!P:P,"-",0)</f>
        <v>-</v>
      </c>
      <c r="D1" s="650"/>
      <c r="E1" s="651"/>
      <c r="F1" s="565" t="str">
        <f ca="1">"W"&amp;WEEKNUM(F6)</f>
        <v>W20</v>
      </c>
      <c r="G1" s="565"/>
      <c r="H1" s="565"/>
      <c r="I1" s="565"/>
      <c r="J1" s="565"/>
      <c r="K1" s="565"/>
      <c r="L1" s="566"/>
      <c r="M1" s="565" t="str">
        <f ca="1">"W"&amp;WEEKNUM(M6)</f>
        <v>W21</v>
      </c>
      <c r="N1" s="565"/>
      <c r="O1" s="565"/>
      <c r="P1" s="565"/>
      <c r="Q1" s="565"/>
      <c r="R1" s="565"/>
      <c r="S1" s="566"/>
      <c r="T1" s="565" t="str">
        <f t="shared" ref="T1" ca="1" si="0">"W"&amp;WEEKNUM(T6)</f>
        <v>W22</v>
      </c>
      <c r="U1" s="565"/>
      <c r="V1" s="565"/>
      <c r="W1" s="565"/>
      <c r="X1" s="565"/>
      <c r="Y1" s="565"/>
      <c r="Z1" s="566"/>
      <c r="AA1" s="565" t="str">
        <f t="shared" ref="AA1" ca="1" si="1">"W"&amp;WEEKNUM(AA6)</f>
        <v>W23</v>
      </c>
      <c r="AB1" s="565"/>
      <c r="AC1" s="565"/>
      <c r="AD1" s="565"/>
      <c r="AE1" s="565"/>
      <c r="AF1" s="565"/>
      <c r="AG1" s="566"/>
      <c r="AH1" s="565" t="str">
        <f t="shared" ref="AH1" ca="1" si="2">"W"&amp;WEEKNUM(AH6)</f>
        <v>W24</v>
      </c>
      <c r="AI1" s="565"/>
      <c r="AJ1" s="565"/>
      <c r="AK1" s="565"/>
      <c r="AL1" s="565"/>
      <c r="AM1" s="565"/>
      <c r="AN1" s="566"/>
      <c r="AO1" s="565" t="str">
        <f t="shared" ref="AO1" ca="1" si="3">"W"&amp;WEEKNUM(AO6)</f>
        <v>W25</v>
      </c>
      <c r="AP1" s="565"/>
      <c r="AQ1" s="565"/>
      <c r="AR1" s="565"/>
      <c r="AS1" s="565"/>
      <c r="AT1" s="565"/>
      <c r="AU1" s="566"/>
      <c r="AV1" s="565" t="str">
        <f t="shared" ref="AV1" ca="1" si="4">"W"&amp;WEEKNUM(AV6)</f>
        <v>W26</v>
      </c>
      <c r="AW1" s="565"/>
      <c r="AX1" s="565"/>
      <c r="AY1" s="565"/>
      <c r="AZ1" s="565"/>
      <c r="BA1" s="565"/>
      <c r="BB1" s="566"/>
      <c r="BC1" s="565" t="str">
        <f t="shared" ref="BC1" ca="1" si="5">"W"&amp;WEEKNUM(BC6)</f>
        <v>W27</v>
      </c>
      <c r="BD1" s="565"/>
      <c r="BE1" s="565"/>
      <c r="BF1" s="565"/>
      <c r="BG1" s="565"/>
      <c r="BH1" s="565"/>
      <c r="BI1" s="566"/>
      <c r="BJ1" s="565" t="str">
        <f t="shared" ref="BJ1" ca="1" si="6">"W"&amp;WEEKNUM(BJ6)</f>
        <v>W28</v>
      </c>
      <c r="BK1" s="565"/>
      <c r="BL1" s="565"/>
      <c r="BM1" s="565"/>
      <c r="BN1" s="565"/>
      <c r="BO1" s="565"/>
      <c r="BP1" s="566"/>
      <c r="BQ1" s="565" t="str">
        <f t="shared" ref="BQ1" ca="1" si="7">"W"&amp;WEEKNUM(BQ6)</f>
        <v>W29</v>
      </c>
      <c r="BR1" s="565"/>
      <c r="BS1" s="565"/>
      <c r="BT1" s="565"/>
      <c r="BU1" s="565"/>
      <c r="BV1" s="565"/>
      <c r="BW1" s="566"/>
      <c r="BX1" s="565" t="str">
        <f t="shared" ref="BX1" ca="1" si="8">"W"&amp;WEEKNUM(BX6)</f>
        <v>W30</v>
      </c>
      <c r="BY1" s="565"/>
      <c r="BZ1" s="565"/>
      <c r="CA1" s="565"/>
      <c r="CB1" s="565"/>
      <c r="CC1" s="565"/>
      <c r="CD1" s="566"/>
      <c r="CE1" s="565" t="str">
        <f t="shared" ref="CE1" ca="1" si="9">"W"&amp;WEEKNUM(CE6)</f>
        <v>W31</v>
      </c>
      <c r="CF1" s="565"/>
      <c r="CG1" s="565"/>
      <c r="CH1" s="565"/>
      <c r="CI1" s="565"/>
      <c r="CJ1" s="565"/>
      <c r="CK1" s="566"/>
      <c r="CL1" s="565" t="str">
        <f t="shared" ref="CL1" ca="1" si="10">"W"&amp;WEEKNUM(CL6)</f>
        <v>W32</v>
      </c>
      <c r="CM1" s="565"/>
      <c r="CN1" s="565"/>
      <c r="CO1" s="565"/>
      <c r="CP1" s="565"/>
      <c r="CQ1" s="565"/>
      <c r="CR1" s="566"/>
      <c r="CS1" s="565" t="str">
        <f t="shared" ref="CS1" ca="1" si="11">"W"&amp;WEEKNUM(CS6)</f>
        <v>W33</v>
      </c>
      <c r="CT1" s="565"/>
      <c r="CU1" s="565"/>
      <c r="CV1" s="565"/>
      <c r="CW1" s="565"/>
      <c r="CX1" s="565"/>
      <c r="CY1" s="566"/>
      <c r="CZ1" s="565" t="str">
        <f t="shared" ref="CZ1" ca="1" si="12">"W"&amp;WEEKNUM(CZ6)</f>
        <v>W34</v>
      </c>
      <c r="DA1" s="565"/>
      <c r="DB1" s="565"/>
      <c r="DC1" s="565"/>
      <c r="DD1" s="565"/>
      <c r="DE1" s="565"/>
      <c r="DF1" s="566"/>
      <c r="DG1" s="565" t="str">
        <f t="shared" ref="DG1" ca="1" si="13">"W"&amp;WEEKNUM(DG6)</f>
        <v>W35</v>
      </c>
      <c r="DH1" s="565"/>
      <c r="DI1" s="565"/>
      <c r="DJ1" s="565"/>
      <c r="DK1" s="565"/>
      <c r="DL1" s="565"/>
      <c r="DM1" s="566"/>
      <c r="DN1" s="565" t="str">
        <f t="shared" ref="DN1" ca="1" si="14">"W"&amp;WEEKNUM(DN6)</f>
        <v>W36</v>
      </c>
      <c r="DO1" s="565"/>
      <c r="DP1" s="565"/>
      <c r="DQ1" s="565"/>
      <c r="DR1" s="565"/>
      <c r="DS1" s="565"/>
      <c r="DT1" s="566"/>
    </row>
    <row r="2" spans="1:124" s="11" customFormat="1" ht="9" customHeight="1" thickBot="1">
      <c r="A2" s="568"/>
      <c r="B2" s="615"/>
      <c r="C2" s="652"/>
      <c r="D2" s="653"/>
      <c r="E2" s="654"/>
      <c r="F2" s="577" t="s">
        <v>2</v>
      </c>
      <c r="G2" s="577"/>
      <c r="H2" s="577"/>
      <c r="I2" s="577"/>
      <c r="J2" s="577"/>
      <c r="K2" s="577"/>
      <c r="L2" s="578"/>
      <c r="M2" s="579" t="s">
        <v>3</v>
      </c>
      <c r="N2" s="577"/>
      <c r="O2" s="577"/>
      <c r="P2" s="577"/>
      <c r="Q2" s="577"/>
      <c r="R2" s="577"/>
      <c r="S2" s="578"/>
      <c r="T2" s="579" t="s">
        <v>4</v>
      </c>
      <c r="U2" s="577"/>
      <c r="V2" s="577"/>
      <c r="W2" s="577"/>
      <c r="X2" s="577"/>
      <c r="Y2" s="577"/>
      <c r="Z2" s="578"/>
      <c r="AA2" s="579" t="s">
        <v>5</v>
      </c>
      <c r="AB2" s="577"/>
      <c r="AC2" s="577"/>
      <c r="AD2" s="577"/>
      <c r="AE2" s="577"/>
      <c r="AF2" s="577"/>
      <c r="AG2" s="578"/>
      <c r="AH2" s="579" t="s">
        <v>6</v>
      </c>
      <c r="AI2" s="577"/>
      <c r="AJ2" s="577"/>
      <c r="AK2" s="577"/>
      <c r="AL2" s="577"/>
      <c r="AM2" s="577"/>
      <c r="AN2" s="578"/>
      <c r="AO2" s="579" t="s">
        <v>7</v>
      </c>
      <c r="AP2" s="577"/>
      <c r="AQ2" s="577"/>
      <c r="AR2" s="577"/>
      <c r="AS2" s="577"/>
      <c r="AT2" s="577"/>
      <c r="AU2" s="578"/>
      <c r="AV2" s="579" t="s">
        <v>8</v>
      </c>
      <c r="AW2" s="577"/>
      <c r="AX2" s="577"/>
      <c r="AY2" s="577"/>
      <c r="AZ2" s="577"/>
      <c r="BA2" s="577"/>
      <c r="BB2" s="578"/>
      <c r="BC2" s="579" t="s">
        <v>9</v>
      </c>
      <c r="BD2" s="577"/>
      <c r="BE2" s="577"/>
      <c r="BF2" s="577"/>
      <c r="BG2" s="577"/>
      <c r="BH2" s="577"/>
      <c r="BI2" s="578"/>
      <c r="BJ2" s="579" t="s">
        <v>10</v>
      </c>
      <c r="BK2" s="577"/>
      <c r="BL2" s="577"/>
      <c r="BM2" s="577"/>
      <c r="BN2" s="577"/>
      <c r="BO2" s="577"/>
      <c r="BP2" s="578"/>
      <c r="BQ2" s="579" t="s">
        <v>11</v>
      </c>
      <c r="BR2" s="577"/>
      <c r="BS2" s="577"/>
      <c r="BT2" s="577"/>
      <c r="BU2" s="577"/>
      <c r="BV2" s="577"/>
      <c r="BW2" s="578"/>
      <c r="BX2" s="579" t="s">
        <v>12</v>
      </c>
      <c r="BY2" s="577"/>
      <c r="BZ2" s="577"/>
      <c r="CA2" s="577"/>
      <c r="CB2" s="577"/>
      <c r="CC2" s="577"/>
      <c r="CD2" s="578"/>
      <c r="CE2" s="579" t="s">
        <v>13</v>
      </c>
      <c r="CF2" s="577"/>
      <c r="CG2" s="577"/>
      <c r="CH2" s="577"/>
      <c r="CI2" s="577"/>
      <c r="CJ2" s="577"/>
      <c r="CK2" s="578"/>
      <c r="CL2" s="579" t="s">
        <v>14</v>
      </c>
      <c r="CM2" s="577"/>
      <c r="CN2" s="577"/>
      <c r="CO2" s="577"/>
      <c r="CP2" s="577"/>
      <c r="CQ2" s="577"/>
      <c r="CR2" s="578"/>
      <c r="CS2" s="579" t="s">
        <v>15</v>
      </c>
      <c r="CT2" s="577"/>
      <c r="CU2" s="577"/>
      <c r="CV2" s="577"/>
      <c r="CW2" s="577"/>
      <c r="CX2" s="577"/>
      <c r="CY2" s="578"/>
      <c r="CZ2" s="579" t="s">
        <v>16</v>
      </c>
      <c r="DA2" s="577"/>
      <c r="DB2" s="577"/>
      <c r="DC2" s="577"/>
      <c r="DD2" s="577"/>
      <c r="DE2" s="577"/>
      <c r="DF2" s="578"/>
      <c r="DG2" s="579" t="s">
        <v>17</v>
      </c>
      <c r="DH2" s="577"/>
      <c r="DI2" s="577"/>
      <c r="DJ2" s="577"/>
      <c r="DK2" s="577"/>
      <c r="DL2" s="577"/>
      <c r="DM2" s="578"/>
      <c r="DN2" s="579" t="s">
        <v>18</v>
      </c>
      <c r="DO2" s="577"/>
      <c r="DP2" s="577"/>
      <c r="DQ2" s="577"/>
      <c r="DR2" s="577"/>
      <c r="DS2" s="577"/>
      <c r="DT2" s="578"/>
    </row>
    <row r="3" spans="1:124" s="12" customFormat="1" ht="9" customHeight="1" thickTop="1">
      <c r="A3" s="580" t="s">
        <v>19</v>
      </c>
      <c r="B3" s="658" t="str">
        <f>_xlfn.XLOOKUP(A25,'VTT project'!F:F,'VTT project'!X:X,"-",0)</f>
        <v>-</v>
      </c>
      <c r="C3" s="650" t="str">
        <f>_xlfn.XLOOKUP(A25,'VTT project'!F:F,'VTT project'!Y:Y,"-",0)</f>
        <v>-</v>
      </c>
      <c r="D3" s="650"/>
      <c r="E3" s="651"/>
      <c r="F3" s="32" t="s">
        <v>20</v>
      </c>
      <c r="G3" s="33" t="s">
        <v>21</v>
      </c>
      <c r="H3" s="33" t="s">
        <v>21</v>
      </c>
      <c r="I3" s="33" t="s">
        <v>22</v>
      </c>
      <c r="J3" s="33" t="s">
        <v>23</v>
      </c>
      <c r="K3" s="34" t="s">
        <v>24</v>
      </c>
      <c r="L3" s="35" t="s">
        <v>25</v>
      </c>
      <c r="M3" s="36" t="s">
        <v>20</v>
      </c>
      <c r="N3" s="33" t="s">
        <v>21</v>
      </c>
      <c r="O3" s="33" t="s">
        <v>21</v>
      </c>
      <c r="P3" s="33" t="s">
        <v>22</v>
      </c>
      <c r="Q3" s="33" t="s">
        <v>23</v>
      </c>
      <c r="R3" s="34" t="s">
        <v>24</v>
      </c>
      <c r="S3" s="35" t="s">
        <v>25</v>
      </c>
      <c r="T3" s="36" t="s">
        <v>20</v>
      </c>
      <c r="U3" s="33" t="s">
        <v>21</v>
      </c>
      <c r="V3" s="33" t="s">
        <v>21</v>
      </c>
      <c r="W3" s="33" t="s">
        <v>22</v>
      </c>
      <c r="X3" s="33" t="s">
        <v>23</v>
      </c>
      <c r="Y3" s="34" t="s">
        <v>24</v>
      </c>
      <c r="Z3" s="35" t="s">
        <v>25</v>
      </c>
      <c r="AA3" s="36" t="s">
        <v>20</v>
      </c>
      <c r="AB3" s="33" t="s">
        <v>21</v>
      </c>
      <c r="AC3" s="33" t="s">
        <v>21</v>
      </c>
      <c r="AD3" s="33" t="s">
        <v>22</v>
      </c>
      <c r="AE3" s="33" t="s">
        <v>23</v>
      </c>
      <c r="AF3" s="34" t="s">
        <v>24</v>
      </c>
      <c r="AG3" s="35" t="s">
        <v>25</v>
      </c>
      <c r="AH3" s="36" t="s">
        <v>20</v>
      </c>
      <c r="AI3" s="33" t="s">
        <v>21</v>
      </c>
      <c r="AJ3" s="33" t="s">
        <v>21</v>
      </c>
      <c r="AK3" s="33" t="s">
        <v>22</v>
      </c>
      <c r="AL3" s="33" t="s">
        <v>23</v>
      </c>
      <c r="AM3" s="34" t="s">
        <v>24</v>
      </c>
      <c r="AN3" s="35" t="s">
        <v>25</v>
      </c>
      <c r="AO3" s="36" t="s">
        <v>20</v>
      </c>
      <c r="AP3" s="33" t="s">
        <v>21</v>
      </c>
      <c r="AQ3" s="33" t="s">
        <v>21</v>
      </c>
      <c r="AR3" s="33" t="s">
        <v>22</v>
      </c>
      <c r="AS3" s="33" t="s">
        <v>23</v>
      </c>
      <c r="AT3" s="34" t="s">
        <v>24</v>
      </c>
      <c r="AU3" s="35" t="s">
        <v>25</v>
      </c>
      <c r="AV3" s="36" t="s">
        <v>20</v>
      </c>
      <c r="AW3" s="33" t="s">
        <v>21</v>
      </c>
      <c r="AX3" s="33" t="s">
        <v>21</v>
      </c>
      <c r="AY3" s="33" t="s">
        <v>22</v>
      </c>
      <c r="AZ3" s="33" t="s">
        <v>23</v>
      </c>
      <c r="BA3" s="34" t="s">
        <v>24</v>
      </c>
      <c r="BB3" s="35" t="s">
        <v>25</v>
      </c>
      <c r="BC3" s="36" t="s">
        <v>20</v>
      </c>
      <c r="BD3" s="33" t="s">
        <v>21</v>
      </c>
      <c r="BE3" s="33" t="s">
        <v>21</v>
      </c>
      <c r="BF3" s="33" t="s">
        <v>22</v>
      </c>
      <c r="BG3" s="33" t="s">
        <v>23</v>
      </c>
      <c r="BH3" s="34" t="s">
        <v>24</v>
      </c>
      <c r="BI3" s="35" t="s">
        <v>25</v>
      </c>
      <c r="BJ3" s="36" t="s">
        <v>20</v>
      </c>
      <c r="BK3" s="33" t="s">
        <v>21</v>
      </c>
      <c r="BL3" s="33" t="s">
        <v>21</v>
      </c>
      <c r="BM3" s="33" t="s">
        <v>22</v>
      </c>
      <c r="BN3" s="33" t="s">
        <v>23</v>
      </c>
      <c r="BO3" s="34" t="s">
        <v>24</v>
      </c>
      <c r="BP3" s="35" t="s">
        <v>25</v>
      </c>
      <c r="BQ3" s="36" t="s">
        <v>20</v>
      </c>
      <c r="BR3" s="33" t="s">
        <v>21</v>
      </c>
      <c r="BS3" s="33" t="s">
        <v>21</v>
      </c>
      <c r="BT3" s="33" t="s">
        <v>22</v>
      </c>
      <c r="BU3" s="33" t="s">
        <v>23</v>
      </c>
      <c r="BV3" s="34" t="s">
        <v>24</v>
      </c>
      <c r="BW3" s="35" t="s">
        <v>25</v>
      </c>
      <c r="BX3" s="36" t="s">
        <v>20</v>
      </c>
      <c r="BY3" s="33" t="s">
        <v>21</v>
      </c>
      <c r="BZ3" s="33" t="s">
        <v>21</v>
      </c>
      <c r="CA3" s="33" t="s">
        <v>22</v>
      </c>
      <c r="CB3" s="33" t="s">
        <v>23</v>
      </c>
      <c r="CC3" s="34" t="s">
        <v>24</v>
      </c>
      <c r="CD3" s="35" t="s">
        <v>25</v>
      </c>
      <c r="CE3" s="36" t="s">
        <v>20</v>
      </c>
      <c r="CF3" s="33" t="s">
        <v>21</v>
      </c>
      <c r="CG3" s="33" t="s">
        <v>21</v>
      </c>
      <c r="CH3" s="33" t="s">
        <v>22</v>
      </c>
      <c r="CI3" s="33" t="s">
        <v>23</v>
      </c>
      <c r="CJ3" s="34" t="s">
        <v>24</v>
      </c>
      <c r="CK3" s="35" t="s">
        <v>25</v>
      </c>
      <c r="CL3" s="36" t="s">
        <v>20</v>
      </c>
      <c r="CM3" s="33" t="s">
        <v>21</v>
      </c>
      <c r="CN3" s="33" t="s">
        <v>21</v>
      </c>
      <c r="CO3" s="33" t="s">
        <v>22</v>
      </c>
      <c r="CP3" s="33" t="s">
        <v>23</v>
      </c>
      <c r="CQ3" s="34" t="s">
        <v>24</v>
      </c>
      <c r="CR3" s="35" t="s">
        <v>25</v>
      </c>
      <c r="CS3" s="36" t="s">
        <v>20</v>
      </c>
      <c r="CT3" s="33" t="s">
        <v>21</v>
      </c>
      <c r="CU3" s="33" t="s">
        <v>21</v>
      </c>
      <c r="CV3" s="33" t="s">
        <v>22</v>
      </c>
      <c r="CW3" s="33" t="s">
        <v>23</v>
      </c>
      <c r="CX3" s="34" t="s">
        <v>24</v>
      </c>
      <c r="CY3" s="35" t="s">
        <v>25</v>
      </c>
      <c r="CZ3" s="36" t="s">
        <v>20</v>
      </c>
      <c r="DA3" s="33" t="s">
        <v>21</v>
      </c>
      <c r="DB3" s="33" t="s">
        <v>21</v>
      </c>
      <c r="DC3" s="33" t="s">
        <v>22</v>
      </c>
      <c r="DD3" s="33" t="s">
        <v>23</v>
      </c>
      <c r="DE3" s="34" t="s">
        <v>24</v>
      </c>
      <c r="DF3" s="35" t="s">
        <v>25</v>
      </c>
      <c r="DG3" s="36" t="s">
        <v>20</v>
      </c>
      <c r="DH3" s="33" t="s">
        <v>21</v>
      </c>
      <c r="DI3" s="33" t="s">
        <v>21</v>
      </c>
      <c r="DJ3" s="33" t="s">
        <v>22</v>
      </c>
      <c r="DK3" s="33" t="s">
        <v>23</v>
      </c>
      <c r="DL3" s="34" t="s">
        <v>24</v>
      </c>
      <c r="DM3" s="35" t="s">
        <v>25</v>
      </c>
      <c r="DN3" s="36" t="s">
        <v>20</v>
      </c>
      <c r="DO3" s="33" t="s">
        <v>21</v>
      </c>
      <c r="DP3" s="33" t="s">
        <v>21</v>
      </c>
      <c r="DQ3" s="33" t="s">
        <v>22</v>
      </c>
      <c r="DR3" s="33" t="s">
        <v>23</v>
      </c>
      <c r="DS3" s="34" t="s">
        <v>24</v>
      </c>
      <c r="DT3" s="35" t="s">
        <v>25</v>
      </c>
    </row>
    <row r="4" spans="1:124" s="12" customFormat="1" ht="9" customHeight="1" thickBot="1">
      <c r="A4" s="581"/>
      <c r="B4" s="659"/>
      <c r="C4" s="653"/>
      <c r="D4" s="653"/>
      <c r="E4" s="654"/>
      <c r="F4" s="32" t="s">
        <v>26</v>
      </c>
      <c r="G4" s="33" t="s">
        <v>27</v>
      </c>
      <c r="H4" s="33" t="s">
        <v>28</v>
      </c>
      <c r="I4" s="33" t="s">
        <v>29</v>
      </c>
      <c r="J4" s="33" t="s">
        <v>30</v>
      </c>
      <c r="K4" s="34" t="s">
        <v>31</v>
      </c>
      <c r="L4" s="35" t="s">
        <v>32</v>
      </c>
      <c r="M4" s="36" t="s">
        <v>26</v>
      </c>
      <c r="N4" s="33" t="s">
        <v>27</v>
      </c>
      <c r="O4" s="33" t="s">
        <v>28</v>
      </c>
      <c r="P4" s="33" t="s">
        <v>29</v>
      </c>
      <c r="Q4" s="33" t="s">
        <v>30</v>
      </c>
      <c r="R4" s="34" t="s">
        <v>31</v>
      </c>
      <c r="S4" s="35" t="s">
        <v>32</v>
      </c>
      <c r="T4" s="36" t="s">
        <v>26</v>
      </c>
      <c r="U4" s="33" t="s">
        <v>27</v>
      </c>
      <c r="V4" s="33" t="s">
        <v>28</v>
      </c>
      <c r="W4" s="33" t="s">
        <v>29</v>
      </c>
      <c r="X4" s="33" t="s">
        <v>30</v>
      </c>
      <c r="Y4" s="34" t="s">
        <v>31</v>
      </c>
      <c r="Z4" s="35" t="s">
        <v>32</v>
      </c>
      <c r="AA4" s="36" t="s">
        <v>26</v>
      </c>
      <c r="AB4" s="33" t="s">
        <v>27</v>
      </c>
      <c r="AC4" s="33" t="s">
        <v>28</v>
      </c>
      <c r="AD4" s="33" t="s">
        <v>29</v>
      </c>
      <c r="AE4" s="33" t="s">
        <v>30</v>
      </c>
      <c r="AF4" s="34" t="s">
        <v>31</v>
      </c>
      <c r="AG4" s="35" t="s">
        <v>32</v>
      </c>
      <c r="AH4" s="36" t="s">
        <v>26</v>
      </c>
      <c r="AI4" s="33" t="s">
        <v>27</v>
      </c>
      <c r="AJ4" s="33" t="s">
        <v>28</v>
      </c>
      <c r="AK4" s="33" t="s">
        <v>29</v>
      </c>
      <c r="AL4" s="33" t="s">
        <v>30</v>
      </c>
      <c r="AM4" s="34" t="s">
        <v>31</v>
      </c>
      <c r="AN4" s="35" t="s">
        <v>32</v>
      </c>
      <c r="AO4" s="36" t="s">
        <v>26</v>
      </c>
      <c r="AP4" s="33" t="s">
        <v>27</v>
      </c>
      <c r="AQ4" s="33" t="s">
        <v>28</v>
      </c>
      <c r="AR4" s="33" t="s">
        <v>29</v>
      </c>
      <c r="AS4" s="33" t="s">
        <v>30</v>
      </c>
      <c r="AT4" s="34" t="s">
        <v>31</v>
      </c>
      <c r="AU4" s="35" t="s">
        <v>32</v>
      </c>
      <c r="AV4" s="36" t="s">
        <v>26</v>
      </c>
      <c r="AW4" s="33" t="s">
        <v>27</v>
      </c>
      <c r="AX4" s="33" t="s">
        <v>28</v>
      </c>
      <c r="AY4" s="33" t="s">
        <v>29</v>
      </c>
      <c r="AZ4" s="33" t="s">
        <v>30</v>
      </c>
      <c r="BA4" s="34" t="s">
        <v>31</v>
      </c>
      <c r="BB4" s="35" t="s">
        <v>32</v>
      </c>
      <c r="BC4" s="36" t="s">
        <v>26</v>
      </c>
      <c r="BD4" s="33" t="s">
        <v>27</v>
      </c>
      <c r="BE4" s="33" t="s">
        <v>28</v>
      </c>
      <c r="BF4" s="33" t="s">
        <v>29</v>
      </c>
      <c r="BG4" s="33" t="s">
        <v>30</v>
      </c>
      <c r="BH4" s="34" t="s">
        <v>31</v>
      </c>
      <c r="BI4" s="35" t="s">
        <v>32</v>
      </c>
      <c r="BJ4" s="36" t="s">
        <v>26</v>
      </c>
      <c r="BK4" s="33" t="s">
        <v>27</v>
      </c>
      <c r="BL4" s="33" t="s">
        <v>28</v>
      </c>
      <c r="BM4" s="33" t="s">
        <v>29</v>
      </c>
      <c r="BN4" s="33" t="s">
        <v>30</v>
      </c>
      <c r="BO4" s="34" t="s">
        <v>31</v>
      </c>
      <c r="BP4" s="35" t="s">
        <v>32</v>
      </c>
      <c r="BQ4" s="36" t="s">
        <v>26</v>
      </c>
      <c r="BR4" s="33" t="s">
        <v>27</v>
      </c>
      <c r="BS4" s="33" t="s">
        <v>28</v>
      </c>
      <c r="BT4" s="33" t="s">
        <v>29</v>
      </c>
      <c r="BU4" s="33" t="s">
        <v>30</v>
      </c>
      <c r="BV4" s="34" t="s">
        <v>31</v>
      </c>
      <c r="BW4" s="35" t="s">
        <v>32</v>
      </c>
      <c r="BX4" s="36" t="s">
        <v>26</v>
      </c>
      <c r="BY4" s="33" t="s">
        <v>27</v>
      </c>
      <c r="BZ4" s="33" t="s">
        <v>28</v>
      </c>
      <c r="CA4" s="33" t="s">
        <v>29</v>
      </c>
      <c r="CB4" s="33" t="s">
        <v>30</v>
      </c>
      <c r="CC4" s="34" t="s">
        <v>31</v>
      </c>
      <c r="CD4" s="35" t="s">
        <v>32</v>
      </c>
      <c r="CE4" s="36" t="s">
        <v>26</v>
      </c>
      <c r="CF4" s="33" t="s">
        <v>27</v>
      </c>
      <c r="CG4" s="33" t="s">
        <v>28</v>
      </c>
      <c r="CH4" s="33" t="s">
        <v>29</v>
      </c>
      <c r="CI4" s="33" t="s">
        <v>30</v>
      </c>
      <c r="CJ4" s="34" t="s">
        <v>31</v>
      </c>
      <c r="CK4" s="35" t="s">
        <v>32</v>
      </c>
      <c r="CL4" s="36" t="s">
        <v>26</v>
      </c>
      <c r="CM4" s="33" t="s">
        <v>27</v>
      </c>
      <c r="CN4" s="33" t="s">
        <v>28</v>
      </c>
      <c r="CO4" s="33" t="s">
        <v>29</v>
      </c>
      <c r="CP4" s="33" t="s">
        <v>30</v>
      </c>
      <c r="CQ4" s="34" t="s">
        <v>31</v>
      </c>
      <c r="CR4" s="35" t="s">
        <v>32</v>
      </c>
      <c r="CS4" s="36" t="s">
        <v>26</v>
      </c>
      <c r="CT4" s="33" t="s">
        <v>27</v>
      </c>
      <c r="CU4" s="33" t="s">
        <v>28</v>
      </c>
      <c r="CV4" s="33" t="s">
        <v>29</v>
      </c>
      <c r="CW4" s="33" t="s">
        <v>30</v>
      </c>
      <c r="CX4" s="34" t="s">
        <v>31</v>
      </c>
      <c r="CY4" s="35" t="s">
        <v>32</v>
      </c>
      <c r="CZ4" s="36" t="s">
        <v>26</v>
      </c>
      <c r="DA4" s="33" t="s">
        <v>27</v>
      </c>
      <c r="DB4" s="33" t="s">
        <v>28</v>
      </c>
      <c r="DC4" s="33" t="s">
        <v>29</v>
      </c>
      <c r="DD4" s="33" t="s">
        <v>30</v>
      </c>
      <c r="DE4" s="34" t="s">
        <v>31</v>
      </c>
      <c r="DF4" s="35" t="s">
        <v>32</v>
      </c>
      <c r="DG4" s="36" t="s">
        <v>26</v>
      </c>
      <c r="DH4" s="33" t="s">
        <v>27</v>
      </c>
      <c r="DI4" s="33" t="s">
        <v>28</v>
      </c>
      <c r="DJ4" s="33" t="s">
        <v>29</v>
      </c>
      <c r="DK4" s="33" t="s">
        <v>30</v>
      </c>
      <c r="DL4" s="34" t="s">
        <v>31</v>
      </c>
      <c r="DM4" s="35" t="s">
        <v>32</v>
      </c>
      <c r="DN4" s="36" t="s">
        <v>26</v>
      </c>
      <c r="DO4" s="33" t="s">
        <v>27</v>
      </c>
      <c r="DP4" s="33" t="s">
        <v>28</v>
      </c>
      <c r="DQ4" s="33" t="s">
        <v>29</v>
      </c>
      <c r="DR4" s="33" t="s">
        <v>30</v>
      </c>
      <c r="DS4" s="34" t="s">
        <v>31</v>
      </c>
      <c r="DT4" s="35" t="s">
        <v>32</v>
      </c>
    </row>
    <row r="5" spans="1:124" s="12" customFormat="1" ht="15" customHeight="1" thickTop="1" thickBot="1">
      <c r="A5" s="56" t="s">
        <v>33</v>
      </c>
      <c r="B5" s="58" t="str">
        <f>_xlfn.XLOOKUP(A25,'VTT project'!F:F,'VTT project'!AK:AK,"-",0)</f>
        <v>-</v>
      </c>
      <c r="C5" s="655" t="str">
        <f>_xlfn.XLOOKUP(A25,'VTT project'!F:F,'VTT project'!AL:AL,"-",0)</f>
        <v>-</v>
      </c>
      <c r="D5" s="656"/>
      <c r="E5" s="657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3" customHeight="1" thickTop="1" thickBot="1">
      <c r="A6" s="56" t="s">
        <v>34</v>
      </c>
      <c r="B6" s="58" t="str">
        <f>_xlfn.XLOOKUP(A25,'VTT project'!F:F,'VTT project'!L:L,"-",0)</f>
        <v>-</v>
      </c>
      <c r="C6" s="649" t="str">
        <f>_xlfn.XLOOKUP(A25,'VTT project'!F:F,'VTT project'!M:M,"-",0)</f>
        <v>-</v>
      </c>
      <c r="D6" s="650"/>
      <c r="E6" s="651"/>
      <c r="F6" s="349">
        <f ca="1">TODAY()-WEEKDAY(TODAY(),3)</f>
        <v>46153</v>
      </c>
      <c r="G6" s="43">
        <f ca="1">F6+1</f>
        <v>46154</v>
      </c>
      <c r="H6" s="43">
        <f t="shared" ref="H6:BS6" ca="1" si="15">G6+1</f>
        <v>46155</v>
      </c>
      <c r="I6" s="43">
        <f t="shared" ca="1" si="15"/>
        <v>46156</v>
      </c>
      <c r="J6" s="43">
        <f t="shared" ca="1" si="15"/>
        <v>46157</v>
      </c>
      <c r="K6" s="44">
        <f t="shared" ca="1" si="15"/>
        <v>46158</v>
      </c>
      <c r="L6" s="45">
        <f t="shared" ca="1" si="15"/>
        <v>46159</v>
      </c>
      <c r="M6" s="43">
        <f t="shared" ca="1" si="15"/>
        <v>46160</v>
      </c>
      <c r="N6" s="43">
        <f t="shared" ca="1" si="15"/>
        <v>46161</v>
      </c>
      <c r="O6" s="43">
        <f t="shared" ca="1" si="15"/>
        <v>46162</v>
      </c>
      <c r="P6" s="43">
        <f t="shared" ca="1" si="15"/>
        <v>46163</v>
      </c>
      <c r="Q6" s="43">
        <f t="shared" ca="1" si="15"/>
        <v>46164</v>
      </c>
      <c r="R6" s="44">
        <f t="shared" ca="1" si="15"/>
        <v>46165</v>
      </c>
      <c r="S6" s="45">
        <f t="shared" ca="1" si="15"/>
        <v>46166</v>
      </c>
      <c r="T6" s="43">
        <f t="shared" ca="1" si="15"/>
        <v>46167</v>
      </c>
      <c r="U6" s="43">
        <f t="shared" ca="1" si="15"/>
        <v>46168</v>
      </c>
      <c r="V6" s="43">
        <f t="shared" ca="1" si="15"/>
        <v>46169</v>
      </c>
      <c r="W6" s="43">
        <f t="shared" ca="1" si="15"/>
        <v>46170</v>
      </c>
      <c r="X6" s="43">
        <f t="shared" ca="1" si="15"/>
        <v>46171</v>
      </c>
      <c r="Y6" s="44">
        <f t="shared" ca="1" si="15"/>
        <v>46172</v>
      </c>
      <c r="Z6" s="45">
        <f t="shared" ca="1" si="15"/>
        <v>46173</v>
      </c>
      <c r="AA6" s="43">
        <f t="shared" ca="1" si="15"/>
        <v>46174</v>
      </c>
      <c r="AB6" s="43">
        <f t="shared" ca="1" si="15"/>
        <v>46175</v>
      </c>
      <c r="AC6" s="43">
        <f t="shared" ca="1" si="15"/>
        <v>46176</v>
      </c>
      <c r="AD6" s="43">
        <f t="shared" ca="1" si="15"/>
        <v>46177</v>
      </c>
      <c r="AE6" s="43">
        <f t="shared" ca="1" si="15"/>
        <v>46178</v>
      </c>
      <c r="AF6" s="44">
        <f t="shared" ca="1" si="15"/>
        <v>46179</v>
      </c>
      <c r="AG6" s="45">
        <f t="shared" ca="1" si="15"/>
        <v>46180</v>
      </c>
      <c r="AH6" s="43">
        <f t="shared" ca="1" si="15"/>
        <v>46181</v>
      </c>
      <c r="AI6" s="43">
        <f t="shared" ca="1" si="15"/>
        <v>46182</v>
      </c>
      <c r="AJ6" s="43">
        <f t="shared" ca="1" si="15"/>
        <v>46183</v>
      </c>
      <c r="AK6" s="43">
        <f t="shared" ca="1" si="15"/>
        <v>46184</v>
      </c>
      <c r="AL6" s="43">
        <f t="shared" ca="1" si="15"/>
        <v>46185</v>
      </c>
      <c r="AM6" s="44">
        <f t="shared" ca="1" si="15"/>
        <v>46186</v>
      </c>
      <c r="AN6" s="45">
        <f t="shared" ca="1" si="15"/>
        <v>46187</v>
      </c>
      <c r="AO6" s="43">
        <f t="shared" ca="1" si="15"/>
        <v>46188</v>
      </c>
      <c r="AP6" s="43">
        <f t="shared" ca="1" si="15"/>
        <v>46189</v>
      </c>
      <c r="AQ6" s="43">
        <f t="shared" ca="1" si="15"/>
        <v>46190</v>
      </c>
      <c r="AR6" s="43">
        <f t="shared" ca="1" si="15"/>
        <v>46191</v>
      </c>
      <c r="AS6" s="43">
        <f t="shared" ca="1" si="15"/>
        <v>46192</v>
      </c>
      <c r="AT6" s="44">
        <f t="shared" ca="1" si="15"/>
        <v>46193</v>
      </c>
      <c r="AU6" s="45">
        <f t="shared" ca="1" si="15"/>
        <v>46194</v>
      </c>
      <c r="AV6" s="43">
        <f t="shared" ca="1" si="15"/>
        <v>46195</v>
      </c>
      <c r="AW6" s="43">
        <f t="shared" ca="1" si="15"/>
        <v>46196</v>
      </c>
      <c r="AX6" s="43">
        <f t="shared" ca="1" si="15"/>
        <v>46197</v>
      </c>
      <c r="AY6" s="43">
        <f t="shared" ca="1" si="15"/>
        <v>46198</v>
      </c>
      <c r="AZ6" s="43">
        <f t="shared" ca="1" si="15"/>
        <v>46199</v>
      </c>
      <c r="BA6" s="44">
        <f t="shared" ca="1" si="15"/>
        <v>46200</v>
      </c>
      <c r="BB6" s="45">
        <f t="shared" ca="1" si="15"/>
        <v>46201</v>
      </c>
      <c r="BC6" s="43">
        <f t="shared" ca="1" si="15"/>
        <v>46202</v>
      </c>
      <c r="BD6" s="43">
        <f t="shared" ca="1" si="15"/>
        <v>46203</v>
      </c>
      <c r="BE6" s="43">
        <f t="shared" ca="1" si="15"/>
        <v>46204</v>
      </c>
      <c r="BF6" s="43">
        <f t="shared" ca="1" si="15"/>
        <v>46205</v>
      </c>
      <c r="BG6" s="43">
        <f t="shared" ca="1" si="15"/>
        <v>46206</v>
      </c>
      <c r="BH6" s="44">
        <f t="shared" ca="1" si="15"/>
        <v>46207</v>
      </c>
      <c r="BI6" s="45">
        <f t="shared" ca="1" si="15"/>
        <v>46208</v>
      </c>
      <c r="BJ6" s="43">
        <f t="shared" ca="1" si="15"/>
        <v>46209</v>
      </c>
      <c r="BK6" s="43">
        <f t="shared" ca="1" si="15"/>
        <v>46210</v>
      </c>
      <c r="BL6" s="43">
        <f t="shared" ca="1" si="15"/>
        <v>46211</v>
      </c>
      <c r="BM6" s="43">
        <f t="shared" ca="1" si="15"/>
        <v>46212</v>
      </c>
      <c r="BN6" s="43">
        <f t="shared" ca="1" si="15"/>
        <v>46213</v>
      </c>
      <c r="BO6" s="44">
        <f t="shared" ca="1" si="15"/>
        <v>46214</v>
      </c>
      <c r="BP6" s="45">
        <f t="shared" ca="1" si="15"/>
        <v>46215</v>
      </c>
      <c r="BQ6" s="43">
        <f t="shared" ca="1" si="15"/>
        <v>46216</v>
      </c>
      <c r="BR6" s="43">
        <f t="shared" ca="1" si="15"/>
        <v>46217</v>
      </c>
      <c r="BS6" s="43">
        <f t="shared" ca="1" si="15"/>
        <v>46218</v>
      </c>
      <c r="BT6" s="43">
        <f t="shared" ref="BT6:DT6" ca="1" si="16">BS6+1</f>
        <v>46219</v>
      </c>
      <c r="BU6" s="43">
        <f t="shared" ca="1" si="16"/>
        <v>46220</v>
      </c>
      <c r="BV6" s="44">
        <f t="shared" ca="1" si="16"/>
        <v>46221</v>
      </c>
      <c r="BW6" s="45">
        <f t="shared" ca="1" si="16"/>
        <v>46222</v>
      </c>
      <c r="BX6" s="43">
        <f t="shared" ca="1" si="16"/>
        <v>46223</v>
      </c>
      <c r="BY6" s="43">
        <f t="shared" ca="1" si="16"/>
        <v>46224</v>
      </c>
      <c r="BZ6" s="43">
        <f t="shared" ca="1" si="16"/>
        <v>46225</v>
      </c>
      <c r="CA6" s="43">
        <f t="shared" ca="1" si="16"/>
        <v>46226</v>
      </c>
      <c r="CB6" s="43">
        <f t="shared" ca="1" si="16"/>
        <v>46227</v>
      </c>
      <c r="CC6" s="44">
        <f t="shared" ca="1" si="16"/>
        <v>46228</v>
      </c>
      <c r="CD6" s="45">
        <f t="shared" ca="1" si="16"/>
        <v>46229</v>
      </c>
      <c r="CE6" s="43">
        <f t="shared" ca="1" si="16"/>
        <v>46230</v>
      </c>
      <c r="CF6" s="43">
        <f t="shared" ca="1" si="16"/>
        <v>46231</v>
      </c>
      <c r="CG6" s="43">
        <f t="shared" ca="1" si="16"/>
        <v>46232</v>
      </c>
      <c r="CH6" s="43">
        <f t="shared" ca="1" si="16"/>
        <v>46233</v>
      </c>
      <c r="CI6" s="43">
        <f t="shared" ca="1" si="16"/>
        <v>46234</v>
      </c>
      <c r="CJ6" s="44">
        <f t="shared" ca="1" si="16"/>
        <v>46235</v>
      </c>
      <c r="CK6" s="45">
        <f t="shared" ca="1" si="16"/>
        <v>46236</v>
      </c>
      <c r="CL6" s="43">
        <f t="shared" ca="1" si="16"/>
        <v>46237</v>
      </c>
      <c r="CM6" s="43">
        <f t="shared" ca="1" si="16"/>
        <v>46238</v>
      </c>
      <c r="CN6" s="43">
        <f t="shared" ca="1" si="16"/>
        <v>46239</v>
      </c>
      <c r="CO6" s="43">
        <f t="shared" ca="1" si="16"/>
        <v>46240</v>
      </c>
      <c r="CP6" s="43">
        <f t="shared" ca="1" si="16"/>
        <v>46241</v>
      </c>
      <c r="CQ6" s="44">
        <f t="shared" ca="1" si="16"/>
        <v>46242</v>
      </c>
      <c r="CR6" s="45">
        <f t="shared" ca="1" si="16"/>
        <v>46243</v>
      </c>
      <c r="CS6" s="43">
        <f t="shared" ca="1" si="16"/>
        <v>46244</v>
      </c>
      <c r="CT6" s="43">
        <f t="shared" ca="1" si="16"/>
        <v>46245</v>
      </c>
      <c r="CU6" s="43">
        <f t="shared" ca="1" si="16"/>
        <v>46246</v>
      </c>
      <c r="CV6" s="43">
        <f t="shared" ca="1" si="16"/>
        <v>46247</v>
      </c>
      <c r="CW6" s="43">
        <f t="shared" ca="1" si="16"/>
        <v>46248</v>
      </c>
      <c r="CX6" s="44">
        <f t="shared" ca="1" si="16"/>
        <v>46249</v>
      </c>
      <c r="CY6" s="45">
        <f t="shared" ca="1" si="16"/>
        <v>46250</v>
      </c>
      <c r="CZ6" s="43">
        <f t="shared" ca="1" si="16"/>
        <v>46251</v>
      </c>
      <c r="DA6" s="43">
        <f t="shared" ca="1" si="16"/>
        <v>46252</v>
      </c>
      <c r="DB6" s="43">
        <f t="shared" ca="1" si="16"/>
        <v>46253</v>
      </c>
      <c r="DC6" s="43">
        <f t="shared" ca="1" si="16"/>
        <v>46254</v>
      </c>
      <c r="DD6" s="43">
        <f t="shared" ca="1" si="16"/>
        <v>46255</v>
      </c>
      <c r="DE6" s="44">
        <f t="shared" ca="1" si="16"/>
        <v>46256</v>
      </c>
      <c r="DF6" s="45">
        <f t="shared" ca="1" si="16"/>
        <v>46257</v>
      </c>
      <c r="DG6" s="43">
        <f t="shared" ca="1" si="16"/>
        <v>46258</v>
      </c>
      <c r="DH6" s="43">
        <f t="shared" ca="1" si="16"/>
        <v>46259</v>
      </c>
      <c r="DI6" s="43">
        <f t="shared" ca="1" si="16"/>
        <v>46260</v>
      </c>
      <c r="DJ6" s="43">
        <f t="shared" ca="1" si="16"/>
        <v>46261</v>
      </c>
      <c r="DK6" s="43">
        <f t="shared" ca="1" si="16"/>
        <v>46262</v>
      </c>
      <c r="DL6" s="44">
        <f t="shared" ca="1" si="16"/>
        <v>46263</v>
      </c>
      <c r="DM6" s="45">
        <f t="shared" ca="1" si="16"/>
        <v>46264</v>
      </c>
      <c r="DN6" s="43">
        <f t="shared" ca="1" si="16"/>
        <v>46265</v>
      </c>
      <c r="DO6" s="43">
        <f t="shared" ca="1" si="16"/>
        <v>46266</v>
      </c>
      <c r="DP6" s="43">
        <f t="shared" ca="1" si="16"/>
        <v>46267</v>
      </c>
      <c r="DQ6" s="43">
        <f t="shared" ca="1" si="16"/>
        <v>46268</v>
      </c>
      <c r="DR6" s="43">
        <f t="shared" ca="1" si="16"/>
        <v>46269</v>
      </c>
      <c r="DS6" s="44">
        <f t="shared" ca="1" si="16"/>
        <v>46270</v>
      </c>
      <c r="DT6" s="45">
        <f t="shared" ca="1" si="16"/>
        <v>46271</v>
      </c>
    </row>
    <row r="7" spans="1:124" s="17" customFormat="1" ht="17.25" customHeight="1" thickTop="1">
      <c r="A7" s="56" t="s">
        <v>36</v>
      </c>
      <c r="B7" s="129">
        <v>60</v>
      </c>
      <c r="C7" s="40" t="s">
        <v>37</v>
      </c>
      <c r="D7" s="40" t="s">
        <v>38</v>
      </c>
      <c r="E7" s="41" t="s">
        <v>39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75" customHeight="1">
      <c r="A8" s="585" t="str">
        <f>_xlfn.XLOOKUP(A25,'VTT project'!F:F,'VTT project'!AA:AA,"-",0)&amp;" &gt; "&amp;_xlfn.XLOOKUP(A25,'VTT project'!F:F,'VTT project'!AF:AF,"-",0)</f>
        <v>- &gt; -</v>
      </c>
      <c r="B8" s="18" t="s">
        <v>40</v>
      </c>
      <c r="C8" s="19" t="str">
        <f>_xlfn.XLOOKUP(A25,'VTT project'!F:F,'VTT project'!N:N,"-",0)</f>
        <v>-</v>
      </c>
      <c r="D8" s="20">
        <v>0</v>
      </c>
      <c r="E8" s="19" t="e">
        <f>(C8+D8)</f>
        <v>#VALUE!</v>
      </c>
      <c r="F8" s="13" t="e">
        <f t="shared" ref="F8:Z20" si="17">IF(AND(F$5&gt;=$C8,F$5&lt;=$E8),1,"")</f>
        <v>#VALUE!</v>
      </c>
      <c r="G8" s="14" t="e">
        <f t="shared" si="17"/>
        <v>#VALUE!</v>
      </c>
      <c r="H8" s="14" t="e">
        <f t="shared" si="17"/>
        <v>#VALUE!</v>
      </c>
      <c r="I8" s="14" t="e">
        <f t="shared" si="17"/>
        <v>#VALUE!</v>
      </c>
      <c r="J8" s="14" t="e">
        <f t="shared" si="17"/>
        <v>#VALUE!</v>
      </c>
      <c r="K8" s="15" t="e">
        <f t="shared" si="17"/>
        <v>#VALUE!</v>
      </c>
      <c r="L8" s="16" t="e">
        <f t="shared" si="17"/>
        <v>#VALUE!</v>
      </c>
      <c r="M8" s="13" t="e">
        <f t="shared" si="17"/>
        <v>#VALUE!</v>
      </c>
      <c r="N8" s="14" t="e">
        <f t="shared" si="17"/>
        <v>#VALUE!</v>
      </c>
      <c r="O8" s="14" t="e">
        <f t="shared" si="17"/>
        <v>#VALUE!</v>
      </c>
      <c r="P8" s="14" t="e">
        <f t="shared" si="17"/>
        <v>#VALUE!</v>
      </c>
      <c r="Q8" s="14" t="e">
        <f t="shared" si="17"/>
        <v>#VALUE!</v>
      </c>
      <c r="R8" s="15" t="e">
        <f t="shared" si="17"/>
        <v>#VALUE!</v>
      </c>
      <c r="S8" s="16" t="e">
        <f t="shared" si="17"/>
        <v>#VALUE!</v>
      </c>
      <c r="T8" s="13" t="e">
        <f t="shared" si="17"/>
        <v>#VALUE!</v>
      </c>
      <c r="U8" s="14" t="e">
        <f t="shared" si="17"/>
        <v>#VALUE!</v>
      </c>
      <c r="V8" s="14" t="e">
        <f t="shared" si="17"/>
        <v>#VALUE!</v>
      </c>
      <c r="W8" s="14" t="e">
        <f t="shared" si="17"/>
        <v>#VALUE!</v>
      </c>
      <c r="X8" s="14" t="e">
        <f t="shared" si="17"/>
        <v>#VALUE!</v>
      </c>
      <c r="Y8" s="15" t="e">
        <f t="shared" si="17"/>
        <v>#VALUE!</v>
      </c>
      <c r="Z8" s="16" t="e">
        <f t="shared" si="17"/>
        <v>#VALUE!</v>
      </c>
      <c r="AA8" s="13" t="e">
        <f t="shared" ref="AA8:AP24" si="18">IF(AND(AA$5&gt;=$C8,AA$5&lt;=$E8),1,"")</f>
        <v>#VALUE!</v>
      </c>
      <c r="AB8" s="14" t="e">
        <f t="shared" si="18"/>
        <v>#VALUE!</v>
      </c>
      <c r="AC8" s="14" t="e">
        <f t="shared" si="18"/>
        <v>#VALUE!</v>
      </c>
      <c r="AD8" s="14" t="e">
        <f t="shared" si="18"/>
        <v>#VALUE!</v>
      </c>
      <c r="AE8" s="14" t="e">
        <f t="shared" si="18"/>
        <v>#VALUE!</v>
      </c>
      <c r="AF8" s="15" t="e">
        <f t="shared" si="18"/>
        <v>#VALUE!</v>
      </c>
      <c r="AG8" s="16" t="e">
        <f t="shared" si="18"/>
        <v>#VALUE!</v>
      </c>
      <c r="AH8" s="13" t="e">
        <f t="shared" si="18"/>
        <v>#VALUE!</v>
      </c>
      <c r="AI8" s="14" t="e">
        <f t="shared" si="18"/>
        <v>#VALUE!</v>
      </c>
      <c r="AJ8" s="14" t="e">
        <f t="shared" si="18"/>
        <v>#VALUE!</v>
      </c>
      <c r="AK8" s="14" t="e">
        <f t="shared" si="18"/>
        <v>#VALUE!</v>
      </c>
      <c r="AL8" s="14" t="e">
        <f t="shared" si="18"/>
        <v>#VALUE!</v>
      </c>
      <c r="AM8" s="15" t="e">
        <f t="shared" si="18"/>
        <v>#VALUE!</v>
      </c>
      <c r="AN8" s="16" t="e">
        <f t="shared" si="18"/>
        <v>#VALUE!</v>
      </c>
      <c r="AO8" s="13" t="e">
        <f t="shared" si="18"/>
        <v>#VALUE!</v>
      </c>
      <c r="AP8" s="14" t="e">
        <f t="shared" si="18"/>
        <v>#VALUE!</v>
      </c>
      <c r="AQ8" s="14" t="e">
        <f t="shared" ref="AQ8:BF24" si="19">IF(AND(AQ$5&gt;=$C8,AQ$5&lt;=$E8),1,"")</f>
        <v>#VALUE!</v>
      </c>
      <c r="AR8" s="14" t="e">
        <f t="shared" si="19"/>
        <v>#VALUE!</v>
      </c>
      <c r="AS8" s="14" t="e">
        <f t="shared" si="19"/>
        <v>#VALUE!</v>
      </c>
      <c r="AT8" s="15" t="e">
        <f t="shared" si="19"/>
        <v>#VALUE!</v>
      </c>
      <c r="AU8" s="16" t="e">
        <f t="shared" si="19"/>
        <v>#VALUE!</v>
      </c>
      <c r="AV8" s="13" t="e">
        <f t="shared" si="19"/>
        <v>#VALUE!</v>
      </c>
      <c r="AW8" s="14" t="e">
        <f t="shared" si="19"/>
        <v>#VALUE!</v>
      </c>
      <c r="AX8" s="14" t="e">
        <f t="shared" si="19"/>
        <v>#VALUE!</v>
      </c>
      <c r="AY8" s="14" t="e">
        <f t="shared" si="19"/>
        <v>#VALUE!</v>
      </c>
      <c r="AZ8" s="14" t="e">
        <f t="shared" si="19"/>
        <v>#VALUE!</v>
      </c>
      <c r="BA8" s="15" t="e">
        <f t="shared" si="19"/>
        <v>#VALUE!</v>
      </c>
      <c r="BB8" s="16" t="e">
        <f t="shared" si="19"/>
        <v>#VALUE!</v>
      </c>
      <c r="BC8" s="13" t="e">
        <f t="shared" si="19"/>
        <v>#VALUE!</v>
      </c>
      <c r="BD8" s="14" t="e">
        <f t="shared" si="19"/>
        <v>#VALUE!</v>
      </c>
      <c r="BE8" s="14" t="e">
        <f t="shared" si="19"/>
        <v>#VALUE!</v>
      </c>
      <c r="BF8" s="14" t="e">
        <f t="shared" si="19"/>
        <v>#VALUE!</v>
      </c>
      <c r="BG8" s="14" t="e">
        <f t="shared" ref="BG8:BV24" si="20">IF(AND(BG$5&gt;=$C8,BG$5&lt;=$E8),1,"")</f>
        <v>#VALUE!</v>
      </c>
      <c r="BH8" s="15" t="e">
        <f t="shared" si="20"/>
        <v>#VALUE!</v>
      </c>
      <c r="BI8" s="16" t="e">
        <f t="shared" si="20"/>
        <v>#VALUE!</v>
      </c>
      <c r="BJ8" s="13" t="e">
        <f t="shared" si="20"/>
        <v>#VALUE!</v>
      </c>
      <c r="BK8" s="14" t="e">
        <f t="shared" si="20"/>
        <v>#VALUE!</v>
      </c>
      <c r="BL8" s="14" t="e">
        <f t="shared" si="20"/>
        <v>#VALUE!</v>
      </c>
      <c r="BM8" s="14" t="e">
        <f t="shared" si="20"/>
        <v>#VALUE!</v>
      </c>
      <c r="BN8" s="14" t="e">
        <f t="shared" si="20"/>
        <v>#VALUE!</v>
      </c>
      <c r="BO8" s="15" t="e">
        <f t="shared" si="20"/>
        <v>#VALUE!</v>
      </c>
      <c r="BP8" s="16" t="e">
        <f t="shared" si="20"/>
        <v>#VALUE!</v>
      </c>
      <c r="BQ8" s="13" t="e">
        <f t="shared" si="20"/>
        <v>#VALUE!</v>
      </c>
      <c r="BR8" s="14" t="e">
        <f t="shared" si="20"/>
        <v>#VALUE!</v>
      </c>
      <c r="BS8" s="14" t="e">
        <f t="shared" si="20"/>
        <v>#VALUE!</v>
      </c>
      <c r="BT8" s="14" t="e">
        <f t="shared" si="20"/>
        <v>#VALUE!</v>
      </c>
      <c r="BU8" s="14" t="e">
        <f t="shared" si="20"/>
        <v>#VALUE!</v>
      </c>
      <c r="BV8" s="15" t="e">
        <f t="shared" si="20"/>
        <v>#VALUE!</v>
      </c>
      <c r="BW8" s="16" t="e">
        <f t="shared" ref="BW8:CL23" si="21">IF(AND(BW$5&gt;=$C8,BW$5&lt;=$E8),1,"")</f>
        <v>#VALUE!</v>
      </c>
      <c r="BX8" s="13" t="e">
        <f t="shared" si="21"/>
        <v>#VALUE!</v>
      </c>
      <c r="BY8" s="14" t="e">
        <f t="shared" si="21"/>
        <v>#VALUE!</v>
      </c>
      <c r="BZ8" s="14" t="e">
        <f t="shared" si="21"/>
        <v>#VALUE!</v>
      </c>
      <c r="CA8" s="14" t="e">
        <f t="shared" si="21"/>
        <v>#VALUE!</v>
      </c>
      <c r="CB8" s="14" t="e">
        <f t="shared" si="21"/>
        <v>#VALUE!</v>
      </c>
      <c r="CC8" s="15" t="e">
        <f t="shared" si="21"/>
        <v>#VALUE!</v>
      </c>
      <c r="CD8" s="16" t="e">
        <f t="shared" si="21"/>
        <v>#VALUE!</v>
      </c>
      <c r="CE8" s="13" t="e">
        <f t="shared" si="21"/>
        <v>#VALUE!</v>
      </c>
      <c r="CF8" s="14" t="e">
        <f t="shared" si="21"/>
        <v>#VALUE!</v>
      </c>
      <c r="CG8" s="14" t="e">
        <f t="shared" si="21"/>
        <v>#VALUE!</v>
      </c>
      <c r="CH8" s="14" t="e">
        <f t="shared" si="21"/>
        <v>#VALUE!</v>
      </c>
      <c r="CI8" s="14" t="e">
        <f t="shared" si="21"/>
        <v>#VALUE!</v>
      </c>
      <c r="CJ8" s="15" t="e">
        <f t="shared" si="21"/>
        <v>#VALUE!</v>
      </c>
      <c r="CK8" s="16" t="e">
        <f t="shared" si="21"/>
        <v>#VALUE!</v>
      </c>
      <c r="CL8" s="13" t="e">
        <f t="shared" si="21"/>
        <v>#VALUE!</v>
      </c>
      <c r="CM8" s="14" t="e">
        <f t="shared" ref="CM8:DB23" si="22">IF(AND(CM$5&gt;=$C8,CM$5&lt;=$E8),1,"")</f>
        <v>#VALUE!</v>
      </c>
      <c r="CN8" s="14" t="e">
        <f t="shared" si="22"/>
        <v>#VALUE!</v>
      </c>
      <c r="CO8" s="14" t="e">
        <f t="shared" si="22"/>
        <v>#VALUE!</v>
      </c>
      <c r="CP8" s="14" t="e">
        <f t="shared" si="22"/>
        <v>#VALUE!</v>
      </c>
      <c r="CQ8" s="15" t="e">
        <f t="shared" si="22"/>
        <v>#VALUE!</v>
      </c>
      <c r="CR8" s="16" t="e">
        <f t="shared" si="22"/>
        <v>#VALUE!</v>
      </c>
      <c r="CS8" s="13" t="e">
        <f t="shared" si="22"/>
        <v>#VALUE!</v>
      </c>
      <c r="CT8" s="14" t="e">
        <f t="shared" si="22"/>
        <v>#VALUE!</v>
      </c>
      <c r="CU8" s="14" t="e">
        <f t="shared" si="22"/>
        <v>#VALUE!</v>
      </c>
      <c r="CV8" s="14" t="e">
        <f t="shared" si="22"/>
        <v>#VALUE!</v>
      </c>
      <c r="CW8" s="14" t="e">
        <f t="shared" si="22"/>
        <v>#VALUE!</v>
      </c>
      <c r="CX8" s="15" t="e">
        <f t="shared" si="22"/>
        <v>#VALUE!</v>
      </c>
      <c r="CY8" s="16" t="e">
        <f t="shared" si="22"/>
        <v>#VALUE!</v>
      </c>
      <c r="CZ8" s="13" t="e">
        <f t="shared" si="22"/>
        <v>#VALUE!</v>
      </c>
      <c r="DA8" s="14" t="e">
        <f t="shared" si="22"/>
        <v>#VALUE!</v>
      </c>
      <c r="DB8" s="14" t="e">
        <f t="shared" si="22"/>
        <v>#VALUE!</v>
      </c>
      <c r="DC8" s="14" t="e">
        <f t="shared" ref="DC8:DT22" si="23">IF(AND(DC$5&gt;=$C8,DC$5&lt;=$E8),1,"")</f>
        <v>#VALUE!</v>
      </c>
      <c r="DD8" s="14" t="e">
        <f t="shared" si="23"/>
        <v>#VALUE!</v>
      </c>
      <c r="DE8" s="15" t="e">
        <f t="shared" si="23"/>
        <v>#VALUE!</v>
      </c>
      <c r="DF8" s="16" t="e">
        <f t="shared" si="23"/>
        <v>#VALUE!</v>
      </c>
      <c r="DG8" s="13" t="e">
        <f t="shared" si="23"/>
        <v>#VALUE!</v>
      </c>
      <c r="DH8" s="14" t="e">
        <f t="shared" si="23"/>
        <v>#VALUE!</v>
      </c>
      <c r="DI8" s="14" t="e">
        <f t="shared" si="23"/>
        <v>#VALUE!</v>
      </c>
      <c r="DJ8" s="14" t="e">
        <f t="shared" si="23"/>
        <v>#VALUE!</v>
      </c>
      <c r="DK8" s="14" t="e">
        <f t="shared" si="23"/>
        <v>#VALUE!</v>
      </c>
      <c r="DL8" s="15" t="e">
        <f t="shared" si="23"/>
        <v>#VALUE!</v>
      </c>
      <c r="DM8" s="16" t="e">
        <f t="shared" si="23"/>
        <v>#VALUE!</v>
      </c>
      <c r="DN8" s="13" t="e">
        <f t="shared" si="23"/>
        <v>#VALUE!</v>
      </c>
      <c r="DO8" s="14" t="e">
        <f t="shared" si="23"/>
        <v>#VALUE!</v>
      </c>
      <c r="DP8" s="14" t="e">
        <f t="shared" si="23"/>
        <v>#VALUE!</v>
      </c>
      <c r="DQ8" s="14" t="e">
        <f t="shared" si="23"/>
        <v>#VALUE!</v>
      </c>
      <c r="DR8" s="14" t="e">
        <f t="shared" si="23"/>
        <v>#VALUE!</v>
      </c>
      <c r="DS8" s="15" t="e">
        <f t="shared" si="23"/>
        <v>#VALUE!</v>
      </c>
      <c r="DT8" s="16" t="e">
        <f t="shared" si="23"/>
        <v>#VALUE!</v>
      </c>
    </row>
    <row r="9" spans="1:124" s="17" customFormat="1" ht="9.75" customHeight="1">
      <c r="A9" s="586"/>
      <c r="B9" s="18" t="str">
        <f>IF(B1="SFK Freight Forwarder","","Day ILN Order")</f>
        <v>Day ILN Order</v>
      </c>
      <c r="C9" s="19" t="str">
        <f>IF(B1="SFK Freight Forwarder",0,_xlfn.XLOOKUP(A25,'VTT project'!F:F,'VTT project'!Q:Q,"-",0))</f>
        <v>-</v>
      </c>
      <c r="D9" s="20">
        <v>0</v>
      </c>
      <c r="E9" s="19" t="e">
        <f>(C9+D9)</f>
        <v>#VALUE!</v>
      </c>
      <c r="F9" s="13" t="e">
        <f t="shared" si="17"/>
        <v>#VALUE!</v>
      </c>
      <c r="G9" s="14" t="e">
        <f t="shared" si="17"/>
        <v>#VALUE!</v>
      </c>
      <c r="H9" s="14" t="e">
        <f t="shared" si="17"/>
        <v>#VALUE!</v>
      </c>
      <c r="I9" s="14" t="e">
        <f t="shared" si="17"/>
        <v>#VALUE!</v>
      </c>
      <c r="J9" s="14" t="e">
        <f t="shared" si="17"/>
        <v>#VALUE!</v>
      </c>
      <c r="K9" s="15" t="e">
        <f t="shared" si="17"/>
        <v>#VALUE!</v>
      </c>
      <c r="L9" s="16" t="e">
        <f t="shared" si="17"/>
        <v>#VALUE!</v>
      </c>
      <c r="M9" s="13" t="e">
        <f t="shared" si="17"/>
        <v>#VALUE!</v>
      </c>
      <c r="N9" s="14" t="e">
        <f t="shared" si="17"/>
        <v>#VALUE!</v>
      </c>
      <c r="O9" s="14" t="e">
        <f t="shared" si="17"/>
        <v>#VALUE!</v>
      </c>
      <c r="P9" s="14" t="e">
        <f t="shared" si="17"/>
        <v>#VALUE!</v>
      </c>
      <c r="Q9" s="14" t="e">
        <f t="shared" si="17"/>
        <v>#VALUE!</v>
      </c>
      <c r="R9" s="15" t="e">
        <f t="shared" si="17"/>
        <v>#VALUE!</v>
      </c>
      <c r="S9" s="16" t="e">
        <f t="shared" si="17"/>
        <v>#VALUE!</v>
      </c>
      <c r="T9" s="13" t="e">
        <f t="shared" si="17"/>
        <v>#VALUE!</v>
      </c>
      <c r="U9" s="14" t="e">
        <f t="shared" si="17"/>
        <v>#VALUE!</v>
      </c>
      <c r="V9" s="14" t="e">
        <f t="shared" si="17"/>
        <v>#VALUE!</v>
      </c>
      <c r="W9" s="14" t="e">
        <f t="shared" si="17"/>
        <v>#VALUE!</v>
      </c>
      <c r="X9" s="14" t="e">
        <f t="shared" si="17"/>
        <v>#VALUE!</v>
      </c>
      <c r="Y9" s="15" t="e">
        <f t="shared" si="17"/>
        <v>#VALUE!</v>
      </c>
      <c r="Z9" s="16" t="e">
        <f t="shared" si="17"/>
        <v>#VALUE!</v>
      </c>
      <c r="AA9" s="13" t="e">
        <f t="shared" si="18"/>
        <v>#VALUE!</v>
      </c>
      <c r="AB9" s="14" t="e">
        <f t="shared" si="18"/>
        <v>#VALUE!</v>
      </c>
      <c r="AC9" s="14" t="e">
        <f t="shared" si="18"/>
        <v>#VALUE!</v>
      </c>
      <c r="AD9" s="14" t="e">
        <f t="shared" si="18"/>
        <v>#VALUE!</v>
      </c>
      <c r="AE9" s="14" t="e">
        <f t="shared" si="18"/>
        <v>#VALUE!</v>
      </c>
      <c r="AF9" s="15" t="e">
        <f t="shared" si="18"/>
        <v>#VALUE!</v>
      </c>
      <c r="AG9" s="16" t="e">
        <f t="shared" si="18"/>
        <v>#VALUE!</v>
      </c>
      <c r="AH9" s="13" t="e">
        <f t="shared" si="18"/>
        <v>#VALUE!</v>
      </c>
      <c r="AI9" s="14" t="e">
        <f t="shared" si="18"/>
        <v>#VALUE!</v>
      </c>
      <c r="AJ9" s="14" t="e">
        <f t="shared" si="18"/>
        <v>#VALUE!</v>
      </c>
      <c r="AK9" s="14" t="e">
        <f t="shared" si="18"/>
        <v>#VALUE!</v>
      </c>
      <c r="AL9" s="14" t="e">
        <f t="shared" si="18"/>
        <v>#VALUE!</v>
      </c>
      <c r="AM9" s="15" t="e">
        <f t="shared" si="18"/>
        <v>#VALUE!</v>
      </c>
      <c r="AN9" s="16" t="e">
        <f t="shared" si="18"/>
        <v>#VALUE!</v>
      </c>
      <c r="AO9" s="13" t="e">
        <f t="shared" si="18"/>
        <v>#VALUE!</v>
      </c>
      <c r="AP9" s="14" t="e">
        <f t="shared" si="18"/>
        <v>#VALUE!</v>
      </c>
      <c r="AQ9" s="14" t="e">
        <f t="shared" si="19"/>
        <v>#VALUE!</v>
      </c>
      <c r="AR9" s="14" t="e">
        <f t="shared" si="19"/>
        <v>#VALUE!</v>
      </c>
      <c r="AS9" s="14" t="e">
        <f t="shared" si="19"/>
        <v>#VALUE!</v>
      </c>
      <c r="AT9" s="15" t="e">
        <f t="shared" si="19"/>
        <v>#VALUE!</v>
      </c>
      <c r="AU9" s="16" t="e">
        <f t="shared" si="19"/>
        <v>#VALUE!</v>
      </c>
      <c r="AV9" s="13" t="e">
        <f t="shared" si="19"/>
        <v>#VALUE!</v>
      </c>
      <c r="AW9" s="14" t="e">
        <f t="shared" si="19"/>
        <v>#VALUE!</v>
      </c>
      <c r="AX9" s="14" t="e">
        <f t="shared" si="19"/>
        <v>#VALUE!</v>
      </c>
      <c r="AY9" s="14" t="e">
        <f t="shared" si="19"/>
        <v>#VALUE!</v>
      </c>
      <c r="AZ9" s="14" t="e">
        <f t="shared" si="19"/>
        <v>#VALUE!</v>
      </c>
      <c r="BA9" s="15" t="e">
        <f t="shared" si="19"/>
        <v>#VALUE!</v>
      </c>
      <c r="BB9" s="16" t="e">
        <f t="shared" si="19"/>
        <v>#VALUE!</v>
      </c>
      <c r="BC9" s="13" t="e">
        <f t="shared" si="19"/>
        <v>#VALUE!</v>
      </c>
      <c r="BD9" s="14" t="e">
        <f t="shared" si="19"/>
        <v>#VALUE!</v>
      </c>
      <c r="BE9" s="14" t="e">
        <f t="shared" si="19"/>
        <v>#VALUE!</v>
      </c>
      <c r="BF9" s="14" t="e">
        <f t="shared" si="19"/>
        <v>#VALUE!</v>
      </c>
      <c r="BG9" s="14" t="e">
        <f t="shared" si="20"/>
        <v>#VALUE!</v>
      </c>
      <c r="BH9" s="15" t="e">
        <f t="shared" si="20"/>
        <v>#VALUE!</v>
      </c>
      <c r="BI9" s="16" t="e">
        <f t="shared" si="20"/>
        <v>#VALUE!</v>
      </c>
      <c r="BJ9" s="13" t="e">
        <f t="shared" si="20"/>
        <v>#VALUE!</v>
      </c>
      <c r="BK9" s="14" t="e">
        <f t="shared" si="20"/>
        <v>#VALUE!</v>
      </c>
      <c r="BL9" s="14" t="e">
        <f t="shared" si="20"/>
        <v>#VALUE!</v>
      </c>
      <c r="BM9" s="14" t="e">
        <f t="shared" si="20"/>
        <v>#VALUE!</v>
      </c>
      <c r="BN9" s="14" t="e">
        <f t="shared" si="20"/>
        <v>#VALUE!</v>
      </c>
      <c r="BO9" s="15" t="e">
        <f t="shared" si="20"/>
        <v>#VALUE!</v>
      </c>
      <c r="BP9" s="16" t="e">
        <f t="shared" si="20"/>
        <v>#VALUE!</v>
      </c>
      <c r="BQ9" s="13" t="e">
        <f t="shared" si="20"/>
        <v>#VALUE!</v>
      </c>
      <c r="BR9" s="14" t="e">
        <f t="shared" si="20"/>
        <v>#VALUE!</v>
      </c>
      <c r="BS9" s="14" t="e">
        <f t="shared" si="20"/>
        <v>#VALUE!</v>
      </c>
      <c r="BT9" s="14" t="e">
        <f t="shared" si="20"/>
        <v>#VALUE!</v>
      </c>
      <c r="BU9" s="14" t="e">
        <f t="shared" si="20"/>
        <v>#VALUE!</v>
      </c>
      <c r="BV9" s="15" t="e">
        <f t="shared" si="20"/>
        <v>#VALUE!</v>
      </c>
      <c r="BW9" s="16" t="e">
        <f t="shared" si="21"/>
        <v>#VALUE!</v>
      </c>
      <c r="BX9" s="13" t="e">
        <f t="shared" si="21"/>
        <v>#VALUE!</v>
      </c>
      <c r="BY9" s="14" t="e">
        <f t="shared" si="21"/>
        <v>#VALUE!</v>
      </c>
      <c r="BZ9" s="14" t="e">
        <f t="shared" si="21"/>
        <v>#VALUE!</v>
      </c>
      <c r="CA9" s="14" t="e">
        <f t="shared" si="21"/>
        <v>#VALUE!</v>
      </c>
      <c r="CB9" s="14" t="e">
        <f t="shared" si="21"/>
        <v>#VALUE!</v>
      </c>
      <c r="CC9" s="15" t="e">
        <f t="shared" si="21"/>
        <v>#VALUE!</v>
      </c>
      <c r="CD9" s="16" t="e">
        <f t="shared" si="21"/>
        <v>#VALUE!</v>
      </c>
      <c r="CE9" s="13" t="e">
        <f t="shared" si="21"/>
        <v>#VALUE!</v>
      </c>
      <c r="CF9" s="14" t="e">
        <f t="shared" si="21"/>
        <v>#VALUE!</v>
      </c>
      <c r="CG9" s="14" t="e">
        <f t="shared" si="21"/>
        <v>#VALUE!</v>
      </c>
      <c r="CH9" s="14" t="e">
        <f t="shared" si="21"/>
        <v>#VALUE!</v>
      </c>
      <c r="CI9" s="14" t="e">
        <f t="shared" si="21"/>
        <v>#VALUE!</v>
      </c>
      <c r="CJ9" s="15" t="e">
        <f t="shared" si="21"/>
        <v>#VALUE!</v>
      </c>
      <c r="CK9" s="16" t="e">
        <f t="shared" si="21"/>
        <v>#VALUE!</v>
      </c>
      <c r="CL9" s="13" t="e">
        <f t="shared" si="21"/>
        <v>#VALUE!</v>
      </c>
      <c r="CM9" s="14" t="e">
        <f t="shared" si="22"/>
        <v>#VALUE!</v>
      </c>
      <c r="CN9" s="14" t="e">
        <f t="shared" si="22"/>
        <v>#VALUE!</v>
      </c>
      <c r="CO9" s="14" t="e">
        <f t="shared" si="22"/>
        <v>#VALUE!</v>
      </c>
      <c r="CP9" s="14" t="e">
        <f t="shared" si="22"/>
        <v>#VALUE!</v>
      </c>
      <c r="CQ9" s="15" t="e">
        <f t="shared" si="22"/>
        <v>#VALUE!</v>
      </c>
      <c r="CR9" s="16" t="e">
        <f t="shared" si="22"/>
        <v>#VALUE!</v>
      </c>
      <c r="CS9" s="13" t="e">
        <f t="shared" si="22"/>
        <v>#VALUE!</v>
      </c>
      <c r="CT9" s="14" t="e">
        <f t="shared" si="22"/>
        <v>#VALUE!</v>
      </c>
      <c r="CU9" s="14" t="e">
        <f t="shared" si="22"/>
        <v>#VALUE!</v>
      </c>
      <c r="CV9" s="14" t="e">
        <f t="shared" si="22"/>
        <v>#VALUE!</v>
      </c>
      <c r="CW9" s="14" t="e">
        <f t="shared" si="22"/>
        <v>#VALUE!</v>
      </c>
      <c r="CX9" s="15" t="e">
        <f t="shared" si="22"/>
        <v>#VALUE!</v>
      </c>
      <c r="CY9" s="16" t="e">
        <f t="shared" si="22"/>
        <v>#VALUE!</v>
      </c>
      <c r="CZ9" s="13" t="e">
        <f t="shared" si="22"/>
        <v>#VALUE!</v>
      </c>
      <c r="DA9" s="14" t="e">
        <f t="shared" si="22"/>
        <v>#VALUE!</v>
      </c>
      <c r="DB9" s="14" t="e">
        <f t="shared" si="22"/>
        <v>#VALUE!</v>
      </c>
      <c r="DC9" s="14" t="e">
        <f t="shared" si="23"/>
        <v>#VALUE!</v>
      </c>
      <c r="DD9" s="14" t="e">
        <f t="shared" si="23"/>
        <v>#VALUE!</v>
      </c>
      <c r="DE9" s="15" t="e">
        <f t="shared" si="23"/>
        <v>#VALUE!</v>
      </c>
      <c r="DF9" s="16" t="e">
        <f t="shared" si="23"/>
        <v>#VALUE!</v>
      </c>
      <c r="DG9" s="13" t="e">
        <f t="shared" si="23"/>
        <v>#VALUE!</v>
      </c>
      <c r="DH9" s="14" t="e">
        <f t="shared" si="23"/>
        <v>#VALUE!</v>
      </c>
      <c r="DI9" s="14" t="e">
        <f t="shared" si="23"/>
        <v>#VALUE!</v>
      </c>
      <c r="DJ9" s="14" t="e">
        <f t="shared" si="23"/>
        <v>#VALUE!</v>
      </c>
      <c r="DK9" s="14" t="e">
        <f t="shared" si="23"/>
        <v>#VALUE!</v>
      </c>
      <c r="DL9" s="15" t="e">
        <f t="shared" si="23"/>
        <v>#VALUE!</v>
      </c>
      <c r="DM9" s="16" t="e">
        <f t="shared" si="23"/>
        <v>#VALUE!</v>
      </c>
      <c r="DN9" s="13" t="e">
        <f t="shared" si="23"/>
        <v>#VALUE!</v>
      </c>
      <c r="DO9" s="14" t="e">
        <f t="shared" si="23"/>
        <v>#VALUE!</v>
      </c>
      <c r="DP9" s="14" t="e">
        <f t="shared" si="23"/>
        <v>#VALUE!</v>
      </c>
      <c r="DQ9" s="14" t="e">
        <f t="shared" si="23"/>
        <v>#VALUE!</v>
      </c>
      <c r="DR9" s="14" t="e">
        <f t="shared" si="23"/>
        <v>#VALUE!</v>
      </c>
      <c r="DS9" s="15" t="e">
        <f t="shared" si="23"/>
        <v>#VALUE!</v>
      </c>
      <c r="DT9" s="16" t="e">
        <f t="shared" si="23"/>
        <v>#VALUE!</v>
      </c>
    </row>
    <row r="10" spans="1:124" s="17" customFormat="1" ht="9.75" customHeight="1">
      <c r="A10" s="586"/>
      <c r="B10" s="18" t="str">
        <f>IF(B1="SFK Freight Forwarder","","Time of recept in AILN")</f>
        <v>Time of recept in AILN</v>
      </c>
      <c r="C10" s="19" t="e">
        <f>IF(B1="SFK Freight Forwarder",0,_xlfn.XLOOKUP(A25,'VTT project'!F:F,'VTT project'!R:R,"-",0)+E9-1)</f>
        <v>#VALUE!</v>
      </c>
      <c r="D10" s="19" t="str">
        <f>IF(B1="SFK Freight Forwarder",0,_xlfn.XLOOKUP(A25,'VTT project'!F:F,'VTT project'!S:S,"-",0))</f>
        <v>-</v>
      </c>
      <c r="E10" s="19" t="e">
        <f>IF(B1="SFK Freight Forwarder",0,(C10+D10)-1)</f>
        <v>#VALUE!</v>
      </c>
      <c r="F10" s="13" t="e">
        <f t="shared" si="17"/>
        <v>#VALUE!</v>
      </c>
      <c r="G10" s="14" t="e">
        <f t="shared" si="17"/>
        <v>#VALUE!</v>
      </c>
      <c r="H10" s="14" t="e">
        <f t="shared" si="17"/>
        <v>#VALUE!</v>
      </c>
      <c r="I10" s="14" t="e">
        <f t="shared" si="17"/>
        <v>#VALUE!</v>
      </c>
      <c r="J10" s="14" t="e">
        <f t="shared" si="17"/>
        <v>#VALUE!</v>
      </c>
      <c r="K10" s="15" t="e">
        <f t="shared" si="17"/>
        <v>#VALUE!</v>
      </c>
      <c r="L10" s="16" t="e">
        <f t="shared" si="17"/>
        <v>#VALUE!</v>
      </c>
      <c r="M10" s="13" t="e">
        <f t="shared" si="17"/>
        <v>#VALUE!</v>
      </c>
      <c r="N10" s="14" t="e">
        <f t="shared" si="17"/>
        <v>#VALUE!</v>
      </c>
      <c r="O10" s="14" t="e">
        <f t="shared" si="17"/>
        <v>#VALUE!</v>
      </c>
      <c r="P10" s="14" t="e">
        <f t="shared" si="17"/>
        <v>#VALUE!</v>
      </c>
      <c r="Q10" s="14" t="e">
        <f t="shared" si="17"/>
        <v>#VALUE!</v>
      </c>
      <c r="R10" s="15" t="e">
        <f t="shared" si="17"/>
        <v>#VALUE!</v>
      </c>
      <c r="S10" s="16" t="e">
        <f t="shared" si="17"/>
        <v>#VALUE!</v>
      </c>
      <c r="T10" s="13" t="e">
        <f t="shared" si="17"/>
        <v>#VALUE!</v>
      </c>
      <c r="U10" s="14" t="e">
        <f t="shared" si="17"/>
        <v>#VALUE!</v>
      </c>
      <c r="V10" s="14" t="e">
        <f t="shared" si="17"/>
        <v>#VALUE!</v>
      </c>
      <c r="W10" s="14" t="e">
        <f t="shared" si="17"/>
        <v>#VALUE!</v>
      </c>
      <c r="X10" s="14" t="e">
        <f t="shared" si="17"/>
        <v>#VALUE!</v>
      </c>
      <c r="Y10" s="15" t="e">
        <f t="shared" si="17"/>
        <v>#VALUE!</v>
      </c>
      <c r="Z10" s="16" t="e">
        <f t="shared" si="17"/>
        <v>#VALUE!</v>
      </c>
      <c r="AA10" s="13" t="e">
        <f t="shared" si="18"/>
        <v>#VALUE!</v>
      </c>
      <c r="AB10" s="14" t="e">
        <f t="shared" si="18"/>
        <v>#VALUE!</v>
      </c>
      <c r="AC10" s="14" t="e">
        <f t="shared" si="18"/>
        <v>#VALUE!</v>
      </c>
      <c r="AD10" s="14" t="e">
        <f t="shared" si="18"/>
        <v>#VALUE!</v>
      </c>
      <c r="AE10" s="14" t="e">
        <f t="shared" si="18"/>
        <v>#VALUE!</v>
      </c>
      <c r="AF10" s="15" t="e">
        <f t="shared" si="18"/>
        <v>#VALUE!</v>
      </c>
      <c r="AG10" s="16" t="e">
        <f t="shared" si="18"/>
        <v>#VALUE!</v>
      </c>
      <c r="AH10" s="13" t="e">
        <f t="shared" si="18"/>
        <v>#VALUE!</v>
      </c>
      <c r="AI10" s="14" t="e">
        <f t="shared" si="18"/>
        <v>#VALUE!</v>
      </c>
      <c r="AJ10" s="14" t="e">
        <f t="shared" si="18"/>
        <v>#VALUE!</v>
      </c>
      <c r="AK10" s="14" t="e">
        <f t="shared" si="18"/>
        <v>#VALUE!</v>
      </c>
      <c r="AL10" s="14" t="e">
        <f t="shared" si="18"/>
        <v>#VALUE!</v>
      </c>
      <c r="AM10" s="15" t="e">
        <f t="shared" si="18"/>
        <v>#VALUE!</v>
      </c>
      <c r="AN10" s="16" t="e">
        <f t="shared" si="18"/>
        <v>#VALUE!</v>
      </c>
      <c r="AO10" s="13" t="e">
        <f t="shared" si="18"/>
        <v>#VALUE!</v>
      </c>
      <c r="AP10" s="14" t="e">
        <f t="shared" si="18"/>
        <v>#VALUE!</v>
      </c>
      <c r="AQ10" s="14" t="e">
        <f t="shared" si="19"/>
        <v>#VALUE!</v>
      </c>
      <c r="AR10" s="14" t="e">
        <f t="shared" si="19"/>
        <v>#VALUE!</v>
      </c>
      <c r="AS10" s="14" t="e">
        <f t="shared" si="19"/>
        <v>#VALUE!</v>
      </c>
      <c r="AT10" s="15" t="e">
        <f t="shared" si="19"/>
        <v>#VALUE!</v>
      </c>
      <c r="AU10" s="16" t="e">
        <f t="shared" si="19"/>
        <v>#VALUE!</v>
      </c>
      <c r="AV10" s="13" t="e">
        <f t="shared" si="19"/>
        <v>#VALUE!</v>
      </c>
      <c r="AW10" s="14" t="e">
        <f t="shared" si="19"/>
        <v>#VALUE!</v>
      </c>
      <c r="AX10" s="14" t="e">
        <f t="shared" si="19"/>
        <v>#VALUE!</v>
      </c>
      <c r="AY10" s="14" t="e">
        <f t="shared" si="19"/>
        <v>#VALUE!</v>
      </c>
      <c r="AZ10" s="14" t="e">
        <f t="shared" si="19"/>
        <v>#VALUE!</v>
      </c>
      <c r="BA10" s="15" t="e">
        <f t="shared" si="19"/>
        <v>#VALUE!</v>
      </c>
      <c r="BB10" s="16" t="e">
        <f t="shared" si="19"/>
        <v>#VALUE!</v>
      </c>
      <c r="BC10" s="13" t="e">
        <f t="shared" si="19"/>
        <v>#VALUE!</v>
      </c>
      <c r="BD10" s="14" t="e">
        <f t="shared" si="19"/>
        <v>#VALUE!</v>
      </c>
      <c r="BE10" s="14" t="e">
        <f t="shared" si="19"/>
        <v>#VALUE!</v>
      </c>
      <c r="BF10" s="14" t="e">
        <f t="shared" si="19"/>
        <v>#VALUE!</v>
      </c>
      <c r="BG10" s="14" t="e">
        <f t="shared" si="20"/>
        <v>#VALUE!</v>
      </c>
      <c r="BH10" s="15" t="e">
        <f t="shared" si="20"/>
        <v>#VALUE!</v>
      </c>
      <c r="BI10" s="16" t="e">
        <f t="shared" si="20"/>
        <v>#VALUE!</v>
      </c>
      <c r="BJ10" s="13" t="e">
        <f t="shared" si="20"/>
        <v>#VALUE!</v>
      </c>
      <c r="BK10" s="14" t="e">
        <f t="shared" si="20"/>
        <v>#VALUE!</v>
      </c>
      <c r="BL10" s="14" t="e">
        <f t="shared" si="20"/>
        <v>#VALUE!</v>
      </c>
      <c r="BM10" s="14" t="e">
        <f t="shared" si="20"/>
        <v>#VALUE!</v>
      </c>
      <c r="BN10" s="14" t="e">
        <f t="shared" si="20"/>
        <v>#VALUE!</v>
      </c>
      <c r="BO10" s="15" t="e">
        <f t="shared" si="20"/>
        <v>#VALUE!</v>
      </c>
      <c r="BP10" s="16" t="e">
        <f t="shared" si="20"/>
        <v>#VALUE!</v>
      </c>
      <c r="BQ10" s="13" t="e">
        <f t="shared" si="20"/>
        <v>#VALUE!</v>
      </c>
      <c r="BR10" s="14" t="e">
        <f t="shared" si="20"/>
        <v>#VALUE!</v>
      </c>
      <c r="BS10" s="14" t="e">
        <f t="shared" si="20"/>
        <v>#VALUE!</v>
      </c>
      <c r="BT10" s="14" t="e">
        <f t="shared" si="20"/>
        <v>#VALUE!</v>
      </c>
      <c r="BU10" s="14" t="e">
        <f t="shared" si="20"/>
        <v>#VALUE!</v>
      </c>
      <c r="BV10" s="15" t="e">
        <f t="shared" si="20"/>
        <v>#VALUE!</v>
      </c>
      <c r="BW10" s="16" t="e">
        <f t="shared" si="21"/>
        <v>#VALUE!</v>
      </c>
      <c r="BX10" s="13" t="e">
        <f t="shared" si="21"/>
        <v>#VALUE!</v>
      </c>
      <c r="BY10" s="14" t="e">
        <f t="shared" si="21"/>
        <v>#VALUE!</v>
      </c>
      <c r="BZ10" s="14" t="e">
        <f t="shared" si="21"/>
        <v>#VALUE!</v>
      </c>
      <c r="CA10" s="14" t="e">
        <f t="shared" si="21"/>
        <v>#VALUE!</v>
      </c>
      <c r="CB10" s="14" t="e">
        <f t="shared" si="21"/>
        <v>#VALUE!</v>
      </c>
      <c r="CC10" s="15" t="e">
        <f t="shared" si="21"/>
        <v>#VALUE!</v>
      </c>
      <c r="CD10" s="16" t="e">
        <f t="shared" si="21"/>
        <v>#VALUE!</v>
      </c>
      <c r="CE10" s="13" t="e">
        <f t="shared" si="21"/>
        <v>#VALUE!</v>
      </c>
      <c r="CF10" s="14" t="e">
        <f t="shared" si="21"/>
        <v>#VALUE!</v>
      </c>
      <c r="CG10" s="14" t="e">
        <f t="shared" si="21"/>
        <v>#VALUE!</v>
      </c>
      <c r="CH10" s="14" t="e">
        <f t="shared" si="21"/>
        <v>#VALUE!</v>
      </c>
      <c r="CI10" s="14" t="e">
        <f t="shared" si="21"/>
        <v>#VALUE!</v>
      </c>
      <c r="CJ10" s="15" t="e">
        <f t="shared" si="21"/>
        <v>#VALUE!</v>
      </c>
      <c r="CK10" s="16" t="e">
        <f t="shared" si="21"/>
        <v>#VALUE!</v>
      </c>
      <c r="CL10" s="13" t="e">
        <f t="shared" si="21"/>
        <v>#VALUE!</v>
      </c>
      <c r="CM10" s="14" t="e">
        <f t="shared" si="22"/>
        <v>#VALUE!</v>
      </c>
      <c r="CN10" s="14" t="e">
        <f t="shared" si="22"/>
        <v>#VALUE!</v>
      </c>
      <c r="CO10" s="14" t="e">
        <f t="shared" si="22"/>
        <v>#VALUE!</v>
      </c>
      <c r="CP10" s="14" t="e">
        <f t="shared" si="22"/>
        <v>#VALUE!</v>
      </c>
      <c r="CQ10" s="15" t="e">
        <f t="shared" si="22"/>
        <v>#VALUE!</v>
      </c>
      <c r="CR10" s="16" t="e">
        <f t="shared" si="22"/>
        <v>#VALUE!</v>
      </c>
      <c r="CS10" s="13" t="e">
        <f t="shared" si="22"/>
        <v>#VALUE!</v>
      </c>
      <c r="CT10" s="14" t="e">
        <f t="shared" si="22"/>
        <v>#VALUE!</v>
      </c>
      <c r="CU10" s="14" t="e">
        <f t="shared" si="22"/>
        <v>#VALUE!</v>
      </c>
      <c r="CV10" s="14" t="e">
        <f t="shared" si="22"/>
        <v>#VALUE!</v>
      </c>
      <c r="CW10" s="14" t="e">
        <f t="shared" si="22"/>
        <v>#VALUE!</v>
      </c>
      <c r="CX10" s="15" t="e">
        <f t="shared" si="22"/>
        <v>#VALUE!</v>
      </c>
      <c r="CY10" s="16" t="e">
        <f t="shared" si="22"/>
        <v>#VALUE!</v>
      </c>
      <c r="CZ10" s="13" t="e">
        <f t="shared" si="22"/>
        <v>#VALUE!</v>
      </c>
      <c r="DA10" s="14" t="e">
        <f t="shared" si="22"/>
        <v>#VALUE!</v>
      </c>
      <c r="DB10" s="14" t="e">
        <f t="shared" si="22"/>
        <v>#VALUE!</v>
      </c>
      <c r="DC10" s="14" t="e">
        <f t="shared" si="23"/>
        <v>#VALUE!</v>
      </c>
      <c r="DD10" s="14" t="e">
        <f t="shared" si="23"/>
        <v>#VALUE!</v>
      </c>
      <c r="DE10" s="15" t="e">
        <f t="shared" si="23"/>
        <v>#VALUE!</v>
      </c>
      <c r="DF10" s="16" t="e">
        <f t="shared" si="23"/>
        <v>#VALUE!</v>
      </c>
      <c r="DG10" s="13" t="e">
        <f t="shared" si="23"/>
        <v>#VALUE!</v>
      </c>
      <c r="DH10" s="14" t="e">
        <f t="shared" si="23"/>
        <v>#VALUE!</v>
      </c>
      <c r="DI10" s="14" t="e">
        <f t="shared" si="23"/>
        <v>#VALUE!</v>
      </c>
      <c r="DJ10" s="14" t="e">
        <f t="shared" si="23"/>
        <v>#VALUE!</v>
      </c>
      <c r="DK10" s="14" t="e">
        <f t="shared" si="23"/>
        <v>#VALUE!</v>
      </c>
      <c r="DL10" s="15" t="e">
        <f t="shared" si="23"/>
        <v>#VALUE!</v>
      </c>
      <c r="DM10" s="16" t="e">
        <f t="shared" si="23"/>
        <v>#VALUE!</v>
      </c>
      <c r="DN10" s="13" t="e">
        <f t="shared" si="23"/>
        <v>#VALUE!</v>
      </c>
      <c r="DO10" s="14" t="e">
        <f t="shared" si="23"/>
        <v>#VALUE!</v>
      </c>
      <c r="DP10" s="14" t="e">
        <f t="shared" si="23"/>
        <v>#VALUE!</v>
      </c>
      <c r="DQ10" s="14" t="e">
        <f t="shared" si="23"/>
        <v>#VALUE!</v>
      </c>
      <c r="DR10" s="14" t="e">
        <f t="shared" si="23"/>
        <v>#VALUE!</v>
      </c>
      <c r="DS10" s="15" t="e">
        <f t="shared" si="23"/>
        <v>#VALUE!</v>
      </c>
      <c r="DT10" s="16" t="e">
        <f t="shared" si="23"/>
        <v>#VALUE!</v>
      </c>
    </row>
    <row r="11" spans="1:124" s="17" customFormat="1" ht="9.75" customHeight="1">
      <c r="A11" s="586"/>
      <c r="B11" s="18" t="s">
        <v>41</v>
      </c>
      <c r="C11" s="19" t="e">
        <f>_xlfn.XLOOKUP(A25,'VTT project'!F:F,'VTT project'!U:U,"-",0)+1</f>
        <v>#VALUE!</v>
      </c>
      <c r="D11" s="19" t="str">
        <f>_xlfn.XLOOKUP(A25,'VTT project'!F:F,'VTT project'!T:T,"-",0)</f>
        <v>-</v>
      </c>
      <c r="E11" s="19" t="e">
        <f t="shared" ref="E11:E24" si="24">(C11+D11)-1</f>
        <v>#VALUE!</v>
      </c>
      <c r="F11" s="13" t="e">
        <f t="shared" si="17"/>
        <v>#VALUE!</v>
      </c>
      <c r="G11" s="14" t="e">
        <f t="shared" si="17"/>
        <v>#VALUE!</v>
      </c>
      <c r="H11" s="14" t="e">
        <f t="shared" si="17"/>
        <v>#VALUE!</v>
      </c>
      <c r="I11" s="14" t="e">
        <f t="shared" si="17"/>
        <v>#VALUE!</v>
      </c>
      <c r="J11" s="14" t="e">
        <f t="shared" si="17"/>
        <v>#VALUE!</v>
      </c>
      <c r="K11" s="15" t="e">
        <f t="shared" si="17"/>
        <v>#VALUE!</v>
      </c>
      <c r="L11" s="16" t="e">
        <f t="shared" si="17"/>
        <v>#VALUE!</v>
      </c>
      <c r="M11" s="13" t="e">
        <f t="shared" si="17"/>
        <v>#VALUE!</v>
      </c>
      <c r="N11" s="14" t="e">
        <f t="shared" si="17"/>
        <v>#VALUE!</v>
      </c>
      <c r="O11" s="14" t="e">
        <f t="shared" si="17"/>
        <v>#VALUE!</v>
      </c>
      <c r="P11" s="14" t="e">
        <f t="shared" si="17"/>
        <v>#VALUE!</v>
      </c>
      <c r="Q11" s="14" t="e">
        <f t="shared" si="17"/>
        <v>#VALUE!</v>
      </c>
      <c r="R11" s="15" t="e">
        <f t="shared" si="17"/>
        <v>#VALUE!</v>
      </c>
      <c r="S11" s="16" t="e">
        <f t="shared" si="17"/>
        <v>#VALUE!</v>
      </c>
      <c r="T11" s="13" t="e">
        <f t="shared" si="17"/>
        <v>#VALUE!</v>
      </c>
      <c r="U11" s="14" t="e">
        <f t="shared" si="17"/>
        <v>#VALUE!</v>
      </c>
      <c r="V11" s="14" t="e">
        <f t="shared" si="17"/>
        <v>#VALUE!</v>
      </c>
      <c r="W11" s="14" t="e">
        <f t="shared" si="17"/>
        <v>#VALUE!</v>
      </c>
      <c r="X11" s="14" t="e">
        <f t="shared" si="17"/>
        <v>#VALUE!</v>
      </c>
      <c r="Y11" s="15" t="e">
        <f t="shared" si="17"/>
        <v>#VALUE!</v>
      </c>
      <c r="Z11" s="16" t="e">
        <f t="shared" si="17"/>
        <v>#VALUE!</v>
      </c>
      <c r="AA11" s="13" t="e">
        <f t="shared" si="18"/>
        <v>#VALUE!</v>
      </c>
      <c r="AB11" s="14" t="e">
        <f t="shared" si="18"/>
        <v>#VALUE!</v>
      </c>
      <c r="AC11" s="14" t="e">
        <f t="shared" si="18"/>
        <v>#VALUE!</v>
      </c>
      <c r="AD11" s="14" t="e">
        <f t="shared" si="18"/>
        <v>#VALUE!</v>
      </c>
      <c r="AE11" s="14" t="e">
        <f t="shared" si="18"/>
        <v>#VALUE!</v>
      </c>
      <c r="AF11" s="15" t="e">
        <f t="shared" si="18"/>
        <v>#VALUE!</v>
      </c>
      <c r="AG11" s="16" t="e">
        <f t="shared" si="18"/>
        <v>#VALUE!</v>
      </c>
      <c r="AH11" s="13" t="e">
        <f t="shared" si="18"/>
        <v>#VALUE!</v>
      </c>
      <c r="AI11" s="14" t="e">
        <f t="shared" si="18"/>
        <v>#VALUE!</v>
      </c>
      <c r="AJ11" s="14" t="e">
        <f t="shared" si="18"/>
        <v>#VALUE!</v>
      </c>
      <c r="AK11" s="14" t="e">
        <f t="shared" si="18"/>
        <v>#VALUE!</v>
      </c>
      <c r="AL11" s="14" t="e">
        <f t="shared" si="18"/>
        <v>#VALUE!</v>
      </c>
      <c r="AM11" s="15" t="e">
        <f t="shared" si="18"/>
        <v>#VALUE!</v>
      </c>
      <c r="AN11" s="16" t="e">
        <f t="shared" si="18"/>
        <v>#VALUE!</v>
      </c>
      <c r="AO11" s="13" t="e">
        <f t="shared" si="18"/>
        <v>#VALUE!</v>
      </c>
      <c r="AP11" s="14" t="e">
        <f t="shared" si="18"/>
        <v>#VALUE!</v>
      </c>
      <c r="AQ11" s="14" t="e">
        <f t="shared" si="19"/>
        <v>#VALUE!</v>
      </c>
      <c r="AR11" s="14" t="e">
        <f t="shared" si="19"/>
        <v>#VALUE!</v>
      </c>
      <c r="AS11" s="14" t="e">
        <f t="shared" si="19"/>
        <v>#VALUE!</v>
      </c>
      <c r="AT11" s="15" t="e">
        <f t="shared" si="19"/>
        <v>#VALUE!</v>
      </c>
      <c r="AU11" s="16" t="e">
        <f t="shared" si="19"/>
        <v>#VALUE!</v>
      </c>
      <c r="AV11" s="13" t="e">
        <f t="shared" si="19"/>
        <v>#VALUE!</v>
      </c>
      <c r="AW11" s="14" t="e">
        <f t="shared" si="19"/>
        <v>#VALUE!</v>
      </c>
      <c r="AX11" s="14" t="e">
        <f t="shared" si="19"/>
        <v>#VALUE!</v>
      </c>
      <c r="AY11" s="14" t="e">
        <f t="shared" si="19"/>
        <v>#VALUE!</v>
      </c>
      <c r="AZ11" s="14" t="e">
        <f t="shared" si="19"/>
        <v>#VALUE!</v>
      </c>
      <c r="BA11" s="15" t="e">
        <f t="shared" si="19"/>
        <v>#VALUE!</v>
      </c>
      <c r="BB11" s="16" t="e">
        <f t="shared" si="19"/>
        <v>#VALUE!</v>
      </c>
      <c r="BC11" s="13" t="e">
        <f t="shared" si="19"/>
        <v>#VALUE!</v>
      </c>
      <c r="BD11" s="14" t="e">
        <f t="shared" si="19"/>
        <v>#VALUE!</v>
      </c>
      <c r="BE11" s="14" t="e">
        <f t="shared" si="19"/>
        <v>#VALUE!</v>
      </c>
      <c r="BF11" s="14" t="e">
        <f t="shared" si="19"/>
        <v>#VALUE!</v>
      </c>
      <c r="BG11" s="14" t="e">
        <f t="shared" si="20"/>
        <v>#VALUE!</v>
      </c>
      <c r="BH11" s="15" t="e">
        <f t="shared" si="20"/>
        <v>#VALUE!</v>
      </c>
      <c r="BI11" s="16" t="e">
        <f t="shared" si="20"/>
        <v>#VALUE!</v>
      </c>
      <c r="BJ11" s="13" t="e">
        <f t="shared" si="20"/>
        <v>#VALUE!</v>
      </c>
      <c r="BK11" s="14" t="e">
        <f t="shared" si="20"/>
        <v>#VALUE!</v>
      </c>
      <c r="BL11" s="14" t="e">
        <f t="shared" si="20"/>
        <v>#VALUE!</v>
      </c>
      <c r="BM11" s="14" t="e">
        <f t="shared" si="20"/>
        <v>#VALUE!</v>
      </c>
      <c r="BN11" s="14" t="e">
        <f t="shared" si="20"/>
        <v>#VALUE!</v>
      </c>
      <c r="BO11" s="15" t="e">
        <f t="shared" si="20"/>
        <v>#VALUE!</v>
      </c>
      <c r="BP11" s="16" t="e">
        <f t="shared" si="20"/>
        <v>#VALUE!</v>
      </c>
      <c r="BQ11" s="13" t="e">
        <f t="shared" si="20"/>
        <v>#VALUE!</v>
      </c>
      <c r="BR11" s="14" t="e">
        <f t="shared" si="20"/>
        <v>#VALUE!</v>
      </c>
      <c r="BS11" s="14" t="e">
        <f t="shared" si="20"/>
        <v>#VALUE!</v>
      </c>
      <c r="BT11" s="14" t="e">
        <f t="shared" si="20"/>
        <v>#VALUE!</v>
      </c>
      <c r="BU11" s="14" t="e">
        <f t="shared" si="20"/>
        <v>#VALUE!</v>
      </c>
      <c r="BV11" s="15" t="e">
        <f t="shared" si="20"/>
        <v>#VALUE!</v>
      </c>
      <c r="BW11" s="16" t="e">
        <f t="shared" si="21"/>
        <v>#VALUE!</v>
      </c>
      <c r="BX11" s="13" t="e">
        <f t="shared" si="21"/>
        <v>#VALUE!</v>
      </c>
      <c r="BY11" s="14" t="e">
        <f t="shared" si="21"/>
        <v>#VALUE!</v>
      </c>
      <c r="BZ11" s="14" t="e">
        <f t="shared" si="21"/>
        <v>#VALUE!</v>
      </c>
      <c r="CA11" s="14" t="e">
        <f t="shared" si="21"/>
        <v>#VALUE!</v>
      </c>
      <c r="CB11" s="14" t="e">
        <f t="shared" si="21"/>
        <v>#VALUE!</v>
      </c>
      <c r="CC11" s="15" t="e">
        <f t="shared" si="21"/>
        <v>#VALUE!</v>
      </c>
      <c r="CD11" s="16" t="e">
        <f t="shared" si="21"/>
        <v>#VALUE!</v>
      </c>
      <c r="CE11" s="13" t="e">
        <f t="shared" si="21"/>
        <v>#VALUE!</v>
      </c>
      <c r="CF11" s="14" t="e">
        <f t="shared" si="21"/>
        <v>#VALUE!</v>
      </c>
      <c r="CG11" s="14" t="e">
        <f t="shared" si="21"/>
        <v>#VALUE!</v>
      </c>
      <c r="CH11" s="14" t="e">
        <f t="shared" si="21"/>
        <v>#VALUE!</v>
      </c>
      <c r="CI11" s="14" t="e">
        <f t="shared" si="21"/>
        <v>#VALUE!</v>
      </c>
      <c r="CJ11" s="15" t="e">
        <f t="shared" si="21"/>
        <v>#VALUE!</v>
      </c>
      <c r="CK11" s="16" t="e">
        <f t="shared" si="21"/>
        <v>#VALUE!</v>
      </c>
      <c r="CL11" s="13" t="e">
        <f t="shared" si="21"/>
        <v>#VALUE!</v>
      </c>
      <c r="CM11" s="14" t="e">
        <f t="shared" si="22"/>
        <v>#VALUE!</v>
      </c>
      <c r="CN11" s="14" t="e">
        <f t="shared" si="22"/>
        <v>#VALUE!</v>
      </c>
      <c r="CO11" s="14" t="e">
        <f t="shared" si="22"/>
        <v>#VALUE!</v>
      </c>
      <c r="CP11" s="14" t="e">
        <f t="shared" si="22"/>
        <v>#VALUE!</v>
      </c>
      <c r="CQ11" s="15" t="e">
        <f t="shared" si="22"/>
        <v>#VALUE!</v>
      </c>
      <c r="CR11" s="16" t="e">
        <f t="shared" si="22"/>
        <v>#VALUE!</v>
      </c>
      <c r="CS11" s="13" t="e">
        <f t="shared" si="22"/>
        <v>#VALUE!</v>
      </c>
      <c r="CT11" s="14" t="e">
        <f t="shared" si="22"/>
        <v>#VALUE!</v>
      </c>
      <c r="CU11" s="14" t="e">
        <f t="shared" si="22"/>
        <v>#VALUE!</v>
      </c>
      <c r="CV11" s="14" t="e">
        <f t="shared" si="22"/>
        <v>#VALUE!</v>
      </c>
      <c r="CW11" s="14" t="e">
        <f t="shared" si="22"/>
        <v>#VALUE!</v>
      </c>
      <c r="CX11" s="15" t="e">
        <f t="shared" si="22"/>
        <v>#VALUE!</v>
      </c>
      <c r="CY11" s="16" t="e">
        <f t="shared" si="22"/>
        <v>#VALUE!</v>
      </c>
      <c r="CZ11" s="13" t="e">
        <f t="shared" si="22"/>
        <v>#VALUE!</v>
      </c>
      <c r="DA11" s="14" t="e">
        <f t="shared" si="22"/>
        <v>#VALUE!</v>
      </c>
      <c r="DB11" s="14" t="e">
        <f t="shared" si="22"/>
        <v>#VALUE!</v>
      </c>
      <c r="DC11" s="14" t="e">
        <f t="shared" si="23"/>
        <v>#VALUE!</v>
      </c>
      <c r="DD11" s="14" t="e">
        <f t="shared" si="23"/>
        <v>#VALUE!</v>
      </c>
      <c r="DE11" s="15" t="e">
        <f t="shared" si="23"/>
        <v>#VALUE!</v>
      </c>
      <c r="DF11" s="16" t="e">
        <f t="shared" si="23"/>
        <v>#VALUE!</v>
      </c>
      <c r="DG11" s="13" t="e">
        <f t="shared" si="23"/>
        <v>#VALUE!</v>
      </c>
      <c r="DH11" s="14" t="e">
        <f t="shared" si="23"/>
        <v>#VALUE!</v>
      </c>
      <c r="DI11" s="14" t="e">
        <f t="shared" si="23"/>
        <v>#VALUE!</v>
      </c>
      <c r="DJ11" s="14" t="e">
        <f t="shared" si="23"/>
        <v>#VALUE!</v>
      </c>
      <c r="DK11" s="14" t="e">
        <f t="shared" si="23"/>
        <v>#VALUE!</v>
      </c>
      <c r="DL11" s="15" t="e">
        <f t="shared" si="23"/>
        <v>#VALUE!</v>
      </c>
      <c r="DM11" s="16" t="e">
        <f t="shared" si="23"/>
        <v>#VALUE!</v>
      </c>
      <c r="DN11" s="13" t="e">
        <f t="shared" si="23"/>
        <v>#VALUE!</v>
      </c>
      <c r="DO11" s="14" t="e">
        <f t="shared" si="23"/>
        <v>#VALUE!</v>
      </c>
      <c r="DP11" s="14" t="e">
        <f t="shared" si="23"/>
        <v>#VALUE!</v>
      </c>
      <c r="DQ11" s="14" t="e">
        <f t="shared" si="23"/>
        <v>#VALUE!</v>
      </c>
      <c r="DR11" s="14" t="e">
        <f t="shared" si="23"/>
        <v>#VALUE!</v>
      </c>
      <c r="DS11" s="15" t="e">
        <f t="shared" si="23"/>
        <v>#VALUE!</v>
      </c>
      <c r="DT11" s="16" t="e">
        <f t="shared" si="23"/>
        <v>#VALUE!</v>
      </c>
    </row>
    <row r="12" spans="1:124" s="17" customFormat="1" ht="9.75" customHeight="1">
      <c r="A12" s="586"/>
      <c r="B12" s="18" t="s">
        <v>42</v>
      </c>
      <c r="C12" s="19" t="e">
        <f>E11+1</f>
        <v>#VALUE!</v>
      </c>
      <c r="D12" s="19" t="str">
        <f>_xlfn.XLOOKUP(A25,'VTT project'!F:F,'VTT project'!V:V,"-",0)</f>
        <v>-</v>
      </c>
      <c r="E12" s="21" t="e">
        <f t="shared" si="24"/>
        <v>#VALUE!</v>
      </c>
      <c r="F12" s="13" t="e">
        <f t="shared" si="17"/>
        <v>#VALUE!</v>
      </c>
      <c r="G12" s="14" t="e">
        <f t="shared" si="17"/>
        <v>#VALUE!</v>
      </c>
      <c r="H12" s="14" t="e">
        <f t="shared" si="17"/>
        <v>#VALUE!</v>
      </c>
      <c r="I12" s="14" t="e">
        <f t="shared" si="17"/>
        <v>#VALUE!</v>
      </c>
      <c r="J12" s="14" t="e">
        <f t="shared" si="17"/>
        <v>#VALUE!</v>
      </c>
      <c r="K12" s="15" t="e">
        <f t="shared" si="17"/>
        <v>#VALUE!</v>
      </c>
      <c r="L12" s="16" t="e">
        <f t="shared" si="17"/>
        <v>#VALUE!</v>
      </c>
      <c r="M12" s="13" t="e">
        <f t="shared" si="17"/>
        <v>#VALUE!</v>
      </c>
      <c r="N12" s="14" t="e">
        <f t="shared" si="17"/>
        <v>#VALUE!</v>
      </c>
      <c r="O12" s="14" t="e">
        <f t="shared" si="17"/>
        <v>#VALUE!</v>
      </c>
      <c r="P12" s="14" t="e">
        <f t="shared" si="17"/>
        <v>#VALUE!</v>
      </c>
      <c r="Q12" s="14" t="e">
        <f t="shared" si="17"/>
        <v>#VALUE!</v>
      </c>
      <c r="R12" s="15" t="e">
        <f t="shared" si="17"/>
        <v>#VALUE!</v>
      </c>
      <c r="S12" s="16" t="e">
        <f t="shared" si="17"/>
        <v>#VALUE!</v>
      </c>
      <c r="T12" s="13" t="e">
        <f t="shared" si="17"/>
        <v>#VALUE!</v>
      </c>
      <c r="U12" s="14" t="e">
        <f t="shared" si="17"/>
        <v>#VALUE!</v>
      </c>
      <c r="V12" s="14" t="e">
        <f t="shared" si="17"/>
        <v>#VALUE!</v>
      </c>
      <c r="W12" s="14" t="e">
        <f t="shared" si="17"/>
        <v>#VALUE!</v>
      </c>
      <c r="X12" s="14" t="e">
        <f t="shared" si="17"/>
        <v>#VALUE!</v>
      </c>
      <c r="Y12" s="15" t="e">
        <f t="shared" si="17"/>
        <v>#VALUE!</v>
      </c>
      <c r="Z12" s="16" t="e">
        <f t="shared" si="17"/>
        <v>#VALUE!</v>
      </c>
      <c r="AA12" s="13" t="e">
        <f t="shared" si="18"/>
        <v>#VALUE!</v>
      </c>
      <c r="AB12" s="14" t="e">
        <f t="shared" si="18"/>
        <v>#VALUE!</v>
      </c>
      <c r="AC12" s="14" t="e">
        <f t="shared" si="18"/>
        <v>#VALUE!</v>
      </c>
      <c r="AD12" s="14" t="e">
        <f t="shared" si="18"/>
        <v>#VALUE!</v>
      </c>
      <c r="AE12" s="14" t="e">
        <f t="shared" si="18"/>
        <v>#VALUE!</v>
      </c>
      <c r="AF12" s="15" t="e">
        <f t="shared" si="18"/>
        <v>#VALUE!</v>
      </c>
      <c r="AG12" s="16" t="e">
        <f t="shared" si="18"/>
        <v>#VALUE!</v>
      </c>
      <c r="AH12" s="13" t="e">
        <f t="shared" si="18"/>
        <v>#VALUE!</v>
      </c>
      <c r="AI12" s="14" t="e">
        <f t="shared" si="18"/>
        <v>#VALUE!</v>
      </c>
      <c r="AJ12" s="14" t="e">
        <f t="shared" si="18"/>
        <v>#VALUE!</v>
      </c>
      <c r="AK12" s="14" t="e">
        <f t="shared" si="18"/>
        <v>#VALUE!</v>
      </c>
      <c r="AL12" s="14" t="e">
        <f t="shared" si="18"/>
        <v>#VALUE!</v>
      </c>
      <c r="AM12" s="15" t="e">
        <f t="shared" si="18"/>
        <v>#VALUE!</v>
      </c>
      <c r="AN12" s="16" t="e">
        <f t="shared" si="18"/>
        <v>#VALUE!</v>
      </c>
      <c r="AO12" s="13" t="e">
        <f t="shared" si="18"/>
        <v>#VALUE!</v>
      </c>
      <c r="AP12" s="14" t="e">
        <f t="shared" si="18"/>
        <v>#VALUE!</v>
      </c>
      <c r="AQ12" s="14" t="e">
        <f t="shared" si="19"/>
        <v>#VALUE!</v>
      </c>
      <c r="AR12" s="14" t="e">
        <f t="shared" si="19"/>
        <v>#VALUE!</v>
      </c>
      <c r="AS12" s="14" t="e">
        <f t="shared" si="19"/>
        <v>#VALUE!</v>
      </c>
      <c r="AT12" s="15" t="e">
        <f t="shared" si="19"/>
        <v>#VALUE!</v>
      </c>
      <c r="AU12" s="16" t="e">
        <f t="shared" si="19"/>
        <v>#VALUE!</v>
      </c>
      <c r="AV12" s="13" t="e">
        <f t="shared" si="19"/>
        <v>#VALUE!</v>
      </c>
      <c r="AW12" s="14" t="e">
        <f t="shared" si="19"/>
        <v>#VALUE!</v>
      </c>
      <c r="AX12" s="14" t="e">
        <f t="shared" si="19"/>
        <v>#VALUE!</v>
      </c>
      <c r="AY12" s="14" t="e">
        <f t="shared" si="19"/>
        <v>#VALUE!</v>
      </c>
      <c r="AZ12" s="14" t="e">
        <f t="shared" si="19"/>
        <v>#VALUE!</v>
      </c>
      <c r="BA12" s="15" t="e">
        <f t="shared" si="19"/>
        <v>#VALUE!</v>
      </c>
      <c r="BB12" s="16" t="e">
        <f t="shared" si="19"/>
        <v>#VALUE!</v>
      </c>
      <c r="BC12" s="13" t="e">
        <f t="shared" si="19"/>
        <v>#VALUE!</v>
      </c>
      <c r="BD12" s="14" t="e">
        <f t="shared" si="19"/>
        <v>#VALUE!</v>
      </c>
      <c r="BE12" s="14" t="e">
        <f t="shared" si="19"/>
        <v>#VALUE!</v>
      </c>
      <c r="BF12" s="14" t="e">
        <f t="shared" si="19"/>
        <v>#VALUE!</v>
      </c>
      <c r="BG12" s="14" t="e">
        <f t="shared" si="20"/>
        <v>#VALUE!</v>
      </c>
      <c r="BH12" s="15" t="e">
        <f t="shared" si="20"/>
        <v>#VALUE!</v>
      </c>
      <c r="BI12" s="16" t="e">
        <f t="shared" si="20"/>
        <v>#VALUE!</v>
      </c>
      <c r="BJ12" s="13" t="e">
        <f t="shared" si="20"/>
        <v>#VALUE!</v>
      </c>
      <c r="BK12" s="14" t="e">
        <f t="shared" si="20"/>
        <v>#VALUE!</v>
      </c>
      <c r="BL12" s="14" t="e">
        <f t="shared" si="20"/>
        <v>#VALUE!</v>
      </c>
      <c r="BM12" s="14" t="e">
        <f t="shared" si="20"/>
        <v>#VALUE!</v>
      </c>
      <c r="BN12" s="14" t="e">
        <f t="shared" si="20"/>
        <v>#VALUE!</v>
      </c>
      <c r="BO12" s="15" t="e">
        <f t="shared" si="20"/>
        <v>#VALUE!</v>
      </c>
      <c r="BP12" s="16" t="e">
        <f t="shared" si="20"/>
        <v>#VALUE!</v>
      </c>
      <c r="BQ12" s="13" t="e">
        <f t="shared" si="20"/>
        <v>#VALUE!</v>
      </c>
      <c r="BR12" s="14" t="e">
        <f t="shared" si="20"/>
        <v>#VALUE!</v>
      </c>
      <c r="BS12" s="14" t="e">
        <f t="shared" si="20"/>
        <v>#VALUE!</v>
      </c>
      <c r="BT12" s="14" t="e">
        <f t="shared" si="20"/>
        <v>#VALUE!</v>
      </c>
      <c r="BU12" s="14" t="e">
        <f t="shared" si="20"/>
        <v>#VALUE!</v>
      </c>
      <c r="BV12" s="15" t="e">
        <f t="shared" si="20"/>
        <v>#VALUE!</v>
      </c>
      <c r="BW12" s="16" t="e">
        <f t="shared" si="21"/>
        <v>#VALUE!</v>
      </c>
      <c r="BX12" s="13" t="e">
        <f t="shared" si="21"/>
        <v>#VALUE!</v>
      </c>
      <c r="BY12" s="14" t="e">
        <f t="shared" si="21"/>
        <v>#VALUE!</v>
      </c>
      <c r="BZ12" s="14" t="e">
        <f t="shared" si="21"/>
        <v>#VALUE!</v>
      </c>
      <c r="CA12" s="14" t="e">
        <f t="shared" si="21"/>
        <v>#VALUE!</v>
      </c>
      <c r="CB12" s="14" t="e">
        <f t="shared" si="21"/>
        <v>#VALUE!</v>
      </c>
      <c r="CC12" s="15" t="e">
        <f t="shared" si="21"/>
        <v>#VALUE!</v>
      </c>
      <c r="CD12" s="16" t="e">
        <f t="shared" si="21"/>
        <v>#VALUE!</v>
      </c>
      <c r="CE12" s="13" t="e">
        <f t="shared" si="21"/>
        <v>#VALUE!</v>
      </c>
      <c r="CF12" s="14" t="e">
        <f t="shared" si="21"/>
        <v>#VALUE!</v>
      </c>
      <c r="CG12" s="14" t="e">
        <f t="shared" si="21"/>
        <v>#VALUE!</v>
      </c>
      <c r="CH12" s="14" t="e">
        <f t="shared" si="21"/>
        <v>#VALUE!</v>
      </c>
      <c r="CI12" s="14" t="e">
        <f t="shared" si="21"/>
        <v>#VALUE!</v>
      </c>
      <c r="CJ12" s="15" t="e">
        <f t="shared" si="21"/>
        <v>#VALUE!</v>
      </c>
      <c r="CK12" s="16" t="e">
        <f t="shared" si="21"/>
        <v>#VALUE!</v>
      </c>
      <c r="CL12" s="13" t="e">
        <f t="shared" si="21"/>
        <v>#VALUE!</v>
      </c>
      <c r="CM12" s="14" t="e">
        <f t="shared" si="22"/>
        <v>#VALUE!</v>
      </c>
      <c r="CN12" s="14" t="e">
        <f t="shared" si="22"/>
        <v>#VALUE!</v>
      </c>
      <c r="CO12" s="14" t="e">
        <f t="shared" si="22"/>
        <v>#VALUE!</v>
      </c>
      <c r="CP12" s="14" t="e">
        <f t="shared" si="22"/>
        <v>#VALUE!</v>
      </c>
      <c r="CQ12" s="15" t="e">
        <f t="shared" si="22"/>
        <v>#VALUE!</v>
      </c>
      <c r="CR12" s="16" t="e">
        <f t="shared" si="22"/>
        <v>#VALUE!</v>
      </c>
      <c r="CS12" s="13" t="e">
        <f t="shared" si="22"/>
        <v>#VALUE!</v>
      </c>
      <c r="CT12" s="14" t="e">
        <f t="shared" si="22"/>
        <v>#VALUE!</v>
      </c>
      <c r="CU12" s="14" t="e">
        <f t="shared" si="22"/>
        <v>#VALUE!</v>
      </c>
      <c r="CV12" s="14" t="e">
        <f t="shared" si="22"/>
        <v>#VALUE!</v>
      </c>
      <c r="CW12" s="14" t="e">
        <f t="shared" si="22"/>
        <v>#VALUE!</v>
      </c>
      <c r="CX12" s="15" t="e">
        <f t="shared" si="22"/>
        <v>#VALUE!</v>
      </c>
      <c r="CY12" s="16" t="e">
        <f t="shared" si="22"/>
        <v>#VALUE!</v>
      </c>
      <c r="CZ12" s="13" t="e">
        <f t="shared" si="22"/>
        <v>#VALUE!</v>
      </c>
      <c r="DA12" s="14" t="e">
        <f t="shared" si="22"/>
        <v>#VALUE!</v>
      </c>
      <c r="DB12" s="14" t="e">
        <f t="shared" si="22"/>
        <v>#VALUE!</v>
      </c>
      <c r="DC12" s="14" t="e">
        <f t="shared" si="23"/>
        <v>#VALUE!</v>
      </c>
      <c r="DD12" s="14" t="e">
        <f t="shared" si="23"/>
        <v>#VALUE!</v>
      </c>
      <c r="DE12" s="15" t="e">
        <f t="shared" si="23"/>
        <v>#VALUE!</v>
      </c>
      <c r="DF12" s="16" t="e">
        <f t="shared" si="23"/>
        <v>#VALUE!</v>
      </c>
      <c r="DG12" s="13" t="e">
        <f t="shared" si="23"/>
        <v>#VALUE!</v>
      </c>
      <c r="DH12" s="14" t="e">
        <f t="shared" si="23"/>
        <v>#VALUE!</v>
      </c>
      <c r="DI12" s="14" t="e">
        <f t="shared" si="23"/>
        <v>#VALUE!</v>
      </c>
      <c r="DJ12" s="14" t="e">
        <f t="shared" si="23"/>
        <v>#VALUE!</v>
      </c>
      <c r="DK12" s="14" t="e">
        <f t="shared" si="23"/>
        <v>#VALUE!</v>
      </c>
      <c r="DL12" s="15" t="e">
        <f t="shared" si="23"/>
        <v>#VALUE!</v>
      </c>
      <c r="DM12" s="16" t="e">
        <f t="shared" si="23"/>
        <v>#VALUE!</v>
      </c>
      <c r="DN12" s="13" t="e">
        <f t="shared" si="23"/>
        <v>#VALUE!</v>
      </c>
      <c r="DO12" s="14" t="e">
        <f t="shared" si="23"/>
        <v>#VALUE!</v>
      </c>
      <c r="DP12" s="14" t="e">
        <f t="shared" si="23"/>
        <v>#VALUE!</v>
      </c>
      <c r="DQ12" s="14" t="e">
        <f t="shared" si="23"/>
        <v>#VALUE!</v>
      </c>
      <c r="DR12" s="14" t="e">
        <f t="shared" si="23"/>
        <v>#VALUE!</v>
      </c>
      <c r="DS12" s="15" t="e">
        <f t="shared" si="23"/>
        <v>#VALUE!</v>
      </c>
      <c r="DT12" s="16" t="e">
        <f t="shared" si="23"/>
        <v>#VALUE!</v>
      </c>
    </row>
    <row r="13" spans="1:124" s="17" customFormat="1" ht="9.75" customHeight="1">
      <c r="A13" s="586"/>
      <c r="B13" s="22" t="s">
        <v>43</v>
      </c>
      <c r="C13" s="19" t="e">
        <f>IF(AND(_xlfn.XLOOKUP(A25,'VTT project'!F:F,'VTT project'!W:W,"-",0)=7,INT(E12/7)=E12/7),E12,IF((ROUNDDOWN(E12/7,0)*7+_xlfn.XLOOKUP(A25,'VTT project'!F:F,'VTT project'!W:W,"-",0))&lt;E12,(ROUNDDOWN(E12/7,0)*7+_xlfn.XLOOKUP(A25,'VTT project'!F:F,'VTT project'!W:W,"-",0))+7,(ROUNDDOWN(E12/7,0)*7+_xlfn.XLOOKUP(A25,'VTT project'!F:F,'VTT project'!W:W,"-",0))))</f>
        <v>#VALUE!</v>
      </c>
      <c r="D13" s="20">
        <v>0</v>
      </c>
      <c r="E13" s="19" t="e">
        <f>C13+D13</f>
        <v>#VALUE!</v>
      </c>
      <c r="F13" s="13" t="e">
        <f t="shared" si="17"/>
        <v>#VALUE!</v>
      </c>
      <c r="G13" s="14" t="e">
        <f t="shared" si="17"/>
        <v>#VALUE!</v>
      </c>
      <c r="H13" s="14" t="e">
        <f t="shared" si="17"/>
        <v>#VALUE!</v>
      </c>
      <c r="I13" s="14" t="e">
        <f t="shared" si="17"/>
        <v>#VALUE!</v>
      </c>
      <c r="J13" s="14" t="e">
        <f t="shared" si="17"/>
        <v>#VALUE!</v>
      </c>
      <c r="K13" s="15" t="e">
        <f t="shared" si="17"/>
        <v>#VALUE!</v>
      </c>
      <c r="L13" s="16" t="e">
        <f t="shared" si="17"/>
        <v>#VALUE!</v>
      </c>
      <c r="M13" s="13" t="e">
        <f t="shared" si="17"/>
        <v>#VALUE!</v>
      </c>
      <c r="N13" s="14" t="e">
        <f t="shared" si="17"/>
        <v>#VALUE!</v>
      </c>
      <c r="O13" s="14" t="e">
        <f t="shared" si="17"/>
        <v>#VALUE!</v>
      </c>
      <c r="P13" s="14" t="e">
        <f t="shared" si="17"/>
        <v>#VALUE!</v>
      </c>
      <c r="Q13" s="14" t="e">
        <f t="shared" si="17"/>
        <v>#VALUE!</v>
      </c>
      <c r="R13" s="15" t="e">
        <f t="shared" si="17"/>
        <v>#VALUE!</v>
      </c>
      <c r="S13" s="16" t="e">
        <f t="shared" si="17"/>
        <v>#VALUE!</v>
      </c>
      <c r="T13" s="13" t="e">
        <f t="shared" si="17"/>
        <v>#VALUE!</v>
      </c>
      <c r="U13" s="14" t="e">
        <f t="shared" si="17"/>
        <v>#VALUE!</v>
      </c>
      <c r="V13" s="14" t="e">
        <f t="shared" si="17"/>
        <v>#VALUE!</v>
      </c>
      <c r="W13" s="14" t="e">
        <f t="shared" si="17"/>
        <v>#VALUE!</v>
      </c>
      <c r="X13" s="14" t="e">
        <f t="shared" si="17"/>
        <v>#VALUE!</v>
      </c>
      <c r="Y13" s="15" t="e">
        <f t="shared" si="17"/>
        <v>#VALUE!</v>
      </c>
      <c r="Z13" s="16" t="e">
        <f t="shared" si="17"/>
        <v>#VALUE!</v>
      </c>
      <c r="AA13" s="13" t="e">
        <f t="shared" si="18"/>
        <v>#VALUE!</v>
      </c>
      <c r="AB13" s="14" t="e">
        <f t="shared" si="18"/>
        <v>#VALUE!</v>
      </c>
      <c r="AC13" s="14" t="e">
        <f t="shared" si="18"/>
        <v>#VALUE!</v>
      </c>
      <c r="AD13" s="14" t="e">
        <f t="shared" si="18"/>
        <v>#VALUE!</v>
      </c>
      <c r="AE13" s="14" t="e">
        <f t="shared" si="18"/>
        <v>#VALUE!</v>
      </c>
      <c r="AF13" s="15" t="e">
        <f t="shared" si="18"/>
        <v>#VALUE!</v>
      </c>
      <c r="AG13" s="16" t="e">
        <f t="shared" si="18"/>
        <v>#VALUE!</v>
      </c>
      <c r="AH13" s="13" t="e">
        <f t="shared" si="18"/>
        <v>#VALUE!</v>
      </c>
      <c r="AI13" s="14" t="e">
        <f t="shared" si="18"/>
        <v>#VALUE!</v>
      </c>
      <c r="AJ13" s="14" t="e">
        <f t="shared" si="18"/>
        <v>#VALUE!</v>
      </c>
      <c r="AK13" s="14" t="e">
        <f t="shared" si="18"/>
        <v>#VALUE!</v>
      </c>
      <c r="AL13" s="14" t="e">
        <f t="shared" si="18"/>
        <v>#VALUE!</v>
      </c>
      <c r="AM13" s="15" t="e">
        <f t="shared" si="18"/>
        <v>#VALUE!</v>
      </c>
      <c r="AN13" s="16" t="e">
        <f t="shared" si="18"/>
        <v>#VALUE!</v>
      </c>
      <c r="AO13" s="13" t="e">
        <f t="shared" si="18"/>
        <v>#VALUE!</v>
      </c>
      <c r="AP13" s="14" t="e">
        <f t="shared" si="18"/>
        <v>#VALUE!</v>
      </c>
      <c r="AQ13" s="14" t="e">
        <f t="shared" si="19"/>
        <v>#VALUE!</v>
      </c>
      <c r="AR13" s="14" t="e">
        <f t="shared" si="19"/>
        <v>#VALUE!</v>
      </c>
      <c r="AS13" s="14" t="e">
        <f t="shared" si="19"/>
        <v>#VALUE!</v>
      </c>
      <c r="AT13" s="15" t="e">
        <f t="shared" si="19"/>
        <v>#VALUE!</v>
      </c>
      <c r="AU13" s="16" t="e">
        <f t="shared" si="19"/>
        <v>#VALUE!</v>
      </c>
      <c r="AV13" s="13" t="e">
        <f t="shared" si="19"/>
        <v>#VALUE!</v>
      </c>
      <c r="AW13" s="14" t="e">
        <f t="shared" si="19"/>
        <v>#VALUE!</v>
      </c>
      <c r="AX13" s="14" t="e">
        <f t="shared" si="19"/>
        <v>#VALUE!</v>
      </c>
      <c r="AY13" s="14" t="e">
        <f t="shared" si="19"/>
        <v>#VALUE!</v>
      </c>
      <c r="AZ13" s="14" t="e">
        <f t="shared" si="19"/>
        <v>#VALUE!</v>
      </c>
      <c r="BA13" s="15" t="e">
        <f t="shared" si="19"/>
        <v>#VALUE!</v>
      </c>
      <c r="BB13" s="16" t="e">
        <f t="shared" si="19"/>
        <v>#VALUE!</v>
      </c>
      <c r="BC13" s="13" t="e">
        <f t="shared" si="19"/>
        <v>#VALUE!</v>
      </c>
      <c r="BD13" s="14" t="e">
        <f t="shared" si="19"/>
        <v>#VALUE!</v>
      </c>
      <c r="BE13" s="14" t="e">
        <f t="shared" si="19"/>
        <v>#VALUE!</v>
      </c>
      <c r="BF13" s="14" t="e">
        <f t="shared" si="19"/>
        <v>#VALUE!</v>
      </c>
      <c r="BG13" s="14" t="e">
        <f t="shared" si="20"/>
        <v>#VALUE!</v>
      </c>
      <c r="BH13" s="15" t="e">
        <f t="shared" si="20"/>
        <v>#VALUE!</v>
      </c>
      <c r="BI13" s="16" t="e">
        <f t="shared" si="20"/>
        <v>#VALUE!</v>
      </c>
      <c r="BJ13" s="13" t="e">
        <f t="shared" si="20"/>
        <v>#VALUE!</v>
      </c>
      <c r="BK13" s="14" t="e">
        <f t="shared" si="20"/>
        <v>#VALUE!</v>
      </c>
      <c r="BL13" s="14" t="e">
        <f t="shared" si="20"/>
        <v>#VALUE!</v>
      </c>
      <c r="BM13" s="14" t="e">
        <f t="shared" si="20"/>
        <v>#VALUE!</v>
      </c>
      <c r="BN13" s="14" t="e">
        <f t="shared" si="20"/>
        <v>#VALUE!</v>
      </c>
      <c r="BO13" s="15" t="e">
        <f t="shared" si="20"/>
        <v>#VALUE!</v>
      </c>
      <c r="BP13" s="16" t="e">
        <f t="shared" si="20"/>
        <v>#VALUE!</v>
      </c>
      <c r="BQ13" s="13" t="e">
        <f t="shared" si="20"/>
        <v>#VALUE!</v>
      </c>
      <c r="BR13" s="14" t="e">
        <f t="shared" si="20"/>
        <v>#VALUE!</v>
      </c>
      <c r="BS13" s="14" t="e">
        <f t="shared" si="20"/>
        <v>#VALUE!</v>
      </c>
      <c r="BT13" s="14" t="e">
        <f t="shared" si="20"/>
        <v>#VALUE!</v>
      </c>
      <c r="BU13" s="14" t="e">
        <f t="shared" si="20"/>
        <v>#VALUE!</v>
      </c>
      <c r="BV13" s="15" t="e">
        <f t="shared" si="20"/>
        <v>#VALUE!</v>
      </c>
      <c r="BW13" s="16" t="e">
        <f t="shared" si="21"/>
        <v>#VALUE!</v>
      </c>
      <c r="BX13" s="13" t="e">
        <f t="shared" si="21"/>
        <v>#VALUE!</v>
      </c>
      <c r="BY13" s="14" t="e">
        <f t="shared" si="21"/>
        <v>#VALUE!</v>
      </c>
      <c r="BZ13" s="14" t="e">
        <f t="shared" si="21"/>
        <v>#VALUE!</v>
      </c>
      <c r="CA13" s="14" t="e">
        <f t="shared" si="21"/>
        <v>#VALUE!</v>
      </c>
      <c r="CB13" s="14" t="e">
        <f t="shared" si="21"/>
        <v>#VALUE!</v>
      </c>
      <c r="CC13" s="15" t="e">
        <f t="shared" si="21"/>
        <v>#VALUE!</v>
      </c>
      <c r="CD13" s="16" t="e">
        <f t="shared" si="21"/>
        <v>#VALUE!</v>
      </c>
      <c r="CE13" s="13" t="e">
        <f t="shared" si="21"/>
        <v>#VALUE!</v>
      </c>
      <c r="CF13" s="14" t="e">
        <f t="shared" si="21"/>
        <v>#VALUE!</v>
      </c>
      <c r="CG13" s="14" t="e">
        <f t="shared" si="21"/>
        <v>#VALUE!</v>
      </c>
      <c r="CH13" s="14" t="e">
        <f t="shared" si="21"/>
        <v>#VALUE!</v>
      </c>
      <c r="CI13" s="14" t="e">
        <f t="shared" si="21"/>
        <v>#VALUE!</v>
      </c>
      <c r="CJ13" s="15" t="e">
        <f t="shared" si="21"/>
        <v>#VALUE!</v>
      </c>
      <c r="CK13" s="16" t="e">
        <f t="shared" si="21"/>
        <v>#VALUE!</v>
      </c>
      <c r="CL13" s="13" t="e">
        <f t="shared" si="21"/>
        <v>#VALUE!</v>
      </c>
      <c r="CM13" s="14" t="e">
        <f t="shared" si="22"/>
        <v>#VALUE!</v>
      </c>
      <c r="CN13" s="14" t="e">
        <f t="shared" si="22"/>
        <v>#VALUE!</v>
      </c>
      <c r="CO13" s="14" t="e">
        <f t="shared" si="22"/>
        <v>#VALUE!</v>
      </c>
      <c r="CP13" s="14" t="e">
        <f t="shared" si="22"/>
        <v>#VALUE!</v>
      </c>
      <c r="CQ13" s="15" t="e">
        <f t="shared" si="22"/>
        <v>#VALUE!</v>
      </c>
      <c r="CR13" s="16" t="e">
        <f t="shared" si="22"/>
        <v>#VALUE!</v>
      </c>
      <c r="CS13" s="13" t="e">
        <f t="shared" si="22"/>
        <v>#VALUE!</v>
      </c>
      <c r="CT13" s="14" t="e">
        <f t="shared" si="22"/>
        <v>#VALUE!</v>
      </c>
      <c r="CU13" s="14" t="e">
        <f t="shared" si="22"/>
        <v>#VALUE!</v>
      </c>
      <c r="CV13" s="14" t="e">
        <f t="shared" si="22"/>
        <v>#VALUE!</v>
      </c>
      <c r="CW13" s="14" t="e">
        <f t="shared" si="22"/>
        <v>#VALUE!</v>
      </c>
      <c r="CX13" s="15" t="e">
        <f t="shared" si="22"/>
        <v>#VALUE!</v>
      </c>
      <c r="CY13" s="16" t="e">
        <f t="shared" si="22"/>
        <v>#VALUE!</v>
      </c>
      <c r="CZ13" s="13" t="e">
        <f t="shared" si="22"/>
        <v>#VALUE!</v>
      </c>
      <c r="DA13" s="14" t="e">
        <f t="shared" si="22"/>
        <v>#VALUE!</v>
      </c>
      <c r="DB13" s="14" t="e">
        <f t="shared" si="22"/>
        <v>#VALUE!</v>
      </c>
      <c r="DC13" s="14" t="e">
        <f t="shared" si="23"/>
        <v>#VALUE!</v>
      </c>
      <c r="DD13" s="14" t="e">
        <f t="shared" si="23"/>
        <v>#VALUE!</v>
      </c>
      <c r="DE13" s="15" t="e">
        <f t="shared" si="23"/>
        <v>#VALUE!</v>
      </c>
      <c r="DF13" s="16" t="e">
        <f t="shared" si="23"/>
        <v>#VALUE!</v>
      </c>
      <c r="DG13" s="13" t="e">
        <f t="shared" si="23"/>
        <v>#VALUE!</v>
      </c>
      <c r="DH13" s="14" t="e">
        <f t="shared" si="23"/>
        <v>#VALUE!</v>
      </c>
      <c r="DI13" s="14" t="e">
        <f t="shared" si="23"/>
        <v>#VALUE!</v>
      </c>
      <c r="DJ13" s="14" t="e">
        <f t="shared" si="23"/>
        <v>#VALUE!</v>
      </c>
      <c r="DK13" s="14" t="e">
        <f t="shared" si="23"/>
        <v>#VALUE!</v>
      </c>
      <c r="DL13" s="15" t="e">
        <f t="shared" si="23"/>
        <v>#VALUE!</v>
      </c>
      <c r="DM13" s="16" t="e">
        <f t="shared" si="23"/>
        <v>#VALUE!</v>
      </c>
      <c r="DN13" s="13" t="e">
        <f t="shared" si="23"/>
        <v>#VALUE!</v>
      </c>
      <c r="DO13" s="14" t="e">
        <f t="shared" si="23"/>
        <v>#VALUE!</v>
      </c>
      <c r="DP13" s="14" t="e">
        <f t="shared" si="23"/>
        <v>#VALUE!</v>
      </c>
      <c r="DQ13" s="14" t="e">
        <f t="shared" si="23"/>
        <v>#VALUE!</v>
      </c>
      <c r="DR13" s="14" t="e">
        <f t="shared" si="23"/>
        <v>#VALUE!</v>
      </c>
      <c r="DS13" s="15" t="e">
        <f t="shared" si="23"/>
        <v>#VALUE!</v>
      </c>
      <c r="DT13" s="16" t="e">
        <f t="shared" si="23"/>
        <v>#VALUE!</v>
      </c>
    </row>
    <row r="14" spans="1:124" s="17" customFormat="1" ht="9.75" customHeight="1">
      <c r="A14" s="586"/>
      <c r="B14" s="22" t="s">
        <v>44</v>
      </c>
      <c r="C14" s="19" t="e">
        <f>IF((ROUNDDOWN(E13/7,0)*7+_xlfn.XLOOKUP(A25,'VTT project'!F:F,'VTT project'!AC:AC,"-",0))&lt;E13,(ROUNDDOWN(E13/7,0)*7+_xlfn.XLOOKUP(A25,'VTT project'!F:F,'VTT project'!AC:AC,"-",0))+7,(ROUNDDOWN(E13/7,0)*7+_xlfn.XLOOKUP(A25,'VTT project'!F:F,'VTT project'!AC:AC,"-",0)))</f>
        <v>#VALUE!</v>
      </c>
      <c r="D14" s="20">
        <v>0</v>
      </c>
      <c r="E14" s="19" t="e">
        <f>C14+D14</f>
        <v>#VALUE!</v>
      </c>
      <c r="F14" s="13" t="e">
        <f t="shared" si="17"/>
        <v>#VALUE!</v>
      </c>
      <c r="G14" s="14" t="e">
        <f t="shared" si="17"/>
        <v>#VALUE!</v>
      </c>
      <c r="H14" s="14" t="e">
        <f t="shared" si="17"/>
        <v>#VALUE!</v>
      </c>
      <c r="I14" s="14" t="e">
        <f t="shared" si="17"/>
        <v>#VALUE!</v>
      </c>
      <c r="J14" s="14" t="e">
        <f t="shared" si="17"/>
        <v>#VALUE!</v>
      </c>
      <c r="K14" s="15" t="e">
        <f t="shared" si="17"/>
        <v>#VALUE!</v>
      </c>
      <c r="L14" s="16" t="e">
        <f t="shared" si="17"/>
        <v>#VALUE!</v>
      </c>
      <c r="M14" s="13" t="e">
        <f t="shared" si="17"/>
        <v>#VALUE!</v>
      </c>
      <c r="N14" s="14" t="e">
        <f t="shared" si="17"/>
        <v>#VALUE!</v>
      </c>
      <c r="O14" s="14" t="e">
        <f t="shared" si="17"/>
        <v>#VALUE!</v>
      </c>
      <c r="P14" s="14" t="e">
        <f t="shared" si="17"/>
        <v>#VALUE!</v>
      </c>
      <c r="Q14" s="14" t="e">
        <f t="shared" si="17"/>
        <v>#VALUE!</v>
      </c>
      <c r="R14" s="15" t="e">
        <f t="shared" si="17"/>
        <v>#VALUE!</v>
      </c>
      <c r="S14" s="16" t="e">
        <f t="shared" si="17"/>
        <v>#VALUE!</v>
      </c>
      <c r="T14" s="13" t="e">
        <f t="shared" si="17"/>
        <v>#VALUE!</v>
      </c>
      <c r="U14" s="14" t="e">
        <f t="shared" si="17"/>
        <v>#VALUE!</v>
      </c>
      <c r="V14" s="14" t="e">
        <f t="shared" si="17"/>
        <v>#VALUE!</v>
      </c>
      <c r="W14" s="14" t="e">
        <f t="shared" si="17"/>
        <v>#VALUE!</v>
      </c>
      <c r="X14" s="14" t="e">
        <f t="shared" si="17"/>
        <v>#VALUE!</v>
      </c>
      <c r="Y14" s="15" t="e">
        <f t="shared" si="17"/>
        <v>#VALUE!</v>
      </c>
      <c r="Z14" s="16" t="e">
        <f t="shared" si="17"/>
        <v>#VALUE!</v>
      </c>
      <c r="AA14" s="13" t="e">
        <f t="shared" si="18"/>
        <v>#VALUE!</v>
      </c>
      <c r="AB14" s="14" t="e">
        <f t="shared" si="18"/>
        <v>#VALUE!</v>
      </c>
      <c r="AC14" s="14" t="e">
        <f t="shared" si="18"/>
        <v>#VALUE!</v>
      </c>
      <c r="AD14" s="14" t="e">
        <f t="shared" si="18"/>
        <v>#VALUE!</v>
      </c>
      <c r="AE14" s="14" t="e">
        <f t="shared" si="18"/>
        <v>#VALUE!</v>
      </c>
      <c r="AF14" s="15" t="e">
        <f t="shared" si="18"/>
        <v>#VALUE!</v>
      </c>
      <c r="AG14" s="16" t="e">
        <f t="shared" si="18"/>
        <v>#VALUE!</v>
      </c>
      <c r="AH14" s="13" t="e">
        <f t="shared" si="18"/>
        <v>#VALUE!</v>
      </c>
      <c r="AI14" s="14" t="e">
        <f t="shared" si="18"/>
        <v>#VALUE!</v>
      </c>
      <c r="AJ14" s="14" t="e">
        <f t="shared" si="18"/>
        <v>#VALUE!</v>
      </c>
      <c r="AK14" s="14" t="e">
        <f t="shared" si="18"/>
        <v>#VALUE!</v>
      </c>
      <c r="AL14" s="14" t="e">
        <f t="shared" si="18"/>
        <v>#VALUE!</v>
      </c>
      <c r="AM14" s="15" t="e">
        <f t="shared" si="18"/>
        <v>#VALUE!</v>
      </c>
      <c r="AN14" s="16" t="e">
        <f t="shared" si="18"/>
        <v>#VALUE!</v>
      </c>
      <c r="AO14" s="13" t="e">
        <f t="shared" si="18"/>
        <v>#VALUE!</v>
      </c>
      <c r="AP14" s="14" t="e">
        <f t="shared" si="18"/>
        <v>#VALUE!</v>
      </c>
      <c r="AQ14" s="14" t="e">
        <f t="shared" si="19"/>
        <v>#VALUE!</v>
      </c>
      <c r="AR14" s="14" t="e">
        <f t="shared" si="19"/>
        <v>#VALUE!</v>
      </c>
      <c r="AS14" s="14" t="e">
        <f t="shared" si="19"/>
        <v>#VALUE!</v>
      </c>
      <c r="AT14" s="15" t="e">
        <f t="shared" si="19"/>
        <v>#VALUE!</v>
      </c>
      <c r="AU14" s="16" t="e">
        <f t="shared" si="19"/>
        <v>#VALUE!</v>
      </c>
      <c r="AV14" s="13" t="e">
        <f t="shared" si="19"/>
        <v>#VALUE!</v>
      </c>
      <c r="AW14" s="14" t="e">
        <f t="shared" si="19"/>
        <v>#VALUE!</v>
      </c>
      <c r="AX14" s="14" t="e">
        <f t="shared" si="19"/>
        <v>#VALUE!</v>
      </c>
      <c r="AY14" s="14" t="e">
        <f t="shared" si="19"/>
        <v>#VALUE!</v>
      </c>
      <c r="AZ14" s="14" t="e">
        <f t="shared" si="19"/>
        <v>#VALUE!</v>
      </c>
      <c r="BA14" s="15" t="e">
        <f t="shared" si="19"/>
        <v>#VALUE!</v>
      </c>
      <c r="BB14" s="16" t="e">
        <f t="shared" si="19"/>
        <v>#VALUE!</v>
      </c>
      <c r="BC14" s="13" t="e">
        <f t="shared" si="19"/>
        <v>#VALUE!</v>
      </c>
      <c r="BD14" s="14" t="e">
        <f t="shared" si="19"/>
        <v>#VALUE!</v>
      </c>
      <c r="BE14" s="14" t="e">
        <f t="shared" si="19"/>
        <v>#VALUE!</v>
      </c>
      <c r="BF14" s="14" t="e">
        <f t="shared" si="19"/>
        <v>#VALUE!</v>
      </c>
      <c r="BG14" s="14" t="e">
        <f t="shared" si="20"/>
        <v>#VALUE!</v>
      </c>
      <c r="BH14" s="15" t="e">
        <f t="shared" si="20"/>
        <v>#VALUE!</v>
      </c>
      <c r="BI14" s="16" t="e">
        <f t="shared" si="20"/>
        <v>#VALUE!</v>
      </c>
      <c r="BJ14" s="13" t="e">
        <f t="shared" si="20"/>
        <v>#VALUE!</v>
      </c>
      <c r="BK14" s="14" t="e">
        <f t="shared" si="20"/>
        <v>#VALUE!</v>
      </c>
      <c r="BL14" s="14" t="e">
        <f t="shared" si="20"/>
        <v>#VALUE!</v>
      </c>
      <c r="BM14" s="14" t="e">
        <f t="shared" si="20"/>
        <v>#VALUE!</v>
      </c>
      <c r="BN14" s="14" t="e">
        <f t="shared" si="20"/>
        <v>#VALUE!</v>
      </c>
      <c r="BO14" s="15" t="e">
        <f t="shared" si="20"/>
        <v>#VALUE!</v>
      </c>
      <c r="BP14" s="16" t="e">
        <f t="shared" si="20"/>
        <v>#VALUE!</v>
      </c>
      <c r="BQ14" s="13" t="e">
        <f t="shared" si="20"/>
        <v>#VALUE!</v>
      </c>
      <c r="BR14" s="14" t="e">
        <f t="shared" si="20"/>
        <v>#VALUE!</v>
      </c>
      <c r="BS14" s="14" t="e">
        <f t="shared" si="20"/>
        <v>#VALUE!</v>
      </c>
      <c r="BT14" s="14" t="e">
        <f t="shared" si="20"/>
        <v>#VALUE!</v>
      </c>
      <c r="BU14" s="14" t="e">
        <f t="shared" si="20"/>
        <v>#VALUE!</v>
      </c>
      <c r="BV14" s="15" t="e">
        <f t="shared" si="20"/>
        <v>#VALUE!</v>
      </c>
      <c r="BW14" s="16" t="e">
        <f t="shared" si="21"/>
        <v>#VALUE!</v>
      </c>
      <c r="BX14" s="13" t="e">
        <f t="shared" si="21"/>
        <v>#VALUE!</v>
      </c>
      <c r="BY14" s="14" t="e">
        <f t="shared" si="21"/>
        <v>#VALUE!</v>
      </c>
      <c r="BZ14" s="14" t="e">
        <f t="shared" si="21"/>
        <v>#VALUE!</v>
      </c>
      <c r="CA14" s="14" t="e">
        <f t="shared" si="21"/>
        <v>#VALUE!</v>
      </c>
      <c r="CB14" s="14" t="e">
        <f t="shared" si="21"/>
        <v>#VALUE!</v>
      </c>
      <c r="CC14" s="15" t="e">
        <f t="shared" si="21"/>
        <v>#VALUE!</v>
      </c>
      <c r="CD14" s="16" t="e">
        <f t="shared" si="21"/>
        <v>#VALUE!</v>
      </c>
      <c r="CE14" s="13" t="e">
        <f t="shared" si="21"/>
        <v>#VALUE!</v>
      </c>
      <c r="CF14" s="14" t="e">
        <f t="shared" si="21"/>
        <v>#VALUE!</v>
      </c>
      <c r="CG14" s="14" t="e">
        <f t="shared" si="21"/>
        <v>#VALUE!</v>
      </c>
      <c r="CH14" s="14" t="e">
        <f t="shared" si="21"/>
        <v>#VALUE!</v>
      </c>
      <c r="CI14" s="14" t="e">
        <f t="shared" si="21"/>
        <v>#VALUE!</v>
      </c>
      <c r="CJ14" s="15" t="e">
        <f t="shared" si="21"/>
        <v>#VALUE!</v>
      </c>
      <c r="CK14" s="16" t="e">
        <f t="shared" si="21"/>
        <v>#VALUE!</v>
      </c>
      <c r="CL14" s="13" t="e">
        <f t="shared" si="21"/>
        <v>#VALUE!</v>
      </c>
      <c r="CM14" s="14" t="e">
        <f t="shared" si="22"/>
        <v>#VALUE!</v>
      </c>
      <c r="CN14" s="14" t="e">
        <f t="shared" si="22"/>
        <v>#VALUE!</v>
      </c>
      <c r="CO14" s="14" t="e">
        <f t="shared" si="22"/>
        <v>#VALUE!</v>
      </c>
      <c r="CP14" s="14" t="e">
        <f t="shared" si="22"/>
        <v>#VALUE!</v>
      </c>
      <c r="CQ14" s="15" t="e">
        <f t="shared" si="22"/>
        <v>#VALUE!</v>
      </c>
      <c r="CR14" s="16" t="e">
        <f t="shared" si="22"/>
        <v>#VALUE!</v>
      </c>
      <c r="CS14" s="13" t="e">
        <f t="shared" si="22"/>
        <v>#VALUE!</v>
      </c>
      <c r="CT14" s="14" t="e">
        <f t="shared" si="22"/>
        <v>#VALUE!</v>
      </c>
      <c r="CU14" s="14" t="e">
        <f t="shared" si="22"/>
        <v>#VALUE!</v>
      </c>
      <c r="CV14" s="14" t="e">
        <f t="shared" si="22"/>
        <v>#VALUE!</v>
      </c>
      <c r="CW14" s="14" t="e">
        <f t="shared" si="22"/>
        <v>#VALUE!</v>
      </c>
      <c r="CX14" s="15" t="e">
        <f t="shared" si="22"/>
        <v>#VALUE!</v>
      </c>
      <c r="CY14" s="16" t="e">
        <f t="shared" si="22"/>
        <v>#VALUE!</v>
      </c>
      <c r="CZ14" s="13" t="e">
        <f t="shared" si="22"/>
        <v>#VALUE!</v>
      </c>
      <c r="DA14" s="14" t="e">
        <f t="shared" si="22"/>
        <v>#VALUE!</v>
      </c>
      <c r="DB14" s="14" t="e">
        <f t="shared" si="22"/>
        <v>#VALUE!</v>
      </c>
      <c r="DC14" s="14" t="e">
        <f t="shared" si="23"/>
        <v>#VALUE!</v>
      </c>
      <c r="DD14" s="14" t="e">
        <f t="shared" si="23"/>
        <v>#VALUE!</v>
      </c>
      <c r="DE14" s="15" t="e">
        <f t="shared" si="23"/>
        <v>#VALUE!</v>
      </c>
      <c r="DF14" s="16" t="e">
        <f t="shared" si="23"/>
        <v>#VALUE!</v>
      </c>
      <c r="DG14" s="13" t="e">
        <f t="shared" si="23"/>
        <v>#VALUE!</v>
      </c>
      <c r="DH14" s="14" t="e">
        <f t="shared" si="23"/>
        <v>#VALUE!</v>
      </c>
      <c r="DI14" s="14" t="e">
        <f t="shared" si="23"/>
        <v>#VALUE!</v>
      </c>
      <c r="DJ14" s="14" t="e">
        <f t="shared" si="23"/>
        <v>#VALUE!</v>
      </c>
      <c r="DK14" s="14" t="e">
        <f t="shared" si="23"/>
        <v>#VALUE!</v>
      </c>
      <c r="DL14" s="15" t="e">
        <f t="shared" si="23"/>
        <v>#VALUE!</v>
      </c>
      <c r="DM14" s="16" t="e">
        <f t="shared" si="23"/>
        <v>#VALUE!</v>
      </c>
      <c r="DN14" s="13" t="e">
        <f t="shared" si="23"/>
        <v>#VALUE!</v>
      </c>
      <c r="DO14" s="14" t="e">
        <f t="shared" si="23"/>
        <v>#VALUE!</v>
      </c>
      <c r="DP14" s="14" t="e">
        <f t="shared" si="23"/>
        <v>#VALUE!</v>
      </c>
      <c r="DQ14" s="14" t="e">
        <f t="shared" si="23"/>
        <v>#VALUE!</v>
      </c>
      <c r="DR14" s="14" t="e">
        <f t="shared" si="23"/>
        <v>#VALUE!</v>
      </c>
      <c r="DS14" s="15" t="e">
        <f t="shared" si="23"/>
        <v>#VALUE!</v>
      </c>
      <c r="DT14" s="16" t="e">
        <f t="shared" si="23"/>
        <v>#VALUE!</v>
      </c>
    </row>
    <row r="15" spans="1:124" s="17" customFormat="1" ht="9.75" customHeight="1">
      <c r="A15" s="586"/>
      <c r="B15" s="22" t="s">
        <v>45</v>
      </c>
      <c r="C15" s="19" t="e">
        <f>E14+_xlfn.XLOOKUP(A25,'VTT project'!F:F,'VTT project'!AD:AD,"-",0)-_xlfn.XLOOKUP(A25,'VTT project'!F:F,'VTT project'!AC:AC,"-",0)</f>
        <v>#VALUE!</v>
      </c>
      <c r="D15" s="20">
        <v>0</v>
      </c>
      <c r="E15" s="19" t="e">
        <f>C15+D15</f>
        <v>#VALUE!</v>
      </c>
      <c r="F15" s="13" t="e">
        <f t="shared" si="17"/>
        <v>#VALUE!</v>
      </c>
      <c r="G15" s="14" t="e">
        <f t="shared" si="17"/>
        <v>#VALUE!</v>
      </c>
      <c r="H15" s="14" t="e">
        <f t="shared" si="17"/>
        <v>#VALUE!</v>
      </c>
      <c r="I15" s="14" t="e">
        <f t="shared" si="17"/>
        <v>#VALUE!</v>
      </c>
      <c r="J15" s="14" t="e">
        <f t="shared" si="17"/>
        <v>#VALUE!</v>
      </c>
      <c r="K15" s="15" t="e">
        <f t="shared" si="17"/>
        <v>#VALUE!</v>
      </c>
      <c r="L15" s="16" t="e">
        <f t="shared" si="17"/>
        <v>#VALUE!</v>
      </c>
      <c r="M15" s="13" t="e">
        <f t="shared" si="17"/>
        <v>#VALUE!</v>
      </c>
      <c r="N15" s="14" t="e">
        <f t="shared" si="17"/>
        <v>#VALUE!</v>
      </c>
      <c r="O15" s="14" t="e">
        <f t="shared" si="17"/>
        <v>#VALUE!</v>
      </c>
      <c r="P15" s="14" t="e">
        <f t="shared" si="17"/>
        <v>#VALUE!</v>
      </c>
      <c r="Q15" s="14" t="e">
        <f t="shared" si="17"/>
        <v>#VALUE!</v>
      </c>
      <c r="R15" s="15" t="e">
        <f t="shared" si="17"/>
        <v>#VALUE!</v>
      </c>
      <c r="S15" s="16" t="e">
        <f t="shared" si="17"/>
        <v>#VALUE!</v>
      </c>
      <c r="T15" s="13" t="e">
        <f t="shared" si="17"/>
        <v>#VALUE!</v>
      </c>
      <c r="U15" s="14" t="e">
        <f t="shared" si="17"/>
        <v>#VALUE!</v>
      </c>
      <c r="V15" s="14" t="e">
        <f t="shared" si="17"/>
        <v>#VALUE!</v>
      </c>
      <c r="W15" s="14" t="e">
        <f t="shared" si="17"/>
        <v>#VALUE!</v>
      </c>
      <c r="X15" s="14" t="e">
        <f t="shared" si="17"/>
        <v>#VALUE!</v>
      </c>
      <c r="Y15" s="15" t="e">
        <f t="shared" si="17"/>
        <v>#VALUE!</v>
      </c>
      <c r="Z15" s="16" t="e">
        <f t="shared" si="17"/>
        <v>#VALUE!</v>
      </c>
      <c r="AA15" s="13" t="e">
        <f t="shared" si="18"/>
        <v>#VALUE!</v>
      </c>
      <c r="AB15" s="14" t="e">
        <f t="shared" si="18"/>
        <v>#VALUE!</v>
      </c>
      <c r="AC15" s="14" t="e">
        <f t="shared" si="18"/>
        <v>#VALUE!</v>
      </c>
      <c r="AD15" s="14" t="e">
        <f t="shared" si="18"/>
        <v>#VALUE!</v>
      </c>
      <c r="AE15" s="14" t="e">
        <f t="shared" si="18"/>
        <v>#VALUE!</v>
      </c>
      <c r="AF15" s="15" t="e">
        <f t="shared" si="18"/>
        <v>#VALUE!</v>
      </c>
      <c r="AG15" s="16" t="e">
        <f t="shared" si="18"/>
        <v>#VALUE!</v>
      </c>
      <c r="AH15" s="13" t="e">
        <f t="shared" si="18"/>
        <v>#VALUE!</v>
      </c>
      <c r="AI15" s="14" t="e">
        <f t="shared" si="18"/>
        <v>#VALUE!</v>
      </c>
      <c r="AJ15" s="14" t="e">
        <f t="shared" si="18"/>
        <v>#VALUE!</v>
      </c>
      <c r="AK15" s="14" t="e">
        <f t="shared" si="18"/>
        <v>#VALUE!</v>
      </c>
      <c r="AL15" s="14" t="e">
        <f t="shared" si="18"/>
        <v>#VALUE!</v>
      </c>
      <c r="AM15" s="15" t="e">
        <f t="shared" si="18"/>
        <v>#VALUE!</v>
      </c>
      <c r="AN15" s="16" t="e">
        <f t="shared" si="18"/>
        <v>#VALUE!</v>
      </c>
      <c r="AO15" s="13" t="e">
        <f t="shared" si="18"/>
        <v>#VALUE!</v>
      </c>
      <c r="AP15" s="14" t="e">
        <f t="shared" si="18"/>
        <v>#VALUE!</v>
      </c>
      <c r="AQ15" s="14" t="e">
        <f t="shared" si="19"/>
        <v>#VALUE!</v>
      </c>
      <c r="AR15" s="14" t="e">
        <f t="shared" si="19"/>
        <v>#VALUE!</v>
      </c>
      <c r="AS15" s="14" t="e">
        <f t="shared" si="19"/>
        <v>#VALUE!</v>
      </c>
      <c r="AT15" s="15" t="e">
        <f t="shared" si="19"/>
        <v>#VALUE!</v>
      </c>
      <c r="AU15" s="16" t="e">
        <f t="shared" si="19"/>
        <v>#VALUE!</v>
      </c>
      <c r="AV15" s="13" t="e">
        <f t="shared" si="19"/>
        <v>#VALUE!</v>
      </c>
      <c r="AW15" s="14" t="e">
        <f t="shared" si="19"/>
        <v>#VALUE!</v>
      </c>
      <c r="AX15" s="14" t="e">
        <f t="shared" si="19"/>
        <v>#VALUE!</v>
      </c>
      <c r="AY15" s="14" t="e">
        <f t="shared" si="19"/>
        <v>#VALUE!</v>
      </c>
      <c r="AZ15" s="14" t="e">
        <f t="shared" si="19"/>
        <v>#VALUE!</v>
      </c>
      <c r="BA15" s="15" t="e">
        <f t="shared" si="19"/>
        <v>#VALUE!</v>
      </c>
      <c r="BB15" s="16" t="e">
        <f t="shared" si="19"/>
        <v>#VALUE!</v>
      </c>
      <c r="BC15" s="13" t="e">
        <f t="shared" si="19"/>
        <v>#VALUE!</v>
      </c>
      <c r="BD15" s="14" t="e">
        <f t="shared" si="19"/>
        <v>#VALUE!</v>
      </c>
      <c r="BE15" s="14" t="e">
        <f t="shared" si="19"/>
        <v>#VALUE!</v>
      </c>
      <c r="BF15" s="14" t="e">
        <f t="shared" si="19"/>
        <v>#VALUE!</v>
      </c>
      <c r="BG15" s="14" t="e">
        <f t="shared" si="20"/>
        <v>#VALUE!</v>
      </c>
      <c r="BH15" s="15" t="e">
        <f t="shared" si="20"/>
        <v>#VALUE!</v>
      </c>
      <c r="BI15" s="16" t="e">
        <f t="shared" si="20"/>
        <v>#VALUE!</v>
      </c>
      <c r="BJ15" s="13" t="e">
        <f t="shared" si="20"/>
        <v>#VALUE!</v>
      </c>
      <c r="BK15" s="14" t="e">
        <f t="shared" si="20"/>
        <v>#VALUE!</v>
      </c>
      <c r="BL15" s="14" t="e">
        <f t="shared" si="20"/>
        <v>#VALUE!</v>
      </c>
      <c r="BM15" s="14" t="e">
        <f t="shared" si="20"/>
        <v>#VALUE!</v>
      </c>
      <c r="BN15" s="14" t="e">
        <f t="shared" si="20"/>
        <v>#VALUE!</v>
      </c>
      <c r="BO15" s="15" t="e">
        <f t="shared" si="20"/>
        <v>#VALUE!</v>
      </c>
      <c r="BP15" s="16" t="e">
        <f t="shared" si="20"/>
        <v>#VALUE!</v>
      </c>
      <c r="BQ15" s="13" t="e">
        <f t="shared" si="20"/>
        <v>#VALUE!</v>
      </c>
      <c r="BR15" s="14" t="e">
        <f t="shared" si="20"/>
        <v>#VALUE!</v>
      </c>
      <c r="BS15" s="14" t="e">
        <f t="shared" si="20"/>
        <v>#VALUE!</v>
      </c>
      <c r="BT15" s="14" t="e">
        <f t="shared" si="20"/>
        <v>#VALUE!</v>
      </c>
      <c r="BU15" s="14" t="e">
        <f t="shared" si="20"/>
        <v>#VALUE!</v>
      </c>
      <c r="BV15" s="15" t="e">
        <f t="shared" si="20"/>
        <v>#VALUE!</v>
      </c>
      <c r="BW15" s="16" t="e">
        <f t="shared" si="21"/>
        <v>#VALUE!</v>
      </c>
      <c r="BX15" s="13" t="e">
        <f t="shared" si="21"/>
        <v>#VALUE!</v>
      </c>
      <c r="BY15" s="14" t="e">
        <f t="shared" si="21"/>
        <v>#VALUE!</v>
      </c>
      <c r="BZ15" s="14" t="e">
        <f t="shared" si="21"/>
        <v>#VALUE!</v>
      </c>
      <c r="CA15" s="14" t="e">
        <f t="shared" si="21"/>
        <v>#VALUE!</v>
      </c>
      <c r="CB15" s="14" t="e">
        <f t="shared" si="21"/>
        <v>#VALUE!</v>
      </c>
      <c r="CC15" s="15" t="e">
        <f t="shared" si="21"/>
        <v>#VALUE!</v>
      </c>
      <c r="CD15" s="16" t="e">
        <f t="shared" si="21"/>
        <v>#VALUE!</v>
      </c>
      <c r="CE15" s="13" t="e">
        <f t="shared" si="21"/>
        <v>#VALUE!</v>
      </c>
      <c r="CF15" s="14" t="e">
        <f t="shared" si="21"/>
        <v>#VALUE!</v>
      </c>
      <c r="CG15" s="14" t="e">
        <f t="shared" si="21"/>
        <v>#VALUE!</v>
      </c>
      <c r="CH15" s="14" t="e">
        <f t="shared" si="21"/>
        <v>#VALUE!</v>
      </c>
      <c r="CI15" s="14" t="e">
        <f t="shared" si="21"/>
        <v>#VALUE!</v>
      </c>
      <c r="CJ15" s="15" t="e">
        <f t="shared" si="21"/>
        <v>#VALUE!</v>
      </c>
      <c r="CK15" s="16" t="e">
        <f t="shared" si="21"/>
        <v>#VALUE!</v>
      </c>
      <c r="CL15" s="13" t="e">
        <f t="shared" si="21"/>
        <v>#VALUE!</v>
      </c>
      <c r="CM15" s="14" t="e">
        <f t="shared" si="22"/>
        <v>#VALUE!</v>
      </c>
      <c r="CN15" s="14" t="e">
        <f t="shared" si="22"/>
        <v>#VALUE!</v>
      </c>
      <c r="CO15" s="14" t="e">
        <f t="shared" si="22"/>
        <v>#VALUE!</v>
      </c>
      <c r="CP15" s="14" t="e">
        <f t="shared" si="22"/>
        <v>#VALUE!</v>
      </c>
      <c r="CQ15" s="15" t="e">
        <f t="shared" si="22"/>
        <v>#VALUE!</v>
      </c>
      <c r="CR15" s="16" t="e">
        <f t="shared" si="22"/>
        <v>#VALUE!</v>
      </c>
      <c r="CS15" s="13" t="e">
        <f t="shared" si="22"/>
        <v>#VALUE!</v>
      </c>
      <c r="CT15" s="14" t="e">
        <f t="shared" si="22"/>
        <v>#VALUE!</v>
      </c>
      <c r="CU15" s="14" t="e">
        <f t="shared" si="22"/>
        <v>#VALUE!</v>
      </c>
      <c r="CV15" s="14" t="e">
        <f t="shared" si="22"/>
        <v>#VALUE!</v>
      </c>
      <c r="CW15" s="14" t="e">
        <f t="shared" si="22"/>
        <v>#VALUE!</v>
      </c>
      <c r="CX15" s="15" t="e">
        <f t="shared" si="22"/>
        <v>#VALUE!</v>
      </c>
      <c r="CY15" s="16" t="e">
        <f t="shared" si="22"/>
        <v>#VALUE!</v>
      </c>
      <c r="CZ15" s="13" t="e">
        <f t="shared" si="22"/>
        <v>#VALUE!</v>
      </c>
      <c r="DA15" s="14" t="e">
        <f t="shared" si="22"/>
        <v>#VALUE!</v>
      </c>
      <c r="DB15" s="14" t="e">
        <f t="shared" si="22"/>
        <v>#VALUE!</v>
      </c>
      <c r="DC15" s="14" t="e">
        <f t="shared" si="23"/>
        <v>#VALUE!</v>
      </c>
      <c r="DD15" s="14" t="e">
        <f t="shared" si="23"/>
        <v>#VALUE!</v>
      </c>
      <c r="DE15" s="15" t="e">
        <f t="shared" si="23"/>
        <v>#VALUE!</v>
      </c>
      <c r="DF15" s="16" t="e">
        <f t="shared" si="23"/>
        <v>#VALUE!</v>
      </c>
      <c r="DG15" s="13" t="e">
        <f t="shared" si="23"/>
        <v>#VALUE!</v>
      </c>
      <c r="DH15" s="14" t="e">
        <f t="shared" si="23"/>
        <v>#VALUE!</v>
      </c>
      <c r="DI15" s="14" t="e">
        <f t="shared" si="23"/>
        <v>#VALUE!</v>
      </c>
      <c r="DJ15" s="14" t="e">
        <f t="shared" si="23"/>
        <v>#VALUE!</v>
      </c>
      <c r="DK15" s="14" t="e">
        <f t="shared" si="23"/>
        <v>#VALUE!</v>
      </c>
      <c r="DL15" s="15" t="e">
        <f t="shared" si="23"/>
        <v>#VALUE!</v>
      </c>
      <c r="DM15" s="16" t="e">
        <f t="shared" si="23"/>
        <v>#VALUE!</v>
      </c>
      <c r="DN15" s="13" t="e">
        <f t="shared" si="23"/>
        <v>#VALUE!</v>
      </c>
      <c r="DO15" s="14" t="e">
        <f t="shared" si="23"/>
        <v>#VALUE!</v>
      </c>
      <c r="DP15" s="14" t="e">
        <f t="shared" si="23"/>
        <v>#VALUE!</v>
      </c>
      <c r="DQ15" s="14" t="e">
        <f t="shared" si="23"/>
        <v>#VALUE!</v>
      </c>
      <c r="DR15" s="14" t="e">
        <f t="shared" si="23"/>
        <v>#VALUE!</v>
      </c>
      <c r="DS15" s="15" t="e">
        <f t="shared" si="23"/>
        <v>#VALUE!</v>
      </c>
      <c r="DT15" s="16" t="e">
        <f t="shared" si="23"/>
        <v>#VALUE!</v>
      </c>
    </row>
    <row r="16" spans="1:124" s="17" customFormat="1" ht="9.75" customHeight="1">
      <c r="A16" s="586"/>
      <c r="B16" s="23" t="s">
        <v>46</v>
      </c>
      <c r="C16" s="19" t="e">
        <f>E15</f>
        <v>#VALUE!</v>
      </c>
      <c r="D16" s="19" t="str">
        <f>_xlfn.XLOOKUP(A25,'VTT project'!F:F,'VTT project'!AE:AE,"-",0)</f>
        <v>-</v>
      </c>
      <c r="E16" s="19" t="e">
        <f t="shared" si="24"/>
        <v>#VALUE!</v>
      </c>
      <c r="F16" s="13" t="e">
        <f t="shared" si="17"/>
        <v>#VALUE!</v>
      </c>
      <c r="G16" s="14" t="e">
        <f t="shared" si="17"/>
        <v>#VALUE!</v>
      </c>
      <c r="H16" s="14" t="e">
        <f t="shared" si="17"/>
        <v>#VALUE!</v>
      </c>
      <c r="I16" s="14" t="e">
        <f t="shared" si="17"/>
        <v>#VALUE!</v>
      </c>
      <c r="J16" s="14" t="e">
        <f t="shared" si="17"/>
        <v>#VALUE!</v>
      </c>
      <c r="K16" s="15" t="e">
        <f t="shared" si="17"/>
        <v>#VALUE!</v>
      </c>
      <c r="L16" s="16" t="e">
        <f t="shared" si="17"/>
        <v>#VALUE!</v>
      </c>
      <c r="M16" s="13" t="e">
        <f t="shared" si="17"/>
        <v>#VALUE!</v>
      </c>
      <c r="N16" s="14" t="e">
        <f t="shared" si="17"/>
        <v>#VALUE!</v>
      </c>
      <c r="O16" s="14" t="e">
        <f t="shared" si="17"/>
        <v>#VALUE!</v>
      </c>
      <c r="P16" s="14" t="e">
        <f t="shared" si="17"/>
        <v>#VALUE!</v>
      </c>
      <c r="Q16" s="14" t="e">
        <f t="shared" si="17"/>
        <v>#VALUE!</v>
      </c>
      <c r="R16" s="15" t="e">
        <f t="shared" si="17"/>
        <v>#VALUE!</v>
      </c>
      <c r="S16" s="16" t="e">
        <f t="shared" si="17"/>
        <v>#VALUE!</v>
      </c>
      <c r="T16" s="13" t="e">
        <f t="shared" si="17"/>
        <v>#VALUE!</v>
      </c>
      <c r="U16" s="14" t="e">
        <f t="shared" si="17"/>
        <v>#VALUE!</v>
      </c>
      <c r="V16" s="14" t="e">
        <f t="shared" si="17"/>
        <v>#VALUE!</v>
      </c>
      <c r="W16" s="14" t="e">
        <f t="shared" si="17"/>
        <v>#VALUE!</v>
      </c>
      <c r="X16" s="14" t="e">
        <f t="shared" si="17"/>
        <v>#VALUE!</v>
      </c>
      <c r="Y16" s="15" t="e">
        <f t="shared" si="17"/>
        <v>#VALUE!</v>
      </c>
      <c r="Z16" s="16" t="e">
        <f t="shared" si="17"/>
        <v>#VALUE!</v>
      </c>
      <c r="AA16" s="13" t="e">
        <f t="shared" si="18"/>
        <v>#VALUE!</v>
      </c>
      <c r="AB16" s="14" t="e">
        <f t="shared" si="18"/>
        <v>#VALUE!</v>
      </c>
      <c r="AC16" s="14" t="e">
        <f t="shared" si="18"/>
        <v>#VALUE!</v>
      </c>
      <c r="AD16" s="14" t="e">
        <f t="shared" si="18"/>
        <v>#VALUE!</v>
      </c>
      <c r="AE16" s="14" t="e">
        <f t="shared" si="18"/>
        <v>#VALUE!</v>
      </c>
      <c r="AF16" s="15" t="e">
        <f t="shared" si="18"/>
        <v>#VALUE!</v>
      </c>
      <c r="AG16" s="16" t="e">
        <f t="shared" si="18"/>
        <v>#VALUE!</v>
      </c>
      <c r="AH16" s="13" t="e">
        <f t="shared" si="18"/>
        <v>#VALUE!</v>
      </c>
      <c r="AI16" s="14" t="e">
        <f t="shared" si="18"/>
        <v>#VALUE!</v>
      </c>
      <c r="AJ16" s="14" t="e">
        <f t="shared" si="18"/>
        <v>#VALUE!</v>
      </c>
      <c r="AK16" s="14" t="e">
        <f t="shared" si="18"/>
        <v>#VALUE!</v>
      </c>
      <c r="AL16" s="14" t="e">
        <f t="shared" si="18"/>
        <v>#VALUE!</v>
      </c>
      <c r="AM16" s="15" t="e">
        <f t="shared" si="18"/>
        <v>#VALUE!</v>
      </c>
      <c r="AN16" s="16" t="e">
        <f t="shared" si="18"/>
        <v>#VALUE!</v>
      </c>
      <c r="AO16" s="13" t="e">
        <f t="shared" si="18"/>
        <v>#VALUE!</v>
      </c>
      <c r="AP16" s="14" t="e">
        <f t="shared" si="18"/>
        <v>#VALUE!</v>
      </c>
      <c r="AQ16" s="14" t="e">
        <f t="shared" si="19"/>
        <v>#VALUE!</v>
      </c>
      <c r="AR16" s="14" t="e">
        <f t="shared" si="19"/>
        <v>#VALUE!</v>
      </c>
      <c r="AS16" s="14" t="e">
        <f t="shared" si="19"/>
        <v>#VALUE!</v>
      </c>
      <c r="AT16" s="15" t="e">
        <f t="shared" si="19"/>
        <v>#VALUE!</v>
      </c>
      <c r="AU16" s="16" t="e">
        <f t="shared" si="19"/>
        <v>#VALUE!</v>
      </c>
      <c r="AV16" s="13" t="e">
        <f t="shared" si="19"/>
        <v>#VALUE!</v>
      </c>
      <c r="AW16" s="14" t="e">
        <f t="shared" si="19"/>
        <v>#VALUE!</v>
      </c>
      <c r="AX16" s="14" t="e">
        <f t="shared" si="19"/>
        <v>#VALUE!</v>
      </c>
      <c r="AY16" s="14" t="e">
        <f t="shared" si="19"/>
        <v>#VALUE!</v>
      </c>
      <c r="AZ16" s="14" t="e">
        <f t="shared" si="19"/>
        <v>#VALUE!</v>
      </c>
      <c r="BA16" s="15" t="e">
        <f t="shared" si="19"/>
        <v>#VALUE!</v>
      </c>
      <c r="BB16" s="16" t="e">
        <f t="shared" si="19"/>
        <v>#VALUE!</v>
      </c>
      <c r="BC16" s="13" t="e">
        <f t="shared" si="19"/>
        <v>#VALUE!</v>
      </c>
      <c r="BD16" s="14" t="e">
        <f t="shared" si="19"/>
        <v>#VALUE!</v>
      </c>
      <c r="BE16" s="14" t="e">
        <f t="shared" si="19"/>
        <v>#VALUE!</v>
      </c>
      <c r="BF16" s="14" t="e">
        <f t="shared" si="19"/>
        <v>#VALUE!</v>
      </c>
      <c r="BG16" s="14" t="e">
        <f t="shared" si="20"/>
        <v>#VALUE!</v>
      </c>
      <c r="BH16" s="15" t="e">
        <f t="shared" si="20"/>
        <v>#VALUE!</v>
      </c>
      <c r="BI16" s="16" t="e">
        <f t="shared" si="20"/>
        <v>#VALUE!</v>
      </c>
      <c r="BJ16" s="13" t="e">
        <f t="shared" si="20"/>
        <v>#VALUE!</v>
      </c>
      <c r="BK16" s="14" t="e">
        <f t="shared" si="20"/>
        <v>#VALUE!</v>
      </c>
      <c r="BL16" s="14" t="e">
        <f t="shared" si="20"/>
        <v>#VALUE!</v>
      </c>
      <c r="BM16" s="14" t="e">
        <f t="shared" si="20"/>
        <v>#VALUE!</v>
      </c>
      <c r="BN16" s="14" t="e">
        <f t="shared" si="20"/>
        <v>#VALUE!</v>
      </c>
      <c r="BO16" s="15" t="e">
        <f t="shared" si="20"/>
        <v>#VALUE!</v>
      </c>
      <c r="BP16" s="16" t="e">
        <f t="shared" si="20"/>
        <v>#VALUE!</v>
      </c>
      <c r="BQ16" s="13" t="e">
        <f t="shared" si="20"/>
        <v>#VALUE!</v>
      </c>
      <c r="BR16" s="14" t="e">
        <f t="shared" si="20"/>
        <v>#VALUE!</v>
      </c>
      <c r="BS16" s="14" t="e">
        <f t="shared" si="20"/>
        <v>#VALUE!</v>
      </c>
      <c r="BT16" s="14" t="e">
        <f t="shared" si="20"/>
        <v>#VALUE!</v>
      </c>
      <c r="BU16" s="14" t="e">
        <f t="shared" si="20"/>
        <v>#VALUE!</v>
      </c>
      <c r="BV16" s="15" t="e">
        <f t="shared" si="20"/>
        <v>#VALUE!</v>
      </c>
      <c r="BW16" s="16" t="e">
        <f t="shared" si="21"/>
        <v>#VALUE!</v>
      </c>
      <c r="BX16" s="13" t="e">
        <f t="shared" si="21"/>
        <v>#VALUE!</v>
      </c>
      <c r="BY16" s="14" t="e">
        <f t="shared" si="21"/>
        <v>#VALUE!</v>
      </c>
      <c r="BZ16" s="14" t="e">
        <f t="shared" si="21"/>
        <v>#VALUE!</v>
      </c>
      <c r="CA16" s="14" t="e">
        <f t="shared" si="21"/>
        <v>#VALUE!</v>
      </c>
      <c r="CB16" s="14" t="e">
        <f t="shared" si="21"/>
        <v>#VALUE!</v>
      </c>
      <c r="CC16" s="15" t="e">
        <f t="shared" si="21"/>
        <v>#VALUE!</v>
      </c>
      <c r="CD16" s="16" t="e">
        <f t="shared" si="21"/>
        <v>#VALUE!</v>
      </c>
      <c r="CE16" s="13" t="e">
        <f t="shared" si="21"/>
        <v>#VALUE!</v>
      </c>
      <c r="CF16" s="14" t="e">
        <f t="shared" si="21"/>
        <v>#VALUE!</v>
      </c>
      <c r="CG16" s="14" t="e">
        <f t="shared" si="21"/>
        <v>#VALUE!</v>
      </c>
      <c r="CH16" s="14" t="e">
        <f t="shared" si="21"/>
        <v>#VALUE!</v>
      </c>
      <c r="CI16" s="14" t="e">
        <f t="shared" si="21"/>
        <v>#VALUE!</v>
      </c>
      <c r="CJ16" s="15" t="e">
        <f t="shared" si="21"/>
        <v>#VALUE!</v>
      </c>
      <c r="CK16" s="16" t="e">
        <f t="shared" si="21"/>
        <v>#VALUE!</v>
      </c>
      <c r="CL16" s="13" t="e">
        <f t="shared" si="21"/>
        <v>#VALUE!</v>
      </c>
      <c r="CM16" s="14" t="e">
        <f t="shared" si="22"/>
        <v>#VALUE!</v>
      </c>
      <c r="CN16" s="14" t="e">
        <f t="shared" si="22"/>
        <v>#VALUE!</v>
      </c>
      <c r="CO16" s="14" t="e">
        <f t="shared" si="22"/>
        <v>#VALUE!</v>
      </c>
      <c r="CP16" s="14" t="e">
        <f t="shared" si="22"/>
        <v>#VALUE!</v>
      </c>
      <c r="CQ16" s="15" t="e">
        <f t="shared" si="22"/>
        <v>#VALUE!</v>
      </c>
      <c r="CR16" s="16" t="e">
        <f t="shared" si="22"/>
        <v>#VALUE!</v>
      </c>
      <c r="CS16" s="13" t="e">
        <f t="shared" si="22"/>
        <v>#VALUE!</v>
      </c>
      <c r="CT16" s="14" t="e">
        <f t="shared" si="22"/>
        <v>#VALUE!</v>
      </c>
      <c r="CU16" s="14" t="e">
        <f t="shared" si="22"/>
        <v>#VALUE!</v>
      </c>
      <c r="CV16" s="14" t="e">
        <f t="shared" si="22"/>
        <v>#VALUE!</v>
      </c>
      <c r="CW16" s="14" t="e">
        <f t="shared" si="22"/>
        <v>#VALUE!</v>
      </c>
      <c r="CX16" s="15" t="e">
        <f t="shared" si="22"/>
        <v>#VALUE!</v>
      </c>
      <c r="CY16" s="16" t="e">
        <f t="shared" si="22"/>
        <v>#VALUE!</v>
      </c>
      <c r="CZ16" s="13" t="e">
        <f t="shared" si="22"/>
        <v>#VALUE!</v>
      </c>
      <c r="DA16" s="14" t="e">
        <f t="shared" si="22"/>
        <v>#VALUE!</v>
      </c>
      <c r="DB16" s="14" t="e">
        <f t="shared" si="22"/>
        <v>#VALUE!</v>
      </c>
      <c r="DC16" s="14" t="e">
        <f t="shared" si="23"/>
        <v>#VALUE!</v>
      </c>
      <c r="DD16" s="14" t="e">
        <f t="shared" si="23"/>
        <v>#VALUE!</v>
      </c>
      <c r="DE16" s="15" t="e">
        <f t="shared" si="23"/>
        <v>#VALUE!</v>
      </c>
      <c r="DF16" s="16" t="e">
        <f t="shared" si="23"/>
        <v>#VALUE!</v>
      </c>
      <c r="DG16" s="13" t="e">
        <f t="shared" si="23"/>
        <v>#VALUE!</v>
      </c>
      <c r="DH16" s="14" t="e">
        <f t="shared" si="23"/>
        <v>#VALUE!</v>
      </c>
      <c r="DI16" s="14" t="e">
        <f t="shared" si="23"/>
        <v>#VALUE!</v>
      </c>
      <c r="DJ16" s="14" t="e">
        <f t="shared" si="23"/>
        <v>#VALUE!</v>
      </c>
      <c r="DK16" s="14" t="e">
        <f t="shared" si="23"/>
        <v>#VALUE!</v>
      </c>
      <c r="DL16" s="15" t="e">
        <f t="shared" si="23"/>
        <v>#VALUE!</v>
      </c>
      <c r="DM16" s="16" t="e">
        <f t="shared" si="23"/>
        <v>#VALUE!</v>
      </c>
      <c r="DN16" s="13" t="e">
        <f t="shared" si="23"/>
        <v>#VALUE!</v>
      </c>
      <c r="DO16" s="14" t="e">
        <f t="shared" si="23"/>
        <v>#VALUE!</v>
      </c>
      <c r="DP16" s="14" t="e">
        <f t="shared" si="23"/>
        <v>#VALUE!</v>
      </c>
      <c r="DQ16" s="14" t="e">
        <f t="shared" si="23"/>
        <v>#VALUE!</v>
      </c>
      <c r="DR16" s="14" t="e">
        <f t="shared" si="23"/>
        <v>#VALUE!</v>
      </c>
      <c r="DS16" s="15" t="e">
        <f t="shared" si="23"/>
        <v>#VALUE!</v>
      </c>
      <c r="DT16" s="16" t="e">
        <f t="shared" si="23"/>
        <v>#VALUE!</v>
      </c>
    </row>
    <row r="17" spans="1:124" s="17" customFormat="1" ht="9.75" customHeight="1">
      <c r="A17" s="586"/>
      <c r="B17" s="23" t="s">
        <v>47</v>
      </c>
      <c r="C17" s="19" t="e">
        <f t="shared" ref="C17:C25" si="25">E16+1</f>
        <v>#VALUE!</v>
      </c>
      <c r="D17" s="19" t="str">
        <f>_xlfn.XLOOKUP(A25,'VTT project'!F:F,'VTT project'!AG:AG,"-",0)</f>
        <v>-</v>
      </c>
      <c r="E17" s="19" t="e">
        <f t="shared" si="24"/>
        <v>#VALUE!</v>
      </c>
      <c r="F17" s="13" t="e">
        <f t="shared" si="17"/>
        <v>#VALUE!</v>
      </c>
      <c r="G17" s="14" t="e">
        <f t="shared" si="17"/>
        <v>#VALUE!</v>
      </c>
      <c r="H17" s="14" t="e">
        <f t="shared" si="17"/>
        <v>#VALUE!</v>
      </c>
      <c r="I17" s="14" t="e">
        <f t="shared" si="17"/>
        <v>#VALUE!</v>
      </c>
      <c r="J17" s="14" t="e">
        <f t="shared" si="17"/>
        <v>#VALUE!</v>
      </c>
      <c r="K17" s="15" t="e">
        <f t="shared" si="17"/>
        <v>#VALUE!</v>
      </c>
      <c r="L17" s="16" t="e">
        <f t="shared" si="17"/>
        <v>#VALUE!</v>
      </c>
      <c r="M17" s="13" t="e">
        <f t="shared" si="17"/>
        <v>#VALUE!</v>
      </c>
      <c r="N17" s="14" t="e">
        <f t="shared" si="17"/>
        <v>#VALUE!</v>
      </c>
      <c r="O17" s="14" t="e">
        <f t="shared" si="17"/>
        <v>#VALUE!</v>
      </c>
      <c r="P17" s="14" t="e">
        <f t="shared" si="17"/>
        <v>#VALUE!</v>
      </c>
      <c r="Q17" s="14" t="e">
        <f t="shared" si="17"/>
        <v>#VALUE!</v>
      </c>
      <c r="R17" s="15" t="e">
        <f t="shared" si="17"/>
        <v>#VALUE!</v>
      </c>
      <c r="S17" s="16" t="e">
        <f t="shared" si="17"/>
        <v>#VALUE!</v>
      </c>
      <c r="T17" s="13" t="e">
        <f t="shared" si="17"/>
        <v>#VALUE!</v>
      </c>
      <c r="U17" s="14" t="e">
        <f t="shared" si="17"/>
        <v>#VALUE!</v>
      </c>
      <c r="V17" s="14" t="e">
        <f t="shared" si="17"/>
        <v>#VALUE!</v>
      </c>
      <c r="W17" s="14" t="e">
        <f t="shared" si="17"/>
        <v>#VALUE!</v>
      </c>
      <c r="X17" s="14" t="e">
        <f t="shared" si="17"/>
        <v>#VALUE!</v>
      </c>
      <c r="Y17" s="15" t="e">
        <f t="shared" si="17"/>
        <v>#VALUE!</v>
      </c>
      <c r="Z17" s="16" t="e">
        <f t="shared" si="17"/>
        <v>#VALUE!</v>
      </c>
      <c r="AA17" s="13" t="e">
        <f t="shared" si="18"/>
        <v>#VALUE!</v>
      </c>
      <c r="AB17" s="14" t="e">
        <f t="shared" si="18"/>
        <v>#VALUE!</v>
      </c>
      <c r="AC17" s="14" t="e">
        <f t="shared" si="18"/>
        <v>#VALUE!</v>
      </c>
      <c r="AD17" s="14" t="e">
        <f t="shared" si="18"/>
        <v>#VALUE!</v>
      </c>
      <c r="AE17" s="14" t="e">
        <f t="shared" si="18"/>
        <v>#VALUE!</v>
      </c>
      <c r="AF17" s="15" t="e">
        <f t="shared" si="18"/>
        <v>#VALUE!</v>
      </c>
      <c r="AG17" s="16" t="e">
        <f t="shared" si="18"/>
        <v>#VALUE!</v>
      </c>
      <c r="AH17" s="13" t="e">
        <f t="shared" si="18"/>
        <v>#VALUE!</v>
      </c>
      <c r="AI17" s="14" t="e">
        <f t="shared" si="18"/>
        <v>#VALUE!</v>
      </c>
      <c r="AJ17" s="14" t="e">
        <f t="shared" si="18"/>
        <v>#VALUE!</v>
      </c>
      <c r="AK17" s="14" t="e">
        <f t="shared" si="18"/>
        <v>#VALUE!</v>
      </c>
      <c r="AL17" s="14" t="e">
        <f t="shared" si="18"/>
        <v>#VALUE!</v>
      </c>
      <c r="AM17" s="15" t="e">
        <f t="shared" si="18"/>
        <v>#VALUE!</v>
      </c>
      <c r="AN17" s="16" t="e">
        <f t="shared" si="18"/>
        <v>#VALUE!</v>
      </c>
      <c r="AO17" s="13" t="e">
        <f t="shared" si="18"/>
        <v>#VALUE!</v>
      </c>
      <c r="AP17" s="14" t="e">
        <f t="shared" si="18"/>
        <v>#VALUE!</v>
      </c>
      <c r="AQ17" s="14" t="e">
        <f t="shared" si="19"/>
        <v>#VALUE!</v>
      </c>
      <c r="AR17" s="14" t="e">
        <f t="shared" si="19"/>
        <v>#VALUE!</v>
      </c>
      <c r="AS17" s="14" t="e">
        <f t="shared" si="19"/>
        <v>#VALUE!</v>
      </c>
      <c r="AT17" s="15" t="e">
        <f t="shared" si="19"/>
        <v>#VALUE!</v>
      </c>
      <c r="AU17" s="16" t="e">
        <f t="shared" si="19"/>
        <v>#VALUE!</v>
      </c>
      <c r="AV17" s="13" t="e">
        <f t="shared" si="19"/>
        <v>#VALUE!</v>
      </c>
      <c r="AW17" s="14" t="e">
        <f t="shared" si="19"/>
        <v>#VALUE!</v>
      </c>
      <c r="AX17" s="14" t="e">
        <f t="shared" si="19"/>
        <v>#VALUE!</v>
      </c>
      <c r="AY17" s="14" t="e">
        <f t="shared" si="19"/>
        <v>#VALUE!</v>
      </c>
      <c r="AZ17" s="14" t="e">
        <f t="shared" si="19"/>
        <v>#VALUE!</v>
      </c>
      <c r="BA17" s="15" t="e">
        <f t="shared" si="19"/>
        <v>#VALUE!</v>
      </c>
      <c r="BB17" s="16" t="e">
        <f t="shared" si="19"/>
        <v>#VALUE!</v>
      </c>
      <c r="BC17" s="13" t="e">
        <f t="shared" si="19"/>
        <v>#VALUE!</v>
      </c>
      <c r="BD17" s="14" t="e">
        <f t="shared" si="19"/>
        <v>#VALUE!</v>
      </c>
      <c r="BE17" s="14" t="e">
        <f t="shared" si="19"/>
        <v>#VALUE!</v>
      </c>
      <c r="BF17" s="14" t="e">
        <f t="shared" si="19"/>
        <v>#VALUE!</v>
      </c>
      <c r="BG17" s="14" t="e">
        <f t="shared" si="20"/>
        <v>#VALUE!</v>
      </c>
      <c r="BH17" s="15" t="e">
        <f t="shared" si="20"/>
        <v>#VALUE!</v>
      </c>
      <c r="BI17" s="16" t="e">
        <f t="shared" si="20"/>
        <v>#VALUE!</v>
      </c>
      <c r="BJ17" s="13" t="e">
        <f t="shared" si="20"/>
        <v>#VALUE!</v>
      </c>
      <c r="BK17" s="14" t="e">
        <f t="shared" si="20"/>
        <v>#VALUE!</v>
      </c>
      <c r="BL17" s="14" t="e">
        <f t="shared" si="20"/>
        <v>#VALUE!</v>
      </c>
      <c r="BM17" s="14" t="e">
        <f t="shared" si="20"/>
        <v>#VALUE!</v>
      </c>
      <c r="BN17" s="14" t="e">
        <f t="shared" si="20"/>
        <v>#VALUE!</v>
      </c>
      <c r="BO17" s="15" t="e">
        <f t="shared" si="20"/>
        <v>#VALUE!</v>
      </c>
      <c r="BP17" s="16" t="e">
        <f t="shared" si="20"/>
        <v>#VALUE!</v>
      </c>
      <c r="BQ17" s="13" t="e">
        <f t="shared" si="20"/>
        <v>#VALUE!</v>
      </c>
      <c r="BR17" s="14" t="e">
        <f t="shared" si="20"/>
        <v>#VALUE!</v>
      </c>
      <c r="BS17" s="14" t="e">
        <f t="shared" si="20"/>
        <v>#VALUE!</v>
      </c>
      <c r="BT17" s="14" t="e">
        <f t="shared" si="20"/>
        <v>#VALUE!</v>
      </c>
      <c r="BU17" s="14" t="e">
        <f t="shared" si="20"/>
        <v>#VALUE!</v>
      </c>
      <c r="BV17" s="15" t="e">
        <f t="shared" si="20"/>
        <v>#VALUE!</v>
      </c>
      <c r="BW17" s="16" t="e">
        <f t="shared" si="21"/>
        <v>#VALUE!</v>
      </c>
      <c r="BX17" s="13" t="e">
        <f t="shared" si="21"/>
        <v>#VALUE!</v>
      </c>
      <c r="BY17" s="14" t="e">
        <f t="shared" si="21"/>
        <v>#VALUE!</v>
      </c>
      <c r="BZ17" s="14" t="e">
        <f t="shared" si="21"/>
        <v>#VALUE!</v>
      </c>
      <c r="CA17" s="14" t="e">
        <f t="shared" si="21"/>
        <v>#VALUE!</v>
      </c>
      <c r="CB17" s="14" t="e">
        <f t="shared" si="21"/>
        <v>#VALUE!</v>
      </c>
      <c r="CC17" s="15" t="e">
        <f t="shared" si="21"/>
        <v>#VALUE!</v>
      </c>
      <c r="CD17" s="16" t="e">
        <f t="shared" si="21"/>
        <v>#VALUE!</v>
      </c>
      <c r="CE17" s="13" t="e">
        <f t="shared" si="21"/>
        <v>#VALUE!</v>
      </c>
      <c r="CF17" s="14" t="e">
        <f t="shared" si="21"/>
        <v>#VALUE!</v>
      </c>
      <c r="CG17" s="14" t="e">
        <f t="shared" si="21"/>
        <v>#VALUE!</v>
      </c>
      <c r="CH17" s="14" t="e">
        <f t="shared" si="21"/>
        <v>#VALUE!</v>
      </c>
      <c r="CI17" s="14" t="e">
        <f t="shared" si="21"/>
        <v>#VALUE!</v>
      </c>
      <c r="CJ17" s="15" t="e">
        <f t="shared" si="21"/>
        <v>#VALUE!</v>
      </c>
      <c r="CK17" s="16" t="e">
        <f t="shared" si="21"/>
        <v>#VALUE!</v>
      </c>
      <c r="CL17" s="13" t="e">
        <f t="shared" si="21"/>
        <v>#VALUE!</v>
      </c>
      <c r="CM17" s="14" t="e">
        <f t="shared" si="22"/>
        <v>#VALUE!</v>
      </c>
      <c r="CN17" s="14" t="e">
        <f t="shared" si="22"/>
        <v>#VALUE!</v>
      </c>
      <c r="CO17" s="14" t="e">
        <f t="shared" si="22"/>
        <v>#VALUE!</v>
      </c>
      <c r="CP17" s="14" t="e">
        <f t="shared" si="22"/>
        <v>#VALUE!</v>
      </c>
      <c r="CQ17" s="15" t="e">
        <f t="shared" si="22"/>
        <v>#VALUE!</v>
      </c>
      <c r="CR17" s="16" t="e">
        <f t="shared" si="22"/>
        <v>#VALUE!</v>
      </c>
      <c r="CS17" s="13" t="e">
        <f t="shared" si="22"/>
        <v>#VALUE!</v>
      </c>
      <c r="CT17" s="14" t="e">
        <f t="shared" si="22"/>
        <v>#VALUE!</v>
      </c>
      <c r="CU17" s="14" t="e">
        <f t="shared" si="22"/>
        <v>#VALUE!</v>
      </c>
      <c r="CV17" s="14" t="e">
        <f t="shared" si="22"/>
        <v>#VALUE!</v>
      </c>
      <c r="CW17" s="14" t="e">
        <f t="shared" si="22"/>
        <v>#VALUE!</v>
      </c>
      <c r="CX17" s="15" t="e">
        <f t="shared" si="22"/>
        <v>#VALUE!</v>
      </c>
      <c r="CY17" s="16" t="e">
        <f t="shared" si="22"/>
        <v>#VALUE!</v>
      </c>
      <c r="CZ17" s="13" t="e">
        <f t="shared" si="22"/>
        <v>#VALUE!</v>
      </c>
      <c r="DA17" s="14" t="e">
        <f t="shared" si="22"/>
        <v>#VALUE!</v>
      </c>
      <c r="DB17" s="14" t="e">
        <f t="shared" si="22"/>
        <v>#VALUE!</v>
      </c>
      <c r="DC17" s="14" t="e">
        <f t="shared" si="23"/>
        <v>#VALUE!</v>
      </c>
      <c r="DD17" s="14" t="e">
        <f t="shared" si="23"/>
        <v>#VALUE!</v>
      </c>
      <c r="DE17" s="15" t="e">
        <f t="shared" si="23"/>
        <v>#VALUE!</v>
      </c>
      <c r="DF17" s="16" t="e">
        <f t="shared" si="23"/>
        <v>#VALUE!</v>
      </c>
      <c r="DG17" s="13" t="e">
        <f t="shared" si="23"/>
        <v>#VALUE!</v>
      </c>
      <c r="DH17" s="14" t="e">
        <f t="shared" si="23"/>
        <v>#VALUE!</v>
      </c>
      <c r="DI17" s="14" t="e">
        <f t="shared" si="23"/>
        <v>#VALUE!</v>
      </c>
      <c r="DJ17" s="14" t="e">
        <f t="shared" si="23"/>
        <v>#VALUE!</v>
      </c>
      <c r="DK17" s="14" t="e">
        <f t="shared" si="23"/>
        <v>#VALUE!</v>
      </c>
      <c r="DL17" s="15" t="e">
        <f t="shared" si="23"/>
        <v>#VALUE!</v>
      </c>
      <c r="DM17" s="16" t="e">
        <f t="shared" si="23"/>
        <v>#VALUE!</v>
      </c>
      <c r="DN17" s="13" t="e">
        <f t="shared" si="23"/>
        <v>#VALUE!</v>
      </c>
      <c r="DO17" s="14" t="e">
        <f t="shared" si="23"/>
        <v>#VALUE!</v>
      </c>
      <c r="DP17" s="14" t="e">
        <f t="shared" si="23"/>
        <v>#VALUE!</v>
      </c>
      <c r="DQ17" s="14" t="e">
        <f t="shared" si="23"/>
        <v>#VALUE!</v>
      </c>
      <c r="DR17" s="14" t="e">
        <f t="shared" si="23"/>
        <v>#VALUE!</v>
      </c>
      <c r="DS17" s="15"/>
      <c r="DT17" s="16"/>
    </row>
    <row r="18" spans="1:124" s="17" customFormat="1" ht="9.75" customHeight="1">
      <c r="A18" s="586"/>
      <c r="B18" s="26" t="s">
        <v>48</v>
      </c>
      <c r="C18" s="19" t="e">
        <f t="shared" si="25"/>
        <v>#VALUE!</v>
      </c>
      <c r="D18" s="19" t="str">
        <f>_xlfn.XLOOKUP(A25,'VTT project'!F:F,'VTT project'!AH:AH,"-",0)</f>
        <v>-</v>
      </c>
      <c r="E18" s="19" t="e">
        <f t="shared" si="24"/>
        <v>#VALUE!</v>
      </c>
      <c r="F18" s="13" t="e">
        <f t="shared" si="17"/>
        <v>#VALUE!</v>
      </c>
      <c r="G18" s="14" t="e">
        <f t="shared" si="17"/>
        <v>#VALUE!</v>
      </c>
      <c r="H18" s="14" t="e">
        <f t="shared" si="17"/>
        <v>#VALUE!</v>
      </c>
      <c r="I18" s="14" t="e">
        <f t="shared" si="17"/>
        <v>#VALUE!</v>
      </c>
      <c r="J18" s="14" t="e">
        <f t="shared" si="17"/>
        <v>#VALUE!</v>
      </c>
      <c r="K18" s="15" t="e">
        <f t="shared" si="17"/>
        <v>#VALUE!</v>
      </c>
      <c r="L18" s="16" t="e">
        <f t="shared" si="17"/>
        <v>#VALUE!</v>
      </c>
      <c r="M18" s="13" t="e">
        <f t="shared" si="17"/>
        <v>#VALUE!</v>
      </c>
      <c r="N18" s="14" t="e">
        <f t="shared" si="17"/>
        <v>#VALUE!</v>
      </c>
      <c r="O18" s="14" t="e">
        <f t="shared" si="17"/>
        <v>#VALUE!</v>
      </c>
      <c r="P18" s="14" t="e">
        <f t="shared" si="17"/>
        <v>#VALUE!</v>
      </c>
      <c r="Q18" s="14" t="e">
        <f t="shared" si="17"/>
        <v>#VALUE!</v>
      </c>
      <c r="R18" s="15" t="e">
        <f t="shared" si="17"/>
        <v>#VALUE!</v>
      </c>
      <c r="S18" s="16" t="e">
        <f t="shared" si="17"/>
        <v>#VALUE!</v>
      </c>
      <c r="T18" s="13" t="e">
        <f t="shared" si="17"/>
        <v>#VALUE!</v>
      </c>
      <c r="U18" s="14" t="e">
        <f t="shared" si="17"/>
        <v>#VALUE!</v>
      </c>
      <c r="V18" s="14" t="e">
        <f t="shared" si="17"/>
        <v>#VALUE!</v>
      </c>
      <c r="W18" s="14" t="e">
        <f t="shared" si="17"/>
        <v>#VALUE!</v>
      </c>
      <c r="X18" s="14" t="e">
        <f t="shared" si="17"/>
        <v>#VALUE!</v>
      </c>
      <c r="Y18" s="15" t="e">
        <f t="shared" si="17"/>
        <v>#VALUE!</v>
      </c>
      <c r="Z18" s="16" t="e">
        <f t="shared" si="17"/>
        <v>#VALUE!</v>
      </c>
      <c r="AA18" s="13" t="e">
        <f t="shared" si="18"/>
        <v>#VALUE!</v>
      </c>
      <c r="AB18" s="14" t="e">
        <f t="shared" si="18"/>
        <v>#VALUE!</v>
      </c>
      <c r="AC18" s="14" t="e">
        <f t="shared" si="18"/>
        <v>#VALUE!</v>
      </c>
      <c r="AD18" s="14" t="e">
        <f t="shared" si="18"/>
        <v>#VALUE!</v>
      </c>
      <c r="AE18" s="14" t="e">
        <f t="shared" si="18"/>
        <v>#VALUE!</v>
      </c>
      <c r="AF18" s="15" t="e">
        <f t="shared" si="18"/>
        <v>#VALUE!</v>
      </c>
      <c r="AG18" s="16" t="e">
        <f t="shared" si="18"/>
        <v>#VALUE!</v>
      </c>
      <c r="AH18" s="13" t="e">
        <f t="shared" si="18"/>
        <v>#VALUE!</v>
      </c>
      <c r="AI18" s="14" t="e">
        <f t="shared" si="18"/>
        <v>#VALUE!</v>
      </c>
      <c r="AJ18" s="14" t="e">
        <f t="shared" si="18"/>
        <v>#VALUE!</v>
      </c>
      <c r="AK18" s="14" t="e">
        <f t="shared" si="18"/>
        <v>#VALUE!</v>
      </c>
      <c r="AL18" s="14" t="e">
        <f t="shared" si="18"/>
        <v>#VALUE!</v>
      </c>
      <c r="AM18" s="15" t="e">
        <f t="shared" si="18"/>
        <v>#VALUE!</v>
      </c>
      <c r="AN18" s="16" t="e">
        <f t="shared" si="18"/>
        <v>#VALUE!</v>
      </c>
      <c r="AO18" s="13" t="e">
        <f t="shared" si="18"/>
        <v>#VALUE!</v>
      </c>
      <c r="AP18" s="14" t="e">
        <f t="shared" si="18"/>
        <v>#VALUE!</v>
      </c>
      <c r="AQ18" s="14" t="e">
        <f t="shared" si="19"/>
        <v>#VALUE!</v>
      </c>
      <c r="AR18" s="14" t="e">
        <f t="shared" si="19"/>
        <v>#VALUE!</v>
      </c>
      <c r="AS18" s="14" t="e">
        <f t="shared" si="19"/>
        <v>#VALUE!</v>
      </c>
      <c r="AT18" s="15" t="e">
        <f t="shared" si="19"/>
        <v>#VALUE!</v>
      </c>
      <c r="AU18" s="16" t="e">
        <f t="shared" si="19"/>
        <v>#VALUE!</v>
      </c>
      <c r="AV18" s="13" t="e">
        <f t="shared" si="19"/>
        <v>#VALUE!</v>
      </c>
      <c r="AW18" s="14" t="e">
        <f t="shared" si="19"/>
        <v>#VALUE!</v>
      </c>
      <c r="AX18" s="14" t="e">
        <f t="shared" si="19"/>
        <v>#VALUE!</v>
      </c>
      <c r="AY18" s="14" t="e">
        <f t="shared" si="19"/>
        <v>#VALUE!</v>
      </c>
      <c r="AZ18" s="14" t="e">
        <f t="shared" si="19"/>
        <v>#VALUE!</v>
      </c>
      <c r="BA18" s="15" t="e">
        <f t="shared" si="19"/>
        <v>#VALUE!</v>
      </c>
      <c r="BB18" s="16" t="e">
        <f t="shared" si="19"/>
        <v>#VALUE!</v>
      </c>
      <c r="BC18" s="13" t="e">
        <f t="shared" si="19"/>
        <v>#VALUE!</v>
      </c>
      <c r="BD18" s="14" t="e">
        <f t="shared" si="19"/>
        <v>#VALUE!</v>
      </c>
      <c r="BE18" s="14" t="e">
        <f t="shared" si="19"/>
        <v>#VALUE!</v>
      </c>
      <c r="BF18" s="14" t="e">
        <f t="shared" si="19"/>
        <v>#VALUE!</v>
      </c>
      <c r="BG18" s="14" t="e">
        <f t="shared" si="20"/>
        <v>#VALUE!</v>
      </c>
      <c r="BH18" s="15" t="e">
        <f t="shared" si="20"/>
        <v>#VALUE!</v>
      </c>
      <c r="BI18" s="16" t="e">
        <f t="shared" si="20"/>
        <v>#VALUE!</v>
      </c>
      <c r="BJ18" s="13" t="e">
        <f t="shared" si="20"/>
        <v>#VALUE!</v>
      </c>
      <c r="BK18" s="14" t="e">
        <f t="shared" si="20"/>
        <v>#VALUE!</v>
      </c>
      <c r="BL18" s="14" t="e">
        <f t="shared" si="20"/>
        <v>#VALUE!</v>
      </c>
      <c r="BM18" s="14" t="e">
        <f t="shared" si="20"/>
        <v>#VALUE!</v>
      </c>
      <c r="BN18" s="14" t="e">
        <f t="shared" si="20"/>
        <v>#VALUE!</v>
      </c>
      <c r="BO18" s="15" t="e">
        <f t="shared" si="20"/>
        <v>#VALUE!</v>
      </c>
      <c r="BP18" s="16" t="e">
        <f t="shared" si="20"/>
        <v>#VALUE!</v>
      </c>
      <c r="BQ18" s="13" t="e">
        <f t="shared" si="20"/>
        <v>#VALUE!</v>
      </c>
      <c r="BR18" s="14" t="e">
        <f t="shared" si="20"/>
        <v>#VALUE!</v>
      </c>
      <c r="BS18" s="14" t="e">
        <f t="shared" si="20"/>
        <v>#VALUE!</v>
      </c>
      <c r="BT18" s="14" t="e">
        <f t="shared" si="20"/>
        <v>#VALUE!</v>
      </c>
      <c r="BU18" s="14" t="e">
        <f t="shared" si="20"/>
        <v>#VALUE!</v>
      </c>
      <c r="BV18" s="15" t="e">
        <f t="shared" si="20"/>
        <v>#VALUE!</v>
      </c>
      <c r="BW18" s="16" t="e">
        <f t="shared" si="21"/>
        <v>#VALUE!</v>
      </c>
      <c r="BX18" s="13" t="e">
        <f t="shared" si="21"/>
        <v>#VALUE!</v>
      </c>
      <c r="BY18" s="14" t="e">
        <f t="shared" si="21"/>
        <v>#VALUE!</v>
      </c>
      <c r="BZ18" s="14" t="e">
        <f t="shared" si="21"/>
        <v>#VALUE!</v>
      </c>
      <c r="CA18" s="14" t="e">
        <f t="shared" si="21"/>
        <v>#VALUE!</v>
      </c>
      <c r="CB18" s="14" t="e">
        <f t="shared" si="21"/>
        <v>#VALUE!</v>
      </c>
      <c r="CC18" s="15" t="e">
        <f t="shared" si="21"/>
        <v>#VALUE!</v>
      </c>
      <c r="CD18" s="16" t="e">
        <f t="shared" si="21"/>
        <v>#VALUE!</v>
      </c>
      <c r="CE18" s="13" t="e">
        <f t="shared" si="21"/>
        <v>#VALUE!</v>
      </c>
      <c r="CF18" s="14" t="e">
        <f t="shared" si="21"/>
        <v>#VALUE!</v>
      </c>
      <c r="CG18" s="14" t="e">
        <f t="shared" si="21"/>
        <v>#VALUE!</v>
      </c>
      <c r="CH18" s="14" t="e">
        <f t="shared" si="21"/>
        <v>#VALUE!</v>
      </c>
      <c r="CI18" s="14" t="e">
        <f t="shared" si="21"/>
        <v>#VALUE!</v>
      </c>
      <c r="CJ18" s="15" t="e">
        <f t="shared" si="21"/>
        <v>#VALUE!</v>
      </c>
      <c r="CK18" s="16" t="e">
        <f t="shared" si="21"/>
        <v>#VALUE!</v>
      </c>
      <c r="CL18" s="13" t="e">
        <f t="shared" si="21"/>
        <v>#VALUE!</v>
      </c>
      <c r="CM18" s="14" t="e">
        <f t="shared" si="22"/>
        <v>#VALUE!</v>
      </c>
      <c r="CN18" s="14" t="e">
        <f t="shared" si="22"/>
        <v>#VALUE!</v>
      </c>
      <c r="CO18" s="14" t="e">
        <f t="shared" si="22"/>
        <v>#VALUE!</v>
      </c>
      <c r="CP18" s="14" t="e">
        <f t="shared" si="22"/>
        <v>#VALUE!</v>
      </c>
      <c r="CQ18" s="15" t="e">
        <f t="shared" si="22"/>
        <v>#VALUE!</v>
      </c>
      <c r="CR18" s="16" t="e">
        <f t="shared" si="22"/>
        <v>#VALUE!</v>
      </c>
      <c r="CS18" s="13" t="e">
        <f t="shared" si="22"/>
        <v>#VALUE!</v>
      </c>
      <c r="CT18" s="14" t="e">
        <f t="shared" si="22"/>
        <v>#VALUE!</v>
      </c>
      <c r="CU18" s="14" t="e">
        <f t="shared" si="22"/>
        <v>#VALUE!</v>
      </c>
      <c r="CV18" s="14" t="e">
        <f t="shared" si="22"/>
        <v>#VALUE!</v>
      </c>
      <c r="CW18" s="14" t="e">
        <f t="shared" si="22"/>
        <v>#VALUE!</v>
      </c>
      <c r="CX18" s="15" t="e">
        <f t="shared" si="22"/>
        <v>#VALUE!</v>
      </c>
      <c r="CY18" s="16" t="e">
        <f t="shared" si="22"/>
        <v>#VALUE!</v>
      </c>
      <c r="CZ18" s="13" t="e">
        <f t="shared" si="22"/>
        <v>#VALUE!</v>
      </c>
      <c r="DA18" s="14" t="e">
        <f t="shared" si="22"/>
        <v>#VALUE!</v>
      </c>
      <c r="DB18" s="14" t="e">
        <f t="shared" si="22"/>
        <v>#VALUE!</v>
      </c>
      <c r="DC18" s="14" t="e">
        <f t="shared" si="23"/>
        <v>#VALUE!</v>
      </c>
      <c r="DD18" s="14" t="e">
        <f t="shared" si="23"/>
        <v>#VALUE!</v>
      </c>
      <c r="DE18" s="15" t="e">
        <f t="shared" si="23"/>
        <v>#VALUE!</v>
      </c>
      <c r="DF18" s="16" t="e">
        <f t="shared" si="23"/>
        <v>#VALUE!</v>
      </c>
      <c r="DG18" s="13" t="e">
        <f t="shared" si="23"/>
        <v>#VALUE!</v>
      </c>
      <c r="DH18" s="14" t="e">
        <f t="shared" si="23"/>
        <v>#VALUE!</v>
      </c>
      <c r="DI18" s="14" t="e">
        <f t="shared" si="23"/>
        <v>#VALUE!</v>
      </c>
      <c r="DJ18" s="14" t="e">
        <f t="shared" si="23"/>
        <v>#VALUE!</v>
      </c>
      <c r="DK18" s="14" t="e">
        <f t="shared" si="23"/>
        <v>#VALUE!</v>
      </c>
      <c r="DL18" s="15" t="e">
        <f t="shared" si="23"/>
        <v>#VALUE!</v>
      </c>
      <c r="DM18" s="16" t="e">
        <f t="shared" si="23"/>
        <v>#VALUE!</v>
      </c>
      <c r="DN18" s="13" t="e">
        <f t="shared" si="23"/>
        <v>#VALUE!</v>
      </c>
      <c r="DO18" s="14" t="e">
        <f t="shared" si="23"/>
        <v>#VALUE!</v>
      </c>
      <c r="DP18" s="14" t="e">
        <f t="shared" si="23"/>
        <v>#VALUE!</v>
      </c>
      <c r="DQ18" s="14" t="e">
        <f t="shared" si="23"/>
        <v>#VALUE!</v>
      </c>
      <c r="DR18" s="14" t="e">
        <f t="shared" si="23"/>
        <v>#VALUE!</v>
      </c>
      <c r="DS18" s="15" t="e">
        <f t="shared" si="23"/>
        <v>#VALUE!</v>
      </c>
      <c r="DT18" s="16" t="e">
        <f t="shared" si="23"/>
        <v>#VALUE!</v>
      </c>
    </row>
    <row r="19" spans="1:124" s="17" customFormat="1" ht="9.75" customHeight="1">
      <c r="A19" s="587" t="str">
        <f>_xlfn.XLOOKUP(A25,'VTT project'!F:F,'VTT project'!AB:AB,"-",0)</f>
        <v>-</v>
      </c>
      <c r="B19" s="24" t="s">
        <v>49</v>
      </c>
      <c r="C19" s="19" t="e">
        <f t="shared" si="25"/>
        <v>#VALUE!</v>
      </c>
      <c r="D19" s="19" t="str">
        <f>_xlfn.XLOOKUP(A25,'VTT project'!F:F,'VTT project'!AJ:AJ,"-",0)</f>
        <v>-</v>
      </c>
      <c r="E19" s="19" t="e">
        <f>C19-1+D19</f>
        <v>#VALUE!</v>
      </c>
      <c r="F19" s="13" t="e">
        <f t="shared" si="17"/>
        <v>#VALUE!</v>
      </c>
      <c r="G19" s="14" t="e">
        <f t="shared" si="17"/>
        <v>#VALUE!</v>
      </c>
      <c r="H19" s="14" t="e">
        <f t="shared" si="17"/>
        <v>#VALUE!</v>
      </c>
      <c r="I19" s="14" t="e">
        <f t="shared" si="17"/>
        <v>#VALUE!</v>
      </c>
      <c r="J19" s="14" t="e">
        <f t="shared" si="17"/>
        <v>#VALUE!</v>
      </c>
      <c r="K19" s="15" t="e">
        <f t="shared" si="17"/>
        <v>#VALUE!</v>
      </c>
      <c r="L19" s="16" t="e">
        <f t="shared" si="17"/>
        <v>#VALUE!</v>
      </c>
      <c r="M19" s="13" t="e">
        <f t="shared" si="17"/>
        <v>#VALUE!</v>
      </c>
      <c r="N19" s="14" t="e">
        <f t="shared" si="17"/>
        <v>#VALUE!</v>
      </c>
      <c r="O19" s="14" t="e">
        <f t="shared" si="17"/>
        <v>#VALUE!</v>
      </c>
      <c r="P19" s="14" t="e">
        <f t="shared" si="17"/>
        <v>#VALUE!</v>
      </c>
      <c r="Q19" s="14" t="e">
        <f t="shared" si="17"/>
        <v>#VALUE!</v>
      </c>
      <c r="R19" s="15" t="e">
        <f t="shared" si="17"/>
        <v>#VALUE!</v>
      </c>
      <c r="S19" s="16" t="e">
        <f t="shared" si="17"/>
        <v>#VALUE!</v>
      </c>
      <c r="T19" s="13" t="e">
        <f t="shared" si="17"/>
        <v>#VALUE!</v>
      </c>
      <c r="U19" s="14" t="e">
        <f t="shared" si="17"/>
        <v>#VALUE!</v>
      </c>
      <c r="V19" s="14" t="e">
        <f t="shared" si="17"/>
        <v>#VALUE!</v>
      </c>
      <c r="W19" s="14" t="e">
        <f t="shared" si="17"/>
        <v>#VALUE!</v>
      </c>
      <c r="X19" s="14" t="e">
        <f t="shared" si="17"/>
        <v>#VALUE!</v>
      </c>
      <c r="Y19" s="15" t="e">
        <f t="shared" si="17"/>
        <v>#VALUE!</v>
      </c>
      <c r="Z19" s="16" t="e">
        <f t="shared" si="17"/>
        <v>#VALUE!</v>
      </c>
      <c r="AA19" s="13" t="e">
        <f t="shared" si="18"/>
        <v>#VALUE!</v>
      </c>
      <c r="AB19" s="14" t="e">
        <f t="shared" si="18"/>
        <v>#VALUE!</v>
      </c>
      <c r="AC19" s="14" t="e">
        <f t="shared" si="18"/>
        <v>#VALUE!</v>
      </c>
      <c r="AD19" s="14" t="e">
        <f t="shared" si="18"/>
        <v>#VALUE!</v>
      </c>
      <c r="AE19" s="14" t="e">
        <f t="shared" si="18"/>
        <v>#VALUE!</v>
      </c>
      <c r="AF19" s="15" t="e">
        <f t="shared" si="18"/>
        <v>#VALUE!</v>
      </c>
      <c r="AG19" s="16" t="e">
        <f t="shared" si="18"/>
        <v>#VALUE!</v>
      </c>
      <c r="AH19" s="13" t="e">
        <f t="shared" si="18"/>
        <v>#VALUE!</v>
      </c>
      <c r="AI19" s="14" t="e">
        <f t="shared" si="18"/>
        <v>#VALUE!</v>
      </c>
      <c r="AJ19" s="14" t="e">
        <f t="shared" si="18"/>
        <v>#VALUE!</v>
      </c>
      <c r="AK19" s="14" t="e">
        <f t="shared" si="18"/>
        <v>#VALUE!</v>
      </c>
      <c r="AL19" s="14" t="e">
        <f t="shared" si="18"/>
        <v>#VALUE!</v>
      </c>
      <c r="AM19" s="15" t="e">
        <f t="shared" si="18"/>
        <v>#VALUE!</v>
      </c>
      <c r="AN19" s="16" t="e">
        <f t="shared" si="18"/>
        <v>#VALUE!</v>
      </c>
      <c r="AO19" s="13" t="e">
        <f t="shared" si="18"/>
        <v>#VALUE!</v>
      </c>
      <c r="AP19" s="14" t="e">
        <f t="shared" si="18"/>
        <v>#VALUE!</v>
      </c>
      <c r="AQ19" s="14" t="e">
        <f t="shared" si="19"/>
        <v>#VALUE!</v>
      </c>
      <c r="AR19" s="14" t="e">
        <f t="shared" si="19"/>
        <v>#VALUE!</v>
      </c>
      <c r="AS19" s="14" t="e">
        <f t="shared" si="19"/>
        <v>#VALUE!</v>
      </c>
      <c r="AT19" s="15" t="e">
        <f t="shared" si="19"/>
        <v>#VALUE!</v>
      </c>
      <c r="AU19" s="16" t="e">
        <f t="shared" si="19"/>
        <v>#VALUE!</v>
      </c>
      <c r="AV19" s="13" t="e">
        <f t="shared" si="19"/>
        <v>#VALUE!</v>
      </c>
      <c r="AW19" s="14" t="e">
        <f t="shared" si="19"/>
        <v>#VALUE!</v>
      </c>
      <c r="AX19" s="14" t="e">
        <f t="shared" si="19"/>
        <v>#VALUE!</v>
      </c>
      <c r="AY19" s="14" t="e">
        <f t="shared" si="19"/>
        <v>#VALUE!</v>
      </c>
      <c r="AZ19" s="14" t="e">
        <f t="shared" si="19"/>
        <v>#VALUE!</v>
      </c>
      <c r="BA19" s="15" t="e">
        <f t="shared" si="19"/>
        <v>#VALUE!</v>
      </c>
      <c r="BB19" s="16" t="e">
        <f t="shared" si="19"/>
        <v>#VALUE!</v>
      </c>
      <c r="BC19" s="13" t="e">
        <f t="shared" si="19"/>
        <v>#VALUE!</v>
      </c>
      <c r="BD19" s="14" t="e">
        <f t="shared" si="19"/>
        <v>#VALUE!</v>
      </c>
      <c r="BE19" s="14" t="e">
        <f t="shared" si="19"/>
        <v>#VALUE!</v>
      </c>
      <c r="BF19" s="14" t="e">
        <f t="shared" si="19"/>
        <v>#VALUE!</v>
      </c>
      <c r="BG19" s="14" t="e">
        <f t="shared" si="20"/>
        <v>#VALUE!</v>
      </c>
      <c r="BH19" s="15" t="e">
        <f t="shared" si="20"/>
        <v>#VALUE!</v>
      </c>
      <c r="BI19" s="16" t="e">
        <f t="shared" si="20"/>
        <v>#VALUE!</v>
      </c>
      <c r="BJ19" s="13" t="e">
        <f t="shared" si="20"/>
        <v>#VALUE!</v>
      </c>
      <c r="BK19" s="14" t="e">
        <f t="shared" si="20"/>
        <v>#VALUE!</v>
      </c>
      <c r="BL19" s="14" t="e">
        <f t="shared" si="20"/>
        <v>#VALUE!</v>
      </c>
      <c r="BM19" s="14" t="e">
        <f t="shared" si="20"/>
        <v>#VALUE!</v>
      </c>
      <c r="BN19" s="14" t="e">
        <f t="shared" si="20"/>
        <v>#VALUE!</v>
      </c>
      <c r="BO19" s="15" t="e">
        <f t="shared" si="20"/>
        <v>#VALUE!</v>
      </c>
      <c r="BP19" s="16" t="e">
        <f t="shared" si="20"/>
        <v>#VALUE!</v>
      </c>
      <c r="BQ19" s="13" t="e">
        <f t="shared" si="20"/>
        <v>#VALUE!</v>
      </c>
      <c r="BR19" s="14" t="e">
        <f t="shared" si="20"/>
        <v>#VALUE!</v>
      </c>
      <c r="BS19" s="14" t="e">
        <f t="shared" si="20"/>
        <v>#VALUE!</v>
      </c>
      <c r="BT19" s="14" t="e">
        <f t="shared" si="20"/>
        <v>#VALUE!</v>
      </c>
      <c r="BU19" s="14" t="e">
        <f t="shared" si="20"/>
        <v>#VALUE!</v>
      </c>
      <c r="BV19" s="15" t="e">
        <f t="shared" si="20"/>
        <v>#VALUE!</v>
      </c>
      <c r="BW19" s="16" t="e">
        <f t="shared" si="21"/>
        <v>#VALUE!</v>
      </c>
      <c r="BX19" s="13" t="e">
        <f t="shared" si="21"/>
        <v>#VALUE!</v>
      </c>
      <c r="BY19" s="14" t="e">
        <f t="shared" si="21"/>
        <v>#VALUE!</v>
      </c>
      <c r="BZ19" s="14" t="e">
        <f t="shared" si="21"/>
        <v>#VALUE!</v>
      </c>
      <c r="CA19" s="14" t="e">
        <f t="shared" si="21"/>
        <v>#VALUE!</v>
      </c>
      <c r="CB19" s="14" t="e">
        <f t="shared" si="21"/>
        <v>#VALUE!</v>
      </c>
      <c r="CC19" s="15" t="e">
        <f t="shared" si="21"/>
        <v>#VALUE!</v>
      </c>
      <c r="CD19" s="16" t="e">
        <f t="shared" si="21"/>
        <v>#VALUE!</v>
      </c>
      <c r="CE19" s="13" t="e">
        <f t="shared" si="21"/>
        <v>#VALUE!</v>
      </c>
      <c r="CF19" s="14" t="e">
        <f t="shared" si="21"/>
        <v>#VALUE!</v>
      </c>
      <c r="CG19" s="14" t="e">
        <f t="shared" si="21"/>
        <v>#VALUE!</v>
      </c>
      <c r="CH19" s="14" t="e">
        <f t="shared" si="21"/>
        <v>#VALUE!</v>
      </c>
      <c r="CI19" s="14" t="e">
        <f t="shared" si="21"/>
        <v>#VALUE!</v>
      </c>
      <c r="CJ19" s="15" t="e">
        <f t="shared" si="21"/>
        <v>#VALUE!</v>
      </c>
      <c r="CK19" s="16" t="e">
        <f t="shared" si="21"/>
        <v>#VALUE!</v>
      </c>
      <c r="CL19" s="13" t="e">
        <f t="shared" si="21"/>
        <v>#VALUE!</v>
      </c>
      <c r="CM19" s="14" t="e">
        <f t="shared" si="22"/>
        <v>#VALUE!</v>
      </c>
      <c r="CN19" s="14" t="e">
        <f t="shared" si="22"/>
        <v>#VALUE!</v>
      </c>
      <c r="CO19" s="14" t="e">
        <f t="shared" si="22"/>
        <v>#VALUE!</v>
      </c>
      <c r="CP19" s="14" t="e">
        <f t="shared" si="22"/>
        <v>#VALUE!</v>
      </c>
      <c r="CQ19" s="15" t="e">
        <f t="shared" si="22"/>
        <v>#VALUE!</v>
      </c>
      <c r="CR19" s="16" t="e">
        <f t="shared" si="22"/>
        <v>#VALUE!</v>
      </c>
      <c r="CS19" s="13" t="e">
        <f t="shared" si="22"/>
        <v>#VALUE!</v>
      </c>
      <c r="CT19" s="14" t="e">
        <f t="shared" si="22"/>
        <v>#VALUE!</v>
      </c>
      <c r="CU19" s="14" t="e">
        <f t="shared" si="22"/>
        <v>#VALUE!</v>
      </c>
      <c r="CV19" s="14" t="e">
        <f t="shared" si="22"/>
        <v>#VALUE!</v>
      </c>
      <c r="CW19" s="14" t="e">
        <f t="shared" si="22"/>
        <v>#VALUE!</v>
      </c>
      <c r="CX19" s="15" t="e">
        <f t="shared" si="22"/>
        <v>#VALUE!</v>
      </c>
      <c r="CY19" s="16" t="e">
        <f t="shared" si="22"/>
        <v>#VALUE!</v>
      </c>
      <c r="CZ19" s="13" t="e">
        <f t="shared" si="22"/>
        <v>#VALUE!</v>
      </c>
      <c r="DA19" s="14" t="e">
        <f t="shared" si="22"/>
        <v>#VALUE!</v>
      </c>
      <c r="DB19" s="14" t="e">
        <f t="shared" si="22"/>
        <v>#VALUE!</v>
      </c>
      <c r="DC19" s="14" t="e">
        <f t="shared" si="23"/>
        <v>#VALUE!</v>
      </c>
      <c r="DD19" s="14" t="e">
        <f t="shared" si="23"/>
        <v>#VALUE!</v>
      </c>
      <c r="DE19" s="15" t="e">
        <f t="shared" si="23"/>
        <v>#VALUE!</v>
      </c>
      <c r="DF19" s="16" t="e">
        <f t="shared" si="23"/>
        <v>#VALUE!</v>
      </c>
      <c r="DG19" s="13" t="e">
        <f t="shared" si="23"/>
        <v>#VALUE!</v>
      </c>
      <c r="DH19" s="14" t="e">
        <f t="shared" si="23"/>
        <v>#VALUE!</v>
      </c>
      <c r="DI19" s="14" t="e">
        <f t="shared" si="23"/>
        <v>#VALUE!</v>
      </c>
      <c r="DJ19" s="14" t="e">
        <f t="shared" si="23"/>
        <v>#VALUE!</v>
      </c>
      <c r="DK19" s="14" t="e">
        <f t="shared" si="23"/>
        <v>#VALUE!</v>
      </c>
      <c r="DL19" s="15" t="e">
        <f t="shared" si="23"/>
        <v>#VALUE!</v>
      </c>
      <c r="DM19" s="16" t="e">
        <f t="shared" si="23"/>
        <v>#VALUE!</v>
      </c>
      <c r="DN19" s="13" t="e">
        <f t="shared" si="23"/>
        <v>#VALUE!</v>
      </c>
      <c r="DO19" s="14" t="e">
        <f t="shared" si="23"/>
        <v>#VALUE!</v>
      </c>
      <c r="DP19" s="14" t="e">
        <f t="shared" si="23"/>
        <v>#VALUE!</v>
      </c>
      <c r="DQ19" s="14" t="e">
        <f t="shared" si="23"/>
        <v>#VALUE!</v>
      </c>
      <c r="DR19" s="14" t="e">
        <f t="shared" si="23"/>
        <v>#VALUE!</v>
      </c>
      <c r="DS19" s="15" t="e">
        <f t="shared" si="23"/>
        <v>#VALUE!</v>
      </c>
      <c r="DT19" s="16" t="e">
        <f t="shared" si="23"/>
        <v>#VALUE!</v>
      </c>
    </row>
    <row r="20" spans="1:124" s="17" customFormat="1" ht="9.75" customHeight="1">
      <c r="A20" s="587"/>
      <c r="B20" s="26" t="str">
        <f>IF(COUNTIF(buffer_train[AILN],B5)&gt;0,"Buffer Train","")</f>
        <v/>
      </c>
      <c r="C20" s="19" t="e">
        <f>E19+1</f>
        <v>#VALUE!</v>
      </c>
      <c r="D20" s="19" t="str">
        <f>_xlfn.XLOOKUP(A25,'VTT project'!F:F,'VTT project'!AN:AN,"-",0)</f>
        <v>-</v>
      </c>
      <c r="E20" s="19" t="e">
        <f>C20-1+IF(D20="-",0,D20)</f>
        <v>#VALUE!</v>
      </c>
      <c r="F20" s="13" t="e">
        <f>IF(AND(F$5&gt;=$C20,F$5&lt;=$E20),1,"")</f>
        <v>#VALUE!</v>
      </c>
      <c r="G20" s="14" t="e">
        <f t="shared" si="17"/>
        <v>#VALUE!</v>
      </c>
      <c r="H20" s="14" t="e">
        <f t="shared" si="17"/>
        <v>#VALUE!</v>
      </c>
      <c r="I20" s="14" t="e">
        <f t="shared" si="17"/>
        <v>#VALUE!</v>
      </c>
      <c r="J20" s="14" t="e">
        <f t="shared" ref="J20:Z20" si="26">IF(AND(J$5&gt;=$C20,J$5&lt;=$E20),1,"")</f>
        <v>#VALUE!</v>
      </c>
      <c r="K20" s="15" t="e">
        <f t="shared" si="26"/>
        <v>#VALUE!</v>
      </c>
      <c r="L20" s="16" t="e">
        <f t="shared" si="26"/>
        <v>#VALUE!</v>
      </c>
      <c r="M20" s="13" t="e">
        <f t="shared" si="26"/>
        <v>#VALUE!</v>
      </c>
      <c r="N20" s="14" t="e">
        <f t="shared" si="26"/>
        <v>#VALUE!</v>
      </c>
      <c r="O20" s="14" t="e">
        <f t="shared" si="26"/>
        <v>#VALUE!</v>
      </c>
      <c r="P20" s="14" t="e">
        <f t="shared" si="26"/>
        <v>#VALUE!</v>
      </c>
      <c r="Q20" s="14" t="e">
        <f t="shared" si="26"/>
        <v>#VALUE!</v>
      </c>
      <c r="R20" s="15" t="e">
        <f t="shared" si="26"/>
        <v>#VALUE!</v>
      </c>
      <c r="S20" s="16" t="e">
        <f t="shared" si="26"/>
        <v>#VALUE!</v>
      </c>
      <c r="T20" s="13" t="e">
        <f t="shared" si="26"/>
        <v>#VALUE!</v>
      </c>
      <c r="U20" s="14" t="e">
        <f t="shared" si="26"/>
        <v>#VALUE!</v>
      </c>
      <c r="V20" s="14" t="e">
        <f t="shared" si="26"/>
        <v>#VALUE!</v>
      </c>
      <c r="W20" s="14" t="e">
        <f t="shared" si="26"/>
        <v>#VALUE!</v>
      </c>
      <c r="X20" s="14" t="e">
        <f t="shared" si="26"/>
        <v>#VALUE!</v>
      </c>
      <c r="Y20" s="15" t="e">
        <f t="shared" si="26"/>
        <v>#VALUE!</v>
      </c>
      <c r="Z20" s="16" t="e">
        <f t="shared" si="26"/>
        <v>#VALUE!</v>
      </c>
      <c r="AA20" s="13" t="e">
        <f t="shared" si="18"/>
        <v>#VALUE!</v>
      </c>
      <c r="AB20" s="14" t="e">
        <f t="shared" si="18"/>
        <v>#VALUE!</v>
      </c>
      <c r="AC20" s="14" t="e">
        <f t="shared" si="18"/>
        <v>#VALUE!</v>
      </c>
      <c r="AD20" s="14" t="e">
        <f t="shared" si="18"/>
        <v>#VALUE!</v>
      </c>
      <c r="AE20" s="14" t="e">
        <f t="shared" si="18"/>
        <v>#VALUE!</v>
      </c>
      <c r="AF20" s="15" t="e">
        <f t="shared" si="18"/>
        <v>#VALUE!</v>
      </c>
      <c r="AG20" s="16" t="e">
        <f t="shared" si="18"/>
        <v>#VALUE!</v>
      </c>
      <c r="AH20" s="13" t="e">
        <f t="shared" si="18"/>
        <v>#VALUE!</v>
      </c>
      <c r="AI20" s="14" t="e">
        <f t="shared" si="18"/>
        <v>#VALUE!</v>
      </c>
      <c r="AJ20" s="14" t="e">
        <f t="shared" si="18"/>
        <v>#VALUE!</v>
      </c>
      <c r="AK20" s="14" t="e">
        <f t="shared" si="18"/>
        <v>#VALUE!</v>
      </c>
      <c r="AL20" s="14" t="e">
        <f t="shared" si="18"/>
        <v>#VALUE!</v>
      </c>
      <c r="AM20" s="15" t="e">
        <f t="shared" si="18"/>
        <v>#VALUE!</v>
      </c>
      <c r="AN20" s="16" t="e">
        <f t="shared" si="18"/>
        <v>#VALUE!</v>
      </c>
      <c r="AO20" s="13" t="e">
        <f t="shared" si="18"/>
        <v>#VALUE!</v>
      </c>
      <c r="AP20" s="14" t="e">
        <f t="shared" si="18"/>
        <v>#VALUE!</v>
      </c>
      <c r="AQ20" s="14" t="e">
        <f t="shared" si="19"/>
        <v>#VALUE!</v>
      </c>
      <c r="AR20" s="14" t="e">
        <f t="shared" si="19"/>
        <v>#VALUE!</v>
      </c>
      <c r="AS20" s="14" t="e">
        <f t="shared" si="19"/>
        <v>#VALUE!</v>
      </c>
      <c r="AT20" s="15" t="e">
        <f t="shared" si="19"/>
        <v>#VALUE!</v>
      </c>
      <c r="AU20" s="16" t="e">
        <f t="shared" si="19"/>
        <v>#VALUE!</v>
      </c>
      <c r="AV20" s="13" t="e">
        <f t="shared" si="19"/>
        <v>#VALUE!</v>
      </c>
      <c r="AW20" s="14" t="e">
        <f t="shared" si="19"/>
        <v>#VALUE!</v>
      </c>
      <c r="AX20" s="14" t="e">
        <f t="shared" si="19"/>
        <v>#VALUE!</v>
      </c>
      <c r="AY20" s="14" t="e">
        <f t="shared" si="19"/>
        <v>#VALUE!</v>
      </c>
      <c r="AZ20" s="14" t="e">
        <f t="shared" si="19"/>
        <v>#VALUE!</v>
      </c>
      <c r="BA20" s="15" t="e">
        <f t="shared" si="19"/>
        <v>#VALUE!</v>
      </c>
      <c r="BB20" s="16" t="e">
        <f t="shared" si="19"/>
        <v>#VALUE!</v>
      </c>
      <c r="BC20" s="13" t="e">
        <f t="shared" si="19"/>
        <v>#VALUE!</v>
      </c>
      <c r="BD20" s="14" t="e">
        <f t="shared" si="19"/>
        <v>#VALUE!</v>
      </c>
      <c r="BE20" s="14" t="e">
        <f t="shared" si="19"/>
        <v>#VALUE!</v>
      </c>
      <c r="BF20" s="14" t="e">
        <f t="shared" si="19"/>
        <v>#VALUE!</v>
      </c>
      <c r="BG20" s="14" t="e">
        <f t="shared" si="20"/>
        <v>#VALUE!</v>
      </c>
      <c r="BH20" s="15" t="e">
        <f t="shared" si="20"/>
        <v>#VALUE!</v>
      </c>
      <c r="BI20" s="16" t="e">
        <f t="shared" si="20"/>
        <v>#VALUE!</v>
      </c>
      <c r="BJ20" s="13" t="e">
        <f t="shared" si="20"/>
        <v>#VALUE!</v>
      </c>
      <c r="BK20" s="14" t="e">
        <f t="shared" si="20"/>
        <v>#VALUE!</v>
      </c>
      <c r="BL20" s="14" t="e">
        <f t="shared" si="20"/>
        <v>#VALUE!</v>
      </c>
      <c r="BM20" s="14" t="e">
        <f t="shared" si="20"/>
        <v>#VALUE!</v>
      </c>
      <c r="BN20" s="14" t="e">
        <f t="shared" si="20"/>
        <v>#VALUE!</v>
      </c>
      <c r="BO20" s="15" t="e">
        <f t="shared" si="20"/>
        <v>#VALUE!</v>
      </c>
      <c r="BP20" s="16" t="e">
        <f t="shared" si="20"/>
        <v>#VALUE!</v>
      </c>
      <c r="BQ20" s="13" t="e">
        <f t="shared" si="20"/>
        <v>#VALUE!</v>
      </c>
      <c r="BR20" s="14" t="e">
        <f t="shared" si="20"/>
        <v>#VALUE!</v>
      </c>
      <c r="BS20" s="14" t="e">
        <f t="shared" si="20"/>
        <v>#VALUE!</v>
      </c>
      <c r="BT20" s="14" t="e">
        <f t="shared" si="20"/>
        <v>#VALUE!</v>
      </c>
      <c r="BU20" s="14" t="e">
        <f t="shared" si="20"/>
        <v>#VALUE!</v>
      </c>
      <c r="BV20" s="15" t="e">
        <f t="shared" si="20"/>
        <v>#VALUE!</v>
      </c>
      <c r="BW20" s="16" t="e">
        <f t="shared" si="21"/>
        <v>#VALUE!</v>
      </c>
      <c r="BX20" s="13" t="e">
        <f t="shared" si="21"/>
        <v>#VALUE!</v>
      </c>
      <c r="BY20" s="14" t="e">
        <f t="shared" si="21"/>
        <v>#VALUE!</v>
      </c>
      <c r="BZ20" s="14" t="e">
        <f t="shared" si="21"/>
        <v>#VALUE!</v>
      </c>
      <c r="CA20" s="14" t="e">
        <f t="shared" si="21"/>
        <v>#VALUE!</v>
      </c>
      <c r="CB20" s="14" t="e">
        <f t="shared" si="21"/>
        <v>#VALUE!</v>
      </c>
      <c r="CC20" s="15" t="e">
        <f t="shared" si="21"/>
        <v>#VALUE!</v>
      </c>
      <c r="CD20" s="16" t="e">
        <f t="shared" si="21"/>
        <v>#VALUE!</v>
      </c>
      <c r="CE20" s="13" t="e">
        <f t="shared" si="21"/>
        <v>#VALUE!</v>
      </c>
      <c r="CF20" s="14" t="e">
        <f t="shared" si="21"/>
        <v>#VALUE!</v>
      </c>
      <c r="CG20" s="14" t="e">
        <f t="shared" si="21"/>
        <v>#VALUE!</v>
      </c>
      <c r="CH20" s="14" t="e">
        <f t="shared" si="21"/>
        <v>#VALUE!</v>
      </c>
      <c r="CI20" s="14" t="e">
        <f t="shared" si="21"/>
        <v>#VALUE!</v>
      </c>
      <c r="CJ20" s="15" t="e">
        <f t="shared" si="21"/>
        <v>#VALUE!</v>
      </c>
      <c r="CK20" s="16" t="e">
        <f t="shared" si="21"/>
        <v>#VALUE!</v>
      </c>
      <c r="CL20" s="13" t="e">
        <f t="shared" si="21"/>
        <v>#VALUE!</v>
      </c>
      <c r="CM20" s="14" t="e">
        <f t="shared" si="22"/>
        <v>#VALUE!</v>
      </c>
      <c r="CN20" s="14" t="e">
        <f t="shared" si="22"/>
        <v>#VALUE!</v>
      </c>
      <c r="CO20" s="14" t="e">
        <f t="shared" si="22"/>
        <v>#VALUE!</v>
      </c>
      <c r="CP20" s="14" t="e">
        <f t="shared" si="22"/>
        <v>#VALUE!</v>
      </c>
      <c r="CQ20" s="15" t="e">
        <f t="shared" si="22"/>
        <v>#VALUE!</v>
      </c>
      <c r="CR20" s="16" t="e">
        <f t="shared" si="22"/>
        <v>#VALUE!</v>
      </c>
      <c r="CS20" s="13" t="e">
        <f t="shared" si="22"/>
        <v>#VALUE!</v>
      </c>
      <c r="CT20" s="14" t="e">
        <f t="shared" si="22"/>
        <v>#VALUE!</v>
      </c>
      <c r="CU20" s="14" t="e">
        <f t="shared" si="22"/>
        <v>#VALUE!</v>
      </c>
      <c r="CV20" s="14" t="e">
        <f t="shared" si="22"/>
        <v>#VALUE!</v>
      </c>
      <c r="CW20" s="14" t="e">
        <f t="shared" si="22"/>
        <v>#VALUE!</v>
      </c>
      <c r="CX20" s="15" t="e">
        <f t="shared" si="22"/>
        <v>#VALUE!</v>
      </c>
      <c r="CY20" s="16" t="e">
        <f t="shared" si="22"/>
        <v>#VALUE!</v>
      </c>
      <c r="CZ20" s="13" t="e">
        <f t="shared" si="22"/>
        <v>#VALUE!</v>
      </c>
      <c r="DA20" s="14" t="e">
        <f t="shared" si="22"/>
        <v>#VALUE!</v>
      </c>
      <c r="DB20" s="14" t="e">
        <f t="shared" si="22"/>
        <v>#VALUE!</v>
      </c>
      <c r="DC20" s="14" t="e">
        <f t="shared" si="23"/>
        <v>#VALUE!</v>
      </c>
      <c r="DD20" s="14" t="e">
        <f t="shared" si="23"/>
        <v>#VALUE!</v>
      </c>
      <c r="DE20" s="15" t="e">
        <f t="shared" si="23"/>
        <v>#VALUE!</v>
      </c>
      <c r="DF20" s="16" t="e">
        <f t="shared" si="23"/>
        <v>#VALUE!</v>
      </c>
      <c r="DG20" s="13" t="e">
        <f t="shared" si="23"/>
        <v>#VALUE!</v>
      </c>
      <c r="DH20" s="14" t="e">
        <f t="shared" si="23"/>
        <v>#VALUE!</v>
      </c>
      <c r="DI20" s="14" t="e">
        <f t="shared" si="23"/>
        <v>#VALUE!</v>
      </c>
      <c r="DJ20" s="14" t="e">
        <f t="shared" si="23"/>
        <v>#VALUE!</v>
      </c>
      <c r="DK20" s="14" t="e">
        <f t="shared" si="23"/>
        <v>#VALUE!</v>
      </c>
      <c r="DL20" s="15" t="e">
        <f t="shared" si="23"/>
        <v>#VALUE!</v>
      </c>
      <c r="DM20" s="16" t="e">
        <f t="shared" si="23"/>
        <v>#VALUE!</v>
      </c>
      <c r="DN20" s="13" t="e">
        <f t="shared" si="23"/>
        <v>#VALUE!</v>
      </c>
      <c r="DO20" s="14" t="e">
        <f t="shared" si="23"/>
        <v>#VALUE!</v>
      </c>
      <c r="DP20" s="14" t="e">
        <f t="shared" si="23"/>
        <v>#VALUE!</v>
      </c>
      <c r="DQ20" s="14" t="e">
        <f t="shared" si="23"/>
        <v>#VALUE!</v>
      </c>
      <c r="DR20" s="14" t="e">
        <f t="shared" si="23"/>
        <v>#VALUE!</v>
      </c>
      <c r="DS20" s="15" t="e">
        <f t="shared" si="23"/>
        <v>#VALUE!</v>
      </c>
      <c r="DT20" s="16" t="e">
        <f t="shared" si="23"/>
        <v>#VALUE!</v>
      </c>
    </row>
    <row r="21" spans="1:124" s="17" customFormat="1" ht="9.75" customHeight="1">
      <c r="A21" s="92" t="str">
        <f>_xlfn.CONCAT(B3,"-","Actif")</f>
        <v>--Actif</v>
      </c>
      <c r="B21" s="24" t="str">
        <f>IF(B5=0,"","Transport to PFI")</f>
        <v>Transport to PFI</v>
      </c>
      <c r="C21" s="19" t="e">
        <f>E20+1</f>
        <v>#VALUE!</v>
      </c>
      <c r="D21" s="19" t="str">
        <f>_xlfn.XLOOKUP(A25,'VTT project'!F:F,'VTT project'!AO:AO,"-",0)</f>
        <v>-</v>
      </c>
      <c r="E21" s="19" t="e">
        <f>C21-1+IF(D21="-",0,D21)</f>
        <v>#VALUE!</v>
      </c>
      <c r="F21" s="13" t="e">
        <f t="shared" ref="F21:BQ25" si="27">IF(AND(F$5&gt;=$C21,F$5&lt;=$E21),1,"")</f>
        <v>#VALUE!</v>
      </c>
      <c r="G21" s="14" t="e">
        <f t="shared" si="27"/>
        <v>#VALUE!</v>
      </c>
      <c r="H21" s="14" t="e">
        <f t="shared" si="27"/>
        <v>#VALUE!</v>
      </c>
      <c r="I21" s="14" t="e">
        <f t="shared" si="27"/>
        <v>#VALUE!</v>
      </c>
      <c r="J21" s="14" t="e">
        <f t="shared" si="27"/>
        <v>#VALUE!</v>
      </c>
      <c r="K21" s="15" t="e">
        <f t="shared" si="27"/>
        <v>#VALUE!</v>
      </c>
      <c r="L21" s="16" t="e">
        <f t="shared" si="27"/>
        <v>#VALUE!</v>
      </c>
      <c r="M21" s="13" t="e">
        <f t="shared" si="27"/>
        <v>#VALUE!</v>
      </c>
      <c r="N21" s="14" t="e">
        <f t="shared" si="27"/>
        <v>#VALUE!</v>
      </c>
      <c r="O21" s="14" t="e">
        <f t="shared" si="27"/>
        <v>#VALUE!</v>
      </c>
      <c r="P21" s="14" t="e">
        <f t="shared" si="27"/>
        <v>#VALUE!</v>
      </c>
      <c r="Q21" s="14" t="e">
        <f t="shared" si="27"/>
        <v>#VALUE!</v>
      </c>
      <c r="R21" s="15" t="e">
        <f t="shared" si="27"/>
        <v>#VALUE!</v>
      </c>
      <c r="S21" s="16" t="e">
        <f t="shared" si="27"/>
        <v>#VALUE!</v>
      </c>
      <c r="T21" s="13" t="e">
        <f t="shared" si="27"/>
        <v>#VALUE!</v>
      </c>
      <c r="U21" s="14" t="e">
        <f t="shared" si="27"/>
        <v>#VALUE!</v>
      </c>
      <c r="V21" s="14" t="e">
        <f t="shared" si="27"/>
        <v>#VALUE!</v>
      </c>
      <c r="W21" s="14" t="e">
        <f t="shared" si="27"/>
        <v>#VALUE!</v>
      </c>
      <c r="X21" s="14" t="e">
        <f t="shared" si="27"/>
        <v>#VALUE!</v>
      </c>
      <c r="Y21" s="15" t="e">
        <f t="shared" si="27"/>
        <v>#VALUE!</v>
      </c>
      <c r="Z21" s="16" t="e">
        <f t="shared" si="27"/>
        <v>#VALUE!</v>
      </c>
      <c r="AA21" s="13" t="e">
        <f t="shared" si="27"/>
        <v>#VALUE!</v>
      </c>
      <c r="AB21" s="14" t="e">
        <f t="shared" si="27"/>
        <v>#VALUE!</v>
      </c>
      <c r="AC21" s="14" t="e">
        <f t="shared" si="27"/>
        <v>#VALUE!</v>
      </c>
      <c r="AD21" s="14" t="e">
        <f t="shared" si="27"/>
        <v>#VALUE!</v>
      </c>
      <c r="AE21" s="14" t="e">
        <f t="shared" si="27"/>
        <v>#VALUE!</v>
      </c>
      <c r="AF21" s="15" t="e">
        <f t="shared" si="27"/>
        <v>#VALUE!</v>
      </c>
      <c r="AG21" s="16" t="e">
        <f t="shared" si="27"/>
        <v>#VALUE!</v>
      </c>
      <c r="AH21" s="13" t="e">
        <f t="shared" si="27"/>
        <v>#VALUE!</v>
      </c>
      <c r="AI21" s="14" t="e">
        <f t="shared" si="27"/>
        <v>#VALUE!</v>
      </c>
      <c r="AJ21" s="14" t="e">
        <f t="shared" si="27"/>
        <v>#VALUE!</v>
      </c>
      <c r="AK21" s="14" t="e">
        <f t="shared" si="27"/>
        <v>#VALUE!</v>
      </c>
      <c r="AL21" s="14" t="e">
        <f t="shared" si="27"/>
        <v>#VALUE!</v>
      </c>
      <c r="AM21" s="15" t="e">
        <f t="shared" si="27"/>
        <v>#VALUE!</v>
      </c>
      <c r="AN21" s="16" t="e">
        <f t="shared" si="27"/>
        <v>#VALUE!</v>
      </c>
      <c r="AO21" s="13" t="e">
        <f t="shared" si="27"/>
        <v>#VALUE!</v>
      </c>
      <c r="AP21" s="14" t="e">
        <f t="shared" si="27"/>
        <v>#VALUE!</v>
      </c>
      <c r="AQ21" s="14" t="e">
        <f t="shared" si="27"/>
        <v>#VALUE!</v>
      </c>
      <c r="AR21" s="14" t="e">
        <f t="shared" si="27"/>
        <v>#VALUE!</v>
      </c>
      <c r="AS21" s="14" t="e">
        <f t="shared" si="27"/>
        <v>#VALUE!</v>
      </c>
      <c r="AT21" s="15" t="e">
        <f t="shared" si="27"/>
        <v>#VALUE!</v>
      </c>
      <c r="AU21" s="16" t="e">
        <f t="shared" si="27"/>
        <v>#VALUE!</v>
      </c>
      <c r="AV21" s="13" t="e">
        <f t="shared" si="27"/>
        <v>#VALUE!</v>
      </c>
      <c r="AW21" s="14" t="e">
        <f t="shared" si="27"/>
        <v>#VALUE!</v>
      </c>
      <c r="AX21" s="14" t="e">
        <f t="shared" si="27"/>
        <v>#VALUE!</v>
      </c>
      <c r="AY21" s="14" t="e">
        <f t="shared" si="27"/>
        <v>#VALUE!</v>
      </c>
      <c r="AZ21" s="14" t="e">
        <f t="shared" si="27"/>
        <v>#VALUE!</v>
      </c>
      <c r="BA21" s="15" t="e">
        <f t="shared" si="27"/>
        <v>#VALUE!</v>
      </c>
      <c r="BB21" s="16" t="e">
        <f t="shared" si="27"/>
        <v>#VALUE!</v>
      </c>
      <c r="BC21" s="13" t="e">
        <f t="shared" si="27"/>
        <v>#VALUE!</v>
      </c>
      <c r="BD21" s="14" t="e">
        <f t="shared" si="27"/>
        <v>#VALUE!</v>
      </c>
      <c r="BE21" s="14" t="e">
        <f t="shared" si="27"/>
        <v>#VALUE!</v>
      </c>
      <c r="BF21" s="14" t="e">
        <f t="shared" si="27"/>
        <v>#VALUE!</v>
      </c>
      <c r="BG21" s="14" t="e">
        <f t="shared" si="27"/>
        <v>#VALUE!</v>
      </c>
      <c r="BH21" s="15" t="e">
        <f t="shared" si="27"/>
        <v>#VALUE!</v>
      </c>
      <c r="BI21" s="16" t="e">
        <f t="shared" si="27"/>
        <v>#VALUE!</v>
      </c>
      <c r="BJ21" s="13" t="e">
        <f t="shared" si="27"/>
        <v>#VALUE!</v>
      </c>
      <c r="BK21" s="14" t="e">
        <f t="shared" si="27"/>
        <v>#VALUE!</v>
      </c>
      <c r="BL21" s="14" t="e">
        <f t="shared" si="27"/>
        <v>#VALUE!</v>
      </c>
      <c r="BM21" s="14" t="e">
        <f t="shared" si="27"/>
        <v>#VALUE!</v>
      </c>
      <c r="BN21" s="14" t="e">
        <f t="shared" si="27"/>
        <v>#VALUE!</v>
      </c>
      <c r="BO21" s="15" t="e">
        <f t="shared" si="27"/>
        <v>#VALUE!</v>
      </c>
      <c r="BP21" s="16" t="e">
        <f t="shared" si="27"/>
        <v>#VALUE!</v>
      </c>
      <c r="BQ21" s="13" t="e">
        <f t="shared" si="27"/>
        <v>#VALUE!</v>
      </c>
      <c r="BR21" s="14" t="e">
        <f t="shared" si="20"/>
        <v>#VALUE!</v>
      </c>
      <c r="BS21" s="14" t="e">
        <f t="shared" si="20"/>
        <v>#VALUE!</v>
      </c>
      <c r="BT21" s="14" t="e">
        <f t="shared" si="20"/>
        <v>#VALUE!</v>
      </c>
      <c r="BU21" s="14" t="e">
        <f t="shared" si="20"/>
        <v>#VALUE!</v>
      </c>
      <c r="BV21" s="15" t="e">
        <f t="shared" si="20"/>
        <v>#VALUE!</v>
      </c>
      <c r="BW21" s="16" t="e">
        <f t="shared" si="21"/>
        <v>#VALUE!</v>
      </c>
      <c r="BX21" s="13" t="e">
        <f t="shared" si="21"/>
        <v>#VALUE!</v>
      </c>
      <c r="BY21" s="14" t="e">
        <f t="shared" si="21"/>
        <v>#VALUE!</v>
      </c>
      <c r="BZ21" s="14" t="e">
        <f t="shared" si="21"/>
        <v>#VALUE!</v>
      </c>
      <c r="CA21" s="14" t="e">
        <f t="shared" si="21"/>
        <v>#VALUE!</v>
      </c>
      <c r="CB21" s="14" t="e">
        <f t="shared" si="21"/>
        <v>#VALUE!</v>
      </c>
      <c r="CC21" s="15" t="e">
        <f t="shared" si="21"/>
        <v>#VALUE!</v>
      </c>
      <c r="CD21" s="16" t="e">
        <f t="shared" si="21"/>
        <v>#VALUE!</v>
      </c>
      <c r="CE21" s="13" t="e">
        <f t="shared" si="21"/>
        <v>#VALUE!</v>
      </c>
      <c r="CF21" s="14" t="e">
        <f t="shared" si="21"/>
        <v>#VALUE!</v>
      </c>
      <c r="CG21" s="14" t="e">
        <f t="shared" si="21"/>
        <v>#VALUE!</v>
      </c>
      <c r="CH21" s="14" t="e">
        <f t="shared" si="21"/>
        <v>#VALUE!</v>
      </c>
      <c r="CI21" s="14" t="e">
        <f t="shared" si="21"/>
        <v>#VALUE!</v>
      </c>
      <c r="CJ21" s="15" t="e">
        <f t="shared" si="21"/>
        <v>#VALUE!</v>
      </c>
      <c r="CK21" s="16" t="e">
        <f t="shared" si="21"/>
        <v>#VALUE!</v>
      </c>
      <c r="CL21" s="13" t="e">
        <f t="shared" si="21"/>
        <v>#VALUE!</v>
      </c>
      <c r="CM21" s="14" t="e">
        <f t="shared" si="22"/>
        <v>#VALUE!</v>
      </c>
      <c r="CN21" s="14" t="e">
        <f t="shared" si="22"/>
        <v>#VALUE!</v>
      </c>
      <c r="CO21" s="14" t="e">
        <f t="shared" si="22"/>
        <v>#VALUE!</v>
      </c>
      <c r="CP21" s="14" t="e">
        <f t="shared" si="22"/>
        <v>#VALUE!</v>
      </c>
      <c r="CQ21" s="15" t="e">
        <f t="shared" si="22"/>
        <v>#VALUE!</v>
      </c>
      <c r="CR21" s="16" t="e">
        <f t="shared" si="22"/>
        <v>#VALUE!</v>
      </c>
      <c r="CS21" s="13" t="e">
        <f t="shared" si="22"/>
        <v>#VALUE!</v>
      </c>
      <c r="CT21" s="14" t="e">
        <f t="shared" si="22"/>
        <v>#VALUE!</v>
      </c>
      <c r="CU21" s="14" t="e">
        <f t="shared" si="22"/>
        <v>#VALUE!</v>
      </c>
      <c r="CV21" s="14" t="e">
        <f t="shared" si="22"/>
        <v>#VALUE!</v>
      </c>
      <c r="CW21" s="14" t="e">
        <f t="shared" si="22"/>
        <v>#VALUE!</v>
      </c>
      <c r="CX21" s="15" t="e">
        <f t="shared" si="22"/>
        <v>#VALUE!</v>
      </c>
      <c r="CY21" s="16" t="e">
        <f t="shared" si="22"/>
        <v>#VALUE!</v>
      </c>
      <c r="CZ21" s="13" t="e">
        <f t="shared" si="22"/>
        <v>#VALUE!</v>
      </c>
      <c r="DA21" s="14" t="e">
        <f t="shared" si="22"/>
        <v>#VALUE!</v>
      </c>
      <c r="DB21" s="14" t="e">
        <f t="shared" si="22"/>
        <v>#VALUE!</v>
      </c>
      <c r="DC21" s="14" t="e">
        <f t="shared" si="23"/>
        <v>#VALUE!</v>
      </c>
      <c r="DD21" s="14" t="e">
        <f t="shared" si="23"/>
        <v>#VALUE!</v>
      </c>
      <c r="DE21" s="15" t="e">
        <f t="shared" si="23"/>
        <v>#VALUE!</v>
      </c>
      <c r="DF21" s="16" t="e">
        <f t="shared" si="23"/>
        <v>#VALUE!</v>
      </c>
      <c r="DG21" s="13" t="e">
        <f t="shared" si="23"/>
        <v>#VALUE!</v>
      </c>
      <c r="DH21" s="14" t="e">
        <f t="shared" si="23"/>
        <v>#VALUE!</v>
      </c>
      <c r="DI21" s="14" t="e">
        <f t="shared" si="23"/>
        <v>#VALUE!</v>
      </c>
      <c r="DJ21" s="14" t="e">
        <f t="shared" si="23"/>
        <v>#VALUE!</v>
      </c>
      <c r="DK21" s="14" t="e">
        <f t="shared" si="23"/>
        <v>#VALUE!</v>
      </c>
      <c r="DL21" s="15" t="e">
        <f t="shared" si="23"/>
        <v>#VALUE!</v>
      </c>
      <c r="DM21" s="16" t="e">
        <f t="shared" si="23"/>
        <v>#VALUE!</v>
      </c>
      <c r="DN21" s="13" t="e">
        <f t="shared" si="23"/>
        <v>#VALUE!</v>
      </c>
      <c r="DO21" s="14" t="e">
        <f t="shared" si="23"/>
        <v>#VALUE!</v>
      </c>
      <c r="DP21" s="14" t="e">
        <f t="shared" si="23"/>
        <v>#VALUE!</v>
      </c>
      <c r="DQ21" s="14" t="e">
        <f t="shared" si="23"/>
        <v>#VALUE!</v>
      </c>
      <c r="DR21" s="14" t="e">
        <f t="shared" si="23"/>
        <v>#VALUE!</v>
      </c>
      <c r="DS21" s="15" t="e">
        <f t="shared" si="23"/>
        <v>#VALUE!</v>
      </c>
      <c r="DT21" s="16" t="e">
        <f t="shared" si="23"/>
        <v>#VALUE!</v>
      </c>
    </row>
    <row r="22" spans="1:124" s="17" customFormat="1" ht="9.75" customHeight="1">
      <c r="A22" s="25" t="s">
        <v>50</v>
      </c>
      <c r="B22" s="24" t="s">
        <v>51</v>
      </c>
      <c r="C22" s="19" t="e">
        <f t="shared" si="25"/>
        <v>#VALUE!</v>
      </c>
      <c r="D22" s="19" t="str">
        <f>_xlfn.XLOOKUP(A25,'VTT project'!F:F,'VTT project'!AP:AP,"-",0)</f>
        <v>-</v>
      </c>
      <c r="E22" s="19" t="e">
        <f>C22-1+D22</f>
        <v>#VALUE!</v>
      </c>
      <c r="F22" s="13" t="e">
        <f t="shared" si="27"/>
        <v>#VALUE!</v>
      </c>
      <c r="G22" s="14" t="e">
        <f t="shared" si="27"/>
        <v>#VALUE!</v>
      </c>
      <c r="H22" s="14" t="e">
        <f t="shared" si="27"/>
        <v>#VALUE!</v>
      </c>
      <c r="I22" s="14" t="e">
        <f t="shared" si="27"/>
        <v>#VALUE!</v>
      </c>
      <c r="J22" s="14" t="e">
        <f t="shared" si="27"/>
        <v>#VALUE!</v>
      </c>
      <c r="K22" s="15" t="e">
        <f t="shared" si="27"/>
        <v>#VALUE!</v>
      </c>
      <c r="L22" s="16" t="e">
        <f t="shared" si="27"/>
        <v>#VALUE!</v>
      </c>
      <c r="M22" s="13" t="e">
        <f t="shared" si="27"/>
        <v>#VALUE!</v>
      </c>
      <c r="N22" s="14" t="e">
        <f t="shared" si="27"/>
        <v>#VALUE!</v>
      </c>
      <c r="O22" s="14" t="e">
        <f t="shared" si="27"/>
        <v>#VALUE!</v>
      </c>
      <c r="P22" s="14" t="e">
        <f t="shared" si="27"/>
        <v>#VALUE!</v>
      </c>
      <c r="Q22" s="14" t="e">
        <f t="shared" si="27"/>
        <v>#VALUE!</v>
      </c>
      <c r="R22" s="15" t="e">
        <f t="shared" si="27"/>
        <v>#VALUE!</v>
      </c>
      <c r="S22" s="16" t="e">
        <f t="shared" si="27"/>
        <v>#VALUE!</v>
      </c>
      <c r="T22" s="13" t="e">
        <f t="shared" si="27"/>
        <v>#VALUE!</v>
      </c>
      <c r="U22" s="14" t="e">
        <f t="shared" si="27"/>
        <v>#VALUE!</v>
      </c>
      <c r="V22" s="14" t="e">
        <f t="shared" si="27"/>
        <v>#VALUE!</v>
      </c>
      <c r="W22" s="14" t="e">
        <f t="shared" si="27"/>
        <v>#VALUE!</v>
      </c>
      <c r="X22" s="14" t="e">
        <f t="shared" si="27"/>
        <v>#VALUE!</v>
      </c>
      <c r="Y22" s="15" t="e">
        <f t="shared" si="27"/>
        <v>#VALUE!</v>
      </c>
      <c r="Z22" s="16" t="e">
        <f t="shared" si="27"/>
        <v>#VALUE!</v>
      </c>
      <c r="AA22" s="13" t="e">
        <f t="shared" si="18"/>
        <v>#VALUE!</v>
      </c>
      <c r="AB22" s="14" t="e">
        <f t="shared" si="18"/>
        <v>#VALUE!</v>
      </c>
      <c r="AC22" s="14" t="e">
        <f t="shared" si="18"/>
        <v>#VALUE!</v>
      </c>
      <c r="AD22" s="14" t="e">
        <f t="shared" si="18"/>
        <v>#VALUE!</v>
      </c>
      <c r="AE22" s="14" t="e">
        <f t="shared" si="18"/>
        <v>#VALUE!</v>
      </c>
      <c r="AF22" s="15" t="e">
        <f t="shared" si="18"/>
        <v>#VALUE!</v>
      </c>
      <c r="AG22" s="16" t="e">
        <f t="shared" si="18"/>
        <v>#VALUE!</v>
      </c>
      <c r="AH22" s="13" t="e">
        <f t="shared" si="18"/>
        <v>#VALUE!</v>
      </c>
      <c r="AI22" s="14" t="e">
        <f t="shared" si="18"/>
        <v>#VALUE!</v>
      </c>
      <c r="AJ22" s="14" t="e">
        <f t="shared" si="18"/>
        <v>#VALUE!</v>
      </c>
      <c r="AK22" s="14" t="e">
        <f t="shared" si="18"/>
        <v>#VALUE!</v>
      </c>
      <c r="AL22" s="14" t="e">
        <f t="shared" si="18"/>
        <v>#VALUE!</v>
      </c>
      <c r="AM22" s="15" t="e">
        <f t="shared" si="18"/>
        <v>#VALUE!</v>
      </c>
      <c r="AN22" s="16" t="e">
        <f t="shared" si="18"/>
        <v>#VALUE!</v>
      </c>
      <c r="AO22" s="13" t="e">
        <f t="shared" si="18"/>
        <v>#VALUE!</v>
      </c>
      <c r="AP22" s="14" t="e">
        <f t="shared" si="18"/>
        <v>#VALUE!</v>
      </c>
      <c r="AQ22" s="14" t="e">
        <f t="shared" si="19"/>
        <v>#VALUE!</v>
      </c>
      <c r="AR22" s="14" t="e">
        <f t="shared" si="19"/>
        <v>#VALUE!</v>
      </c>
      <c r="AS22" s="14" t="e">
        <f t="shared" si="19"/>
        <v>#VALUE!</v>
      </c>
      <c r="AT22" s="15" t="e">
        <f t="shared" si="19"/>
        <v>#VALUE!</v>
      </c>
      <c r="AU22" s="16" t="e">
        <f t="shared" si="19"/>
        <v>#VALUE!</v>
      </c>
      <c r="AV22" s="13" t="e">
        <f t="shared" si="19"/>
        <v>#VALUE!</v>
      </c>
      <c r="AW22" s="14" t="e">
        <f t="shared" si="19"/>
        <v>#VALUE!</v>
      </c>
      <c r="AX22" s="14" t="e">
        <f t="shared" si="19"/>
        <v>#VALUE!</v>
      </c>
      <c r="AY22" s="14" t="e">
        <f t="shared" si="19"/>
        <v>#VALUE!</v>
      </c>
      <c r="AZ22" s="14" t="e">
        <f t="shared" si="19"/>
        <v>#VALUE!</v>
      </c>
      <c r="BA22" s="15" t="e">
        <f t="shared" si="19"/>
        <v>#VALUE!</v>
      </c>
      <c r="BB22" s="16" t="e">
        <f t="shared" si="19"/>
        <v>#VALUE!</v>
      </c>
      <c r="BC22" s="13" t="e">
        <f t="shared" si="19"/>
        <v>#VALUE!</v>
      </c>
      <c r="BD22" s="14" t="e">
        <f t="shared" si="19"/>
        <v>#VALUE!</v>
      </c>
      <c r="BE22" s="14" t="e">
        <f t="shared" si="19"/>
        <v>#VALUE!</v>
      </c>
      <c r="BF22" s="14" t="e">
        <f t="shared" si="19"/>
        <v>#VALUE!</v>
      </c>
      <c r="BG22" s="14" t="e">
        <f t="shared" si="20"/>
        <v>#VALUE!</v>
      </c>
      <c r="BH22" s="15" t="e">
        <f t="shared" si="20"/>
        <v>#VALUE!</v>
      </c>
      <c r="BI22" s="16" t="e">
        <f t="shared" si="20"/>
        <v>#VALUE!</v>
      </c>
      <c r="BJ22" s="13" t="e">
        <f t="shared" si="20"/>
        <v>#VALUE!</v>
      </c>
      <c r="BK22" s="14" t="e">
        <f t="shared" si="20"/>
        <v>#VALUE!</v>
      </c>
      <c r="BL22" s="14" t="e">
        <f t="shared" si="20"/>
        <v>#VALUE!</v>
      </c>
      <c r="BM22" s="14" t="e">
        <f t="shared" si="20"/>
        <v>#VALUE!</v>
      </c>
      <c r="BN22" s="14" t="e">
        <f t="shared" si="20"/>
        <v>#VALUE!</v>
      </c>
      <c r="BO22" s="15" t="e">
        <f t="shared" si="20"/>
        <v>#VALUE!</v>
      </c>
      <c r="BP22" s="16" t="e">
        <f t="shared" si="20"/>
        <v>#VALUE!</v>
      </c>
      <c r="BQ22" s="13" t="e">
        <f t="shared" si="20"/>
        <v>#VALUE!</v>
      </c>
      <c r="BR22" s="14" t="e">
        <f t="shared" si="20"/>
        <v>#VALUE!</v>
      </c>
      <c r="BS22" s="14" t="e">
        <f t="shared" si="20"/>
        <v>#VALUE!</v>
      </c>
      <c r="BT22" s="14" t="e">
        <f t="shared" si="20"/>
        <v>#VALUE!</v>
      </c>
      <c r="BU22" s="14" t="e">
        <f t="shared" si="20"/>
        <v>#VALUE!</v>
      </c>
      <c r="BV22" s="15" t="e">
        <f t="shared" si="20"/>
        <v>#VALUE!</v>
      </c>
      <c r="BW22" s="16" t="e">
        <f t="shared" si="21"/>
        <v>#VALUE!</v>
      </c>
      <c r="BX22" s="13" t="e">
        <f t="shared" si="21"/>
        <v>#VALUE!</v>
      </c>
      <c r="BY22" s="14" t="e">
        <f t="shared" si="21"/>
        <v>#VALUE!</v>
      </c>
      <c r="BZ22" s="14" t="e">
        <f t="shared" si="21"/>
        <v>#VALUE!</v>
      </c>
      <c r="CA22" s="14" t="e">
        <f t="shared" si="21"/>
        <v>#VALUE!</v>
      </c>
      <c r="CB22" s="14" t="e">
        <f t="shared" si="21"/>
        <v>#VALUE!</v>
      </c>
      <c r="CC22" s="15" t="e">
        <f t="shared" si="21"/>
        <v>#VALUE!</v>
      </c>
      <c r="CD22" s="16" t="e">
        <f t="shared" si="21"/>
        <v>#VALUE!</v>
      </c>
      <c r="CE22" s="13" t="e">
        <f t="shared" si="21"/>
        <v>#VALUE!</v>
      </c>
      <c r="CF22" s="14" t="e">
        <f t="shared" si="21"/>
        <v>#VALUE!</v>
      </c>
      <c r="CG22" s="14" t="e">
        <f t="shared" si="21"/>
        <v>#VALUE!</v>
      </c>
      <c r="CH22" s="14" t="e">
        <f t="shared" si="21"/>
        <v>#VALUE!</v>
      </c>
      <c r="CI22" s="14" t="e">
        <f t="shared" si="21"/>
        <v>#VALUE!</v>
      </c>
      <c r="CJ22" s="15" t="e">
        <f t="shared" si="21"/>
        <v>#VALUE!</v>
      </c>
      <c r="CK22" s="16" t="e">
        <f t="shared" si="21"/>
        <v>#VALUE!</v>
      </c>
      <c r="CL22" s="13" t="e">
        <f t="shared" si="21"/>
        <v>#VALUE!</v>
      </c>
      <c r="CM22" s="14" t="e">
        <f t="shared" si="22"/>
        <v>#VALUE!</v>
      </c>
      <c r="CN22" s="14" t="e">
        <f t="shared" si="22"/>
        <v>#VALUE!</v>
      </c>
      <c r="CO22" s="14" t="e">
        <f t="shared" si="22"/>
        <v>#VALUE!</v>
      </c>
      <c r="CP22" s="14" t="e">
        <f t="shared" si="22"/>
        <v>#VALUE!</v>
      </c>
      <c r="CQ22" s="15" t="e">
        <f t="shared" si="22"/>
        <v>#VALUE!</v>
      </c>
      <c r="CR22" s="16" t="e">
        <f t="shared" si="22"/>
        <v>#VALUE!</v>
      </c>
      <c r="CS22" s="13" t="e">
        <f t="shared" si="22"/>
        <v>#VALUE!</v>
      </c>
      <c r="CT22" s="14" t="e">
        <f t="shared" si="22"/>
        <v>#VALUE!</v>
      </c>
      <c r="CU22" s="14" t="e">
        <f t="shared" si="22"/>
        <v>#VALUE!</v>
      </c>
      <c r="CV22" s="14" t="e">
        <f t="shared" si="22"/>
        <v>#VALUE!</v>
      </c>
      <c r="CW22" s="14" t="e">
        <f t="shared" si="22"/>
        <v>#VALUE!</v>
      </c>
      <c r="CX22" s="15" t="e">
        <f t="shared" si="22"/>
        <v>#VALUE!</v>
      </c>
      <c r="CY22" s="16" t="e">
        <f t="shared" si="22"/>
        <v>#VALUE!</v>
      </c>
      <c r="CZ22" s="13" t="e">
        <f t="shared" si="22"/>
        <v>#VALUE!</v>
      </c>
      <c r="DA22" s="14" t="e">
        <f t="shared" si="22"/>
        <v>#VALUE!</v>
      </c>
      <c r="DB22" s="14" t="e">
        <f t="shared" si="22"/>
        <v>#VALUE!</v>
      </c>
      <c r="DC22" s="14" t="e">
        <f t="shared" si="23"/>
        <v>#VALUE!</v>
      </c>
      <c r="DD22" s="14" t="e">
        <f t="shared" si="23"/>
        <v>#VALUE!</v>
      </c>
      <c r="DE22" s="15" t="e">
        <f t="shared" si="23"/>
        <v>#VALUE!</v>
      </c>
      <c r="DF22" s="16" t="e">
        <f t="shared" si="23"/>
        <v>#VALUE!</v>
      </c>
      <c r="DG22" s="13" t="e">
        <f t="shared" si="23"/>
        <v>#VALUE!</v>
      </c>
      <c r="DH22" s="14" t="e">
        <f t="shared" ref="DH22:DT25" si="28">IF(AND(DH$5&gt;=$C22,DH$5&lt;=$E22),1,"")</f>
        <v>#VALUE!</v>
      </c>
      <c r="DI22" s="14" t="e">
        <f t="shared" si="28"/>
        <v>#VALUE!</v>
      </c>
      <c r="DJ22" s="14" t="e">
        <f t="shared" si="28"/>
        <v>#VALUE!</v>
      </c>
      <c r="DK22" s="14" t="e">
        <f t="shared" si="28"/>
        <v>#VALUE!</v>
      </c>
      <c r="DL22" s="15" t="e">
        <f t="shared" si="28"/>
        <v>#VALUE!</v>
      </c>
      <c r="DM22" s="16" t="e">
        <f t="shared" si="28"/>
        <v>#VALUE!</v>
      </c>
      <c r="DN22" s="13" t="e">
        <f t="shared" si="28"/>
        <v>#VALUE!</v>
      </c>
      <c r="DO22" s="14" t="e">
        <f t="shared" si="28"/>
        <v>#VALUE!</v>
      </c>
      <c r="DP22" s="14" t="e">
        <f t="shared" si="28"/>
        <v>#VALUE!</v>
      </c>
      <c r="DQ22" s="14" t="e">
        <f t="shared" si="28"/>
        <v>#VALUE!</v>
      </c>
      <c r="DR22" s="14" t="e">
        <f t="shared" si="28"/>
        <v>#VALUE!</v>
      </c>
      <c r="DS22" s="15" t="e">
        <f t="shared" si="28"/>
        <v>#VALUE!</v>
      </c>
      <c r="DT22" s="16" t="e">
        <f t="shared" si="28"/>
        <v>#VALUE!</v>
      </c>
    </row>
    <row r="23" spans="1:124" s="17" customFormat="1" ht="9.75" customHeight="1">
      <c r="A23" s="27">
        <f ca="1">IFERROR(VLOOKUP(_xlfn.CONCAT(B7,"-","Next"),'DATA BTO'!A:D,3,FALSE),VLOOKUP(_xlfn.CONCAT(B7,"-","Actif"),'DATA BTO'!A:D,3,FALSE))</f>
        <v>46143</v>
      </c>
      <c r="B23" s="26" t="s">
        <v>52</v>
      </c>
      <c r="C23" s="19" t="e">
        <f>E22+1</f>
        <v>#VALUE!</v>
      </c>
      <c r="D23" s="19" t="str">
        <f>_xlfn.XLOOKUP(A25,'VTT project'!F:F,'VTT project'!AQ:AQ,"-",0)</f>
        <v>-</v>
      </c>
      <c r="E23" s="19" t="e">
        <f>C23+D23-1</f>
        <v>#VALUE!</v>
      </c>
      <c r="F23" s="13" t="e">
        <f t="shared" si="27"/>
        <v>#VALUE!</v>
      </c>
      <c r="G23" s="14" t="e">
        <f t="shared" si="27"/>
        <v>#VALUE!</v>
      </c>
      <c r="H23" s="14" t="e">
        <f t="shared" si="27"/>
        <v>#VALUE!</v>
      </c>
      <c r="I23" s="14" t="e">
        <f t="shared" si="27"/>
        <v>#VALUE!</v>
      </c>
      <c r="J23" s="14" t="e">
        <f t="shared" si="27"/>
        <v>#VALUE!</v>
      </c>
      <c r="K23" s="15" t="e">
        <f t="shared" si="27"/>
        <v>#VALUE!</v>
      </c>
      <c r="L23" s="16" t="e">
        <f t="shared" si="27"/>
        <v>#VALUE!</v>
      </c>
      <c r="M23" s="13" t="e">
        <f t="shared" si="27"/>
        <v>#VALUE!</v>
      </c>
      <c r="N23" s="14" t="e">
        <f t="shared" si="27"/>
        <v>#VALUE!</v>
      </c>
      <c r="O23" s="14" t="e">
        <f t="shared" si="27"/>
        <v>#VALUE!</v>
      </c>
      <c r="P23" s="14" t="e">
        <f t="shared" si="27"/>
        <v>#VALUE!</v>
      </c>
      <c r="Q23" s="14" t="e">
        <f t="shared" si="27"/>
        <v>#VALUE!</v>
      </c>
      <c r="R23" s="15" t="e">
        <f t="shared" si="27"/>
        <v>#VALUE!</v>
      </c>
      <c r="S23" s="16" t="e">
        <f t="shared" si="27"/>
        <v>#VALUE!</v>
      </c>
      <c r="T23" s="13" t="e">
        <f t="shared" si="27"/>
        <v>#VALUE!</v>
      </c>
      <c r="U23" s="14" t="e">
        <f t="shared" si="27"/>
        <v>#VALUE!</v>
      </c>
      <c r="V23" s="14" t="e">
        <f t="shared" si="27"/>
        <v>#VALUE!</v>
      </c>
      <c r="W23" s="14" t="e">
        <f t="shared" si="27"/>
        <v>#VALUE!</v>
      </c>
      <c r="X23" s="14" t="e">
        <f t="shared" si="27"/>
        <v>#VALUE!</v>
      </c>
      <c r="Y23" s="15" t="e">
        <f t="shared" si="27"/>
        <v>#VALUE!</v>
      </c>
      <c r="Z23" s="16" t="e">
        <f t="shared" si="27"/>
        <v>#VALUE!</v>
      </c>
      <c r="AA23" s="13" t="e">
        <f t="shared" si="18"/>
        <v>#VALUE!</v>
      </c>
      <c r="AB23" s="14" t="e">
        <f t="shared" si="18"/>
        <v>#VALUE!</v>
      </c>
      <c r="AC23" s="14" t="e">
        <f t="shared" si="18"/>
        <v>#VALUE!</v>
      </c>
      <c r="AD23" s="14" t="e">
        <f t="shared" si="18"/>
        <v>#VALUE!</v>
      </c>
      <c r="AE23" s="14" t="e">
        <f t="shared" si="18"/>
        <v>#VALUE!</v>
      </c>
      <c r="AF23" s="15" t="e">
        <f t="shared" si="18"/>
        <v>#VALUE!</v>
      </c>
      <c r="AG23" s="16" t="e">
        <f t="shared" si="18"/>
        <v>#VALUE!</v>
      </c>
      <c r="AH23" s="13" t="e">
        <f t="shared" si="18"/>
        <v>#VALUE!</v>
      </c>
      <c r="AI23" s="14" t="e">
        <f t="shared" si="18"/>
        <v>#VALUE!</v>
      </c>
      <c r="AJ23" s="14" t="e">
        <f t="shared" si="18"/>
        <v>#VALUE!</v>
      </c>
      <c r="AK23" s="14" t="e">
        <f t="shared" si="18"/>
        <v>#VALUE!</v>
      </c>
      <c r="AL23" s="14" t="e">
        <f t="shared" si="18"/>
        <v>#VALUE!</v>
      </c>
      <c r="AM23" s="15" t="e">
        <f t="shared" si="18"/>
        <v>#VALUE!</v>
      </c>
      <c r="AN23" s="16" t="e">
        <f t="shared" si="18"/>
        <v>#VALUE!</v>
      </c>
      <c r="AO23" s="13" t="e">
        <f t="shared" si="18"/>
        <v>#VALUE!</v>
      </c>
      <c r="AP23" s="14" t="e">
        <f t="shared" si="18"/>
        <v>#VALUE!</v>
      </c>
      <c r="AQ23" s="14" t="e">
        <f t="shared" si="19"/>
        <v>#VALUE!</v>
      </c>
      <c r="AR23" s="14" t="e">
        <f t="shared" si="19"/>
        <v>#VALUE!</v>
      </c>
      <c r="AS23" s="14" t="e">
        <f t="shared" si="19"/>
        <v>#VALUE!</v>
      </c>
      <c r="AT23" s="15" t="e">
        <f t="shared" si="19"/>
        <v>#VALUE!</v>
      </c>
      <c r="AU23" s="16" t="e">
        <f t="shared" si="19"/>
        <v>#VALUE!</v>
      </c>
      <c r="AV23" s="13" t="e">
        <f t="shared" si="19"/>
        <v>#VALUE!</v>
      </c>
      <c r="AW23" s="14" t="e">
        <f t="shared" si="19"/>
        <v>#VALUE!</v>
      </c>
      <c r="AX23" s="14" t="e">
        <f t="shared" si="19"/>
        <v>#VALUE!</v>
      </c>
      <c r="AY23" s="14" t="e">
        <f t="shared" si="19"/>
        <v>#VALUE!</v>
      </c>
      <c r="AZ23" s="14" t="e">
        <f t="shared" si="19"/>
        <v>#VALUE!</v>
      </c>
      <c r="BA23" s="15" t="e">
        <f t="shared" si="19"/>
        <v>#VALUE!</v>
      </c>
      <c r="BB23" s="16" t="e">
        <f t="shared" si="19"/>
        <v>#VALUE!</v>
      </c>
      <c r="BC23" s="13" t="e">
        <f t="shared" si="19"/>
        <v>#VALUE!</v>
      </c>
      <c r="BD23" s="14" t="e">
        <f t="shared" si="19"/>
        <v>#VALUE!</v>
      </c>
      <c r="BE23" s="14" t="e">
        <f t="shared" si="19"/>
        <v>#VALUE!</v>
      </c>
      <c r="BF23" s="14" t="e">
        <f t="shared" si="19"/>
        <v>#VALUE!</v>
      </c>
      <c r="BG23" s="14" t="e">
        <f t="shared" si="20"/>
        <v>#VALUE!</v>
      </c>
      <c r="BH23" s="15" t="e">
        <f t="shared" si="20"/>
        <v>#VALUE!</v>
      </c>
      <c r="BI23" s="16" t="e">
        <f t="shared" si="20"/>
        <v>#VALUE!</v>
      </c>
      <c r="BJ23" s="13" t="e">
        <f t="shared" si="20"/>
        <v>#VALUE!</v>
      </c>
      <c r="BK23" s="14" t="e">
        <f t="shared" si="20"/>
        <v>#VALUE!</v>
      </c>
      <c r="BL23" s="14" t="e">
        <f t="shared" si="20"/>
        <v>#VALUE!</v>
      </c>
      <c r="BM23" s="14" t="e">
        <f t="shared" si="20"/>
        <v>#VALUE!</v>
      </c>
      <c r="BN23" s="14" t="e">
        <f t="shared" si="20"/>
        <v>#VALUE!</v>
      </c>
      <c r="BO23" s="15" t="e">
        <f t="shared" si="20"/>
        <v>#VALUE!</v>
      </c>
      <c r="BP23" s="16" t="e">
        <f t="shared" si="20"/>
        <v>#VALUE!</v>
      </c>
      <c r="BQ23" s="13" t="e">
        <f t="shared" si="20"/>
        <v>#VALUE!</v>
      </c>
      <c r="BR23" s="14" t="e">
        <f t="shared" si="20"/>
        <v>#VALUE!</v>
      </c>
      <c r="BS23" s="14" t="e">
        <f t="shared" si="20"/>
        <v>#VALUE!</v>
      </c>
      <c r="BT23" s="14" t="e">
        <f t="shared" si="20"/>
        <v>#VALUE!</v>
      </c>
      <c r="BU23" s="14" t="e">
        <f t="shared" si="20"/>
        <v>#VALUE!</v>
      </c>
      <c r="BV23" s="15" t="e">
        <f t="shared" si="20"/>
        <v>#VALUE!</v>
      </c>
      <c r="BW23" s="16" t="e">
        <f t="shared" si="21"/>
        <v>#VALUE!</v>
      </c>
      <c r="BX23" s="13" t="e">
        <f t="shared" si="21"/>
        <v>#VALUE!</v>
      </c>
      <c r="BY23" s="14" t="e">
        <f t="shared" si="21"/>
        <v>#VALUE!</v>
      </c>
      <c r="BZ23" s="14" t="e">
        <f t="shared" si="21"/>
        <v>#VALUE!</v>
      </c>
      <c r="CA23" s="14" t="e">
        <f t="shared" si="21"/>
        <v>#VALUE!</v>
      </c>
      <c r="CB23" s="14" t="e">
        <f t="shared" si="21"/>
        <v>#VALUE!</v>
      </c>
      <c r="CC23" s="15" t="e">
        <f t="shared" si="21"/>
        <v>#VALUE!</v>
      </c>
      <c r="CD23" s="16" t="e">
        <f t="shared" si="21"/>
        <v>#VALUE!</v>
      </c>
      <c r="CE23" s="13" t="e">
        <f t="shared" si="21"/>
        <v>#VALUE!</v>
      </c>
      <c r="CF23" s="14" t="e">
        <f t="shared" si="21"/>
        <v>#VALUE!</v>
      </c>
      <c r="CG23" s="14" t="e">
        <f t="shared" si="21"/>
        <v>#VALUE!</v>
      </c>
      <c r="CH23" s="14" t="e">
        <f t="shared" si="21"/>
        <v>#VALUE!</v>
      </c>
      <c r="CI23" s="14" t="e">
        <f t="shared" si="21"/>
        <v>#VALUE!</v>
      </c>
      <c r="CJ23" s="15" t="e">
        <f t="shared" si="21"/>
        <v>#VALUE!</v>
      </c>
      <c r="CK23" s="16" t="e">
        <f t="shared" si="21"/>
        <v>#VALUE!</v>
      </c>
      <c r="CL23" s="13" t="e">
        <f t="shared" ref="CL23" si="29">IF(AND(CL$5&gt;=$C23,CL$5&lt;=$E23),1,"")</f>
        <v>#VALUE!</v>
      </c>
      <c r="CM23" s="14" t="e">
        <f t="shared" si="22"/>
        <v>#VALUE!</v>
      </c>
      <c r="CN23" s="14" t="e">
        <f t="shared" si="22"/>
        <v>#VALUE!</v>
      </c>
      <c r="CO23" s="14" t="e">
        <f t="shared" si="22"/>
        <v>#VALUE!</v>
      </c>
      <c r="CP23" s="14" t="e">
        <f t="shared" si="22"/>
        <v>#VALUE!</v>
      </c>
      <c r="CQ23" s="15" t="e">
        <f t="shared" si="22"/>
        <v>#VALUE!</v>
      </c>
      <c r="CR23" s="16" t="e">
        <f t="shared" si="22"/>
        <v>#VALUE!</v>
      </c>
      <c r="CS23" s="13" t="e">
        <f t="shared" si="22"/>
        <v>#VALUE!</v>
      </c>
      <c r="CT23" s="14" t="e">
        <f t="shared" si="22"/>
        <v>#VALUE!</v>
      </c>
      <c r="CU23" s="14" t="e">
        <f t="shared" si="22"/>
        <v>#VALUE!</v>
      </c>
      <c r="CV23" s="14" t="e">
        <f t="shared" si="22"/>
        <v>#VALUE!</v>
      </c>
      <c r="CW23" s="14" t="e">
        <f t="shared" si="22"/>
        <v>#VALUE!</v>
      </c>
      <c r="CX23" s="15" t="e">
        <f t="shared" si="22"/>
        <v>#VALUE!</v>
      </c>
      <c r="CY23" s="16" t="e">
        <f t="shared" si="22"/>
        <v>#VALUE!</v>
      </c>
      <c r="CZ23" s="13" t="e">
        <f t="shared" si="22"/>
        <v>#VALUE!</v>
      </c>
      <c r="DA23" s="14" t="e">
        <f t="shared" si="22"/>
        <v>#VALUE!</v>
      </c>
      <c r="DB23" s="14" t="e">
        <f t="shared" ref="DB23:DQ25" si="30">IF(AND(DB$5&gt;=$C23,DB$5&lt;=$E23),1,"")</f>
        <v>#VALUE!</v>
      </c>
      <c r="DC23" s="14" t="e">
        <f t="shared" si="30"/>
        <v>#VALUE!</v>
      </c>
      <c r="DD23" s="14" t="e">
        <f t="shared" si="30"/>
        <v>#VALUE!</v>
      </c>
      <c r="DE23" s="15" t="e">
        <f t="shared" si="30"/>
        <v>#VALUE!</v>
      </c>
      <c r="DF23" s="16" t="e">
        <f t="shared" si="30"/>
        <v>#VALUE!</v>
      </c>
      <c r="DG23" s="13" t="e">
        <f t="shared" si="30"/>
        <v>#VALUE!</v>
      </c>
      <c r="DH23" s="14" t="e">
        <f t="shared" si="30"/>
        <v>#VALUE!</v>
      </c>
      <c r="DI23" s="14" t="e">
        <f t="shared" si="30"/>
        <v>#VALUE!</v>
      </c>
      <c r="DJ23" s="14" t="e">
        <f t="shared" si="30"/>
        <v>#VALUE!</v>
      </c>
      <c r="DK23" s="14" t="e">
        <f t="shared" si="30"/>
        <v>#VALUE!</v>
      </c>
      <c r="DL23" s="15" t="e">
        <f t="shared" si="30"/>
        <v>#VALUE!</v>
      </c>
      <c r="DM23" s="16" t="e">
        <f t="shared" si="30"/>
        <v>#VALUE!</v>
      </c>
      <c r="DN23" s="13" t="e">
        <f t="shared" si="30"/>
        <v>#VALUE!</v>
      </c>
      <c r="DO23" s="14" t="e">
        <f t="shared" si="30"/>
        <v>#VALUE!</v>
      </c>
      <c r="DP23" s="14" t="e">
        <f t="shared" si="30"/>
        <v>#VALUE!</v>
      </c>
      <c r="DQ23" s="14" t="e">
        <f t="shared" si="30"/>
        <v>#VALUE!</v>
      </c>
      <c r="DR23" s="14" t="e">
        <f t="shared" si="28"/>
        <v>#VALUE!</v>
      </c>
      <c r="DS23" s="15" t="e">
        <f t="shared" si="28"/>
        <v>#VALUE!</v>
      </c>
      <c r="DT23" s="16" t="e">
        <f t="shared" si="28"/>
        <v>#VALUE!</v>
      </c>
    </row>
    <row r="24" spans="1:124" s="17" customFormat="1" ht="9.75" customHeight="1">
      <c r="A24" s="27">
        <f ca="1">IFERROR(VLOOKUP(_xlfn.CONCAT(B7,"-","Next"),'DATA BTO'!A:D,4,FALSE),VLOOKUP(_xlfn.CONCAT(B7,"-","Actif"),'DATA BTO'!A:D,4,FALSE))</f>
        <v>46507</v>
      </c>
      <c r="B24" s="28" t="s">
        <v>53</v>
      </c>
      <c r="C24" s="19" t="e">
        <f t="shared" si="25"/>
        <v>#VALUE!</v>
      </c>
      <c r="D24" s="20">
        <v>7</v>
      </c>
      <c r="E24" s="19" t="e">
        <f t="shared" si="24"/>
        <v>#VALUE!</v>
      </c>
      <c r="F24" s="13" t="e">
        <f t="shared" si="27"/>
        <v>#VALUE!</v>
      </c>
      <c r="G24" s="14" t="e">
        <f t="shared" si="27"/>
        <v>#VALUE!</v>
      </c>
      <c r="H24" s="14" t="e">
        <f t="shared" si="27"/>
        <v>#VALUE!</v>
      </c>
      <c r="I24" s="14" t="e">
        <f t="shared" si="27"/>
        <v>#VALUE!</v>
      </c>
      <c r="J24" s="14" t="e">
        <f t="shared" si="27"/>
        <v>#VALUE!</v>
      </c>
      <c r="K24" s="15" t="e">
        <f t="shared" si="27"/>
        <v>#VALUE!</v>
      </c>
      <c r="L24" s="16" t="e">
        <f t="shared" si="27"/>
        <v>#VALUE!</v>
      </c>
      <c r="M24" s="13" t="e">
        <f t="shared" si="27"/>
        <v>#VALUE!</v>
      </c>
      <c r="N24" s="14" t="e">
        <f t="shared" si="27"/>
        <v>#VALUE!</v>
      </c>
      <c r="O24" s="14" t="e">
        <f t="shared" si="27"/>
        <v>#VALUE!</v>
      </c>
      <c r="P24" s="14" t="e">
        <f t="shared" si="27"/>
        <v>#VALUE!</v>
      </c>
      <c r="Q24" s="14" t="e">
        <f t="shared" si="27"/>
        <v>#VALUE!</v>
      </c>
      <c r="R24" s="15" t="e">
        <f t="shared" si="27"/>
        <v>#VALUE!</v>
      </c>
      <c r="S24" s="16" t="e">
        <f t="shared" si="27"/>
        <v>#VALUE!</v>
      </c>
      <c r="T24" s="13" t="e">
        <f t="shared" si="27"/>
        <v>#VALUE!</v>
      </c>
      <c r="U24" s="14" t="e">
        <f t="shared" si="27"/>
        <v>#VALUE!</v>
      </c>
      <c r="V24" s="14" t="e">
        <f t="shared" si="27"/>
        <v>#VALUE!</v>
      </c>
      <c r="W24" s="14" t="e">
        <f t="shared" si="27"/>
        <v>#VALUE!</v>
      </c>
      <c r="X24" s="14" t="e">
        <f t="shared" si="27"/>
        <v>#VALUE!</v>
      </c>
      <c r="Y24" s="15" t="e">
        <f t="shared" si="27"/>
        <v>#VALUE!</v>
      </c>
      <c r="Z24" s="16" t="e">
        <f t="shared" si="27"/>
        <v>#VALUE!</v>
      </c>
      <c r="AA24" s="13" t="e">
        <f t="shared" si="18"/>
        <v>#VALUE!</v>
      </c>
      <c r="AB24" s="14" t="e">
        <f t="shared" si="18"/>
        <v>#VALUE!</v>
      </c>
      <c r="AC24" s="14" t="e">
        <f t="shared" si="18"/>
        <v>#VALUE!</v>
      </c>
      <c r="AD24" s="14" t="e">
        <f t="shared" si="18"/>
        <v>#VALUE!</v>
      </c>
      <c r="AE24" s="14" t="e">
        <f t="shared" si="18"/>
        <v>#VALUE!</v>
      </c>
      <c r="AF24" s="15" t="e">
        <f t="shared" si="18"/>
        <v>#VALUE!</v>
      </c>
      <c r="AG24" s="16" t="e">
        <f t="shared" si="18"/>
        <v>#VALUE!</v>
      </c>
      <c r="AH24" s="13" t="e">
        <f t="shared" si="18"/>
        <v>#VALUE!</v>
      </c>
      <c r="AI24" s="14" t="e">
        <f t="shared" si="18"/>
        <v>#VALUE!</v>
      </c>
      <c r="AJ24" s="14" t="e">
        <f t="shared" si="18"/>
        <v>#VALUE!</v>
      </c>
      <c r="AK24" s="14" t="e">
        <f t="shared" si="18"/>
        <v>#VALUE!</v>
      </c>
      <c r="AL24" s="14" t="e">
        <f t="shared" si="18"/>
        <v>#VALUE!</v>
      </c>
      <c r="AM24" s="15" t="e">
        <f t="shared" si="18"/>
        <v>#VALUE!</v>
      </c>
      <c r="AN24" s="16" t="e">
        <f t="shared" si="18"/>
        <v>#VALUE!</v>
      </c>
      <c r="AO24" s="13" t="e">
        <f t="shared" si="18"/>
        <v>#VALUE!</v>
      </c>
      <c r="AP24" s="14" t="e">
        <f t="shared" ref="AP24:BE25" si="31">IF(AND(AP$5&gt;=$C24,AP$5&lt;=$E24),1,"")</f>
        <v>#VALUE!</v>
      </c>
      <c r="AQ24" s="14" t="e">
        <f t="shared" si="19"/>
        <v>#VALUE!</v>
      </c>
      <c r="AR24" s="14" t="e">
        <f t="shared" si="19"/>
        <v>#VALUE!</v>
      </c>
      <c r="AS24" s="14" t="e">
        <f t="shared" si="19"/>
        <v>#VALUE!</v>
      </c>
      <c r="AT24" s="15" t="e">
        <f t="shared" si="19"/>
        <v>#VALUE!</v>
      </c>
      <c r="AU24" s="16" t="e">
        <f t="shared" si="19"/>
        <v>#VALUE!</v>
      </c>
      <c r="AV24" s="13" t="e">
        <f t="shared" si="19"/>
        <v>#VALUE!</v>
      </c>
      <c r="AW24" s="14" t="e">
        <f t="shared" si="19"/>
        <v>#VALUE!</v>
      </c>
      <c r="AX24" s="14" t="e">
        <f t="shared" si="19"/>
        <v>#VALUE!</v>
      </c>
      <c r="AY24" s="14" t="e">
        <f t="shared" si="19"/>
        <v>#VALUE!</v>
      </c>
      <c r="AZ24" s="14" t="e">
        <f t="shared" si="19"/>
        <v>#VALUE!</v>
      </c>
      <c r="BA24" s="15" t="e">
        <f t="shared" si="19"/>
        <v>#VALUE!</v>
      </c>
      <c r="BB24" s="16" t="e">
        <f t="shared" si="19"/>
        <v>#VALUE!</v>
      </c>
      <c r="BC24" s="13" t="e">
        <f t="shared" si="19"/>
        <v>#VALUE!</v>
      </c>
      <c r="BD24" s="14" t="e">
        <f t="shared" si="19"/>
        <v>#VALUE!</v>
      </c>
      <c r="BE24" s="14" t="e">
        <f t="shared" si="19"/>
        <v>#VALUE!</v>
      </c>
      <c r="BF24" s="14" t="e">
        <f t="shared" ref="BF24:BU25" si="32">IF(AND(BF$5&gt;=$C24,BF$5&lt;=$E24),1,"")</f>
        <v>#VALUE!</v>
      </c>
      <c r="BG24" s="14" t="e">
        <f t="shared" si="20"/>
        <v>#VALUE!</v>
      </c>
      <c r="BH24" s="15" t="e">
        <f t="shared" si="20"/>
        <v>#VALUE!</v>
      </c>
      <c r="BI24" s="16" t="e">
        <f t="shared" si="20"/>
        <v>#VALUE!</v>
      </c>
      <c r="BJ24" s="13" t="e">
        <f t="shared" si="20"/>
        <v>#VALUE!</v>
      </c>
      <c r="BK24" s="14" t="e">
        <f t="shared" si="20"/>
        <v>#VALUE!</v>
      </c>
      <c r="BL24" s="14" t="e">
        <f t="shared" si="20"/>
        <v>#VALUE!</v>
      </c>
      <c r="BM24" s="14" t="e">
        <f t="shared" si="20"/>
        <v>#VALUE!</v>
      </c>
      <c r="BN24" s="14" t="e">
        <f t="shared" si="20"/>
        <v>#VALUE!</v>
      </c>
      <c r="BO24" s="15" t="e">
        <f t="shared" si="20"/>
        <v>#VALUE!</v>
      </c>
      <c r="BP24" s="16" t="e">
        <f t="shared" si="20"/>
        <v>#VALUE!</v>
      </c>
      <c r="BQ24" s="13" t="e">
        <f t="shared" ref="BQ24:CF25" si="33">IF(AND(BQ$5&gt;=$C24,BQ$5&lt;=$E24),1,"")</f>
        <v>#VALUE!</v>
      </c>
      <c r="BR24" s="14" t="e">
        <f t="shared" si="33"/>
        <v>#VALUE!</v>
      </c>
      <c r="BS24" s="14" t="e">
        <f t="shared" si="33"/>
        <v>#VALUE!</v>
      </c>
      <c r="BT24" s="14" t="e">
        <f t="shared" si="33"/>
        <v>#VALUE!</v>
      </c>
      <c r="BU24" s="14" t="e">
        <f t="shared" si="33"/>
        <v>#VALUE!</v>
      </c>
      <c r="BV24" s="15" t="e">
        <f t="shared" si="33"/>
        <v>#VALUE!</v>
      </c>
      <c r="BW24" s="16" t="e">
        <f t="shared" si="33"/>
        <v>#VALUE!</v>
      </c>
      <c r="BX24" s="13" t="e">
        <f t="shared" si="33"/>
        <v>#VALUE!</v>
      </c>
      <c r="BY24" s="14" t="e">
        <f t="shared" si="33"/>
        <v>#VALUE!</v>
      </c>
      <c r="BZ24" s="14" t="e">
        <f t="shared" si="33"/>
        <v>#VALUE!</v>
      </c>
      <c r="CA24" s="14" t="e">
        <f t="shared" si="33"/>
        <v>#VALUE!</v>
      </c>
      <c r="CB24" s="14" t="e">
        <f t="shared" si="33"/>
        <v>#VALUE!</v>
      </c>
      <c r="CC24" s="15" t="e">
        <f t="shared" si="33"/>
        <v>#VALUE!</v>
      </c>
      <c r="CD24" s="16" t="e">
        <f t="shared" si="33"/>
        <v>#VALUE!</v>
      </c>
      <c r="CE24" s="13" t="e">
        <f t="shared" si="33"/>
        <v>#VALUE!</v>
      </c>
      <c r="CF24" s="14" t="e">
        <f t="shared" si="33"/>
        <v>#VALUE!</v>
      </c>
      <c r="CG24" s="14" t="e">
        <f t="shared" ref="CG24:CV25" si="34">IF(AND(CG$5&gt;=$C24,CG$5&lt;=$E24),1,"")</f>
        <v>#VALUE!</v>
      </c>
      <c r="CH24" s="14" t="e">
        <f t="shared" si="34"/>
        <v>#VALUE!</v>
      </c>
      <c r="CI24" s="14" t="e">
        <f t="shared" si="34"/>
        <v>#VALUE!</v>
      </c>
      <c r="CJ24" s="15" t="e">
        <f t="shared" si="34"/>
        <v>#VALUE!</v>
      </c>
      <c r="CK24" s="16" t="e">
        <f t="shared" si="34"/>
        <v>#VALUE!</v>
      </c>
      <c r="CL24" s="13" t="e">
        <f t="shared" si="34"/>
        <v>#VALUE!</v>
      </c>
      <c r="CM24" s="14" t="e">
        <f t="shared" si="34"/>
        <v>#VALUE!</v>
      </c>
      <c r="CN24" s="14" t="e">
        <f t="shared" si="34"/>
        <v>#VALUE!</v>
      </c>
      <c r="CO24" s="14" t="e">
        <f t="shared" si="34"/>
        <v>#VALUE!</v>
      </c>
      <c r="CP24" s="14" t="e">
        <f t="shared" si="34"/>
        <v>#VALUE!</v>
      </c>
      <c r="CQ24" s="15" t="e">
        <f t="shared" si="34"/>
        <v>#VALUE!</v>
      </c>
      <c r="CR24" s="16" t="e">
        <f t="shared" si="34"/>
        <v>#VALUE!</v>
      </c>
      <c r="CS24" s="13" t="e">
        <f t="shared" si="34"/>
        <v>#VALUE!</v>
      </c>
      <c r="CT24" s="14" t="e">
        <f t="shared" si="34"/>
        <v>#VALUE!</v>
      </c>
      <c r="CU24" s="14" t="e">
        <f t="shared" si="34"/>
        <v>#VALUE!</v>
      </c>
      <c r="CV24" s="14" t="e">
        <f t="shared" si="34"/>
        <v>#VALUE!</v>
      </c>
      <c r="CW24" s="14" t="e">
        <f t="shared" ref="CW24:DF25" si="35">IF(AND(CW$5&gt;=$C24,CW$5&lt;=$E24),1,"")</f>
        <v>#VALUE!</v>
      </c>
      <c r="CX24" s="15" t="e">
        <f t="shared" si="35"/>
        <v>#VALUE!</v>
      </c>
      <c r="CY24" s="16" t="e">
        <f t="shared" si="35"/>
        <v>#VALUE!</v>
      </c>
      <c r="CZ24" s="13" t="e">
        <f t="shared" si="35"/>
        <v>#VALUE!</v>
      </c>
      <c r="DA24" s="14" t="e">
        <f t="shared" si="35"/>
        <v>#VALUE!</v>
      </c>
      <c r="DB24" s="14" t="e">
        <f t="shared" si="35"/>
        <v>#VALUE!</v>
      </c>
      <c r="DC24" s="14" t="e">
        <f t="shared" si="30"/>
        <v>#VALUE!</v>
      </c>
      <c r="DD24" s="14" t="e">
        <f t="shared" si="30"/>
        <v>#VALUE!</v>
      </c>
      <c r="DE24" s="15" t="e">
        <f t="shared" si="30"/>
        <v>#VALUE!</v>
      </c>
      <c r="DF24" s="16" t="e">
        <f t="shared" si="30"/>
        <v>#VALUE!</v>
      </c>
      <c r="DG24" s="13" t="e">
        <f t="shared" si="30"/>
        <v>#VALUE!</v>
      </c>
      <c r="DH24" s="14" t="e">
        <f t="shared" si="30"/>
        <v>#VALUE!</v>
      </c>
      <c r="DI24" s="14" t="e">
        <f t="shared" si="30"/>
        <v>#VALUE!</v>
      </c>
      <c r="DJ24" s="14" t="e">
        <f t="shared" si="30"/>
        <v>#VALUE!</v>
      </c>
      <c r="DK24" s="14" t="e">
        <f t="shared" si="30"/>
        <v>#VALUE!</v>
      </c>
      <c r="DL24" s="15" t="e">
        <f t="shared" si="30"/>
        <v>#VALUE!</v>
      </c>
      <c r="DM24" s="16" t="e">
        <f t="shared" si="30"/>
        <v>#VALUE!</v>
      </c>
      <c r="DN24" s="13" t="e">
        <f t="shared" si="30"/>
        <v>#VALUE!</v>
      </c>
      <c r="DO24" s="14" t="e">
        <f t="shared" si="30"/>
        <v>#VALUE!</v>
      </c>
      <c r="DP24" s="14" t="e">
        <f t="shared" si="30"/>
        <v>#VALUE!</v>
      </c>
      <c r="DQ24" s="14" t="e">
        <f t="shared" si="30"/>
        <v>#VALUE!</v>
      </c>
      <c r="DR24" s="14" t="e">
        <f t="shared" si="28"/>
        <v>#VALUE!</v>
      </c>
      <c r="DS24" s="15" t="e">
        <f t="shared" si="28"/>
        <v>#VALUE!</v>
      </c>
      <c r="DT24" s="16" t="e">
        <f t="shared" si="28"/>
        <v>#VALUE!</v>
      </c>
    </row>
    <row r="25" spans="1:124" s="17" customFormat="1" ht="9.75" customHeight="1">
      <c r="A25" s="92" t="str">
        <f>_xlfn.CONCAT(B7,"-","Next")</f>
        <v>60-Next</v>
      </c>
      <c r="B25" s="28" t="s">
        <v>54</v>
      </c>
      <c r="C25" s="19" t="e">
        <f t="shared" si="25"/>
        <v>#VALUE!</v>
      </c>
      <c r="D25" s="20">
        <v>7</v>
      </c>
      <c r="E25" s="19" t="e">
        <f>(C25+D25)-1</f>
        <v>#VALUE!</v>
      </c>
      <c r="F25" s="13" t="e">
        <f t="shared" si="27"/>
        <v>#VALUE!</v>
      </c>
      <c r="G25" s="14" t="e">
        <f t="shared" si="27"/>
        <v>#VALUE!</v>
      </c>
      <c r="H25" s="14" t="e">
        <f t="shared" si="27"/>
        <v>#VALUE!</v>
      </c>
      <c r="I25" s="14" t="e">
        <f t="shared" si="27"/>
        <v>#VALUE!</v>
      </c>
      <c r="J25" s="14" t="e">
        <f t="shared" si="27"/>
        <v>#VALUE!</v>
      </c>
      <c r="K25" s="15" t="e">
        <f t="shared" si="27"/>
        <v>#VALUE!</v>
      </c>
      <c r="L25" s="16" t="e">
        <f t="shared" si="27"/>
        <v>#VALUE!</v>
      </c>
      <c r="M25" s="13" t="e">
        <f t="shared" si="27"/>
        <v>#VALUE!</v>
      </c>
      <c r="N25" s="14" t="e">
        <f t="shared" si="27"/>
        <v>#VALUE!</v>
      </c>
      <c r="O25" s="14" t="e">
        <f t="shared" si="27"/>
        <v>#VALUE!</v>
      </c>
      <c r="P25" s="14" t="e">
        <f t="shared" si="27"/>
        <v>#VALUE!</v>
      </c>
      <c r="Q25" s="14" t="e">
        <f t="shared" si="27"/>
        <v>#VALUE!</v>
      </c>
      <c r="R25" s="15" t="e">
        <f t="shared" si="27"/>
        <v>#VALUE!</v>
      </c>
      <c r="S25" s="16" t="e">
        <f t="shared" si="27"/>
        <v>#VALUE!</v>
      </c>
      <c r="T25" s="13" t="e">
        <f t="shared" si="27"/>
        <v>#VALUE!</v>
      </c>
      <c r="U25" s="14" t="e">
        <f t="shared" si="27"/>
        <v>#VALUE!</v>
      </c>
      <c r="V25" s="14" t="e">
        <f t="shared" si="27"/>
        <v>#VALUE!</v>
      </c>
      <c r="W25" s="14" t="e">
        <f t="shared" si="27"/>
        <v>#VALUE!</v>
      </c>
      <c r="X25" s="14" t="e">
        <f t="shared" si="27"/>
        <v>#VALUE!</v>
      </c>
      <c r="Y25" s="15" t="e">
        <f t="shared" si="27"/>
        <v>#VALUE!</v>
      </c>
      <c r="Z25" s="16" t="e">
        <f t="shared" si="27"/>
        <v>#VALUE!</v>
      </c>
      <c r="AA25" s="13" t="e">
        <f t="shared" si="27"/>
        <v>#VALUE!</v>
      </c>
      <c r="AB25" s="14" t="e">
        <f t="shared" si="27"/>
        <v>#VALUE!</v>
      </c>
      <c r="AC25" s="14" t="e">
        <f t="shared" si="27"/>
        <v>#VALUE!</v>
      </c>
      <c r="AD25" s="14" t="e">
        <f t="shared" si="27"/>
        <v>#VALUE!</v>
      </c>
      <c r="AE25" s="14" t="e">
        <f t="shared" si="27"/>
        <v>#VALUE!</v>
      </c>
      <c r="AF25" s="15" t="e">
        <f t="shared" si="27"/>
        <v>#VALUE!</v>
      </c>
      <c r="AG25" s="16" t="e">
        <f t="shared" si="27"/>
        <v>#VALUE!</v>
      </c>
      <c r="AH25" s="13" t="e">
        <f t="shared" si="27"/>
        <v>#VALUE!</v>
      </c>
      <c r="AI25" s="14" t="e">
        <f t="shared" si="27"/>
        <v>#VALUE!</v>
      </c>
      <c r="AJ25" s="14" t="e">
        <f t="shared" si="27"/>
        <v>#VALUE!</v>
      </c>
      <c r="AK25" s="14" t="e">
        <f t="shared" si="27"/>
        <v>#VALUE!</v>
      </c>
      <c r="AL25" s="14" t="e">
        <f t="shared" si="27"/>
        <v>#VALUE!</v>
      </c>
      <c r="AM25" s="15" t="e">
        <f t="shared" si="27"/>
        <v>#VALUE!</v>
      </c>
      <c r="AN25" s="16" t="e">
        <f t="shared" si="27"/>
        <v>#VALUE!</v>
      </c>
      <c r="AO25" s="13" t="e">
        <f t="shared" si="27"/>
        <v>#VALUE!</v>
      </c>
      <c r="AP25" s="14" t="e">
        <f t="shared" si="31"/>
        <v>#VALUE!</v>
      </c>
      <c r="AQ25" s="14" t="e">
        <f t="shared" si="31"/>
        <v>#VALUE!</v>
      </c>
      <c r="AR25" s="14" t="e">
        <f t="shared" si="31"/>
        <v>#VALUE!</v>
      </c>
      <c r="AS25" s="14" t="e">
        <f t="shared" si="31"/>
        <v>#VALUE!</v>
      </c>
      <c r="AT25" s="15" t="e">
        <f t="shared" si="31"/>
        <v>#VALUE!</v>
      </c>
      <c r="AU25" s="16" t="e">
        <f t="shared" si="31"/>
        <v>#VALUE!</v>
      </c>
      <c r="AV25" s="13" t="e">
        <f t="shared" si="31"/>
        <v>#VALUE!</v>
      </c>
      <c r="AW25" s="14" t="e">
        <f t="shared" si="31"/>
        <v>#VALUE!</v>
      </c>
      <c r="AX25" s="14" t="e">
        <f t="shared" si="31"/>
        <v>#VALUE!</v>
      </c>
      <c r="AY25" s="14" t="e">
        <f t="shared" si="31"/>
        <v>#VALUE!</v>
      </c>
      <c r="AZ25" s="14" t="e">
        <f t="shared" si="31"/>
        <v>#VALUE!</v>
      </c>
      <c r="BA25" s="15" t="e">
        <f t="shared" si="31"/>
        <v>#VALUE!</v>
      </c>
      <c r="BB25" s="16" t="e">
        <f t="shared" si="31"/>
        <v>#VALUE!</v>
      </c>
      <c r="BC25" s="13" t="e">
        <f t="shared" si="31"/>
        <v>#VALUE!</v>
      </c>
      <c r="BD25" s="14" t="e">
        <f t="shared" si="31"/>
        <v>#VALUE!</v>
      </c>
      <c r="BE25" s="14" t="e">
        <f t="shared" si="31"/>
        <v>#VALUE!</v>
      </c>
      <c r="BF25" s="14" t="e">
        <f t="shared" si="32"/>
        <v>#VALUE!</v>
      </c>
      <c r="BG25" s="14" t="e">
        <f t="shared" si="32"/>
        <v>#VALUE!</v>
      </c>
      <c r="BH25" s="15" t="e">
        <f t="shared" si="32"/>
        <v>#VALUE!</v>
      </c>
      <c r="BI25" s="16" t="e">
        <f t="shared" si="32"/>
        <v>#VALUE!</v>
      </c>
      <c r="BJ25" s="13" t="e">
        <f t="shared" si="32"/>
        <v>#VALUE!</v>
      </c>
      <c r="BK25" s="14" t="e">
        <f t="shared" si="32"/>
        <v>#VALUE!</v>
      </c>
      <c r="BL25" s="14" t="e">
        <f t="shared" si="32"/>
        <v>#VALUE!</v>
      </c>
      <c r="BM25" s="14" t="e">
        <f t="shared" si="32"/>
        <v>#VALUE!</v>
      </c>
      <c r="BN25" s="14" t="e">
        <f t="shared" si="32"/>
        <v>#VALUE!</v>
      </c>
      <c r="BO25" s="15" t="e">
        <f t="shared" si="32"/>
        <v>#VALUE!</v>
      </c>
      <c r="BP25" s="16" t="e">
        <f t="shared" si="32"/>
        <v>#VALUE!</v>
      </c>
      <c r="BQ25" s="13" t="e">
        <f t="shared" si="32"/>
        <v>#VALUE!</v>
      </c>
      <c r="BR25" s="14" t="e">
        <f t="shared" si="32"/>
        <v>#VALUE!</v>
      </c>
      <c r="BS25" s="14" t="e">
        <f t="shared" si="32"/>
        <v>#VALUE!</v>
      </c>
      <c r="BT25" s="14" t="e">
        <f t="shared" si="32"/>
        <v>#VALUE!</v>
      </c>
      <c r="BU25" s="14" t="e">
        <f t="shared" si="32"/>
        <v>#VALUE!</v>
      </c>
      <c r="BV25" s="15" t="e">
        <f t="shared" si="33"/>
        <v>#VALUE!</v>
      </c>
      <c r="BW25" s="16" t="e">
        <f t="shared" si="33"/>
        <v>#VALUE!</v>
      </c>
      <c r="BX25" s="13" t="e">
        <f t="shared" si="33"/>
        <v>#VALUE!</v>
      </c>
      <c r="BY25" s="14" t="e">
        <f t="shared" si="33"/>
        <v>#VALUE!</v>
      </c>
      <c r="BZ25" s="14" t="e">
        <f t="shared" si="33"/>
        <v>#VALUE!</v>
      </c>
      <c r="CA25" s="14" t="e">
        <f t="shared" si="33"/>
        <v>#VALUE!</v>
      </c>
      <c r="CB25" s="14" t="e">
        <f t="shared" si="33"/>
        <v>#VALUE!</v>
      </c>
      <c r="CC25" s="15" t="e">
        <f t="shared" si="33"/>
        <v>#VALUE!</v>
      </c>
      <c r="CD25" s="16" t="e">
        <f t="shared" si="33"/>
        <v>#VALUE!</v>
      </c>
      <c r="CE25" s="13" t="e">
        <f t="shared" si="33"/>
        <v>#VALUE!</v>
      </c>
      <c r="CF25" s="14" t="e">
        <f t="shared" si="33"/>
        <v>#VALUE!</v>
      </c>
      <c r="CG25" s="14" t="e">
        <f t="shared" si="34"/>
        <v>#VALUE!</v>
      </c>
      <c r="CH25" s="14" t="e">
        <f t="shared" si="34"/>
        <v>#VALUE!</v>
      </c>
      <c r="CI25" s="14" t="e">
        <f t="shared" si="34"/>
        <v>#VALUE!</v>
      </c>
      <c r="CJ25" s="15" t="e">
        <f t="shared" si="34"/>
        <v>#VALUE!</v>
      </c>
      <c r="CK25" s="16" t="e">
        <f t="shared" si="34"/>
        <v>#VALUE!</v>
      </c>
      <c r="CL25" s="13" t="e">
        <f t="shared" si="34"/>
        <v>#VALUE!</v>
      </c>
      <c r="CM25" s="14" t="e">
        <f t="shared" si="34"/>
        <v>#VALUE!</v>
      </c>
      <c r="CN25" s="14" t="e">
        <f t="shared" si="34"/>
        <v>#VALUE!</v>
      </c>
      <c r="CO25" s="14" t="e">
        <f t="shared" si="34"/>
        <v>#VALUE!</v>
      </c>
      <c r="CP25" s="14" t="e">
        <f t="shared" si="34"/>
        <v>#VALUE!</v>
      </c>
      <c r="CQ25" s="15" t="e">
        <f t="shared" si="34"/>
        <v>#VALUE!</v>
      </c>
      <c r="CR25" s="16" t="e">
        <f t="shared" si="34"/>
        <v>#VALUE!</v>
      </c>
      <c r="CS25" s="13" t="e">
        <f t="shared" si="34"/>
        <v>#VALUE!</v>
      </c>
      <c r="CT25" s="14" t="e">
        <f t="shared" si="34"/>
        <v>#VALUE!</v>
      </c>
      <c r="CU25" s="14" t="e">
        <f t="shared" si="34"/>
        <v>#VALUE!</v>
      </c>
      <c r="CV25" s="14" t="e">
        <f t="shared" si="34"/>
        <v>#VALUE!</v>
      </c>
      <c r="CW25" s="14" t="e">
        <f t="shared" si="35"/>
        <v>#VALUE!</v>
      </c>
      <c r="CX25" s="15" t="e">
        <f t="shared" si="35"/>
        <v>#VALUE!</v>
      </c>
      <c r="CY25" s="16" t="e">
        <f t="shared" si="35"/>
        <v>#VALUE!</v>
      </c>
      <c r="CZ25" s="13" t="e">
        <f t="shared" si="35"/>
        <v>#VALUE!</v>
      </c>
      <c r="DA25" s="14" t="e">
        <f t="shared" si="35"/>
        <v>#VALUE!</v>
      </c>
      <c r="DB25" s="14" t="e">
        <f t="shared" si="35"/>
        <v>#VALUE!</v>
      </c>
      <c r="DC25" s="14" t="e">
        <f t="shared" si="35"/>
        <v>#VALUE!</v>
      </c>
      <c r="DD25" s="14" t="e">
        <f t="shared" si="35"/>
        <v>#VALUE!</v>
      </c>
      <c r="DE25" s="15" t="e">
        <f t="shared" si="35"/>
        <v>#VALUE!</v>
      </c>
      <c r="DF25" s="16" t="e">
        <f t="shared" si="35"/>
        <v>#VALUE!</v>
      </c>
      <c r="DG25" s="13" t="e">
        <f t="shared" si="30"/>
        <v>#VALUE!</v>
      </c>
      <c r="DH25" s="14" t="e">
        <f t="shared" si="30"/>
        <v>#VALUE!</v>
      </c>
      <c r="DI25" s="14" t="e">
        <f t="shared" si="30"/>
        <v>#VALUE!</v>
      </c>
      <c r="DJ25" s="14" t="e">
        <f t="shared" si="30"/>
        <v>#VALUE!</v>
      </c>
      <c r="DK25" s="14" t="e">
        <f t="shared" si="30"/>
        <v>#VALUE!</v>
      </c>
      <c r="DL25" s="15" t="e">
        <f t="shared" si="30"/>
        <v>#VALUE!</v>
      </c>
      <c r="DM25" s="16" t="e">
        <f t="shared" si="30"/>
        <v>#VALUE!</v>
      </c>
      <c r="DN25" s="13" t="e">
        <f t="shared" si="30"/>
        <v>#VALUE!</v>
      </c>
      <c r="DO25" s="14" t="e">
        <f t="shared" si="30"/>
        <v>#VALUE!</v>
      </c>
      <c r="DP25" s="14" t="e">
        <f t="shared" si="30"/>
        <v>#VALUE!</v>
      </c>
      <c r="DQ25" s="14" t="e">
        <f t="shared" si="30"/>
        <v>#VALUE!</v>
      </c>
      <c r="DR25" s="14" t="e">
        <f t="shared" si="28"/>
        <v>#VALUE!</v>
      </c>
      <c r="DS25" s="15" t="e">
        <f t="shared" si="28"/>
        <v>#VALUE!</v>
      </c>
      <c r="DT25" s="16" t="e">
        <f t="shared" si="28"/>
        <v>#VALUE!</v>
      </c>
    </row>
    <row r="26" spans="1:124" s="17" customFormat="1" ht="6" customHeight="1"/>
    <row r="27" spans="1:124" s="17" customFormat="1" ht="15" customHeight="1">
      <c r="A27" s="588" t="s">
        <v>55</v>
      </c>
      <c r="B27" s="588"/>
      <c r="C27" s="589" t="e">
        <f>C15-C11</f>
        <v>#VALUE!</v>
      </c>
      <c r="D27" s="589"/>
      <c r="E27" s="590"/>
      <c r="F27" s="14" t="e">
        <f t="shared" ref="F27:BQ27" si="36">IF(AND(F$5&gt;=$C$11,F$5&lt;=$E$15-1),1,"")</f>
        <v>#VALUE!</v>
      </c>
      <c r="G27" s="14" t="e">
        <f t="shared" si="36"/>
        <v>#VALUE!</v>
      </c>
      <c r="H27" s="14" t="e">
        <f t="shared" si="36"/>
        <v>#VALUE!</v>
      </c>
      <c r="I27" s="14" t="e">
        <f t="shared" si="36"/>
        <v>#VALUE!</v>
      </c>
      <c r="J27" s="14" t="e">
        <f t="shared" si="36"/>
        <v>#VALUE!</v>
      </c>
      <c r="K27" s="15" t="e">
        <f t="shared" si="36"/>
        <v>#VALUE!</v>
      </c>
      <c r="L27" s="16" t="e">
        <f t="shared" si="36"/>
        <v>#VALUE!</v>
      </c>
      <c r="M27" s="13" t="e">
        <f t="shared" si="36"/>
        <v>#VALUE!</v>
      </c>
      <c r="N27" s="14" t="e">
        <f t="shared" si="36"/>
        <v>#VALUE!</v>
      </c>
      <c r="O27" s="14" t="e">
        <f t="shared" si="36"/>
        <v>#VALUE!</v>
      </c>
      <c r="P27" s="14" t="e">
        <f t="shared" si="36"/>
        <v>#VALUE!</v>
      </c>
      <c r="Q27" s="14" t="e">
        <f t="shared" si="36"/>
        <v>#VALUE!</v>
      </c>
      <c r="R27" s="15" t="e">
        <f t="shared" si="36"/>
        <v>#VALUE!</v>
      </c>
      <c r="S27" s="16" t="e">
        <f t="shared" si="36"/>
        <v>#VALUE!</v>
      </c>
      <c r="T27" s="13" t="e">
        <f t="shared" si="36"/>
        <v>#VALUE!</v>
      </c>
      <c r="U27" s="14" t="e">
        <f t="shared" si="36"/>
        <v>#VALUE!</v>
      </c>
      <c r="V27" s="14" t="e">
        <f t="shared" si="36"/>
        <v>#VALUE!</v>
      </c>
      <c r="W27" s="14" t="e">
        <f t="shared" si="36"/>
        <v>#VALUE!</v>
      </c>
      <c r="X27" s="14" t="e">
        <f t="shared" si="36"/>
        <v>#VALUE!</v>
      </c>
      <c r="Y27" s="15" t="e">
        <f t="shared" si="36"/>
        <v>#VALUE!</v>
      </c>
      <c r="Z27" s="16" t="e">
        <f t="shared" si="36"/>
        <v>#VALUE!</v>
      </c>
      <c r="AA27" s="13" t="e">
        <f t="shared" si="36"/>
        <v>#VALUE!</v>
      </c>
      <c r="AB27" s="14" t="e">
        <f t="shared" si="36"/>
        <v>#VALUE!</v>
      </c>
      <c r="AC27" s="14" t="e">
        <f t="shared" si="36"/>
        <v>#VALUE!</v>
      </c>
      <c r="AD27" s="14" t="e">
        <f t="shared" si="36"/>
        <v>#VALUE!</v>
      </c>
      <c r="AE27" s="14" t="e">
        <f t="shared" si="36"/>
        <v>#VALUE!</v>
      </c>
      <c r="AF27" s="15" t="e">
        <f t="shared" si="36"/>
        <v>#VALUE!</v>
      </c>
      <c r="AG27" s="16" t="e">
        <f t="shared" si="36"/>
        <v>#VALUE!</v>
      </c>
      <c r="AH27" s="13" t="e">
        <f t="shared" si="36"/>
        <v>#VALUE!</v>
      </c>
      <c r="AI27" s="14" t="e">
        <f t="shared" si="36"/>
        <v>#VALUE!</v>
      </c>
      <c r="AJ27" s="14" t="e">
        <f t="shared" si="36"/>
        <v>#VALUE!</v>
      </c>
      <c r="AK27" s="14" t="e">
        <f t="shared" si="36"/>
        <v>#VALUE!</v>
      </c>
      <c r="AL27" s="14" t="e">
        <f t="shared" si="36"/>
        <v>#VALUE!</v>
      </c>
      <c r="AM27" s="15" t="e">
        <f t="shared" si="36"/>
        <v>#VALUE!</v>
      </c>
      <c r="AN27" s="16" t="e">
        <f t="shared" si="36"/>
        <v>#VALUE!</v>
      </c>
      <c r="AO27" s="13" t="e">
        <f t="shared" si="36"/>
        <v>#VALUE!</v>
      </c>
      <c r="AP27" s="14" t="e">
        <f t="shared" si="36"/>
        <v>#VALUE!</v>
      </c>
      <c r="AQ27" s="14" t="e">
        <f t="shared" si="36"/>
        <v>#VALUE!</v>
      </c>
      <c r="AR27" s="14" t="e">
        <f t="shared" si="36"/>
        <v>#VALUE!</v>
      </c>
      <c r="AS27" s="14" t="e">
        <f t="shared" si="36"/>
        <v>#VALUE!</v>
      </c>
      <c r="AT27" s="15" t="e">
        <f t="shared" si="36"/>
        <v>#VALUE!</v>
      </c>
      <c r="AU27" s="16" t="e">
        <f t="shared" si="36"/>
        <v>#VALUE!</v>
      </c>
      <c r="AV27" s="13" t="e">
        <f t="shared" si="36"/>
        <v>#VALUE!</v>
      </c>
      <c r="AW27" s="14" t="e">
        <f t="shared" si="36"/>
        <v>#VALUE!</v>
      </c>
      <c r="AX27" s="14" t="e">
        <f t="shared" si="36"/>
        <v>#VALUE!</v>
      </c>
      <c r="AY27" s="14" t="e">
        <f t="shared" si="36"/>
        <v>#VALUE!</v>
      </c>
      <c r="AZ27" s="14" t="e">
        <f t="shared" si="36"/>
        <v>#VALUE!</v>
      </c>
      <c r="BA27" s="15" t="e">
        <f t="shared" si="36"/>
        <v>#VALUE!</v>
      </c>
      <c r="BB27" s="16" t="e">
        <f t="shared" si="36"/>
        <v>#VALUE!</v>
      </c>
      <c r="BC27" s="13" t="e">
        <f t="shared" si="36"/>
        <v>#VALUE!</v>
      </c>
      <c r="BD27" s="14" t="e">
        <f t="shared" si="36"/>
        <v>#VALUE!</v>
      </c>
      <c r="BE27" s="14" t="e">
        <f t="shared" si="36"/>
        <v>#VALUE!</v>
      </c>
      <c r="BF27" s="14" t="e">
        <f t="shared" si="36"/>
        <v>#VALUE!</v>
      </c>
      <c r="BG27" s="14" t="e">
        <f t="shared" si="36"/>
        <v>#VALUE!</v>
      </c>
      <c r="BH27" s="15" t="e">
        <f t="shared" si="36"/>
        <v>#VALUE!</v>
      </c>
      <c r="BI27" s="16" t="e">
        <f t="shared" si="36"/>
        <v>#VALUE!</v>
      </c>
      <c r="BJ27" s="13" t="e">
        <f t="shared" si="36"/>
        <v>#VALUE!</v>
      </c>
      <c r="BK27" s="14" t="e">
        <f t="shared" si="36"/>
        <v>#VALUE!</v>
      </c>
      <c r="BL27" s="14" t="e">
        <f t="shared" si="36"/>
        <v>#VALUE!</v>
      </c>
      <c r="BM27" s="14" t="e">
        <f t="shared" si="36"/>
        <v>#VALUE!</v>
      </c>
      <c r="BN27" s="14" t="e">
        <f t="shared" si="36"/>
        <v>#VALUE!</v>
      </c>
      <c r="BO27" s="15" t="e">
        <f t="shared" si="36"/>
        <v>#VALUE!</v>
      </c>
      <c r="BP27" s="16" t="e">
        <f t="shared" si="36"/>
        <v>#VALUE!</v>
      </c>
      <c r="BQ27" s="13" t="e">
        <f t="shared" si="36"/>
        <v>#VALUE!</v>
      </c>
      <c r="BR27" s="14" t="e">
        <f t="shared" ref="BR27:DT27" si="37">IF(AND(BR$5&gt;=$C$11,BR$5&lt;=$E$15-1),1,"")</f>
        <v>#VALUE!</v>
      </c>
      <c r="BS27" s="14" t="e">
        <f t="shared" si="37"/>
        <v>#VALUE!</v>
      </c>
      <c r="BT27" s="14" t="e">
        <f t="shared" si="37"/>
        <v>#VALUE!</v>
      </c>
      <c r="BU27" s="14" t="e">
        <f t="shared" si="37"/>
        <v>#VALUE!</v>
      </c>
      <c r="BV27" s="15" t="e">
        <f t="shared" si="37"/>
        <v>#VALUE!</v>
      </c>
      <c r="BW27" s="16" t="e">
        <f t="shared" si="37"/>
        <v>#VALUE!</v>
      </c>
      <c r="BX27" s="13" t="e">
        <f t="shared" si="37"/>
        <v>#VALUE!</v>
      </c>
      <c r="BY27" s="14" t="e">
        <f t="shared" si="37"/>
        <v>#VALUE!</v>
      </c>
      <c r="BZ27" s="14" t="e">
        <f t="shared" si="37"/>
        <v>#VALUE!</v>
      </c>
      <c r="CA27" s="14" t="e">
        <f t="shared" si="37"/>
        <v>#VALUE!</v>
      </c>
      <c r="CB27" s="14" t="e">
        <f t="shared" si="37"/>
        <v>#VALUE!</v>
      </c>
      <c r="CC27" s="15" t="e">
        <f t="shared" si="37"/>
        <v>#VALUE!</v>
      </c>
      <c r="CD27" s="16" t="e">
        <f t="shared" si="37"/>
        <v>#VALUE!</v>
      </c>
      <c r="CE27" s="13" t="e">
        <f t="shared" si="37"/>
        <v>#VALUE!</v>
      </c>
      <c r="CF27" s="14" t="e">
        <f t="shared" si="37"/>
        <v>#VALUE!</v>
      </c>
      <c r="CG27" s="14" t="e">
        <f t="shared" si="37"/>
        <v>#VALUE!</v>
      </c>
      <c r="CH27" s="14" t="e">
        <f t="shared" si="37"/>
        <v>#VALUE!</v>
      </c>
      <c r="CI27" s="14" t="e">
        <f t="shared" si="37"/>
        <v>#VALUE!</v>
      </c>
      <c r="CJ27" s="15" t="e">
        <f t="shared" si="37"/>
        <v>#VALUE!</v>
      </c>
      <c r="CK27" s="16" t="e">
        <f t="shared" si="37"/>
        <v>#VALUE!</v>
      </c>
      <c r="CL27" s="13" t="e">
        <f t="shared" si="37"/>
        <v>#VALUE!</v>
      </c>
      <c r="CM27" s="14" t="e">
        <f t="shared" si="37"/>
        <v>#VALUE!</v>
      </c>
      <c r="CN27" s="14" t="e">
        <f t="shared" si="37"/>
        <v>#VALUE!</v>
      </c>
      <c r="CO27" s="14" t="e">
        <f t="shared" si="37"/>
        <v>#VALUE!</v>
      </c>
      <c r="CP27" s="14" t="e">
        <f t="shared" si="37"/>
        <v>#VALUE!</v>
      </c>
      <c r="CQ27" s="15" t="e">
        <f t="shared" si="37"/>
        <v>#VALUE!</v>
      </c>
      <c r="CR27" s="16" t="e">
        <f t="shared" si="37"/>
        <v>#VALUE!</v>
      </c>
      <c r="CS27" s="13" t="e">
        <f t="shared" si="37"/>
        <v>#VALUE!</v>
      </c>
      <c r="CT27" s="14" t="e">
        <f t="shared" si="37"/>
        <v>#VALUE!</v>
      </c>
      <c r="CU27" s="14" t="e">
        <f t="shared" si="37"/>
        <v>#VALUE!</v>
      </c>
      <c r="CV27" s="14" t="e">
        <f t="shared" si="37"/>
        <v>#VALUE!</v>
      </c>
      <c r="CW27" s="14" t="e">
        <f t="shared" si="37"/>
        <v>#VALUE!</v>
      </c>
      <c r="CX27" s="15" t="e">
        <f t="shared" si="37"/>
        <v>#VALUE!</v>
      </c>
      <c r="CY27" s="16" t="e">
        <f t="shared" si="37"/>
        <v>#VALUE!</v>
      </c>
      <c r="CZ27" s="13" t="e">
        <f t="shared" si="37"/>
        <v>#VALUE!</v>
      </c>
      <c r="DA27" s="14" t="e">
        <f t="shared" si="37"/>
        <v>#VALUE!</v>
      </c>
      <c r="DB27" s="14" t="e">
        <f t="shared" si="37"/>
        <v>#VALUE!</v>
      </c>
      <c r="DC27" s="14" t="e">
        <f t="shared" si="37"/>
        <v>#VALUE!</v>
      </c>
      <c r="DD27" s="14" t="e">
        <f t="shared" si="37"/>
        <v>#VALUE!</v>
      </c>
      <c r="DE27" s="15" t="e">
        <f t="shared" si="37"/>
        <v>#VALUE!</v>
      </c>
      <c r="DF27" s="16" t="e">
        <f t="shared" si="37"/>
        <v>#VALUE!</v>
      </c>
      <c r="DG27" s="13" t="e">
        <f t="shared" si="37"/>
        <v>#VALUE!</v>
      </c>
      <c r="DH27" s="14" t="e">
        <f t="shared" si="37"/>
        <v>#VALUE!</v>
      </c>
      <c r="DI27" s="14" t="e">
        <f t="shared" si="37"/>
        <v>#VALUE!</v>
      </c>
      <c r="DJ27" s="14" t="e">
        <f t="shared" si="37"/>
        <v>#VALUE!</v>
      </c>
      <c r="DK27" s="14" t="e">
        <f t="shared" si="37"/>
        <v>#VALUE!</v>
      </c>
      <c r="DL27" s="15" t="e">
        <f t="shared" si="37"/>
        <v>#VALUE!</v>
      </c>
      <c r="DM27" s="16" t="e">
        <f t="shared" si="37"/>
        <v>#VALUE!</v>
      </c>
      <c r="DN27" s="13" t="e">
        <f t="shared" si="37"/>
        <v>#VALUE!</v>
      </c>
      <c r="DO27" s="14" t="e">
        <f t="shared" si="37"/>
        <v>#VALUE!</v>
      </c>
      <c r="DP27" s="14" t="e">
        <f t="shared" si="37"/>
        <v>#VALUE!</v>
      </c>
      <c r="DQ27" s="14" t="e">
        <f t="shared" si="37"/>
        <v>#VALUE!</v>
      </c>
      <c r="DR27" s="14" t="e">
        <f t="shared" si="37"/>
        <v>#VALUE!</v>
      </c>
      <c r="DS27" s="15" t="e">
        <f t="shared" si="37"/>
        <v>#VALUE!</v>
      </c>
      <c r="DT27" s="16" t="e">
        <f t="shared" si="37"/>
        <v>#VALUE!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97" t="s">
        <v>56</v>
      </c>
      <c r="B29" s="597"/>
      <c r="C29" s="598" t="e">
        <f>C15-C12+2</f>
        <v>#VALUE!</v>
      </c>
      <c r="D29" s="598"/>
      <c r="E29" s="599"/>
      <c r="F29" s="14" t="e">
        <f t="shared" ref="F29:AM29" si="38">IF(AND(F$5&gt;=$E$11,F$5&lt;=$E$15),1,"")</f>
        <v>#VALUE!</v>
      </c>
      <c r="G29" s="14" t="e">
        <f t="shared" si="38"/>
        <v>#VALUE!</v>
      </c>
      <c r="H29" s="14" t="e">
        <f t="shared" si="38"/>
        <v>#VALUE!</v>
      </c>
      <c r="I29" s="14" t="e">
        <f t="shared" si="38"/>
        <v>#VALUE!</v>
      </c>
      <c r="J29" s="14" t="e">
        <f t="shared" si="38"/>
        <v>#VALUE!</v>
      </c>
      <c r="K29" s="15" t="e">
        <f t="shared" si="38"/>
        <v>#VALUE!</v>
      </c>
      <c r="L29" s="16" t="e">
        <f t="shared" si="38"/>
        <v>#VALUE!</v>
      </c>
      <c r="M29" s="13" t="e">
        <f t="shared" si="38"/>
        <v>#VALUE!</v>
      </c>
      <c r="N29" s="14" t="e">
        <f t="shared" si="38"/>
        <v>#VALUE!</v>
      </c>
      <c r="O29" s="14" t="e">
        <f t="shared" si="38"/>
        <v>#VALUE!</v>
      </c>
      <c r="P29" s="14" t="e">
        <f t="shared" si="38"/>
        <v>#VALUE!</v>
      </c>
      <c r="Q29" s="14" t="e">
        <f t="shared" si="38"/>
        <v>#VALUE!</v>
      </c>
      <c r="R29" s="15" t="e">
        <f t="shared" si="38"/>
        <v>#VALUE!</v>
      </c>
      <c r="S29" s="16" t="e">
        <f t="shared" si="38"/>
        <v>#VALUE!</v>
      </c>
      <c r="T29" s="13" t="e">
        <f t="shared" si="38"/>
        <v>#VALUE!</v>
      </c>
      <c r="U29" s="14" t="e">
        <f t="shared" si="38"/>
        <v>#VALUE!</v>
      </c>
      <c r="V29" s="14" t="e">
        <f t="shared" si="38"/>
        <v>#VALUE!</v>
      </c>
      <c r="W29" s="14" t="e">
        <f t="shared" si="38"/>
        <v>#VALUE!</v>
      </c>
      <c r="X29" s="14" t="e">
        <f t="shared" si="38"/>
        <v>#VALUE!</v>
      </c>
      <c r="Y29" s="15" t="e">
        <f t="shared" si="38"/>
        <v>#VALUE!</v>
      </c>
      <c r="Z29" s="16" t="e">
        <f t="shared" si="38"/>
        <v>#VALUE!</v>
      </c>
      <c r="AA29" s="13" t="e">
        <f t="shared" si="38"/>
        <v>#VALUE!</v>
      </c>
      <c r="AB29" s="14" t="e">
        <f t="shared" si="38"/>
        <v>#VALUE!</v>
      </c>
      <c r="AC29" s="14" t="e">
        <f t="shared" si="38"/>
        <v>#VALUE!</v>
      </c>
      <c r="AD29" s="14" t="e">
        <f t="shared" si="38"/>
        <v>#VALUE!</v>
      </c>
      <c r="AE29" s="14" t="e">
        <f t="shared" si="38"/>
        <v>#VALUE!</v>
      </c>
      <c r="AF29" s="15" t="e">
        <f t="shared" si="38"/>
        <v>#VALUE!</v>
      </c>
      <c r="AG29" s="16" t="e">
        <f t="shared" si="38"/>
        <v>#VALUE!</v>
      </c>
      <c r="AH29" s="13" t="e">
        <f t="shared" si="38"/>
        <v>#VALUE!</v>
      </c>
      <c r="AI29" s="14" t="e">
        <f t="shared" si="38"/>
        <v>#VALUE!</v>
      </c>
      <c r="AJ29" s="14" t="e">
        <f t="shared" si="38"/>
        <v>#VALUE!</v>
      </c>
      <c r="AK29" s="14" t="e">
        <f t="shared" si="38"/>
        <v>#VALUE!</v>
      </c>
      <c r="AL29" s="14" t="e">
        <f t="shared" si="38"/>
        <v>#VALUE!</v>
      </c>
      <c r="AM29" s="15" t="e">
        <f t="shared" si="38"/>
        <v>#VALUE!</v>
      </c>
      <c r="AN29" s="16" t="e">
        <f>IF(AND(AN$5&gt;=$E$11,AN$5&lt;=$E$15),1,"")</f>
        <v>#VALUE!</v>
      </c>
      <c r="AO29" s="13" t="e">
        <f t="shared" ref="AO29:CZ29" si="39">IF(AND(AO$5&gt;=$E$11,AO$5&lt;=$E$15),1,"")</f>
        <v>#VALUE!</v>
      </c>
      <c r="AP29" s="14" t="e">
        <f t="shared" si="39"/>
        <v>#VALUE!</v>
      </c>
      <c r="AQ29" s="14" t="e">
        <f t="shared" si="39"/>
        <v>#VALUE!</v>
      </c>
      <c r="AR29" s="14" t="e">
        <f t="shared" si="39"/>
        <v>#VALUE!</v>
      </c>
      <c r="AS29" s="14" t="e">
        <f t="shared" si="39"/>
        <v>#VALUE!</v>
      </c>
      <c r="AT29" s="15" t="e">
        <f t="shared" si="39"/>
        <v>#VALUE!</v>
      </c>
      <c r="AU29" s="16" t="e">
        <f t="shared" si="39"/>
        <v>#VALUE!</v>
      </c>
      <c r="AV29" s="13" t="e">
        <f t="shared" si="39"/>
        <v>#VALUE!</v>
      </c>
      <c r="AW29" s="14" t="e">
        <f t="shared" si="39"/>
        <v>#VALUE!</v>
      </c>
      <c r="AX29" s="14" t="e">
        <f t="shared" si="39"/>
        <v>#VALUE!</v>
      </c>
      <c r="AY29" s="14" t="e">
        <f t="shared" si="39"/>
        <v>#VALUE!</v>
      </c>
      <c r="AZ29" s="14" t="e">
        <f t="shared" si="39"/>
        <v>#VALUE!</v>
      </c>
      <c r="BA29" s="15" t="e">
        <f t="shared" si="39"/>
        <v>#VALUE!</v>
      </c>
      <c r="BB29" s="16" t="e">
        <f t="shared" si="39"/>
        <v>#VALUE!</v>
      </c>
      <c r="BC29" s="13" t="e">
        <f t="shared" si="39"/>
        <v>#VALUE!</v>
      </c>
      <c r="BD29" s="14" t="e">
        <f t="shared" si="39"/>
        <v>#VALUE!</v>
      </c>
      <c r="BE29" s="14" t="e">
        <f t="shared" si="39"/>
        <v>#VALUE!</v>
      </c>
      <c r="BF29" s="14" t="e">
        <f t="shared" si="39"/>
        <v>#VALUE!</v>
      </c>
      <c r="BG29" s="14" t="e">
        <f t="shared" si="39"/>
        <v>#VALUE!</v>
      </c>
      <c r="BH29" s="15" t="e">
        <f t="shared" si="39"/>
        <v>#VALUE!</v>
      </c>
      <c r="BI29" s="16" t="e">
        <f t="shared" si="39"/>
        <v>#VALUE!</v>
      </c>
      <c r="BJ29" s="13" t="e">
        <f t="shared" si="39"/>
        <v>#VALUE!</v>
      </c>
      <c r="BK29" s="14" t="e">
        <f t="shared" si="39"/>
        <v>#VALUE!</v>
      </c>
      <c r="BL29" s="14" t="e">
        <f t="shared" si="39"/>
        <v>#VALUE!</v>
      </c>
      <c r="BM29" s="14" t="e">
        <f t="shared" si="39"/>
        <v>#VALUE!</v>
      </c>
      <c r="BN29" s="14" t="e">
        <f t="shared" si="39"/>
        <v>#VALUE!</v>
      </c>
      <c r="BO29" s="15" t="e">
        <f t="shared" si="39"/>
        <v>#VALUE!</v>
      </c>
      <c r="BP29" s="16" t="e">
        <f t="shared" si="39"/>
        <v>#VALUE!</v>
      </c>
      <c r="BQ29" s="13" t="e">
        <f t="shared" si="39"/>
        <v>#VALUE!</v>
      </c>
      <c r="BR29" s="14" t="e">
        <f t="shared" si="39"/>
        <v>#VALUE!</v>
      </c>
      <c r="BS29" s="14" t="e">
        <f t="shared" si="39"/>
        <v>#VALUE!</v>
      </c>
      <c r="BT29" s="14" t="e">
        <f t="shared" si="39"/>
        <v>#VALUE!</v>
      </c>
      <c r="BU29" s="14" t="e">
        <f t="shared" si="39"/>
        <v>#VALUE!</v>
      </c>
      <c r="BV29" s="15" t="e">
        <f t="shared" si="39"/>
        <v>#VALUE!</v>
      </c>
      <c r="BW29" s="16" t="e">
        <f t="shared" si="39"/>
        <v>#VALUE!</v>
      </c>
      <c r="BX29" s="13" t="e">
        <f t="shared" si="39"/>
        <v>#VALUE!</v>
      </c>
      <c r="BY29" s="14" t="e">
        <f t="shared" si="39"/>
        <v>#VALUE!</v>
      </c>
      <c r="BZ29" s="14" t="e">
        <f t="shared" si="39"/>
        <v>#VALUE!</v>
      </c>
      <c r="CA29" s="14" t="e">
        <f t="shared" si="39"/>
        <v>#VALUE!</v>
      </c>
      <c r="CB29" s="14" t="e">
        <f t="shared" si="39"/>
        <v>#VALUE!</v>
      </c>
      <c r="CC29" s="15" t="e">
        <f t="shared" si="39"/>
        <v>#VALUE!</v>
      </c>
      <c r="CD29" s="16" t="e">
        <f t="shared" si="39"/>
        <v>#VALUE!</v>
      </c>
      <c r="CE29" s="13" t="e">
        <f t="shared" si="39"/>
        <v>#VALUE!</v>
      </c>
      <c r="CF29" s="14" t="e">
        <f t="shared" si="39"/>
        <v>#VALUE!</v>
      </c>
      <c r="CG29" s="14" t="e">
        <f t="shared" si="39"/>
        <v>#VALUE!</v>
      </c>
      <c r="CH29" s="14" t="e">
        <f t="shared" si="39"/>
        <v>#VALUE!</v>
      </c>
      <c r="CI29" s="14" t="e">
        <f t="shared" si="39"/>
        <v>#VALUE!</v>
      </c>
      <c r="CJ29" s="15" t="e">
        <f t="shared" si="39"/>
        <v>#VALUE!</v>
      </c>
      <c r="CK29" s="16" t="e">
        <f t="shared" si="39"/>
        <v>#VALUE!</v>
      </c>
      <c r="CL29" s="13" t="e">
        <f t="shared" si="39"/>
        <v>#VALUE!</v>
      </c>
      <c r="CM29" s="14" t="e">
        <f t="shared" si="39"/>
        <v>#VALUE!</v>
      </c>
      <c r="CN29" s="14" t="e">
        <f t="shared" si="39"/>
        <v>#VALUE!</v>
      </c>
      <c r="CO29" s="14" t="e">
        <f t="shared" si="39"/>
        <v>#VALUE!</v>
      </c>
      <c r="CP29" s="14" t="e">
        <f t="shared" si="39"/>
        <v>#VALUE!</v>
      </c>
      <c r="CQ29" s="15" t="e">
        <f t="shared" si="39"/>
        <v>#VALUE!</v>
      </c>
      <c r="CR29" s="16" t="e">
        <f t="shared" si="39"/>
        <v>#VALUE!</v>
      </c>
      <c r="CS29" s="13" t="e">
        <f t="shared" si="39"/>
        <v>#VALUE!</v>
      </c>
      <c r="CT29" s="14" t="e">
        <f t="shared" si="39"/>
        <v>#VALUE!</v>
      </c>
      <c r="CU29" s="14" t="e">
        <f t="shared" si="39"/>
        <v>#VALUE!</v>
      </c>
      <c r="CV29" s="14" t="e">
        <f t="shared" si="39"/>
        <v>#VALUE!</v>
      </c>
      <c r="CW29" s="14" t="e">
        <f t="shared" si="39"/>
        <v>#VALUE!</v>
      </c>
      <c r="CX29" s="15" t="e">
        <f t="shared" si="39"/>
        <v>#VALUE!</v>
      </c>
      <c r="CY29" s="16" t="e">
        <f t="shared" si="39"/>
        <v>#VALUE!</v>
      </c>
      <c r="CZ29" s="13" t="e">
        <f t="shared" si="39"/>
        <v>#VALUE!</v>
      </c>
      <c r="DA29" s="14" t="e">
        <f t="shared" ref="DA29:DT29" si="40">IF(AND(DA$5&gt;=$E$11,DA$5&lt;=$E$15),1,"")</f>
        <v>#VALUE!</v>
      </c>
      <c r="DB29" s="14" t="e">
        <f t="shared" si="40"/>
        <v>#VALUE!</v>
      </c>
      <c r="DC29" s="14" t="e">
        <f t="shared" si="40"/>
        <v>#VALUE!</v>
      </c>
      <c r="DD29" s="14" t="e">
        <f t="shared" si="40"/>
        <v>#VALUE!</v>
      </c>
      <c r="DE29" s="15" t="e">
        <f t="shared" si="40"/>
        <v>#VALUE!</v>
      </c>
      <c r="DF29" s="16" t="e">
        <f t="shared" si="40"/>
        <v>#VALUE!</v>
      </c>
      <c r="DG29" s="13" t="e">
        <f t="shared" si="40"/>
        <v>#VALUE!</v>
      </c>
      <c r="DH29" s="14" t="e">
        <f t="shared" si="40"/>
        <v>#VALUE!</v>
      </c>
      <c r="DI29" s="14" t="e">
        <f t="shared" si="40"/>
        <v>#VALUE!</v>
      </c>
      <c r="DJ29" s="14" t="e">
        <f t="shared" si="40"/>
        <v>#VALUE!</v>
      </c>
      <c r="DK29" s="14" t="e">
        <f t="shared" si="40"/>
        <v>#VALUE!</v>
      </c>
      <c r="DL29" s="15" t="e">
        <f t="shared" si="40"/>
        <v>#VALUE!</v>
      </c>
      <c r="DM29" s="16" t="e">
        <f t="shared" si="40"/>
        <v>#VALUE!</v>
      </c>
      <c r="DN29" s="13" t="e">
        <f t="shared" si="40"/>
        <v>#VALUE!</v>
      </c>
      <c r="DO29" s="14" t="e">
        <f t="shared" si="40"/>
        <v>#VALUE!</v>
      </c>
      <c r="DP29" s="14" t="e">
        <f t="shared" si="40"/>
        <v>#VALUE!</v>
      </c>
      <c r="DQ29" s="14" t="e">
        <f t="shared" si="40"/>
        <v>#VALUE!</v>
      </c>
      <c r="DR29" s="14" t="e">
        <f t="shared" si="40"/>
        <v>#VALUE!</v>
      </c>
      <c r="DS29" s="15" t="e">
        <f t="shared" si="40"/>
        <v>#VALUE!</v>
      </c>
      <c r="DT29" s="16" t="e">
        <f t="shared" si="40"/>
        <v>#VALUE!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609" t="s">
        <v>57</v>
      </c>
      <c r="B31" s="609"/>
      <c r="C31" s="610" t="e">
        <f>E17-C16+1</f>
        <v>#VALUE!</v>
      </c>
      <c r="D31" s="610"/>
      <c r="E31" s="611"/>
      <c r="F31" s="14" t="e">
        <f>IF(AND(F$5&gt;=$C$16,F$5&lt;=$E$17),1,"")</f>
        <v>#VALUE!</v>
      </c>
      <c r="G31" s="14" t="e">
        <f t="shared" ref="G31:BR31" si="41">IF(AND(G$5&gt;=$C$16,G$5&lt;=$E$17),1,"")</f>
        <v>#VALUE!</v>
      </c>
      <c r="H31" s="14" t="e">
        <f t="shared" si="41"/>
        <v>#VALUE!</v>
      </c>
      <c r="I31" s="14" t="e">
        <f t="shared" si="41"/>
        <v>#VALUE!</v>
      </c>
      <c r="J31" s="14" t="e">
        <f t="shared" si="41"/>
        <v>#VALUE!</v>
      </c>
      <c r="K31" s="15" t="e">
        <f t="shared" si="41"/>
        <v>#VALUE!</v>
      </c>
      <c r="L31" s="16" t="e">
        <f t="shared" si="41"/>
        <v>#VALUE!</v>
      </c>
      <c r="M31" s="13" t="e">
        <f t="shared" si="41"/>
        <v>#VALUE!</v>
      </c>
      <c r="N31" s="14" t="e">
        <f t="shared" si="41"/>
        <v>#VALUE!</v>
      </c>
      <c r="O31" s="14" t="e">
        <f t="shared" si="41"/>
        <v>#VALUE!</v>
      </c>
      <c r="P31" s="14" t="e">
        <f t="shared" si="41"/>
        <v>#VALUE!</v>
      </c>
      <c r="Q31" s="14" t="e">
        <f t="shared" si="41"/>
        <v>#VALUE!</v>
      </c>
      <c r="R31" s="15" t="e">
        <f t="shared" si="41"/>
        <v>#VALUE!</v>
      </c>
      <c r="S31" s="16" t="e">
        <f t="shared" si="41"/>
        <v>#VALUE!</v>
      </c>
      <c r="T31" s="13" t="e">
        <f t="shared" si="41"/>
        <v>#VALUE!</v>
      </c>
      <c r="U31" s="14" t="e">
        <f t="shared" si="41"/>
        <v>#VALUE!</v>
      </c>
      <c r="V31" s="14" t="e">
        <f t="shared" si="41"/>
        <v>#VALUE!</v>
      </c>
      <c r="W31" s="14" t="e">
        <f t="shared" si="41"/>
        <v>#VALUE!</v>
      </c>
      <c r="X31" s="14" t="e">
        <f t="shared" si="41"/>
        <v>#VALUE!</v>
      </c>
      <c r="Y31" s="15" t="e">
        <f t="shared" si="41"/>
        <v>#VALUE!</v>
      </c>
      <c r="Z31" s="16" t="e">
        <f t="shared" si="41"/>
        <v>#VALUE!</v>
      </c>
      <c r="AA31" s="13" t="e">
        <f t="shared" si="41"/>
        <v>#VALUE!</v>
      </c>
      <c r="AB31" s="14" t="e">
        <f t="shared" si="41"/>
        <v>#VALUE!</v>
      </c>
      <c r="AC31" s="14" t="e">
        <f t="shared" si="41"/>
        <v>#VALUE!</v>
      </c>
      <c r="AD31" s="14" t="e">
        <f t="shared" si="41"/>
        <v>#VALUE!</v>
      </c>
      <c r="AE31" s="14" t="e">
        <f t="shared" si="41"/>
        <v>#VALUE!</v>
      </c>
      <c r="AF31" s="15" t="e">
        <f t="shared" si="41"/>
        <v>#VALUE!</v>
      </c>
      <c r="AG31" s="16" t="e">
        <f t="shared" si="41"/>
        <v>#VALUE!</v>
      </c>
      <c r="AH31" s="13" t="e">
        <f t="shared" si="41"/>
        <v>#VALUE!</v>
      </c>
      <c r="AI31" s="14" t="e">
        <f t="shared" si="41"/>
        <v>#VALUE!</v>
      </c>
      <c r="AJ31" s="14" t="e">
        <f t="shared" si="41"/>
        <v>#VALUE!</v>
      </c>
      <c r="AK31" s="14" t="e">
        <f t="shared" si="41"/>
        <v>#VALUE!</v>
      </c>
      <c r="AL31" s="14" t="e">
        <f t="shared" si="41"/>
        <v>#VALUE!</v>
      </c>
      <c r="AM31" s="15" t="e">
        <f t="shared" si="41"/>
        <v>#VALUE!</v>
      </c>
      <c r="AN31" s="16" t="e">
        <f t="shared" si="41"/>
        <v>#VALUE!</v>
      </c>
      <c r="AO31" s="13" t="e">
        <f t="shared" si="41"/>
        <v>#VALUE!</v>
      </c>
      <c r="AP31" s="14" t="e">
        <f t="shared" si="41"/>
        <v>#VALUE!</v>
      </c>
      <c r="AQ31" s="14" t="e">
        <f t="shared" si="41"/>
        <v>#VALUE!</v>
      </c>
      <c r="AR31" s="14" t="e">
        <f t="shared" si="41"/>
        <v>#VALUE!</v>
      </c>
      <c r="AS31" s="14" t="e">
        <f t="shared" si="41"/>
        <v>#VALUE!</v>
      </c>
      <c r="AT31" s="15" t="e">
        <f t="shared" si="41"/>
        <v>#VALUE!</v>
      </c>
      <c r="AU31" s="16" t="e">
        <f t="shared" si="41"/>
        <v>#VALUE!</v>
      </c>
      <c r="AV31" s="13" t="e">
        <f t="shared" si="41"/>
        <v>#VALUE!</v>
      </c>
      <c r="AW31" s="14" t="e">
        <f t="shared" si="41"/>
        <v>#VALUE!</v>
      </c>
      <c r="AX31" s="14" t="e">
        <f t="shared" si="41"/>
        <v>#VALUE!</v>
      </c>
      <c r="AY31" s="14" t="e">
        <f t="shared" si="41"/>
        <v>#VALUE!</v>
      </c>
      <c r="AZ31" s="14" t="e">
        <f t="shared" si="41"/>
        <v>#VALUE!</v>
      </c>
      <c r="BA31" s="15" t="e">
        <f t="shared" si="41"/>
        <v>#VALUE!</v>
      </c>
      <c r="BB31" s="16" t="e">
        <f t="shared" si="41"/>
        <v>#VALUE!</v>
      </c>
      <c r="BC31" s="13" t="e">
        <f t="shared" si="41"/>
        <v>#VALUE!</v>
      </c>
      <c r="BD31" s="14" t="e">
        <f t="shared" si="41"/>
        <v>#VALUE!</v>
      </c>
      <c r="BE31" s="14" t="e">
        <f t="shared" si="41"/>
        <v>#VALUE!</v>
      </c>
      <c r="BF31" s="14" t="e">
        <f t="shared" si="41"/>
        <v>#VALUE!</v>
      </c>
      <c r="BG31" s="14" t="e">
        <f t="shared" si="41"/>
        <v>#VALUE!</v>
      </c>
      <c r="BH31" s="15" t="e">
        <f t="shared" si="41"/>
        <v>#VALUE!</v>
      </c>
      <c r="BI31" s="16" t="e">
        <f t="shared" si="41"/>
        <v>#VALUE!</v>
      </c>
      <c r="BJ31" s="13" t="e">
        <f t="shared" si="41"/>
        <v>#VALUE!</v>
      </c>
      <c r="BK31" s="14" t="e">
        <f t="shared" si="41"/>
        <v>#VALUE!</v>
      </c>
      <c r="BL31" s="14" t="e">
        <f t="shared" si="41"/>
        <v>#VALUE!</v>
      </c>
      <c r="BM31" s="14" t="e">
        <f t="shared" si="41"/>
        <v>#VALUE!</v>
      </c>
      <c r="BN31" s="14" t="e">
        <f t="shared" si="41"/>
        <v>#VALUE!</v>
      </c>
      <c r="BO31" s="15" t="e">
        <f t="shared" si="41"/>
        <v>#VALUE!</v>
      </c>
      <c r="BP31" s="16" t="e">
        <f t="shared" si="41"/>
        <v>#VALUE!</v>
      </c>
      <c r="BQ31" s="13" t="e">
        <f t="shared" si="41"/>
        <v>#VALUE!</v>
      </c>
      <c r="BR31" s="14" t="e">
        <f t="shared" si="41"/>
        <v>#VALUE!</v>
      </c>
      <c r="BS31" s="14" t="e">
        <f t="shared" ref="BS31:DT31" si="42">IF(AND(BS$5&gt;=$C$16,BS$5&lt;=$E$17),1,"")</f>
        <v>#VALUE!</v>
      </c>
      <c r="BT31" s="14" t="e">
        <f t="shared" si="42"/>
        <v>#VALUE!</v>
      </c>
      <c r="BU31" s="14" t="e">
        <f t="shared" si="42"/>
        <v>#VALUE!</v>
      </c>
      <c r="BV31" s="15" t="e">
        <f t="shared" si="42"/>
        <v>#VALUE!</v>
      </c>
      <c r="BW31" s="16" t="e">
        <f t="shared" si="42"/>
        <v>#VALUE!</v>
      </c>
      <c r="BX31" s="13" t="e">
        <f t="shared" si="42"/>
        <v>#VALUE!</v>
      </c>
      <c r="BY31" s="14" t="e">
        <f t="shared" si="42"/>
        <v>#VALUE!</v>
      </c>
      <c r="BZ31" s="14" t="e">
        <f t="shared" si="42"/>
        <v>#VALUE!</v>
      </c>
      <c r="CA31" s="14" t="e">
        <f t="shared" si="42"/>
        <v>#VALUE!</v>
      </c>
      <c r="CB31" s="14" t="e">
        <f t="shared" si="42"/>
        <v>#VALUE!</v>
      </c>
      <c r="CC31" s="15" t="e">
        <f t="shared" si="42"/>
        <v>#VALUE!</v>
      </c>
      <c r="CD31" s="16" t="e">
        <f t="shared" si="42"/>
        <v>#VALUE!</v>
      </c>
      <c r="CE31" s="13" t="e">
        <f t="shared" si="42"/>
        <v>#VALUE!</v>
      </c>
      <c r="CF31" s="14" t="e">
        <f t="shared" si="42"/>
        <v>#VALUE!</v>
      </c>
      <c r="CG31" s="14" t="e">
        <f t="shared" si="42"/>
        <v>#VALUE!</v>
      </c>
      <c r="CH31" s="14" t="e">
        <f t="shared" si="42"/>
        <v>#VALUE!</v>
      </c>
      <c r="CI31" s="14" t="e">
        <f t="shared" si="42"/>
        <v>#VALUE!</v>
      </c>
      <c r="CJ31" s="15" t="e">
        <f t="shared" si="42"/>
        <v>#VALUE!</v>
      </c>
      <c r="CK31" s="16" t="e">
        <f t="shared" si="42"/>
        <v>#VALUE!</v>
      </c>
      <c r="CL31" s="13" t="e">
        <f t="shared" si="42"/>
        <v>#VALUE!</v>
      </c>
      <c r="CM31" s="14" t="e">
        <f t="shared" si="42"/>
        <v>#VALUE!</v>
      </c>
      <c r="CN31" s="14" t="e">
        <f t="shared" si="42"/>
        <v>#VALUE!</v>
      </c>
      <c r="CO31" s="14" t="e">
        <f t="shared" si="42"/>
        <v>#VALUE!</v>
      </c>
      <c r="CP31" s="14" t="e">
        <f t="shared" si="42"/>
        <v>#VALUE!</v>
      </c>
      <c r="CQ31" s="15" t="e">
        <f t="shared" si="42"/>
        <v>#VALUE!</v>
      </c>
      <c r="CR31" s="16" t="e">
        <f t="shared" si="42"/>
        <v>#VALUE!</v>
      </c>
      <c r="CS31" s="13" t="e">
        <f t="shared" si="42"/>
        <v>#VALUE!</v>
      </c>
      <c r="CT31" s="14" t="e">
        <f t="shared" si="42"/>
        <v>#VALUE!</v>
      </c>
      <c r="CU31" s="14" t="e">
        <f t="shared" si="42"/>
        <v>#VALUE!</v>
      </c>
      <c r="CV31" s="14" t="e">
        <f t="shared" si="42"/>
        <v>#VALUE!</v>
      </c>
      <c r="CW31" s="14" t="e">
        <f t="shared" si="42"/>
        <v>#VALUE!</v>
      </c>
      <c r="CX31" s="15" t="e">
        <f t="shared" si="42"/>
        <v>#VALUE!</v>
      </c>
      <c r="CY31" s="16" t="e">
        <f t="shared" si="42"/>
        <v>#VALUE!</v>
      </c>
      <c r="CZ31" s="13" t="e">
        <f t="shared" si="42"/>
        <v>#VALUE!</v>
      </c>
      <c r="DA31" s="14" t="e">
        <f t="shared" si="42"/>
        <v>#VALUE!</v>
      </c>
      <c r="DB31" s="14" t="e">
        <f t="shared" si="42"/>
        <v>#VALUE!</v>
      </c>
      <c r="DC31" s="14" t="e">
        <f t="shared" si="42"/>
        <v>#VALUE!</v>
      </c>
      <c r="DD31" s="14" t="e">
        <f t="shared" si="42"/>
        <v>#VALUE!</v>
      </c>
      <c r="DE31" s="15" t="e">
        <f t="shared" si="42"/>
        <v>#VALUE!</v>
      </c>
      <c r="DF31" s="16" t="e">
        <f t="shared" si="42"/>
        <v>#VALUE!</v>
      </c>
      <c r="DG31" s="13" t="e">
        <f t="shared" si="42"/>
        <v>#VALUE!</v>
      </c>
      <c r="DH31" s="14" t="e">
        <f t="shared" si="42"/>
        <v>#VALUE!</v>
      </c>
      <c r="DI31" s="14" t="e">
        <f t="shared" si="42"/>
        <v>#VALUE!</v>
      </c>
      <c r="DJ31" s="14" t="e">
        <f t="shared" si="42"/>
        <v>#VALUE!</v>
      </c>
      <c r="DK31" s="14" t="e">
        <f t="shared" si="42"/>
        <v>#VALUE!</v>
      </c>
      <c r="DL31" s="15" t="e">
        <f t="shared" si="42"/>
        <v>#VALUE!</v>
      </c>
      <c r="DM31" s="16" t="e">
        <f t="shared" si="42"/>
        <v>#VALUE!</v>
      </c>
      <c r="DN31" s="13" t="e">
        <f t="shared" si="42"/>
        <v>#VALUE!</v>
      </c>
      <c r="DO31" s="14" t="e">
        <f t="shared" si="42"/>
        <v>#VALUE!</v>
      </c>
      <c r="DP31" s="14" t="e">
        <f t="shared" si="42"/>
        <v>#VALUE!</v>
      </c>
      <c r="DQ31" s="14" t="e">
        <f t="shared" si="42"/>
        <v>#VALUE!</v>
      </c>
      <c r="DR31" s="14" t="e">
        <f t="shared" si="42"/>
        <v>#VALUE!</v>
      </c>
      <c r="DS31" s="15" t="e">
        <f t="shared" si="42"/>
        <v>#VALUE!</v>
      </c>
      <c r="DT31" s="16" t="e">
        <f t="shared" si="42"/>
        <v>#VALUE!</v>
      </c>
    </row>
    <row r="32" spans="1:124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603" t="s">
        <v>58</v>
      </c>
      <c r="B33" s="603"/>
      <c r="C33" s="604" t="e">
        <f>E23-C11+1</f>
        <v>#VALUE!</v>
      </c>
      <c r="D33" s="604"/>
      <c r="E33" s="605"/>
      <c r="F33" s="14" t="e">
        <f t="shared" ref="F33:BQ33" si="43">IF(AND(F$5&gt;=$C$11,F$5&lt;=$E$23),1,"")</f>
        <v>#VALUE!</v>
      </c>
      <c r="G33" s="14" t="e">
        <f t="shared" si="43"/>
        <v>#VALUE!</v>
      </c>
      <c r="H33" s="14" t="e">
        <f t="shared" si="43"/>
        <v>#VALUE!</v>
      </c>
      <c r="I33" s="14" t="e">
        <f t="shared" si="43"/>
        <v>#VALUE!</v>
      </c>
      <c r="J33" s="14" t="e">
        <f t="shared" si="43"/>
        <v>#VALUE!</v>
      </c>
      <c r="K33" s="15" t="e">
        <f t="shared" si="43"/>
        <v>#VALUE!</v>
      </c>
      <c r="L33" s="16" t="e">
        <f t="shared" si="43"/>
        <v>#VALUE!</v>
      </c>
      <c r="M33" s="13" t="e">
        <f t="shared" si="43"/>
        <v>#VALUE!</v>
      </c>
      <c r="N33" s="14" t="e">
        <f t="shared" si="43"/>
        <v>#VALUE!</v>
      </c>
      <c r="O33" s="14" t="e">
        <f t="shared" si="43"/>
        <v>#VALUE!</v>
      </c>
      <c r="P33" s="14" t="e">
        <f t="shared" si="43"/>
        <v>#VALUE!</v>
      </c>
      <c r="Q33" s="14" t="e">
        <f t="shared" si="43"/>
        <v>#VALUE!</v>
      </c>
      <c r="R33" s="15" t="e">
        <f t="shared" si="43"/>
        <v>#VALUE!</v>
      </c>
      <c r="S33" s="16" t="e">
        <f t="shared" si="43"/>
        <v>#VALUE!</v>
      </c>
      <c r="T33" s="13" t="e">
        <f t="shared" si="43"/>
        <v>#VALUE!</v>
      </c>
      <c r="U33" s="14" t="e">
        <f>IF(AND(U$5&gt;=$C$11,U$5&lt;=$E$23),1,"")</f>
        <v>#VALUE!</v>
      </c>
      <c r="V33" s="14" t="e">
        <f t="shared" si="43"/>
        <v>#VALUE!</v>
      </c>
      <c r="W33" s="14" t="e">
        <f t="shared" si="43"/>
        <v>#VALUE!</v>
      </c>
      <c r="X33" s="14" t="e">
        <f t="shared" si="43"/>
        <v>#VALUE!</v>
      </c>
      <c r="Y33" s="15" t="e">
        <f t="shared" si="43"/>
        <v>#VALUE!</v>
      </c>
      <c r="Z33" s="16" t="e">
        <f t="shared" si="43"/>
        <v>#VALUE!</v>
      </c>
      <c r="AA33" s="13" t="e">
        <f t="shared" si="43"/>
        <v>#VALUE!</v>
      </c>
      <c r="AB33" s="14" t="e">
        <f t="shared" si="43"/>
        <v>#VALUE!</v>
      </c>
      <c r="AC33" s="14" t="e">
        <f t="shared" si="43"/>
        <v>#VALUE!</v>
      </c>
      <c r="AD33" s="14" t="e">
        <f t="shared" si="43"/>
        <v>#VALUE!</v>
      </c>
      <c r="AE33" s="14" t="e">
        <f t="shared" si="43"/>
        <v>#VALUE!</v>
      </c>
      <c r="AF33" s="15" t="e">
        <f t="shared" si="43"/>
        <v>#VALUE!</v>
      </c>
      <c r="AG33" s="16" t="e">
        <f t="shared" si="43"/>
        <v>#VALUE!</v>
      </c>
      <c r="AH33" s="13" t="e">
        <f t="shared" si="43"/>
        <v>#VALUE!</v>
      </c>
      <c r="AI33" s="14" t="e">
        <f t="shared" si="43"/>
        <v>#VALUE!</v>
      </c>
      <c r="AJ33" s="14" t="e">
        <f t="shared" si="43"/>
        <v>#VALUE!</v>
      </c>
      <c r="AK33" s="14" t="e">
        <f t="shared" si="43"/>
        <v>#VALUE!</v>
      </c>
      <c r="AL33" s="14" t="e">
        <f t="shared" si="43"/>
        <v>#VALUE!</v>
      </c>
      <c r="AM33" s="15" t="e">
        <f t="shared" si="43"/>
        <v>#VALUE!</v>
      </c>
      <c r="AN33" s="16" t="e">
        <f t="shared" si="43"/>
        <v>#VALUE!</v>
      </c>
      <c r="AO33" s="13" t="e">
        <f t="shared" si="43"/>
        <v>#VALUE!</v>
      </c>
      <c r="AP33" s="14" t="e">
        <f t="shared" si="43"/>
        <v>#VALUE!</v>
      </c>
      <c r="AQ33" s="14" t="e">
        <f t="shared" si="43"/>
        <v>#VALUE!</v>
      </c>
      <c r="AR33" s="14" t="e">
        <f t="shared" si="43"/>
        <v>#VALUE!</v>
      </c>
      <c r="AS33" s="14" t="e">
        <f t="shared" si="43"/>
        <v>#VALUE!</v>
      </c>
      <c r="AT33" s="15" t="e">
        <f t="shared" si="43"/>
        <v>#VALUE!</v>
      </c>
      <c r="AU33" s="16" t="e">
        <f t="shared" si="43"/>
        <v>#VALUE!</v>
      </c>
      <c r="AV33" s="13" t="e">
        <f t="shared" si="43"/>
        <v>#VALUE!</v>
      </c>
      <c r="AW33" s="14" t="e">
        <f t="shared" si="43"/>
        <v>#VALUE!</v>
      </c>
      <c r="AX33" s="14" t="e">
        <f t="shared" si="43"/>
        <v>#VALUE!</v>
      </c>
      <c r="AY33" s="14" t="e">
        <f t="shared" si="43"/>
        <v>#VALUE!</v>
      </c>
      <c r="AZ33" s="14" t="e">
        <f t="shared" si="43"/>
        <v>#VALUE!</v>
      </c>
      <c r="BA33" s="15" t="e">
        <f t="shared" si="43"/>
        <v>#VALUE!</v>
      </c>
      <c r="BB33" s="16" t="e">
        <f t="shared" si="43"/>
        <v>#VALUE!</v>
      </c>
      <c r="BC33" s="13" t="e">
        <f t="shared" si="43"/>
        <v>#VALUE!</v>
      </c>
      <c r="BD33" s="14" t="e">
        <f t="shared" si="43"/>
        <v>#VALUE!</v>
      </c>
      <c r="BE33" s="14" t="e">
        <f t="shared" si="43"/>
        <v>#VALUE!</v>
      </c>
      <c r="BF33" s="14" t="e">
        <f t="shared" si="43"/>
        <v>#VALUE!</v>
      </c>
      <c r="BG33" s="14" t="e">
        <f t="shared" si="43"/>
        <v>#VALUE!</v>
      </c>
      <c r="BH33" s="15" t="e">
        <f t="shared" si="43"/>
        <v>#VALUE!</v>
      </c>
      <c r="BI33" s="16" t="e">
        <f t="shared" si="43"/>
        <v>#VALUE!</v>
      </c>
      <c r="BJ33" s="13" t="e">
        <f t="shared" si="43"/>
        <v>#VALUE!</v>
      </c>
      <c r="BK33" s="14" t="e">
        <f t="shared" si="43"/>
        <v>#VALUE!</v>
      </c>
      <c r="BL33" s="14" t="e">
        <f t="shared" si="43"/>
        <v>#VALUE!</v>
      </c>
      <c r="BM33" s="14" t="e">
        <f t="shared" si="43"/>
        <v>#VALUE!</v>
      </c>
      <c r="BN33" s="14" t="e">
        <f t="shared" si="43"/>
        <v>#VALUE!</v>
      </c>
      <c r="BO33" s="15" t="e">
        <f t="shared" si="43"/>
        <v>#VALUE!</v>
      </c>
      <c r="BP33" s="16" t="e">
        <f t="shared" si="43"/>
        <v>#VALUE!</v>
      </c>
      <c r="BQ33" s="13" t="e">
        <f t="shared" si="43"/>
        <v>#VALUE!</v>
      </c>
      <c r="BR33" s="14" t="e">
        <f t="shared" ref="BR33:DT33" si="44">IF(AND(BR$5&gt;=$C$11,BR$5&lt;=$E$23),1,"")</f>
        <v>#VALUE!</v>
      </c>
      <c r="BS33" s="14" t="e">
        <f t="shared" si="44"/>
        <v>#VALUE!</v>
      </c>
      <c r="BT33" s="14" t="e">
        <f t="shared" si="44"/>
        <v>#VALUE!</v>
      </c>
      <c r="BU33" s="14" t="e">
        <f t="shared" si="44"/>
        <v>#VALUE!</v>
      </c>
      <c r="BV33" s="15" t="e">
        <f t="shared" si="44"/>
        <v>#VALUE!</v>
      </c>
      <c r="BW33" s="16" t="e">
        <f t="shared" si="44"/>
        <v>#VALUE!</v>
      </c>
      <c r="BX33" s="13" t="e">
        <f t="shared" si="44"/>
        <v>#VALUE!</v>
      </c>
      <c r="BY33" s="14" t="e">
        <f t="shared" si="44"/>
        <v>#VALUE!</v>
      </c>
      <c r="BZ33" s="14" t="e">
        <f t="shared" si="44"/>
        <v>#VALUE!</v>
      </c>
      <c r="CA33" s="14" t="e">
        <f t="shared" si="44"/>
        <v>#VALUE!</v>
      </c>
      <c r="CB33" s="14" t="e">
        <f t="shared" si="44"/>
        <v>#VALUE!</v>
      </c>
      <c r="CC33" s="15" t="e">
        <f t="shared" si="44"/>
        <v>#VALUE!</v>
      </c>
      <c r="CD33" s="16" t="e">
        <f t="shared" si="44"/>
        <v>#VALUE!</v>
      </c>
      <c r="CE33" s="13" t="e">
        <f t="shared" si="44"/>
        <v>#VALUE!</v>
      </c>
      <c r="CF33" s="14" t="e">
        <f t="shared" si="44"/>
        <v>#VALUE!</v>
      </c>
      <c r="CG33" s="14" t="e">
        <f t="shared" si="44"/>
        <v>#VALUE!</v>
      </c>
      <c r="CH33" s="14" t="e">
        <f t="shared" si="44"/>
        <v>#VALUE!</v>
      </c>
      <c r="CI33" s="14" t="e">
        <f t="shared" si="44"/>
        <v>#VALUE!</v>
      </c>
      <c r="CJ33" s="15" t="e">
        <f t="shared" si="44"/>
        <v>#VALUE!</v>
      </c>
      <c r="CK33" s="16" t="e">
        <f t="shared" si="44"/>
        <v>#VALUE!</v>
      </c>
      <c r="CL33" s="13" t="e">
        <f t="shared" si="44"/>
        <v>#VALUE!</v>
      </c>
      <c r="CM33" s="14" t="e">
        <f t="shared" si="44"/>
        <v>#VALUE!</v>
      </c>
      <c r="CN33" s="14" t="e">
        <f t="shared" si="44"/>
        <v>#VALUE!</v>
      </c>
      <c r="CO33" s="14" t="e">
        <f t="shared" si="44"/>
        <v>#VALUE!</v>
      </c>
      <c r="CP33" s="14" t="e">
        <f t="shared" si="44"/>
        <v>#VALUE!</v>
      </c>
      <c r="CQ33" s="15" t="e">
        <f t="shared" si="44"/>
        <v>#VALUE!</v>
      </c>
      <c r="CR33" s="16" t="e">
        <f t="shared" si="44"/>
        <v>#VALUE!</v>
      </c>
      <c r="CS33" s="13" t="e">
        <f t="shared" si="44"/>
        <v>#VALUE!</v>
      </c>
      <c r="CT33" s="14" t="e">
        <f t="shared" si="44"/>
        <v>#VALUE!</v>
      </c>
      <c r="CU33" s="14" t="e">
        <f t="shared" si="44"/>
        <v>#VALUE!</v>
      </c>
      <c r="CV33" s="14" t="e">
        <f t="shared" si="44"/>
        <v>#VALUE!</v>
      </c>
      <c r="CW33" s="14" t="e">
        <f t="shared" si="44"/>
        <v>#VALUE!</v>
      </c>
      <c r="CX33" s="15" t="e">
        <f t="shared" si="44"/>
        <v>#VALUE!</v>
      </c>
      <c r="CY33" s="16" t="e">
        <f t="shared" si="44"/>
        <v>#VALUE!</v>
      </c>
      <c r="CZ33" s="13" t="e">
        <f t="shared" si="44"/>
        <v>#VALUE!</v>
      </c>
      <c r="DA33" s="14" t="e">
        <f t="shared" si="44"/>
        <v>#VALUE!</v>
      </c>
      <c r="DB33" s="14" t="e">
        <f t="shared" si="44"/>
        <v>#VALUE!</v>
      </c>
      <c r="DC33" s="14" t="e">
        <f t="shared" si="44"/>
        <v>#VALUE!</v>
      </c>
      <c r="DD33" s="14" t="e">
        <f t="shared" si="44"/>
        <v>#VALUE!</v>
      </c>
      <c r="DE33" s="15" t="e">
        <f t="shared" si="44"/>
        <v>#VALUE!</v>
      </c>
      <c r="DF33" s="16" t="e">
        <f t="shared" si="44"/>
        <v>#VALUE!</v>
      </c>
      <c r="DG33" s="13" t="e">
        <f t="shared" si="44"/>
        <v>#VALUE!</v>
      </c>
      <c r="DH33" s="14" t="e">
        <f t="shared" si="44"/>
        <v>#VALUE!</v>
      </c>
      <c r="DI33" s="14" t="e">
        <f t="shared" si="44"/>
        <v>#VALUE!</v>
      </c>
      <c r="DJ33" s="14" t="e">
        <f t="shared" si="44"/>
        <v>#VALUE!</v>
      </c>
      <c r="DK33" s="14" t="e">
        <f t="shared" si="44"/>
        <v>#VALUE!</v>
      </c>
      <c r="DL33" s="15" t="e">
        <f t="shared" si="44"/>
        <v>#VALUE!</v>
      </c>
      <c r="DM33" s="16" t="e">
        <f t="shared" si="44"/>
        <v>#VALUE!</v>
      </c>
      <c r="DN33" s="13" t="e">
        <f t="shared" si="44"/>
        <v>#VALUE!</v>
      </c>
      <c r="DO33" s="14" t="e">
        <f t="shared" si="44"/>
        <v>#VALUE!</v>
      </c>
      <c r="DP33" s="14" t="e">
        <f t="shared" si="44"/>
        <v>#VALUE!</v>
      </c>
      <c r="DQ33" s="14" t="e">
        <f t="shared" si="44"/>
        <v>#VALUE!</v>
      </c>
      <c r="DR33" s="14" t="e">
        <f t="shared" si="44"/>
        <v>#VALUE!</v>
      </c>
      <c r="DS33" s="15" t="e">
        <f t="shared" si="44"/>
        <v>#VALUE!</v>
      </c>
      <c r="DT33" s="16" t="e">
        <f t="shared" si="44"/>
        <v>#VALUE!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91" t="s">
        <v>59</v>
      </c>
      <c r="B35" s="591"/>
      <c r="C35" s="592" t="e">
        <f>E23-C8+1</f>
        <v>#VALUE!</v>
      </c>
      <c r="D35" s="592"/>
      <c r="E35" s="593"/>
      <c r="F35" s="14" t="e">
        <f t="shared" ref="F35:BQ35" si="45">IF(AND(F$5&gt;=$C$8,F$5&lt;=$E$23),1,"")</f>
        <v>#VALUE!</v>
      </c>
      <c r="G35" s="14" t="e">
        <f t="shared" si="45"/>
        <v>#VALUE!</v>
      </c>
      <c r="H35" s="14" t="e">
        <f t="shared" si="45"/>
        <v>#VALUE!</v>
      </c>
      <c r="I35" s="14" t="e">
        <f t="shared" si="45"/>
        <v>#VALUE!</v>
      </c>
      <c r="J35" s="14" t="e">
        <f t="shared" si="45"/>
        <v>#VALUE!</v>
      </c>
      <c r="K35" s="15" t="e">
        <f t="shared" si="45"/>
        <v>#VALUE!</v>
      </c>
      <c r="L35" s="16" t="e">
        <f>IF(AND(L$5&gt;=$C$8,L$5&lt;=$E$23),1,"")</f>
        <v>#VALUE!</v>
      </c>
      <c r="M35" s="13" t="e">
        <f t="shared" si="45"/>
        <v>#VALUE!</v>
      </c>
      <c r="N35" s="14" t="e">
        <f t="shared" si="45"/>
        <v>#VALUE!</v>
      </c>
      <c r="O35" s="14" t="e">
        <f t="shared" si="45"/>
        <v>#VALUE!</v>
      </c>
      <c r="P35" s="14" t="e">
        <f t="shared" si="45"/>
        <v>#VALUE!</v>
      </c>
      <c r="Q35" s="14" t="e">
        <f t="shared" si="45"/>
        <v>#VALUE!</v>
      </c>
      <c r="R35" s="15" t="e">
        <f t="shared" si="45"/>
        <v>#VALUE!</v>
      </c>
      <c r="S35" s="16" t="e">
        <f t="shared" si="45"/>
        <v>#VALUE!</v>
      </c>
      <c r="T35" s="13" t="e">
        <f t="shared" si="45"/>
        <v>#VALUE!</v>
      </c>
      <c r="U35" s="14" t="e">
        <f t="shared" si="45"/>
        <v>#VALUE!</v>
      </c>
      <c r="V35" s="14" t="e">
        <f t="shared" si="45"/>
        <v>#VALUE!</v>
      </c>
      <c r="W35" s="14" t="e">
        <f t="shared" si="45"/>
        <v>#VALUE!</v>
      </c>
      <c r="X35" s="14" t="e">
        <f t="shared" si="45"/>
        <v>#VALUE!</v>
      </c>
      <c r="Y35" s="15" t="e">
        <f t="shared" si="45"/>
        <v>#VALUE!</v>
      </c>
      <c r="Z35" s="16" t="e">
        <f t="shared" si="45"/>
        <v>#VALUE!</v>
      </c>
      <c r="AA35" s="13" t="e">
        <f t="shared" si="45"/>
        <v>#VALUE!</v>
      </c>
      <c r="AB35" s="14" t="e">
        <f t="shared" si="45"/>
        <v>#VALUE!</v>
      </c>
      <c r="AC35" s="14" t="e">
        <f t="shared" si="45"/>
        <v>#VALUE!</v>
      </c>
      <c r="AD35" s="14" t="e">
        <f t="shared" si="45"/>
        <v>#VALUE!</v>
      </c>
      <c r="AE35" s="14" t="e">
        <f t="shared" si="45"/>
        <v>#VALUE!</v>
      </c>
      <c r="AF35" s="15" t="e">
        <f t="shared" si="45"/>
        <v>#VALUE!</v>
      </c>
      <c r="AG35" s="16" t="e">
        <f t="shared" si="45"/>
        <v>#VALUE!</v>
      </c>
      <c r="AH35" s="13" t="e">
        <f t="shared" si="45"/>
        <v>#VALUE!</v>
      </c>
      <c r="AI35" s="14" t="e">
        <f t="shared" si="45"/>
        <v>#VALUE!</v>
      </c>
      <c r="AJ35" s="14" t="e">
        <f t="shared" si="45"/>
        <v>#VALUE!</v>
      </c>
      <c r="AK35" s="14" t="e">
        <f t="shared" si="45"/>
        <v>#VALUE!</v>
      </c>
      <c r="AL35" s="14" t="e">
        <f t="shared" si="45"/>
        <v>#VALUE!</v>
      </c>
      <c r="AM35" s="15" t="e">
        <f t="shared" si="45"/>
        <v>#VALUE!</v>
      </c>
      <c r="AN35" s="16" t="e">
        <f t="shared" si="45"/>
        <v>#VALUE!</v>
      </c>
      <c r="AO35" s="13" t="e">
        <f t="shared" si="45"/>
        <v>#VALUE!</v>
      </c>
      <c r="AP35" s="14" t="e">
        <f t="shared" si="45"/>
        <v>#VALUE!</v>
      </c>
      <c r="AQ35" s="14" t="e">
        <f t="shared" si="45"/>
        <v>#VALUE!</v>
      </c>
      <c r="AR35" s="14" t="e">
        <f t="shared" si="45"/>
        <v>#VALUE!</v>
      </c>
      <c r="AS35" s="14" t="e">
        <f t="shared" si="45"/>
        <v>#VALUE!</v>
      </c>
      <c r="AT35" s="15" t="e">
        <f t="shared" si="45"/>
        <v>#VALUE!</v>
      </c>
      <c r="AU35" s="16" t="e">
        <f t="shared" si="45"/>
        <v>#VALUE!</v>
      </c>
      <c r="AV35" s="13" t="e">
        <f t="shared" si="45"/>
        <v>#VALUE!</v>
      </c>
      <c r="AW35" s="14" t="e">
        <f t="shared" si="45"/>
        <v>#VALUE!</v>
      </c>
      <c r="AX35" s="14" t="e">
        <f t="shared" si="45"/>
        <v>#VALUE!</v>
      </c>
      <c r="AY35" s="14" t="e">
        <f t="shared" si="45"/>
        <v>#VALUE!</v>
      </c>
      <c r="AZ35" s="14" t="e">
        <f t="shared" si="45"/>
        <v>#VALUE!</v>
      </c>
      <c r="BA35" s="15" t="e">
        <f t="shared" si="45"/>
        <v>#VALUE!</v>
      </c>
      <c r="BB35" s="16" t="e">
        <f t="shared" si="45"/>
        <v>#VALUE!</v>
      </c>
      <c r="BC35" s="13" t="e">
        <f t="shared" si="45"/>
        <v>#VALUE!</v>
      </c>
      <c r="BD35" s="14" t="e">
        <f t="shared" si="45"/>
        <v>#VALUE!</v>
      </c>
      <c r="BE35" s="14" t="e">
        <f t="shared" si="45"/>
        <v>#VALUE!</v>
      </c>
      <c r="BF35" s="14" t="e">
        <f t="shared" si="45"/>
        <v>#VALUE!</v>
      </c>
      <c r="BG35" s="14" t="e">
        <f t="shared" si="45"/>
        <v>#VALUE!</v>
      </c>
      <c r="BH35" s="15" t="e">
        <f t="shared" si="45"/>
        <v>#VALUE!</v>
      </c>
      <c r="BI35" s="16" t="e">
        <f t="shared" si="45"/>
        <v>#VALUE!</v>
      </c>
      <c r="BJ35" s="13" t="e">
        <f t="shared" si="45"/>
        <v>#VALUE!</v>
      </c>
      <c r="BK35" s="14" t="e">
        <f t="shared" si="45"/>
        <v>#VALUE!</v>
      </c>
      <c r="BL35" s="14" t="e">
        <f t="shared" si="45"/>
        <v>#VALUE!</v>
      </c>
      <c r="BM35" s="14" t="e">
        <f t="shared" si="45"/>
        <v>#VALUE!</v>
      </c>
      <c r="BN35" s="14" t="e">
        <f t="shared" si="45"/>
        <v>#VALUE!</v>
      </c>
      <c r="BO35" s="15" t="e">
        <f t="shared" si="45"/>
        <v>#VALUE!</v>
      </c>
      <c r="BP35" s="16" t="e">
        <f t="shared" si="45"/>
        <v>#VALUE!</v>
      </c>
      <c r="BQ35" s="13" t="e">
        <f t="shared" si="45"/>
        <v>#VALUE!</v>
      </c>
      <c r="BR35" s="14" t="e">
        <f t="shared" ref="BR35:DT35" si="46">IF(AND(BR$5&gt;=$C$8,BR$5&lt;=$E$23),1,"")</f>
        <v>#VALUE!</v>
      </c>
      <c r="BS35" s="14" t="e">
        <f t="shared" si="46"/>
        <v>#VALUE!</v>
      </c>
      <c r="BT35" s="14" t="e">
        <f t="shared" si="46"/>
        <v>#VALUE!</v>
      </c>
      <c r="BU35" s="14" t="e">
        <f t="shared" si="46"/>
        <v>#VALUE!</v>
      </c>
      <c r="BV35" s="15" t="e">
        <f t="shared" si="46"/>
        <v>#VALUE!</v>
      </c>
      <c r="BW35" s="16" t="e">
        <f t="shared" si="46"/>
        <v>#VALUE!</v>
      </c>
      <c r="BX35" s="13" t="e">
        <f t="shared" si="46"/>
        <v>#VALUE!</v>
      </c>
      <c r="BY35" s="14" t="e">
        <f t="shared" si="46"/>
        <v>#VALUE!</v>
      </c>
      <c r="BZ35" s="14" t="e">
        <f t="shared" si="46"/>
        <v>#VALUE!</v>
      </c>
      <c r="CA35" s="14" t="e">
        <f t="shared" si="46"/>
        <v>#VALUE!</v>
      </c>
      <c r="CB35" s="14" t="e">
        <f t="shared" si="46"/>
        <v>#VALUE!</v>
      </c>
      <c r="CC35" s="15" t="e">
        <f t="shared" si="46"/>
        <v>#VALUE!</v>
      </c>
      <c r="CD35" s="16" t="e">
        <f t="shared" si="46"/>
        <v>#VALUE!</v>
      </c>
      <c r="CE35" s="13" t="e">
        <f t="shared" si="46"/>
        <v>#VALUE!</v>
      </c>
      <c r="CF35" s="14" t="e">
        <f t="shared" si="46"/>
        <v>#VALUE!</v>
      </c>
      <c r="CG35" s="14" t="e">
        <f t="shared" si="46"/>
        <v>#VALUE!</v>
      </c>
      <c r="CH35" s="14" t="e">
        <f t="shared" si="46"/>
        <v>#VALUE!</v>
      </c>
      <c r="CI35" s="14" t="e">
        <f t="shared" si="46"/>
        <v>#VALUE!</v>
      </c>
      <c r="CJ35" s="15" t="e">
        <f t="shared" si="46"/>
        <v>#VALUE!</v>
      </c>
      <c r="CK35" s="16" t="e">
        <f t="shared" si="46"/>
        <v>#VALUE!</v>
      </c>
      <c r="CL35" s="13" t="e">
        <f t="shared" si="46"/>
        <v>#VALUE!</v>
      </c>
      <c r="CM35" s="14" t="e">
        <f t="shared" si="46"/>
        <v>#VALUE!</v>
      </c>
      <c r="CN35" s="14" t="e">
        <f t="shared" si="46"/>
        <v>#VALUE!</v>
      </c>
      <c r="CO35" s="14" t="e">
        <f t="shared" si="46"/>
        <v>#VALUE!</v>
      </c>
      <c r="CP35" s="14" t="e">
        <f t="shared" si="46"/>
        <v>#VALUE!</v>
      </c>
      <c r="CQ35" s="15" t="e">
        <f t="shared" si="46"/>
        <v>#VALUE!</v>
      </c>
      <c r="CR35" s="16" t="e">
        <f t="shared" si="46"/>
        <v>#VALUE!</v>
      </c>
      <c r="CS35" s="13" t="e">
        <f t="shared" si="46"/>
        <v>#VALUE!</v>
      </c>
      <c r="CT35" s="14" t="e">
        <f t="shared" si="46"/>
        <v>#VALUE!</v>
      </c>
      <c r="CU35" s="14" t="e">
        <f t="shared" si="46"/>
        <v>#VALUE!</v>
      </c>
      <c r="CV35" s="14" t="e">
        <f t="shared" si="46"/>
        <v>#VALUE!</v>
      </c>
      <c r="CW35" s="14" t="e">
        <f t="shared" si="46"/>
        <v>#VALUE!</v>
      </c>
      <c r="CX35" s="15" t="e">
        <f t="shared" si="46"/>
        <v>#VALUE!</v>
      </c>
      <c r="CY35" s="16" t="e">
        <f t="shared" si="46"/>
        <v>#VALUE!</v>
      </c>
      <c r="CZ35" s="13" t="e">
        <f t="shared" si="46"/>
        <v>#VALUE!</v>
      </c>
      <c r="DA35" s="14" t="e">
        <f t="shared" si="46"/>
        <v>#VALUE!</v>
      </c>
      <c r="DB35" s="14" t="e">
        <f t="shared" si="46"/>
        <v>#VALUE!</v>
      </c>
      <c r="DC35" s="14" t="e">
        <f t="shared" si="46"/>
        <v>#VALUE!</v>
      </c>
      <c r="DD35" s="14" t="e">
        <f t="shared" si="46"/>
        <v>#VALUE!</v>
      </c>
      <c r="DE35" s="15" t="e">
        <f t="shared" si="46"/>
        <v>#VALUE!</v>
      </c>
      <c r="DF35" s="16" t="e">
        <f t="shared" si="46"/>
        <v>#VALUE!</v>
      </c>
      <c r="DG35" s="13" t="e">
        <f t="shared" si="46"/>
        <v>#VALUE!</v>
      </c>
      <c r="DH35" s="14" t="e">
        <f t="shared" si="46"/>
        <v>#VALUE!</v>
      </c>
      <c r="DI35" s="14" t="e">
        <f t="shared" si="46"/>
        <v>#VALUE!</v>
      </c>
      <c r="DJ35" s="14" t="e">
        <f t="shared" si="46"/>
        <v>#VALUE!</v>
      </c>
      <c r="DK35" s="14" t="e">
        <f t="shared" si="46"/>
        <v>#VALUE!</v>
      </c>
      <c r="DL35" s="15" t="e">
        <f t="shared" si="46"/>
        <v>#VALUE!</v>
      </c>
      <c r="DM35" s="16" t="e">
        <f t="shared" si="46"/>
        <v>#VALUE!</v>
      </c>
      <c r="DN35" s="13" t="e">
        <f t="shared" si="46"/>
        <v>#VALUE!</v>
      </c>
      <c r="DO35" s="14" t="e">
        <f t="shared" si="46"/>
        <v>#VALUE!</v>
      </c>
      <c r="DP35" s="14" t="e">
        <f t="shared" si="46"/>
        <v>#VALUE!</v>
      </c>
      <c r="DQ35" s="14" t="e">
        <f t="shared" si="46"/>
        <v>#VALUE!</v>
      </c>
      <c r="DR35" s="14" t="e">
        <f t="shared" si="46"/>
        <v>#VALUE!</v>
      </c>
      <c r="DS35" s="15" t="e">
        <f t="shared" si="46"/>
        <v>#VALUE!</v>
      </c>
      <c r="DT35" s="16" t="e">
        <f t="shared" si="46"/>
        <v>#VALUE!</v>
      </c>
    </row>
    <row r="36" spans="1:124" ht="2.1" customHeight="1"/>
    <row r="37" spans="1:124" s="17" customFormat="1" ht="15" customHeight="1">
      <c r="A37" s="594" t="s">
        <v>60</v>
      </c>
      <c r="B37" s="594"/>
      <c r="C37" s="595" t="e">
        <f>E23-IF(B1="SFK Freight Forwarder",C11,C8)+1</f>
        <v>#VALUE!</v>
      </c>
      <c r="D37" s="595"/>
      <c r="E37" s="596"/>
      <c r="F37" s="14" t="e">
        <f t="shared" ref="F37:K37" si="47">IF($B$1="SFK Freight Forwarder",IF(AND(F$5&gt;=$C$11,F$5&lt;=$E$23),1,""),IF(AND(F$5&gt;=$C$8,F$5&lt;=$E$23),1,""))</f>
        <v>#VALUE!</v>
      </c>
      <c r="G37" s="14" t="e">
        <f t="shared" si="47"/>
        <v>#VALUE!</v>
      </c>
      <c r="H37" s="14" t="e">
        <f t="shared" si="47"/>
        <v>#VALUE!</v>
      </c>
      <c r="I37" s="14" t="e">
        <f t="shared" si="47"/>
        <v>#VALUE!</v>
      </c>
      <c r="J37" s="14" t="e">
        <f t="shared" si="47"/>
        <v>#VALUE!</v>
      </c>
      <c r="K37" s="15" t="e">
        <f t="shared" si="47"/>
        <v>#VALUE!</v>
      </c>
      <c r="L37" s="94" t="e">
        <f>IF($B$1="SFK Freight Forwarder",IF(AND(L$5&gt;=$C$11,L$5&lt;=$E$23),1,""),IF(AND(L$5&gt;=$C$8,L$5&lt;=$E$23),1,""))</f>
        <v>#VALUE!</v>
      </c>
      <c r="M37" s="13" t="e">
        <f t="shared" ref="M37:BX37" si="48">IF($B$1="SFK Freight Forwarder",IF(AND(M$5&gt;=$C$11,M$5&lt;=$E$23),1,""),IF(AND(M$5&gt;=$C$8,M$5&lt;=$E$23),1,""))</f>
        <v>#VALUE!</v>
      </c>
      <c r="N37" s="14" t="e">
        <f t="shared" si="48"/>
        <v>#VALUE!</v>
      </c>
      <c r="O37" s="14" t="e">
        <f t="shared" si="48"/>
        <v>#VALUE!</v>
      </c>
      <c r="P37" s="14" t="e">
        <f t="shared" si="48"/>
        <v>#VALUE!</v>
      </c>
      <c r="Q37" s="14" t="e">
        <f t="shared" si="48"/>
        <v>#VALUE!</v>
      </c>
      <c r="R37" s="15" t="e">
        <f t="shared" si="48"/>
        <v>#VALUE!</v>
      </c>
      <c r="S37" s="16" t="e">
        <f t="shared" si="48"/>
        <v>#VALUE!</v>
      </c>
      <c r="T37" s="13" t="e">
        <f t="shared" si="48"/>
        <v>#VALUE!</v>
      </c>
      <c r="U37" s="14" t="e">
        <f t="shared" si="48"/>
        <v>#VALUE!</v>
      </c>
      <c r="V37" s="14" t="e">
        <f t="shared" si="48"/>
        <v>#VALUE!</v>
      </c>
      <c r="W37" s="14" t="e">
        <f t="shared" si="48"/>
        <v>#VALUE!</v>
      </c>
      <c r="X37" s="14" t="e">
        <f t="shared" si="48"/>
        <v>#VALUE!</v>
      </c>
      <c r="Y37" s="15" t="e">
        <f t="shared" si="48"/>
        <v>#VALUE!</v>
      </c>
      <c r="Z37" s="16" t="e">
        <f t="shared" si="48"/>
        <v>#VALUE!</v>
      </c>
      <c r="AA37" s="13" t="e">
        <f t="shared" si="48"/>
        <v>#VALUE!</v>
      </c>
      <c r="AB37" s="14" t="e">
        <f t="shared" si="48"/>
        <v>#VALUE!</v>
      </c>
      <c r="AC37" s="14" t="e">
        <f t="shared" si="48"/>
        <v>#VALUE!</v>
      </c>
      <c r="AD37" s="14" t="e">
        <f t="shared" si="48"/>
        <v>#VALUE!</v>
      </c>
      <c r="AE37" s="14" t="e">
        <f t="shared" si="48"/>
        <v>#VALUE!</v>
      </c>
      <c r="AF37" s="15" t="e">
        <f t="shared" si="48"/>
        <v>#VALUE!</v>
      </c>
      <c r="AG37" s="16" t="e">
        <f t="shared" si="48"/>
        <v>#VALUE!</v>
      </c>
      <c r="AH37" s="13" t="e">
        <f t="shared" si="48"/>
        <v>#VALUE!</v>
      </c>
      <c r="AI37" s="14" t="e">
        <f t="shared" si="48"/>
        <v>#VALUE!</v>
      </c>
      <c r="AJ37" s="14" t="e">
        <f t="shared" si="48"/>
        <v>#VALUE!</v>
      </c>
      <c r="AK37" s="14" t="e">
        <f t="shared" si="48"/>
        <v>#VALUE!</v>
      </c>
      <c r="AL37" s="14" t="e">
        <f t="shared" si="48"/>
        <v>#VALUE!</v>
      </c>
      <c r="AM37" s="15" t="e">
        <f t="shared" si="48"/>
        <v>#VALUE!</v>
      </c>
      <c r="AN37" s="16" t="e">
        <f t="shared" si="48"/>
        <v>#VALUE!</v>
      </c>
      <c r="AO37" s="13" t="e">
        <f t="shared" si="48"/>
        <v>#VALUE!</v>
      </c>
      <c r="AP37" s="14" t="e">
        <f t="shared" si="48"/>
        <v>#VALUE!</v>
      </c>
      <c r="AQ37" s="14" t="e">
        <f t="shared" si="48"/>
        <v>#VALUE!</v>
      </c>
      <c r="AR37" s="14" t="e">
        <f t="shared" si="48"/>
        <v>#VALUE!</v>
      </c>
      <c r="AS37" s="14" t="e">
        <f t="shared" si="48"/>
        <v>#VALUE!</v>
      </c>
      <c r="AT37" s="15" t="e">
        <f t="shared" si="48"/>
        <v>#VALUE!</v>
      </c>
      <c r="AU37" s="16" t="e">
        <f t="shared" si="48"/>
        <v>#VALUE!</v>
      </c>
      <c r="AV37" s="13" t="e">
        <f t="shared" si="48"/>
        <v>#VALUE!</v>
      </c>
      <c r="AW37" s="14" t="e">
        <f t="shared" si="48"/>
        <v>#VALUE!</v>
      </c>
      <c r="AX37" s="14" t="e">
        <f t="shared" si="48"/>
        <v>#VALUE!</v>
      </c>
      <c r="AY37" s="14" t="e">
        <f t="shared" si="48"/>
        <v>#VALUE!</v>
      </c>
      <c r="AZ37" s="14" t="e">
        <f t="shared" si="48"/>
        <v>#VALUE!</v>
      </c>
      <c r="BA37" s="15" t="e">
        <f t="shared" si="48"/>
        <v>#VALUE!</v>
      </c>
      <c r="BB37" s="16" t="e">
        <f t="shared" si="48"/>
        <v>#VALUE!</v>
      </c>
      <c r="BC37" s="13" t="e">
        <f t="shared" si="48"/>
        <v>#VALUE!</v>
      </c>
      <c r="BD37" s="14" t="e">
        <f t="shared" si="48"/>
        <v>#VALUE!</v>
      </c>
      <c r="BE37" s="14" t="e">
        <f t="shared" si="48"/>
        <v>#VALUE!</v>
      </c>
      <c r="BF37" s="14" t="e">
        <f t="shared" si="48"/>
        <v>#VALUE!</v>
      </c>
      <c r="BG37" s="14" t="e">
        <f t="shared" si="48"/>
        <v>#VALUE!</v>
      </c>
      <c r="BH37" s="15" t="e">
        <f t="shared" si="48"/>
        <v>#VALUE!</v>
      </c>
      <c r="BI37" s="16" t="e">
        <f t="shared" si="48"/>
        <v>#VALUE!</v>
      </c>
      <c r="BJ37" s="13" t="e">
        <f t="shared" si="48"/>
        <v>#VALUE!</v>
      </c>
      <c r="BK37" s="14" t="e">
        <f t="shared" si="48"/>
        <v>#VALUE!</v>
      </c>
      <c r="BL37" s="14" t="e">
        <f t="shared" si="48"/>
        <v>#VALUE!</v>
      </c>
      <c r="BM37" s="14" t="e">
        <f t="shared" si="48"/>
        <v>#VALUE!</v>
      </c>
      <c r="BN37" s="14" t="e">
        <f t="shared" si="48"/>
        <v>#VALUE!</v>
      </c>
      <c r="BO37" s="15" t="e">
        <f t="shared" si="48"/>
        <v>#VALUE!</v>
      </c>
      <c r="BP37" s="16" t="e">
        <f t="shared" si="48"/>
        <v>#VALUE!</v>
      </c>
      <c r="BQ37" s="13" t="e">
        <f t="shared" si="48"/>
        <v>#VALUE!</v>
      </c>
      <c r="BR37" s="14" t="e">
        <f t="shared" si="48"/>
        <v>#VALUE!</v>
      </c>
      <c r="BS37" s="14" t="e">
        <f t="shared" si="48"/>
        <v>#VALUE!</v>
      </c>
      <c r="BT37" s="14" t="e">
        <f t="shared" si="48"/>
        <v>#VALUE!</v>
      </c>
      <c r="BU37" s="14" t="e">
        <f t="shared" si="48"/>
        <v>#VALUE!</v>
      </c>
      <c r="BV37" s="15" t="e">
        <f t="shared" si="48"/>
        <v>#VALUE!</v>
      </c>
      <c r="BW37" s="16" t="e">
        <f t="shared" si="48"/>
        <v>#VALUE!</v>
      </c>
      <c r="BX37" s="13" t="e">
        <f t="shared" si="48"/>
        <v>#VALUE!</v>
      </c>
      <c r="BY37" s="14" t="e">
        <f t="shared" ref="BY37:DT37" si="49">IF($B$1="SFK Freight Forwarder",IF(AND(BY$5&gt;=$C$11,BY$5&lt;=$E$23),1,""),IF(AND(BY$5&gt;=$C$8,BY$5&lt;=$E$23),1,""))</f>
        <v>#VALUE!</v>
      </c>
      <c r="BZ37" s="14" t="e">
        <f t="shared" si="49"/>
        <v>#VALUE!</v>
      </c>
      <c r="CA37" s="14" t="e">
        <f t="shared" si="49"/>
        <v>#VALUE!</v>
      </c>
      <c r="CB37" s="14" t="e">
        <f t="shared" si="49"/>
        <v>#VALUE!</v>
      </c>
      <c r="CC37" s="15" t="e">
        <f t="shared" si="49"/>
        <v>#VALUE!</v>
      </c>
      <c r="CD37" s="16" t="e">
        <f t="shared" si="49"/>
        <v>#VALUE!</v>
      </c>
      <c r="CE37" s="13" t="e">
        <f t="shared" si="49"/>
        <v>#VALUE!</v>
      </c>
      <c r="CF37" s="14" t="e">
        <f t="shared" si="49"/>
        <v>#VALUE!</v>
      </c>
      <c r="CG37" s="14" t="e">
        <f t="shared" si="49"/>
        <v>#VALUE!</v>
      </c>
      <c r="CH37" s="14" t="e">
        <f t="shared" si="49"/>
        <v>#VALUE!</v>
      </c>
      <c r="CI37" s="14" t="e">
        <f t="shared" si="49"/>
        <v>#VALUE!</v>
      </c>
      <c r="CJ37" s="15" t="e">
        <f t="shared" si="49"/>
        <v>#VALUE!</v>
      </c>
      <c r="CK37" s="16" t="e">
        <f t="shared" si="49"/>
        <v>#VALUE!</v>
      </c>
      <c r="CL37" s="13" t="e">
        <f t="shared" si="49"/>
        <v>#VALUE!</v>
      </c>
      <c r="CM37" s="14" t="e">
        <f t="shared" si="49"/>
        <v>#VALUE!</v>
      </c>
      <c r="CN37" s="14" t="e">
        <f t="shared" si="49"/>
        <v>#VALUE!</v>
      </c>
      <c r="CO37" s="14" t="e">
        <f t="shared" si="49"/>
        <v>#VALUE!</v>
      </c>
      <c r="CP37" s="14" t="e">
        <f t="shared" si="49"/>
        <v>#VALUE!</v>
      </c>
      <c r="CQ37" s="15" t="e">
        <f t="shared" si="49"/>
        <v>#VALUE!</v>
      </c>
      <c r="CR37" s="16" t="e">
        <f t="shared" si="49"/>
        <v>#VALUE!</v>
      </c>
      <c r="CS37" s="13" t="e">
        <f t="shared" si="49"/>
        <v>#VALUE!</v>
      </c>
      <c r="CT37" s="14" t="e">
        <f t="shared" si="49"/>
        <v>#VALUE!</v>
      </c>
      <c r="CU37" s="14" t="e">
        <f t="shared" si="49"/>
        <v>#VALUE!</v>
      </c>
      <c r="CV37" s="14" t="e">
        <f t="shared" si="49"/>
        <v>#VALUE!</v>
      </c>
      <c r="CW37" s="14" t="e">
        <f t="shared" si="49"/>
        <v>#VALUE!</v>
      </c>
      <c r="CX37" s="15" t="e">
        <f t="shared" si="49"/>
        <v>#VALUE!</v>
      </c>
      <c r="CY37" s="16" t="e">
        <f t="shared" si="49"/>
        <v>#VALUE!</v>
      </c>
      <c r="CZ37" s="13" t="e">
        <f t="shared" si="49"/>
        <v>#VALUE!</v>
      </c>
      <c r="DA37" s="14" t="e">
        <f t="shared" si="49"/>
        <v>#VALUE!</v>
      </c>
      <c r="DB37" s="14" t="e">
        <f t="shared" si="49"/>
        <v>#VALUE!</v>
      </c>
      <c r="DC37" s="14" t="e">
        <f t="shared" si="49"/>
        <v>#VALUE!</v>
      </c>
      <c r="DD37" s="14" t="e">
        <f t="shared" si="49"/>
        <v>#VALUE!</v>
      </c>
      <c r="DE37" s="15" t="e">
        <f t="shared" si="49"/>
        <v>#VALUE!</v>
      </c>
      <c r="DF37" s="16" t="e">
        <f t="shared" si="49"/>
        <v>#VALUE!</v>
      </c>
      <c r="DG37" s="13" t="e">
        <f t="shared" si="49"/>
        <v>#VALUE!</v>
      </c>
      <c r="DH37" s="14" t="e">
        <f t="shared" si="49"/>
        <v>#VALUE!</v>
      </c>
      <c r="DI37" s="14" t="e">
        <f t="shared" si="49"/>
        <v>#VALUE!</v>
      </c>
      <c r="DJ37" s="14" t="e">
        <f t="shared" si="49"/>
        <v>#VALUE!</v>
      </c>
      <c r="DK37" s="14" t="e">
        <f t="shared" si="49"/>
        <v>#VALUE!</v>
      </c>
      <c r="DL37" s="15" t="e">
        <f t="shared" si="49"/>
        <v>#VALUE!</v>
      </c>
      <c r="DM37" s="16" t="e">
        <f t="shared" si="49"/>
        <v>#VALUE!</v>
      </c>
      <c r="DN37" s="13" t="e">
        <f t="shared" si="49"/>
        <v>#VALUE!</v>
      </c>
      <c r="DO37" s="14" t="e">
        <f t="shared" si="49"/>
        <v>#VALUE!</v>
      </c>
      <c r="DP37" s="14" t="e">
        <f t="shared" si="49"/>
        <v>#VALUE!</v>
      </c>
      <c r="DQ37" s="14" t="e">
        <f t="shared" si="49"/>
        <v>#VALUE!</v>
      </c>
      <c r="DR37" s="14" t="e">
        <f t="shared" si="49"/>
        <v>#VALUE!</v>
      </c>
      <c r="DS37" s="15" t="e">
        <f t="shared" si="49"/>
        <v>#VALUE!</v>
      </c>
      <c r="DT37" s="16" t="e">
        <f t="shared" si="49"/>
        <v>#VALUE!</v>
      </c>
    </row>
  </sheetData>
  <sheetProtection algorithmName="SHA-512" hashValue="s8tmhxNn+RLEGRizCu6UbTH/Oil7JdwZwq4ZUqWrunqkzVoUf0M/VZkiCEVUVkFCcDZBWn3xtUnREQmexy/nsQ==" saltValue="oUVRIw5BV6HXDkEJk5VLLQ==" spinCount="100000" sheet="1" sort="0" autoFilter="0" pivotTables="0"/>
  <mergeCells count="56"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  <mergeCell ref="C5:E5"/>
    <mergeCell ref="C6:E6"/>
    <mergeCell ref="A8:A18"/>
    <mergeCell ref="A19:A20"/>
    <mergeCell ref="A27:B27"/>
    <mergeCell ref="C27:E27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</mergeCells>
  <phoneticPr fontId="77" type="noConversion"/>
  <conditionalFormatting sqref="F11:DT12 S8:DT10 F8:Q10">
    <cfRule type="cellIs" dxfId="373" priority="13" stopIfTrue="1" operator="equal">
      <formula>1</formula>
    </cfRule>
  </conditionalFormatting>
  <conditionalFormatting sqref="F16:DT17">
    <cfRule type="cellIs" dxfId="372" priority="15" stopIfTrue="1" operator="equal">
      <formula>1</formula>
    </cfRule>
  </conditionalFormatting>
  <conditionalFormatting sqref="F31:DT31">
    <cfRule type="cellIs" dxfId="371" priority="20" stopIfTrue="1" operator="equal">
      <formula>1</formula>
    </cfRule>
  </conditionalFormatting>
  <conditionalFormatting sqref="F27:DT27">
    <cfRule type="cellIs" dxfId="370" priority="19" stopIfTrue="1" operator="equal">
      <formula>1</formula>
    </cfRule>
  </conditionalFormatting>
  <conditionalFormatting sqref="F19:DT19 F21:DT22">
    <cfRule type="cellIs" dxfId="369" priority="16" stopIfTrue="1" operator="equal">
      <formula>1</formula>
    </cfRule>
  </conditionalFormatting>
  <conditionalFormatting sqref="F24:DT25">
    <cfRule type="cellIs" dxfId="368" priority="18" stopIfTrue="1" operator="equal">
      <formula>1</formula>
    </cfRule>
  </conditionalFormatting>
  <conditionalFormatting sqref="F33:DT33">
    <cfRule type="cellIs" dxfId="367" priority="21" stopIfTrue="1" operator="equal">
      <formula>1</formula>
    </cfRule>
  </conditionalFormatting>
  <conditionalFormatting sqref="F35:DT35">
    <cfRule type="cellIs" dxfId="366" priority="22" stopIfTrue="1" operator="equal">
      <formula>1</formula>
    </cfRule>
  </conditionalFormatting>
  <conditionalFormatting sqref="F23:DT23">
    <cfRule type="cellIs" dxfId="365" priority="17" stopIfTrue="1" operator="equal">
      <formula>1</formula>
    </cfRule>
  </conditionalFormatting>
  <conditionalFormatting sqref="F13:DT15">
    <cfRule type="cellIs" dxfId="364" priority="14" stopIfTrue="1" operator="equal">
      <formula>1</formula>
    </cfRule>
  </conditionalFormatting>
  <conditionalFormatting sqref="F11:DT17 S8:DT10 F8:Q10 F31:DT35 F21:DT28 F19:DT19">
    <cfRule type="containsErrors" dxfId="363" priority="12" stopIfTrue="1">
      <formula>ISERROR(F8)</formula>
    </cfRule>
  </conditionalFormatting>
  <conditionalFormatting sqref="R8:R10">
    <cfRule type="cellIs" dxfId="362" priority="11" stopIfTrue="1" operator="equal">
      <formula>1</formula>
    </cfRule>
  </conditionalFormatting>
  <conditionalFormatting sqref="R8:R10">
    <cfRule type="containsErrors" dxfId="361" priority="10" stopIfTrue="1">
      <formula>ISERROR(R8)</formula>
    </cfRule>
  </conditionalFormatting>
  <conditionalFormatting sqref="A23">
    <cfRule type="cellIs" dxfId="360" priority="9" operator="lessThan">
      <formula>TODAY()</formula>
    </cfRule>
  </conditionalFormatting>
  <conditionalFormatting sqref="F37:DT37">
    <cfRule type="cellIs" dxfId="359" priority="8" stopIfTrue="1" operator="equal">
      <formula>1</formula>
    </cfRule>
  </conditionalFormatting>
  <conditionalFormatting sqref="F37:DT37">
    <cfRule type="containsErrors" dxfId="358" priority="7" stopIfTrue="1">
      <formula>ISERROR(F37)</formula>
    </cfRule>
  </conditionalFormatting>
  <conditionalFormatting sqref="F29:DT29">
    <cfRule type="cellIs" dxfId="357" priority="6" stopIfTrue="1" operator="equal">
      <formula>1</formula>
    </cfRule>
  </conditionalFormatting>
  <conditionalFormatting sqref="F29:DT30">
    <cfRule type="containsErrors" dxfId="356" priority="5" stopIfTrue="1">
      <formula>ISERROR(F29)</formula>
    </cfRule>
  </conditionalFormatting>
  <conditionalFormatting sqref="F20:DT20">
    <cfRule type="cellIs" dxfId="355" priority="4" stopIfTrue="1" operator="equal">
      <formula>1</formula>
    </cfRule>
  </conditionalFormatting>
  <conditionalFormatting sqref="F20:DT20">
    <cfRule type="containsErrors" dxfId="354" priority="3" stopIfTrue="1">
      <formula>ISERROR(F20)</formula>
    </cfRule>
  </conditionalFormatting>
  <conditionalFormatting sqref="F18:DT18">
    <cfRule type="cellIs" dxfId="353" priority="2" stopIfTrue="1" operator="equal">
      <formula>1</formula>
    </cfRule>
  </conditionalFormatting>
  <conditionalFormatting sqref="F18:DT18">
    <cfRule type="containsErrors" dxfId="352" priority="1" stopIfTrue="1">
      <formula>ISERROR(F18)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9202A-FB50-4629-8017-8CF4933CAB99}">
  <sheetPr codeName="Feuil7">
    <tabColor rgb="FF002060"/>
  </sheetPr>
  <dimension ref="A1:BC37"/>
  <sheetViews>
    <sheetView topLeftCell="A5" workbookViewId="0"/>
  </sheetViews>
  <sheetFormatPr baseColWidth="10" defaultColWidth="10.42578125" defaultRowHeight="15" outlineLevelCol="1"/>
  <cols>
    <col min="1" max="1" width="10.42578125" customWidth="1" outlineLevel="1"/>
    <col min="2" max="2" width="24" customWidth="1" outlineLevel="1"/>
    <col min="3" max="7" width="10.42578125" customWidth="1" outlineLevel="1"/>
    <col min="8" max="8" width="27.42578125" customWidth="1" outlineLevel="1"/>
    <col min="9" max="9" width="13.42578125" customWidth="1"/>
    <col min="10" max="10" width="10.42578125" style="48"/>
    <col min="11" max="11" width="16" customWidth="1"/>
    <col min="12" max="12" width="15" customWidth="1"/>
    <col min="13" max="13" width="10.42578125" style="358" hidden="1" customWidth="1" outlineLevel="1"/>
    <col min="14" max="14" width="10.42578125" hidden="1" customWidth="1" outlineLevel="1"/>
    <col min="15" max="15" width="18" style="48" customWidth="1" collapsed="1"/>
    <col min="16" max="16" width="10.42578125" style="358" hidden="1" customWidth="1" outlineLevel="1"/>
    <col min="17" max="23" width="10.42578125" hidden="1" customWidth="1" outlineLevel="1"/>
    <col min="24" max="24" width="16.42578125" customWidth="1" collapsed="1"/>
    <col min="25" max="25" width="10.42578125" style="358" hidden="1" customWidth="1" outlineLevel="1"/>
    <col min="26" max="26" width="14.42578125" customWidth="1" collapsed="1"/>
    <col min="27" max="36" width="10.42578125" customWidth="1" outlineLevel="1"/>
    <col min="38" max="38" width="10.42578125" style="377" customWidth="1" outlineLevel="1"/>
    <col min="39" max="40" width="10.42578125" style="1" customWidth="1" outlineLevel="1"/>
    <col min="41" max="42" width="10.42578125" customWidth="1" outlineLevel="1"/>
    <col min="43" max="43" width="10.42578125" customWidth="1" outlineLevel="1" collapsed="1"/>
    <col min="44" max="45" width="10.42578125" customWidth="1" outlineLevel="1"/>
    <col min="46" max="46" width="10.42578125" customWidth="1"/>
    <col min="49" max="49" width="25.42578125" customWidth="1"/>
    <col min="50" max="50" width="12.42578125" style="348" customWidth="1"/>
    <col min="53" max="53" width="23.42578125" bestFit="1" customWidth="1"/>
  </cols>
  <sheetData>
    <row r="1" spans="2:55" s="111" customFormat="1" ht="29.1" customHeight="1" thickBot="1">
      <c r="B1" s="620" t="s">
        <v>76</v>
      </c>
      <c r="C1" s="620"/>
      <c r="D1" s="620"/>
      <c r="E1" s="620"/>
      <c r="F1" s="620"/>
      <c r="G1" s="620"/>
      <c r="H1" s="621"/>
      <c r="I1" s="622" t="s">
        <v>77</v>
      </c>
      <c r="J1" s="623"/>
      <c r="K1" s="632" t="s">
        <v>78</v>
      </c>
      <c r="L1" s="633"/>
      <c r="M1" s="633"/>
      <c r="N1" s="634"/>
      <c r="O1" s="644" t="s">
        <v>79</v>
      </c>
      <c r="P1" s="645"/>
      <c r="Q1" s="645"/>
      <c r="R1" s="645"/>
      <c r="S1" s="645"/>
      <c r="T1" s="645"/>
      <c r="U1" s="645"/>
      <c r="V1" s="645"/>
      <c r="W1" s="645"/>
      <c r="X1" s="645"/>
      <c r="Y1" s="646"/>
      <c r="Z1" s="639" t="s">
        <v>80</v>
      </c>
      <c r="AA1" s="640"/>
      <c r="AB1" s="640"/>
      <c r="AC1" s="640"/>
      <c r="AD1" s="640"/>
      <c r="AE1" s="640"/>
      <c r="AF1" s="640"/>
      <c r="AG1" s="640"/>
      <c r="AH1" s="640"/>
      <c r="AI1" s="63"/>
      <c r="AJ1" s="642" t="s">
        <v>81</v>
      </c>
      <c r="AK1" s="643"/>
      <c r="AL1" s="643"/>
      <c r="AM1" s="643"/>
      <c r="AN1" s="643"/>
      <c r="AO1" s="643"/>
      <c r="AP1" s="643"/>
      <c r="AQ1" s="617" t="s">
        <v>82</v>
      </c>
      <c r="AR1" s="618"/>
      <c r="AS1" s="618"/>
      <c r="AT1" s="618"/>
      <c r="AU1" s="618"/>
      <c r="AV1" s="619"/>
      <c r="AW1" s="627"/>
      <c r="AX1" s="347"/>
    </row>
    <row r="2" spans="2:55" ht="16.5" thickBot="1">
      <c r="B2" s="112"/>
      <c r="C2" s="65"/>
      <c r="D2" s="9"/>
      <c r="E2" s="9"/>
      <c r="F2" s="9"/>
      <c r="G2" s="9"/>
      <c r="H2" s="76"/>
      <c r="I2" s="624"/>
      <c r="J2" s="625"/>
      <c r="K2" s="635" t="s">
        <v>83</v>
      </c>
      <c r="L2" s="636"/>
      <c r="M2" s="636"/>
      <c r="N2" s="637"/>
      <c r="O2" s="629" t="s">
        <v>79</v>
      </c>
      <c r="P2" s="630"/>
      <c r="Q2" s="630"/>
      <c r="R2" s="631"/>
      <c r="S2" s="629" t="s">
        <v>79</v>
      </c>
      <c r="T2" s="630"/>
      <c r="U2" s="630"/>
      <c r="V2" s="631"/>
      <c r="W2" s="629" t="s">
        <v>84</v>
      </c>
      <c r="X2" s="630"/>
      <c r="Y2" s="631"/>
      <c r="Z2" s="629" t="s">
        <v>85</v>
      </c>
      <c r="AA2" s="630"/>
      <c r="AB2" s="630"/>
      <c r="AC2" s="630"/>
      <c r="AD2" s="630"/>
      <c r="AE2" s="630"/>
      <c r="AF2" s="630"/>
      <c r="AG2" s="630"/>
      <c r="AH2" s="630"/>
      <c r="AI2" s="631"/>
      <c r="AJ2" s="629" t="s">
        <v>86</v>
      </c>
      <c r="AK2" s="630"/>
      <c r="AL2" s="630"/>
      <c r="AM2" s="638"/>
      <c r="AN2" s="638"/>
      <c r="AO2" s="631"/>
      <c r="AP2" s="636"/>
      <c r="AQ2" s="637"/>
      <c r="AR2" s="641" t="s">
        <v>87</v>
      </c>
      <c r="AS2" s="636"/>
      <c r="AT2" s="636"/>
      <c r="AU2" s="637"/>
      <c r="AV2" s="93"/>
      <c r="AW2" s="628"/>
    </row>
    <row r="3" spans="2:55" ht="30.75" thickBot="1">
      <c r="B3" s="339" t="s">
        <v>88</v>
      </c>
      <c r="C3" s="626" t="s">
        <v>89</v>
      </c>
      <c r="D3" s="626"/>
      <c r="E3" s="340" t="s">
        <v>90</v>
      </c>
      <c r="F3" s="341" t="s">
        <v>91</v>
      </c>
      <c r="G3" s="342" t="s">
        <v>92</v>
      </c>
      <c r="H3" s="343" t="s">
        <v>93</v>
      </c>
      <c r="I3" s="113">
        <v>1</v>
      </c>
      <c r="J3" s="113">
        <v>2</v>
      </c>
      <c r="K3" s="113">
        <v>3</v>
      </c>
      <c r="L3" s="113">
        <v>4</v>
      </c>
      <c r="M3" s="113">
        <v>5</v>
      </c>
      <c r="N3" s="113">
        <v>6</v>
      </c>
      <c r="O3" s="113">
        <v>7</v>
      </c>
      <c r="P3" s="113">
        <v>8</v>
      </c>
      <c r="Q3" s="113">
        <v>9</v>
      </c>
      <c r="R3" s="113">
        <v>10</v>
      </c>
      <c r="S3" s="113">
        <v>11</v>
      </c>
      <c r="T3" s="113">
        <v>12</v>
      </c>
      <c r="U3" s="113">
        <v>13</v>
      </c>
      <c r="V3" s="113">
        <v>14</v>
      </c>
      <c r="W3" s="113">
        <v>15</v>
      </c>
      <c r="X3" s="113">
        <v>16</v>
      </c>
      <c r="Y3" s="113">
        <v>17</v>
      </c>
      <c r="Z3" s="113">
        <v>18</v>
      </c>
      <c r="AA3" s="113">
        <v>19</v>
      </c>
      <c r="AB3" s="113">
        <v>20</v>
      </c>
      <c r="AC3" s="113">
        <v>21</v>
      </c>
      <c r="AD3" s="113">
        <v>22</v>
      </c>
      <c r="AE3" s="113">
        <v>23</v>
      </c>
      <c r="AF3" s="113">
        <v>24</v>
      </c>
      <c r="AG3" s="113">
        <v>25</v>
      </c>
      <c r="AH3" s="113">
        <v>26</v>
      </c>
      <c r="AI3" s="133">
        <v>27</v>
      </c>
      <c r="AJ3" s="113">
        <v>28</v>
      </c>
      <c r="AK3" s="113">
        <v>29</v>
      </c>
      <c r="AL3" s="113">
        <v>30</v>
      </c>
      <c r="AM3" s="113">
        <v>31</v>
      </c>
      <c r="AN3" s="113">
        <v>32</v>
      </c>
      <c r="AO3" s="113">
        <v>33</v>
      </c>
      <c r="AP3" s="113">
        <v>34</v>
      </c>
      <c r="AQ3" s="113">
        <v>35</v>
      </c>
      <c r="AR3" s="113">
        <v>36</v>
      </c>
      <c r="AS3" s="113">
        <v>37</v>
      </c>
      <c r="AT3" s="113">
        <v>38</v>
      </c>
      <c r="AU3" s="113">
        <v>39</v>
      </c>
      <c r="AV3" s="113">
        <v>40</v>
      </c>
      <c r="AW3" s="113">
        <v>41</v>
      </c>
    </row>
    <row r="4" spans="2:55" ht="48.6" customHeight="1" thickBot="1">
      <c r="B4" s="344" t="s">
        <v>94</v>
      </c>
      <c r="C4" s="345" t="s">
        <v>95</v>
      </c>
      <c r="D4" s="345" t="s">
        <v>96</v>
      </c>
      <c r="E4" s="345" t="s">
        <v>97</v>
      </c>
      <c r="F4" s="345" t="s">
        <v>189</v>
      </c>
      <c r="G4" s="345" t="s">
        <v>99</v>
      </c>
      <c r="H4" s="346" t="s">
        <v>100</v>
      </c>
      <c r="I4" s="114" t="s">
        <v>101</v>
      </c>
      <c r="J4" s="115" t="s">
        <v>102</v>
      </c>
      <c r="K4" s="90" t="s">
        <v>103</v>
      </c>
      <c r="L4" s="121" t="s">
        <v>104</v>
      </c>
      <c r="M4" s="364" t="s">
        <v>190</v>
      </c>
      <c r="N4" s="87" t="s">
        <v>40</v>
      </c>
      <c r="O4" s="89" t="s">
        <v>106</v>
      </c>
      <c r="P4" s="364" t="s">
        <v>107</v>
      </c>
      <c r="Q4" s="86" t="s">
        <v>108</v>
      </c>
      <c r="R4" s="87" t="s">
        <v>109</v>
      </c>
      <c r="S4" s="88" t="s">
        <v>110</v>
      </c>
      <c r="T4" s="86" t="s">
        <v>41</v>
      </c>
      <c r="U4" s="86" t="s">
        <v>111</v>
      </c>
      <c r="V4" s="87" t="s">
        <v>42</v>
      </c>
      <c r="W4" s="88" t="s">
        <v>43</v>
      </c>
      <c r="X4" s="121" t="s">
        <v>112</v>
      </c>
      <c r="Y4" s="367" t="s">
        <v>113</v>
      </c>
      <c r="Z4" s="286" t="s">
        <v>75</v>
      </c>
      <c r="AA4" s="87" t="s">
        <v>114</v>
      </c>
      <c r="AB4" s="122" t="s">
        <v>115</v>
      </c>
      <c r="AC4" s="87" t="s">
        <v>116</v>
      </c>
      <c r="AD4" s="87" t="s">
        <v>117</v>
      </c>
      <c r="AE4" s="87" t="s">
        <v>119</v>
      </c>
      <c r="AF4" s="87" t="s">
        <v>120</v>
      </c>
      <c r="AG4" s="87" t="s">
        <v>121</v>
      </c>
      <c r="AH4" s="87" t="s">
        <v>122</v>
      </c>
      <c r="AI4" s="134" t="s">
        <v>123</v>
      </c>
      <c r="AJ4" s="135" t="s">
        <v>124</v>
      </c>
      <c r="AK4" s="136" t="s">
        <v>125</v>
      </c>
      <c r="AL4" s="374" t="s">
        <v>126</v>
      </c>
      <c r="AM4" s="87" t="s">
        <v>127</v>
      </c>
      <c r="AN4" s="87" t="s">
        <v>128</v>
      </c>
      <c r="AO4" s="87" t="s">
        <v>129</v>
      </c>
      <c r="AP4" s="87" t="s">
        <v>130</v>
      </c>
      <c r="AQ4" s="87" t="s">
        <v>131</v>
      </c>
      <c r="AR4" s="87" t="s">
        <v>55</v>
      </c>
      <c r="AS4" s="87" t="s">
        <v>132</v>
      </c>
      <c r="AT4" s="87" t="s">
        <v>58</v>
      </c>
      <c r="AU4" s="87" t="s">
        <v>133</v>
      </c>
      <c r="AV4" s="87" t="s">
        <v>60</v>
      </c>
      <c r="AW4" s="286" t="s">
        <v>191</v>
      </c>
      <c r="AX4" s="332" t="s">
        <v>192</v>
      </c>
      <c r="AY4" s="333" t="s">
        <v>136</v>
      </c>
      <c r="AZ4" s="334" t="s">
        <v>137</v>
      </c>
      <c r="BA4" s="335" t="s">
        <v>138</v>
      </c>
      <c r="BB4" s="336" t="s">
        <v>139</v>
      </c>
      <c r="BC4" s="337" t="s">
        <v>140</v>
      </c>
    </row>
    <row r="5" spans="2:55">
      <c r="B5" s="67" t="str">
        <f>_xlfn.CONCAT(Tableau21[[#This Row],[Name ILN]],"-",Tableau21[[#This Row],[Name Shipper]],"-",Tableau21[[#This Row],[Name Site]])</f>
        <v>NSL Shanghai-NSL Shanghai-MOTORES</v>
      </c>
      <c r="C5" s="66" t="e">
        <f ca="1">_xlfn.CONCAT(Tableau21[[#This Row],[Compte ILN]],"-",Tableau21[[#This Row],[Compte Shipper]],"-",Tableau21[[#This Row],[POL]],"-",Tableau21[[#This Row],[Compte Site]])</f>
        <v>#N/A</v>
      </c>
      <c r="D5" s="66" t="e">
        <f ca="1">_xlfn.CONCAT(Tableau21[[#This Row],[Compte ILN]],"-",Tableau21[[#This Row],[Compte Shipper]],"-",Tableau21[[#This Row],[POL]])</f>
        <v>#N/A</v>
      </c>
      <c r="E5" s="130" t="e">
        <f ca="1">_xlfn.CONCAT(Tableau21[[#This Row],[POL]],"-",Tableau21[[#This Row],[Carrier]],"-",Tableau21[[#This Row],[POD]])</f>
        <v>#N/A</v>
      </c>
      <c r="F5" s="66" t="str">
        <f>_xlfn.CONCAT(Tableau21[[#This Row],[ID]],"-","Next")</f>
        <v>AE11-Next</v>
      </c>
      <c r="G5" s="66" t="e">
        <f ca="1">_xlfn.CONCAT(Tableau21[[#This Row],[POD]],"-",Tableau21[[#This Row],[Code PFI]],"-",Tableau21[[#This Row],[Compte Site]])</f>
        <v>#N/A</v>
      </c>
      <c r="H5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5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5" s="119" t="str">
        <f ca="1">IF(COUNTIF(I:I,Tableau21[[#This Row],[Plant-ILN-shipper-POL-Carrier-POD-PFI]])=1,"Non","Oui")</f>
        <v>Oui</v>
      </c>
      <c r="K5" s="128" t="str">
        <f>VLOOKUP(Tableau21[[#This Row],[Name Site]],Plant_AILN!A:D,4,FALSE)</f>
        <v>SPAIN</v>
      </c>
      <c r="L5" s="118" t="s">
        <v>63</v>
      </c>
      <c r="M5" s="365">
        <f>VLOOKUP(Tableau21[[#This Row],[Name Site]],Plant_AILN!A:C,3,FALSE)</f>
        <v>91017700</v>
      </c>
      <c r="N5" s="55">
        <f>VLOOKUP(Tableau21[[#This Row],[Compte Site]],Order!C:D,2,FALSE)</f>
        <v>7</v>
      </c>
      <c r="O5" s="126" t="s">
        <v>187</v>
      </c>
      <c r="P5" s="365">
        <f>VLOOKUP(Tableau21[[#This Row],[Name ILN]],Plant_AILN!F:G,2,FALSE)</f>
        <v>27261102</v>
      </c>
      <c r="Q5" s="50">
        <f>VLOOKUP(Tableau21[[#This Row],[Compte ILN]],'DATA ILN'!D:I,6,FALSE)</f>
        <v>16</v>
      </c>
      <c r="R5" s="50" t="e">
        <f ca="1">IFERROR(VLOOKUP(Tableau21[[#This Row],[Key(Compte ILN - shipper - POL - plant)]],'DATA ILN'!A:J,10,FALSE),VLOOKUP(Tableau21[[#This Row],[Key(Compte ILN - shipper - POL)]],'DATA ILN'!B:J,9,FALSE))</f>
        <v>#N/A</v>
      </c>
      <c r="S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5" s="50" t="e">
        <f ca="1">Tableau21[[#This Row],[Day ILN Order]]+Tableau21[[#This Row],[Delivery time to ILN/Shipper]]-1</f>
        <v>#N/A</v>
      </c>
      <c r="V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5" s="391" t="s">
        <v>187</v>
      </c>
      <c r="Y5" s="389">
        <f>IFERROR(VLOOKUP(Tableau21[[#This Row],[Name Shipper]],Plant_AILN!L:M,2,FALSE),0)</f>
        <v>27261102</v>
      </c>
      <c r="Z5" s="105" t="s">
        <v>193</v>
      </c>
      <c r="AA5" s="396" t="e">
        <f ca="1">IFERROR(VLOOKUP(Tableau21[[#This Row],[Key(ID-Next)]],'DATA BTO'!A:N,5,FALSE),VLOOKUP(_xlfn.CONCAT(Tableau21[[#This Row],[ID]],"-","Actif"),'DATA BTO'!A:N,5,FALSE))</f>
        <v>#N/A</v>
      </c>
      <c r="AB5" s="3" t="e">
        <f ca="1">IFERROR(VLOOKUP(Tableau21[[#This Row],[Key(ID-Next)]],'DATA BTO'!A:N,6,FALSE),VLOOKUP(_xlfn.CONCAT(Tableau21[[#This Row],[ID]],"-","Actif"),'DATA BTO'!A:N,6,FALSE))</f>
        <v>#N/A</v>
      </c>
      <c r="AC5" s="50" t="e">
        <f ca="1">IFERROR(VLOOKUP(Tableau21[[#This Row],[Key(ID-Next)]],'DATA BTO'!A:N,7,FALSE),VLOOKUP(_xlfn.CONCAT(Tableau21[[#This Row],[ID]],"-","Actif"),'DATA BTO'!A:N,7,FALSE))</f>
        <v>#N/A</v>
      </c>
      <c r="AD5" s="50" t="e">
        <f ca="1">IFERROR(VLOOKUP(Tableau21[[#This Row],[Key(ID-Next)]],'DATA BTO'!A:N,8,FALSE),VLOOKUP(_xlfn.CONCAT(Tableau21[[#This Row],[ID]],"-","Actif"),'DATA BTO'!A:N,8,FALSE))</f>
        <v>#N/A</v>
      </c>
      <c r="AE5" s="50" t="e">
        <f ca="1">IFERROR(VLOOKUP(Tableau21[[#This Row],[Key(ID-Next)]],'DATA BTO'!A:N,9,FALSE),VLOOKUP(_xlfn.CONCAT(Tableau21[[#This Row],[ID]],"-","Actif"),'DATA BTO'!A:N,9,FALSE))</f>
        <v>#N/A</v>
      </c>
      <c r="AF5" s="3" t="e">
        <f ca="1">IFERROR(VLOOKUP(Tableau21[[#This Row],[Key(ID-Next)]],'DATA BTO'!A:N,10,FALSE),VLOOKUP(_xlfn.CONCAT(Tableau21[[#This Row],[ID]],"-","Actif"),'DATA BTO'!A:N,10,FALSE))</f>
        <v>#N/A</v>
      </c>
      <c r="AG5" s="3" t="e">
        <f ca="1">IFERROR(VLOOKUP(Tableau21[[#This Row],[Key(ID-Next)]],'DATA BTO'!A:N,11,FALSE),VLOOKUP(_xlfn.CONCAT(Tableau21[[#This Row],[ID]],"-","Actif"),'DATA BTO'!A:N,11,FALSE))</f>
        <v>#N/A</v>
      </c>
      <c r="AH5" s="50" t="e">
        <f ca="1">IFERROR(VLOOKUP(Tableau21[[#This Row],[Key(ID-Next)]],'DATA BTO'!A:N,12,FALSE),VLOOKUP(_xlfn.CONCAT(Tableau21[[#This Row],[ID]],"-","Actif"),'DATA BTO'!A:N,12,FALSE))</f>
        <v>#N/A</v>
      </c>
      <c r="AI5" s="53" t="e">
        <f ca="1">IFERROR(VLOOKUP(Tableau21[[#This Row],[Key(ID-Next)]],'DATA BTO'!A:N,14,FALSE),VLOOKUP(_xlfn.CONCAT(Tableau21[[#This Row],[ID]],"-","Actif"),'DATA BTO'!A:N,14,FALSE))</f>
        <v>#N/A</v>
      </c>
      <c r="AJ5" s="54" t="e">
        <f ca="1">VLOOKUP(Tableau21[[#This Row],[Key(POD -PFI- Usine)]],'DATA Consignee'!A:F,6,FALSE)</f>
        <v>#N/A</v>
      </c>
      <c r="AK5" s="284" t="s">
        <v>194</v>
      </c>
      <c r="AL5" s="376" t="e">
        <f>IF(Tableau21[[#This Row],[Name PFI/CDD]]="","-",VLOOKUP(Tableau21[[#This Row],[Name PFI/CDD]],Plant_AILN!I:J,2,FALSE))</f>
        <v>#N/A</v>
      </c>
      <c r="AM5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5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5" s="2" t="e">
        <f ca="1">VLOOKUP(Tableau21[[#This Row],[Key(POD -PFI- Usine)]],'DATA Consignee'!A:J,10,FALSE)</f>
        <v>#N/A</v>
      </c>
      <c r="AP5" s="50" t="e">
        <f ca="1">VLOOKUP(Tableau21[[#This Row],[Key(POD -PFI- Usine)]],'DATA Consignee'!A:N,14,FALSE)</f>
        <v>#N/A</v>
      </c>
      <c r="AQ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5" s="50" t="e">
        <f ca="1">Tableau21[[#This Row],[Transit time]]+Tableau21[[#This Row],[Time for security]]+Tableau21[[#This Row],[Time for security2 buffer]]</f>
        <v>#N/A</v>
      </c>
      <c r="AT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5" s="50" t="e">
        <f ca="1">Tableau21[[#This Row],[Leadtime SI2C]]+Tableau21[[#This Row],[First Receipt Days]]-Tableau21[[#This Row],[Day Customer Order]]+1</f>
        <v>#N/A</v>
      </c>
      <c r="AV5" s="119" t="e">
        <f ca="1">IF(Tableau21[[#This Row],[Name ILN]]&lt;&gt;"SFK Freight Forwarder",Tableau21[[#This Row],[Cust. Leadtime]],Tableau21[[#This Row],[Leadtime SI2C]])</f>
        <v>#N/A</v>
      </c>
      <c r="AW5" s="59" t="s">
        <v>195</v>
      </c>
      <c r="AX5" s="338" t="e">
        <f ca="1">IFERROR(VLOOKUP(Tableau21[[#This Row],[Key(ID-Next)]],'DATA BTO'!A:N,3,FALSE),VLOOKUP(Tableau21[[#This Row],[ID]],'DATA BTO'!B:N,2,FALSE))</f>
        <v>#N/A</v>
      </c>
      <c r="AY5" s="50" t="str">
        <f>IF(ISNUMBER(Tableau21[[#This Row],[Day Customer Order]]),"-","Please Check 'Name' information in 'Order' Sheet to make sure they have information")</f>
        <v>-</v>
      </c>
      <c r="AZ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6" spans="2:55">
      <c r="B6" s="67" t="str">
        <f>_xlfn.CONCAT(Tableau21[[#This Row],[Name ILN]],"-",Tableau21[[#This Row],[Name Shipper]],"-",Tableau21[[#This Row],[Name Site]])</f>
        <v>NSL Shanghai-NSL Shanghai-SANDOUVILLE</v>
      </c>
      <c r="C6" s="66" t="e">
        <f ca="1">_xlfn.CONCAT(Tableau21[[#This Row],[Compte ILN]],"-",Tableau21[[#This Row],[Compte Shipper]],"-",Tableau21[[#This Row],[POL]],"-",Tableau21[[#This Row],[Compte Site]])</f>
        <v>#N/A</v>
      </c>
      <c r="D6" s="66" t="e">
        <f ca="1">_xlfn.CONCAT(Tableau21[[#This Row],[Compte ILN]],"-",Tableau21[[#This Row],[Compte Shipper]],"-",Tableau21[[#This Row],[POL]])</f>
        <v>#N/A</v>
      </c>
      <c r="E6" s="130" t="e">
        <f ca="1">_xlfn.CONCAT(Tableau21[[#This Row],[POL]],"-",Tableau21[[#This Row],[Carrier]],"-",Tableau21[[#This Row],[POD]])</f>
        <v>#N/A</v>
      </c>
      <c r="F6" s="66" t="str">
        <f>_xlfn.CONCAT(Tableau21[[#This Row],[ID]],"-","Next")</f>
        <v>AE11-Next</v>
      </c>
      <c r="G6" s="66" t="e">
        <f ca="1">_xlfn.CONCAT(Tableau21[[#This Row],[POD]],"-",Tableau21[[#This Row],[Code PFI]],"-",Tableau21[[#This Row],[Compte Site]])</f>
        <v>#N/A</v>
      </c>
      <c r="H6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6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6" s="119" t="str">
        <f ca="1">IF(COUNTIF(I:I,Tableau21[[#This Row],[Plant-ILN-shipper-POL-Carrier-POD-PFI]])=1,"Non","Oui")</f>
        <v>Oui</v>
      </c>
      <c r="K6" s="128" t="str">
        <f>VLOOKUP(Tableau21[[#This Row],[Name Site]],Plant_AILN!A:D,4,FALSE)</f>
        <v>FRANCE</v>
      </c>
      <c r="L6" s="59" t="s">
        <v>196</v>
      </c>
      <c r="M6" s="365">
        <f>VLOOKUP(Tableau21[[#This Row],[Name Site]],Plant_AILN!A:C,3,FALSE)</f>
        <v>90017100</v>
      </c>
      <c r="N6" s="55">
        <f>VLOOKUP(Tableau21[[#This Row],[Compte Site]],Order!C:D,2,FALSE)</f>
        <v>7</v>
      </c>
      <c r="O6" s="126" t="s">
        <v>187</v>
      </c>
      <c r="P6" s="365">
        <f>VLOOKUP(Tableau21[[#This Row],[Name ILN]],Plant_AILN!F:G,2,FALSE)</f>
        <v>27261102</v>
      </c>
      <c r="Q6" s="50">
        <f>VLOOKUP(Tableau21[[#This Row],[Compte ILN]],'DATA ILN'!D:I,6,FALSE)</f>
        <v>16</v>
      </c>
      <c r="R6" s="50" t="e">
        <f ca="1">IFERROR(VLOOKUP(Tableau21[[#This Row],[Key(Compte ILN - shipper - POL - plant)]],'DATA ILN'!A:J,10,FALSE),VLOOKUP(Tableau21[[#This Row],[Key(Compte ILN - shipper - POL)]],'DATA ILN'!B:J,9,FALSE))</f>
        <v>#N/A</v>
      </c>
      <c r="S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6" s="50" t="e">
        <f ca="1">Tableau21[[#This Row],[Day ILN Order]]+Tableau21[[#This Row],[Delivery time to ILN/Shipper]]-1</f>
        <v>#N/A</v>
      </c>
      <c r="V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6" s="392" t="s">
        <v>187</v>
      </c>
      <c r="Y6" s="389">
        <f>IFERROR(VLOOKUP(Tableau21[[#This Row],[Name Shipper]],Plant_AILN!L:M,2,FALSE),0)</f>
        <v>27261102</v>
      </c>
      <c r="Z6" s="52" t="s">
        <v>193</v>
      </c>
      <c r="AA6" s="396" t="e">
        <f ca="1">IFERROR(VLOOKUP(Tableau21[[#This Row],[Key(ID-Next)]],'DATA BTO'!A:N,5,FALSE),VLOOKUP(_xlfn.CONCAT(Tableau21[[#This Row],[ID]],"-","Actif"),'DATA BTO'!A:N,5,FALSE))</f>
        <v>#N/A</v>
      </c>
      <c r="AB6" s="3" t="e">
        <f ca="1">IFERROR(VLOOKUP(Tableau21[[#This Row],[Key(ID-Next)]],'DATA BTO'!A:N,6,FALSE),VLOOKUP(_xlfn.CONCAT(Tableau21[[#This Row],[ID]],"-","Actif"),'DATA BTO'!A:N,6,FALSE))</f>
        <v>#N/A</v>
      </c>
      <c r="AC6" s="50" t="e">
        <f ca="1">IFERROR(VLOOKUP(Tableau21[[#This Row],[Key(ID-Next)]],'DATA BTO'!A:N,7,FALSE),VLOOKUP(_xlfn.CONCAT(Tableau21[[#This Row],[ID]],"-","Actif"),'DATA BTO'!A:N,7,FALSE))</f>
        <v>#N/A</v>
      </c>
      <c r="AD6" s="50" t="e">
        <f ca="1">IFERROR(VLOOKUP(Tableau21[[#This Row],[Key(ID-Next)]],'DATA BTO'!A:N,8,FALSE),VLOOKUP(_xlfn.CONCAT(Tableau21[[#This Row],[ID]],"-","Actif"),'DATA BTO'!A:N,8,FALSE))</f>
        <v>#N/A</v>
      </c>
      <c r="AE6" s="50" t="e">
        <f ca="1">IFERROR(VLOOKUP(Tableau21[[#This Row],[Key(ID-Next)]],'DATA BTO'!A:N,9,FALSE),VLOOKUP(_xlfn.CONCAT(Tableau21[[#This Row],[ID]],"-","Actif"),'DATA BTO'!A:N,9,FALSE))</f>
        <v>#N/A</v>
      </c>
      <c r="AF6" s="3" t="e">
        <f ca="1">IFERROR(VLOOKUP(Tableau21[[#This Row],[Key(ID-Next)]],'DATA BTO'!A:N,10,FALSE),VLOOKUP(_xlfn.CONCAT(Tableau21[[#This Row],[ID]],"-","Actif"),'DATA BTO'!A:N,10,FALSE))</f>
        <v>#N/A</v>
      </c>
      <c r="AG6" s="3" t="e">
        <f ca="1">IFERROR(VLOOKUP(Tableau21[[#This Row],[Key(ID-Next)]],'DATA BTO'!A:N,11,FALSE),VLOOKUP(_xlfn.CONCAT(Tableau21[[#This Row],[ID]],"-","Actif"),'DATA BTO'!A:N,11,FALSE))</f>
        <v>#N/A</v>
      </c>
      <c r="AH6" s="50" t="e">
        <f ca="1">IFERROR(VLOOKUP(Tableau21[[#This Row],[Key(ID-Next)]],'DATA BTO'!A:N,12,FALSE),VLOOKUP(_xlfn.CONCAT(Tableau21[[#This Row],[ID]],"-","Actif"),'DATA BTO'!A:N,12,FALSE))</f>
        <v>#N/A</v>
      </c>
      <c r="AI6" s="53" t="e">
        <f ca="1">IFERROR(VLOOKUP(Tableau21[[#This Row],[Key(ID-Next)]],'DATA BTO'!A:N,14,FALSE),VLOOKUP(_xlfn.CONCAT(Tableau21[[#This Row],[ID]],"-","Actif"),'DATA BTO'!A:N,14,FALSE))</f>
        <v>#N/A</v>
      </c>
      <c r="AJ6" s="54" t="e">
        <f ca="1">VLOOKUP(Tableau21[[#This Row],[Key(POD -PFI- Usine)]],'DATA Consignee'!A:F,6,FALSE)</f>
        <v>#N/A</v>
      </c>
      <c r="AK6" s="284" t="s">
        <v>171</v>
      </c>
      <c r="AL6" s="376">
        <f>IF(Tableau21[[#This Row],[Name PFI/CDD]]="","-",VLOOKUP(Tableau21[[#This Row],[Name PFI/CDD]],Plant_AILN!I:J,2,FALSE))</f>
        <v>91018400</v>
      </c>
      <c r="AM6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6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6" s="2" t="e">
        <f ca="1">VLOOKUP(Tableau21[[#This Row],[Key(POD -PFI- Usine)]],'DATA Consignee'!A:J,10,FALSE)</f>
        <v>#N/A</v>
      </c>
      <c r="AP6" s="50" t="e">
        <f ca="1">VLOOKUP(Tableau21[[#This Row],[Key(POD -PFI- Usine)]],'DATA Consignee'!A:N,14,FALSE)</f>
        <v>#N/A</v>
      </c>
      <c r="AQ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6" s="50" t="e">
        <f ca="1">Tableau21[[#This Row],[Transit time]]+Tableau21[[#This Row],[Time for security]]+Tableau21[[#This Row],[Time for security2 buffer]]</f>
        <v>#N/A</v>
      </c>
      <c r="AT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6" s="50" t="e">
        <f ca="1">Tableau21[[#This Row],[Leadtime SI2C]]+Tableau21[[#This Row],[First Receipt Days]]-Tableau21[[#This Row],[Day Customer Order]]+1</f>
        <v>#N/A</v>
      </c>
      <c r="AV6" s="119" t="e">
        <f ca="1">IF(Tableau21[[#This Row],[Name ILN]]&lt;&gt;"SFK Freight Forwarder",Tableau21[[#This Row],[Cust. Leadtime]],Tableau21[[#This Row],[Leadtime SI2C]])</f>
        <v>#N/A</v>
      </c>
      <c r="AW6" s="59" t="s">
        <v>197</v>
      </c>
      <c r="AX6" s="338" t="e">
        <f ca="1">IFERROR(VLOOKUP(Tableau21[[#This Row],[Key(ID-Next)]],'DATA BTO'!A:N,3,FALSE),VLOOKUP(Tableau21[[#This Row],[ID]],'DATA BTO'!B:N,2,FALSE))</f>
        <v>#N/A</v>
      </c>
      <c r="AY6" s="50" t="str">
        <f>IF(ISNUMBER(Tableau21[[#This Row],[Day Customer Order]]),"-","Please Check 'Name' information in 'Order' Sheet to make sure they have information")</f>
        <v>-</v>
      </c>
      <c r="AZ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7" spans="2:55">
      <c r="B7" s="67" t="str">
        <f>_xlfn.CONCAT(Tableau21[[#This Row],[Name ILN]],"-",Tableau21[[#This Row],[Name Shipper]],"-",Tableau21[[#This Row],[Name Site]])</f>
        <v>NSL Shanghai-NSL Shanghai-VALL MONTAGE</v>
      </c>
      <c r="C7" s="66" t="e">
        <f ca="1">_xlfn.CONCAT(Tableau21[[#This Row],[Compte ILN]],"-",Tableau21[[#This Row],[Compte Shipper]],"-",Tableau21[[#This Row],[POL]],"-",Tableau21[[#This Row],[Compte Site]])</f>
        <v>#N/A</v>
      </c>
      <c r="D7" s="66" t="e">
        <f ca="1">_xlfn.CONCAT(Tableau21[[#This Row],[Compte ILN]],"-",Tableau21[[#This Row],[Compte Shipper]],"-",Tableau21[[#This Row],[POL]])</f>
        <v>#N/A</v>
      </c>
      <c r="E7" s="130" t="e">
        <f ca="1">_xlfn.CONCAT(Tableau21[[#This Row],[POL]],"-",Tableau21[[#This Row],[Carrier]],"-",Tableau21[[#This Row],[POD]])</f>
        <v>#N/A</v>
      </c>
      <c r="F7" s="66" t="str">
        <f>_xlfn.CONCAT(Tableau21[[#This Row],[ID]],"-","Next")</f>
        <v>AE11-Next</v>
      </c>
      <c r="G7" s="66" t="e">
        <f ca="1">_xlfn.CONCAT(Tableau21[[#This Row],[POD]],"-",Tableau21[[#This Row],[Code PFI]],"-",Tableau21[[#This Row],[Compte Site]])</f>
        <v>#N/A</v>
      </c>
      <c r="H7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7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7" s="119" t="str">
        <f ca="1">IF(COUNTIF(I:I,Tableau21[[#This Row],[Plant-ILN-shipper-POL-Carrier-POD-PFI]])=1,"Non","Oui")</f>
        <v>Oui</v>
      </c>
      <c r="K7" s="128" t="str">
        <f>VLOOKUP(Tableau21[[#This Row],[Name Site]],Plant_AILN!A:D,4,FALSE)</f>
        <v>SPAIN</v>
      </c>
      <c r="L7" s="76" t="s">
        <v>175</v>
      </c>
      <c r="M7" s="365">
        <f>VLOOKUP(Tableau21[[#This Row],[Name Site]],Plant_AILN!A:C,3,FALSE)</f>
        <v>91017300</v>
      </c>
      <c r="N7" s="55">
        <f>VLOOKUP(Tableau21[[#This Row],[Compte Site]],Order!C:D,2,FALSE)</f>
        <v>7</v>
      </c>
      <c r="O7" s="126" t="s">
        <v>187</v>
      </c>
      <c r="P7" s="365">
        <f>VLOOKUP(Tableau21[[#This Row],[Name ILN]],Plant_AILN!F:G,2,FALSE)</f>
        <v>27261102</v>
      </c>
      <c r="Q7" s="50">
        <f>VLOOKUP(Tableau21[[#This Row],[Compte ILN]],'DATA ILN'!D:I,6,FALSE)</f>
        <v>16</v>
      </c>
      <c r="R7" s="50" t="e">
        <f ca="1">IFERROR(VLOOKUP(Tableau21[[#This Row],[Key(Compte ILN - shipper - POL - plant)]],'DATA ILN'!A:J,10,FALSE),VLOOKUP(Tableau21[[#This Row],[Key(Compte ILN - shipper - POL)]],'DATA ILN'!B:J,9,FALSE))</f>
        <v>#N/A</v>
      </c>
      <c r="S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7" s="50" t="e">
        <f ca="1">Tableau21[[#This Row],[Day ILN Order]]+Tableau21[[#This Row],[Delivery time to ILN/Shipper]]-1</f>
        <v>#N/A</v>
      </c>
      <c r="V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7" s="392" t="s">
        <v>187</v>
      </c>
      <c r="Y7" s="389">
        <f>IFERROR(VLOOKUP(Tableau21[[#This Row],[Name Shipper]],Plant_AILN!L:M,2,FALSE),0)</f>
        <v>27261102</v>
      </c>
      <c r="Z7" s="105" t="s">
        <v>193</v>
      </c>
      <c r="AA7" s="396" t="e">
        <f ca="1">IFERROR(VLOOKUP(Tableau21[[#This Row],[Key(ID-Next)]],'DATA BTO'!A:N,5,FALSE),VLOOKUP(_xlfn.CONCAT(Tableau21[[#This Row],[ID]],"-","Actif"),'DATA BTO'!A:N,5,FALSE))</f>
        <v>#N/A</v>
      </c>
      <c r="AB7" s="3" t="e">
        <f ca="1">IFERROR(VLOOKUP(Tableau21[[#This Row],[Key(ID-Next)]],'DATA BTO'!A:N,6,FALSE),VLOOKUP(_xlfn.CONCAT(Tableau21[[#This Row],[ID]],"-","Actif"),'DATA BTO'!A:N,6,FALSE))</f>
        <v>#N/A</v>
      </c>
      <c r="AC7" s="50" t="e">
        <f ca="1">IFERROR(VLOOKUP(Tableau21[[#This Row],[Key(ID-Next)]],'DATA BTO'!A:N,7,FALSE),VLOOKUP(_xlfn.CONCAT(Tableau21[[#This Row],[ID]],"-","Actif"),'DATA BTO'!A:N,7,FALSE))</f>
        <v>#N/A</v>
      </c>
      <c r="AD7" s="50" t="e">
        <f ca="1">IFERROR(VLOOKUP(Tableau21[[#This Row],[Key(ID-Next)]],'DATA BTO'!A:N,8,FALSE),VLOOKUP(_xlfn.CONCAT(Tableau21[[#This Row],[ID]],"-","Actif"),'DATA BTO'!A:N,8,FALSE))</f>
        <v>#N/A</v>
      </c>
      <c r="AE7" s="50" t="e">
        <f ca="1">IFERROR(VLOOKUP(Tableau21[[#This Row],[Key(ID-Next)]],'DATA BTO'!A:N,9,FALSE),VLOOKUP(_xlfn.CONCAT(Tableau21[[#This Row],[ID]],"-","Actif"),'DATA BTO'!A:N,9,FALSE))</f>
        <v>#N/A</v>
      </c>
      <c r="AF7" s="3" t="e">
        <f ca="1">IFERROR(VLOOKUP(Tableau21[[#This Row],[Key(ID-Next)]],'DATA BTO'!A:N,10,FALSE),VLOOKUP(_xlfn.CONCAT(Tableau21[[#This Row],[ID]],"-","Actif"),'DATA BTO'!A:N,10,FALSE))</f>
        <v>#N/A</v>
      </c>
      <c r="AG7" s="3" t="e">
        <f ca="1">IFERROR(VLOOKUP(Tableau21[[#This Row],[Key(ID-Next)]],'DATA BTO'!A:N,11,FALSE),VLOOKUP(_xlfn.CONCAT(Tableau21[[#This Row],[ID]],"-","Actif"),'DATA BTO'!A:N,11,FALSE))</f>
        <v>#N/A</v>
      </c>
      <c r="AH7" s="50" t="e">
        <f ca="1">IFERROR(VLOOKUP(Tableau21[[#This Row],[Key(ID-Next)]],'DATA BTO'!A:N,12,FALSE),VLOOKUP(_xlfn.CONCAT(Tableau21[[#This Row],[ID]],"-","Actif"),'DATA BTO'!A:N,12,FALSE))</f>
        <v>#N/A</v>
      </c>
      <c r="AI7" s="53" t="e">
        <f ca="1">IFERROR(VLOOKUP(Tableau21[[#This Row],[Key(ID-Next)]],'DATA BTO'!A:N,14,FALSE),VLOOKUP(_xlfn.CONCAT(Tableau21[[#This Row],[ID]],"-","Actif"),'DATA BTO'!A:N,14,FALSE))</f>
        <v>#N/A</v>
      </c>
      <c r="AJ7" s="54" t="e">
        <f ca="1">VLOOKUP(Tableau21[[#This Row],[Key(POD -PFI- Usine)]],'DATA Consignee'!A:F,6,FALSE)</f>
        <v>#N/A</v>
      </c>
      <c r="AK7" s="284" t="s">
        <v>169</v>
      </c>
      <c r="AL7" s="376">
        <f>IF(Tableau21[[#This Row],[Name PFI/CDD]]="","-",VLOOKUP(Tableau21[[#This Row],[Name PFI/CDD]],Plant_AILN!I:J,2,FALSE))</f>
        <v>91018400</v>
      </c>
      <c r="AM7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7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7" s="2" t="e">
        <f ca="1">VLOOKUP(Tableau21[[#This Row],[Key(POD -PFI- Usine)]],'DATA Consignee'!A:J,10,FALSE)</f>
        <v>#N/A</v>
      </c>
      <c r="AP7" s="50" t="e">
        <f ca="1">VLOOKUP(Tableau21[[#This Row],[Key(POD -PFI- Usine)]],'DATA Consignee'!A:N,14,FALSE)</f>
        <v>#N/A</v>
      </c>
      <c r="AQ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7" s="50" t="e">
        <f ca="1">Tableau21[[#This Row],[Transit time]]+Tableau21[[#This Row],[Time for security]]+Tableau21[[#This Row],[Time for security2 buffer]]</f>
        <v>#N/A</v>
      </c>
      <c r="AT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7" s="50" t="e">
        <f ca="1">Tableau21[[#This Row],[Leadtime SI2C]]+Tableau21[[#This Row],[First Receipt Days]]-Tableau21[[#This Row],[Day Customer Order]]+1</f>
        <v>#N/A</v>
      </c>
      <c r="AV7" s="119" t="e">
        <f ca="1">IF(Tableau21[[#This Row],[Name ILN]]&lt;&gt;"SFK Freight Forwarder",Tableau21[[#This Row],[Cust. Leadtime]],Tableau21[[#This Row],[Leadtime SI2C]])</f>
        <v>#N/A</v>
      </c>
      <c r="AW7" s="59" t="s">
        <v>195</v>
      </c>
      <c r="AX7" s="338" t="e">
        <f ca="1">IFERROR(VLOOKUP(Tableau21[[#This Row],[Key(ID-Next)]],'DATA BTO'!A:N,3,FALSE),VLOOKUP(Tableau21[[#This Row],[ID]],'DATA BTO'!B:N,2,FALSE))</f>
        <v>#N/A</v>
      </c>
      <c r="AY7" s="50" t="str">
        <f>IF(ISNUMBER(Tableau21[[#This Row],[Day Customer Order]]),"-","Please Check 'Name' information in 'Order' Sheet to make sure they have information")</f>
        <v>-</v>
      </c>
      <c r="AZ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8" spans="2:55">
      <c r="B8" s="67" t="str">
        <f>_xlfn.CONCAT(Tableau21[[#This Row],[Name ILN]],"-",Tableau21[[#This Row],[Name Shipper]],"-",Tableau21[[#This Row],[Name Site]])</f>
        <v>ILN Curitiba-ILN Curitiba-TANGER</v>
      </c>
      <c r="C8" s="66" t="e">
        <f ca="1">_xlfn.CONCAT(Tableau21[[#This Row],[Compte ILN]],"-",Tableau21[[#This Row],[Compte Shipper]],"-",Tableau21[[#This Row],[POL]],"-",Tableau21[[#This Row],[Compte Site]])</f>
        <v>#N/A</v>
      </c>
      <c r="D8" s="66" t="e">
        <f ca="1">_xlfn.CONCAT(Tableau21[[#This Row],[Compte ILN]],"-",Tableau21[[#This Row],[Compte Shipper]],"-",Tableau21[[#This Row],[POL]])</f>
        <v>#N/A</v>
      </c>
      <c r="E8" s="130" t="e">
        <f ca="1">_xlfn.CONCAT(Tableau21[[#This Row],[POL]],"-",Tableau21[[#This Row],[Carrier]],"-",Tableau21[[#This Row],[POD]])</f>
        <v>#N/A</v>
      </c>
      <c r="F8" s="66" t="str">
        <f>_xlfn.CONCAT(Tableau21[[#This Row],[ID]],"-","Next")</f>
        <v>759-Next</v>
      </c>
      <c r="G8" s="66" t="e">
        <f ca="1">_xlfn.CONCAT(Tableau21[[#This Row],[POD]],"-",Tableau21[[#This Row],[Code PFI]],"-",Tableau21[[#This Row],[Compte Site]])</f>
        <v>#N/A</v>
      </c>
      <c r="H8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8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8" s="119" t="str">
        <f ca="1">IF(COUNTIF(I:I,Tableau21[[#This Row],[Plant-ILN-shipper-POL-Carrier-POD-PFI]])=1,"Non","Oui")</f>
        <v>Oui</v>
      </c>
      <c r="K8" s="128" t="str">
        <f>VLOOKUP(Tableau21[[#This Row],[Name Site]],Plant_AILN!A:D,4,FALSE)</f>
        <v>MOROCCO</v>
      </c>
      <c r="L8" s="76" t="s">
        <v>180</v>
      </c>
      <c r="M8" s="365">
        <f>VLOOKUP(Tableau21[[#This Row],[Name Site]],Plant_AILN!A:C,3,FALSE)</f>
        <v>900383</v>
      </c>
      <c r="N8" s="55">
        <f>VLOOKUP(Tableau21[[#This Row],[Compte Site]],Order!C:D,2,FALSE)</f>
        <v>7</v>
      </c>
      <c r="O8" s="126" t="s">
        <v>163</v>
      </c>
      <c r="P8" s="365">
        <f>VLOOKUP(Tableau21[[#This Row],[Name ILN]],Plant_AILN!F:G,2,FALSE)</f>
        <v>95207</v>
      </c>
      <c r="Q8" s="50">
        <f>VLOOKUP(Tableau21[[#This Row],[Compte ILN]],'DATA ILN'!D:I,6,FALSE)</f>
        <v>9</v>
      </c>
      <c r="R8" s="50" t="e">
        <f ca="1">IFERROR(VLOOKUP(Tableau21[[#This Row],[Key(Compte ILN - shipper - POL - plant)]],'DATA ILN'!A:J,10,FALSE),VLOOKUP(Tableau21[[#This Row],[Key(Compte ILN - shipper - POL)]],'DATA ILN'!B:J,9,FALSE))</f>
        <v>#N/A</v>
      </c>
      <c r="S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8" s="50" t="e">
        <f ca="1">Tableau21[[#This Row],[Day ILN Order]]+Tableau21[[#This Row],[Delivery time to ILN/Shipper]]-1</f>
        <v>#N/A</v>
      </c>
      <c r="V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8" s="393" t="s">
        <v>163</v>
      </c>
      <c r="Y8" s="389">
        <f>IFERROR(VLOOKUP(Tableau21[[#This Row],[Name Shipper]],Plant_AILN!L:M,2,FALSE),0)</f>
        <v>95207</v>
      </c>
      <c r="Z8" s="105">
        <v>759</v>
      </c>
      <c r="AA8" s="396" t="e">
        <f ca="1">IFERROR(VLOOKUP(Tableau21[[#This Row],[Key(ID-Next)]],'DATA BTO'!A:N,5,FALSE),VLOOKUP(_xlfn.CONCAT(Tableau21[[#This Row],[ID]],"-","Actif"),'DATA BTO'!A:N,5,FALSE))</f>
        <v>#N/A</v>
      </c>
      <c r="AB8" s="3" t="e">
        <f ca="1">IFERROR(VLOOKUP(Tableau21[[#This Row],[Key(ID-Next)]],'DATA BTO'!A:N,6,FALSE),VLOOKUP(_xlfn.CONCAT(Tableau21[[#This Row],[ID]],"-","Actif"),'DATA BTO'!A:N,6,FALSE))</f>
        <v>#N/A</v>
      </c>
      <c r="AC8" s="50" t="e">
        <f ca="1">IFERROR(VLOOKUP(Tableau21[[#This Row],[Key(ID-Next)]],'DATA BTO'!A:N,7,FALSE),VLOOKUP(_xlfn.CONCAT(Tableau21[[#This Row],[ID]],"-","Actif"),'DATA BTO'!A:N,7,FALSE))</f>
        <v>#N/A</v>
      </c>
      <c r="AD8" s="50" t="e">
        <f ca="1">IFERROR(VLOOKUP(Tableau21[[#This Row],[Key(ID-Next)]],'DATA BTO'!A:N,8,FALSE),VLOOKUP(_xlfn.CONCAT(Tableau21[[#This Row],[ID]],"-","Actif"),'DATA BTO'!A:N,8,FALSE))</f>
        <v>#N/A</v>
      </c>
      <c r="AE8" s="50" t="e">
        <f ca="1">IFERROR(VLOOKUP(Tableau21[[#This Row],[Key(ID-Next)]],'DATA BTO'!A:N,9,FALSE),VLOOKUP(_xlfn.CONCAT(Tableau21[[#This Row],[ID]],"-","Actif"),'DATA BTO'!A:N,9,FALSE))</f>
        <v>#N/A</v>
      </c>
      <c r="AF8" s="3" t="e">
        <f ca="1">IFERROR(VLOOKUP(Tableau21[[#This Row],[Key(ID-Next)]],'DATA BTO'!A:N,10,FALSE),VLOOKUP(_xlfn.CONCAT(Tableau21[[#This Row],[ID]],"-","Actif"),'DATA BTO'!A:N,10,FALSE))</f>
        <v>#N/A</v>
      </c>
      <c r="AG8" s="3" t="e">
        <f ca="1">IFERROR(VLOOKUP(Tableau21[[#This Row],[Key(ID-Next)]],'DATA BTO'!A:N,11,FALSE),VLOOKUP(_xlfn.CONCAT(Tableau21[[#This Row],[ID]],"-","Actif"),'DATA BTO'!A:N,11,FALSE))</f>
        <v>#N/A</v>
      </c>
      <c r="AH8" s="50" t="e">
        <f ca="1">IFERROR(VLOOKUP(Tableau21[[#This Row],[Key(ID-Next)]],'DATA BTO'!A:N,12,FALSE),VLOOKUP(_xlfn.CONCAT(Tableau21[[#This Row],[ID]],"-","Actif"),'DATA BTO'!A:N,12,FALSE))</f>
        <v>#N/A</v>
      </c>
      <c r="AI8" s="53" t="e">
        <f ca="1">IFERROR(VLOOKUP(Tableau21[[#This Row],[Key(ID-Next)]],'DATA BTO'!A:N,14,FALSE),VLOOKUP(_xlfn.CONCAT(Tableau21[[#This Row],[ID]],"-","Actif"),'DATA BTO'!A:N,14,FALSE))</f>
        <v>#N/A</v>
      </c>
      <c r="AJ8" s="54" t="e">
        <f ca="1">VLOOKUP(Tableau21[[#This Row],[Key(POD -PFI- Usine)]],'DATA Consignee'!A:F,6,FALSE)</f>
        <v>#N/A</v>
      </c>
      <c r="AK8" s="284"/>
      <c r="AL8" s="376" t="str">
        <f>IF(Tableau21[[#This Row],[Name PFI/CDD]]="","-",VLOOKUP(Tableau21[[#This Row],[Name PFI/CDD]],Plant_AILN!I:J,2,FALSE))</f>
        <v>-</v>
      </c>
      <c r="AM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8" s="2" t="e">
        <f ca="1">VLOOKUP(Tableau21[[#This Row],[Key(POD -PFI- Usine)]],'DATA Consignee'!A:J,10,FALSE)</f>
        <v>#N/A</v>
      </c>
      <c r="AP8" s="50" t="e">
        <f ca="1">VLOOKUP(Tableau21[[#This Row],[Key(POD -PFI- Usine)]],'DATA Consignee'!A:N,14,FALSE)</f>
        <v>#N/A</v>
      </c>
      <c r="AQ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8" s="50" t="e">
        <f ca="1">Tableau21[[#This Row],[Transit time]]+Tableau21[[#This Row],[Time for security]]+Tableau21[[#This Row],[Time for security2 buffer]]</f>
        <v>#N/A</v>
      </c>
      <c r="AT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8" s="50" t="e">
        <f ca="1">Tableau21[[#This Row],[Leadtime SI2C]]+Tableau21[[#This Row],[First Receipt Days]]-Tableau21[[#This Row],[Day Customer Order]]+1</f>
        <v>#N/A</v>
      </c>
      <c r="AV8" s="119" t="e">
        <f ca="1">IF(Tableau21[[#This Row],[Name ILN]]&lt;&gt;"SFK Freight Forwarder",Tableau21[[#This Row],[Cust. Leadtime]],Tableau21[[#This Row],[Leadtime SI2C]])</f>
        <v>#N/A</v>
      </c>
      <c r="AW8" s="59"/>
      <c r="AX8" s="338" t="e">
        <f ca="1">IFERROR(VLOOKUP(Tableau21[[#This Row],[Key(ID-Next)]],'DATA BTO'!A:N,3,FALSE),VLOOKUP(Tableau21[[#This Row],[ID]],'DATA BTO'!B:N,2,FALSE))</f>
        <v>#N/A</v>
      </c>
      <c r="AY8" s="50" t="str">
        <f>IF(ISNUMBER(Tableau21[[#This Row],[Day Customer Order]]),"-","Please Check 'Name' information in 'Order' Sheet to make sure they have information")</f>
        <v>-</v>
      </c>
      <c r="AZ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9" spans="2:55">
      <c r="B9" s="67" t="str">
        <f>_xlfn.CONCAT(Tableau21[[#This Row],[Name ILN]],"-",Tableau21[[#This Row],[Name Shipper]],"-",Tableau21[[#This Row],[Name Site]])</f>
        <v>ILN Curitiba-ILN Curitiba-SOMACA</v>
      </c>
      <c r="C9" s="66" t="e">
        <f ca="1">_xlfn.CONCAT(Tableau21[[#This Row],[Compte ILN]],"-",Tableau21[[#This Row],[Compte Shipper]],"-",Tableau21[[#This Row],[POL]],"-",Tableau21[[#This Row],[Compte Site]])</f>
        <v>#N/A</v>
      </c>
      <c r="D9" s="66" t="e">
        <f ca="1">_xlfn.CONCAT(Tableau21[[#This Row],[Compte ILN]],"-",Tableau21[[#This Row],[Compte Shipper]],"-",Tableau21[[#This Row],[POL]])</f>
        <v>#N/A</v>
      </c>
      <c r="E9" s="130" t="e">
        <f ca="1">_xlfn.CONCAT(Tableau21[[#This Row],[POL]],"-",Tableau21[[#This Row],[Carrier]],"-",Tableau21[[#This Row],[POD]])</f>
        <v>#N/A</v>
      </c>
      <c r="F9" s="66" t="str">
        <f>_xlfn.CONCAT(Tableau21[[#This Row],[ID]],"-","Next")</f>
        <v>759-Next</v>
      </c>
      <c r="G9" s="66" t="e">
        <f ca="1">_xlfn.CONCAT(Tableau21[[#This Row],[POD]],"-",Tableau21[[#This Row],[Code PFI]],"-",Tableau21[[#This Row],[Compte Site]])</f>
        <v>#N/A</v>
      </c>
      <c r="H9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9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9" s="119" t="str">
        <f ca="1">IF(COUNTIF(I:I,Tableau21[[#This Row],[Plant-ILN-shipper-POL-Carrier-POD-PFI]])=1,"Non","Oui")</f>
        <v>Oui</v>
      </c>
      <c r="K9" s="128" t="str">
        <f>VLOOKUP(Tableau21[[#This Row],[Name Site]],Plant_AILN!A:D,4,FALSE)</f>
        <v>MOROCCO</v>
      </c>
      <c r="L9" s="76" t="s">
        <v>179</v>
      </c>
      <c r="M9" s="365">
        <f>VLOOKUP(Tableau21[[#This Row],[Name Site]],Plant_AILN!A:C,3,FALSE)</f>
        <v>90038200</v>
      </c>
      <c r="N9" s="55">
        <f>VLOOKUP(Tableau21[[#This Row],[Compte Site]],Order!C:D,2,FALSE)</f>
        <v>7</v>
      </c>
      <c r="O9" s="126" t="s">
        <v>163</v>
      </c>
      <c r="P9" s="365">
        <f>VLOOKUP(Tableau21[[#This Row],[Name ILN]],Plant_AILN!F:G,2,FALSE)</f>
        <v>95207</v>
      </c>
      <c r="Q9" s="50">
        <f>VLOOKUP(Tableau21[[#This Row],[Compte ILN]],'DATA ILN'!D:I,6,FALSE)</f>
        <v>9</v>
      </c>
      <c r="R9" s="50" t="e">
        <f ca="1">IFERROR(VLOOKUP(Tableau21[[#This Row],[Key(Compte ILN - shipper - POL - plant)]],'DATA ILN'!A:J,10,FALSE),VLOOKUP(Tableau21[[#This Row],[Key(Compte ILN - shipper - POL)]],'DATA ILN'!B:J,9,FALSE))</f>
        <v>#N/A</v>
      </c>
      <c r="S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9" s="50" t="e">
        <f ca="1">Tableau21[[#This Row],[Day ILN Order]]+Tableau21[[#This Row],[Delivery time to ILN/Shipper]]-1</f>
        <v>#N/A</v>
      </c>
      <c r="V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9" s="393" t="s">
        <v>163</v>
      </c>
      <c r="Y9" s="389">
        <f>IFERROR(VLOOKUP(Tableau21[[#This Row],[Name Shipper]],Plant_AILN!L:M,2,FALSE),0)</f>
        <v>95207</v>
      </c>
      <c r="Z9" s="105">
        <v>759</v>
      </c>
      <c r="AA9" s="396" t="e">
        <f ca="1">IFERROR(VLOOKUP(Tableau21[[#This Row],[Key(ID-Next)]],'DATA BTO'!A:N,5,FALSE),VLOOKUP(_xlfn.CONCAT(Tableau21[[#This Row],[ID]],"-","Actif"),'DATA BTO'!A:N,5,FALSE))</f>
        <v>#N/A</v>
      </c>
      <c r="AB9" s="3" t="e">
        <f ca="1">IFERROR(VLOOKUP(Tableau21[[#This Row],[Key(ID-Next)]],'DATA BTO'!A:N,6,FALSE),VLOOKUP(_xlfn.CONCAT(Tableau21[[#This Row],[ID]],"-","Actif"),'DATA BTO'!A:N,6,FALSE))</f>
        <v>#N/A</v>
      </c>
      <c r="AC9" s="50" t="e">
        <f ca="1">IFERROR(VLOOKUP(Tableau21[[#This Row],[Key(ID-Next)]],'DATA BTO'!A:N,7,FALSE),VLOOKUP(_xlfn.CONCAT(Tableau21[[#This Row],[ID]],"-","Actif"),'DATA BTO'!A:N,7,FALSE))</f>
        <v>#N/A</v>
      </c>
      <c r="AD9" s="50" t="e">
        <f ca="1">IFERROR(VLOOKUP(Tableau21[[#This Row],[Key(ID-Next)]],'DATA BTO'!A:N,8,FALSE),VLOOKUP(_xlfn.CONCAT(Tableau21[[#This Row],[ID]],"-","Actif"),'DATA BTO'!A:N,8,FALSE))</f>
        <v>#N/A</v>
      </c>
      <c r="AE9" s="50" t="e">
        <f ca="1">IFERROR(VLOOKUP(Tableau21[[#This Row],[Key(ID-Next)]],'DATA BTO'!A:N,9,FALSE),VLOOKUP(_xlfn.CONCAT(Tableau21[[#This Row],[ID]],"-","Actif"),'DATA BTO'!A:N,9,FALSE))</f>
        <v>#N/A</v>
      </c>
      <c r="AF9" s="3" t="e">
        <f ca="1">IFERROR(VLOOKUP(Tableau21[[#This Row],[Key(ID-Next)]],'DATA BTO'!A:N,10,FALSE),VLOOKUP(_xlfn.CONCAT(Tableau21[[#This Row],[ID]],"-","Actif"),'DATA BTO'!A:N,10,FALSE))</f>
        <v>#N/A</v>
      </c>
      <c r="AG9" s="3" t="e">
        <f ca="1">IFERROR(VLOOKUP(Tableau21[[#This Row],[Key(ID-Next)]],'DATA BTO'!A:N,11,FALSE),VLOOKUP(_xlfn.CONCAT(Tableau21[[#This Row],[ID]],"-","Actif"),'DATA BTO'!A:N,11,FALSE))</f>
        <v>#N/A</v>
      </c>
      <c r="AH9" s="50" t="e">
        <f ca="1">IFERROR(VLOOKUP(Tableau21[[#This Row],[Key(ID-Next)]],'DATA BTO'!A:N,12,FALSE),VLOOKUP(_xlfn.CONCAT(Tableau21[[#This Row],[ID]],"-","Actif"),'DATA BTO'!A:N,12,FALSE))</f>
        <v>#N/A</v>
      </c>
      <c r="AI9" s="53" t="e">
        <f ca="1">IFERROR(VLOOKUP(Tableau21[[#This Row],[Key(ID-Next)]],'DATA BTO'!A:N,14,FALSE),VLOOKUP(_xlfn.CONCAT(Tableau21[[#This Row],[ID]],"-","Actif"),'DATA BTO'!A:N,14,FALSE))</f>
        <v>#N/A</v>
      </c>
      <c r="AJ9" s="54" t="e">
        <f ca="1">VLOOKUP(Tableau21[[#This Row],[Key(POD -PFI- Usine)]],'DATA Consignee'!A:F,6,FALSE)</f>
        <v>#N/A</v>
      </c>
      <c r="AK9" s="284"/>
      <c r="AL9" s="376" t="str">
        <f>IF(Tableau21[[#This Row],[Name PFI/CDD]]="","-",VLOOKUP(Tableau21[[#This Row],[Name PFI/CDD]],Plant_AILN!I:J,2,FALSE))</f>
        <v>-</v>
      </c>
      <c r="AM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9" s="2" t="e">
        <f ca="1">VLOOKUP(Tableau21[[#This Row],[Key(POD -PFI- Usine)]],'DATA Consignee'!A:J,10,FALSE)</f>
        <v>#N/A</v>
      </c>
      <c r="AP9" s="50" t="e">
        <f ca="1">VLOOKUP(Tableau21[[#This Row],[Key(POD -PFI- Usine)]],'DATA Consignee'!A:N,14,FALSE)</f>
        <v>#N/A</v>
      </c>
      <c r="AQ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9" s="50" t="e">
        <f ca="1">Tableau21[[#This Row],[Transit time]]+Tableau21[[#This Row],[Time for security]]+Tableau21[[#This Row],[Time for security2 buffer]]</f>
        <v>#N/A</v>
      </c>
      <c r="AT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9" s="50" t="e">
        <f ca="1">Tableau21[[#This Row],[Leadtime SI2C]]+Tableau21[[#This Row],[First Receipt Days]]-Tableau21[[#This Row],[Day Customer Order]]+1</f>
        <v>#N/A</v>
      </c>
      <c r="AV9" s="119" t="e">
        <f ca="1">IF(Tableau21[[#This Row],[Name ILN]]&lt;&gt;"SFK Freight Forwarder",Tableau21[[#This Row],[Cust. Leadtime]],Tableau21[[#This Row],[Leadtime SI2C]])</f>
        <v>#N/A</v>
      </c>
      <c r="AW9" s="59"/>
      <c r="AX9" s="338" t="e">
        <f ca="1">IFERROR(VLOOKUP(Tableau21[[#This Row],[Key(ID-Next)]],'DATA BTO'!A:N,3,FALSE),VLOOKUP(Tableau21[[#This Row],[ID]],'DATA BTO'!B:N,2,FALSE))</f>
        <v>#N/A</v>
      </c>
      <c r="AY9" s="50" t="str">
        <f>IF(ISNUMBER(Tableau21[[#This Row],[Day Customer Order]]),"-","Please Check 'Name' information in 'Order' Sheet to make sure they have information")</f>
        <v>-</v>
      </c>
      <c r="AZ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0" spans="2:55">
      <c r="B10" s="67" t="str">
        <f>_xlfn.CONCAT(Tableau21[[#This Row],[Name ILN]],"-",Tableau21[[#This Row],[Name Shipper]],"-",Tableau21[[#This Row],[Name Site]])</f>
        <v>ILN FR-ILN FR-RKM</v>
      </c>
      <c r="C10" s="66" t="e">
        <f ca="1">_xlfn.CONCAT(Tableau21[[#This Row],[Compte ILN]],"-",Tableau21[[#This Row],[Compte Shipper]],"-",Tableau21[[#This Row],[POL]],"-",Tableau21[[#This Row],[Compte Site]])</f>
        <v>#N/A</v>
      </c>
      <c r="D10" s="66" t="e">
        <f ca="1">_xlfn.CONCAT(Tableau21[[#This Row],[Compte ILN]],"-",Tableau21[[#This Row],[Compte Shipper]],"-",Tableau21[[#This Row],[POL]])</f>
        <v>#N/A</v>
      </c>
      <c r="E10" s="130" t="e">
        <f ca="1">_xlfn.CONCAT(Tableau21[[#This Row],[POL]],"-",Tableau21[[#This Row],[Carrier]],"-",Tableau21[[#This Row],[POD]])</f>
        <v>#N/A</v>
      </c>
      <c r="F10" s="66" t="str">
        <f>_xlfn.CONCAT(Tableau21[[#This Row],[ID]],"-","Next")</f>
        <v>58-Next</v>
      </c>
      <c r="G10" s="66" t="e">
        <f ca="1">_xlfn.CONCAT(Tableau21[[#This Row],[POD]],"-",Tableau21[[#This Row],[Code PFI]],"-",Tableau21[[#This Row],[Compte Site]])</f>
        <v>#N/A</v>
      </c>
      <c r="H10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0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0" s="119" t="str">
        <f ca="1">IF(COUNTIF(I:I,Tableau21[[#This Row],[Plant-ILN-shipper-POL-Carrier-POD-PFI]])=1,"Non","Oui")</f>
        <v>Oui</v>
      </c>
      <c r="K10" s="128" t="str">
        <f>VLOOKUP(Tableau21[[#This Row],[Name Site]],Plant_AILN!A:D,4,FALSE)</f>
        <v>KOREA</v>
      </c>
      <c r="L10" s="76" t="s">
        <v>145</v>
      </c>
      <c r="M10" s="365">
        <f>VLOOKUP(Tableau21[[#This Row],[Name Site]],Plant_AILN!A:C,3,FALSE)</f>
        <v>92002200</v>
      </c>
      <c r="N10" s="55">
        <f>VLOOKUP(Tableau21[[#This Row],[Compte Site]],Order!C:D,2,FALSE)</f>
        <v>2</v>
      </c>
      <c r="O10" s="126" t="s">
        <v>143</v>
      </c>
      <c r="P10" s="365">
        <f>VLOOKUP(Tableau21[[#This Row],[Name ILN]],Plant_AILN!F:G,2,FALSE)</f>
        <v>92000100</v>
      </c>
      <c r="Q10" s="50">
        <f>VLOOKUP(Tableau21[[#This Row],[Compte ILN]],'DATA ILN'!D:I,6,FALSE)</f>
        <v>9</v>
      </c>
      <c r="R10" s="50" t="e">
        <f ca="1">IFERROR(VLOOKUP(Tableau21[[#This Row],[Key(Compte ILN - shipper - POL - plant)]],'DATA ILN'!A:J,10,FALSE),VLOOKUP(Tableau21[[#This Row],[Key(Compte ILN - shipper - POL)]],'DATA ILN'!B:J,9,FALSE))</f>
        <v>#N/A</v>
      </c>
      <c r="S1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0" s="50" t="e">
        <f ca="1">Tableau21[[#This Row],[Day ILN Order]]+Tableau21[[#This Row],[Delivery time to ILN/Shipper]]-1</f>
        <v>#N/A</v>
      </c>
      <c r="V1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0" s="392" t="s">
        <v>143</v>
      </c>
      <c r="Y10" s="389">
        <f>IFERROR(VLOOKUP(Tableau21[[#This Row],[Name Shipper]],Plant_AILN!L:M,2,FALSE),0)</f>
        <v>92000100</v>
      </c>
      <c r="Z10" s="105">
        <v>58</v>
      </c>
      <c r="AA10" s="396" t="e">
        <f ca="1">IFERROR(VLOOKUP(Tableau21[[#This Row],[Key(ID-Next)]],'DATA BTO'!A:N,5,FALSE),VLOOKUP(_xlfn.CONCAT(Tableau21[[#This Row],[ID]],"-","Actif"),'DATA BTO'!A:N,5,FALSE))</f>
        <v>#N/A</v>
      </c>
      <c r="AB10" s="3" t="e">
        <f ca="1">IFERROR(VLOOKUP(Tableau21[[#This Row],[Key(ID-Next)]],'DATA BTO'!A:N,6,FALSE),VLOOKUP(_xlfn.CONCAT(Tableau21[[#This Row],[ID]],"-","Actif"),'DATA BTO'!A:N,6,FALSE))</f>
        <v>#N/A</v>
      </c>
      <c r="AC10" s="50" t="e">
        <f ca="1">IFERROR(VLOOKUP(Tableau21[[#This Row],[Key(ID-Next)]],'DATA BTO'!A:N,7,FALSE),VLOOKUP(_xlfn.CONCAT(Tableau21[[#This Row],[ID]],"-","Actif"),'DATA BTO'!A:N,7,FALSE))</f>
        <v>#N/A</v>
      </c>
      <c r="AD10" s="50" t="e">
        <f ca="1">IFERROR(VLOOKUP(Tableau21[[#This Row],[Key(ID-Next)]],'DATA BTO'!A:N,8,FALSE),VLOOKUP(_xlfn.CONCAT(Tableau21[[#This Row],[ID]],"-","Actif"),'DATA BTO'!A:N,8,FALSE))</f>
        <v>#N/A</v>
      </c>
      <c r="AE10" s="50" t="e">
        <f ca="1">IFERROR(VLOOKUP(Tableau21[[#This Row],[Key(ID-Next)]],'DATA BTO'!A:N,9,FALSE),VLOOKUP(_xlfn.CONCAT(Tableau21[[#This Row],[ID]],"-","Actif"),'DATA BTO'!A:N,9,FALSE))</f>
        <v>#N/A</v>
      </c>
      <c r="AF10" s="3" t="e">
        <f ca="1">IFERROR(VLOOKUP(Tableau21[[#This Row],[Key(ID-Next)]],'DATA BTO'!A:N,10,FALSE),VLOOKUP(_xlfn.CONCAT(Tableau21[[#This Row],[ID]],"-","Actif"),'DATA BTO'!A:N,10,FALSE))</f>
        <v>#N/A</v>
      </c>
      <c r="AG10" s="3" t="e">
        <f ca="1">IFERROR(VLOOKUP(Tableau21[[#This Row],[Key(ID-Next)]],'DATA BTO'!A:N,11,FALSE),VLOOKUP(_xlfn.CONCAT(Tableau21[[#This Row],[ID]],"-","Actif"),'DATA BTO'!A:N,11,FALSE))</f>
        <v>#N/A</v>
      </c>
      <c r="AH10" s="50" t="e">
        <f ca="1">IFERROR(VLOOKUP(Tableau21[[#This Row],[Key(ID-Next)]],'DATA BTO'!A:N,12,FALSE),VLOOKUP(_xlfn.CONCAT(Tableau21[[#This Row],[ID]],"-","Actif"),'DATA BTO'!A:N,12,FALSE))</f>
        <v>#N/A</v>
      </c>
      <c r="AI10" s="53" t="e">
        <f ca="1">IFERROR(VLOOKUP(Tableau21[[#This Row],[Key(ID-Next)]],'DATA BTO'!A:N,14,FALSE),VLOOKUP(_xlfn.CONCAT(Tableau21[[#This Row],[ID]],"-","Actif"),'DATA BTO'!A:N,14,FALSE))</f>
        <v>#N/A</v>
      </c>
      <c r="AJ10" s="54" t="e">
        <f ca="1">VLOOKUP(Tableau21[[#This Row],[Key(POD -PFI- Usine)]],'DATA Consignee'!A:F,6,FALSE)</f>
        <v>#N/A</v>
      </c>
      <c r="AK10" s="284"/>
      <c r="AL10" s="376" t="str">
        <f>IF(Tableau21[[#This Row],[Name PFI/CDD]]="","-",VLOOKUP(Tableau21[[#This Row],[Name PFI/CDD]],Plant_AILN!I:J,2,FALSE))</f>
        <v>-</v>
      </c>
      <c r="AM1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0" s="2" t="e">
        <f ca="1">VLOOKUP(Tableau21[[#This Row],[Key(POD -PFI- Usine)]],'DATA Consignee'!A:J,10,FALSE)</f>
        <v>#N/A</v>
      </c>
      <c r="AP10" s="50" t="e">
        <f ca="1">VLOOKUP(Tableau21[[#This Row],[Key(POD -PFI- Usine)]],'DATA Consignee'!A:N,14,FALSE)</f>
        <v>#N/A</v>
      </c>
      <c r="AQ1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0" s="50" t="e">
        <f ca="1">Tableau21[[#This Row],[Transit time]]+Tableau21[[#This Row],[Time for security]]+Tableau21[[#This Row],[Time for security2 buffer]]</f>
        <v>#N/A</v>
      </c>
      <c r="AT1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0" s="50" t="e">
        <f ca="1">Tableau21[[#This Row],[Leadtime SI2C]]+Tableau21[[#This Row],[First Receipt Days]]-Tableau21[[#This Row],[Day Customer Order]]+1</f>
        <v>#N/A</v>
      </c>
      <c r="AV10" s="119" t="e">
        <f ca="1">IF(Tableau21[[#This Row],[Name ILN]]&lt;&gt;"SFK Freight Forwarder",Tableau21[[#This Row],[Cust. Leadtime]],Tableau21[[#This Row],[Leadtime SI2C]])</f>
        <v>#N/A</v>
      </c>
      <c r="AW10" s="59"/>
      <c r="AX10" s="338" t="e">
        <f ca="1">IFERROR(VLOOKUP(Tableau21[[#This Row],[Key(ID-Next)]],'DATA BTO'!A:N,3,FALSE),VLOOKUP(Tableau21[[#This Row],[ID]],'DATA BTO'!B:N,2,FALSE))</f>
        <v>#N/A</v>
      </c>
      <c r="AY10" s="50" t="str">
        <f>IF(ISNUMBER(Tableau21[[#This Row],[Day Customer Order]]),"-","Please Check 'Name' information in 'Order' Sheet to make sure they have information")</f>
        <v>-</v>
      </c>
      <c r="AZ1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1" spans="2:55">
      <c r="B11" s="67" t="str">
        <f>_xlfn.CONCAT(Tableau21[[#This Row],[Name ILN]],"-",Tableau21[[#This Row],[Name Shipper]],"-",Tableau21[[#This Row],[Name Site]])</f>
        <v>ILN Cordoba-ILN Cordoba-ORAN</v>
      </c>
      <c r="C11" s="82" t="e">
        <f ca="1">_xlfn.CONCAT(Tableau21[[#This Row],[Compte ILN]],"-",Tableau21[[#This Row],[Compte Shipper]],"-",Tableau21[[#This Row],[POL]],"-",Tableau21[[#This Row],[Compte Site]])</f>
        <v>#N/A</v>
      </c>
      <c r="D11" s="82" t="e">
        <f ca="1">_xlfn.CONCAT(Tableau21[[#This Row],[Compte ILN]],"-",Tableau21[[#This Row],[Compte Shipper]],"-",Tableau21[[#This Row],[POL]])</f>
        <v>#N/A</v>
      </c>
      <c r="E11" s="83" t="e">
        <f ca="1">_xlfn.CONCAT(Tableau21[[#This Row],[POL]],"-",Tableau21[[#This Row],[Carrier]],"-",Tableau21[[#This Row],[POD]])</f>
        <v>#N/A</v>
      </c>
      <c r="F11" s="82" t="str">
        <f>_xlfn.CONCAT(Tableau21[[#This Row],[ID]],"-","Next")</f>
        <v>1999-Next</v>
      </c>
      <c r="G11" s="82" t="e">
        <f ca="1">_xlfn.CONCAT(Tableau21[[#This Row],[POD]],"-",Tableau21[[#This Row],[Code PFI]],"-",Tableau21[[#This Row],[Compte Site]])</f>
        <v>#N/A</v>
      </c>
      <c r="H11" s="117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1" s="85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1" s="120" t="str">
        <f ca="1">IF(COUNTIF(I:I,Tableau21[[#This Row],[Plant-ILN-shipper-POL-Carrier-POD-PFI]])=1,"Non","Oui")</f>
        <v>Oui</v>
      </c>
      <c r="K11" s="103" t="str">
        <f>VLOOKUP(Tableau21[[#This Row],[Name Site]],Plant_AILN!A:D,4,FALSE)</f>
        <v>ALGERIA</v>
      </c>
      <c r="L11" s="76" t="s">
        <v>198</v>
      </c>
      <c r="M11" s="366">
        <f>VLOOKUP(Tableau21[[#This Row],[Name Site]],Plant_AILN!A:C,3,FALSE)</f>
        <v>90021000</v>
      </c>
      <c r="N11" s="104">
        <f>VLOOKUP(Tableau21[[#This Row],[Compte Site]],Order!C:D,2,FALSE)</f>
        <v>7</v>
      </c>
      <c r="O11" s="126" t="s">
        <v>199</v>
      </c>
      <c r="P11" s="366">
        <f>VLOOKUP(Tableau21[[#This Row],[Name ILN]],Plant_AILN!F:G,2,FALSE)</f>
        <v>26376</v>
      </c>
      <c r="Q11" s="81">
        <f>VLOOKUP(Tableau21[[#This Row],[Compte ILN]],'DATA ILN'!D:I,6,FALSE)</f>
        <v>9</v>
      </c>
      <c r="R11" s="81" t="e">
        <f ca="1">IFERROR(VLOOKUP(Tableau21[[#This Row],[Key(Compte ILN - shipper - POL - plant)]],'DATA ILN'!A:J,10,FALSE),VLOOKUP(Tableau21[[#This Row],[Key(Compte ILN - shipper - POL)]],'DATA ILN'!B:J,9,FALSE))</f>
        <v>#N/A</v>
      </c>
      <c r="S11" s="81" t="e">
        <f ca="1">IFERROR(VLOOKUP(Tableau21[[#This Row],[Key(Compte ILN - shipper - POL - plant)]],'DATA ILN'!A:K,11,FALSE),VLOOKUP(Tableau21[[#This Row],[Key(Compte ILN - shipper - POL)]],'DATA ILN'!B:K,10,FALSE))</f>
        <v>#N/A</v>
      </c>
      <c r="T11" s="81" t="e">
        <f ca="1">IFERROR(VLOOKUP(Tableau21[[#This Row],[Key(Compte ILN - shipper - POL - plant)]],'DATA ILN'!A:L,12,FALSE),VLOOKUP(Tableau21[[#This Row],[Key(Compte ILN - shipper - POL)]],'DATA ILN'!B:L,11,FALSE))</f>
        <v>#N/A</v>
      </c>
      <c r="U11" s="81" t="e">
        <f ca="1">Tableau21[[#This Row],[Day ILN Order]]+Tableau21[[#This Row],[Delivery time to ILN/Shipper]]-1</f>
        <v>#N/A</v>
      </c>
      <c r="V11" s="81" t="e">
        <f ca="1">IFERROR(VLOOKUP(Tableau21[[#This Row],[Key(Compte ILN - shipper - POL - plant)]],'DATA ILN'!A:N,14,FALSE),VLOOKUP(Tableau21[[#This Row],[Key(Compte ILN - shipper - POL)]],'DATA ILN'!B:N,13,FALSE))</f>
        <v>#N/A</v>
      </c>
      <c r="W11" s="106" t="e">
        <f ca="1">IFERROR(VLOOKUP(Tableau21[[#This Row],[Key(Compte ILN - shipper - POL - plant)]],'DATA ILN'!A:P,16,FALSE),VLOOKUP(Tableau21[[#This Row],[Key(Compte ILN - shipper - POL)]],'DATA ILN'!B:P,15,FALSE))</f>
        <v>#N/A</v>
      </c>
      <c r="X11" s="393" t="s">
        <v>199</v>
      </c>
      <c r="Y11" s="390">
        <f>IFERROR(VLOOKUP(Tableau21[[#This Row],[Name Shipper]],Plant_AILN!L:M,2,FALSE),0)</f>
        <v>26376</v>
      </c>
      <c r="Z11" s="105">
        <v>1999</v>
      </c>
      <c r="AA11" s="397" t="e">
        <f ca="1">IFERROR(VLOOKUP(Tableau21[[#This Row],[Key(ID-Next)]],'DATA BTO'!A:N,5,FALSE),VLOOKUP(_xlfn.CONCAT(Tableau21[[#This Row],[ID]],"-","Actif"),'DATA BTO'!A:N,5,FALSE))</f>
        <v>#N/A</v>
      </c>
      <c r="AB11" s="108" t="e">
        <f ca="1">IFERROR(VLOOKUP(Tableau21[[#This Row],[Key(ID-Next)]],'DATA BTO'!A:N,6,FALSE),VLOOKUP(_xlfn.CONCAT(Tableau21[[#This Row],[ID]],"-","Actif"),'DATA BTO'!A:N,6,FALSE))</f>
        <v>#N/A</v>
      </c>
      <c r="AC11" s="81" t="e">
        <f ca="1">IFERROR(VLOOKUP(Tableau21[[#This Row],[Key(ID-Next)]],'DATA BTO'!A:N,7,FALSE),VLOOKUP(_xlfn.CONCAT(Tableau21[[#This Row],[ID]],"-","Actif"),'DATA BTO'!A:N,7,FALSE))</f>
        <v>#N/A</v>
      </c>
      <c r="AD11" s="81" t="e">
        <f ca="1">IFERROR(VLOOKUP(Tableau21[[#This Row],[Key(ID-Next)]],'DATA BTO'!A:N,8,FALSE),VLOOKUP(_xlfn.CONCAT(Tableau21[[#This Row],[ID]],"-","Actif"),'DATA BTO'!A:N,8,FALSE))</f>
        <v>#N/A</v>
      </c>
      <c r="AE11" s="81" t="e">
        <f ca="1">IFERROR(VLOOKUP(Tableau21[[#This Row],[Key(ID-Next)]],'DATA BTO'!A:N,9,FALSE),VLOOKUP(_xlfn.CONCAT(Tableau21[[#This Row],[ID]],"-","Actif"),'DATA BTO'!A:N,9,FALSE))</f>
        <v>#N/A</v>
      </c>
      <c r="AF11" s="108" t="e">
        <f ca="1">IFERROR(VLOOKUP(Tableau21[[#This Row],[Key(ID-Next)]],'DATA BTO'!A:N,10,FALSE),VLOOKUP(_xlfn.CONCAT(Tableau21[[#This Row],[ID]],"-","Actif"),'DATA BTO'!A:N,10,FALSE))</f>
        <v>#N/A</v>
      </c>
      <c r="AG11" s="108" t="e">
        <f ca="1">IFERROR(VLOOKUP(Tableau21[[#This Row],[Key(ID-Next)]],'DATA BTO'!A:N,11,FALSE),VLOOKUP(_xlfn.CONCAT(Tableau21[[#This Row],[ID]],"-","Actif"),'DATA BTO'!A:N,11,FALSE))</f>
        <v>#N/A</v>
      </c>
      <c r="AH11" s="81" t="e">
        <f ca="1">IFERROR(VLOOKUP(Tableau21[[#This Row],[Key(ID-Next)]],'DATA BTO'!A:N,12,FALSE),VLOOKUP(_xlfn.CONCAT(Tableau21[[#This Row],[ID]],"-","Actif"),'DATA BTO'!A:N,12,FALSE))</f>
        <v>#N/A</v>
      </c>
      <c r="AI11" s="106" t="e">
        <f ca="1">IFERROR(VLOOKUP(Tableau21[[#This Row],[Key(ID-Next)]],'DATA BTO'!A:N,14,FALSE),VLOOKUP(_xlfn.CONCAT(Tableau21[[#This Row],[ID]],"-","Actif"),'DATA BTO'!A:N,14,FALSE))</f>
        <v>#N/A</v>
      </c>
      <c r="AJ11" s="107" t="e">
        <f ca="1">VLOOKUP(Tableau21[[#This Row],[Key(POD -PFI- Usine)]],'DATA Consignee'!A:F,6,FALSE)</f>
        <v>#N/A</v>
      </c>
      <c r="AK11" s="102"/>
      <c r="AL11" s="375" t="str">
        <f>IF(Tableau21[[#This Row],[Name PFI/CDD]]="","-",VLOOKUP(Tableau21[[#This Row],[Name PFI/CDD]],Plant_AILN!I:J,2,FALSE))</f>
        <v>-</v>
      </c>
      <c r="AM11" s="109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1" s="109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1" s="110" t="e">
        <f ca="1">VLOOKUP(Tableau21[[#This Row],[Key(POD -PFI- Usine)]],'DATA Consignee'!A:J,10,FALSE)</f>
        <v>#N/A</v>
      </c>
      <c r="AP11" s="81" t="e">
        <f ca="1">VLOOKUP(Tableau21[[#This Row],[Key(POD -PFI- Usine)]],'DATA Consignee'!A:N,14,FALSE)</f>
        <v>#N/A</v>
      </c>
      <c r="AQ11" s="104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1" s="107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1" s="81" t="e">
        <f ca="1">Tableau21[[#This Row],[Transit time]]+Tableau21[[#This Row],[Time for security]]+Tableau21[[#This Row],[Time for security2 buffer]]</f>
        <v>#N/A</v>
      </c>
      <c r="AT11" s="81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1" s="81" t="e">
        <f ca="1">Tableau21[[#This Row],[Leadtime SI2C]]+Tableau21[[#This Row],[First Receipt Days]]-Tableau21[[#This Row],[Day Customer Order]]+1</f>
        <v>#N/A</v>
      </c>
      <c r="AV11" s="120" t="e">
        <f ca="1">IF(Tableau21[[#This Row],[Name ILN]]&lt;&gt;"SFK Freight Forwarder",Tableau21[[#This Row],[Cust. Leadtime]],Tableau21[[#This Row],[Leadtime SI2C]])</f>
        <v>#N/A</v>
      </c>
      <c r="AW11" s="76"/>
      <c r="AX11" s="388" t="e">
        <f ca="1">IFERROR(VLOOKUP(Tableau21[[#This Row],[Key(ID-Next)]],'DATA BTO'!A:N,3,FALSE),VLOOKUP(Tableau21[[#This Row],[ID]],'DATA BTO'!B:N,2,FALSE))</f>
        <v>#N/A</v>
      </c>
      <c r="AY11" s="81" t="str">
        <f>IF(ISNUMBER(Tableau21[[#This Row],[Day Customer Order]]),"-","Please Check 'Name' information in 'Order' Sheet to make sure they have information")</f>
        <v>-</v>
      </c>
      <c r="AZ11" s="81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1" s="81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1" s="104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2" spans="2:55">
      <c r="B12" s="67" t="str">
        <f>_xlfn.CONCAT(Tableau21[[#This Row],[Name ILN]],"-",Tableau21[[#This Row],[Name Shipper]],"-",Tableau21[[#This Row],[Name Site]])</f>
        <v>NSL Shanghai-NSL Shanghai-OYAK MEKA</v>
      </c>
      <c r="C12" s="66" t="e">
        <f ca="1">_xlfn.CONCAT(Tableau21[[#This Row],[Compte ILN]],"-",Tableau21[[#This Row],[Compte Shipper]],"-",Tableau21[[#This Row],[POL]],"-",Tableau21[[#This Row],[Compte Site]])</f>
        <v>#N/A</v>
      </c>
      <c r="D12" s="66" t="e">
        <f ca="1">_xlfn.CONCAT(Tableau21[[#This Row],[Compte ILN]],"-",Tableau21[[#This Row],[Compte Shipper]],"-",Tableau21[[#This Row],[POL]])</f>
        <v>#N/A</v>
      </c>
      <c r="E12" s="130" t="e">
        <f ca="1">_xlfn.CONCAT(Tableau21[[#This Row],[POL]],"-",Tableau21[[#This Row],[Carrier]],"-",Tableau21[[#This Row],[POD]])</f>
        <v>#N/A</v>
      </c>
      <c r="F12" s="66" t="str">
        <f>_xlfn.CONCAT(Tableau21[[#This Row],[ID]],"-","Next")</f>
        <v>AK15-Next</v>
      </c>
      <c r="G12" s="66" t="e">
        <f ca="1">_xlfn.CONCAT(Tableau21[[#This Row],[POD]],"-",Tableau21[[#This Row],[Code PFI]],"-",Tableau21[[#This Row],[Compte Site]])</f>
        <v>#N/A</v>
      </c>
      <c r="H12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2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2" s="119" t="str">
        <f ca="1">IF(COUNTIF(I:I,Tableau21[[#This Row],[Plant-ILN-shipper-POL-Carrier-POD-PFI]])=1,"Non","Oui")</f>
        <v>Oui</v>
      </c>
      <c r="K12" s="128" t="str">
        <f>VLOOKUP(Tableau21[[#This Row],[Name Site]],Plant_AILN!A:D,4,FALSE)</f>
        <v>TURKEY</v>
      </c>
      <c r="L12" s="59" t="s">
        <v>165</v>
      </c>
      <c r="M12" s="365">
        <f>VLOOKUP(Tableau21[[#This Row],[Name Site]],Plant_AILN!A:C,3,FALSE)</f>
        <v>90014400</v>
      </c>
      <c r="N12" s="55">
        <f>VLOOKUP(Tableau21[[#This Row],[Compte Site]],Order!C:D,2,FALSE)</f>
        <v>2</v>
      </c>
      <c r="O12" s="126" t="s">
        <v>187</v>
      </c>
      <c r="P12" s="365">
        <f>VLOOKUP(Tableau21[[#This Row],[Name ILN]],Plant_AILN!F:G,2,FALSE)</f>
        <v>27261102</v>
      </c>
      <c r="Q12" s="50">
        <f>VLOOKUP(Tableau21[[#This Row],[Compte ILN]],'DATA ILN'!D:I,6,FALSE)</f>
        <v>16</v>
      </c>
      <c r="R12" s="50" t="e">
        <f ca="1">IFERROR(VLOOKUP(Tableau21[[#This Row],[Key(Compte ILN - shipper - POL - plant)]],'DATA ILN'!A:J,10,FALSE),VLOOKUP(Tableau21[[#This Row],[Key(Compte ILN - shipper - POL)]],'DATA ILN'!B:J,9,FALSE))</f>
        <v>#N/A</v>
      </c>
      <c r="S1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2" s="50" t="e">
        <f ca="1">Tableau21[[#This Row],[Day ILN Order]]+Tableau21[[#This Row],[Delivery time to ILN/Shipper]]-1</f>
        <v>#N/A</v>
      </c>
      <c r="V1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2" s="392" t="s">
        <v>187</v>
      </c>
      <c r="Y12" s="389">
        <f>IFERROR(VLOOKUP(Tableau21[[#This Row],[Name Shipper]],Plant_AILN!L:M,2,FALSE),0)</f>
        <v>27261102</v>
      </c>
      <c r="Z12" s="195" t="s">
        <v>200</v>
      </c>
      <c r="AA12" s="396" t="e">
        <f ca="1">IFERROR(VLOOKUP(Tableau21[[#This Row],[Key(ID-Next)]],'DATA BTO'!A:N,5,FALSE),VLOOKUP(_xlfn.CONCAT(Tableau21[[#This Row],[ID]],"-","Actif"),'DATA BTO'!A:N,5,FALSE))</f>
        <v>#N/A</v>
      </c>
      <c r="AB12" s="3" t="e">
        <f ca="1">IFERROR(VLOOKUP(Tableau21[[#This Row],[Key(ID-Next)]],'DATA BTO'!A:N,6,FALSE),VLOOKUP(_xlfn.CONCAT(Tableau21[[#This Row],[ID]],"-","Actif"),'DATA BTO'!A:N,6,FALSE))</f>
        <v>#N/A</v>
      </c>
      <c r="AC12" s="50" t="e">
        <f ca="1">IFERROR(VLOOKUP(Tableau21[[#This Row],[Key(ID-Next)]],'DATA BTO'!A:N,7,FALSE),VLOOKUP(_xlfn.CONCAT(Tableau21[[#This Row],[ID]],"-","Actif"),'DATA BTO'!A:N,7,FALSE))</f>
        <v>#N/A</v>
      </c>
      <c r="AD12" s="50" t="e">
        <f ca="1">IFERROR(VLOOKUP(Tableau21[[#This Row],[Key(ID-Next)]],'DATA BTO'!A:N,8,FALSE),VLOOKUP(_xlfn.CONCAT(Tableau21[[#This Row],[ID]],"-","Actif"),'DATA BTO'!A:N,8,FALSE))</f>
        <v>#N/A</v>
      </c>
      <c r="AE12" s="50" t="e">
        <f ca="1">IFERROR(VLOOKUP(Tableau21[[#This Row],[Key(ID-Next)]],'DATA BTO'!A:N,9,FALSE),VLOOKUP(_xlfn.CONCAT(Tableau21[[#This Row],[ID]],"-","Actif"),'DATA BTO'!A:N,9,FALSE))</f>
        <v>#N/A</v>
      </c>
      <c r="AF12" s="3" t="e">
        <f ca="1">IFERROR(VLOOKUP(Tableau21[[#This Row],[Key(ID-Next)]],'DATA BTO'!A:N,10,FALSE),VLOOKUP(_xlfn.CONCAT(Tableau21[[#This Row],[ID]],"-","Actif"),'DATA BTO'!A:N,10,FALSE))</f>
        <v>#N/A</v>
      </c>
      <c r="AG12" s="3" t="e">
        <f ca="1">IFERROR(VLOOKUP(Tableau21[[#This Row],[Key(ID-Next)]],'DATA BTO'!A:N,11,FALSE),VLOOKUP(_xlfn.CONCAT(Tableau21[[#This Row],[ID]],"-","Actif"),'DATA BTO'!A:N,11,FALSE))</f>
        <v>#N/A</v>
      </c>
      <c r="AH12" s="50" t="e">
        <f ca="1">IFERROR(VLOOKUP(Tableau21[[#This Row],[Key(ID-Next)]],'DATA BTO'!A:N,12,FALSE),VLOOKUP(_xlfn.CONCAT(Tableau21[[#This Row],[ID]],"-","Actif"),'DATA BTO'!A:N,12,FALSE))</f>
        <v>#N/A</v>
      </c>
      <c r="AI12" s="53" t="e">
        <f ca="1">IFERROR(VLOOKUP(Tableau21[[#This Row],[Key(ID-Next)]],'DATA BTO'!A:N,14,FALSE),VLOOKUP(_xlfn.CONCAT(Tableau21[[#This Row],[ID]],"-","Actif"),'DATA BTO'!A:N,14,FALSE))</f>
        <v>#N/A</v>
      </c>
      <c r="AJ12" s="54" t="e">
        <f ca="1">VLOOKUP(Tableau21[[#This Row],[Key(POD -PFI- Usine)]],'DATA Consignee'!A:F,6,FALSE)</f>
        <v>#N/A</v>
      </c>
      <c r="AK12" s="284"/>
      <c r="AL12" s="376" t="str">
        <f>IF(Tableau21[[#This Row],[Name PFI/CDD]]="","-",VLOOKUP(Tableau21[[#This Row],[Name PFI/CDD]],Plant_AILN!I:J,2,FALSE))</f>
        <v>-</v>
      </c>
      <c r="AM1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2" s="2" t="e">
        <f ca="1">VLOOKUP(Tableau21[[#This Row],[Key(POD -PFI- Usine)]],'DATA Consignee'!A:J,10,FALSE)</f>
        <v>#N/A</v>
      </c>
      <c r="AP12" s="50" t="e">
        <f ca="1">VLOOKUP(Tableau21[[#This Row],[Key(POD -PFI- Usine)]],'DATA Consignee'!A:N,14,FALSE)</f>
        <v>#N/A</v>
      </c>
      <c r="AQ1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2" s="50" t="e">
        <f ca="1">Tableau21[[#This Row],[Transit time]]+Tableau21[[#This Row],[Time for security]]+Tableau21[[#This Row],[Time for security2 buffer]]</f>
        <v>#N/A</v>
      </c>
      <c r="AT1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2" s="50" t="e">
        <f ca="1">Tableau21[[#This Row],[Leadtime SI2C]]+Tableau21[[#This Row],[First Receipt Days]]-Tableau21[[#This Row],[Day Customer Order]]+1</f>
        <v>#N/A</v>
      </c>
      <c r="AV12" s="119" t="e">
        <f ca="1">IF(Tableau21[[#This Row],[Name ILN]]&lt;&gt;"SFK Freight Forwarder",Tableau21[[#This Row],[Cust. Leadtime]],Tableau21[[#This Row],[Leadtime SI2C]])</f>
        <v>#N/A</v>
      </c>
      <c r="AW12" s="59"/>
      <c r="AX12" s="338" t="e">
        <f ca="1">IFERROR(VLOOKUP(Tableau21[[#This Row],[Key(ID-Next)]],'DATA BTO'!A:N,3,FALSE),VLOOKUP(Tableau21[[#This Row],[ID]],'DATA BTO'!B:N,2,FALSE))</f>
        <v>#N/A</v>
      </c>
      <c r="AY12" s="50" t="str">
        <f>IF(ISNUMBER(Tableau21[[#This Row],[Day Customer Order]]),"-","Please Check 'Name' information in 'Order' Sheet to make sure they have information")</f>
        <v>-</v>
      </c>
      <c r="AZ1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3" spans="2:55">
      <c r="B13" s="67" t="str">
        <f>_xlfn.CONCAT(Tableau21[[#This Row],[Name ILN]],"-",Tableau21[[#This Row],[Name Shipper]],"-",Tableau21[[#This Row],[Name Site]])</f>
        <v>NCIC Shanghai -NCIC Shanghai -OYAK MEKA</v>
      </c>
      <c r="C13" s="66" t="e">
        <f ca="1">_xlfn.CONCAT(Tableau21[[#This Row],[Compte ILN]],"-",Tableau21[[#This Row],[Compte Shipper]],"-",Tableau21[[#This Row],[POL]],"-",Tableau21[[#This Row],[Compte Site]])</f>
        <v>#N/A</v>
      </c>
      <c r="D13" s="66" t="e">
        <f ca="1">_xlfn.CONCAT(Tableau21[[#This Row],[Compte ILN]],"-",Tableau21[[#This Row],[Compte Shipper]],"-",Tableau21[[#This Row],[POL]])</f>
        <v>#N/A</v>
      </c>
      <c r="E13" s="130" t="e">
        <f ca="1">_xlfn.CONCAT(Tableau21[[#This Row],[POL]],"-",Tableau21[[#This Row],[Carrier]],"-",Tableau21[[#This Row],[POD]])</f>
        <v>#N/A</v>
      </c>
      <c r="F13" s="66" t="str">
        <f>_xlfn.CONCAT(Tableau21[[#This Row],[ID]],"-","Next")</f>
        <v>AK15-1-Next</v>
      </c>
      <c r="G13" s="66" t="e">
        <f ca="1">_xlfn.CONCAT(Tableau21[[#This Row],[POD]],"-",Tableau21[[#This Row],[Code PFI]],"-",Tableau21[[#This Row],[Compte Site]])</f>
        <v>#N/A</v>
      </c>
      <c r="H13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3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3" s="119" t="str">
        <f ca="1">IF(COUNTIF(I:I,Tableau21[[#This Row],[Plant-ILN-shipper-POL-Carrier-POD-PFI]])=1,"Non","Oui")</f>
        <v>Oui</v>
      </c>
      <c r="K13" s="128" t="str">
        <f>VLOOKUP(Tableau21[[#This Row],[Name Site]],Plant_AILN!A:D,4,FALSE)</f>
        <v>TURKEY</v>
      </c>
      <c r="L13" s="59" t="s">
        <v>165</v>
      </c>
      <c r="M13" s="365">
        <f>VLOOKUP(Tableau21[[#This Row],[Name Site]],Plant_AILN!A:C,3,FALSE)</f>
        <v>90014400</v>
      </c>
      <c r="N13" s="55">
        <f>VLOOKUP(Tableau21[[#This Row],[Compte Site]],Order!C:D,2,FALSE)</f>
        <v>2</v>
      </c>
      <c r="O13" s="124" t="s">
        <v>201</v>
      </c>
      <c r="P13" s="365">
        <f>VLOOKUP(Tableau21[[#This Row],[Name ILN]],Plant_AILN!F:G,2,FALSE)</f>
        <v>26037001</v>
      </c>
      <c r="Q13" s="50">
        <f>VLOOKUP(Tableau21[[#This Row],[Compte ILN]],'DATA ILN'!D:I,6,FALSE)</f>
        <v>16</v>
      </c>
      <c r="R13" s="50" t="e">
        <f ca="1">IFERROR(VLOOKUP(Tableau21[[#This Row],[Key(Compte ILN - shipper - POL - plant)]],'DATA ILN'!A:J,10,FALSE),VLOOKUP(Tableau21[[#This Row],[Key(Compte ILN - shipper - POL)]],'DATA ILN'!B:J,9,FALSE))</f>
        <v>#N/A</v>
      </c>
      <c r="S1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3" s="50" t="e">
        <f ca="1">Tableau21[[#This Row],[Day ILN Order]]+Tableau21[[#This Row],[Delivery time to ILN/Shipper]]-1</f>
        <v>#N/A</v>
      </c>
      <c r="V1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3" s="394" t="s">
        <v>201</v>
      </c>
      <c r="Y13" s="389">
        <f>IFERROR(VLOOKUP(Tableau21[[#This Row],[Name Shipper]],Plant_AILN!L:M,2,FALSE),0)</f>
        <v>26037001</v>
      </c>
      <c r="Z13" s="195" t="s">
        <v>202</v>
      </c>
      <c r="AA13" s="396" t="e">
        <f ca="1">IFERROR(VLOOKUP(Tableau21[[#This Row],[Key(ID-Next)]],'DATA BTO'!A:N,5,FALSE),VLOOKUP(_xlfn.CONCAT(Tableau21[[#This Row],[ID]],"-","Actif"),'DATA BTO'!A:N,5,FALSE))</f>
        <v>#N/A</v>
      </c>
      <c r="AB13" s="3" t="e">
        <f ca="1">IFERROR(VLOOKUP(Tableau21[[#This Row],[Key(ID-Next)]],'DATA BTO'!A:N,6,FALSE),VLOOKUP(_xlfn.CONCAT(Tableau21[[#This Row],[ID]],"-","Actif"),'DATA BTO'!A:N,6,FALSE))</f>
        <v>#N/A</v>
      </c>
      <c r="AC13" s="50" t="e">
        <f ca="1">IFERROR(VLOOKUP(Tableau21[[#This Row],[Key(ID-Next)]],'DATA BTO'!A:N,7,FALSE),VLOOKUP(_xlfn.CONCAT(Tableau21[[#This Row],[ID]],"-","Actif"),'DATA BTO'!A:N,7,FALSE))</f>
        <v>#N/A</v>
      </c>
      <c r="AD13" s="50" t="e">
        <f ca="1">IFERROR(VLOOKUP(Tableau21[[#This Row],[Key(ID-Next)]],'DATA BTO'!A:N,8,FALSE),VLOOKUP(_xlfn.CONCAT(Tableau21[[#This Row],[ID]],"-","Actif"),'DATA BTO'!A:N,8,FALSE))</f>
        <v>#N/A</v>
      </c>
      <c r="AE13" s="50" t="e">
        <f ca="1">IFERROR(VLOOKUP(Tableau21[[#This Row],[Key(ID-Next)]],'DATA BTO'!A:N,9,FALSE),VLOOKUP(_xlfn.CONCAT(Tableau21[[#This Row],[ID]],"-","Actif"),'DATA BTO'!A:N,9,FALSE))</f>
        <v>#N/A</v>
      </c>
      <c r="AF13" s="3" t="e">
        <f ca="1">IFERROR(VLOOKUP(Tableau21[[#This Row],[Key(ID-Next)]],'DATA BTO'!A:N,10,FALSE),VLOOKUP(_xlfn.CONCAT(Tableau21[[#This Row],[ID]],"-","Actif"),'DATA BTO'!A:N,10,FALSE))</f>
        <v>#N/A</v>
      </c>
      <c r="AG13" s="3" t="e">
        <f ca="1">IFERROR(VLOOKUP(Tableau21[[#This Row],[Key(ID-Next)]],'DATA BTO'!A:N,11,FALSE),VLOOKUP(_xlfn.CONCAT(Tableau21[[#This Row],[ID]],"-","Actif"),'DATA BTO'!A:N,11,FALSE))</f>
        <v>#N/A</v>
      </c>
      <c r="AH13" s="50" t="e">
        <f ca="1">IFERROR(VLOOKUP(Tableau21[[#This Row],[Key(ID-Next)]],'DATA BTO'!A:N,12,FALSE),VLOOKUP(_xlfn.CONCAT(Tableau21[[#This Row],[ID]],"-","Actif"),'DATA BTO'!A:N,12,FALSE))</f>
        <v>#N/A</v>
      </c>
      <c r="AI13" s="53" t="e">
        <f ca="1">IFERROR(VLOOKUP(Tableau21[[#This Row],[Key(ID-Next)]],'DATA BTO'!A:N,14,FALSE),VLOOKUP(_xlfn.CONCAT(Tableau21[[#This Row],[ID]],"-","Actif"),'DATA BTO'!A:N,14,FALSE))</f>
        <v>#N/A</v>
      </c>
      <c r="AJ13" s="54" t="e">
        <f ca="1">VLOOKUP(Tableau21[[#This Row],[Key(POD -PFI- Usine)]],'DATA Consignee'!A:F,6,FALSE)</f>
        <v>#N/A</v>
      </c>
      <c r="AK13" s="284"/>
      <c r="AL13" s="376" t="str">
        <f>IF(Tableau21[[#This Row],[Name PFI/CDD]]="","-",VLOOKUP(Tableau21[[#This Row],[Name PFI/CDD]],Plant_AILN!I:J,2,FALSE))</f>
        <v>-</v>
      </c>
      <c r="AM13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3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3" s="2" t="e">
        <f ca="1">VLOOKUP(Tableau21[[#This Row],[Key(POD -PFI- Usine)]],'DATA Consignee'!A:J,10,FALSE)</f>
        <v>#N/A</v>
      </c>
      <c r="AP13" s="50" t="e">
        <f ca="1">VLOOKUP(Tableau21[[#This Row],[Key(POD -PFI- Usine)]],'DATA Consignee'!A:N,14,FALSE)</f>
        <v>#N/A</v>
      </c>
      <c r="AQ1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3" s="50" t="e">
        <f ca="1">Tableau21[[#This Row],[Transit time]]+Tableau21[[#This Row],[Time for security]]+Tableau21[[#This Row],[Time for security2 buffer]]</f>
        <v>#N/A</v>
      </c>
      <c r="AT1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3" s="50" t="e">
        <f ca="1">Tableau21[[#This Row],[Leadtime SI2C]]+Tableau21[[#This Row],[First Receipt Days]]-Tableau21[[#This Row],[Day Customer Order]]+1</f>
        <v>#N/A</v>
      </c>
      <c r="AV13" s="119" t="e">
        <f ca="1">IF(Tableau21[[#This Row],[Name ILN]]&lt;&gt;"SFK Freight Forwarder",Tableau21[[#This Row],[Cust. Leadtime]],Tableau21[[#This Row],[Leadtime SI2C]])</f>
        <v>#N/A</v>
      </c>
      <c r="AW13" s="59"/>
      <c r="AX13" s="338" t="e">
        <f ca="1">IFERROR(VLOOKUP(Tableau21[[#This Row],[Key(ID-Next)]],'DATA BTO'!A:N,3,FALSE),VLOOKUP(Tableau21[[#This Row],[ID]],'DATA BTO'!B:N,2,FALSE))</f>
        <v>#N/A</v>
      </c>
      <c r="AY13" s="50" t="str">
        <f>IF(ISNUMBER(Tableau21[[#This Row],[Day Customer Order]]),"-","Please Check 'Name' information in 'Order' Sheet to make sure they have information")</f>
        <v>-</v>
      </c>
      <c r="AZ1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4" spans="2:55">
      <c r="B14" s="67" t="str">
        <f>_xlfn.CONCAT(Tableau21[[#This Row],[Name ILN]],"-",Tableau21[[#This Row],[Name Shipper]],"-",Tableau21[[#This Row],[Name Site]])</f>
        <v>NCIC Shanghai -NCIC Shanghai -RKM</v>
      </c>
      <c r="C14" s="66" t="e">
        <f ca="1">_xlfn.CONCAT(Tableau21[[#This Row],[Compte ILN]],"-",Tableau21[[#This Row],[Compte Shipper]],"-",Tableau21[[#This Row],[POL]],"-",Tableau21[[#This Row],[Compte Site]])</f>
        <v>#N/A</v>
      </c>
      <c r="D14" s="66" t="e">
        <f ca="1">_xlfn.CONCAT(Tableau21[[#This Row],[Compte ILN]],"-",Tableau21[[#This Row],[Compte Shipper]],"-",Tableau21[[#This Row],[POL]])</f>
        <v>#N/A</v>
      </c>
      <c r="E14" s="130" t="e">
        <f ca="1">_xlfn.CONCAT(Tableau21[[#This Row],[POL]],"-",Tableau21[[#This Row],[Carrier]],"-",Tableau21[[#This Row],[POD]])</f>
        <v>#N/A</v>
      </c>
      <c r="F14" s="66" t="str">
        <f>_xlfn.CONCAT(Tableau21[[#This Row],[ID]],"-","Next")</f>
        <v>AK6-Next</v>
      </c>
      <c r="G14" s="66" t="e">
        <f ca="1">_xlfn.CONCAT(Tableau21[[#This Row],[POD]],"-",Tableau21[[#This Row],[Code PFI]],"-",Tableau21[[#This Row],[Compte Site]])</f>
        <v>#N/A</v>
      </c>
      <c r="H14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4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4" s="119" t="str">
        <f ca="1">IF(COUNTIF(I:I,Tableau21[[#This Row],[Plant-ILN-shipper-POL-Carrier-POD-PFI]])=1,"Non","Oui")</f>
        <v>Oui</v>
      </c>
      <c r="K14" s="128" t="str">
        <f>VLOOKUP(Tableau21[[#This Row],[Name Site]],Plant_AILN!A:D,4,FALSE)</f>
        <v>KOREA</v>
      </c>
      <c r="L14" s="59" t="s">
        <v>145</v>
      </c>
      <c r="M14" s="365">
        <f>VLOOKUP(Tableau21[[#This Row],[Name Site]],Plant_AILN!A:C,3,FALSE)</f>
        <v>92002200</v>
      </c>
      <c r="N14" s="55">
        <f>VLOOKUP(Tableau21[[#This Row],[Compte Site]],Order!C:D,2,FALSE)</f>
        <v>2</v>
      </c>
      <c r="O14" s="124" t="s">
        <v>201</v>
      </c>
      <c r="P14" s="365">
        <f>VLOOKUP(Tableau21[[#This Row],[Name ILN]],Plant_AILN!F:G,2,FALSE)</f>
        <v>26037001</v>
      </c>
      <c r="Q14" s="50">
        <f>VLOOKUP(Tableau21[[#This Row],[Compte ILN]],'DATA ILN'!D:I,6,FALSE)</f>
        <v>16</v>
      </c>
      <c r="R14" s="50" t="e">
        <f ca="1">IFERROR(VLOOKUP(Tableau21[[#This Row],[Key(Compte ILN - shipper - POL - plant)]],'DATA ILN'!A:J,10,FALSE),VLOOKUP(Tableau21[[#This Row],[Key(Compte ILN - shipper - POL)]],'DATA ILN'!B:J,9,FALSE))</f>
        <v>#N/A</v>
      </c>
      <c r="S1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4" s="50" t="e">
        <f ca="1">Tableau21[[#This Row],[Day ILN Order]]+Tableau21[[#This Row],[Delivery time to ILN/Shipper]]-1</f>
        <v>#N/A</v>
      </c>
      <c r="V1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4" s="394" t="s">
        <v>201</v>
      </c>
      <c r="Y14" s="389">
        <f>IFERROR(VLOOKUP(Tableau21[[#This Row],[Name Shipper]],Plant_AILN!L:M,2,FALSE),0)</f>
        <v>26037001</v>
      </c>
      <c r="Z14" s="52" t="s">
        <v>203</v>
      </c>
      <c r="AA14" s="396" t="e">
        <f ca="1">IFERROR(VLOOKUP(Tableau21[[#This Row],[Key(ID-Next)]],'DATA BTO'!A:N,5,FALSE),VLOOKUP(_xlfn.CONCAT(Tableau21[[#This Row],[ID]],"-","Actif"),'DATA BTO'!A:N,5,FALSE))</f>
        <v>#N/A</v>
      </c>
      <c r="AB14" s="3" t="e">
        <f ca="1">IFERROR(VLOOKUP(Tableau21[[#This Row],[Key(ID-Next)]],'DATA BTO'!A:N,6,FALSE),VLOOKUP(_xlfn.CONCAT(Tableau21[[#This Row],[ID]],"-","Actif"),'DATA BTO'!A:N,6,FALSE))</f>
        <v>#N/A</v>
      </c>
      <c r="AC14" s="50" t="e">
        <f ca="1">IFERROR(VLOOKUP(Tableau21[[#This Row],[Key(ID-Next)]],'DATA BTO'!A:N,7,FALSE),VLOOKUP(_xlfn.CONCAT(Tableau21[[#This Row],[ID]],"-","Actif"),'DATA BTO'!A:N,7,FALSE))</f>
        <v>#N/A</v>
      </c>
      <c r="AD14" s="50" t="e">
        <f ca="1">IFERROR(VLOOKUP(Tableau21[[#This Row],[Key(ID-Next)]],'DATA BTO'!A:N,8,FALSE),VLOOKUP(_xlfn.CONCAT(Tableau21[[#This Row],[ID]],"-","Actif"),'DATA BTO'!A:N,8,FALSE))</f>
        <v>#N/A</v>
      </c>
      <c r="AE14" s="50" t="e">
        <f ca="1">IFERROR(VLOOKUP(Tableau21[[#This Row],[Key(ID-Next)]],'DATA BTO'!A:N,9,FALSE),VLOOKUP(_xlfn.CONCAT(Tableau21[[#This Row],[ID]],"-","Actif"),'DATA BTO'!A:N,9,FALSE))</f>
        <v>#N/A</v>
      </c>
      <c r="AF14" s="3" t="e">
        <f ca="1">IFERROR(VLOOKUP(Tableau21[[#This Row],[Key(ID-Next)]],'DATA BTO'!A:N,10,FALSE),VLOOKUP(_xlfn.CONCAT(Tableau21[[#This Row],[ID]],"-","Actif"),'DATA BTO'!A:N,10,FALSE))</f>
        <v>#N/A</v>
      </c>
      <c r="AG14" s="3" t="e">
        <f ca="1">IFERROR(VLOOKUP(Tableau21[[#This Row],[Key(ID-Next)]],'DATA BTO'!A:N,11,FALSE),VLOOKUP(_xlfn.CONCAT(Tableau21[[#This Row],[ID]],"-","Actif"),'DATA BTO'!A:N,11,FALSE))</f>
        <v>#N/A</v>
      </c>
      <c r="AH14" s="50" t="e">
        <f ca="1">IFERROR(VLOOKUP(Tableau21[[#This Row],[Key(ID-Next)]],'DATA BTO'!A:N,12,FALSE),VLOOKUP(_xlfn.CONCAT(Tableau21[[#This Row],[ID]],"-","Actif"),'DATA BTO'!A:N,12,FALSE))</f>
        <v>#N/A</v>
      </c>
      <c r="AI14" s="53" t="e">
        <f ca="1">IFERROR(VLOOKUP(Tableau21[[#This Row],[Key(ID-Next)]],'DATA BTO'!A:N,14,FALSE),VLOOKUP(_xlfn.CONCAT(Tableau21[[#This Row],[ID]],"-","Actif"),'DATA BTO'!A:N,14,FALSE))</f>
        <v>#N/A</v>
      </c>
      <c r="AJ14" s="54" t="e">
        <f ca="1">VLOOKUP(Tableau21[[#This Row],[Key(POD -PFI- Usine)]],'DATA Consignee'!A:F,6,FALSE)</f>
        <v>#N/A</v>
      </c>
      <c r="AK14" s="284"/>
      <c r="AL14" s="376" t="str">
        <f>IF(Tableau21[[#This Row],[Name PFI/CDD]]="","-",VLOOKUP(Tableau21[[#This Row],[Name PFI/CDD]],Plant_AILN!I:J,2,FALSE))</f>
        <v>-</v>
      </c>
      <c r="AM14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4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4" s="2" t="e">
        <f ca="1">VLOOKUP(Tableau21[[#This Row],[Key(POD -PFI- Usine)]],'DATA Consignee'!A:J,10,FALSE)</f>
        <v>#N/A</v>
      </c>
      <c r="AP14" s="50" t="e">
        <f ca="1">VLOOKUP(Tableau21[[#This Row],[Key(POD -PFI- Usine)]],'DATA Consignee'!A:N,14,FALSE)</f>
        <v>#N/A</v>
      </c>
      <c r="AQ1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4" s="50" t="e">
        <f ca="1">Tableau21[[#This Row],[Transit time]]+Tableau21[[#This Row],[Time for security]]+Tableau21[[#This Row],[Time for security2 buffer]]</f>
        <v>#N/A</v>
      </c>
      <c r="AT1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4" s="50" t="e">
        <f ca="1">Tableau21[[#This Row],[Leadtime SI2C]]+Tableau21[[#This Row],[First Receipt Days]]-Tableau21[[#This Row],[Day Customer Order]]+1</f>
        <v>#N/A</v>
      </c>
      <c r="AV14" s="119" t="e">
        <f ca="1">IF(Tableau21[[#This Row],[Name ILN]]&lt;&gt;"SFK Freight Forwarder",Tableau21[[#This Row],[Cust. Leadtime]],Tableau21[[#This Row],[Leadtime SI2C]])</f>
        <v>#N/A</v>
      </c>
      <c r="AW14" s="59"/>
      <c r="AX14" s="338" t="e">
        <f ca="1">IFERROR(VLOOKUP(Tableau21[[#This Row],[Key(ID-Next)]],'DATA BTO'!A:N,3,FALSE),VLOOKUP(Tableau21[[#This Row],[ID]],'DATA BTO'!B:N,2,FALSE))</f>
        <v>#N/A</v>
      </c>
      <c r="AY14" s="50" t="str">
        <f>IF(ISNUMBER(Tableau21[[#This Row],[Day Customer Order]]),"-","Please Check 'Name' information in 'Order' Sheet to make sure they have information")</f>
        <v>-</v>
      </c>
      <c r="AZ1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5" spans="2:55">
      <c r="B15" s="67" t="str">
        <f>_xlfn.CONCAT(Tableau21[[#This Row],[Name ILN]],"-",Tableau21[[#This Row],[Name Shipper]],"-",Tableau21[[#This Row],[Name Site]])</f>
        <v>NSL Shanghai-NSL Shanghai-DOUAI</v>
      </c>
      <c r="C15" s="66" t="e">
        <f ca="1">_xlfn.CONCAT(Tableau21[[#This Row],[Compte ILN]],"-",Tableau21[[#This Row],[Compte Shipper]],"-",Tableau21[[#This Row],[POL]],"-",Tableau21[[#This Row],[Compte Site]])</f>
        <v>#N/A</v>
      </c>
      <c r="D15" s="66" t="e">
        <f ca="1">_xlfn.CONCAT(Tableau21[[#This Row],[Compte ILN]],"-",Tableau21[[#This Row],[Compte Shipper]],"-",Tableau21[[#This Row],[POL]])</f>
        <v>#N/A</v>
      </c>
      <c r="E15" s="130" t="e">
        <f ca="1">_xlfn.CONCAT(Tableau21[[#This Row],[POL]],"-",Tableau21[[#This Row],[Carrier]],"-",Tableau21[[#This Row],[POD]])</f>
        <v>#N/A</v>
      </c>
      <c r="F15" s="66" t="str">
        <f>_xlfn.CONCAT(Tableau21[[#This Row],[ID]],"-","Next")</f>
        <v>FAL1-DKK-Next</v>
      </c>
      <c r="G15" s="66" t="e">
        <f ca="1">_xlfn.CONCAT(Tableau21[[#This Row],[POD]],"-",Tableau21[[#This Row],[Code PFI]],"-",Tableau21[[#This Row],[Compte Site]])</f>
        <v>#N/A</v>
      </c>
      <c r="H15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5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5" s="119" t="str">
        <f ca="1">IF(COUNTIF(I:I,Tableau21[[#This Row],[Plant-ILN-shipper-POL-Carrier-POD-PFI]])=1,"Non","Oui")</f>
        <v>Oui</v>
      </c>
      <c r="K15" s="128" t="str">
        <f>VLOOKUP(Tableau21[[#This Row],[Name Site]],Plant_AILN!A:D,4,FALSE)</f>
        <v>FRANCE</v>
      </c>
      <c r="L15" s="76" t="s">
        <v>188</v>
      </c>
      <c r="M15" s="365">
        <f>VLOOKUP(Tableau21[[#This Row],[Name Site]],Plant_AILN!A:C,3,FALSE)</f>
        <v>90019100</v>
      </c>
      <c r="N15" s="55">
        <f>VLOOKUP(Tableau21[[#This Row],[Compte Site]],Order!C:D,2,FALSE)</f>
        <v>7</v>
      </c>
      <c r="O15" s="126" t="s">
        <v>187</v>
      </c>
      <c r="P15" s="365">
        <f>VLOOKUP(Tableau21[[#This Row],[Name ILN]],Plant_AILN!F:G,2,FALSE)</f>
        <v>27261102</v>
      </c>
      <c r="Q15" s="50">
        <f>VLOOKUP(Tableau21[[#This Row],[Compte ILN]],'DATA ILN'!D:I,6,FALSE)</f>
        <v>16</v>
      </c>
      <c r="R15" s="50" t="e">
        <f ca="1">IFERROR(VLOOKUP(Tableau21[[#This Row],[Key(Compte ILN - shipper - POL - plant)]],'DATA ILN'!A:J,10,FALSE),VLOOKUP(Tableau21[[#This Row],[Key(Compte ILN - shipper - POL)]],'DATA ILN'!B:J,9,FALSE))</f>
        <v>#N/A</v>
      </c>
      <c r="S1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5" s="50" t="e">
        <f ca="1">Tableau21[[#This Row],[Day ILN Order]]+Tableau21[[#This Row],[Delivery time to ILN/Shipper]]-1</f>
        <v>#N/A</v>
      </c>
      <c r="V1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5" s="392" t="s">
        <v>187</v>
      </c>
      <c r="Y15" s="389">
        <f>IFERROR(VLOOKUP(Tableau21[[#This Row],[Name Shipper]],Plant_AILN!L:M,2,FALSE),0)</f>
        <v>27261102</v>
      </c>
      <c r="Z15" s="195" t="s">
        <v>204</v>
      </c>
      <c r="AA15" s="396" t="e">
        <f ca="1">IFERROR(VLOOKUP(Tableau21[[#This Row],[Key(ID-Next)]],'DATA BTO'!A:N,5,FALSE),VLOOKUP(_xlfn.CONCAT(Tableau21[[#This Row],[ID]],"-","Actif"),'DATA BTO'!A:N,5,FALSE))</f>
        <v>#N/A</v>
      </c>
      <c r="AB15" s="3" t="e">
        <f ca="1">IFERROR(VLOOKUP(Tableau21[[#This Row],[Key(ID-Next)]],'DATA BTO'!A:N,6,FALSE),VLOOKUP(_xlfn.CONCAT(Tableau21[[#This Row],[ID]],"-","Actif"),'DATA BTO'!A:N,6,FALSE))</f>
        <v>#N/A</v>
      </c>
      <c r="AC15" s="50" t="e">
        <f ca="1">IFERROR(VLOOKUP(Tableau21[[#This Row],[Key(ID-Next)]],'DATA BTO'!A:N,7,FALSE),VLOOKUP(_xlfn.CONCAT(Tableau21[[#This Row],[ID]],"-","Actif"),'DATA BTO'!A:N,7,FALSE))</f>
        <v>#N/A</v>
      </c>
      <c r="AD15" s="50" t="e">
        <f ca="1">IFERROR(VLOOKUP(Tableau21[[#This Row],[Key(ID-Next)]],'DATA BTO'!A:N,8,FALSE),VLOOKUP(_xlfn.CONCAT(Tableau21[[#This Row],[ID]],"-","Actif"),'DATA BTO'!A:N,8,FALSE))</f>
        <v>#N/A</v>
      </c>
      <c r="AE15" s="50" t="e">
        <f ca="1">IFERROR(VLOOKUP(Tableau21[[#This Row],[Key(ID-Next)]],'DATA BTO'!A:N,9,FALSE),VLOOKUP(_xlfn.CONCAT(Tableau21[[#This Row],[ID]],"-","Actif"),'DATA BTO'!A:N,9,FALSE))</f>
        <v>#N/A</v>
      </c>
      <c r="AF15" s="3" t="e">
        <f ca="1">IFERROR(VLOOKUP(Tableau21[[#This Row],[Key(ID-Next)]],'DATA BTO'!A:N,10,FALSE),VLOOKUP(_xlfn.CONCAT(Tableau21[[#This Row],[ID]],"-","Actif"),'DATA BTO'!A:N,10,FALSE))</f>
        <v>#N/A</v>
      </c>
      <c r="AG15" s="3" t="e">
        <f ca="1">IFERROR(VLOOKUP(Tableau21[[#This Row],[Key(ID-Next)]],'DATA BTO'!A:N,11,FALSE),VLOOKUP(_xlfn.CONCAT(Tableau21[[#This Row],[ID]],"-","Actif"),'DATA BTO'!A:N,11,FALSE))</f>
        <v>#N/A</v>
      </c>
      <c r="AH15" s="50" t="e">
        <f ca="1">IFERROR(VLOOKUP(Tableau21[[#This Row],[Key(ID-Next)]],'DATA BTO'!A:N,12,FALSE),VLOOKUP(_xlfn.CONCAT(Tableau21[[#This Row],[ID]],"-","Actif"),'DATA BTO'!A:N,12,FALSE))</f>
        <v>#N/A</v>
      </c>
      <c r="AI15" s="53" t="e">
        <f ca="1">IFERROR(VLOOKUP(Tableau21[[#This Row],[Key(ID-Next)]],'DATA BTO'!A:N,14,FALSE),VLOOKUP(_xlfn.CONCAT(Tableau21[[#This Row],[ID]],"-","Actif"),'DATA BTO'!A:N,14,FALSE))</f>
        <v>#N/A</v>
      </c>
      <c r="AJ15" s="54" t="e">
        <f ca="1">VLOOKUP(Tableau21[[#This Row],[Key(POD -PFI- Usine)]],'DATA Consignee'!A:F,6,FALSE)</f>
        <v>#N/A</v>
      </c>
      <c r="AK15" s="284"/>
      <c r="AL15" s="376" t="str">
        <f>IF(Tableau21[[#This Row],[Name PFI/CDD]]="","-",VLOOKUP(Tableau21[[#This Row],[Name PFI/CDD]],Plant_AILN!I:J,2,FALSE))</f>
        <v>-</v>
      </c>
      <c r="AM15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5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5" s="2" t="e">
        <f ca="1">VLOOKUP(Tableau21[[#This Row],[Key(POD -PFI- Usine)]],'DATA Consignee'!A:J,10,FALSE)</f>
        <v>#N/A</v>
      </c>
      <c r="AP15" s="50" t="e">
        <f ca="1">VLOOKUP(Tableau21[[#This Row],[Key(POD -PFI- Usine)]],'DATA Consignee'!A:N,14,FALSE)</f>
        <v>#N/A</v>
      </c>
      <c r="AQ1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5" s="50" t="e">
        <f ca="1">Tableau21[[#This Row],[Transit time]]+Tableau21[[#This Row],[Time for security]]+Tableau21[[#This Row],[Time for security2 buffer]]</f>
        <v>#N/A</v>
      </c>
      <c r="AT1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5" s="50" t="e">
        <f ca="1">Tableau21[[#This Row],[Leadtime SI2C]]+Tableau21[[#This Row],[First Receipt Days]]-Tableau21[[#This Row],[Day Customer Order]]+1</f>
        <v>#N/A</v>
      </c>
      <c r="AV15" s="119" t="e">
        <f ca="1">IF(Tableau21[[#This Row],[Name ILN]]&lt;&gt;"SFK Freight Forwarder",Tableau21[[#This Row],[Cust. Leadtime]],Tableau21[[#This Row],[Leadtime SI2C]])</f>
        <v>#N/A</v>
      </c>
      <c r="AW15" s="59"/>
      <c r="AX15" s="338" t="e">
        <f ca="1">IFERROR(VLOOKUP(Tableau21[[#This Row],[Key(ID-Next)]],'DATA BTO'!A:N,3,FALSE),VLOOKUP(Tableau21[[#This Row],[ID]],'DATA BTO'!B:N,2,FALSE))</f>
        <v>#N/A</v>
      </c>
      <c r="AY15" s="50" t="str">
        <f>IF(ISNUMBER(Tableau21[[#This Row],[Day Customer Order]]),"-","Please Check 'Name' information in 'Order' Sheet to make sure they have information")</f>
        <v>-</v>
      </c>
      <c r="AZ1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6" spans="2:55">
      <c r="B16" s="67" t="str">
        <f>_xlfn.CONCAT(Tableau21[[#This Row],[Name ILN]],"-",Tableau21[[#This Row],[Name Shipper]],"-",Tableau21[[#This Row],[Name Site]])</f>
        <v>NSL Shanghai-NSL Shanghai-CURITIBA CMO</v>
      </c>
      <c r="C16" s="66" t="e">
        <f ca="1">_xlfn.CONCAT(Tableau21[[#This Row],[Compte ILN]],"-",Tableau21[[#This Row],[Compte Shipper]],"-",Tableau21[[#This Row],[POL]],"-",Tableau21[[#This Row],[Compte Site]])</f>
        <v>#N/A</v>
      </c>
      <c r="D16" s="66" t="e">
        <f ca="1">_xlfn.CONCAT(Tableau21[[#This Row],[Compte ILN]],"-",Tableau21[[#This Row],[Compte Shipper]],"-",Tableau21[[#This Row],[POL]])</f>
        <v>#N/A</v>
      </c>
      <c r="E16" s="130" t="e">
        <f ca="1">_xlfn.CONCAT(Tableau21[[#This Row],[POL]],"-",Tableau21[[#This Row],[Carrier]],"-",Tableau21[[#This Row],[POD]])</f>
        <v>#N/A</v>
      </c>
      <c r="F16" s="66" t="str">
        <f>_xlfn.CONCAT(Tableau21[[#This Row],[ID]],"-","Next")</f>
        <v>Asia South America East Coast 2-Next</v>
      </c>
      <c r="G16" s="66" t="e">
        <f ca="1">_xlfn.CONCAT(Tableau21[[#This Row],[POD]],"-",Tableau21[[#This Row],[Code PFI]],"-",Tableau21[[#This Row],[Compte Site]])</f>
        <v>#N/A</v>
      </c>
      <c r="H16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6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6" s="119" t="str">
        <f ca="1">IF(COUNTIF(I:I,Tableau21[[#This Row],[Plant-ILN-shipper-POL-Carrier-POD-PFI]])=1,"Non","Oui")</f>
        <v>Oui</v>
      </c>
      <c r="K16" s="128" t="str">
        <f>VLOOKUP(Tableau21[[#This Row],[Name Site]],Plant_AILN!A:D,4,FALSE)</f>
        <v>BRAZIL</v>
      </c>
      <c r="L16" s="76" t="s">
        <v>174</v>
      </c>
      <c r="M16" s="365">
        <f>VLOOKUP(Tableau21[[#This Row],[Name Site]],Plant_AILN!A:C,3,FALSE)</f>
        <v>90018600</v>
      </c>
      <c r="N16" s="55">
        <f>VLOOKUP(Tableau21[[#This Row],[Compte Site]],Order!C:D,2,FALSE)</f>
        <v>7</v>
      </c>
      <c r="O16" s="126" t="s">
        <v>187</v>
      </c>
      <c r="P16" s="365">
        <f>VLOOKUP(Tableau21[[#This Row],[Name ILN]],Plant_AILN!F:G,2,FALSE)</f>
        <v>27261102</v>
      </c>
      <c r="Q16" s="50">
        <f>VLOOKUP(Tableau21[[#This Row],[Compte ILN]],'DATA ILN'!D:I,6,FALSE)</f>
        <v>16</v>
      </c>
      <c r="R16" s="50" t="e">
        <f ca="1">IFERROR(VLOOKUP(Tableau21[[#This Row],[Key(Compte ILN - shipper - POL - plant)]],'DATA ILN'!A:J,10,FALSE),VLOOKUP(Tableau21[[#This Row],[Key(Compte ILN - shipper - POL)]],'DATA ILN'!B:J,9,FALSE))</f>
        <v>#N/A</v>
      </c>
      <c r="S1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6" s="50" t="e">
        <f ca="1">Tableau21[[#This Row],[Day ILN Order]]+Tableau21[[#This Row],[Delivery time to ILN/Shipper]]-1</f>
        <v>#N/A</v>
      </c>
      <c r="V1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6" s="392" t="s">
        <v>187</v>
      </c>
      <c r="Y16" s="389">
        <f>IFERROR(VLOOKUP(Tableau21[[#This Row],[Name Shipper]],Plant_AILN!L:M,2,FALSE),0)</f>
        <v>27261102</v>
      </c>
      <c r="Z16" s="105" t="s">
        <v>205</v>
      </c>
      <c r="AA16" s="396" t="e">
        <f ca="1">IFERROR(VLOOKUP(Tableau21[[#This Row],[Key(ID-Next)]],'DATA BTO'!A:N,5,FALSE),VLOOKUP(_xlfn.CONCAT(Tableau21[[#This Row],[ID]],"-","Actif"),'DATA BTO'!A:N,5,FALSE))</f>
        <v>#N/A</v>
      </c>
      <c r="AB16" s="3" t="e">
        <f ca="1">IFERROR(VLOOKUP(Tableau21[[#This Row],[Key(ID-Next)]],'DATA BTO'!A:N,6,FALSE),VLOOKUP(_xlfn.CONCAT(Tableau21[[#This Row],[ID]],"-","Actif"),'DATA BTO'!A:N,6,FALSE))</f>
        <v>#N/A</v>
      </c>
      <c r="AC16" s="50" t="e">
        <f ca="1">IFERROR(VLOOKUP(Tableau21[[#This Row],[Key(ID-Next)]],'DATA BTO'!A:N,7,FALSE),VLOOKUP(_xlfn.CONCAT(Tableau21[[#This Row],[ID]],"-","Actif"),'DATA BTO'!A:N,7,FALSE))</f>
        <v>#N/A</v>
      </c>
      <c r="AD16" s="50" t="e">
        <f ca="1">IFERROR(VLOOKUP(Tableau21[[#This Row],[Key(ID-Next)]],'DATA BTO'!A:N,8,FALSE),VLOOKUP(_xlfn.CONCAT(Tableau21[[#This Row],[ID]],"-","Actif"),'DATA BTO'!A:N,8,FALSE))</f>
        <v>#N/A</v>
      </c>
      <c r="AE16" s="50" t="e">
        <f ca="1">IFERROR(VLOOKUP(Tableau21[[#This Row],[Key(ID-Next)]],'DATA BTO'!A:N,9,FALSE),VLOOKUP(_xlfn.CONCAT(Tableau21[[#This Row],[ID]],"-","Actif"),'DATA BTO'!A:N,9,FALSE))</f>
        <v>#N/A</v>
      </c>
      <c r="AF16" s="3" t="e">
        <f ca="1">IFERROR(VLOOKUP(Tableau21[[#This Row],[Key(ID-Next)]],'DATA BTO'!A:N,10,FALSE),VLOOKUP(_xlfn.CONCAT(Tableau21[[#This Row],[ID]],"-","Actif"),'DATA BTO'!A:N,10,FALSE))</f>
        <v>#N/A</v>
      </c>
      <c r="AG16" s="3" t="e">
        <f ca="1">IFERROR(VLOOKUP(Tableau21[[#This Row],[Key(ID-Next)]],'DATA BTO'!A:N,11,FALSE),VLOOKUP(_xlfn.CONCAT(Tableau21[[#This Row],[ID]],"-","Actif"),'DATA BTO'!A:N,11,FALSE))</f>
        <v>#N/A</v>
      </c>
      <c r="AH16" s="50" t="e">
        <f ca="1">IFERROR(VLOOKUP(Tableau21[[#This Row],[Key(ID-Next)]],'DATA BTO'!A:N,12,FALSE),VLOOKUP(_xlfn.CONCAT(Tableau21[[#This Row],[ID]],"-","Actif"),'DATA BTO'!A:N,12,FALSE))</f>
        <v>#N/A</v>
      </c>
      <c r="AI16" s="53" t="e">
        <f ca="1">IFERROR(VLOOKUP(Tableau21[[#This Row],[Key(ID-Next)]],'DATA BTO'!A:N,14,FALSE),VLOOKUP(_xlfn.CONCAT(Tableau21[[#This Row],[ID]],"-","Actif"),'DATA BTO'!A:N,14,FALSE))</f>
        <v>#N/A</v>
      </c>
      <c r="AJ16" s="54" t="e">
        <f ca="1">VLOOKUP(Tableau21[[#This Row],[Key(POD -PFI- Usine)]],'DATA Consignee'!A:F,6,FALSE)</f>
        <v>#N/A</v>
      </c>
      <c r="AK16" s="284"/>
      <c r="AL16" s="376" t="str">
        <f>IF(Tableau21[[#This Row],[Name PFI/CDD]]="","-",VLOOKUP(Tableau21[[#This Row],[Name PFI/CDD]],Plant_AILN!I:J,2,FALSE))</f>
        <v>-</v>
      </c>
      <c r="AM16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6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6" s="2" t="e">
        <f ca="1">VLOOKUP(Tableau21[[#This Row],[Key(POD -PFI- Usine)]],'DATA Consignee'!A:J,10,FALSE)</f>
        <v>#N/A</v>
      </c>
      <c r="AP16" s="50" t="e">
        <f ca="1">VLOOKUP(Tableau21[[#This Row],[Key(POD -PFI- Usine)]],'DATA Consignee'!A:N,14,FALSE)</f>
        <v>#N/A</v>
      </c>
      <c r="AQ1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6" s="50" t="e">
        <f ca="1">Tableau21[[#This Row],[Transit time]]+Tableau21[[#This Row],[Time for security]]+Tableau21[[#This Row],[Time for security2 buffer]]</f>
        <v>#N/A</v>
      </c>
      <c r="AT1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6" s="50" t="e">
        <f ca="1">Tableau21[[#This Row],[Leadtime SI2C]]+Tableau21[[#This Row],[First Receipt Days]]-Tableau21[[#This Row],[Day Customer Order]]+1</f>
        <v>#N/A</v>
      </c>
      <c r="AV16" s="119" t="e">
        <f ca="1">IF(Tableau21[[#This Row],[Name ILN]]&lt;&gt;"SFK Freight Forwarder",Tableau21[[#This Row],[Cust. Leadtime]],Tableau21[[#This Row],[Leadtime SI2C]])</f>
        <v>#N/A</v>
      </c>
      <c r="AW16" s="59"/>
      <c r="AX16" s="338" t="e">
        <f ca="1">IFERROR(VLOOKUP(Tableau21[[#This Row],[Key(ID-Next)]],'DATA BTO'!A:N,3,FALSE),VLOOKUP(Tableau21[[#This Row],[ID]],'DATA BTO'!B:N,2,FALSE))</f>
        <v>#N/A</v>
      </c>
      <c r="AY16" s="50" t="str">
        <f>IF(ISNUMBER(Tableau21[[#This Row],[Day Customer Order]]),"-","Please Check 'Name' information in 'Order' Sheet to make sure they have information")</f>
        <v>-</v>
      </c>
      <c r="AZ1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7" spans="2:55">
      <c r="B17" s="67" t="str">
        <f>_xlfn.CONCAT(Tableau21[[#This Row],[Name ILN]],"-",Tableau21[[#This Row],[Name Shipper]],"-",Tableau21[[#This Row],[Name Site]])</f>
        <v>NSL Shanghai-NSL Shanghai-CURITIBA CVP</v>
      </c>
      <c r="C17" s="66" t="e">
        <f ca="1">_xlfn.CONCAT(Tableau21[[#This Row],[Compte ILN]],"-",Tableau21[[#This Row],[Compte Shipper]],"-",Tableau21[[#This Row],[POL]],"-",Tableau21[[#This Row],[Compte Site]])</f>
        <v>#N/A</v>
      </c>
      <c r="D17" s="66" t="e">
        <f ca="1">_xlfn.CONCAT(Tableau21[[#This Row],[Compte ILN]],"-",Tableau21[[#This Row],[Compte Shipper]],"-",Tableau21[[#This Row],[POL]])</f>
        <v>#N/A</v>
      </c>
      <c r="E17" s="130" t="e">
        <f ca="1">_xlfn.CONCAT(Tableau21[[#This Row],[POL]],"-",Tableau21[[#This Row],[Carrier]],"-",Tableau21[[#This Row],[POD]])</f>
        <v>#N/A</v>
      </c>
      <c r="F17" s="66" t="str">
        <f>_xlfn.CONCAT(Tableau21[[#This Row],[ID]],"-","Next")</f>
        <v>Asia South America East Coast 2-Next</v>
      </c>
      <c r="G17" s="66" t="e">
        <f ca="1">_xlfn.CONCAT(Tableau21[[#This Row],[POD]],"-",Tableau21[[#This Row],[Code PFI]],"-",Tableau21[[#This Row],[Compte Site]])</f>
        <v>#N/A</v>
      </c>
      <c r="H17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7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7" s="119" t="str">
        <f ca="1">IF(COUNTIF(I:I,Tableau21[[#This Row],[Plant-ILN-shipper-POL-Carrier-POD-PFI]])=1,"Non","Oui")</f>
        <v>Oui</v>
      </c>
      <c r="K17" s="128" t="str">
        <f>VLOOKUP(Tableau21[[#This Row],[Name Site]],Plant_AILN!A:D,4,FALSE)</f>
        <v>BRAZIL</v>
      </c>
      <c r="L17" s="59" t="s">
        <v>181</v>
      </c>
      <c r="M17" s="365">
        <f>VLOOKUP(Tableau21[[#This Row],[Name Site]],Plant_AILN!A:C,3,FALSE)</f>
        <v>90018000</v>
      </c>
      <c r="N17" s="55">
        <f>VLOOKUP(Tableau21[[#This Row],[Compte Site]],Order!C:D,2,FALSE)</f>
        <v>7</v>
      </c>
      <c r="O17" s="126" t="s">
        <v>187</v>
      </c>
      <c r="P17" s="365">
        <f>VLOOKUP(Tableau21[[#This Row],[Name ILN]],Plant_AILN!F:G,2,FALSE)</f>
        <v>27261102</v>
      </c>
      <c r="Q17" s="50">
        <f>VLOOKUP(Tableau21[[#This Row],[Compte ILN]],'DATA ILN'!D:I,6,FALSE)</f>
        <v>16</v>
      </c>
      <c r="R17" s="50" t="e">
        <f ca="1">IFERROR(VLOOKUP(Tableau21[[#This Row],[Key(Compte ILN - shipper - POL - plant)]],'DATA ILN'!A:J,10,FALSE),VLOOKUP(Tableau21[[#This Row],[Key(Compte ILN - shipper - POL)]],'DATA ILN'!B:J,9,FALSE))</f>
        <v>#N/A</v>
      </c>
      <c r="S1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7" s="50" t="e">
        <f ca="1">Tableau21[[#This Row],[Day ILN Order]]+Tableau21[[#This Row],[Delivery time to ILN/Shipper]]-1</f>
        <v>#N/A</v>
      </c>
      <c r="V1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7" s="392" t="s">
        <v>187</v>
      </c>
      <c r="Y17" s="389">
        <f>IFERROR(VLOOKUP(Tableau21[[#This Row],[Name Shipper]],Plant_AILN!L:M,2,FALSE),0)</f>
        <v>27261102</v>
      </c>
      <c r="Z17" s="105" t="s">
        <v>205</v>
      </c>
      <c r="AA17" s="396" t="e">
        <f ca="1">IFERROR(VLOOKUP(Tableau21[[#This Row],[Key(ID-Next)]],'DATA BTO'!A:N,5,FALSE),VLOOKUP(_xlfn.CONCAT(Tableau21[[#This Row],[ID]],"-","Actif"),'DATA BTO'!A:N,5,FALSE))</f>
        <v>#N/A</v>
      </c>
      <c r="AB17" s="3" t="e">
        <f ca="1">IFERROR(VLOOKUP(Tableau21[[#This Row],[Key(ID-Next)]],'DATA BTO'!A:N,6,FALSE),VLOOKUP(_xlfn.CONCAT(Tableau21[[#This Row],[ID]],"-","Actif"),'DATA BTO'!A:N,6,FALSE))</f>
        <v>#N/A</v>
      </c>
      <c r="AC17" s="50" t="e">
        <f ca="1">IFERROR(VLOOKUP(Tableau21[[#This Row],[Key(ID-Next)]],'DATA BTO'!A:N,7,FALSE),VLOOKUP(_xlfn.CONCAT(Tableau21[[#This Row],[ID]],"-","Actif"),'DATA BTO'!A:N,7,FALSE))</f>
        <v>#N/A</v>
      </c>
      <c r="AD17" s="50" t="e">
        <f ca="1">IFERROR(VLOOKUP(Tableau21[[#This Row],[Key(ID-Next)]],'DATA BTO'!A:N,8,FALSE),VLOOKUP(_xlfn.CONCAT(Tableau21[[#This Row],[ID]],"-","Actif"),'DATA BTO'!A:N,8,FALSE))</f>
        <v>#N/A</v>
      </c>
      <c r="AE17" s="50" t="e">
        <f ca="1">IFERROR(VLOOKUP(Tableau21[[#This Row],[Key(ID-Next)]],'DATA BTO'!A:N,9,FALSE),VLOOKUP(_xlfn.CONCAT(Tableau21[[#This Row],[ID]],"-","Actif"),'DATA BTO'!A:N,9,FALSE))</f>
        <v>#N/A</v>
      </c>
      <c r="AF17" s="3" t="e">
        <f ca="1">IFERROR(VLOOKUP(Tableau21[[#This Row],[Key(ID-Next)]],'DATA BTO'!A:N,10,FALSE),VLOOKUP(_xlfn.CONCAT(Tableau21[[#This Row],[ID]],"-","Actif"),'DATA BTO'!A:N,10,FALSE))</f>
        <v>#N/A</v>
      </c>
      <c r="AG17" s="3" t="e">
        <f ca="1">IFERROR(VLOOKUP(Tableau21[[#This Row],[Key(ID-Next)]],'DATA BTO'!A:N,11,FALSE),VLOOKUP(_xlfn.CONCAT(Tableau21[[#This Row],[ID]],"-","Actif"),'DATA BTO'!A:N,11,FALSE))</f>
        <v>#N/A</v>
      </c>
      <c r="AH17" s="50" t="e">
        <f ca="1">IFERROR(VLOOKUP(Tableau21[[#This Row],[Key(ID-Next)]],'DATA BTO'!A:N,12,FALSE),VLOOKUP(_xlfn.CONCAT(Tableau21[[#This Row],[ID]],"-","Actif"),'DATA BTO'!A:N,12,FALSE))</f>
        <v>#N/A</v>
      </c>
      <c r="AI17" s="53" t="e">
        <f ca="1">IFERROR(VLOOKUP(Tableau21[[#This Row],[Key(ID-Next)]],'DATA BTO'!A:N,14,FALSE),VLOOKUP(_xlfn.CONCAT(Tableau21[[#This Row],[ID]],"-","Actif"),'DATA BTO'!A:N,14,FALSE))</f>
        <v>#N/A</v>
      </c>
      <c r="AJ17" s="54" t="e">
        <f ca="1">VLOOKUP(Tableau21[[#This Row],[Key(POD -PFI- Usine)]],'DATA Consignee'!A:F,6,FALSE)</f>
        <v>#N/A</v>
      </c>
      <c r="AK17" s="284"/>
      <c r="AL17" s="376" t="str">
        <f>IF(Tableau21[[#This Row],[Name PFI/CDD]]="","-",VLOOKUP(Tableau21[[#This Row],[Name PFI/CDD]],Plant_AILN!I:J,2,FALSE))</f>
        <v>-</v>
      </c>
      <c r="AM17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7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7" s="2" t="e">
        <f ca="1">VLOOKUP(Tableau21[[#This Row],[Key(POD -PFI- Usine)]],'DATA Consignee'!A:J,10,FALSE)</f>
        <v>#N/A</v>
      </c>
      <c r="AP17" s="50" t="e">
        <f ca="1">VLOOKUP(Tableau21[[#This Row],[Key(POD -PFI- Usine)]],'DATA Consignee'!A:N,14,FALSE)</f>
        <v>#N/A</v>
      </c>
      <c r="AQ1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7" s="50" t="e">
        <f ca="1">Tableau21[[#This Row],[Transit time]]+Tableau21[[#This Row],[Time for security]]+Tableau21[[#This Row],[Time for security2 buffer]]</f>
        <v>#N/A</v>
      </c>
      <c r="AT1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7" s="50" t="e">
        <f ca="1">Tableau21[[#This Row],[Leadtime SI2C]]+Tableau21[[#This Row],[First Receipt Days]]-Tableau21[[#This Row],[Day Customer Order]]+1</f>
        <v>#N/A</v>
      </c>
      <c r="AV17" s="119" t="e">
        <f ca="1">IF(Tableau21[[#This Row],[Name ILN]]&lt;&gt;"SFK Freight Forwarder",Tableau21[[#This Row],[Cust. Leadtime]],Tableau21[[#This Row],[Leadtime SI2C]])</f>
        <v>#N/A</v>
      </c>
      <c r="AW17" s="59"/>
      <c r="AX17" s="338" t="e">
        <f ca="1">IFERROR(VLOOKUP(Tableau21[[#This Row],[Key(ID-Next)]],'DATA BTO'!A:N,3,FALSE),VLOOKUP(Tableau21[[#This Row],[ID]],'DATA BTO'!B:N,2,FALSE))</f>
        <v>#N/A</v>
      </c>
      <c r="AY17" s="50" t="str">
        <f>IF(ISNUMBER(Tableau21[[#This Row],[Day Customer Order]]),"-","Please Check 'Name' information in 'Order' Sheet to make sure they have information")</f>
        <v>-</v>
      </c>
      <c r="AZ1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8" spans="2:55">
      <c r="B18" s="67" t="str">
        <f>_xlfn.CONCAT(Tableau21[[#This Row],[Name ILN]],"-",Tableau21[[#This Row],[Name Shipper]],"-",Tableau21[[#This Row],[Name Site]])</f>
        <v>NSL Shanghai-NSL Shanghai-CURITIBA CVU</v>
      </c>
      <c r="C18" s="66" t="e">
        <f ca="1">_xlfn.CONCAT(Tableau21[[#This Row],[Compte ILN]],"-",Tableau21[[#This Row],[Compte Shipper]],"-",Tableau21[[#This Row],[POL]],"-",Tableau21[[#This Row],[Compte Site]])</f>
        <v>#N/A</v>
      </c>
      <c r="D18" s="66" t="e">
        <f ca="1">_xlfn.CONCAT(Tableau21[[#This Row],[Compte ILN]],"-",Tableau21[[#This Row],[Compte Shipper]],"-",Tableau21[[#This Row],[POL]])</f>
        <v>#N/A</v>
      </c>
      <c r="E18" s="130" t="e">
        <f ca="1">_xlfn.CONCAT(Tableau21[[#This Row],[POL]],"-",Tableau21[[#This Row],[Carrier]],"-",Tableau21[[#This Row],[POD]])</f>
        <v>#N/A</v>
      </c>
      <c r="F18" s="66" t="str">
        <f>_xlfn.CONCAT(Tableau21[[#This Row],[ID]],"-","Next")</f>
        <v>Asia South America East Coast 2-Next</v>
      </c>
      <c r="G18" s="66" t="e">
        <f ca="1">_xlfn.CONCAT(Tableau21[[#This Row],[POD]],"-",Tableau21[[#This Row],[Code PFI]],"-",Tableau21[[#This Row],[Compte Site]])</f>
        <v>#N/A</v>
      </c>
      <c r="H18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8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8" s="119" t="str">
        <f ca="1">IF(COUNTIF(I:I,Tableau21[[#This Row],[Plant-ILN-shipper-POL-Carrier-POD-PFI]])=1,"Non","Oui")</f>
        <v>Oui</v>
      </c>
      <c r="K18" s="128" t="str">
        <f>VLOOKUP(Tableau21[[#This Row],[Name Site]],Plant_AILN!A:D,4,FALSE)</f>
        <v>BRAZIL</v>
      </c>
      <c r="L18" s="59" t="s">
        <v>206</v>
      </c>
      <c r="M18" s="365">
        <f>VLOOKUP(Tableau21[[#This Row],[Name Site]],Plant_AILN!A:C,3,FALSE)</f>
        <v>90018500</v>
      </c>
      <c r="N18" s="55">
        <f>VLOOKUP(Tableau21[[#This Row],[Compte Site]],Order!C:D,2,FALSE)</f>
        <v>7</v>
      </c>
      <c r="O18" s="126" t="s">
        <v>187</v>
      </c>
      <c r="P18" s="365">
        <f>VLOOKUP(Tableau21[[#This Row],[Name ILN]],Plant_AILN!F:G,2,FALSE)</f>
        <v>27261102</v>
      </c>
      <c r="Q18" s="50">
        <f>VLOOKUP(Tableau21[[#This Row],[Compte ILN]],'DATA ILN'!D:I,6,FALSE)</f>
        <v>16</v>
      </c>
      <c r="R18" s="50" t="e">
        <f ca="1">IFERROR(VLOOKUP(Tableau21[[#This Row],[Key(Compte ILN - shipper - POL - plant)]],'DATA ILN'!A:J,10,FALSE),VLOOKUP(Tableau21[[#This Row],[Key(Compte ILN - shipper - POL)]],'DATA ILN'!B:J,9,FALSE))</f>
        <v>#N/A</v>
      </c>
      <c r="S1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8" s="50" t="e">
        <f ca="1">Tableau21[[#This Row],[Day ILN Order]]+Tableau21[[#This Row],[Delivery time to ILN/Shipper]]-1</f>
        <v>#N/A</v>
      </c>
      <c r="V1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8" s="392" t="s">
        <v>187</v>
      </c>
      <c r="Y18" s="389">
        <f>IFERROR(VLOOKUP(Tableau21[[#This Row],[Name Shipper]],Plant_AILN!L:M,2,FALSE),0)</f>
        <v>27261102</v>
      </c>
      <c r="Z18" s="105" t="s">
        <v>205</v>
      </c>
      <c r="AA18" s="396" t="e">
        <f ca="1">IFERROR(VLOOKUP(Tableau21[[#This Row],[Key(ID-Next)]],'DATA BTO'!A:N,5,FALSE),VLOOKUP(_xlfn.CONCAT(Tableau21[[#This Row],[ID]],"-","Actif"),'DATA BTO'!A:N,5,FALSE))</f>
        <v>#N/A</v>
      </c>
      <c r="AB18" s="3" t="e">
        <f ca="1">IFERROR(VLOOKUP(Tableau21[[#This Row],[Key(ID-Next)]],'DATA BTO'!A:N,6,FALSE),VLOOKUP(_xlfn.CONCAT(Tableau21[[#This Row],[ID]],"-","Actif"),'DATA BTO'!A:N,6,FALSE))</f>
        <v>#N/A</v>
      </c>
      <c r="AC18" s="50" t="e">
        <f ca="1">IFERROR(VLOOKUP(Tableau21[[#This Row],[Key(ID-Next)]],'DATA BTO'!A:N,7,FALSE),VLOOKUP(_xlfn.CONCAT(Tableau21[[#This Row],[ID]],"-","Actif"),'DATA BTO'!A:N,7,FALSE))</f>
        <v>#N/A</v>
      </c>
      <c r="AD18" s="50" t="e">
        <f ca="1">IFERROR(VLOOKUP(Tableau21[[#This Row],[Key(ID-Next)]],'DATA BTO'!A:N,8,FALSE),VLOOKUP(_xlfn.CONCAT(Tableau21[[#This Row],[ID]],"-","Actif"),'DATA BTO'!A:N,8,FALSE))</f>
        <v>#N/A</v>
      </c>
      <c r="AE18" s="50" t="e">
        <f ca="1">IFERROR(VLOOKUP(Tableau21[[#This Row],[Key(ID-Next)]],'DATA BTO'!A:N,9,FALSE),VLOOKUP(_xlfn.CONCAT(Tableau21[[#This Row],[ID]],"-","Actif"),'DATA BTO'!A:N,9,FALSE))</f>
        <v>#N/A</v>
      </c>
      <c r="AF18" s="3" t="e">
        <f ca="1">IFERROR(VLOOKUP(Tableau21[[#This Row],[Key(ID-Next)]],'DATA BTO'!A:N,10,FALSE),VLOOKUP(_xlfn.CONCAT(Tableau21[[#This Row],[ID]],"-","Actif"),'DATA BTO'!A:N,10,FALSE))</f>
        <v>#N/A</v>
      </c>
      <c r="AG18" s="3" t="e">
        <f ca="1">IFERROR(VLOOKUP(Tableau21[[#This Row],[Key(ID-Next)]],'DATA BTO'!A:N,11,FALSE),VLOOKUP(_xlfn.CONCAT(Tableau21[[#This Row],[ID]],"-","Actif"),'DATA BTO'!A:N,11,FALSE))</f>
        <v>#N/A</v>
      </c>
      <c r="AH18" s="50" t="e">
        <f ca="1">IFERROR(VLOOKUP(Tableau21[[#This Row],[Key(ID-Next)]],'DATA BTO'!A:N,12,FALSE),VLOOKUP(_xlfn.CONCAT(Tableau21[[#This Row],[ID]],"-","Actif"),'DATA BTO'!A:N,12,FALSE))</f>
        <v>#N/A</v>
      </c>
      <c r="AI18" s="53" t="e">
        <f ca="1">IFERROR(VLOOKUP(Tableau21[[#This Row],[Key(ID-Next)]],'DATA BTO'!A:N,14,FALSE),VLOOKUP(_xlfn.CONCAT(Tableau21[[#This Row],[ID]],"-","Actif"),'DATA BTO'!A:N,14,FALSE))</f>
        <v>#N/A</v>
      </c>
      <c r="AJ18" s="54" t="e">
        <f ca="1">VLOOKUP(Tableau21[[#This Row],[Key(POD -PFI- Usine)]],'DATA Consignee'!A:F,6,FALSE)</f>
        <v>#N/A</v>
      </c>
      <c r="AK18" s="284"/>
      <c r="AL18" s="376" t="str">
        <f>IF(Tableau21[[#This Row],[Name PFI/CDD]]="","-",VLOOKUP(Tableau21[[#This Row],[Name PFI/CDD]],Plant_AILN!I:J,2,FALSE))</f>
        <v>-</v>
      </c>
      <c r="AM1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8" s="2" t="e">
        <f ca="1">VLOOKUP(Tableau21[[#This Row],[Key(POD -PFI- Usine)]],'DATA Consignee'!A:J,10,FALSE)</f>
        <v>#N/A</v>
      </c>
      <c r="AP18" s="50" t="e">
        <f ca="1">VLOOKUP(Tableau21[[#This Row],[Key(POD -PFI- Usine)]],'DATA Consignee'!A:N,14,FALSE)</f>
        <v>#N/A</v>
      </c>
      <c r="AQ1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8" s="50" t="e">
        <f ca="1">Tableau21[[#This Row],[Transit time]]+Tableau21[[#This Row],[Time for security]]+Tableau21[[#This Row],[Time for security2 buffer]]</f>
        <v>#N/A</v>
      </c>
      <c r="AT1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8" s="50" t="e">
        <f ca="1">Tableau21[[#This Row],[Leadtime SI2C]]+Tableau21[[#This Row],[First Receipt Days]]-Tableau21[[#This Row],[Day Customer Order]]+1</f>
        <v>#N/A</v>
      </c>
      <c r="AV18" s="119" t="e">
        <f ca="1">IF(Tableau21[[#This Row],[Name ILN]]&lt;&gt;"SFK Freight Forwarder",Tableau21[[#This Row],[Cust. Leadtime]],Tableau21[[#This Row],[Leadtime SI2C]])</f>
        <v>#N/A</v>
      </c>
      <c r="AW18" s="59"/>
      <c r="AX18" s="338" t="e">
        <f ca="1">IFERROR(VLOOKUP(Tableau21[[#This Row],[Key(ID-Next)]],'DATA BTO'!A:N,3,FALSE),VLOOKUP(Tableau21[[#This Row],[ID]],'DATA BTO'!B:N,2,FALSE))</f>
        <v>#N/A</v>
      </c>
      <c r="AY18" s="50" t="str">
        <f>IF(ISNUMBER(Tableau21[[#This Row],[Day Customer Order]]),"-","Please Check 'Name' information in 'Order' Sheet to make sure they have information")</f>
        <v>-</v>
      </c>
      <c r="AZ1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9" spans="2:55">
      <c r="B19" s="67" t="str">
        <f>_xlfn.CONCAT(Tableau21[[#This Row],[Name ILN]],"-",Tableau21[[#This Row],[Name Shipper]],"-",Tableau21[[#This Row],[Name Site]])</f>
        <v>NSL Shanghai-NSL Shanghai-CLEON</v>
      </c>
      <c r="C19" s="66" t="e">
        <f ca="1">_xlfn.CONCAT(Tableau21[[#This Row],[Compte ILN]],"-",Tableau21[[#This Row],[Compte Shipper]],"-",Tableau21[[#This Row],[POL]],"-",Tableau21[[#This Row],[Compte Site]])</f>
        <v>#N/A</v>
      </c>
      <c r="D19" s="66" t="e">
        <f ca="1">_xlfn.CONCAT(Tableau21[[#This Row],[Compte ILN]],"-",Tableau21[[#This Row],[Compte Shipper]],"-",Tableau21[[#This Row],[POL]])</f>
        <v>#N/A</v>
      </c>
      <c r="E19" s="130" t="e">
        <f ca="1">_xlfn.CONCAT(Tableau21[[#This Row],[POL]],"-",Tableau21[[#This Row],[Carrier]],"-",Tableau21[[#This Row],[POD]])</f>
        <v>#N/A</v>
      </c>
      <c r="F19" s="66" t="str">
        <f>_xlfn.CONCAT(Tableau21[[#This Row],[ID]],"-","Next")</f>
        <v>AE55-Next</v>
      </c>
      <c r="G19" s="66" t="e">
        <f ca="1">_xlfn.CONCAT(Tableau21[[#This Row],[POD]],"-",Tableau21[[#This Row],[Code PFI]],"-",Tableau21[[#This Row],[Compte Site]])</f>
        <v>#N/A</v>
      </c>
      <c r="H19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9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9" s="119" t="str">
        <f ca="1">IF(COUNTIF(I:I,Tableau21[[#This Row],[Plant-ILN-shipper-POL-Carrier-POD-PFI]])=1,"Non","Oui")</f>
        <v>Oui</v>
      </c>
      <c r="K19" s="128" t="str">
        <f>VLOOKUP(Tableau21[[#This Row],[Name Site]],Plant_AILN!A:D,4,FALSE)</f>
        <v>FRANCE</v>
      </c>
      <c r="L19" s="76" t="s">
        <v>183</v>
      </c>
      <c r="M19" s="365">
        <f>VLOOKUP(Tableau21[[#This Row],[Name Site]],Plant_AILN!A:C,3,FALSE)</f>
        <v>92000100</v>
      </c>
      <c r="N19" s="55">
        <f>VLOOKUP(Tableau21[[#This Row],[Compte Site]],Order!C:D,2,FALSE)</f>
        <v>7</v>
      </c>
      <c r="O19" s="126" t="s">
        <v>187</v>
      </c>
      <c r="P19" s="365">
        <f>VLOOKUP(Tableau21[[#This Row],[Name ILN]],Plant_AILN!F:G,2,FALSE)</f>
        <v>27261102</v>
      </c>
      <c r="Q19" s="50">
        <f>VLOOKUP(Tableau21[[#This Row],[Compte ILN]],'DATA ILN'!D:I,6,FALSE)</f>
        <v>16</v>
      </c>
      <c r="R19" s="50" t="e">
        <f ca="1">IFERROR(VLOOKUP(Tableau21[[#This Row],[Key(Compte ILN - shipper - POL - plant)]],'DATA ILN'!A:J,10,FALSE),VLOOKUP(Tableau21[[#This Row],[Key(Compte ILN - shipper - POL)]],'DATA ILN'!B:J,9,FALSE))</f>
        <v>#N/A</v>
      </c>
      <c r="S1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9" s="50" t="e">
        <f ca="1">Tableau21[[#This Row],[Day ILN Order]]+Tableau21[[#This Row],[Delivery time to ILN/Shipper]]-1</f>
        <v>#N/A</v>
      </c>
      <c r="V1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9" s="392" t="s">
        <v>187</v>
      </c>
      <c r="Y19" s="389">
        <f>IFERROR(VLOOKUP(Tableau21[[#This Row],[Name Shipper]],Plant_AILN!L:M,2,FALSE),0)</f>
        <v>27261102</v>
      </c>
      <c r="Z19" s="105" t="s">
        <v>207</v>
      </c>
      <c r="AA19" s="396" t="e">
        <f ca="1">IFERROR(VLOOKUP(Tableau21[[#This Row],[Key(ID-Next)]],'DATA BTO'!A:N,5,FALSE),VLOOKUP(_xlfn.CONCAT(Tableau21[[#This Row],[ID]],"-","Actif"),'DATA BTO'!A:N,5,FALSE))</f>
        <v>#N/A</v>
      </c>
      <c r="AB19" s="3" t="e">
        <f ca="1">IFERROR(VLOOKUP(Tableau21[[#This Row],[Key(ID-Next)]],'DATA BTO'!A:N,6,FALSE),VLOOKUP(_xlfn.CONCAT(Tableau21[[#This Row],[ID]],"-","Actif"),'DATA BTO'!A:N,6,FALSE))</f>
        <v>#N/A</v>
      </c>
      <c r="AC19" s="50" t="e">
        <f ca="1">IFERROR(VLOOKUP(Tableau21[[#This Row],[Key(ID-Next)]],'DATA BTO'!A:N,7,FALSE),VLOOKUP(_xlfn.CONCAT(Tableau21[[#This Row],[ID]],"-","Actif"),'DATA BTO'!A:N,7,FALSE))</f>
        <v>#N/A</v>
      </c>
      <c r="AD19" s="50" t="e">
        <f ca="1">IFERROR(VLOOKUP(Tableau21[[#This Row],[Key(ID-Next)]],'DATA BTO'!A:N,8,FALSE),VLOOKUP(_xlfn.CONCAT(Tableau21[[#This Row],[ID]],"-","Actif"),'DATA BTO'!A:N,8,FALSE))</f>
        <v>#N/A</v>
      </c>
      <c r="AE19" s="50" t="e">
        <f ca="1">IFERROR(VLOOKUP(Tableau21[[#This Row],[Key(ID-Next)]],'DATA BTO'!A:N,9,FALSE),VLOOKUP(_xlfn.CONCAT(Tableau21[[#This Row],[ID]],"-","Actif"),'DATA BTO'!A:N,9,FALSE))</f>
        <v>#N/A</v>
      </c>
      <c r="AF19" s="3" t="e">
        <f ca="1">IFERROR(VLOOKUP(Tableau21[[#This Row],[Key(ID-Next)]],'DATA BTO'!A:N,10,FALSE),VLOOKUP(_xlfn.CONCAT(Tableau21[[#This Row],[ID]],"-","Actif"),'DATA BTO'!A:N,10,FALSE))</f>
        <v>#N/A</v>
      </c>
      <c r="AG19" s="3" t="e">
        <f ca="1">IFERROR(VLOOKUP(Tableau21[[#This Row],[Key(ID-Next)]],'DATA BTO'!A:N,11,FALSE),VLOOKUP(_xlfn.CONCAT(Tableau21[[#This Row],[ID]],"-","Actif"),'DATA BTO'!A:N,11,FALSE))</f>
        <v>#N/A</v>
      </c>
      <c r="AH19" s="50" t="e">
        <f ca="1">IFERROR(VLOOKUP(Tableau21[[#This Row],[Key(ID-Next)]],'DATA BTO'!A:N,12,FALSE),VLOOKUP(_xlfn.CONCAT(Tableau21[[#This Row],[ID]],"-","Actif"),'DATA BTO'!A:N,12,FALSE))</f>
        <v>#N/A</v>
      </c>
      <c r="AI19" s="53" t="e">
        <f ca="1">IFERROR(VLOOKUP(Tableau21[[#This Row],[Key(ID-Next)]],'DATA BTO'!A:N,14,FALSE),VLOOKUP(_xlfn.CONCAT(Tableau21[[#This Row],[ID]],"-","Actif"),'DATA BTO'!A:N,14,FALSE))</f>
        <v>#N/A</v>
      </c>
      <c r="AJ19" s="54" t="e">
        <f ca="1">VLOOKUP(Tableau21[[#This Row],[Key(POD -PFI- Usine)]],'DATA Consignee'!A:F,6,FALSE)</f>
        <v>#N/A</v>
      </c>
      <c r="AK19" s="284"/>
      <c r="AL19" s="376" t="str">
        <f>IF(Tableau21[[#This Row],[Name PFI/CDD]]="","-",VLOOKUP(Tableau21[[#This Row],[Name PFI/CDD]],Plant_AILN!I:J,2,FALSE))</f>
        <v>-</v>
      </c>
      <c r="AM1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9" s="2" t="e">
        <f ca="1">VLOOKUP(Tableau21[[#This Row],[Key(POD -PFI- Usine)]],'DATA Consignee'!A:J,10,FALSE)</f>
        <v>#N/A</v>
      </c>
      <c r="AP19" s="50" t="e">
        <f ca="1">VLOOKUP(Tableau21[[#This Row],[Key(POD -PFI- Usine)]],'DATA Consignee'!A:N,14,FALSE)</f>
        <v>#N/A</v>
      </c>
      <c r="AQ1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9" s="50" t="e">
        <f ca="1">Tableau21[[#This Row],[Transit time]]+Tableau21[[#This Row],[Time for security]]+Tableau21[[#This Row],[Time for security2 buffer]]</f>
        <v>#N/A</v>
      </c>
      <c r="AT1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9" s="50" t="e">
        <f ca="1">Tableau21[[#This Row],[Leadtime SI2C]]+Tableau21[[#This Row],[First Receipt Days]]-Tableau21[[#This Row],[Day Customer Order]]+1</f>
        <v>#N/A</v>
      </c>
      <c r="AV19" s="119" t="e">
        <f ca="1">IF(Tableau21[[#This Row],[Name ILN]]&lt;&gt;"SFK Freight Forwarder",Tableau21[[#This Row],[Cust. Leadtime]],Tableau21[[#This Row],[Leadtime SI2C]])</f>
        <v>#N/A</v>
      </c>
      <c r="AW19" s="59"/>
      <c r="AX19" s="338" t="e">
        <f ca="1">IFERROR(VLOOKUP(Tableau21[[#This Row],[Key(ID-Next)]],'DATA BTO'!A:N,3,FALSE),VLOOKUP(Tableau21[[#This Row],[ID]],'DATA BTO'!B:N,2,FALSE))</f>
        <v>#N/A</v>
      </c>
      <c r="AY19" s="50" t="str">
        <f>IF(ISNUMBER(Tableau21[[#This Row],[Day Customer Order]]),"-","Please Check 'Name' information in 'Order' Sheet to make sure they have information")</f>
        <v>-</v>
      </c>
      <c r="AZ1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0" spans="2:55">
      <c r="B20" s="67" t="str">
        <f>_xlfn.CONCAT(Tableau21[[#This Row],[Name ILN]],"-",Tableau21[[#This Row],[Name Shipper]],"-",Tableau21[[#This Row],[Name Site]])</f>
        <v>NCIC Shanghai -NCIC Shanghai -CLEON</v>
      </c>
      <c r="C20" s="66" t="e">
        <f ca="1">_xlfn.CONCAT(Tableau21[[#This Row],[Compte ILN]],"-",Tableau21[[#This Row],[Compte Shipper]],"-",Tableau21[[#This Row],[POL]],"-",Tableau21[[#This Row],[Compte Site]])</f>
        <v>#N/A</v>
      </c>
      <c r="D20" s="66" t="e">
        <f ca="1">_xlfn.CONCAT(Tableau21[[#This Row],[Compte ILN]],"-",Tableau21[[#This Row],[Compte Shipper]],"-",Tableau21[[#This Row],[POL]])</f>
        <v>#N/A</v>
      </c>
      <c r="E20" s="130" t="e">
        <f ca="1">_xlfn.CONCAT(Tableau21[[#This Row],[POL]],"-",Tableau21[[#This Row],[Carrier]],"-",Tableau21[[#This Row],[POD]])</f>
        <v>#N/A</v>
      </c>
      <c r="F20" s="66" t="str">
        <f>_xlfn.CONCAT(Tableau21[[#This Row],[ID]],"-","Next")</f>
        <v>FAL1-LEH-Next</v>
      </c>
      <c r="G20" s="66" t="e">
        <f ca="1">_xlfn.CONCAT(Tableau21[[#This Row],[POD]],"-",Tableau21[[#This Row],[Code PFI]],"-",Tableau21[[#This Row],[Compte Site]])</f>
        <v>#N/A</v>
      </c>
      <c r="H20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0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0" s="119" t="str">
        <f ca="1">IF(COUNTIF(I:I,Tableau21[[#This Row],[Plant-ILN-shipper-POL-Carrier-POD-PFI]])=1,"Non","Oui")</f>
        <v>Oui</v>
      </c>
      <c r="K20" s="128" t="str">
        <f>VLOOKUP(Tableau21[[#This Row],[Name Site]],Plant_AILN!A:D,4,FALSE)</f>
        <v>FRANCE</v>
      </c>
      <c r="L20" s="76" t="s">
        <v>183</v>
      </c>
      <c r="M20" s="365">
        <f>VLOOKUP(Tableau21[[#This Row],[Name Site]],Plant_AILN!A:C,3,FALSE)</f>
        <v>92000100</v>
      </c>
      <c r="N20" s="55">
        <f>VLOOKUP(Tableau21[[#This Row],[Compte Site]],Order!C:D,2,FALSE)</f>
        <v>7</v>
      </c>
      <c r="O20" s="124" t="s">
        <v>201</v>
      </c>
      <c r="P20" s="365">
        <f>VLOOKUP(Tableau21[[#This Row],[Name ILN]],Plant_AILN!F:G,2,FALSE)</f>
        <v>26037001</v>
      </c>
      <c r="Q20" s="50">
        <f>VLOOKUP(Tableau21[[#This Row],[Compte ILN]],'DATA ILN'!D:I,6,FALSE)</f>
        <v>16</v>
      </c>
      <c r="R20" s="50" t="e">
        <f ca="1">IFERROR(VLOOKUP(Tableau21[[#This Row],[Key(Compte ILN - shipper - POL - plant)]],'DATA ILN'!A:J,10,FALSE),VLOOKUP(Tableau21[[#This Row],[Key(Compte ILN - shipper - POL)]],'DATA ILN'!B:J,9,FALSE))</f>
        <v>#N/A</v>
      </c>
      <c r="S2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0" s="50" t="e">
        <f ca="1">Tableau21[[#This Row],[Day ILN Order]]+Tableau21[[#This Row],[Delivery time to ILN/Shipper]]-1</f>
        <v>#N/A</v>
      </c>
      <c r="V2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0" s="394" t="s">
        <v>201</v>
      </c>
      <c r="Y20" s="389">
        <f>IFERROR(VLOOKUP(Tableau21[[#This Row],[Name Shipper]],Plant_AILN!L:M,2,FALSE),0)</f>
        <v>26037001</v>
      </c>
      <c r="Z20" s="195" t="s">
        <v>208</v>
      </c>
      <c r="AA20" s="396" t="e">
        <f ca="1">IFERROR(VLOOKUP(Tableau21[[#This Row],[Key(ID-Next)]],'DATA BTO'!A:N,5,FALSE),VLOOKUP(_xlfn.CONCAT(Tableau21[[#This Row],[ID]],"-","Actif"),'DATA BTO'!A:N,5,FALSE))</f>
        <v>#N/A</v>
      </c>
      <c r="AB20" s="3" t="e">
        <f ca="1">IFERROR(VLOOKUP(Tableau21[[#This Row],[Key(ID-Next)]],'DATA BTO'!A:N,6,FALSE),VLOOKUP(_xlfn.CONCAT(Tableau21[[#This Row],[ID]],"-","Actif"),'DATA BTO'!A:N,6,FALSE))</f>
        <v>#N/A</v>
      </c>
      <c r="AC20" s="50" t="e">
        <f ca="1">IFERROR(VLOOKUP(Tableau21[[#This Row],[Key(ID-Next)]],'DATA BTO'!A:N,7,FALSE),VLOOKUP(_xlfn.CONCAT(Tableau21[[#This Row],[ID]],"-","Actif"),'DATA BTO'!A:N,7,FALSE))</f>
        <v>#N/A</v>
      </c>
      <c r="AD20" s="50" t="e">
        <f ca="1">IFERROR(VLOOKUP(Tableau21[[#This Row],[Key(ID-Next)]],'DATA BTO'!A:N,8,FALSE),VLOOKUP(_xlfn.CONCAT(Tableau21[[#This Row],[ID]],"-","Actif"),'DATA BTO'!A:N,8,FALSE))</f>
        <v>#N/A</v>
      </c>
      <c r="AE20" s="50" t="e">
        <f ca="1">IFERROR(VLOOKUP(Tableau21[[#This Row],[Key(ID-Next)]],'DATA BTO'!A:N,9,FALSE),VLOOKUP(_xlfn.CONCAT(Tableau21[[#This Row],[ID]],"-","Actif"),'DATA BTO'!A:N,9,FALSE))</f>
        <v>#N/A</v>
      </c>
      <c r="AF20" s="3" t="e">
        <f ca="1">IFERROR(VLOOKUP(Tableau21[[#This Row],[Key(ID-Next)]],'DATA BTO'!A:N,10,FALSE),VLOOKUP(_xlfn.CONCAT(Tableau21[[#This Row],[ID]],"-","Actif"),'DATA BTO'!A:N,10,FALSE))</f>
        <v>#N/A</v>
      </c>
      <c r="AG20" s="3" t="e">
        <f ca="1">IFERROR(VLOOKUP(Tableau21[[#This Row],[Key(ID-Next)]],'DATA BTO'!A:N,11,FALSE),VLOOKUP(_xlfn.CONCAT(Tableau21[[#This Row],[ID]],"-","Actif"),'DATA BTO'!A:N,11,FALSE))</f>
        <v>#N/A</v>
      </c>
      <c r="AH20" s="50" t="e">
        <f ca="1">IFERROR(VLOOKUP(Tableau21[[#This Row],[Key(ID-Next)]],'DATA BTO'!A:N,12,FALSE),VLOOKUP(_xlfn.CONCAT(Tableau21[[#This Row],[ID]],"-","Actif"),'DATA BTO'!A:N,12,FALSE))</f>
        <v>#N/A</v>
      </c>
      <c r="AI20" s="53" t="e">
        <f ca="1">IFERROR(VLOOKUP(Tableau21[[#This Row],[Key(ID-Next)]],'DATA BTO'!A:N,14,FALSE),VLOOKUP(_xlfn.CONCAT(Tableau21[[#This Row],[ID]],"-","Actif"),'DATA BTO'!A:N,14,FALSE))</f>
        <v>#N/A</v>
      </c>
      <c r="AJ20" s="54" t="e">
        <f ca="1">VLOOKUP(Tableau21[[#This Row],[Key(POD -PFI- Usine)]],'DATA Consignee'!A:F,6,FALSE)</f>
        <v>#N/A</v>
      </c>
      <c r="AK20" s="284"/>
      <c r="AL20" s="376" t="str">
        <f>IF(Tableau21[[#This Row],[Name PFI/CDD]]="","-",VLOOKUP(Tableau21[[#This Row],[Name PFI/CDD]],Plant_AILN!I:J,2,FALSE))</f>
        <v>-</v>
      </c>
      <c r="AM2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0" s="2" t="e">
        <f ca="1">VLOOKUP(Tableau21[[#This Row],[Key(POD -PFI- Usine)]],'DATA Consignee'!A:J,10,FALSE)</f>
        <v>#N/A</v>
      </c>
      <c r="AP20" s="50" t="e">
        <f ca="1">VLOOKUP(Tableau21[[#This Row],[Key(POD -PFI- Usine)]],'DATA Consignee'!A:N,14,FALSE)</f>
        <v>#N/A</v>
      </c>
      <c r="AQ2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0" s="50" t="e">
        <f ca="1">Tableau21[[#This Row],[Transit time]]+Tableau21[[#This Row],[Time for security]]+Tableau21[[#This Row],[Time for security2 buffer]]</f>
        <v>#N/A</v>
      </c>
      <c r="AT2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0" s="50" t="e">
        <f ca="1">Tableau21[[#This Row],[Leadtime SI2C]]+Tableau21[[#This Row],[First Receipt Days]]-Tableau21[[#This Row],[Day Customer Order]]+1</f>
        <v>#N/A</v>
      </c>
      <c r="AV20" s="119" t="e">
        <f ca="1">IF(Tableau21[[#This Row],[Name ILN]]&lt;&gt;"SFK Freight Forwarder",Tableau21[[#This Row],[Cust. Leadtime]],Tableau21[[#This Row],[Leadtime SI2C]])</f>
        <v>#N/A</v>
      </c>
      <c r="AW20" s="59"/>
      <c r="AX20" s="338" t="e">
        <f ca="1">IFERROR(VLOOKUP(Tableau21[[#This Row],[Key(ID-Next)]],'DATA BTO'!A:N,3,FALSE),VLOOKUP(Tableau21[[#This Row],[ID]],'DATA BTO'!B:N,2,FALSE))</f>
        <v>#N/A</v>
      </c>
      <c r="AY20" s="50" t="str">
        <f>IF(ISNUMBER(Tableau21[[#This Row],[Day Customer Order]]),"-","Please Check 'Name' information in 'Order' Sheet to make sure they have information")</f>
        <v>-</v>
      </c>
      <c r="AZ2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1" spans="2:55">
      <c r="B21" s="67" t="str">
        <f>_xlfn.CONCAT(Tableau21[[#This Row],[Name ILN]],"-",Tableau21[[#This Row],[Name Shipper]],"-",Tableau21[[#This Row],[Name Site]])</f>
        <v>NCIC Shanghai -NCIC Shanghai -FLINS</v>
      </c>
      <c r="C21" s="66" t="e">
        <f ca="1">_xlfn.CONCAT(Tableau21[[#This Row],[Compte ILN]],"-",Tableau21[[#This Row],[Compte Shipper]],"-",Tableau21[[#This Row],[POL]],"-",Tableau21[[#This Row],[Compte Site]])</f>
        <v>#N/A</v>
      </c>
      <c r="D21" s="66" t="e">
        <f ca="1">_xlfn.CONCAT(Tableau21[[#This Row],[Compte ILN]],"-",Tableau21[[#This Row],[Compte Shipper]],"-",Tableau21[[#This Row],[POL]])</f>
        <v>#N/A</v>
      </c>
      <c r="E21" s="130" t="e">
        <f ca="1">_xlfn.CONCAT(Tableau21[[#This Row],[POL]],"-",Tableau21[[#This Row],[Carrier]],"-",Tableau21[[#This Row],[POD]])</f>
        <v>#N/A</v>
      </c>
      <c r="F21" s="66" t="str">
        <f>_xlfn.CONCAT(Tableau21[[#This Row],[ID]],"-","Next")</f>
        <v>AE55-Next</v>
      </c>
      <c r="G21" s="66" t="e">
        <f ca="1">_xlfn.CONCAT(Tableau21[[#This Row],[POD]],"-",Tableau21[[#This Row],[Code PFI]],"-",Tableau21[[#This Row],[Compte Site]])</f>
        <v>#N/A</v>
      </c>
      <c r="H21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1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1" s="119" t="str">
        <f ca="1">IF(COUNTIF(I:I,Tableau21[[#This Row],[Plant-ILN-shipper-POL-Carrier-POD-PFI]])=1,"Non","Oui")</f>
        <v>Oui</v>
      </c>
      <c r="K21" s="128" t="str">
        <f>VLOOKUP(Tableau21[[#This Row],[Name Site]],Plant_AILN!A:D,4,FALSE)</f>
        <v>FRANCE</v>
      </c>
      <c r="L21" s="76" t="s">
        <v>209</v>
      </c>
      <c r="M21" s="365">
        <f>VLOOKUP(Tableau21[[#This Row],[Name Site]],Plant_AILN!A:C,3,FALSE)</f>
        <v>90015100</v>
      </c>
      <c r="N21" s="55">
        <f>VLOOKUP(Tableau21[[#This Row],[Compte Site]],Order!C:D,2,FALSE)</f>
        <v>7</v>
      </c>
      <c r="O21" s="124" t="s">
        <v>201</v>
      </c>
      <c r="P21" s="365">
        <f>VLOOKUP(Tableau21[[#This Row],[Name ILN]],Plant_AILN!F:G,2,FALSE)</f>
        <v>26037001</v>
      </c>
      <c r="Q21" s="50">
        <f>VLOOKUP(Tableau21[[#This Row],[Compte ILN]],'DATA ILN'!D:I,6,FALSE)</f>
        <v>16</v>
      </c>
      <c r="R21" s="50" t="e">
        <f ca="1">IFERROR(VLOOKUP(Tableau21[[#This Row],[Key(Compte ILN - shipper - POL - plant)]],'DATA ILN'!A:J,10,FALSE),VLOOKUP(Tableau21[[#This Row],[Key(Compte ILN - shipper - POL)]],'DATA ILN'!B:J,9,FALSE))</f>
        <v>#N/A</v>
      </c>
      <c r="S21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1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1" s="50" t="e">
        <f ca="1">Tableau21[[#This Row],[Day ILN Order]]+Tableau21[[#This Row],[Delivery time to ILN/Shipper]]-1</f>
        <v>#N/A</v>
      </c>
      <c r="V21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1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1" s="394" t="s">
        <v>201</v>
      </c>
      <c r="Y21" s="389">
        <f>IFERROR(VLOOKUP(Tableau21[[#This Row],[Name Shipper]],Plant_AILN!L:M,2,FALSE),0)</f>
        <v>26037001</v>
      </c>
      <c r="Z21" s="105" t="s">
        <v>207</v>
      </c>
      <c r="AA21" s="396" t="e">
        <f ca="1">IFERROR(VLOOKUP(Tableau21[[#This Row],[Key(ID-Next)]],'DATA BTO'!A:N,5,FALSE),VLOOKUP(_xlfn.CONCAT(Tableau21[[#This Row],[ID]],"-","Actif"),'DATA BTO'!A:N,5,FALSE))</f>
        <v>#N/A</v>
      </c>
      <c r="AB21" s="3" t="e">
        <f ca="1">IFERROR(VLOOKUP(Tableau21[[#This Row],[Key(ID-Next)]],'DATA BTO'!A:N,6,FALSE),VLOOKUP(_xlfn.CONCAT(Tableau21[[#This Row],[ID]],"-","Actif"),'DATA BTO'!A:N,6,FALSE))</f>
        <v>#N/A</v>
      </c>
      <c r="AC21" s="50" t="e">
        <f ca="1">IFERROR(VLOOKUP(Tableau21[[#This Row],[Key(ID-Next)]],'DATA BTO'!A:N,7,FALSE),VLOOKUP(_xlfn.CONCAT(Tableau21[[#This Row],[ID]],"-","Actif"),'DATA BTO'!A:N,7,FALSE))</f>
        <v>#N/A</v>
      </c>
      <c r="AD21" s="50" t="e">
        <f ca="1">IFERROR(VLOOKUP(Tableau21[[#This Row],[Key(ID-Next)]],'DATA BTO'!A:N,8,FALSE),VLOOKUP(_xlfn.CONCAT(Tableau21[[#This Row],[ID]],"-","Actif"),'DATA BTO'!A:N,8,FALSE))</f>
        <v>#N/A</v>
      </c>
      <c r="AE21" s="50" t="e">
        <f ca="1">IFERROR(VLOOKUP(Tableau21[[#This Row],[Key(ID-Next)]],'DATA BTO'!A:N,9,FALSE),VLOOKUP(_xlfn.CONCAT(Tableau21[[#This Row],[ID]],"-","Actif"),'DATA BTO'!A:N,9,FALSE))</f>
        <v>#N/A</v>
      </c>
      <c r="AF21" s="3" t="e">
        <f ca="1">IFERROR(VLOOKUP(Tableau21[[#This Row],[Key(ID-Next)]],'DATA BTO'!A:N,10,FALSE),VLOOKUP(_xlfn.CONCAT(Tableau21[[#This Row],[ID]],"-","Actif"),'DATA BTO'!A:N,10,FALSE))</f>
        <v>#N/A</v>
      </c>
      <c r="AG21" s="3" t="e">
        <f ca="1">IFERROR(VLOOKUP(Tableau21[[#This Row],[Key(ID-Next)]],'DATA BTO'!A:N,11,FALSE),VLOOKUP(_xlfn.CONCAT(Tableau21[[#This Row],[ID]],"-","Actif"),'DATA BTO'!A:N,11,FALSE))</f>
        <v>#N/A</v>
      </c>
      <c r="AH21" s="50" t="e">
        <f ca="1">IFERROR(VLOOKUP(Tableau21[[#This Row],[Key(ID-Next)]],'DATA BTO'!A:N,12,FALSE),VLOOKUP(_xlfn.CONCAT(Tableau21[[#This Row],[ID]],"-","Actif"),'DATA BTO'!A:N,12,FALSE))</f>
        <v>#N/A</v>
      </c>
      <c r="AI21" s="53" t="e">
        <f ca="1">IFERROR(VLOOKUP(Tableau21[[#This Row],[Key(ID-Next)]],'DATA BTO'!A:N,14,FALSE),VLOOKUP(_xlfn.CONCAT(Tableau21[[#This Row],[ID]],"-","Actif"),'DATA BTO'!A:N,14,FALSE))</f>
        <v>#N/A</v>
      </c>
      <c r="AJ21" s="54" t="e">
        <f ca="1">VLOOKUP(Tableau21[[#This Row],[Key(POD -PFI- Usine)]],'DATA Consignee'!A:F,6,FALSE)</f>
        <v>#N/A</v>
      </c>
      <c r="AK21" s="284"/>
      <c r="AL21" s="376" t="str">
        <f>IF(Tableau21[[#This Row],[Name PFI/CDD]]="","-",VLOOKUP(Tableau21[[#This Row],[Name PFI/CDD]],Plant_AILN!I:J,2,FALSE))</f>
        <v>-</v>
      </c>
      <c r="AM21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1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1" s="2" t="e">
        <f ca="1">VLOOKUP(Tableau21[[#This Row],[Key(POD -PFI- Usine)]],'DATA Consignee'!A:J,10,FALSE)</f>
        <v>#N/A</v>
      </c>
      <c r="AP21" s="50" t="e">
        <f ca="1">VLOOKUP(Tableau21[[#This Row],[Key(POD -PFI- Usine)]],'DATA Consignee'!A:N,14,FALSE)</f>
        <v>#N/A</v>
      </c>
      <c r="AQ21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1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1" s="50" t="e">
        <f ca="1">Tableau21[[#This Row],[Transit time]]+Tableau21[[#This Row],[Time for security]]+Tableau21[[#This Row],[Time for security2 buffer]]</f>
        <v>#N/A</v>
      </c>
      <c r="AT21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1" s="50" t="e">
        <f ca="1">Tableau21[[#This Row],[Leadtime SI2C]]+Tableau21[[#This Row],[First Receipt Days]]-Tableau21[[#This Row],[Day Customer Order]]+1</f>
        <v>#N/A</v>
      </c>
      <c r="AV21" s="119" t="e">
        <f ca="1">IF(Tableau21[[#This Row],[Name ILN]]&lt;&gt;"SFK Freight Forwarder",Tableau21[[#This Row],[Cust. Leadtime]],Tableau21[[#This Row],[Leadtime SI2C]])</f>
        <v>#N/A</v>
      </c>
      <c r="AW21" s="59"/>
      <c r="AX21" s="338" t="e">
        <f ca="1">IFERROR(VLOOKUP(Tableau21[[#This Row],[Key(ID-Next)]],'DATA BTO'!A:N,3,FALSE),VLOOKUP(Tableau21[[#This Row],[ID]],'DATA BTO'!B:N,2,FALSE))</f>
        <v>#N/A</v>
      </c>
      <c r="AY21" s="50" t="str">
        <f>IF(ISNUMBER(Tableau21[[#This Row],[Day Customer Order]]),"-","Please Check 'Name' information in 'Order' Sheet to make sure they have information")</f>
        <v>-</v>
      </c>
      <c r="AZ21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1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1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2" spans="2:55">
      <c r="B22" s="67" t="str">
        <f>_xlfn.CONCAT(Tableau21[[#This Row],[Name ILN]],"-",Tableau21[[#This Row],[Name Shipper]],"-",Tableau21[[#This Row],[Name Site]])</f>
        <v>NCIC Shanghai -NCIC Shanghai -OYAK MEKA</v>
      </c>
      <c r="C22" s="66" t="e">
        <f ca="1">_xlfn.CONCAT(Tableau21[[#This Row],[Compte ILN]],"-",Tableau21[[#This Row],[Compte Shipper]],"-",Tableau21[[#This Row],[POL]],"-",Tableau21[[#This Row],[Compte Site]])</f>
        <v>#N/A</v>
      </c>
      <c r="D22" s="66" t="e">
        <f ca="1">_xlfn.CONCAT(Tableau21[[#This Row],[Compte ILN]],"-",Tableau21[[#This Row],[Compte Shipper]],"-",Tableau21[[#This Row],[POL]])</f>
        <v>#N/A</v>
      </c>
      <c r="E22" s="130" t="e">
        <f ca="1">_xlfn.CONCAT(Tableau21[[#This Row],[POL]],"-",Tableau21[[#This Row],[Carrier]],"-",Tableau21[[#This Row],[POD]])</f>
        <v>#N/A</v>
      </c>
      <c r="F22" s="66" t="str">
        <f>_xlfn.CONCAT(Tableau21[[#This Row],[ID]],"-","Next")</f>
        <v>AK15-Next</v>
      </c>
      <c r="G22" s="66" t="e">
        <f ca="1">_xlfn.CONCAT(Tableau21[[#This Row],[POD]],"-",Tableau21[[#This Row],[Code PFI]],"-",Tableau21[[#This Row],[Compte Site]])</f>
        <v>#N/A</v>
      </c>
      <c r="H22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2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2" s="119" t="str">
        <f ca="1">IF(COUNTIF(I:I,Tableau21[[#This Row],[Plant-ILN-shipper-POL-Carrier-POD-PFI]])=1,"Non","Oui")</f>
        <v>Oui</v>
      </c>
      <c r="K22" s="128" t="str">
        <f>VLOOKUP(Tableau21[[#This Row],[Name Site]],Plant_AILN!A:D,4,FALSE)</f>
        <v>TURKEY</v>
      </c>
      <c r="L22" s="59" t="s">
        <v>165</v>
      </c>
      <c r="M22" s="365">
        <f>VLOOKUP(Tableau21[[#This Row],[Name Site]],Plant_AILN!A:C,3,FALSE)</f>
        <v>90014400</v>
      </c>
      <c r="N22" s="55">
        <f>VLOOKUP(Tableau21[[#This Row],[Compte Site]],Order!C:D,2,FALSE)</f>
        <v>2</v>
      </c>
      <c r="O22" s="124" t="s">
        <v>201</v>
      </c>
      <c r="P22" s="365">
        <f>VLOOKUP(Tableau21[[#This Row],[Name ILN]],Plant_AILN!F:G,2,FALSE)</f>
        <v>26037001</v>
      </c>
      <c r="Q22" s="50">
        <f>VLOOKUP(Tableau21[[#This Row],[Compte ILN]],'DATA ILN'!D:I,6,FALSE)</f>
        <v>16</v>
      </c>
      <c r="R22" s="50" t="e">
        <f ca="1">IFERROR(VLOOKUP(Tableau21[[#This Row],[Key(Compte ILN - shipper - POL - plant)]],'DATA ILN'!A:J,10,FALSE),VLOOKUP(Tableau21[[#This Row],[Key(Compte ILN - shipper - POL)]],'DATA ILN'!B:J,9,FALSE))</f>
        <v>#N/A</v>
      </c>
      <c r="S2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2" s="50" t="e">
        <f ca="1">Tableau21[[#This Row],[Day ILN Order]]+Tableau21[[#This Row],[Delivery time to ILN/Shipper]]-1</f>
        <v>#N/A</v>
      </c>
      <c r="V2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2" s="394" t="s">
        <v>201</v>
      </c>
      <c r="Y22" s="389">
        <f>IFERROR(VLOOKUP(Tableau21[[#This Row],[Name Shipper]],Plant_AILN!L:M,2,FALSE),0)</f>
        <v>26037001</v>
      </c>
      <c r="Z22" s="52" t="s">
        <v>200</v>
      </c>
      <c r="AA22" s="396" t="e">
        <f ca="1">IFERROR(VLOOKUP(Tableau21[[#This Row],[Key(ID-Next)]],'DATA BTO'!A:N,5,FALSE),VLOOKUP(_xlfn.CONCAT(Tableau21[[#This Row],[ID]],"-","Actif"),'DATA BTO'!A:N,5,FALSE))</f>
        <v>#N/A</v>
      </c>
      <c r="AB22" s="3" t="e">
        <f ca="1">IFERROR(VLOOKUP(Tableau21[[#This Row],[Key(ID-Next)]],'DATA BTO'!A:N,6,FALSE),VLOOKUP(_xlfn.CONCAT(Tableau21[[#This Row],[ID]],"-","Actif"),'DATA BTO'!A:N,6,FALSE))</f>
        <v>#N/A</v>
      </c>
      <c r="AC22" s="50" t="e">
        <f ca="1">IFERROR(VLOOKUP(Tableau21[[#This Row],[Key(ID-Next)]],'DATA BTO'!A:N,7,FALSE),VLOOKUP(_xlfn.CONCAT(Tableau21[[#This Row],[ID]],"-","Actif"),'DATA BTO'!A:N,7,FALSE))</f>
        <v>#N/A</v>
      </c>
      <c r="AD22" s="50" t="e">
        <f ca="1">IFERROR(VLOOKUP(Tableau21[[#This Row],[Key(ID-Next)]],'DATA BTO'!A:N,8,FALSE),VLOOKUP(_xlfn.CONCAT(Tableau21[[#This Row],[ID]],"-","Actif"),'DATA BTO'!A:N,8,FALSE))</f>
        <v>#N/A</v>
      </c>
      <c r="AE22" s="50" t="e">
        <f ca="1">IFERROR(VLOOKUP(Tableau21[[#This Row],[Key(ID-Next)]],'DATA BTO'!A:N,9,FALSE),VLOOKUP(_xlfn.CONCAT(Tableau21[[#This Row],[ID]],"-","Actif"),'DATA BTO'!A:N,9,FALSE))</f>
        <v>#N/A</v>
      </c>
      <c r="AF22" s="3" t="e">
        <f ca="1">IFERROR(VLOOKUP(Tableau21[[#This Row],[Key(ID-Next)]],'DATA BTO'!A:N,10,FALSE),VLOOKUP(_xlfn.CONCAT(Tableau21[[#This Row],[ID]],"-","Actif"),'DATA BTO'!A:N,10,FALSE))</f>
        <v>#N/A</v>
      </c>
      <c r="AG22" s="3" t="e">
        <f ca="1">IFERROR(VLOOKUP(Tableau21[[#This Row],[Key(ID-Next)]],'DATA BTO'!A:N,11,FALSE),VLOOKUP(_xlfn.CONCAT(Tableau21[[#This Row],[ID]],"-","Actif"),'DATA BTO'!A:N,11,FALSE))</f>
        <v>#N/A</v>
      </c>
      <c r="AH22" s="50" t="e">
        <f ca="1">IFERROR(VLOOKUP(Tableau21[[#This Row],[Key(ID-Next)]],'DATA BTO'!A:N,12,FALSE),VLOOKUP(_xlfn.CONCAT(Tableau21[[#This Row],[ID]],"-","Actif"),'DATA BTO'!A:N,12,FALSE))</f>
        <v>#N/A</v>
      </c>
      <c r="AI22" s="53" t="e">
        <f ca="1">IFERROR(VLOOKUP(Tableau21[[#This Row],[Key(ID-Next)]],'DATA BTO'!A:N,14,FALSE),VLOOKUP(_xlfn.CONCAT(Tableau21[[#This Row],[ID]],"-","Actif"),'DATA BTO'!A:N,14,FALSE))</f>
        <v>#N/A</v>
      </c>
      <c r="AJ22" s="54" t="e">
        <f ca="1">VLOOKUP(Tableau21[[#This Row],[Key(POD -PFI- Usine)]],'DATA Consignee'!A:F,6,FALSE)</f>
        <v>#N/A</v>
      </c>
      <c r="AK22" s="284"/>
      <c r="AL22" s="376" t="str">
        <f>IF(Tableau21[[#This Row],[Name PFI/CDD]]="","-",VLOOKUP(Tableau21[[#This Row],[Name PFI/CDD]],Plant_AILN!I:J,2,FALSE))</f>
        <v>-</v>
      </c>
      <c r="AM2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2" s="2" t="e">
        <f ca="1">VLOOKUP(Tableau21[[#This Row],[Key(POD -PFI- Usine)]],'DATA Consignee'!A:J,10,FALSE)</f>
        <v>#N/A</v>
      </c>
      <c r="AP22" s="50" t="e">
        <f ca="1">VLOOKUP(Tableau21[[#This Row],[Key(POD -PFI- Usine)]],'DATA Consignee'!A:N,14,FALSE)</f>
        <v>#N/A</v>
      </c>
      <c r="AQ2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2" s="50" t="e">
        <f ca="1">Tableau21[[#This Row],[Transit time]]+Tableau21[[#This Row],[Time for security]]+Tableau21[[#This Row],[Time for security2 buffer]]</f>
        <v>#N/A</v>
      </c>
      <c r="AT2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2" s="50" t="e">
        <f ca="1">Tableau21[[#This Row],[Leadtime SI2C]]+Tableau21[[#This Row],[First Receipt Days]]-Tableau21[[#This Row],[Day Customer Order]]+1</f>
        <v>#N/A</v>
      </c>
      <c r="AV22" s="119" t="e">
        <f ca="1">IF(Tableau21[[#This Row],[Name ILN]]&lt;&gt;"SFK Freight Forwarder",Tableau21[[#This Row],[Cust. Leadtime]],Tableau21[[#This Row],[Leadtime SI2C]])</f>
        <v>#N/A</v>
      </c>
      <c r="AW22" s="59"/>
      <c r="AX22" s="338" t="e">
        <f ca="1">IFERROR(VLOOKUP(Tableau21[[#This Row],[Key(ID-Next)]],'DATA BTO'!A:N,3,FALSE),VLOOKUP(Tableau21[[#This Row],[ID]],'DATA BTO'!B:N,2,FALSE))</f>
        <v>#N/A</v>
      </c>
      <c r="AY22" s="50" t="str">
        <f>IF(ISNUMBER(Tableau21[[#This Row],[Day Customer Order]]),"-","Please Check 'Name' information in 'Order' Sheet to make sure they have information")</f>
        <v>-</v>
      </c>
      <c r="AZ2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3" spans="2:55">
      <c r="B23" s="67" t="str">
        <f>_xlfn.CONCAT(Tableau21[[#This Row],[Name ILN]],"-",Tableau21[[#This Row],[Name Shipper]],"-",Tableau21[[#This Row],[Name Site]])</f>
        <v>NSL Shanghai-NSL Shanghai-PALENCIA</v>
      </c>
      <c r="C23" s="66" t="e">
        <f ca="1">_xlfn.CONCAT(Tableau21[[#This Row],[Compte ILN]],"-",Tableau21[[#This Row],[Compte Shipper]],"-",Tableau21[[#This Row],[POL]],"-",Tableau21[[#This Row],[Compte Site]])</f>
        <v>#N/A</v>
      </c>
      <c r="D23" s="66" t="e">
        <f ca="1">_xlfn.CONCAT(Tableau21[[#This Row],[Compte ILN]],"-",Tableau21[[#This Row],[Compte Shipper]],"-",Tableau21[[#This Row],[POL]])</f>
        <v>#N/A</v>
      </c>
      <c r="E23" s="130" t="e">
        <f ca="1">_xlfn.CONCAT(Tableau21[[#This Row],[POL]],"-",Tableau21[[#This Row],[Carrier]],"-",Tableau21[[#This Row],[POD]])</f>
        <v>#N/A</v>
      </c>
      <c r="F23" s="66" t="str">
        <f>_xlfn.CONCAT(Tableau21[[#This Row],[ID]],"-","Next")</f>
        <v>AE11-Next</v>
      </c>
      <c r="G23" s="66" t="e">
        <f ca="1">_xlfn.CONCAT(Tableau21[[#This Row],[POD]],"-",Tableau21[[#This Row],[Code PFI]],"-",Tableau21[[#This Row],[Compte Site]])</f>
        <v>#N/A</v>
      </c>
      <c r="H23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3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3" s="119" t="str">
        <f ca="1">IF(COUNTIF(I:I,Tableau21[[#This Row],[Plant-ILN-shipper-POL-Carrier-POD-PFI]])=1,"Non","Oui")</f>
        <v>Oui</v>
      </c>
      <c r="K23" s="128" t="str">
        <f>VLOOKUP(Tableau21[[#This Row],[Name Site]],Plant_AILN!A:D,4,FALSE)</f>
        <v>SPAIN</v>
      </c>
      <c r="L23" s="59" t="s">
        <v>184</v>
      </c>
      <c r="M23" s="365">
        <f>VLOOKUP(Tableau21[[#This Row],[Name Site]],Plant_AILN!A:C,3,FALSE)</f>
        <v>91017200</v>
      </c>
      <c r="N23" s="55">
        <f>VLOOKUP(Tableau21[[#This Row],[Compte Site]],Order!C:D,2,FALSE)</f>
        <v>7</v>
      </c>
      <c r="O23" s="126" t="s">
        <v>187</v>
      </c>
      <c r="P23" s="365">
        <f>VLOOKUP(Tableau21[[#This Row],[Name ILN]],Plant_AILN!F:G,2,FALSE)</f>
        <v>27261102</v>
      </c>
      <c r="Q23" s="50">
        <f>VLOOKUP(Tableau21[[#This Row],[Compte ILN]],'DATA ILN'!D:I,6,FALSE)</f>
        <v>16</v>
      </c>
      <c r="R23" s="50" t="e">
        <f ca="1">IFERROR(VLOOKUP(Tableau21[[#This Row],[Key(Compte ILN - shipper - POL - plant)]],'DATA ILN'!A:J,10,FALSE),VLOOKUP(Tableau21[[#This Row],[Key(Compte ILN - shipper - POL)]],'DATA ILN'!B:J,9,FALSE))</f>
        <v>#N/A</v>
      </c>
      <c r="S2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3" s="50" t="e">
        <f ca="1">Tableau21[[#This Row],[Day ILN Order]]+Tableau21[[#This Row],[Delivery time to ILN/Shipper]]-1</f>
        <v>#N/A</v>
      </c>
      <c r="V2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3" s="392" t="s">
        <v>187</v>
      </c>
      <c r="Y23" s="389">
        <f>IFERROR(VLOOKUP(Tableau21[[#This Row],[Name Shipper]],Plant_AILN!L:M,2,FALSE),0)</f>
        <v>27261102</v>
      </c>
      <c r="Z23" s="105" t="s">
        <v>193</v>
      </c>
      <c r="AA23" s="396" t="e">
        <f ca="1">IFERROR(VLOOKUP(Tableau21[[#This Row],[Key(ID-Next)]],'DATA BTO'!A:N,5,FALSE),VLOOKUP(_xlfn.CONCAT(Tableau21[[#This Row],[ID]],"-","Actif"),'DATA BTO'!A:N,5,FALSE))</f>
        <v>#N/A</v>
      </c>
      <c r="AB23" s="3" t="e">
        <f ca="1">IFERROR(VLOOKUP(Tableau21[[#This Row],[Key(ID-Next)]],'DATA BTO'!A:N,6,FALSE),VLOOKUP(_xlfn.CONCAT(Tableau21[[#This Row],[ID]],"-","Actif"),'DATA BTO'!A:N,6,FALSE))</f>
        <v>#N/A</v>
      </c>
      <c r="AC23" s="50" t="e">
        <f ca="1">IFERROR(VLOOKUP(Tableau21[[#This Row],[Key(ID-Next)]],'DATA BTO'!A:N,7,FALSE),VLOOKUP(_xlfn.CONCAT(Tableau21[[#This Row],[ID]],"-","Actif"),'DATA BTO'!A:N,7,FALSE))</f>
        <v>#N/A</v>
      </c>
      <c r="AD23" s="50" t="e">
        <f ca="1">IFERROR(VLOOKUP(Tableau21[[#This Row],[Key(ID-Next)]],'DATA BTO'!A:N,8,FALSE),VLOOKUP(_xlfn.CONCAT(Tableau21[[#This Row],[ID]],"-","Actif"),'DATA BTO'!A:N,8,FALSE))</f>
        <v>#N/A</v>
      </c>
      <c r="AE23" s="50" t="e">
        <f ca="1">IFERROR(VLOOKUP(Tableau21[[#This Row],[Key(ID-Next)]],'DATA BTO'!A:N,9,FALSE),VLOOKUP(_xlfn.CONCAT(Tableau21[[#This Row],[ID]],"-","Actif"),'DATA BTO'!A:N,9,FALSE))</f>
        <v>#N/A</v>
      </c>
      <c r="AF23" s="3" t="e">
        <f ca="1">IFERROR(VLOOKUP(Tableau21[[#This Row],[Key(ID-Next)]],'DATA BTO'!A:N,10,FALSE),VLOOKUP(_xlfn.CONCAT(Tableau21[[#This Row],[ID]],"-","Actif"),'DATA BTO'!A:N,10,FALSE))</f>
        <v>#N/A</v>
      </c>
      <c r="AG23" s="3" t="e">
        <f ca="1">IFERROR(VLOOKUP(Tableau21[[#This Row],[Key(ID-Next)]],'DATA BTO'!A:N,11,FALSE),VLOOKUP(_xlfn.CONCAT(Tableau21[[#This Row],[ID]],"-","Actif"),'DATA BTO'!A:N,11,FALSE))</f>
        <v>#N/A</v>
      </c>
      <c r="AH23" s="50" t="e">
        <f ca="1">IFERROR(VLOOKUP(Tableau21[[#This Row],[Key(ID-Next)]],'DATA BTO'!A:N,12,FALSE),VLOOKUP(_xlfn.CONCAT(Tableau21[[#This Row],[ID]],"-","Actif"),'DATA BTO'!A:N,12,FALSE))</f>
        <v>#N/A</v>
      </c>
      <c r="AI23" s="53" t="e">
        <f ca="1">IFERROR(VLOOKUP(Tableau21[[#This Row],[Key(ID-Next)]],'DATA BTO'!A:N,14,FALSE),VLOOKUP(_xlfn.CONCAT(Tableau21[[#This Row],[ID]],"-","Actif"),'DATA BTO'!A:N,14,FALSE))</f>
        <v>#N/A</v>
      </c>
      <c r="AJ23" s="54" t="e">
        <f ca="1">VLOOKUP(Tableau21[[#This Row],[Key(POD -PFI- Usine)]],'DATA Consignee'!A:F,6,FALSE)</f>
        <v>#N/A</v>
      </c>
      <c r="AK23" s="284" t="s">
        <v>171</v>
      </c>
      <c r="AL23" s="376">
        <f>IF(Tableau21[[#This Row],[Name PFI/CDD]]="","-",VLOOKUP(Tableau21[[#This Row],[Name PFI/CDD]],Plant_AILN!I:J,2,FALSE))</f>
        <v>91018400</v>
      </c>
      <c r="AM23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3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3" s="2" t="e">
        <f ca="1">VLOOKUP(Tableau21[[#This Row],[Key(POD -PFI- Usine)]],'DATA Consignee'!A:J,10,FALSE)</f>
        <v>#N/A</v>
      </c>
      <c r="AP23" s="50" t="e">
        <f ca="1">VLOOKUP(Tableau21[[#This Row],[Key(POD -PFI- Usine)]],'DATA Consignee'!A:N,14,FALSE)</f>
        <v>#N/A</v>
      </c>
      <c r="AQ2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3" s="50" t="e">
        <f ca="1">Tableau21[[#This Row],[Transit time]]+Tableau21[[#This Row],[Time for security]]+Tableau21[[#This Row],[Time for security2 buffer]]</f>
        <v>#N/A</v>
      </c>
      <c r="AT2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3" s="50" t="e">
        <f ca="1">Tableau21[[#This Row],[Leadtime SI2C]]+Tableau21[[#This Row],[First Receipt Days]]-Tableau21[[#This Row],[Day Customer Order]]+1</f>
        <v>#N/A</v>
      </c>
      <c r="AV23" s="119" t="e">
        <f ca="1">IF(Tableau21[[#This Row],[Name ILN]]&lt;&gt;"SFK Freight Forwarder",Tableau21[[#This Row],[Cust. Leadtime]],Tableau21[[#This Row],[Leadtime SI2C]])</f>
        <v>#N/A</v>
      </c>
      <c r="AW23" s="59"/>
      <c r="AX23" s="338" t="e">
        <f ca="1">IFERROR(VLOOKUP(Tableau21[[#This Row],[Key(ID-Next)]],'DATA BTO'!A:N,3,FALSE),VLOOKUP(Tableau21[[#This Row],[ID]],'DATA BTO'!B:N,2,FALSE))</f>
        <v>#N/A</v>
      </c>
      <c r="AY23" s="50" t="str">
        <f>IF(ISNUMBER(Tableau21[[#This Row],[Day Customer Order]]),"-","Please Check 'Name' information in 'Order' Sheet to make sure they have information")</f>
        <v>-</v>
      </c>
      <c r="AZ2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4" spans="2:55">
      <c r="B24" s="67" t="str">
        <f>_xlfn.CONCAT(Tableau21[[#This Row],[Name ILN]],"-",Tableau21[[#This Row],[Name Shipper]],"-",Tableau21[[#This Row],[Name Site]])</f>
        <v>NSL Shanghai-NSL Shanghai-SOVAB</v>
      </c>
      <c r="C24" s="66" t="e">
        <f ca="1">_xlfn.CONCAT(Tableau21[[#This Row],[Compte ILN]],"-",Tableau21[[#This Row],[Compte Shipper]],"-",Tableau21[[#This Row],[POL]],"-",Tableau21[[#This Row],[Compte Site]])</f>
        <v>#N/A</v>
      </c>
      <c r="D24" s="66" t="e">
        <f ca="1">_xlfn.CONCAT(Tableau21[[#This Row],[Compte ILN]],"-",Tableau21[[#This Row],[Compte Shipper]],"-",Tableau21[[#This Row],[POL]])</f>
        <v>#N/A</v>
      </c>
      <c r="E24" s="130" t="e">
        <f ca="1">_xlfn.CONCAT(Tableau21[[#This Row],[POL]],"-",Tableau21[[#This Row],[Carrier]],"-",Tableau21[[#This Row],[POD]])</f>
        <v>#N/A</v>
      </c>
      <c r="F24" s="66" t="str">
        <f>_xlfn.CONCAT(Tableau21[[#This Row],[ID]],"-","Next")</f>
        <v>AE11-Next</v>
      </c>
      <c r="G24" s="66" t="e">
        <f ca="1">_xlfn.CONCAT(Tableau21[[#This Row],[POD]],"-",Tableau21[[#This Row],[Code PFI]],"-",Tableau21[[#This Row],[Compte Site]])</f>
        <v>#N/A</v>
      </c>
      <c r="H24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4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4" s="119" t="str">
        <f ca="1">IF(COUNTIF(I:I,Tableau21[[#This Row],[Plant-ILN-shipper-POL-Carrier-POD-PFI]])=1,"Non","Oui")</f>
        <v>Oui</v>
      </c>
      <c r="K24" s="128" t="str">
        <f>VLOOKUP(Tableau21[[#This Row],[Name Site]],Plant_AILN!A:D,4,FALSE)</f>
        <v>FRANCE</v>
      </c>
      <c r="L24" s="59" t="s">
        <v>154</v>
      </c>
      <c r="M24" s="365">
        <f>VLOOKUP(Tableau21[[#This Row],[Name Site]],Plant_AILN!A:C,3,FALSE)</f>
        <v>90016900</v>
      </c>
      <c r="N24" s="55">
        <f>VLOOKUP(Tableau21[[#This Row],[Compte Site]],Order!C:D,2,FALSE)</f>
        <v>7</v>
      </c>
      <c r="O24" s="126" t="s">
        <v>187</v>
      </c>
      <c r="P24" s="365">
        <f>VLOOKUP(Tableau21[[#This Row],[Name ILN]],Plant_AILN!F:G,2,FALSE)</f>
        <v>27261102</v>
      </c>
      <c r="Q24" s="50">
        <f>VLOOKUP(Tableau21[[#This Row],[Compte ILN]],'DATA ILN'!D:I,6,FALSE)</f>
        <v>16</v>
      </c>
      <c r="R24" s="50" t="e">
        <f ca="1">IFERROR(VLOOKUP(Tableau21[[#This Row],[Key(Compte ILN - shipper - POL - plant)]],'DATA ILN'!A:J,10,FALSE),VLOOKUP(Tableau21[[#This Row],[Key(Compte ILN - shipper - POL)]],'DATA ILN'!B:J,9,FALSE))</f>
        <v>#N/A</v>
      </c>
      <c r="S2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4" s="50" t="e">
        <f ca="1">Tableau21[[#This Row],[Day ILN Order]]+Tableau21[[#This Row],[Delivery time to ILN/Shipper]]-1</f>
        <v>#N/A</v>
      </c>
      <c r="V2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4" s="392" t="s">
        <v>187</v>
      </c>
      <c r="Y24" s="389">
        <f>IFERROR(VLOOKUP(Tableau21[[#This Row],[Name Shipper]],Plant_AILN!L:M,2,FALSE),0)</f>
        <v>27261102</v>
      </c>
      <c r="Z24" s="52" t="s">
        <v>193</v>
      </c>
      <c r="AA24" s="396" t="e">
        <f ca="1">IFERROR(VLOOKUP(Tableau21[[#This Row],[Key(ID-Next)]],'DATA BTO'!A:N,5,FALSE),VLOOKUP(_xlfn.CONCAT(Tableau21[[#This Row],[ID]],"-","Actif"),'DATA BTO'!A:N,5,FALSE))</f>
        <v>#N/A</v>
      </c>
      <c r="AB24" s="3" t="e">
        <f ca="1">IFERROR(VLOOKUP(Tableau21[[#This Row],[Key(ID-Next)]],'DATA BTO'!A:N,6,FALSE),VLOOKUP(_xlfn.CONCAT(Tableau21[[#This Row],[ID]],"-","Actif"),'DATA BTO'!A:N,6,FALSE))</f>
        <v>#N/A</v>
      </c>
      <c r="AC24" s="50" t="e">
        <f ca="1">IFERROR(VLOOKUP(Tableau21[[#This Row],[Key(ID-Next)]],'DATA BTO'!A:N,7,FALSE),VLOOKUP(_xlfn.CONCAT(Tableau21[[#This Row],[ID]],"-","Actif"),'DATA BTO'!A:N,7,FALSE))</f>
        <v>#N/A</v>
      </c>
      <c r="AD24" s="50" t="e">
        <f ca="1">IFERROR(VLOOKUP(Tableau21[[#This Row],[Key(ID-Next)]],'DATA BTO'!A:N,8,FALSE),VLOOKUP(_xlfn.CONCAT(Tableau21[[#This Row],[ID]],"-","Actif"),'DATA BTO'!A:N,8,FALSE))</f>
        <v>#N/A</v>
      </c>
      <c r="AE24" s="50" t="e">
        <f ca="1">IFERROR(VLOOKUP(Tableau21[[#This Row],[Key(ID-Next)]],'DATA BTO'!A:N,9,FALSE),VLOOKUP(_xlfn.CONCAT(Tableau21[[#This Row],[ID]],"-","Actif"),'DATA BTO'!A:N,9,FALSE))</f>
        <v>#N/A</v>
      </c>
      <c r="AF24" s="3" t="e">
        <f ca="1">IFERROR(VLOOKUP(Tableau21[[#This Row],[Key(ID-Next)]],'DATA BTO'!A:N,10,FALSE),VLOOKUP(_xlfn.CONCAT(Tableau21[[#This Row],[ID]],"-","Actif"),'DATA BTO'!A:N,10,FALSE))</f>
        <v>#N/A</v>
      </c>
      <c r="AG24" s="3" t="e">
        <f ca="1">IFERROR(VLOOKUP(Tableau21[[#This Row],[Key(ID-Next)]],'DATA BTO'!A:N,11,FALSE),VLOOKUP(_xlfn.CONCAT(Tableau21[[#This Row],[ID]],"-","Actif"),'DATA BTO'!A:N,11,FALSE))</f>
        <v>#N/A</v>
      </c>
      <c r="AH24" s="50" t="e">
        <f ca="1">IFERROR(VLOOKUP(Tableau21[[#This Row],[Key(ID-Next)]],'DATA BTO'!A:N,12,FALSE),VLOOKUP(_xlfn.CONCAT(Tableau21[[#This Row],[ID]],"-","Actif"),'DATA BTO'!A:N,12,FALSE))</f>
        <v>#N/A</v>
      </c>
      <c r="AI24" s="53" t="e">
        <f ca="1">IFERROR(VLOOKUP(Tableau21[[#This Row],[Key(ID-Next)]],'DATA BTO'!A:N,14,FALSE),VLOOKUP(_xlfn.CONCAT(Tableau21[[#This Row],[ID]],"-","Actif"),'DATA BTO'!A:N,14,FALSE))</f>
        <v>#N/A</v>
      </c>
      <c r="AJ24" s="54" t="e">
        <f ca="1">VLOOKUP(Tableau21[[#This Row],[Key(POD -PFI- Usine)]],'DATA Consignee'!A:F,6,FALSE)</f>
        <v>#N/A</v>
      </c>
      <c r="AK24" s="284" t="s">
        <v>171</v>
      </c>
      <c r="AL24" s="376">
        <f>IF(Tableau21[[#This Row],[Name PFI/CDD]]="","-",VLOOKUP(Tableau21[[#This Row],[Name PFI/CDD]],Plant_AILN!I:J,2,FALSE))</f>
        <v>91018400</v>
      </c>
      <c r="AM24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4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4" s="2" t="e">
        <f ca="1">VLOOKUP(Tableau21[[#This Row],[Key(POD -PFI- Usine)]],'DATA Consignee'!A:J,10,FALSE)</f>
        <v>#N/A</v>
      </c>
      <c r="AP24" s="50" t="e">
        <f ca="1">VLOOKUP(Tableau21[[#This Row],[Key(POD -PFI- Usine)]],'DATA Consignee'!A:N,14,FALSE)</f>
        <v>#N/A</v>
      </c>
      <c r="AQ2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4" s="50" t="e">
        <f ca="1">Tableau21[[#This Row],[Transit time]]+Tableau21[[#This Row],[Time for security]]+Tableau21[[#This Row],[Time for security2 buffer]]</f>
        <v>#N/A</v>
      </c>
      <c r="AT2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4" s="50" t="e">
        <f ca="1">Tableau21[[#This Row],[Leadtime SI2C]]+Tableau21[[#This Row],[First Receipt Days]]-Tableau21[[#This Row],[Day Customer Order]]+1</f>
        <v>#N/A</v>
      </c>
      <c r="AV24" s="119" t="e">
        <f ca="1">IF(Tableau21[[#This Row],[Name ILN]]&lt;&gt;"SFK Freight Forwarder",Tableau21[[#This Row],[Cust. Leadtime]],Tableau21[[#This Row],[Leadtime SI2C]])</f>
        <v>#N/A</v>
      </c>
      <c r="AW24" s="59"/>
      <c r="AX24" s="338" t="e">
        <f ca="1">IFERROR(VLOOKUP(Tableau21[[#This Row],[Key(ID-Next)]],'DATA BTO'!A:N,3,FALSE),VLOOKUP(Tableau21[[#This Row],[ID]],'DATA BTO'!B:N,2,FALSE))</f>
        <v>#N/A</v>
      </c>
      <c r="AY24" s="50" t="str">
        <f>IF(ISNUMBER(Tableau21[[#This Row],[Day Customer Order]]),"-","Please Check 'Name' information in 'Order' Sheet to make sure they have information")</f>
        <v>-</v>
      </c>
      <c r="AZ2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5" spans="2:55">
      <c r="B25" s="67" t="str">
        <f>_xlfn.CONCAT(Tableau21[[#This Row],[Name ILN]],"-",Tableau21[[#This Row],[Name Shipper]],"-",Tableau21[[#This Row],[Name Site]])</f>
        <v>NSL Shanghai-NSL Shanghai-MAUBEUGE</v>
      </c>
      <c r="C25" s="66" t="e">
        <f ca="1">_xlfn.CONCAT(Tableau21[[#This Row],[Compte ILN]],"-",Tableau21[[#This Row],[Compte Shipper]],"-",Tableau21[[#This Row],[POL]],"-",Tableau21[[#This Row],[Compte Site]])</f>
        <v>#N/A</v>
      </c>
      <c r="D25" s="66" t="e">
        <f ca="1">_xlfn.CONCAT(Tableau21[[#This Row],[Compte ILN]],"-",Tableau21[[#This Row],[Compte Shipper]],"-",Tableau21[[#This Row],[POL]])</f>
        <v>#N/A</v>
      </c>
      <c r="E25" s="130" t="e">
        <f ca="1">_xlfn.CONCAT(Tableau21[[#This Row],[POL]],"-",Tableau21[[#This Row],[Carrier]],"-",Tableau21[[#This Row],[POD]])</f>
        <v>#N/A</v>
      </c>
      <c r="F25" s="66" t="str">
        <f>_xlfn.CONCAT(Tableau21[[#This Row],[ID]],"-","Next")</f>
        <v>AE11-Next</v>
      </c>
      <c r="G25" s="66" t="e">
        <f ca="1">_xlfn.CONCAT(Tableau21[[#This Row],[POD]],"-",Tableau21[[#This Row],[Code PFI]],"-",Tableau21[[#This Row],[Compte Site]])</f>
        <v>#N/A</v>
      </c>
      <c r="H25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5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5" s="119" t="str">
        <f ca="1">IF(COUNTIF(I:I,Tableau21[[#This Row],[Plant-ILN-shipper-POL-Carrier-POD-PFI]])=1,"Non","Oui")</f>
        <v>Oui</v>
      </c>
      <c r="K25" s="128" t="str">
        <f>VLOOKUP(Tableau21[[#This Row],[Name Site]],Plant_AILN!A:D,4,FALSE)</f>
        <v>FRANCE</v>
      </c>
      <c r="L25" s="59" t="s">
        <v>210</v>
      </c>
      <c r="M25" s="365">
        <f>VLOOKUP(Tableau21[[#This Row],[Name Site]],Plant_AILN!A:C,3,FALSE)</f>
        <v>90016200</v>
      </c>
      <c r="N25" s="55">
        <f>VLOOKUP(Tableau21[[#This Row],[Compte Site]],Order!C:D,2,FALSE)</f>
        <v>7</v>
      </c>
      <c r="O25" s="126" t="s">
        <v>187</v>
      </c>
      <c r="P25" s="365">
        <f>VLOOKUP(Tableau21[[#This Row],[Name ILN]],Plant_AILN!F:G,2,FALSE)</f>
        <v>27261102</v>
      </c>
      <c r="Q25" s="50">
        <f>VLOOKUP(Tableau21[[#This Row],[Compte ILN]],'DATA ILN'!D:I,6,FALSE)</f>
        <v>16</v>
      </c>
      <c r="R25" s="50" t="e">
        <f ca="1">IFERROR(VLOOKUP(Tableau21[[#This Row],[Key(Compte ILN - shipper - POL - plant)]],'DATA ILN'!A:J,10,FALSE),VLOOKUP(Tableau21[[#This Row],[Key(Compte ILN - shipper - POL)]],'DATA ILN'!B:J,9,FALSE))</f>
        <v>#N/A</v>
      </c>
      <c r="S2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5" s="50" t="e">
        <f ca="1">Tableau21[[#This Row],[Day ILN Order]]+Tableau21[[#This Row],[Delivery time to ILN/Shipper]]-1</f>
        <v>#N/A</v>
      </c>
      <c r="V2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5" s="392" t="s">
        <v>187</v>
      </c>
      <c r="Y25" s="389">
        <f>IFERROR(VLOOKUP(Tableau21[[#This Row],[Name Shipper]],Plant_AILN!L:M,2,FALSE),0)</f>
        <v>27261102</v>
      </c>
      <c r="Z25" s="52" t="s">
        <v>193</v>
      </c>
      <c r="AA25" s="396" t="e">
        <f ca="1">IFERROR(VLOOKUP(Tableau21[[#This Row],[Key(ID-Next)]],'DATA BTO'!A:N,5,FALSE),VLOOKUP(_xlfn.CONCAT(Tableau21[[#This Row],[ID]],"-","Actif"),'DATA BTO'!A:N,5,FALSE))</f>
        <v>#N/A</v>
      </c>
      <c r="AB25" s="3" t="e">
        <f ca="1">IFERROR(VLOOKUP(Tableau21[[#This Row],[Key(ID-Next)]],'DATA BTO'!A:N,6,FALSE),VLOOKUP(_xlfn.CONCAT(Tableau21[[#This Row],[ID]],"-","Actif"),'DATA BTO'!A:N,6,FALSE))</f>
        <v>#N/A</v>
      </c>
      <c r="AC25" s="50" t="e">
        <f ca="1">IFERROR(VLOOKUP(Tableau21[[#This Row],[Key(ID-Next)]],'DATA BTO'!A:N,7,FALSE),VLOOKUP(_xlfn.CONCAT(Tableau21[[#This Row],[ID]],"-","Actif"),'DATA BTO'!A:N,7,FALSE))</f>
        <v>#N/A</v>
      </c>
      <c r="AD25" s="50" t="e">
        <f ca="1">IFERROR(VLOOKUP(Tableau21[[#This Row],[Key(ID-Next)]],'DATA BTO'!A:N,8,FALSE),VLOOKUP(_xlfn.CONCAT(Tableau21[[#This Row],[ID]],"-","Actif"),'DATA BTO'!A:N,8,FALSE))</f>
        <v>#N/A</v>
      </c>
      <c r="AE25" s="50" t="e">
        <f ca="1">IFERROR(VLOOKUP(Tableau21[[#This Row],[Key(ID-Next)]],'DATA BTO'!A:N,9,FALSE),VLOOKUP(_xlfn.CONCAT(Tableau21[[#This Row],[ID]],"-","Actif"),'DATA BTO'!A:N,9,FALSE))</f>
        <v>#N/A</v>
      </c>
      <c r="AF25" s="3" t="e">
        <f ca="1">IFERROR(VLOOKUP(Tableau21[[#This Row],[Key(ID-Next)]],'DATA BTO'!A:N,10,FALSE),VLOOKUP(_xlfn.CONCAT(Tableau21[[#This Row],[ID]],"-","Actif"),'DATA BTO'!A:N,10,FALSE))</f>
        <v>#N/A</v>
      </c>
      <c r="AG25" s="3" t="e">
        <f ca="1">IFERROR(VLOOKUP(Tableau21[[#This Row],[Key(ID-Next)]],'DATA BTO'!A:N,11,FALSE),VLOOKUP(_xlfn.CONCAT(Tableau21[[#This Row],[ID]],"-","Actif"),'DATA BTO'!A:N,11,FALSE))</f>
        <v>#N/A</v>
      </c>
      <c r="AH25" s="50" t="e">
        <f ca="1">IFERROR(VLOOKUP(Tableau21[[#This Row],[Key(ID-Next)]],'DATA BTO'!A:N,12,FALSE),VLOOKUP(_xlfn.CONCAT(Tableau21[[#This Row],[ID]],"-","Actif"),'DATA BTO'!A:N,12,FALSE))</f>
        <v>#N/A</v>
      </c>
      <c r="AI25" s="53" t="e">
        <f ca="1">IFERROR(VLOOKUP(Tableau21[[#This Row],[Key(ID-Next)]],'DATA BTO'!A:N,14,FALSE),VLOOKUP(_xlfn.CONCAT(Tableau21[[#This Row],[ID]],"-","Actif"),'DATA BTO'!A:N,14,FALSE))</f>
        <v>#N/A</v>
      </c>
      <c r="AJ25" s="54" t="e">
        <f ca="1">VLOOKUP(Tableau21[[#This Row],[Key(POD -PFI- Usine)]],'DATA Consignee'!A:F,6,FALSE)</f>
        <v>#N/A</v>
      </c>
      <c r="AK25" s="284" t="s">
        <v>171</v>
      </c>
      <c r="AL25" s="376">
        <f>IF(Tableau21[[#This Row],[Name PFI/CDD]]="","-",VLOOKUP(Tableau21[[#This Row],[Name PFI/CDD]],Plant_AILN!I:J,2,FALSE))</f>
        <v>91018400</v>
      </c>
      <c r="AM25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5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5" s="2" t="e">
        <f ca="1">VLOOKUP(Tableau21[[#This Row],[Key(POD -PFI- Usine)]],'DATA Consignee'!A:J,10,FALSE)</f>
        <v>#N/A</v>
      </c>
      <c r="AP25" s="50" t="e">
        <f ca="1">VLOOKUP(Tableau21[[#This Row],[Key(POD -PFI- Usine)]],'DATA Consignee'!A:N,14,FALSE)</f>
        <v>#N/A</v>
      </c>
      <c r="AQ2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5" s="50" t="e">
        <f ca="1">Tableau21[[#This Row],[Transit time]]+Tableau21[[#This Row],[Time for security]]+Tableau21[[#This Row],[Time for security2 buffer]]</f>
        <v>#N/A</v>
      </c>
      <c r="AT2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5" s="50" t="e">
        <f ca="1">Tableau21[[#This Row],[Leadtime SI2C]]+Tableau21[[#This Row],[First Receipt Days]]-Tableau21[[#This Row],[Day Customer Order]]+1</f>
        <v>#N/A</v>
      </c>
      <c r="AV25" s="119" t="e">
        <f ca="1">IF(Tableau21[[#This Row],[Name ILN]]&lt;&gt;"SFK Freight Forwarder",Tableau21[[#This Row],[Cust. Leadtime]],Tableau21[[#This Row],[Leadtime SI2C]])</f>
        <v>#N/A</v>
      </c>
      <c r="AW25" s="59"/>
      <c r="AX25" s="338" t="e">
        <f ca="1">IFERROR(VLOOKUP(Tableau21[[#This Row],[Key(ID-Next)]],'DATA BTO'!A:N,3,FALSE),VLOOKUP(Tableau21[[#This Row],[ID]],'DATA BTO'!B:N,2,FALSE))</f>
        <v>#N/A</v>
      </c>
      <c r="AY25" s="50" t="str">
        <f>IF(ISNUMBER(Tableau21[[#This Row],[Day Customer Order]]),"-","Please Check 'Name' information in 'Order' Sheet to make sure they have information")</f>
        <v>-</v>
      </c>
      <c r="AZ2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6" spans="2:55">
      <c r="B26" s="67" t="str">
        <f>_xlfn.CONCAT(Tableau21[[#This Row],[Name ILN]],"-",Tableau21[[#This Row],[Name Shipper]],"-",Tableau21[[#This Row],[Name Site]])</f>
        <v>NSL Shanghai-NSL Shanghai-CARROCERIAS</v>
      </c>
      <c r="C26" s="66" t="e">
        <f ca="1">_xlfn.CONCAT(Tableau21[[#This Row],[Compte ILN]],"-",Tableau21[[#This Row],[Compte Shipper]],"-",Tableau21[[#This Row],[POL]],"-",Tableau21[[#This Row],[Compte Site]])</f>
        <v>#N/A</v>
      </c>
      <c r="D26" s="66" t="e">
        <f ca="1">_xlfn.CONCAT(Tableau21[[#This Row],[Compte ILN]],"-",Tableau21[[#This Row],[Compte Shipper]],"-",Tableau21[[#This Row],[POL]])</f>
        <v>#N/A</v>
      </c>
      <c r="E26" s="130" t="e">
        <f ca="1">_xlfn.CONCAT(Tableau21[[#This Row],[POL]],"-",Tableau21[[#This Row],[Carrier]],"-",Tableau21[[#This Row],[POD]])</f>
        <v>#N/A</v>
      </c>
      <c r="F26" s="66" t="str">
        <f>_xlfn.CONCAT(Tableau21[[#This Row],[ID]],"-","Next")</f>
        <v>AE11-Next</v>
      </c>
      <c r="G26" s="66" t="e">
        <f ca="1">_xlfn.CONCAT(Tableau21[[#This Row],[POD]],"-",Tableau21[[#This Row],[Code PFI]],"-",Tableau21[[#This Row],[Compte Site]])</f>
        <v>#N/A</v>
      </c>
      <c r="H26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6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6" s="119" t="str">
        <f ca="1">IF(COUNTIF(I:I,Tableau21[[#This Row],[Plant-ILN-shipper-POL-Carrier-POD-PFI]])=1,"Non","Oui")</f>
        <v>Oui</v>
      </c>
      <c r="K26" s="128" t="str">
        <f>VLOOKUP(Tableau21[[#This Row],[Name Site]],Plant_AILN!A:D,4,FALSE)</f>
        <v>SPAIN</v>
      </c>
      <c r="L26" s="59" t="s">
        <v>211</v>
      </c>
      <c r="M26" s="365">
        <f>VLOOKUP(Tableau21[[#This Row],[Name Site]],Plant_AILN!A:C,3,FALSE)</f>
        <v>91017600</v>
      </c>
      <c r="N26" s="55">
        <f>VLOOKUP(Tableau21[[#This Row],[Compte Site]],Order!C:D,2,FALSE)</f>
        <v>7</v>
      </c>
      <c r="O26" s="126" t="s">
        <v>187</v>
      </c>
      <c r="P26" s="365">
        <f>VLOOKUP(Tableau21[[#This Row],[Name ILN]],Plant_AILN!F:G,2,FALSE)</f>
        <v>27261102</v>
      </c>
      <c r="Q26" s="50">
        <f>VLOOKUP(Tableau21[[#This Row],[Compte ILN]],'DATA ILN'!D:I,6,FALSE)</f>
        <v>16</v>
      </c>
      <c r="R26" s="50" t="e">
        <f ca="1">IFERROR(VLOOKUP(Tableau21[[#This Row],[Key(Compte ILN - shipper - POL - plant)]],'DATA ILN'!A:J,10,FALSE),VLOOKUP(Tableau21[[#This Row],[Key(Compte ILN - shipper - POL)]],'DATA ILN'!B:J,9,FALSE))</f>
        <v>#N/A</v>
      </c>
      <c r="S2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6" s="50" t="e">
        <f ca="1">Tableau21[[#This Row],[Day ILN Order]]+Tableau21[[#This Row],[Delivery time to ILN/Shipper]]-1</f>
        <v>#N/A</v>
      </c>
      <c r="V2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6" s="392" t="s">
        <v>187</v>
      </c>
      <c r="Y26" s="389">
        <f>IFERROR(VLOOKUP(Tableau21[[#This Row],[Name Shipper]],Plant_AILN!L:M,2,FALSE),0)</f>
        <v>27261102</v>
      </c>
      <c r="Z26" s="105" t="s">
        <v>193</v>
      </c>
      <c r="AA26" s="396" t="e">
        <f ca="1">IFERROR(VLOOKUP(Tableau21[[#This Row],[Key(ID-Next)]],'DATA BTO'!A:N,5,FALSE),VLOOKUP(_xlfn.CONCAT(Tableau21[[#This Row],[ID]],"-","Actif"),'DATA BTO'!A:N,5,FALSE))</f>
        <v>#N/A</v>
      </c>
      <c r="AB26" s="3" t="e">
        <f ca="1">IFERROR(VLOOKUP(Tableau21[[#This Row],[Key(ID-Next)]],'DATA BTO'!A:N,6,FALSE),VLOOKUP(_xlfn.CONCAT(Tableau21[[#This Row],[ID]],"-","Actif"),'DATA BTO'!A:N,6,FALSE))</f>
        <v>#N/A</v>
      </c>
      <c r="AC26" s="50" t="e">
        <f ca="1">IFERROR(VLOOKUP(Tableau21[[#This Row],[Key(ID-Next)]],'DATA BTO'!A:N,7,FALSE),VLOOKUP(_xlfn.CONCAT(Tableau21[[#This Row],[ID]],"-","Actif"),'DATA BTO'!A:N,7,FALSE))</f>
        <v>#N/A</v>
      </c>
      <c r="AD26" s="50" t="e">
        <f ca="1">IFERROR(VLOOKUP(Tableau21[[#This Row],[Key(ID-Next)]],'DATA BTO'!A:N,8,FALSE),VLOOKUP(_xlfn.CONCAT(Tableau21[[#This Row],[ID]],"-","Actif"),'DATA BTO'!A:N,8,FALSE))</f>
        <v>#N/A</v>
      </c>
      <c r="AE26" s="50" t="e">
        <f ca="1">IFERROR(VLOOKUP(Tableau21[[#This Row],[Key(ID-Next)]],'DATA BTO'!A:N,9,FALSE),VLOOKUP(_xlfn.CONCAT(Tableau21[[#This Row],[ID]],"-","Actif"),'DATA BTO'!A:N,9,FALSE))</f>
        <v>#N/A</v>
      </c>
      <c r="AF26" s="3" t="e">
        <f ca="1">IFERROR(VLOOKUP(Tableau21[[#This Row],[Key(ID-Next)]],'DATA BTO'!A:N,10,FALSE),VLOOKUP(_xlfn.CONCAT(Tableau21[[#This Row],[ID]],"-","Actif"),'DATA BTO'!A:N,10,FALSE))</f>
        <v>#N/A</v>
      </c>
      <c r="AG26" s="3" t="e">
        <f ca="1">IFERROR(VLOOKUP(Tableau21[[#This Row],[Key(ID-Next)]],'DATA BTO'!A:N,11,FALSE),VLOOKUP(_xlfn.CONCAT(Tableau21[[#This Row],[ID]],"-","Actif"),'DATA BTO'!A:N,11,FALSE))</f>
        <v>#N/A</v>
      </c>
      <c r="AH26" s="50" t="e">
        <f ca="1">IFERROR(VLOOKUP(Tableau21[[#This Row],[Key(ID-Next)]],'DATA BTO'!A:N,12,FALSE),VLOOKUP(_xlfn.CONCAT(Tableau21[[#This Row],[ID]],"-","Actif"),'DATA BTO'!A:N,12,FALSE))</f>
        <v>#N/A</v>
      </c>
      <c r="AI26" s="53" t="e">
        <f ca="1">IFERROR(VLOOKUP(Tableau21[[#This Row],[Key(ID-Next)]],'DATA BTO'!A:N,14,FALSE),VLOOKUP(_xlfn.CONCAT(Tableau21[[#This Row],[ID]],"-","Actif"),'DATA BTO'!A:N,14,FALSE))</f>
        <v>#N/A</v>
      </c>
      <c r="AJ26" s="54" t="e">
        <f ca="1">VLOOKUP(Tableau21[[#This Row],[Key(POD -PFI- Usine)]],'DATA Consignee'!A:F,6,FALSE)</f>
        <v>#N/A</v>
      </c>
      <c r="AK26" s="284" t="s">
        <v>169</v>
      </c>
      <c r="AL26" s="376">
        <f>IF(Tableau21[[#This Row],[Name PFI/CDD]]="","-",VLOOKUP(Tableau21[[#This Row],[Name PFI/CDD]],Plant_AILN!I:J,2,FALSE))</f>
        <v>91018400</v>
      </c>
      <c r="AM26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6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6" s="2" t="e">
        <f ca="1">VLOOKUP(Tableau21[[#This Row],[Key(POD -PFI- Usine)]],'DATA Consignee'!A:J,10,FALSE)</f>
        <v>#N/A</v>
      </c>
      <c r="AP26" s="50" t="e">
        <f ca="1">VLOOKUP(Tableau21[[#This Row],[Key(POD -PFI- Usine)]],'DATA Consignee'!A:N,14,FALSE)</f>
        <v>#N/A</v>
      </c>
      <c r="AQ2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6" s="50" t="e">
        <f ca="1">Tableau21[[#This Row],[Transit time]]+Tableau21[[#This Row],[Time for security]]+Tableau21[[#This Row],[Time for security2 buffer]]</f>
        <v>#N/A</v>
      </c>
      <c r="AT2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6" s="50" t="e">
        <f ca="1">Tableau21[[#This Row],[Leadtime SI2C]]+Tableau21[[#This Row],[First Receipt Days]]-Tableau21[[#This Row],[Day Customer Order]]+1</f>
        <v>#N/A</v>
      </c>
      <c r="AV26" s="119" t="e">
        <f ca="1">IF(Tableau21[[#This Row],[Name ILN]]&lt;&gt;"SFK Freight Forwarder",Tableau21[[#This Row],[Cust. Leadtime]],Tableau21[[#This Row],[Leadtime SI2C]])</f>
        <v>#N/A</v>
      </c>
      <c r="AW26" s="59"/>
      <c r="AX26" s="338" t="e">
        <f ca="1">IFERROR(VLOOKUP(Tableau21[[#This Row],[Key(ID-Next)]],'DATA BTO'!A:N,3,FALSE),VLOOKUP(Tableau21[[#This Row],[ID]],'DATA BTO'!B:N,2,FALSE))</f>
        <v>#N/A</v>
      </c>
      <c r="AY26" s="50" t="str">
        <f>IF(ISNUMBER(Tableau21[[#This Row],[Day Customer Order]]),"-","Please Check 'Name' information in 'Order' Sheet to make sure they have information")</f>
        <v>-</v>
      </c>
      <c r="AZ2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7" spans="2:55">
      <c r="B27" s="67" t="str">
        <f>_xlfn.CONCAT(Tableau21[[#This Row],[Name ILN]],"-",Tableau21[[#This Row],[Name Shipper]],"-",Tableau21[[#This Row],[Name Site]])</f>
        <v>NSL Shanghai-NSL Shanghai-RM MIOVENI</v>
      </c>
      <c r="C27" s="66" t="e">
        <f ca="1">_xlfn.CONCAT(Tableau21[[#This Row],[Compte ILN]],"-",Tableau21[[#This Row],[Compte Shipper]],"-",Tableau21[[#This Row],[POL]],"-",Tableau21[[#This Row],[Compte Site]])</f>
        <v>#N/A</v>
      </c>
      <c r="D27" s="66" t="e">
        <f ca="1">_xlfn.CONCAT(Tableau21[[#This Row],[Compte ILN]],"-",Tableau21[[#This Row],[Compte Shipper]],"-",Tableau21[[#This Row],[POL]])</f>
        <v>#N/A</v>
      </c>
      <c r="E27" s="130" t="e">
        <f ca="1">_xlfn.CONCAT(Tableau21[[#This Row],[POL]],"-",Tableau21[[#This Row],[Carrier]],"-",Tableau21[[#This Row],[POD]])</f>
        <v>#N/A</v>
      </c>
      <c r="F27" s="66" t="str">
        <f>_xlfn.CONCAT(Tableau21[[#This Row],[ID]],"-","Next")</f>
        <v>-Next</v>
      </c>
      <c r="G27" s="66" t="e">
        <f ca="1">_xlfn.CONCAT(Tableau21[[#This Row],[POD]],"-",Tableau21[[#This Row],[Code PFI]],"-",Tableau21[[#This Row],[Compte Site]])</f>
        <v>#N/A</v>
      </c>
      <c r="H27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7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7" s="119" t="str">
        <f ca="1">IF(COUNTIF(I:I,Tableau21[[#This Row],[Plant-ILN-shipper-POL-Carrier-POD-PFI]])=1,"Non","Oui")</f>
        <v>Oui</v>
      </c>
      <c r="K27" s="128" t="str">
        <f>VLOOKUP(Tableau21[[#This Row],[Name Site]],Plant_AILN!A:D,4,FALSE)</f>
        <v>ROMANIA</v>
      </c>
      <c r="L27" s="59" t="s">
        <v>212</v>
      </c>
      <c r="M27" s="365">
        <f>VLOOKUP(Tableau21[[#This Row],[Name Site]],Plant_AILN!A:C,3,FALSE)</f>
        <v>90012300</v>
      </c>
      <c r="N27" s="55">
        <f>VLOOKUP(Tableau21[[#This Row],[Compte Site]],Order!C:D,2,FALSE)</f>
        <v>7</v>
      </c>
      <c r="O27" s="126" t="s">
        <v>187</v>
      </c>
      <c r="P27" s="365">
        <f>VLOOKUP(Tableau21[[#This Row],[Name ILN]],Plant_AILN!F:G,2,FALSE)</f>
        <v>27261102</v>
      </c>
      <c r="Q27" s="50">
        <f>VLOOKUP(Tableau21[[#This Row],[Compte ILN]],'DATA ILN'!D:I,6,FALSE)</f>
        <v>16</v>
      </c>
      <c r="R27" s="50" t="e">
        <f ca="1">IFERROR(VLOOKUP(Tableau21[[#This Row],[Key(Compte ILN - shipper - POL - plant)]],'DATA ILN'!A:J,10,FALSE),VLOOKUP(Tableau21[[#This Row],[Key(Compte ILN - shipper - POL)]],'DATA ILN'!B:J,9,FALSE))</f>
        <v>#N/A</v>
      </c>
      <c r="S2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7" s="50" t="e">
        <f ca="1">Tableau21[[#This Row],[Day ILN Order]]+Tableau21[[#This Row],[Delivery time to ILN/Shipper]]-1</f>
        <v>#N/A</v>
      </c>
      <c r="V2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7" s="392" t="s">
        <v>187</v>
      </c>
      <c r="Y27" s="389">
        <f>IFERROR(VLOOKUP(Tableau21[[#This Row],[Name Shipper]],Plant_AILN!L:M,2,FALSE),0)</f>
        <v>27261102</v>
      </c>
      <c r="Z27" s="52"/>
      <c r="AA27" s="396" t="e">
        <f ca="1">IFERROR(VLOOKUP(Tableau21[[#This Row],[Key(ID-Next)]],'DATA BTO'!A:N,5,FALSE),VLOOKUP(_xlfn.CONCAT(Tableau21[[#This Row],[ID]],"-","Actif"),'DATA BTO'!A:N,5,FALSE))</f>
        <v>#N/A</v>
      </c>
      <c r="AB27" s="3" t="e">
        <f ca="1">IFERROR(VLOOKUP(Tableau21[[#This Row],[Key(ID-Next)]],'DATA BTO'!A:N,6,FALSE),VLOOKUP(_xlfn.CONCAT(Tableau21[[#This Row],[ID]],"-","Actif"),'DATA BTO'!A:N,6,FALSE))</f>
        <v>#N/A</v>
      </c>
      <c r="AC27" s="50" t="e">
        <f ca="1">IFERROR(VLOOKUP(Tableau21[[#This Row],[Key(ID-Next)]],'DATA BTO'!A:N,7,FALSE),VLOOKUP(_xlfn.CONCAT(Tableau21[[#This Row],[ID]],"-","Actif"),'DATA BTO'!A:N,7,FALSE))</f>
        <v>#N/A</v>
      </c>
      <c r="AD27" s="50" t="e">
        <f ca="1">IFERROR(VLOOKUP(Tableau21[[#This Row],[Key(ID-Next)]],'DATA BTO'!A:N,8,FALSE),VLOOKUP(_xlfn.CONCAT(Tableau21[[#This Row],[ID]],"-","Actif"),'DATA BTO'!A:N,8,FALSE))</f>
        <v>#N/A</v>
      </c>
      <c r="AE27" s="50" t="e">
        <f ca="1">IFERROR(VLOOKUP(Tableau21[[#This Row],[Key(ID-Next)]],'DATA BTO'!A:N,9,FALSE),VLOOKUP(_xlfn.CONCAT(Tableau21[[#This Row],[ID]],"-","Actif"),'DATA BTO'!A:N,9,FALSE))</f>
        <v>#N/A</v>
      </c>
      <c r="AF27" s="3" t="e">
        <f ca="1">IFERROR(VLOOKUP(Tableau21[[#This Row],[Key(ID-Next)]],'DATA BTO'!A:N,10,FALSE),VLOOKUP(_xlfn.CONCAT(Tableau21[[#This Row],[ID]],"-","Actif"),'DATA BTO'!A:N,10,FALSE))</f>
        <v>#N/A</v>
      </c>
      <c r="AG27" s="3" t="e">
        <f ca="1">IFERROR(VLOOKUP(Tableau21[[#This Row],[Key(ID-Next)]],'DATA BTO'!A:N,11,FALSE),VLOOKUP(_xlfn.CONCAT(Tableau21[[#This Row],[ID]],"-","Actif"),'DATA BTO'!A:N,11,FALSE))</f>
        <v>#N/A</v>
      </c>
      <c r="AH27" s="50" t="e">
        <f ca="1">IFERROR(VLOOKUP(Tableau21[[#This Row],[Key(ID-Next)]],'DATA BTO'!A:N,12,FALSE),VLOOKUP(_xlfn.CONCAT(Tableau21[[#This Row],[ID]],"-","Actif"),'DATA BTO'!A:N,12,FALSE))</f>
        <v>#N/A</v>
      </c>
      <c r="AI27" s="53" t="e">
        <f ca="1">IFERROR(VLOOKUP(Tableau21[[#This Row],[Key(ID-Next)]],'DATA BTO'!A:N,14,FALSE),VLOOKUP(_xlfn.CONCAT(Tableau21[[#This Row],[ID]],"-","Actif"),'DATA BTO'!A:N,14,FALSE))</f>
        <v>#N/A</v>
      </c>
      <c r="AJ27" s="54" t="e">
        <f ca="1">VLOOKUP(Tableau21[[#This Row],[Key(POD -PFI- Usine)]],'DATA Consignee'!A:F,6,FALSE)</f>
        <v>#N/A</v>
      </c>
      <c r="AK27" s="284"/>
      <c r="AL27" s="376" t="str">
        <f>IF(Tableau21[[#This Row],[Name PFI/CDD]]="","-",VLOOKUP(Tableau21[[#This Row],[Name PFI/CDD]],Plant_AILN!I:J,2,FALSE))</f>
        <v>-</v>
      </c>
      <c r="AM27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7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7" s="2" t="e">
        <f ca="1">VLOOKUP(Tableau21[[#This Row],[Key(POD -PFI- Usine)]],'DATA Consignee'!A:J,10,FALSE)</f>
        <v>#N/A</v>
      </c>
      <c r="AP27" s="50" t="e">
        <f ca="1">VLOOKUP(Tableau21[[#This Row],[Key(POD -PFI- Usine)]],'DATA Consignee'!A:N,14,FALSE)</f>
        <v>#N/A</v>
      </c>
      <c r="AQ2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7" s="50" t="e">
        <f ca="1">Tableau21[[#This Row],[Transit time]]+Tableau21[[#This Row],[Time for security]]+Tableau21[[#This Row],[Time for security2 buffer]]</f>
        <v>#N/A</v>
      </c>
      <c r="AT2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7" s="50" t="e">
        <f ca="1">Tableau21[[#This Row],[Leadtime SI2C]]+Tableau21[[#This Row],[First Receipt Days]]-Tableau21[[#This Row],[Day Customer Order]]+1</f>
        <v>#N/A</v>
      </c>
      <c r="AV27" s="119" t="e">
        <f ca="1">IF(Tableau21[[#This Row],[Name ILN]]&lt;&gt;"SFK Freight Forwarder",Tableau21[[#This Row],[Cust. Leadtime]],Tableau21[[#This Row],[Leadtime SI2C]])</f>
        <v>#N/A</v>
      </c>
      <c r="AW27" s="59" t="s">
        <v>213</v>
      </c>
      <c r="AX27" s="338" t="e">
        <f ca="1">IFERROR(VLOOKUP(Tableau21[[#This Row],[Key(ID-Next)]],'DATA BTO'!A:N,3,FALSE),VLOOKUP(Tableau21[[#This Row],[ID]],'DATA BTO'!B:N,2,FALSE))</f>
        <v>#N/A</v>
      </c>
      <c r="AY27" s="50" t="str">
        <f>IF(ISNUMBER(Tableau21[[#This Row],[Day Customer Order]]),"-","Please Check 'Name' information in 'Order' Sheet to make sure they have information")</f>
        <v>-</v>
      </c>
      <c r="AZ2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8" spans="2:55">
      <c r="B28" s="67" t="str">
        <f>_xlfn.CONCAT(Tableau21[[#This Row],[Name ILN]],"-",Tableau21[[#This Row],[Name Shipper]],"-",Tableau21[[#This Row],[Name Site]])</f>
        <v>NSL Shanghai-NSL Shanghai-DACIA MONT</v>
      </c>
      <c r="C28" s="66" t="e">
        <f ca="1">_xlfn.CONCAT(Tableau21[[#This Row],[Compte ILN]],"-",Tableau21[[#This Row],[Compte Shipper]],"-",Tableau21[[#This Row],[POL]],"-",Tableau21[[#This Row],[Compte Site]])</f>
        <v>#N/A</v>
      </c>
      <c r="D28" s="66" t="e">
        <f ca="1">_xlfn.CONCAT(Tableau21[[#This Row],[Compte ILN]],"-",Tableau21[[#This Row],[Compte Shipper]],"-",Tableau21[[#This Row],[POL]])</f>
        <v>#N/A</v>
      </c>
      <c r="E28" s="130" t="e">
        <f ca="1">_xlfn.CONCAT(Tableau21[[#This Row],[POL]],"-",Tableau21[[#This Row],[Carrier]],"-",Tableau21[[#This Row],[POD]])</f>
        <v>#N/A</v>
      </c>
      <c r="F28" s="66" t="str">
        <f>_xlfn.CONCAT(Tableau21[[#This Row],[ID]],"-","Next")</f>
        <v>-Next</v>
      </c>
      <c r="G28" s="66" t="e">
        <f ca="1">_xlfn.CONCAT(Tableau21[[#This Row],[POD]],"-",Tableau21[[#This Row],[Code PFI]],"-",Tableau21[[#This Row],[Compte Site]])</f>
        <v>#N/A</v>
      </c>
      <c r="H28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8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8" s="119" t="str">
        <f ca="1">IF(COUNTIF(I:I,Tableau21[[#This Row],[Plant-ILN-shipper-POL-Carrier-POD-PFI]])=1,"Non","Oui")</f>
        <v>Oui</v>
      </c>
      <c r="K28" s="128" t="str">
        <f>VLOOKUP(Tableau21[[#This Row],[Name Site]],Plant_AILN!A:D,4,FALSE)</f>
        <v>ROMANIA</v>
      </c>
      <c r="L28" s="59" t="s">
        <v>185</v>
      </c>
      <c r="M28" s="365">
        <f>VLOOKUP(Tableau21[[#This Row],[Name Site]],Plant_AILN!A:C,3,FALSE)</f>
        <v>90016800</v>
      </c>
      <c r="N28" s="55">
        <f>VLOOKUP(Tableau21[[#This Row],[Compte Site]],Order!C:D,2,FALSE)</f>
        <v>7</v>
      </c>
      <c r="O28" s="126" t="s">
        <v>187</v>
      </c>
      <c r="P28" s="365">
        <f>VLOOKUP(Tableau21[[#This Row],[Name ILN]],Plant_AILN!F:G,2,FALSE)</f>
        <v>27261102</v>
      </c>
      <c r="Q28" s="50">
        <f>VLOOKUP(Tableau21[[#This Row],[Compte ILN]],'DATA ILN'!D:I,6,FALSE)</f>
        <v>16</v>
      </c>
      <c r="R28" s="50" t="e">
        <f ca="1">IFERROR(VLOOKUP(Tableau21[[#This Row],[Key(Compte ILN - shipper - POL - plant)]],'DATA ILN'!A:J,10,FALSE),VLOOKUP(Tableau21[[#This Row],[Key(Compte ILN - shipper - POL)]],'DATA ILN'!B:J,9,FALSE))</f>
        <v>#N/A</v>
      </c>
      <c r="S2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8" s="50" t="e">
        <f ca="1">Tableau21[[#This Row],[Day ILN Order]]+Tableau21[[#This Row],[Delivery time to ILN/Shipper]]-1</f>
        <v>#N/A</v>
      </c>
      <c r="V2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8" s="392" t="s">
        <v>187</v>
      </c>
      <c r="Y28" s="389">
        <f>IFERROR(VLOOKUP(Tableau21[[#This Row],[Name Shipper]],Plant_AILN!L:M,2,FALSE),0)</f>
        <v>27261102</v>
      </c>
      <c r="Z28" s="52"/>
      <c r="AA28" s="396" t="e">
        <f ca="1">IFERROR(VLOOKUP(Tableau21[[#This Row],[Key(ID-Next)]],'DATA BTO'!A:N,5,FALSE),VLOOKUP(_xlfn.CONCAT(Tableau21[[#This Row],[ID]],"-","Actif"),'DATA BTO'!A:N,5,FALSE))</f>
        <v>#N/A</v>
      </c>
      <c r="AB28" s="3" t="e">
        <f ca="1">IFERROR(VLOOKUP(Tableau21[[#This Row],[Key(ID-Next)]],'DATA BTO'!A:N,6,FALSE),VLOOKUP(_xlfn.CONCAT(Tableau21[[#This Row],[ID]],"-","Actif"),'DATA BTO'!A:N,6,FALSE))</f>
        <v>#N/A</v>
      </c>
      <c r="AC28" s="50" t="e">
        <f ca="1">IFERROR(VLOOKUP(Tableau21[[#This Row],[Key(ID-Next)]],'DATA BTO'!A:N,7,FALSE),VLOOKUP(_xlfn.CONCAT(Tableau21[[#This Row],[ID]],"-","Actif"),'DATA BTO'!A:N,7,FALSE))</f>
        <v>#N/A</v>
      </c>
      <c r="AD28" s="50" t="e">
        <f ca="1">IFERROR(VLOOKUP(Tableau21[[#This Row],[Key(ID-Next)]],'DATA BTO'!A:N,8,FALSE),VLOOKUP(_xlfn.CONCAT(Tableau21[[#This Row],[ID]],"-","Actif"),'DATA BTO'!A:N,8,FALSE))</f>
        <v>#N/A</v>
      </c>
      <c r="AE28" s="50" t="e">
        <f ca="1">IFERROR(VLOOKUP(Tableau21[[#This Row],[Key(ID-Next)]],'DATA BTO'!A:N,9,FALSE),VLOOKUP(_xlfn.CONCAT(Tableau21[[#This Row],[ID]],"-","Actif"),'DATA BTO'!A:N,9,FALSE))</f>
        <v>#N/A</v>
      </c>
      <c r="AF28" s="3" t="e">
        <f ca="1">IFERROR(VLOOKUP(Tableau21[[#This Row],[Key(ID-Next)]],'DATA BTO'!A:N,10,FALSE),VLOOKUP(_xlfn.CONCAT(Tableau21[[#This Row],[ID]],"-","Actif"),'DATA BTO'!A:N,10,FALSE))</f>
        <v>#N/A</v>
      </c>
      <c r="AG28" s="3" t="e">
        <f ca="1">IFERROR(VLOOKUP(Tableau21[[#This Row],[Key(ID-Next)]],'DATA BTO'!A:N,11,FALSE),VLOOKUP(_xlfn.CONCAT(Tableau21[[#This Row],[ID]],"-","Actif"),'DATA BTO'!A:N,11,FALSE))</f>
        <v>#N/A</v>
      </c>
      <c r="AH28" s="50" t="e">
        <f ca="1">IFERROR(VLOOKUP(Tableau21[[#This Row],[Key(ID-Next)]],'DATA BTO'!A:N,12,FALSE),VLOOKUP(_xlfn.CONCAT(Tableau21[[#This Row],[ID]],"-","Actif"),'DATA BTO'!A:N,12,FALSE))</f>
        <v>#N/A</v>
      </c>
      <c r="AI28" s="53" t="e">
        <f ca="1">IFERROR(VLOOKUP(Tableau21[[#This Row],[Key(ID-Next)]],'DATA BTO'!A:N,14,FALSE),VLOOKUP(_xlfn.CONCAT(Tableau21[[#This Row],[ID]],"-","Actif"),'DATA BTO'!A:N,14,FALSE))</f>
        <v>#N/A</v>
      </c>
      <c r="AJ28" s="54" t="e">
        <f ca="1">VLOOKUP(Tableau21[[#This Row],[Key(POD -PFI- Usine)]],'DATA Consignee'!A:F,6,FALSE)</f>
        <v>#N/A</v>
      </c>
      <c r="AK28" s="284"/>
      <c r="AL28" s="376" t="str">
        <f>IF(Tableau21[[#This Row],[Name PFI/CDD]]="","-",VLOOKUP(Tableau21[[#This Row],[Name PFI/CDD]],Plant_AILN!I:J,2,FALSE))</f>
        <v>-</v>
      </c>
      <c r="AM2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8" s="2" t="e">
        <f ca="1">VLOOKUP(Tableau21[[#This Row],[Key(POD -PFI- Usine)]],'DATA Consignee'!A:J,10,FALSE)</f>
        <v>#N/A</v>
      </c>
      <c r="AP28" s="50" t="e">
        <f ca="1">VLOOKUP(Tableau21[[#This Row],[Key(POD -PFI- Usine)]],'DATA Consignee'!A:N,14,FALSE)</f>
        <v>#N/A</v>
      </c>
      <c r="AQ2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8" s="50" t="e">
        <f ca="1">Tableau21[[#This Row],[Transit time]]+Tableau21[[#This Row],[Time for security]]+Tableau21[[#This Row],[Time for security2 buffer]]</f>
        <v>#N/A</v>
      </c>
      <c r="AT2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8" s="50" t="e">
        <f ca="1">Tableau21[[#This Row],[Leadtime SI2C]]+Tableau21[[#This Row],[First Receipt Days]]-Tableau21[[#This Row],[Day Customer Order]]+1</f>
        <v>#N/A</v>
      </c>
      <c r="AV28" s="119" t="e">
        <f ca="1">IF(Tableau21[[#This Row],[Name ILN]]&lt;&gt;"SFK Freight Forwarder",Tableau21[[#This Row],[Cust. Leadtime]],Tableau21[[#This Row],[Leadtime SI2C]])</f>
        <v>#N/A</v>
      </c>
      <c r="AW28" s="59" t="s">
        <v>213</v>
      </c>
      <c r="AX28" s="338" t="e">
        <f ca="1">IFERROR(VLOOKUP(Tableau21[[#This Row],[Key(ID-Next)]],'DATA BTO'!A:N,3,FALSE),VLOOKUP(Tableau21[[#This Row],[ID]],'DATA BTO'!B:N,2,FALSE))</f>
        <v>#N/A</v>
      </c>
      <c r="AY28" s="50" t="str">
        <f>IF(ISNUMBER(Tableau21[[#This Row],[Day Customer Order]]),"-","Please Check 'Name' information in 'Order' Sheet to make sure they have information")</f>
        <v>-</v>
      </c>
      <c r="AZ2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9" spans="2:55">
      <c r="B29" s="67" t="str">
        <f>_xlfn.CONCAT(Tableau21[[#This Row],[Name ILN]],"-",Tableau21[[#This Row],[Name Shipper]],"-",Tableau21[[#This Row],[Name Site]])</f>
        <v>NSL Shanghai-NSL Shanghai-DACIA MECA</v>
      </c>
      <c r="C29" s="66" t="e">
        <f ca="1">_xlfn.CONCAT(Tableau21[[#This Row],[Compte ILN]],"-",Tableau21[[#This Row],[Compte Shipper]],"-",Tableau21[[#This Row],[POL]],"-",Tableau21[[#This Row],[Compte Site]])</f>
        <v>#N/A</v>
      </c>
      <c r="D29" s="66" t="e">
        <f ca="1">_xlfn.CONCAT(Tableau21[[#This Row],[Compte ILN]],"-",Tableau21[[#This Row],[Compte Shipper]],"-",Tableau21[[#This Row],[POL]])</f>
        <v>#N/A</v>
      </c>
      <c r="E29" s="130" t="e">
        <f ca="1">_xlfn.CONCAT(Tableau21[[#This Row],[POL]],"-",Tableau21[[#This Row],[Carrier]],"-",Tableau21[[#This Row],[POD]])</f>
        <v>#N/A</v>
      </c>
      <c r="F29" s="66" t="str">
        <f>_xlfn.CONCAT(Tableau21[[#This Row],[ID]],"-","Next")</f>
        <v>-Next</v>
      </c>
      <c r="G29" s="66" t="e">
        <f ca="1">_xlfn.CONCAT(Tableau21[[#This Row],[POD]],"-",Tableau21[[#This Row],[Code PFI]],"-",Tableau21[[#This Row],[Compte Site]])</f>
        <v>#N/A</v>
      </c>
      <c r="H29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9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9" s="119" t="str">
        <f ca="1">IF(COUNTIF(I:I,Tableau21[[#This Row],[Plant-ILN-shipper-POL-Carrier-POD-PFI]])=1,"Non","Oui")</f>
        <v>Oui</v>
      </c>
      <c r="K29" s="128" t="str">
        <f>VLOOKUP(Tableau21[[#This Row],[Name Site]],Plant_AILN!A:D,4,FALSE)</f>
        <v>ROMANIA</v>
      </c>
      <c r="L29" s="59" t="s">
        <v>162</v>
      </c>
      <c r="M29" s="365">
        <f>VLOOKUP(Tableau21[[#This Row],[Name Site]],Plant_AILN!A:C,3,FALSE)</f>
        <v>90012500</v>
      </c>
      <c r="N29" s="55">
        <f>VLOOKUP(Tableau21[[#This Row],[Compte Site]],Order!C:D,2,FALSE)</f>
        <v>7</v>
      </c>
      <c r="O29" s="126" t="s">
        <v>187</v>
      </c>
      <c r="P29" s="365">
        <f>VLOOKUP(Tableau21[[#This Row],[Name ILN]],Plant_AILN!F:G,2,FALSE)</f>
        <v>27261102</v>
      </c>
      <c r="Q29" s="50">
        <f>VLOOKUP(Tableau21[[#This Row],[Compte ILN]],'DATA ILN'!D:I,6,FALSE)</f>
        <v>16</v>
      </c>
      <c r="R29" s="50" t="e">
        <f ca="1">IFERROR(VLOOKUP(Tableau21[[#This Row],[Key(Compte ILN - shipper - POL - plant)]],'DATA ILN'!A:J,10,FALSE),VLOOKUP(Tableau21[[#This Row],[Key(Compte ILN - shipper - POL)]],'DATA ILN'!B:J,9,FALSE))</f>
        <v>#N/A</v>
      </c>
      <c r="S2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9" s="50" t="e">
        <f ca="1">Tableau21[[#This Row],[Day ILN Order]]+Tableau21[[#This Row],[Delivery time to ILN/Shipper]]-1</f>
        <v>#N/A</v>
      </c>
      <c r="V2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9" s="392" t="s">
        <v>187</v>
      </c>
      <c r="Y29" s="389">
        <f>IFERROR(VLOOKUP(Tableau21[[#This Row],[Name Shipper]],Plant_AILN!L:M,2,FALSE),0)</f>
        <v>27261102</v>
      </c>
      <c r="Z29" s="52"/>
      <c r="AA29" s="396" t="e">
        <f ca="1">IFERROR(VLOOKUP(Tableau21[[#This Row],[Key(ID-Next)]],'DATA BTO'!A:N,5,FALSE),VLOOKUP(_xlfn.CONCAT(Tableau21[[#This Row],[ID]],"-","Actif"),'DATA BTO'!A:N,5,FALSE))</f>
        <v>#N/A</v>
      </c>
      <c r="AB29" s="3" t="e">
        <f ca="1">IFERROR(VLOOKUP(Tableau21[[#This Row],[Key(ID-Next)]],'DATA BTO'!A:N,6,FALSE),VLOOKUP(_xlfn.CONCAT(Tableau21[[#This Row],[ID]],"-","Actif"),'DATA BTO'!A:N,6,FALSE))</f>
        <v>#N/A</v>
      </c>
      <c r="AC29" s="50" t="e">
        <f ca="1">IFERROR(VLOOKUP(Tableau21[[#This Row],[Key(ID-Next)]],'DATA BTO'!A:N,7,FALSE),VLOOKUP(_xlfn.CONCAT(Tableau21[[#This Row],[ID]],"-","Actif"),'DATA BTO'!A:N,7,FALSE))</f>
        <v>#N/A</v>
      </c>
      <c r="AD29" s="50" t="e">
        <f ca="1">IFERROR(VLOOKUP(Tableau21[[#This Row],[Key(ID-Next)]],'DATA BTO'!A:N,8,FALSE),VLOOKUP(_xlfn.CONCAT(Tableau21[[#This Row],[ID]],"-","Actif"),'DATA BTO'!A:N,8,FALSE))</f>
        <v>#N/A</v>
      </c>
      <c r="AE29" s="50" t="e">
        <f ca="1">IFERROR(VLOOKUP(Tableau21[[#This Row],[Key(ID-Next)]],'DATA BTO'!A:N,9,FALSE),VLOOKUP(_xlfn.CONCAT(Tableau21[[#This Row],[ID]],"-","Actif"),'DATA BTO'!A:N,9,FALSE))</f>
        <v>#N/A</v>
      </c>
      <c r="AF29" s="3" t="e">
        <f ca="1">IFERROR(VLOOKUP(Tableau21[[#This Row],[Key(ID-Next)]],'DATA BTO'!A:N,10,FALSE),VLOOKUP(_xlfn.CONCAT(Tableau21[[#This Row],[ID]],"-","Actif"),'DATA BTO'!A:N,10,FALSE))</f>
        <v>#N/A</v>
      </c>
      <c r="AG29" s="3" t="e">
        <f ca="1">IFERROR(VLOOKUP(Tableau21[[#This Row],[Key(ID-Next)]],'DATA BTO'!A:N,11,FALSE),VLOOKUP(_xlfn.CONCAT(Tableau21[[#This Row],[ID]],"-","Actif"),'DATA BTO'!A:N,11,FALSE))</f>
        <v>#N/A</v>
      </c>
      <c r="AH29" s="50" t="e">
        <f ca="1">IFERROR(VLOOKUP(Tableau21[[#This Row],[Key(ID-Next)]],'DATA BTO'!A:N,12,FALSE),VLOOKUP(_xlfn.CONCAT(Tableau21[[#This Row],[ID]],"-","Actif"),'DATA BTO'!A:N,12,FALSE))</f>
        <v>#N/A</v>
      </c>
      <c r="AI29" s="53" t="e">
        <f ca="1">IFERROR(VLOOKUP(Tableau21[[#This Row],[Key(ID-Next)]],'DATA BTO'!A:N,14,FALSE),VLOOKUP(_xlfn.CONCAT(Tableau21[[#This Row],[ID]],"-","Actif"),'DATA BTO'!A:N,14,FALSE))</f>
        <v>#N/A</v>
      </c>
      <c r="AJ29" s="54" t="e">
        <f ca="1">VLOOKUP(Tableau21[[#This Row],[Key(POD -PFI- Usine)]],'DATA Consignee'!A:F,6,FALSE)</f>
        <v>#N/A</v>
      </c>
      <c r="AK29" s="284"/>
      <c r="AL29" s="376" t="str">
        <f>IF(Tableau21[[#This Row],[Name PFI/CDD]]="","-",VLOOKUP(Tableau21[[#This Row],[Name PFI/CDD]],Plant_AILN!I:J,2,FALSE))</f>
        <v>-</v>
      </c>
      <c r="AM2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9" s="2" t="e">
        <f ca="1">VLOOKUP(Tableau21[[#This Row],[Key(POD -PFI- Usine)]],'DATA Consignee'!A:J,10,FALSE)</f>
        <v>#N/A</v>
      </c>
      <c r="AP29" s="50" t="e">
        <f ca="1">VLOOKUP(Tableau21[[#This Row],[Key(POD -PFI- Usine)]],'DATA Consignee'!A:N,14,FALSE)</f>
        <v>#N/A</v>
      </c>
      <c r="AQ2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9" s="50" t="e">
        <f ca="1">Tableau21[[#This Row],[Transit time]]+Tableau21[[#This Row],[Time for security]]+Tableau21[[#This Row],[Time for security2 buffer]]</f>
        <v>#N/A</v>
      </c>
      <c r="AT2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9" s="50" t="e">
        <f ca="1">Tableau21[[#This Row],[Leadtime SI2C]]+Tableau21[[#This Row],[First Receipt Days]]-Tableau21[[#This Row],[Day Customer Order]]+1</f>
        <v>#N/A</v>
      </c>
      <c r="AV29" s="119" t="e">
        <f ca="1">IF(Tableau21[[#This Row],[Name ILN]]&lt;&gt;"SFK Freight Forwarder",Tableau21[[#This Row],[Cust. Leadtime]],Tableau21[[#This Row],[Leadtime SI2C]])</f>
        <v>#N/A</v>
      </c>
      <c r="AW29" s="59" t="s">
        <v>213</v>
      </c>
      <c r="AX29" s="338" t="e">
        <f ca="1">IFERROR(VLOOKUP(Tableau21[[#This Row],[Key(ID-Next)]],'DATA BTO'!A:N,3,FALSE),VLOOKUP(Tableau21[[#This Row],[ID]],'DATA BTO'!B:N,2,FALSE))</f>
        <v>#N/A</v>
      </c>
      <c r="AY29" s="50" t="str">
        <f>IF(ISNUMBER(Tableau21[[#This Row],[Day Customer Order]]),"-","Please Check 'Name' information in 'Order' Sheet to make sure they have information")</f>
        <v>-</v>
      </c>
      <c r="AZ2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0" spans="2:55">
      <c r="B30" s="67" t="str">
        <f>_xlfn.CONCAT(Tableau21[[#This Row],[Name ILN]],"-",Tableau21[[#This Row],[Name Shipper]],"-",Tableau21[[#This Row],[Name Site]])</f>
        <v>NSL Shanghai-NSL Shanghai-SOMACA</v>
      </c>
      <c r="C30" s="66" t="e">
        <f ca="1">_xlfn.CONCAT(Tableau21[[#This Row],[Compte ILN]],"-",Tableau21[[#This Row],[Compte Shipper]],"-",Tableau21[[#This Row],[POL]],"-",Tableau21[[#This Row],[Compte Site]])</f>
        <v>#N/A</v>
      </c>
      <c r="D30" s="66" t="e">
        <f ca="1">_xlfn.CONCAT(Tableau21[[#This Row],[Compte ILN]],"-",Tableau21[[#This Row],[Compte Shipper]],"-",Tableau21[[#This Row],[POL]])</f>
        <v>#N/A</v>
      </c>
      <c r="E30" s="130" t="e">
        <f ca="1">_xlfn.CONCAT(Tableau21[[#This Row],[POL]],"-",Tableau21[[#This Row],[Carrier]],"-",Tableau21[[#This Row],[POD]])</f>
        <v>#N/A</v>
      </c>
      <c r="F30" s="66" t="str">
        <f>_xlfn.CONCAT(Tableau21[[#This Row],[ID]],"-","Next")</f>
        <v>-Next</v>
      </c>
      <c r="G30" s="66" t="e">
        <f ca="1">_xlfn.CONCAT(Tableau21[[#This Row],[POD]],"-",Tableau21[[#This Row],[Code PFI]],"-",Tableau21[[#This Row],[Compte Site]])</f>
        <v>#N/A</v>
      </c>
      <c r="H30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0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0" s="119" t="str">
        <f ca="1">IF(COUNTIF(I:I,Tableau21[[#This Row],[Plant-ILN-shipper-POL-Carrier-POD-PFI]])=1,"Non","Oui")</f>
        <v>Oui</v>
      </c>
      <c r="K30" s="128" t="str">
        <f>VLOOKUP(Tableau21[[#This Row],[Name Site]],Plant_AILN!A:D,4,FALSE)</f>
        <v>MOROCCO</v>
      </c>
      <c r="L30" s="59" t="s">
        <v>179</v>
      </c>
      <c r="M30" s="365">
        <f>VLOOKUP(Tableau21[[#This Row],[Name Site]],Plant_AILN!A:C,3,FALSE)</f>
        <v>90038200</v>
      </c>
      <c r="N30" s="55">
        <f>VLOOKUP(Tableau21[[#This Row],[Compte Site]],Order!C:D,2,FALSE)</f>
        <v>7</v>
      </c>
      <c r="O30" s="126" t="s">
        <v>187</v>
      </c>
      <c r="P30" s="365">
        <f>VLOOKUP(Tableau21[[#This Row],[Name ILN]],Plant_AILN!F:G,2,FALSE)</f>
        <v>27261102</v>
      </c>
      <c r="Q30" s="50">
        <f>VLOOKUP(Tableau21[[#This Row],[Compte ILN]],'DATA ILN'!D:I,6,FALSE)</f>
        <v>16</v>
      </c>
      <c r="R30" s="50" t="e">
        <f ca="1">IFERROR(VLOOKUP(Tableau21[[#This Row],[Key(Compte ILN - shipper - POL - plant)]],'DATA ILN'!A:J,10,FALSE),VLOOKUP(Tableau21[[#This Row],[Key(Compte ILN - shipper - POL)]],'DATA ILN'!B:J,9,FALSE))</f>
        <v>#N/A</v>
      </c>
      <c r="S3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0" s="50" t="e">
        <f ca="1">Tableau21[[#This Row],[Day ILN Order]]+Tableau21[[#This Row],[Delivery time to ILN/Shipper]]-1</f>
        <v>#N/A</v>
      </c>
      <c r="V3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0" s="392" t="s">
        <v>187</v>
      </c>
      <c r="Y30" s="389">
        <f>IFERROR(VLOOKUP(Tableau21[[#This Row],[Name Shipper]],Plant_AILN!L:M,2,FALSE),0)</f>
        <v>27261102</v>
      </c>
      <c r="Z30" s="52"/>
      <c r="AA30" s="396" t="e">
        <f ca="1">IFERROR(VLOOKUP(Tableau21[[#This Row],[Key(ID-Next)]],'DATA BTO'!A:N,5,FALSE),VLOOKUP(_xlfn.CONCAT(Tableau21[[#This Row],[ID]],"-","Actif"),'DATA BTO'!A:N,5,FALSE))</f>
        <v>#N/A</v>
      </c>
      <c r="AB30" s="3" t="e">
        <f ca="1">IFERROR(VLOOKUP(Tableau21[[#This Row],[Key(ID-Next)]],'DATA BTO'!A:N,6,FALSE),VLOOKUP(_xlfn.CONCAT(Tableau21[[#This Row],[ID]],"-","Actif"),'DATA BTO'!A:N,6,FALSE))</f>
        <v>#N/A</v>
      </c>
      <c r="AC30" s="50" t="e">
        <f ca="1">IFERROR(VLOOKUP(Tableau21[[#This Row],[Key(ID-Next)]],'DATA BTO'!A:N,7,FALSE),VLOOKUP(_xlfn.CONCAT(Tableau21[[#This Row],[ID]],"-","Actif"),'DATA BTO'!A:N,7,FALSE))</f>
        <v>#N/A</v>
      </c>
      <c r="AD30" s="50" t="e">
        <f ca="1">IFERROR(VLOOKUP(Tableau21[[#This Row],[Key(ID-Next)]],'DATA BTO'!A:N,8,FALSE),VLOOKUP(_xlfn.CONCAT(Tableau21[[#This Row],[ID]],"-","Actif"),'DATA BTO'!A:N,8,FALSE))</f>
        <v>#N/A</v>
      </c>
      <c r="AE30" s="50" t="e">
        <f ca="1">IFERROR(VLOOKUP(Tableau21[[#This Row],[Key(ID-Next)]],'DATA BTO'!A:N,9,FALSE),VLOOKUP(_xlfn.CONCAT(Tableau21[[#This Row],[ID]],"-","Actif"),'DATA BTO'!A:N,9,FALSE))</f>
        <v>#N/A</v>
      </c>
      <c r="AF30" s="3" t="e">
        <f ca="1">IFERROR(VLOOKUP(Tableau21[[#This Row],[Key(ID-Next)]],'DATA BTO'!A:N,10,FALSE),VLOOKUP(_xlfn.CONCAT(Tableau21[[#This Row],[ID]],"-","Actif"),'DATA BTO'!A:N,10,FALSE))</f>
        <v>#N/A</v>
      </c>
      <c r="AG30" s="3" t="e">
        <f ca="1">IFERROR(VLOOKUP(Tableau21[[#This Row],[Key(ID-Next)]],'DATA BTO'!A:N,11,FALSE),VLOOKUP(_xlfn.CONCAT(Tableau21[[#This Row],[ID]],"-","Actif"),'DATA BTO'!A:N,11,FALSE))</f>
        <v>#N/A</v>
      </c>
      <c r="AH30" s="50" t="e">
        <f ca="1">IFERROR(VLOOKUP(Tableau21[[#This Row],[Key(ID-Next)]],'DATA BTO'!A:N,12,FALSE),VLOOKUP(_xlfn.CONCAT(Tableau21[[#This Row],[ID]],"-","Actif"),'DATA BTO'!A:N,12,FALSE))</f>
        <v>#N/A</v>
      </c>
      <c r="AI30" s="53" t="e">
        <f ca="1">IFERROR(VLOOKUP(Tableau21[[#This Row],[Key(ID-Next)]],'DATA BTO'!A:N,14,FALSE),VLOOKUP(_xlfn.CONCAT(Tableau21[[#This Row],[ID]],"-","Actif"),'DATA BTO'!A:N,14,FALSE))</f>
        <v>#N/A</v>
      </c>
      <c r="AJ30" s="54" t="e">
        <f ca="1">VLOOKUP(Tableau21[[#This Row],[Key(POD -PFI- Usine)]],'DATA Consignee'!A:F,6,FALSE)</f>
        <v>#N/A</v>
      </c>
      <c r="AK30" s="284"/>
      <c r="AL30" s="376" t="str">
        <f>IF(Tableau21[[#This Row],[Name PFI/CDD]]="","-",VLOOKUP(Tableau21[[#This Row],[Name PFI/CDD]],Plant_AILN!I:J,2,FALSE))</f>
        <v>-</v>
      </c>
      <c r="AM3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0" s="2" t="e">
        <f ca="1">VLOOKUP(Tableau21[[#This Row],[Key(POD -PFI- Usine)]],'DATA Consignee'!A:J,10,FALSE)</f>
        <v>#N/A</v>
      </c>
      <c r="AP30" s="50" t="e">
        <f ca="1">VLOOKUP(Tableau21[[#This Row],[Key(POD -PFI- Usine)]],'DATA Consignee'!A:N,14,FALSE)</f>
        <v>#N/A</v>
      </c>
      <c r="AQ3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0" s="50" t="e">
        <f ca="1">Tableau21[[#This Row],[Transit time]]+Tableau21[[#This Row],[Time for security]]+Tableau21[[#This Row],[Time for security2 buffer]]</f>
        <v>#N/A</v>
      </c>
      <c r="AT3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0" s="50" t="e">
        <f ca="1">Tableau21[[#This Row],[Leadtime SI2C]]+Tableau21[[#This Row],[First Receipt Days]]-Tableau21[[#This Row],[Day Customer Order]]+1</f>
        <v>#N/A</v>
      </c>
      <c r="AV30" s="119" t="e">
        <f ca="1">IF(Tableau21[[#This Row],[Name ILN]]&lt;&gt;"SFK Freight Forwarder",Tableau21[[#This Row],[Cust. Leadtime]],Tableau21[[#This Row],[Leadtime SI2C]])</f>
        <v>#N/A</v>
      </c>
      <c r="AW30" s="59" t="s">
        <v>213</v>
      </c>
      <c r="AX30" s="338" t="e">
        <f ca="1">IFERROR(VLOOKUP(Tableau21[[#This Row],[Key(ID-Next)]],'DATA BTO'!A:N,3,FALSE),VLOOKUP(Tableau21[[#This Row],[ID]],'DATA BTO'!B:N,2,FALSE))</f>
        <v>#N/A</v>
      </c>
      <c r="AY30" s="50" t="str">
        <f>IF(ISNUMBER(Tableau21[[#This Row],[Day Customer Order]]),"-","Please Check 'Name' information in 'Order' Sheet to make sure they have information")</f>
        <v>-</v>
      </c>
      <c r="AZ3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1" spans="2:55">
      <c r="B31" s="67" t="str">
        <f>_xlfn.CONCAT(Tableau21[[#This Row],[Name ILN]],"-",Tableau21[[#This Row],[Name Shipper]],"-",Tableau21[[#This Row],[Name Site]])</f>
        <v>NSL Shanghai-NSL Shanghai-TANGER</v>
      </c>
      <c r="C31" s="66" t="e">
        <f ca="1">_xlfn.CONCAT(Tableau21[[#This Row],[Compte ILN]],"-",Tableau21[[#This Row],[Compte Shipper]],"-",Tableau21[[#This Row],[POL]],"-",Tableau21[[#This Row],[Compte Site]])</f>
        <v>#N/A</v>
      </c>
      <c r="D31" s="66" t="e">
        <f ca="1">_xlfn.CONCAT(Tableau21[[#This Row],[Compte ILN]],"-",Tableau21[[#This Row],[Compte Shipper]],"-",Tableau21[[#This Row],[POL]])</f>
        <v>#N/A</v>
      </c>
      <c r="E31" s="130" t="e">
        <f ca="1">_xlfn.CONCAT(Tableau21[[#This Row],[POL]],"-",Tableau21[[#This Row],[Carrier]],"-",Tableau21[[#This Row],[POD]])</f>
        <v>#N/A</v>
      </c>
      <c r="F31" s="66" t="str">
        <f>_xlfn.CONCAT(Tableau21[[#This Row],[ID]],"-","Next")</f>
        <v>-Next</v>
      </c>
      <c r="G31" s="66" t="e">
        <f ca="1">_xlfn.CONCAT(Tableau21[[#This Row],[POD]],"-",Tableau21[[#This Row],[Code PFI]],"-",Tableau21[[#This Row],[Compte Site]])</f>
        <v>#N/A</v>
      </c>
      <c r="H31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1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1" s="119" t="str">
        <f ca="1">IF(COUNTIF(I:I,Tableau21[[#This Row],[Plant-ILN-shipper-POL-Carrier-POD-PFI]])=1,"Non","Oui")</f>
        <v>Oui</v>
      </c>
      <c r="K31" s="128" t="str">
        <f>VLOOKUP(Tableau21[[#This Row],[Name Site]],Plant_AILN!A:D,4,FALSE)</f>
        <v>MOROCCO</v>
      </c>
      <c r="L31" s="59" t="s">
        <v>180</v>
      </c>
      <c r="M31" s="365">
        <f>VLOOKUP(Tableau21[[#This Row],[Name Site]],Plant_AILN!A:C,3,FALSE)</f>
        <v>900383</v>
      </c>
      <c r="N31" s="55">
        <f>VLOOKUP(Tableau21[[#This Row],[Compte Site]],Order!C:D,2,FALSE)</f>
        <v>7</v>
      </c>
      <c r="O31" s="126" t="s">
        <v>187</v>
      </c>
      <c r="P31" s="365">
        <f>VLOOKUP(Tableau21[[#This Row],[Name ILN]],Plant_AILN!F:G,2,FALSE)</f>
        <v>27261102</v>
      </c>
      <c r="Q31" s="50">
        <f>VLOOKUP(Tableau21[[#This Row],[Compte ILN]],'DATA ILN'!D:I,6,FALSE)</f>
        <v>16</v>
      </c>
      <c r="R31" s="50" t="e">
        <f ca="1">IFERROR(VLOOKUP(Tableau21[[#This Row],[Key(Compte ILN - shipper - POL - plant)]],'DATA ILN'!A:J,10,FALSE),VLOOKUP(Tableau21[[#This Row],[Key(Compte ILN - shipper - POL)]],'DATA ILN'!B:J,9,FALSE))</f>
        <v>#N/A</v>
      </c>
      <c r="S31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1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1" s="50" t="e">
        <f ca="1">Tableau21[[#This Row],[Day ILN Order]]+Tableau21[[#This Row],[Delivery time to ILN/Shipper]]-1</f>
        <v>#N/A</v>
      </c>
      <c r="V31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1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1" s="392" t="s">
        <v>187</v>
      </c>
      <c r="Y31" s="389">
        <f>IFERROR(VLOOKUP(Tableau21[[#This Row],[Name Shipper]],Plant_AILN!L:M,2,FALSE),0)</f>
        <v>27261102</v>
      </c>
      <c r="Z31" s="52"/>
      <c r="AA31" s="396" t="e">
        <f ca="1">IFERROR(VLOOKUP(Tableau21[[#This Row],[Key(ID-Next)]],'DATA BTO'!A:N,5,FALSE),VLOOKUP(_xlfn.CONCAT(Tableau21[[#This Row],[ID]],"-","Actif"),'DATA BTO'!A:N,5,FALSE))</f>
        <v>#N/A</v>
      </c>
      <c r="AB31" s="3" t="e">
        <f ca="1">IFERROR(VLOOKUP(Tableau21[[#This Row],[Key(ID-Next)]],'DATA BTO'!A:N,6,FALSE),VLOOKUP(_xlfn.CONCAT(Tableau21[[#This Row],[ID]],"-","Actif"),'DATA BTO'!A:N,6,FALSE))</f>
        <v>#N/A</v>
      </c>
      <c r="AC31" s="50" t="e">
        <f ca="1">IFERROR(VLOOKUP(Tableau21[[#This Row],[Key(ID-Next)]],'DATA BTO'!A:N,7,FALSE),VLOOKUP(_xlfn.CONCAT(Tableau21[[#This Row],[ID]],"-","Actif"),'DATA BTO'!A:N,7,FALSE))</f>
        <v>#N/A</v>
      </c>
      <c r="AD31" s="50" t="e">
        <f ca="1">IFERROR(VLOOKUP(Tableau21[[#This Row],[Key(ID-Next)]],'DATA BTO'!A:N,8,FALSE),VLOOKUP(_xlfn.CONCAT(Tableau21[[#This Row],[ID]],"-","Actif"),'DATA BTO'!A:N,8,FALSE))</f>
        <v>#N/A</v>
      </c>
      <c r="AE31" s="50" t="e">
        <f ca="1">IFERROR(VLOOKUP(Tableau21[[#This Row],[Key(ID-Next)]],'DATA BTO'!A:N,9,FALSE),VLOOKUP(_xlfn.CONCAT(Tableau21[[#This Row],[ID]],"-","Actif"),'DATA BTO'!A:N,9,FALSE))</f>
        <v>#N/A</v>
      </c>
      <c r="AF31" s="3" t="e">
        <f ca="1">IFERROR(VLOOKUP(Tableau21[[#This Row],[Key(ID-Next)]],'DATA BTO'!A:N,10,FALSE),VLOOKUP(_xlfn.CONCAT(Tableau21[[#This Row],[ID]],"-","Actif"),'DATA BTO'!A:N,10,FALSE))</f>
        <v>#N/A</v>
      </c>
      <c r="AG31" s="3" t="e">
        <f ca="1">IFERROR(VLOOKUP(Tableau21[[#This Row],[Key(ID-Next)]],'DATA BTO'!A:N,11,FALSE),VLOOKUP(_xlfn.CONCAT(Tableau21[[#This Row],[ID]],"-","Actif"),'DATA BTO'!A:N,11,FALSE))</f>
        <v>#N/A</v>
      </c>
      <c r="AH31" s="50" t="e">
        <f ca="1">IFERROR(VLOOKUP(Tableau21[[#This Row],[Key(ID-Next)]],'DATA BTO'!A:N,12,FALSE),VLOOKUP(_xlfn.CONCAT(Tableau21[[#This Row],[ID]],"-","Actif"),'DATA BTO'!A:N,12,FALSE))</f>
        <v>#N/A</v>
      </c>
      <c r="AI31" s="53" t="e">
        <f ca="1">IFERROR(VLOOKUP(Tableau21[[#This Row],[Key(ID-Next)]],'DATA BTO'!A:N,14,FALSE),VLOOKUP(_xlfn.CONCAT(Tableau21[[#This Row],[ID]],"-","Actif"),'DATA BTO'!A:N,14,FALSE))</f>
        <v>#N/A</v>
      </c>
      <c r="AJ31" s="54" t="e">
        <f ca="1">VLOOKUP(Tableau21[[#This Row],[Key(POD -PFI- Usine)]],'DATA Consignee'!A:F,6,FALSE)</f>
        <v>#N/A</v>
      </c>
      <c r="AK31" s="284"/>
      <c r="AL31" s="376" t="str">
        <f>IF(Tableau21[[#This Row],[Name PFI/CDD]]="","-",VLOOKUP(Tableau21[[#This Row],[Name PFI/CDD]],Plant_AILN!I:J,2,FALSE))</f>
        <v>-</v>
      </c>
      <c r="AM31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1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1" s="2" t="e">
        <f ca="1">VLOOKUP(Tableau21[[#This Row],[Key(POD -PFI- Usine)]],'DATA Consignee'!A:J,10,FALSE)</f>
        <v>#N/A</v>
      </c>
      <c r="AP31" s="50" t="e">
        <f ca="1">VLOOKUP(Tableau21[[#This Row],[Key(POD -PFI- Usine)]],'DATA Consignee'!A:N,14,FALSE)</f>
        <v>#N/A</v>
      </c>
      <c r="AQ31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1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1" s="50" t="e">
        <f ca="1">Tableau21[[#This Row],[Transit time]]+Tableau21[[#This Row],[Time for security]]+Tableau21[[#This Row],[Time for security2 buffer]]</f>
        <v>#N/A</v>
      </c>
      <c r="AT31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1" s="50" t="e">
        <f ca="1">Tableau21[[#This Row],[Leadtime SI2C]]+Tableau21[[#This Row],[First Receipt Days]]-Tableau21[[#This Row],[Day Customer Order]]+1</f>
        <v>#N/A</v>
      </c>
      <c r="AV31" s="119" t="e">
        <f ca="1">IF(Tableau21[[#This Row],[Name ILN]]&lt;&gt;"SFK Freight Forwarder",Tableau21[[#This Row],[Cust. Leadtime]],Tableau21[[#This Row],[Leadtime SI2C]])</f>
        <v>#N/A</v>
      </c>
      <c r="AW31" s="59" t="s">
        <v>213</v>
      </c>
      <c r="AX31" s="338" t="e">
        <f ca="1">IFERROR(VLOOKUP(Tableau21[[#This Row],[Key(ID-Next)]],'DATA BTO'!A:N,3,FALSE),VLOOKUP(Tableau21[[#This Row],[ID]],'DATA BTO'!B:N,2,FALSE))</f>
        <v>#N/A</v>
      </c>
      <c r="AY31" s="50" t="str">
        <f>IF(ISNUMBER(Tableau21[[#This Row],[Day Customer Order]]),"-","Please Check 'Name' information in 'Order' Sheet to make sure they have information")</f>
        <v>-</v>
      </c>
      <c r="AZ31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1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1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2" spans="2:55">
      <c r="B32" s="67" t="str">
        <f>_xlfn.CONCAT(Tableau21[[#This Row],[Name ILN]],"-",Tableau21[[#This Row],[Name Shipper]],"-",Tableau21[[#This Row],[Name Site]])</f>
        <v>NSL Shanghai-NSL Shanghai-OYAK MONT</v>
      </c>
      <c r="C32" s="66" t="e">
        <f ca="1">_xlfn.CONCAT(Tableau21[[#This Row],[Compte ILN]],"-",Tableau21[[#This Row],[Compte Shipper]],"-",Tableau21[[#This Row],[POL]],"-",Tableau21[[#This Row],[Compte Site]])</f>
        <v>#N/A</v>
      </c>
      <c r="D32" s="66" t="e">
        <f ca="1">_xlfn.CONCAT(Tableau21[[#This Row],[Compte ILN]],"-",Tableau21[[#This Row],[Compte Shipper]],"-",Tableau21[[#This Row],[POL]])</f>
        <v>#N/A</v>
      </c>
      <c r="E32" s="130" t="e">
        <f ca="1">_xlfn.CONCAT(Tableau21[[#This Row],[POL]],"-",Tableau21[[#This Row],[Carrier]],"-",Tableau21[[#This Row],[POD]])</f>
        <v>#N/A</v>
      </c>
      <c r="F32" s="66" t="str">
        <f>_xlfn.CONCAT(Tableau21[[#This Row],[ID]],"-","Next")</f>
        <v>AK15-Next</v>
      </c>
      <c r="G32" s="66" t="e">
        <f ca="1">_xlfn.CONCAT(Tableau21[[#This Row],[POD]],"-",Tableau21[[#This Row],[Code PFI]],"-",Tableau21[[#This Row],[Compte Site]])</f>
        <v>#N/A</v>
      </c>
      <c r="H32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2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2" s="119" t="str">
        <f ca="1">IF(COUNTIF(I:I,Tableau21[[#This Row],[Plant-ILN-shipper-POL-Carrier-POD-PFI]])=1,"Non","Oui")</f>
        <v>Oui</v>
      </c>
      <c r="K32" s="128" t="str">
        <f>VLOOKUP(Tableau21[[#This Row],[Name Site]],Plant_AILN!A:D,4,FALSE)</f>
        <v>TURKEY</v>
      </c>
      <c r="L32" s="59" t="s">
        <v>173</v>
      </c>
      <c r="M32" s="365">
        <f>VLOOKUP(Tableau21[[#This Row],[Name Site]],Plant_AILN!A:C,3,FALSE)</f>
        <v>90017000</v>
      </c>
      <c r="N32" s="55">
        <f>VLOOKUP(Tableau21[[#This Row],[Compte Site]],Order!C:D,2,FALSE)</f>
        <v>7</v>
      </c>
      <c r="O32" s="126" t="s">
        <v>187</v>
      </c>
      <c r="P32" s="365">
        <f>VLOOKUP(Tableau21[[#This Row],[Name ILN]],Plant_AILN!F:G,2,FALSE)</f>
        <v>27261102</v>
      </c>
      <c r="Q32" s="50">
        <f>VLOOKUP(Tableau21[[#This Row],[Compte ILN]],'DATA ILN'!D:I,6,FALSE)</f>
        <v>16</v>
      </c>
      <c r="R32" s="50" t="e">
        <f ca="1">IFERROR(VLOOKUP(Tableau21[[#This Row],[Key(Compte ILN - shipper - POL - plant)]],'DATA ILN'!A:J,10,FALSE),VLOOKUP(Tableau21[[#This Row],[Key(Compte ILN - shipper - POL)]],'DATA ILN'!B:J,9,FALSE))</f>
        <v>#N/A</v>
      </c>
      <c r="S3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2" s="50" t="e">
        <f ca="1">Tableau21[[#This Row],[Day ILN Order]]+Tableau21[[#This Row],[Delivery time to ILN/Shipper]]-1</f>
        <v>#N/A</v>
      </c>
      <c r="V3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2" s="392" t="s">
        <v>187</v>
      </c>
      <c r="Y32" s="389">
        <f>IFERROR(VLOOKUP(Tableau21[[#This Row],[Name Shipper]],Plant_AILN!L:M,2,FALSE),0)</f>
        <v>27261102</v>
      </c>
      <c r="Z32" s="52" t="s">
        <v>200</v>
      </c>
      <c r="AA32" s="396" t="e">
        <f ca="1">IFERROR(VLOOKUP(Tableau21[[#This Row],[Key(ID-Next)]],'DATA BTO'!A:N,5,FALSE),VLOOKUP(_xlfn.CONCAT(Tableau21[[#This Row],[ID]],"-","Actif"),'DATA BTO'!A:N,5,FALSE))</f>
        <v>#N/A</v>
      </c>
      <c r="AB32" s="3" t="e">
        <f ca="1">IFERROR(VLOOKUP(Tableau21[[#This Row],[Key(ID-Next)]],'DATA BTO'!A:N,6,FALSE),VLOOKUP(_xlfn.CONCAT(Tableau21[[#This Row],[ID]],"-","Actif"),'DATA BTO'!A:N,6,FALSE))</f>
        <v>#N/A</v>
      </c>
      <c r="AC32" s="50" t="e">
        <f ca="1">IFERROR(VLOOKUP(Tableau21[[#This Row],[Key(ID-Next)]],'DATA BTO'!A:N,7,FALSE),VLOOKUP(_xlfn.CONCAT(Tableau21[[#This Row],[ID]],"-","Actif"),'DATA BTO'!A:N,7,FALSE))</f>
        <v>#N/A</v>
      </c>
      <c r="AD32" s="50" t="e">
        <f ca="1">IFERROR(VLOOKUP(Tableau21[[#This Row],[Key(ID-Next)]],'DATA BTO'!A:N,8,FALSE),VLOOKUP(_xlfn.CONCAT(Tableau21[[#This Row],[ID]],"-","Actif"),'DATA BTO'!A:N,8,FALSE))</f>
        <v>#N/A</v>
      </c>
      <c r="AE32" s="50" t="e">
        <f ca="1">IFERROR(VLOOKUP(Tableau21[[#This Row],[Key(ID-Next)]],'DATA BTO'!A:N,9,FALSE),VLOOKUP(_xlfn.CONCAT(Tableau21[[#This Row],[ID]],"-","Actif"),'DATA BTO'!A:N,9,FALSE))</f>
        <v>#N/A</v>
      </c>
      <c r="AF32" s="3" t="e">
        <f ca="1">IFERROR(VLOOKUP(Tableau21[[#This Row],[Key(ID-Next)]],'DATA BTO'!A:N,10,FALSE),VLOOKUP(_xlfn.CONCAT(Tableau21[[#This Row],[ID]],"-","Actif"),'DATA BTO'!A:N,10,FALSE))</f>
        <v>#N/A</v>
      </c>
      <c r="AG32" s="3" t="e">
        <f ca="1">IFERROR(VLOOKUP(Tableau21[[#This Row],[Key(ID-Next)]],'DATA BTO'!A:N,11,FALSE),VLOOKUP(_xlfn.CONCAT(Tableau21[[#This Row],[ID]],"-","Actif"),'DATA BTO'!A:N,11,FALSE))</f>
        <v>#N/A</v>
      </c>
      <c r="AH32" s="50" t="e">
        <f ca="1">IFERROR(VLOOKUP(Tableau21[[#This Row],[Key(ID-Next)]],'DATA BTO'!A:N,12,FALSE),VLOOKUP(_xlfn.CONCAT(Tableau21[[#This Row],[ID]],"-","Actif"),'DATA BTO'!A:N,12,FALSE))</f>
        <v>#N/A</v>
      </c>
      <c r="AI32" s="53" t="e">
        <f ca="1">IFERROR(VLOOKUP(Tableau21[[#This Row],[Key(ID-Next)]],'DATA BTO'!A:N,14,FALSE),VLOOKUP(_xlfn.CONCAT(Tableau21[[#This Row],[ID]],"-","Actif"),'DATA BTO'!A:N,14,FALSE))</f>
        <v>#N/A</v>
      </c>
      <c r="AJ32" s="54" t="e">
        <f ca="1">VLOOKUP(Tableau21[[#This Row],[Key(POD -PFI- Usine)]],'DATA Consignee'!A:F,6,FALSE)</f>
        <v>#N/A</v>
      </c>
      <c r="AK32" s="284"/>
      <c r="AL32" s="376" t="str">
        <f>IF(Tableau21[[#This Row],[Name PFI/CDD]]="","-",VLOOKUP(Tableau21[[#This Row],[Name PFI/CDD]],Plant_AILN!I:J,2,FALSE))</f>
        <v>-</v>
      </c>
      <c r="AM3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2" s="2" t="e">
        <f ca="1">VLOOKUP(Tableau21[[#This Row],[Key(POD -PFI- Usine)]],'DATA Consignee'!A:J,10,FALSE)</f>
        <v>#N/A</v>
      </c>
      <c r="AP32" s="50" t="e">
        <f ca="1">VLOOKUP(Tableau21[[#This Row],[Key(POD -PFI- Usine)]],'DATA Consignee'!A:N,14,FALSE)</f>
        <v>#N/A</v>
      </c>
      <c r="AQ3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2" s="50" t="e">
        <f ca="1">Tableau21[[#This Row],[Transit time]]+Tableau21[[#This Row],[Time for security]]+Tableau21[[#This Row],[Time for security2 buffer]]</f>
        <v>#N/A</v>
      </c>
      <c r="AT3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2" s="50" t="e">
        <f ca="1">Tableau21[[#This Row],[Leadtime SI2C]]+Tableau21[[#This Row],[First Receipt Days]]-Tableau21[[#This Row],[Day Customer Order]]+1</f>
        <v>#N/A</v>
      </c>
      <c r="AV32" s="119" t="e">
        <f ca="1">IF(Tableau21[[#This Row],[Name ILN]]&lt;&gt;"SFK Freight Forwarder",Tableau21[[#This Row],[Cust. Leadtime]],Tableau21[[#This Row],[Leadtime SI2C]])</f>
        <v>#N/A</v>
      </c>
      <c r="AW32" s="59"/>
      <c r="AX32" s="338" t="e">
        <f ca="1">IFERROR(VLOOKUP(Tableau21[[#This Row],[Key(ID-Next)]],'DATA BTO'!A:N,3,FALSE),VLOOKUP(Tableau21[[#This Row],[ID]],'DATA BTO'!B:N,2,FALSE))</f>
        <v>#N/A</v>
      </c>
      <c r="AY32" s="50" t="str">
        <f>IF(ISNUMBER(Tableau21[[#This Row],[Day Customer Order]]),"-","Please Check 'Name' information in 'Order' Sheet to make sure they have information")</f>
        <v>-</v>
      </c>
      <c r="AZ3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3" spans="2:55">
      <c r="B33" s="67" t="str">
        <f>_xlfn.CONCAT(Tableau21[[#This Row],[Name ILN]],"-",Tableau21[[#This Row],[Name Shipper]],"-",Tableau21[[#This Row],[Name Site]])</f>
        <v>NSL Shanghai-NSL Shanghai-SOFASA</v>
      </c>
      <c r="C33" s="66" t="e">
        <f ca="1">_xlfn.CONCAT(Tableau21[[#This Row],[Compte ILN]],"-",Tableau21[[#This Row],[Compte Shipper]],"-",Tableau21[[#This Row],[POL]],"-",Tableau21[[#This Row],[Compte Site]])</f>
        <v>#N/A</v>
      </c>
      <c r="D33" s="66" t="e">
        <f ca="1">_xlfn.CONCAT(Tableau21[[#This Row],[Compte ILN]],"-",Tableau21[[#This Row],[Compte Shipper]],"-",Tableau21[[#This Row],[POL]])</f>
        <v>#N/A</v>
      </c>
      <c r="E33" s="130" t="e">
        <f ca="1">_xlfn.CONCAT(Tableau21[[#This Row],[POL]],"-",Tableau21[[#This Row],[Carrier]],"-",Tableau21[[#This Row],[POD]])</f>
        <v>#N/A</v>
      </c>
      <c r="F33" s="66" t="str">
        <f>_xlfn.CONCAT(Tableau21[[#This Row],[ID]],"-","Next")</f>
        <v>-Next</v>
      </c>
      <c r="G33" s="66" t="e">
        <f ca="1">_xlfn.CONCAT(Tableau21[[#This Row],[POD]],"-",Tableau21[[#This Row],[Code PFI]],"-",Tableau21[[#This Row],[Compte Site]])</f>
        <v>#N/A</v>
      </c>
      <c r="H33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3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3" s="119" t="str">
        <f ca="1">IF(COUNTIF(I:I,Tableau21[[#This Row],[Plant-ILN-shipper-POL-Carrier-POD-PFI]])=1,"Non","Oui")</f>
        <v>Oui</v>
      </c>
      <c r="K33" s="128" t="str">
        <f>VLOOKUP(Tableau21[[#This Row],[Name Site]],Plant_AILN!A:D,4,FALSE)</f>
        <v>COLOMBIA</v>
      </c>
      <c r="L33" s="59" t="s">
        <v>177</v>
      </c>
      <c r="M33" s="365">
        <f>VLOOKUP(Tableau21[[#This Row],[Name Site]],Plant_AILN!A:C,3,FALSE)</f>
        <v>9510600</v>
      </c>
      <c r="N33" s="55">
        <f>VLOOKUP(Tableau21[[#This Row],[Compte Site]],Order!C:D,2,FALSE)</f>
        <v>7</v>
      </c>
      <c r="O33" s="126" t="s">
        <v>187</v>
      </c>
      <c r="P33" s="365">
        <f>VLOOKUP(Tableau21[[#This Row],[Name ILN]],Plant_AILN!F:G,2,FALSE)</f>
        <v>27261102</v>
      </c>
      <c r="Q33" s="50">
        <f>VLOOKUP(Tableau21[[#This Row],[Compte ILN]],'DATA ILN'!D:I,6,FALSE)</f>
        <v>16</v>
      </c>
      <c r="R33" s="50" t="e">
        <f ca="1">IFERROR(VLOOKUP(Tableau21[[#This Row],[Key(Compte ILN - shipper - POL - plant)]],'DATA ILN'!A:J,10,FALSE),VLOOKUP(Tableau21[[#This Row],[Key(Compte ILN - shipper - POL)]],'DATA ILN'!B:J,9,FALSE))</f>
        <v>#N/A</v>
      </c>
      <c r="S3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3" s="50" t="e">
        <f ca="1">Tableau21[[#This Row],[Day ILN Order]]+Tableau21[[#This Row],[Delivery time to ILN/Shipper]]-1</f>
        <v>#N/A</v>
      </c>
      <c r="V3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3" s="392" t="s">
        <v>187</v>
      </c>
      <c r="Y33" s="389">
        <f>IFERROR(VLOOKUP(Tableau21[[#This Row],[Name Shipper]],Plant_AILN!L:M,2,FALSE),0)</f>
        <v>27261102</v>
      </c>
      <c r="Z33" s="52"/>
      <c r="AA33" s="396" t="e">
        <f ca="1">IFERROR(VLOOKUP(Tableau21[[#This Row],[Key(ID-Next)]],'DATA BTO'!A:N,5,FALSE),VLOOKUP(_xlfn.CONCAT(Tableau21[[#This Row],[ID]],"-","Actif"),'DATA BTO'!A:N,5,FALSE))</f>
        <v>#N/A</v>
      </c>
      <c r="AB33" s="3" t="e">
        <f ca="1">IFERROR(VLOOKUP(Tableau21[[#This Row],[Key(ID-Next)]],'DATA BTO'!A:N,6,FALSE),VLOOKUP(_xlfn.CONCAT(Tableau21[[#This Row],[ID]],"-","Actif"),'DATA BTO'!A:N,6,FALSE))</f>
        <v>#N/A</v>
      </c>
      <c r="AC33" s="50" t="e">
        <f ca="1">IFERROR(VLOOKUP(Tableau21[[#This Row],[Key(ID-Next)]],'DATA BTO'!A:N,7,FALSE),VLOOKUP(_xlfn.CONCAT(Tableau21[[#This Row],[ID]],"-","Actif"),'DATA BTO'!A:N,7,FALSE))</f>
        <v>#N/A</v>
      </c>
      <c r="AD33" s="50" t="e">
        <f ca="1">IFERROR(VLOOKUP(Tableau21[[#This Row],[Key(ID-Next)]],'DATA BTO'!A:N,8,FALSE),VLOOKUP(_xlfn.CONCAT(Tableau21[[#This Row],[ID]],"-","Actif"),'DATA BTO'!A:N,8,FALSE))</f>
        <v>#N/A</v>
      </c>
      <c r="AE33" s="50" t="e">
        <f ca="1">IFERROR(VLOOKUP(Tableau21[[#This Row],[Key(ID-Next)]],'DATA BTO'!A:N,9,FALSE),VLOOKUP(_xlfn.CONCAT(Tableau21[[#This Row],[ID]],"-","Actif"),'DATA BTO'!A:N,9,FALSE))</f>
        <v>#N/A</v>
      </c>
      <c r="AF33" s="3" t="e">
        <f ca="1">IFERROR(VLOOKUP(Tableau21[[#This Row],[Key(ID-Next)]],'DATA BTO'!A:N,10,FALSE),VLOOKUP(_xlfn.CONCAT(Tableau21[[#This Row],[ID]],"-","Actif"),'DATA BTO'!A:N,10,FALSE))</f>
        <v>#N/A</v>
      </c>
      <c r="AG33" s="3" t="e">
        <f ca="1">IFERROR(VLOOKUP(Tableau21[[#This Row],[Key(ID-Next)]],'DATA BTO'!A:N,11,FALSE),VLOOKUP(_xlfn.CONCAT(Tableau21[[#This Row],[ID]],"-","Actif"),'DATA BTO'!A:N,11,FALSE))</f>
        <v>#N/A</v>
      </c>
      <c r="AH33" s="50" t="e">
        <f ca="1">IFERROR(VLOOKUP(Tableau21[[#This Row],[Key(ID-Next)]],'DATA BTO'!A:N,12,FALSE),VLOOKUP(_xlfn.CONCAT(Tableau21[[#This Row],[ID]],"-","Actif"),'DATA BTO'!A:N,12,FALSE))</f>
        <v>#N/A</v>
      </c>
      <c r="AI33" s="53" t="e">
        <f ca="1">IFERROR(VLOOKUP(Tableau21[[#This Row],[Key(ID-Next)]],'DATA BTO'!A:N,14,FALSE),VLOOKUP(_xlfn.CONCAT(Tableau21[[#This Row],[ID]],"-","Actif"),'DATA BTO'!A:N,14,FALSE))</f>
        <v>#N/A</v>
      </c>
      <c r="AJ33" s="54" t="e">
        <f ca="1">VLOOKUP(Tableau21[[#This Row],[Key(POD -PFI- Usine)]],'DATA Consignee'!A:F,6,FALSE)</f>
        <v>#N/A</v>
      </c>
      <c r="AK33" s="284"/>
      <c r="AL33" s="376" t="str">
        <f>IF(Tableau21[[#This Row],[Name PFI/CDD]]="","-",VLOOKUP(Tableau21[[#This Row],[Name PFI/CDD]],Plant_AILN!I:J,2,FALSE))</f>
        <v>-</v>
      </c>
      <c r="AM33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3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3" s="2" t="e">
        <f ca="1">VLOOKUP(Tableau21[[#This Row],[Key(POD -PFI- Usine)]],'DATA Consignee'!A:J,10,FALSE)</f>
        <v>#N/A</v>
      </c>
      <c r="AP33" s="50" t="e">
        <f ca="1">VLOOKUP(Tableau21[[#This Row],[Key(POD -PFI- Usine)]],'DATA Consignee'!A:N,14,FALSE)</f>
        <v>#N/A</v>
      </c>
      <c r="AQ3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3" s="50" t="e">
        <f ca="1">Tableau21[[#This Row],[Transit time]]+Tableau21[[#This Row],[Time for security]]+Tableau21[[#This Row],[Time for security2 buffer]]</f>
        <v>#N/A</v>
      </c>
      <c r="AT3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3" s="50" t="e">
        <f ca="1">Tableau21[[#This Row],[Leadtime SI2C]]+Tableau21[[#This Row],[First Receipt Days]]-Tableau21[[#This Row],[Day Customer Order]]+1</f>
        <v>#N/A</v>
      </c>
      <c r="AV33" s="119" t="e">
        <f ca="1">IF(Tableau21[[#This Row],[Name ILN]]&lt;&gt;"SFK Freight Forwarder",Tableau21[[#This Row],[Cust. Leadtime]],Tableau21[[#This Row],[Leadtime SI2C]])</f>
        <v>#N/A</v>
      </c>
      <c r="AW33" t="s">
        <v>213</v>
      </c>
      <c r="AX33" s="338" t="e">
        <f ca="1">IFERROR(VLOOKUP(Tableau21[[#This Row],[Key(ID-Next)]],'DATA BTO'!A:N,3,FALSE),VLOOKUP(Tableau21[[#This Row],[ID]],'DATA BTO'!B:N,2,FALSE))</f>
        <v>#N/A</v>
      </c>
      <c r="AY33" s="50" t="str">
        <f>IF(ISNUMBER(Tableau21[[#This Row],[Day Customer Order]]),"-","Please Check 'Name' information in 'Order' Sheet to make sure they have information")</f>
        <v>-</v>
      </c>
      <c r="AZ3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4" spans="2:55">
      <c r="B34" s="67" t="str">
        <f>_xlfn.CONCAT(Tableau21[[#This Row],[Name ILN]],"-",Tableau21[[#This Row],[Name Shipper]],"-",Tableau21[[#This Row],[Name Site]])</f>
        <v>NSL Shanghai-NSL Shanghai-CORDOBA</v>
      </c>
      <c r="C34" s="66" t="e">
        <f ca="1">_xlfn.CONCAT(Tableau21[[#This Row],[Compte ILN]],"-",Tableau21[[#This Row],[Compte Shipper]],"-",Tableau21[[#This Row],[POL]],"-",Tableau21[[#This Row],[Compte Site]])</f>
        <v>#N/A</v>
      </c>
      <c r="D34" s="66" t="e">
        <f ca="1">_xlfn.CONCAT(Tableau21[[#This Row],[Compte ILN]],"-",Tableau21[[#This Row],[Compte Shipper]],"-",Tableau21[[#This Row],[POL]])</f>
        <v>#N/A</v>
      </c>
      <c r="E34" s="130" t="e">
        <f ca="1">_xlfn.CONCAT(Tableau21[[#This Row],[POL]],"-",Tableau21[[#This Row],[Carrier]],"-",Tableau21[[#This Row],[POD]])</f>
        <v>#N/A</v>
      </c>
      <c r="F34" s="66" t="str">
        <f>_xlfn.CONCAT(Tableau21[[#This Row],[ID]],"-","Next")</f>
        <v>-Next</v>
      </c>
      <c r="G34" s="66" t="e">
        <f ca="1">_xlfn.CONCAT(Tableau21[[#This Row],[POD]],"-",Tableau21[[#This Row],[Code PFI]],"-",Tableau21[[#This Row],[Compte Site]])</f>
        <v>#N/A</v>
      </c>
      <c r="H34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4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4" s="119" t="str">
        <f ca="1">IF(COUNTIF(I:I,Tableau21[[#This Row],[Plant-ILN-shipper-POL-Carrier-POD-PFI]])=1,"Non","Oui")</f>
        <v>Oui</v>
      </c>
      <c r="K34" s="128" t="str">
        <f>VLOOKUP(Tableau21[[#This Row],[Name Site]],Plant_AILN!A:D,4,FALSE)</f>
        <v>ARGENTINA</v>
      </c>
      <c r="L34" s="59" t="s">
        <v>158</v>
      </c>
      <c r="M34" s="365">
        <f>VLOOKUP(Tableau21[[#This Row],[Name Site]],Plant_AILN!A:C,3,FALSE)</f>
        <v>90016000</v>
      </c>
      <c r="N34" s="55">
        <f>VLOOKUP(Tableau21[[#This Row],[Compte Site]],Order!C:D,2,FALSE)</f>
        <v>7</v>
      </c>
      <c r="O34" s="126" t="s">
        <v>187</v>
      </c>
      <c r="P34" s="365">
        <f>VLOOKUP(Tableau21[[#This Row],[Name ILN]],Plant_AILN!F:G,2,FALSE)</f>
        <v>27261102</v>
      </c>
      <c r="Q34" s="50">
        <f>VLOOKUP(Tableau21[[#This Row],[Compte ILN]],'DATA ILN'!D:I,6,FALSE)</f>
        <v>16</v>
      </c>
      <c r="R34" s="50" t="e">
        <f ca="1">IFERROR(VLOOKUP(Tableau21[[#This Row],[Key(Compte ILN - shipper - POL - plant)]],'DATA ILN'!A:J,10,FALSE),VLOOKUP(Tableau21[[#This Row],[Key(Compte ILN - shipper - POL)]],'DATA ILN'!B:J,9,FALSE))</f>
        <v>#N/A</v>
      </c>
      <c r="S3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4" s="50" t="e">
        <f ca="1">Tableau21[[#This Row],[Day ILN Order]]+Tableau21[[#This Row],[Delivery time to ILN/Shipper]]-1</f>
        <v>#N/A</v>
      </c>
      <c r="V3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4" s="392" t="s">
        <v>187</v>
      </c>
      <c r="Y34" s="389">
        <f>IFERROR(VLOOKUP(Tableau21[[#This Row],[Name Shipper]],Plant_AILN!L:M,2,FALSE),0)</f>
        <v>27261102</v>
      </c>
      <c r="Z34" s="52"/>
      <c r="AA34" s="396" t="e">
        <f ca="1">IFERROR(VLOOKUP(Tableau21[[#This Row],[Key(ID-Next)]],'DATA BTO'!A:N,5,FALSE),VLOOKUP(_xlfn.CONCAT(Tableau21[[#This Row],[ID]],"-","Actif"),'DATA BTO'!A:N,5,FALSE))</f>
        <v>#N/A</v>
      </c>
      <c r="AB34" s="3" t="e">
        <f ca="1">IFERROR(VLOOKUP(Tableau21[[#This Row],[Key(ID-Next)]],'DATA BTO'!A:N,6,FALSE),VLOOKUP(_xlfn.CONCAT(Tableau21[[#This Row],[ID]],"-","Actif"),'DATA BTO'!A:N,6,FALSE))</f>
        <v>#N/A</v>
      </c>
      <c r="AC34" s="50" t="e">
        <f ca="1">IFERROR(VLOOKUP(Tableau21[[#This Row],[Key(ID-Next)]],'DATA BTO'!A:N,7,FALSE),VLOOKUP(_xlfn.CONCAT(Tableau21[[#This Row],[ID]],"-","Actif"),'DATA BTO'!A:N,7,FALSE))</f>
        <v>#N/A</v>
      </c>
      <c r="AD34" s="50" t="e">
        <f ca="1">IFERROR(VLOOKUP(Tableau21[[#This Row],[Key(ID-Next)]],'DATA BTO'!A:N,8,FALSE),VLOOKUP(_xlfn.CONCAT(Tableau21[[#This Row],[ID]],"-","Actif"),'DATA BTO'!A:N,8,FALSE))</f>
        <v>#N/A</v>
      </c>
      <c r="AE34" s="50" t="e">
        <f ca="1">IFERROR(VLOOKUP(Tableau21[[#This Row],[Key(ID-Next)]],'DATA BTO'!A:N,9,FALSE),VLOOKUP(_xlfn.CONCAT(Tableau21[[#This Row],[ID]],"-","Actif"),'DATA BTO'!A:N,9,FALSE))</f>
        <v>#N/A</v>
      </c>
      <c r="AF34" s="3" t="e">
        <f ca="1">IFERROR(VLOOKUP(Tableau21[[#This Row],[Key(ID-Next)]],'DATA BTO'!A:N,10,FALSE),VLOOKUP(_xlfn.CONCAT(Tableau21[[#This Row],[ID]],"-","Actif"),'DATA BTO'!A:N,10,FALSE))</f>
        <v>#N/A</v>
      </c>
      <c r="AG34" s="3" t="e">
        <f ca="1">IFERROR(VLOOKUP(Tableau21[[#This Row],[Key(ID-Next)]],'DATA BTO'!A:N,11,FALSE),VLOOKUP(_xlfn.CONCAT(Tableau21[[#This Row],[ID]],"-","Actif"),'DATA BTO'!A:N,11,FALSE))</f>
        <v>#N/A</v>
      </c>
      <c r="AH34" s="50" t="e">
        <f ca="1">IFERROR(VLOOKUP(Tableau21[[#This Row],[Key(ID-Next)]],'DATA BTO'!A:N,12,FALSE),VLOOKUP(_xlfn.CONCAT(Tableau21[[#This Row],[ID]],"-","Actif"),'DATA BTO'!A:N,12,FALSE))</f>
        <v>#N/A</v>
      </c>
      <c r="AI34" s="53" t="e">
        <f ca="1">IFERROR(VLOOKUP(Tableau21[[#This Row],[Key(ID-Next)]],'DATA BTO'!A:N,14,FALSE),VLOOKUP(_xlfn.CONCAT(Tableau21[[#This Row],[ID]],"-","Actif"),'DATA BTO'!A:N,14,FALSE))</f>
        <v>#N/A</v>
      </c>
      <c r="AJ34" s="54" t="e">
        <f ca="1">VLOOKUP(Tableau21[[#This Row],[Key(POD -PFI- Usine)]],'DATA Consignee'!A:F,6,FALSE)</f>
        <v>#N/A</v>
      </c>
      <c r="AK34" s="284"/>
      <c r="AL34" s="376" t="str">
        <f>IF(Tableau21[[#This Row],[Name PFI/CDD]]="","-",VLOOKUP(Tableau21[[#This Row],[Name PFI/CDD]],Plant_AILN!I:J,2,FALSE))</f>
        <v>-</v>
      </c>
      <c r="AM34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4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4" s="2" t="e">
        <f ca="1">VLOOKUP(Tableau21[[#This Row],[Key(POD -PFI- Usine)]],'DATA Consignee'!A:J,10,FALSE)</f>
        <v>#N/A</v>
      </c>
      <c r="AP34" s="50" t="e">
        <f ca="1">VLOOKUP(Tableau21[[#This Row],[Key(POD -PFI- Usine)]],'DATA Consignee'!A:N,14,FALSE)</f>
        <v>#N/A</v>
      </c>
      <c r="AQ3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4" s="50" t="e">
        <f ca="1">Tableau21[[#This Row],[Transit time]]+Tableau21[[#This Row],[Time for security]]+Tableau21[[#This Row],[Time for security2 buffer]]</f>
        <v>#N/A</v>
      </c>
      <c r="AT3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4" s="50" t="e">
        <f ca="1">Tableau21[[#This Row],[Leadtime SI2C]]+Tableau21[[#This Row],[First Receipt Days]]-Tableau21[[#This Row],[Day Customer Order]]+1</f>
        <v>#N/A</v>
      </c>
      <c r="AV34" s="119" t="e">
        <f ca="1">IF(Tableau21[[#This Row],[Name ILN]]&lt;&gt;"SFK Freight Forwarder",Tableau21[[#This Row],[Cust. Leadtime]],Tableau21[[#This Row],[Leadtime SI2C]])</f>
        <v>#N/A</v>
      </c>
      <c r="AW34" t="s">
        <v>213</v>
      </c>
      <c r="AX34" s="338" t="e">
        <f ca="1">IFERROR(VLOOKUP(Tableau21[[#This Row],[Key(ID-Next)]],'DATA BTO'!A:N,3,FALSE),VLOOKUP(Tableau21[[#This Row],[ID]],'DATA BTO'!B:N,2,FALSE))</f>
        <v>#N/A</v>
      </c>
      <c r="AY34" s="50" t="str">
        <f>IF(ISNUMBER(Tableau21[[#This Row],[Day Customer Order]]),"-","Please Check 'Name' information in 'Order' Sheet to make sure they have information")</f>
        <v>-</v>
      </c>
      <c r="AZ3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5" spans="2:55">
      <c r="B35" s="67" t="str">
        <f>_xlfn.CONCAT(Tableau21[[#This Row],[Name ILN]],"-",Tableau21[[#This Row],[Name Shipper]],"-",Tableau21[[#This Row],[Name Site]])</f>
        <v>NSL Shanghai-NSL Shanghai-FLINS</v>
      </c>
      <c r="C35" s="66" t="e">
        <f ca="1">_xlfn.CONCAT(Tableau21[[#This Row],[Compte ILN]],"-",Tableau21[[#This Row],[Compte Shipper]],"-",Tableau21[[#This Row],[POL]],"-",Tableau21[[#This Row],[Compte Site]])</f>
        <v>#N/A</v>
      </c>
      <c r="D35" s="66" t="e">
        <f ca="1">_xlfn.CONCAT(Tableau21[[#This Row],[Compte ILN]],"-",Tableau21[[#This Row],[Compte Shipper]],"-",Tableau21[[#This Row],[POL]])</f>
        <v>#N/A</v>
      </c>
      <c r="E35" s="130" t="e">
        <f ca="1">_xlfn.CONCAT(Tableau21[[#This Row],[POL]],"-",Tableau21[[#This Row],[Carrier]],"-",Tableau21[[#This Row],[POD]])</f>
        <v>#N/A</v>
      </c>
      <c r="F35" s="66" t="str">
        <f>_xlfn.CONCAT(Tableau21[[#This Row],[ID]],"-","Next")</f>
        <v>AE11-Next</v>
      </c>
      <c r="G35" s="66" t="e">
        <f ca="1">_xlfn.CONCAT(Tableau21[[#This Row],[POD]],"-",Tableau21[[#This Row],[Code PFI]],"-",Tableau21[[#This Row],[Compte Site]])</f>
        <v>#N/A</v>
      </c>
      <c r="H35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5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5" s="119" t="str">
        <f ca="1">IF(COUNTIF(I:I,Tableau21[[#This Row],[Plant-ILN-shipper-POL-Carrier-POD-PFI]])=1,"Non","Oui")</f>
        <v>Oui</v>
      </c>
      <c r="K35" s="128" t="str">
        <f>VLOOKUP(Tableau21[[#This Row],[Name Site]],Plant_AILN!A:D,4,FALSE)</f>
        <v>FRANCE</v>
      </c>
      <c r="L35" s="59" t="s">
        <v>209</v>
      </c>
      <c r="M35" s="365">
        <f>VLOOKUP(Tableau21[[#This Row],[Name Site]],Plant_AILN!A:C,3,FALSE)</f>
        <v>90015100</v>
      </c>
      <c r="N35" s="55">
        <f>VLOOKUP(Tableau21[[#This Row],[Compte Site]],Order!C:D,2,FALSE)</f>
        <v>7</v>
      </c>
      <c r="O35" s="126" t="s">
        <v>187</v>
      </c>
      <c r="P35" s="365">
        <f>VLOOKUP(Tableau21[[#This Row],[Name ILN]],Plant_AILN!F:G,2,FALSE)</f>
        <v>27261102</v>
      </c>
      <c r="Q35" s="50">
        <f>VLOOKUP(Tableau21[[#This Row],[Compte ILN]],'DATA ILN'!D:I,6,FALSE)</f>
        <v>16</v>
      </c>
      <c r="R35" s="50" t="e">
        <f ca="1">IFERROR(VLOOKUP(Tableau21[[#This Row],[Key(Compte ILN - shipper - POL - plant)]],'DATA ILN'!A:J,10,FALSE),VLOOKUP(Tableau21[[#This Row],[Key(Compte ILN - shipper - POL)]],'DATA ILN'!B:J,9,FALSE))</f>
        <v>#N/A</v>
      </c>
      <c r="S3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5" s="50" t="e">
        <f ca="1">Tableau21[[#This Row],[Day ILN Order]]+Tableau21[[#This Row],[Delivery time to ILN/Shipper]]-1</f>
        <v>#N/A</v>
      </c>
      <c r="V3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5" s="392" t="s">
        <v>187</v>
      </c>
      <c r="Y35" s="389">
        <f>IFERROR(VLOOKUP(Tableau21[[#This Row],[Name Shipper]],Plant_AILN!L:M,2,FALSE),0)</f>
        <v>27261102</v>
      </c>
      <c r="Z35" s="52" t="s">
        <v>193</v>
      </c>
      <c r="AA35" s="396" t="e">
        <f ca="1">IFERROR(VLOOKUP(Tableau21[[#This Row],[Key(ID-Next)]],'DATA BTO'!A:N,5,FALSE),VLOOKUP(_xlfn.CONCAT(Tableau21[[#This Row],[ID]],"-","Actif"),'DATA BTO'!A:N,5,FALSE))</f>
        <v>#N/A</v>
      </c>
      <c r="AB35" s="3" t="e">
        <f ca="1">IFERROR(VLOOKUP(Tableau21[[#This Row],[Key(ID-Next)]],'DATA BTO'!A:N,6,FALSE),VLOOKUP(_xlfn.CONCAT(Tableau21[[#This Row],[ID]],"-","Actif"),'DATA BTO'!A:N,6,FALSE))</f>
        <v>#N/A</v>
      </c>
      <c r="AC35" s="50" t="e">
        <f ca="1">IFERROR(VLOOKUP(Tableau21[[#This Row],[Key(ID-Next)]],'DATA BTO'!A:N,7,FALSE),VLOOKUP(_xlfn.CONCAT(Tableau21[[#This Row],[ID]],"-","Actif"),'DATA BTO'!A:N,7,FALSE))</f>
        <v>#N/A</v>
      </c>
      <c r="AD35" s="50" t="e">
        <f ca="1">IFERROR(VLOOKUP(Tableau21[[#This Row],[Key(ID-Next)]],'DATA BTO'!A:N,8,FALSE),VLOOKUP(_xlfn.CONCAT(Tableau21[[#This Row],[ID]],"-","Actif"),'DATA BTO'!A:N,8,FALSE))</f>
        <v>#N/A</v>
      </c>
      <c r="AE35" s="50" t="e">
        <f ca="1">IFERROR(VLOOKUP(Tableau21[[#This Row],[Key(ID-Next)]],'DATA BTO'!A:N,9,FALSE),VLOOKUP(_xlfn.CONCAT(Tableau21[[#This Row],[ID]],"-","Actif"),'DATA BTO'!A:N,9,FALSE))</f>
        <v>#N/A</v>
      </c>
      <c r="AF35" s="3" t="e">
        <f ca="1">IFERROR(VLOOKUP(Tableau21[[#This Row],[Key(ID-Next)]],'DATA BTO'!A:N,10,FALSE),VLOOKUP(_xlfn.CONCAT(Tableau21[[#This Row],[ID]],"-","Actif"),'DATA BTO'!A:N,10,FALSE))</f>
        <v>#N/A</v>
      </c>
      <c r="AG35" s="3" t="e">
        <f ca="1">IFERROR(VLOOKUP(Tableau21[[#This Row],[Key(ID-Next)]],'DATA BTO'!A:N,11,FALSE),VLOOKUP(_xlfn.CONCAT(Tableau21[[#This Row],[ID]],"-","Actif"),'DATA BTO'!A:N,11,FALSE))</f>
        <v>#N/A</v>
      </c>
      <c r="AH35" s="50" t="e">
        <f ca="1">IFERROR(VLOOKUP(Tableau21[[#This Row],[Key(ID-Next)]],'DATA BTO'!A:N,12,FALSE),VLOOKUP(_xlfn.CONCAT(Tableau21[[#This Row],[ID]],"-","Actif"),'DATA BTO'!A:N,12,FALSE))</f>
        <v>#N/A</v>
      </c>
      <c r="AI35" s="53" t="e">
        <f ca="1">IFERROR(VLOOKUP(Tableau21[[#This Row],[Key(ID-Next)]],'DATA BTO'!A:N,14,FALSE),VLOOKUP(_xlfn.CONCAT(Tableau21[[#This Row],[ID]],"-","Actif"),'DATA BTO'!A:N,14,FALSE))</f>
        <v>#N/A</v>
      </c>
      <c r="AJ35" s="54" t="e">
        <f ca="1">VLOOKUP(Tableau21[[#This Row],[Key(POD -PFI- Usine)]],'DATA Consignee'!A:F,6,FALSE)</f>
        <v>#N/A</v>
      </c>
      <c r="AK35" s="284" t="s">
        <v>171</v>
      </c>
      <c r="AL35" s="376">
        <f>IF(Tableau21[[#This Row],[Name PFI/CDD]]="","-",VLOOKUP(Tableau21[[#This Row],[Name PFI/CDD]],Plant_AILN!I:J,2,FALSE))</f>
        <v>91018400</v>
      </c>
      <c r="AM35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35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35" s="2" t="e">
        <f ca="1">VLOOKUP(Tableau21[[#This Row],[Key(POD -PFI- Usine)]],'DATA Consignee'!A:J,10,FALSE)</f>
        <v>#N/A</v>
      </c>
      <c r="AP35" s="50" t="e">
        <f ca="1">VLOOKUP(Tableau21[[#This Row],[Key(POD -PFI- Usine)]],'DATA Consignee'!A:N,14,FALSE)</f>
        <v>#N/A</v>
      </c>
      <c r="AQ3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5" s="50" t="e">
        <f ca="1">Tableau21[[#This Row],[Transit time]]+Tableau21[[#This Row],[Time for security]]+Tableau21[[#This Row],[Time for security2 buffer]]</f>
        <v>#N/A</v>
      </c>
      <c r="AT3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5" s="50" t="e">
        <f ca="1">Tableau21[[#This Row],[Leadtime SI2C]]+Tableau21[[#This Row],[First Receipt Days]]-Tableau21[[#This Row],[Day Customer Order]]+1</f>
        <v>#N/A</v>
      </c>
      <c r="AV35" s="119" t="e">
        <f ca="1">IF(Tableau21[[#This Row],[Name ILN]]&lt;&gt;"SFK Freight Forwarder",Tableau21[[#This Row],[Cust. Leadtime]],Tableau21[[#This Row],[Leadtime SI2C]])</f>
        <v>#N/A</v>
      </c>
      <c r="AW35" s="59"/>
      <c r="AX35" s="338" t="e">
        <f ca="1">IFERROR(VLOOKUP(Tableau21[[#This Row],[Key(ID-Next)]],'DATA BTO'!A:N,3,FALSE),VLOOKUP(Tableau21[[#This Row],[ID]],'DATA BTO'!B:N,2,FALSE))</f>
        <v>#N/A</v>
      </c>
      <c r="AY35" s="50" t="str">
        <f>IF(ISNUMBER(Tableau21[[#This Row],[Day Customer Order]]),"-","Please Check 'Name' information in 'Order' Sheet to make sure they have information")</f>
        <v>-</v>
      </c>
      <c r="AZ3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6" spans="2:55" ht="15.75" thickBot="1">
      <c r="B36" s="67" t="str">
        <f>_xlfn.CONCAT(Tableau21[[#This Row],[Name ILN]],"-",Tableau21[[#This Row],[Name Shipper]],"-",Tableau21[[#This Row],[Name Site]])</f>
        <v>NSL Shanghai-NSL Shanghai-RKM</v>
      </c>
      <c r="C36" s="66" t="e">
        <f ca="1">_xlfn.CONCAT(Tableau21[[#This Row],[Compte ILN]],"-",Tableau21[[#This Row],[Compte Shipper]],"-",Tableau21[[#This Row],[POL]],"-",Tableau21[[#This Row],[Compte Site]])</f>
        <v>#N/A</v>
      </c>
      <c r="D36" s="66" t="e">
        <f ca="1">_xlfn.CONCAT(Tableau21[[#This Row],[Compte ILN]],"-",Tableau21[[#This Row],[Compte Shipper]],"-",Tableau21[[#This Row],[POL]])</f>
        <v>#N/A</v>
      </c>
      <c r="E36" s="130" t="e">
        <f ca="1">_xlfn.CONCAT(Tableau21[[#This Row],[POL]],"-",Tableau21[[#This Row],[Carrier]],"-",Tableau21[[#This Row],[POD]])</f>
        <v>#N/A</v>
      </c>
      <c r="F36" s="66" t="str">
        <f>_xlfn.CONCAT(Tableau21[[#This Row],[ID]],"-","Next")</f>
        <v>AK6-Next</v>
      </c>
      <c r="G36" s="66" t="e">
        <f ca="1">_xlfn.CONCAT(Tableau21[[#This Row],[POD]],"-",Tableau21[[#This Row],[Code PFI]],"-",Tableau21[[#This Row],[Compte Site]])</f>
        <v>#N/A</v>
      </c>
      <c r="H36" s="131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6" s="84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6" s="119" t="str">
        <f ca="1">IF(COUNTIF(I:I,Tableau21[[#This Row],[Plant-ILN-shipper-POL-Carrier-POD-PFI]])=1,"Non","Oui")</f>
        <v>Oui</v>
      </c>
      <c r="K36" s="128" t="str">
        <f>VLOOKUP(Tableau21[[#This Row],[Name Site]],Plant_AILN!A:D,4,FALSE)</f>
        <v>KOREA</v>
      </c>
      <c r="L36" s="76" t="s">
        <v>145</v>
      </c>
      <c r="M36" s="365">
        <f>VLOOKUP(Tableau21[[#This Row],[Name Site]],Plant_AILN!A:C,3,FALSE)</f>
        <v>92002200</v>
      </c>
      <c r="N36" s="55">
        <f>VLOOKUP(Tableau21[[#This Row],[Compte Site]],Order!C:D,2,FALSE)</f>
        <v>2</v>
      </c>
      <c r="O36" s="126" t="s">
        <v>187</v>
      </c>
      <c r="P36" s="365">
        <f>VLOOKUP(Tableau21[[#This Row],[Name ILN]],Plant_AILN!F:G,2,FALSE)</f>
        <v>27261102</v>
      </c>
      <c r="Q36" s="50">
        <f>VLOOKUP(Tableau21[[#This Row],[Compte ILN]],'DATA ILN'!D:I,6,FALSE)</f>
        <v>16</v>
      </c>
      <c r="R36" s="50" t="e">
        <f ca="1">IFERROR(VLOOKUP(Tableau21[[#This Row],[Key(Compte ILN - shipper - POL - plant)]],'DATA ILN'!A:J,10,FALSE),VLOOKUP(Tableau21[[#This Row],[Key(Compte ILN - shipper - POL)]],'DATA ILN'!B:J,9,FALSE))</f>
        <v>#N/A</v>
      </c>
      <c r="S3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6" s="50" t="e">
        <f ca="1">Tableau21[[#This Row],[Day ILN Order]]+Tableau21[[#This Row],[Delivery time to ILN/Shipper]]-1</f>
        <v>#N/A</v>
      </c>
      <c r="V3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6" s="395" t="s">
        <v>187</v>
      </c>
      <c r="Y36" s="389">
        <f>IFERROR(VLOOKUP(Tableau21[[#This Row],[Name Shipper]],Plant_AILN!L:M,2,FALSE),0)</f>
        <v>27261102</v>
      </c>
      <c r="Z36" s="52" t="s">
        <v>203</v>
      </c>
      <c r="AA36" s="396" t="e">
        <f ca="1">IFERROR(VLOOKUP(Tableau21[[#This Row],[Key(ID-Next)]],'DATA BTO'!A:N,5,FALSE),VLOOKUP(_xlfn.CONCAT(Tableau21[[#This Row],[ID]],"-","Actif"),'DATA BTO'!A:N,5,FALSE))</f>
        <v>#N/A</v>
      </c>
      <c r="AB36" s="3" t="e">
        <f ca="1">IFERROR(VLOOKUP(Tableau21[[#This Row],[Key(ID-Next)]],'DATA BTO'!A:N,6,FALSE),VLOOKUP(_xlfn.CONCAT(Tableau21[[#This Row],[ID]],"-","Actif"),'DATA BTO'!A:N,6,FALSE))</f>
        <v>#N/A</v>
      </c>
      <c r="AC36" s="50" t="e">
        <f ca="1">IFERROR(VLOOKUP(Tableau21[[#This Row],[Key(ID-Next)]],'DATA BTO'!A:N,7,FALSE),VLOOKUP(_xlfn.CONCAT(Tableau21[[#This Row],[ID]],"-","Actif"),'DATA BTO'!A:N,7,FALSE))</f>
        <v>#N/A</v>
      </c>
      <c r="AD36" s="50" t="e">
        <f ca="1">IFERROR(VLOOKUP(Tableau21[[#This Row],[Key(ID-Next)]],'DATA BTO'!A:N,8,FALSE),VLOOKUP(_xlfn.CONCAT(Tableau21[[#This Row],[ID]],"-","Actif"),'DATA BTO'!A:N,8,FALSE))</f>
        <v>#N/A</v>
      </c>
      <c r="AE36" s="50" t="e">
        <f ca="1">IFERROR(VLOOKUP(Tableau21[[#This Row],[Key(ID-Next)]],'DATA BTO'!A:N,9,FALSE),VLOOKUP(_xlfn.CONCAT(Tableau21[[#This Row],[ID]],"-","Actif"),'DATA BTO'!A:N,9,FALSE))</f>
        <v>#N/A</v>
      </c>
      <c r="AF36" s="3" t="e">
        <f ca="1">IFERROR(VLOOKUP(Tableau21[[#This Row],[Key(ID-Next)]],'DATA BTO'!A:N,10,FALSE),VLOOKUP(_xlfn.CONCAT(Tableau21[[#This Row],[ID]],"-","Actif"),'DATA BTO'!A:N,10,FALSE))</f>
        <v>#N/A</v>
      </c>
      <c r="AG36" s="3" t="e">
        <f ca="1">IFERROR(VLOOKUP(Tableau21[[#This Row],[Key(ID-Next)]],'DATA BTO'!A:N,11,FALSE),VLOOKUP(_xlfn.CONCAT(Tableau21[[#This Row],[ID]],"-","Actif"),'DATA BTO'!A:N,11,FALSE))</f>
        <v>#N/A</v>
      </c>
      <c r="AH36" s="50" t="e">
        <f ca="1">IFERROR(VLOOKUP(Tableau21[[#This Row],[Key(ID-Next)]],'DATA BTO'!A:N,12,FALSE),VLOOKUP(_xlfn.CONCAT(Tableau21[[#This Row],[ID]],"-","Actif"),'DATA BTO'!A:N,12,FALSE))</f>
        <v>#N/A</v>
      </c>
      <c r="AI36" s="53" t="e">
        <f ca="1">IFERROR(VLOOKUP(Tableau21[[#This Row],[Key(ID-Next)]],'DATA BTO'!A:N,14,FALSE),VLOOKUP(_xlfn.CONCAT(Tableau21[[#This Row],[ID]],"-","Actif"),'DATA BTO'!A:N,14,FALSE))</f>
        <v>#N/A</v>
      </c>
      <c r="AJ36" s="54" t="e">
        <f ca="1">VLOOKUP(Tableau21[[#This Row],[Key(POD -PFI- Usine)]],'DATA Consignee'!A:F,6,FALSE)</f>
        <v>#N/A</v>
      </c>
      <c r="AK36" s="284"/>
      <c r="AL36" s="376" t="str">
        <f>IF(Tableau21[[#This Row],[Name PFI/CDD]]="","-",VLOOKUP(Tableau21[[#This Row],[Name PFI/CDD]],Plant_AILN!I:J,2,FALSE))</f>
        <v>-</v>
      </c>
      <c r="AM36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6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6" s="2" t="e">
        <f ca="1">VLOOKUP(Tableau21[[#This Row],[Key(POD -PFI- Usine)]],'DATA Consignee'!A:J,10,FALSE)</f>
        <v>#N/A</v>
      </c>
      <c r="AP36" s="50" t="e">
        <f ca="1">VLOOKUP(Tableau21[[#This Row],[Key(POD -PFI- Usine)]],'DATA Consignee'!A:N,14,FALSE)</f>
        <v>#N/A</v>
      </c>
      <c r="AQ3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6" s="50" t="e">
        <f ca="1">Tableau21[[#This Row],[Transit time]]+Tableau21[[#This Row],[Time for security]]+Tableau21[[#This Row],[Time for security2 buffer]]</f>
        <v>#N/A</v>
      </c>
      <c r="AT3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6" s="50" t="e">
        <f ca="1">Tableau21[[#This Row],[Leadtime SI2C]]+Tableau21[[#This Row],[First Receipt Days]]-Tableau21[[#This Row],[Day Customer Order]]+1</f>
        <v>#N/A</v>
      </c>
      <c r="AV36" s="119" t="e">
        <f ca="1">IF(Tableau21[[#This Row],[Name ILN]]&lt;&gt;"SFK Freight Forwarder",Tableau21[[#This Row],[Cust. Leadtime]],Tableau21[[#This Row],[Leadtime SI2C]])</f>
        <v>#N/A</v>
      </c>
      <c r="AW36" s="59"/>
      <c r="AX36" s="338" t="e">
        <f ca="1">IFERROR(VLOOKUP(Tableau21[[#This Row],[Key(ID-Next)]],'DATA BTO'!A:N,3,FALSE),VLOOKUP(Tableau21[[#This Row],[ID]],'DATA BTO'!B:N,2,FALSE))</f>
        <v>#N/A</v>
      </c>
      <c r="AY36" s="50" t="str">
        <f>IF(ISNUMBER(Tableau21[[#This Row],[Day Customer Order]]),"-","Please Check 'Name' information in 'Order' Sheet to make sure they have information")</f>
        <v>-</v>
      </c>
      <c r="AZ3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7" spans="2:55">
      <c r="B37" s="418" t="str">
        <f>_xlfn.CONCAT(Tableau21[[#This Row],[Name ILN]],"-",Tableau21[[#This Row],[Name Shipper]],"-",Tableau21[[#This Row],[Name Site]])</f>
        <v>SFK Freight Forwarder-Magna Shanghai-CORDOBA</v>
      </c>
      <c r="C37" s="82" t="e">
        <f ca="1">_xlfn.CONCAT(Tableau21[[#This Row],[Compte ILN]],"-",Tableau21[[#This Row],[Compte Shipper]],"-",Tableau21[[#This Row],[POL]],"-",Tableau21[[#This Row],[Compte Site]])</f>
        <v>#N/A</v>
      </c>
      <c r="D37" s="82" t="e">
        <f ca="1">_xlfn.CONCAT(Tableau21[[#This Row],[Compte ILN]],"-",Tableau21[[#This Row],[Compte Shipper]],"-",Tableau21[[#This Row],[POL]])</f>
        <v>#N/A</v>
      </c>
      <c r="E37" s="83" t="e">
        <f ca="1">_xlfn.CONCAT(Tableau21[[#This Row],[POL]],"-",Tableau21[[#This Row],[Carrier]],"-",Tableau21[[#This Row],[POD]])</f>
        <v>#N/A</v>
      </c>
      <c r="F37" s="82" t="str">
        <f>_xlfn.CONCAT(Tableau21[[#This Row],[ID]],"-","Next")</f>
        <v>308-Next</v>
      </c>
      <c r="G37" s="82" t="e">
        <f ca="1">_xlfn.CONCAT(Tableau21[[#This Row],[POD]],"-",Tableau21[[#This Row],[Code PFI]],"-",Tableau21[[#This Row],[Compte Site]])</f>
        <v>#N/A</v>
      </c>
      <c r="H37" s="117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7" s="85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7" s="120" t="str">
        <f ca="1">IF(COUNTIF(I:I,Tableau21[[#This Row],[Plant-ILN-shipper-POL-Carrier-POD-PFI]])=1,"Non","Oui")</f>
        <v>Oui</v>
      </c>
      <c r="K37" s="103" t="str">
        <f>VLOOKUP(Tableau21[[#This Row],[Name Site]],Plant_AILN!A:D,4,FALSE)</f>
        <v>ARGENTINA</v>
      </c>
      <c r="L37" s="76" t="s">
        <v>158</v>
      </c>
      <c r="M37" s="366">
        <f>VLOOKUP(Tableau21[[#This Row],[Name Site]],Plant_AILN!A:C,3,FALSE)</f>
        <v>90016000</v>
      </c>
      <c r="N37" s="104">
        <f>VLOOKUP(Tableau21[[#This Row],[Compte Site]],Order!C:D,2,FALSE)</f>
        <v>7</v>
      </c>
      <c r="O37" s="126" t="s">
        <v>146</v>
      </c>
      <c r="P37" s="366">
        <f>VLOOKUP(Tableau21[[#This Row],[Name ILN]],Plant_AILN!F:G,2,FALSE)</f>
        <v>0</v>
      </c>
      <c r="Q37" s="81">
        <f>VLOOKUP(Tableau21[[#This Row],[Compte ILN]],'DATA ILN'!D:I,6,FALSE)</f>
        <v>9</v>
      </c>
      <c r="R37" s="81" t="e">
        <f ca="1">IFERROR(VLOOKUP(Tableau21[[#This Row],[Key(Compte ILN - shipper - POL - plant)]],'DATA ILN'!A:J,10,FALSE),VLOOKUP(Tableau21[[#This Row],[Key(Compte ILN - shipper - POL)]],'DATA ILN'!B:J,9,FALSE))</f>
        <v>#N/A</v>
      </c>
      <c r="S37" s="81" t="e">
        <f ca="1">IFERROR(VLOOKUP(Tableau21[[#This Row],[Key(Compte ILN - shipper - POL - plant)]],'DATA ILN'!A:K,11,FALSE),VLOOKUP(Tableau21[[#This Row],[Key(Compte ILN - shipper - POL)]],'DATA ILN'!B:K,10,FALSE))</f>
        <v>#N/A</v>
      </c>
      <c r="T37" s="81" t="e">
        <f ca="1">IFERROR(VLOOKUP(Tableau21[[#This Row],[Key(Compte ILN - shipper - POL - plant)]],'DATA ILN'!A:L,12,FALSE),VLOOKUP(Tableau21[[#This Row],[Key(Compte ILN - shipper - POL)]],'DATA ILN'!B:L,11,FALSE))</f>
        <v>#N/A</v>
      </c>
      <c r="U37" s="81" t="e">
        <f ca="1">Tableau21[[#This Row],[Day ILN Order]]+Tableau21[[#This Row],[Delivery time to ILN/Shipper]]-1</f>
        <v>#N/A</v>
      </c>
      <c r="V37" s="81" t="e">
        <f ca="1">IFERROR(VLOOKUP(Tableau21[[#This Row],[Key(Compte ILN - shipper - POL - plant)]],'DATA ILN'!A:N,14,FALSE),VLOOKUP(Tableau21[[#This Row],[Key(Compte ILN - shipper - POL)]],'DATA ILN'!B:N,13,FALSE))</f>
        <v>#N/A</v>
      </c>
      <c r="W37" s="81" t="e">
        <f ca="1">IFERROR(VLOOKUP(Tableau21[[#This Row],[Key(Compte ILN - shipper - POL - plant)]],'DATA ILN'!A:P,16,FALSE),VLOOKUP(Tableau21[[#This Row],[Key(Compte ILN - shipper - POL)]],'DATA ILN'!B:P,15,FALSE))</f>
        <v>#N/A</v>
      </c>
      <c r="X37" s="392" t="s">
        <v>153</v>
      </c>
      <c r="Y37" s="417">
        <f>IFERROR(VLOOKUP(Tableau21[[#This Row],[Name Shipper]],Plant_AILN!L:M,2,FALSE),0)</f>
        <v>42838303</v>
      </c>
      <c r="Z37" s="105">
        <v>308</v>
      </c>
      <c r="AA37" s="397" t="e">
        <f ca="1">IFERROR(VLOOKUP(Tableau21[[#This Row],[Key(ID-Next)]],'DATA BTO'!A:N,5,FALSE),VLOOKUP(_xlfn.CONCAT(Tableau21[[#This Row],[ID]],"-","Actif"),'DATA BTO'!A:N,5,FALSE))</f>
        <v>#N/A</v>
      </c>
      <c r="AB37" s="108" t="e">
        <f ca="1">IFERROR(VLOOKUP(Tableau21[[#This Row],[Key(ID-Next)]],'DATA BTO'!A:N,6,FALSE),VLOOKUP(_xlfn.CONCAT(Tableau21[[#This Row],[ID]],"-","Actif"),'DATA BTO'!A:N,6,FALSE))</f>
        <v>#N/A</v>
      </c>
      <c r="AC37" s="81" t="e">
        <f ca="1">IFERROR(VLOOKUP(Tableau21[[#This Row],[Key(ID-Next)]],'DATA BTO'!A:N,7,FALSE),VLOOKUP(_xlfn.CONCAT(Tableau21[[#This Row],[ID]],"-","Actif"),'DATA BTO'!A:N,7,FALSE))</f>
        <v>#N/A</v>
      </c>
      <c r="AD37" s="81" t="e">
        <f ca="1">IFERROR(VLOOKUP(Tableau21[[#This Row],[Key(ID-Next)]],'DATA BTO'!A:N,8,FALSE),VLOOKUP(_xlfn.CONCAT(Tableau21[[#This Row],[ID]],"-","Actif"),'DATA BTO'!A:N,8,FALSE))</f>
        <v>#N/A</v>
      </c>
      <c r="AE37" s="81" t="e">
        <f ca="1">IFERROR(VLOOKUP(Tableau21[[#This Row],[Key(ID-Next)]],'DATA BTO'!A:N,9,FALSE),VLOOKUP(_xlfn.CONCAT(Tableau21[[#This Row],[ID]],"-","Actif"),'DATA BTO'!A:N,9,FALSE))</f>
        <v>#N/A</v>
      </c>
      <c r="AF37" s="108" t="e">
        <f ca="1">IFERROR(VLOOKUP(Tableau21[[#This Row],[Key(ID-Next)]],'DATA BTO'!A:N,10,FALSE),VLOOKUP(_xlfn.CONCAT(Tableau21[[#This Row],[ID]],"-","Actif"),'DATA BTO'!A:N,10,FALSE))</f>
        <v>#N/A</v>
      </c>
      <c r="AG37" s="108" t="e">
        <f ca="1">IFERROR(VLOOKUP(Tableau21[[#This Row],[Key(ID-Next)]],'DATA BTO'!A:N,11,FALSE),VLOOKUP(_xlfn.CONCAT(Tableau21[[#This Row],[ID]],"-","Actif"),'DATA BTO'!A:N,11,FALSE))</f>
        <v>#N/A</v>
      </c>
      <c r="AH37" s="81" t="e">
        <f ca="1">IFERROR(VLOOKUP(Tableau21[[#This Row],[Key(ID-Next)]],'DATA BTO'!A:N,12,FALSE),VLOOKUP(_xlfn.CONCAT(Tableau21[[#This Row],[ID]],"-","Actif"),'DATA BTO'!A:N,12,FALSE))</f>
        <v>#N/A</v>
      </c>
      <c r="AI37" s="106" t="e">
        <f ca="1">IFERROR(VLOOKUP(Tableau21[[#This Row],[Key(ID-Next)]],'DATA BTO'!A:N,14,FALSE),VLOOKUP(_xlfn.CONCAT(Tableau21[[#This Row],[ID]],"-","Actif"),'DATA BTO'!A:N,14,FALSE))</f>
        <v>#N/A</v>
      </c>
      <c r="AJ37" s="107" t="e">
        <f ca="1">VLOOKUP(Tableau21[[#This Row],[Key(POD -PFI- Usine)]],'DATA Consignee'!A:F,6,FALSE)</f>
        <v>#N/A</v>
      </c>
      <c r="AK37" s="102"/>
      <c r="AL37" s="375" t="str">
        <f>IF(Tableau21[[#This Row],[Name PFI/CDD]]="","-",VLOOKUP(Tableau21[[#This Row],[Name PFI/CDD]],Plant_AILN!I:J,2,FALSE))</f>
        <v>-</v>
      </c>
      <c r="AM37" s="109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7" s="109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7" s="110" t="e">
        <f ca="1">VLOOKUP(Tableau21[[#This Row],[Key(POD -PFI- Usine)]],'DATA Consignee'!A:J,10,FALSE)</f>
        <v>#N/A</v>
      </c>
      <c r="AP37" s="81" t="e">
        <f ca="1">VLOOKUP(Tableau21[[#This Row],[Key(POD -PFI- Usine)]],'DATA Consignee'!A:N,14,FALSE)</f>
        <v>#N/A</v>
      </c>
      <c r="AQ37" s="104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7" s="107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7" s="81" t="e">
        <f ca="1">Tableau21[[#This Row],[Transit time]]+Tableau21[[#This Row],[Time for security]]+Tableau21[[#This Row],[Time for security2 buffer]]</f>
        <v>#N/A</v>
      </c>
      <c r="AT37" s="81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7" s="81" t="e">
        <f ca="1">Tableau21[[#This Row],[Leadtime SI2C]]+Tableau21[[#This Row],[First Receipt Days]]-Tableau21[[#This Row],[Day Customer Order]]+1</f>
        <v>#N/A</v>
      </c>
      <c r="AV37" s="120" t="e">
        <f ca="1">IF(Tableau21[[#This Row],[Name ILN]]&lt;&gt;"SFK Freight Forwarder",Tableau21[[#This Row],[Cust. Leadtime]],Tableau21[[#This Row],[Leadtime SI2C]])</f>
        <v>#N/A</v>
      </c>
      <c r="AW37" s="76"/>
      <c r="AX37" s="388" t="e">
        <f ca="1">IFERROR(VLOOKUP(Tableau21[[#This Row],[Key(ID-Next)]],'DATA BTO'!A:N,3,FALSE),VLOOKUP(Tableau21[[#This Row],[ID]],'DATA BTO'!B:N,2,FALSE))</f>
        <v>#N/A</v>
      </c>
      <c r="AY37" s="81" t="str">
        <f>IF(ISNUMBER(Tableau21[[#This Row],[Day Customer Order]]),"-","Please Check 'Name' information in 'Order' Sheet to make sure they have information")</f>
        <v>-</v>
      </c>
      <c r="AZ37" s="81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7" s="81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7" s="81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7" s="104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</sheetData>
  <sheetProtection formatCells="0" formatColumns="0" formatRows="0" sort="0" autoFilter="0"/>
  <mergeCells count="18">
    <mergeCell ref="AW1:AW2"/>
    <mergeCell ref="I2:J2"/>
    <mergeCell ref="K2:N2"/>
    <mergeCell ref="O2:R2"/>
    <mergeCell ref="S2:V2"/>
    <mergeCell ref="W2:Y2"/>
    <mergeCell ref="Z2:AI2"/>
    <mergeCell ref="AJ2:AO2"/>
    <mergeCell ref="AP2:AQ2"/>
    <mergeCell ref="I1:J1"/>
    <mergeCell ref="K1:N1"/>
    <mergeCell ref="O1:Y1"/>
    <mergeCell ref="Z1:AH1"/>
    <mergeCell ref="AJ1:AP1"/>
    <mergeCell ref="AR2:AU2"/>
    <mergeCell ref="C3:D3"/>
    <mergeCell ref="AQ1:AV1"/>
    <mergeCell ref="B1:H1"/>
  </mergeCells>
  <phoneticPr fontId="77" type="noConversion"/>
  <conditionalFormatting sqref="K5:AX37">
    <cfRule type="expression" dxfId="351" priority="52">
      <formula>$AX5&lt;=TODAY()</formula>
    </cfRule>
  </conditionalFormatting>
  <conditionalFormatting sqref="J5:J37">
    <cfRule type="expression" dxfId="350" priority="1">
      <formula>$J5="Oui"</formula>
    </cfRule>
  </conditionalFormatting>
  <dataValidations count="4">
    <dataValidation type="list" allowBlank="1" showInputMessage="1" showErrorMessage="1" sqref="X11 X8:X9 X37:X1048576" xr:uid="{AE269DEA-E3F2-464A-94B9-0ED8E3A50522}">
      <formula1>shippername</formula1>
    </dataValidation>
    <dataValidation type="list" allowBlank="1" showInputMessage="1" showErrorMessage="1" sqref="X10 X5:X7 X12:X36 O5:O1048576" xr:uid="{FC66A645-D0D5-40B6-BD54-7B84B0156D28}">
      <formula1>AILNname</formula1>
    </dataValidation>
    <dataValidation type="list" allowBlank="1" showInputMessage="1" showErrorMessage="1" sqref="AK5:AK1048576" xr:uid="{D01B04E8-B9F0-4656-9C58-2036153F4BB0}">
      <formula1>PFIname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5:L1048576" xr:uid="{E7EFBC34-FF6E-478F-A38F-D031A1EA2306}">
      <formula1>plantname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C814-9887-4836-8F2E-0EA54F1A4D1B}">
  <sheetPr codeName="Feuil11">
    <tabColor rgb="FF7030A0"/>
  </sheetPr>
  <dimension ref="A1:BE70"/>
  <sheetViews>
    <sheetView topLeftCell="I4" zoomScale="85" zoomScaleNormal="85" workbookViewId="0">
      <selection activeCell="X17" sqref="X17"/>
    </sheetView>
  </sheetViews>
  <sheetFormatPr baseColWidth="10" defaultColWidth="10.42578125" defaultRowHeight="15" outlineLevelCol="1"/>
  <cols>
    <col min="1" max="1" width="10.42578125" hidden="1" customWidth="1" outlineLevel="1"/>
    <col min="2" max="2" width="24" hidden="1" customWidth="1" outlineLevel="1"/>
    <col min="3" max="3" width="25.42578125" hidden="1" customWidth="1" outlineLevel="1"/>
    <col min="4" max="4" width="21" hidden="1" customWidth="1" outlineLevel="1"/>
    <col min="5" max="5" width="10.42578125" hidden="1" customWidth="1" outlineLevel="1"/>
    <col min="6" max="6" width="21.42578125" hidden="1" customWidth="1" outlineLevel="1"/>
    <col min="7" max="7" width="23.5703125" hidden="1" customWidth="1" outlineLevel="1"/>
    <col min="8" max="8" width="27.42578125" hidden="1" customWidth="1" outlineLevel="1"/>
    <col min="9" max="9" width="10.42578125" customWidth="1" collapsed="1"/>
    <col min="10" max="10" width="10.42578125" style="48" customWidth="1"/>
    <col min="11" max="11" width="10.42578125" customWidth="1"/>
    <col min="12" max="12" width="13" customWidth="1"/>
    <col min="13" max="13" width="12.42578125" style="358" hidden="1" customWidth="1" outlineLevel="1"/>
    <col min="14" max="14" width="10.42578125" hidden="1" customWidth="1" outlineLevel="1"/>
    <col min="15" max="15" width="20.42578125" style="48" bestFit="1" customWidth="1" collapsed="1"/>
    <col min="16" max="16" width="15.42578125" style="358" hidden="1" customWidth="1" outlineLevel="1"/>
    <col min="17" max="23" width="10.42578125" hidden="1" customWidth="1" outlineLevel="1"/>
    <col min="24" max="24" width="38.28515625" customWidth="1" collapsed="1"/>
    <col min="25" max="25" width="12.42578125" style="358" hidden="1" customWidth="1" outlineLevel="1"/>
    <col min="26" max="26" width="10.42578125" customWidth="1" collapsed="1"/>
    <col min="27" max="37" width="10.42578125" hidden="1" customWidth="1" outlineLevel="1"/>
    <col min="38" max="38" width="10.42578125" customWidth="1" collapsed="1"/>
    <col min="39" max="39" width="13.42578125" style="377" hidden="1" customWidth="1" outlineLevel="1"/>
    <col min="40" max="41" width="10.42578125" style="1" hidden="1" customWidth="1" outlineLevel="1"/>
    <col min="42" max="43" width="10.42578125" hidden="1" customWidth="1" outlineLevel="1"/>
    <col min="44" max="44" width="10.42578125" hidden="1" customWidth="1" outlineLevel="1" collapsed="1"/>
    <col min="45" max="46" width="10.42578125" hidden="1" customWidth="1" outlineLevel="1"/>
    <col min="47" max="47" width="10.42578125" customWidth="1" collapsed="1"/>
    <col min="48" max="50" width="10.42578125" customWidth="1"/>
    <col min="51" max="51" width="15.28515625" style="348" bestFit="1" customWidth="1"/>
    <col min="52" max="57" width="10.42578125" customWidth="1"/>
  </cols>
  <sheetData>
    <row r="1" spans="2:57" s="111" customFormat="1" ht="29.1" hidden="1" customHeight="1" thickBot="1">
      <c r="B1" s="620" t="s">
        <v>76</v>
      </c>
      <c r="C1" s="620"/>
      <c r="D1" s="620"/>
      <c r="E1" s="620"/>
      <c r="F1" s="620"/>
      <c r="G1" s="620"/>
      <c r="H1" s="621"/>
      <c r="I1" s="622" t="s">
        <v>77</v>
      </c>
      <c r="J1" s="623"/>
      <c r="K1" s="632" t="s">
        <v>78</v>
      </c>
      <c r="L1" s="633"/>
      <c r="M1" s="633"/>
      <c r="N1" s="634"/>
      <c r="O1" s="644" t="s">
        <v>79</v>
      </c>
      <c r="P1" s="645"/>
      <c r="Q1" s="645"/>
      <c r="R1" s="645"/>
      <c r="S1" s="645"/>
      <c r="T1" s="645"/>
      <c r="U1" s="645"/>
      <c r="V1" s="645"/>
      <c r="W1" s="645"/>
      <c r="X1" s="645"/>
      <c r="Y1" s="646"/>
      <c r="Z1" s="639" t="s">
        <v>80</v>
      </c>
      <c r="AA1" s="640"/>
      <c r="AB1" s="640"/>
      <c r="AC1" s="640"/>
      <c r="AD1" s="640"/>
      <c r="AE1" s="640"/>
      <c r="AF1" s="640"/>
      <c r="AG1" s="640"/>
      <c r="AH1" s="640"/>
      <c r="AI1" s="640"/>
      <c r="AJ1" s="63"/>
      <c r="AK1" s="642" t="s">
        <v>81</v>
      </c>
      <c r="AL1" s="643"/>
      <c r="AM1" s="643"/>
      <c r="AN1" s="643"/>
      <c r="AO1" s="643"/>
      <c r="AP1" s="643"/>
      <c r="AQ1" s="643"/>
      <c r="AR1" s="617" t="s">
        <v>82</v>
      </c>
      <c r="AS1" s="618"/>
      <c r="AT1" s="618"/>
      <c r="AU1" s="618"/>
      <c r="AV1" s="618"/>
      <c r="AW1" s="619"/>
      <c r="AX1" s="627"/>
      <c r="AY1" s="347"/>
    </row>
    <row r="2" spans="2:57" ht="16.5" hidden="1" thickBot="1">
      <c r="B2" s="112"/>
      <c r="C2" s="65"/>
      <c r="D2" s="9"/>
      <c r="E2" s="9"/>
      <c r="F2" s="9"/>
      <c r="G2" s="9"/>
      <c r="H2" s="76"/>
      <c r="I2" s="624"/>
      <c r="J2" s="625"/>
      <c r="K2" s="635" t="s">
        <v>83</v>
      </c>
      <c r="L2" s="636"/>
      <c r="M2" s="636"/>
      <c r="N2" s="637"/>
      <c r="O2" s="629" t="s">
        <v>79</v>
      </c>
      <c r="P2" s="630"/>
      <c r="Q2" s="630"/>
      <c r="R2" s="631"/>
      <c r="S2" s="629" t="s">
        <v>79</v>
      </c>
      <c r="T2" s="630"/>
      <c r="U2" s="630"/>
      <c r="V2" s="631"/>
      <c r="W2" s="629" t="s">
        <v>84</v>
      </c>
      <c r="X2" s="630"/>
      <c r="Y2" s="631"/>
      <c r="Z2" s="629" t="s">
        <v>85</v>
      </c>
      <c r="AA2" s="630"/>
      <c r="AB2" s="630"/>
      <c r="AC2" s="630"/>
      <c r="AD2" s="630"/>
      <c r="AE2" s="630"/>
      <c r="AF2" s="630"/>
      <c r="AG2" s="630"/>
      <c r="AH2" s="630"/>
      <c r="AI2" s="630"/>
      <c r="AJ2" s="631"/>
      <c r="AK2" s="629" t="s">
        <v>86</v>
      </c>
      <c r="AL2" s="630"/>
      <c r="AM2" s="630"/>
      <c r="AN2" s="638"/>
      <c r="AO2" s="638"/>
      <c r="AP2" s="631"/>
      <c r="AQ2" s="636"/>
      <c r="AR2" s="637"/>
      <c r="AS2" s="641" t="s">
        <v>87</v>
      </c>
      <c r="AT2" s="636"/>
      <c r="AU2" s="636"/>
      <c r="AV2" s="637"/>
      <c r="AW2" s="93"/>
      <c r="AX2" s="628"/>
    </row>
    <row r="3" spans="2:57" ht="15.75" hidden="1" thickBot="1">
      <c r="B3" s="339" t="s">
        <v>88</v>
      </c>
      <c r="C3" s="626" t="s">
        <v>89</v>
      </c>
      <c r="D3" s="626"/>
      <c r="E3" s="340" t="s">
        <v>90</v>
      </c>
      <c r="F3" s="341" t="s">
        <v>91</v>
      </c>
      <c r="G3" s="342" t="s">
        <v>92</v>
      </c>
      <c r="H3" s="343" t="s">
        <v>93</v>
      </c>
      <c r="I3" s="113">
        <v>1</v>
      </c>
      <c r="J3" s="113">
        <v>2</v>
      </c>
      <c r="K3" s="113">
        <v>3</v>
      </c>
      <c r="L3" s="113">
        <v>4</v>
      </c>
      <c r="M3" s="113">
        <v>5</v>
      </c>
      <c r="N3" s="113">
        <v>6</v>
      </c>
      <c r="O3" s="113">
        <v>7</v>
      </c>
      <c r="P3" s="113">
        <v>8</v>
      </c>
      <c r="Q3" s="113">
        <v>9</v>
      </c>
      <c r="R3" s="113">
        <v>10</v>
      </c>
      <c r="S3" s="113">
        <v>11</v>
      </c>
      <c r="T3" s="113">
        <v>12</v>
      </c>
      <c r="U3" s="113">
        <v>13</v>
      </c>
      <c r="V3" s="113">
        <v>14</v>
      </c>
      <c r="W3" s="113">
        <v>15</v>
      </c>
      <c r="X3" s="113">
        <v>16</v>
      </c>
      <c r="Y3" s="113">
        <v>17</v>
      </c>
      <c r="Z3" s="113">
        <v>18</v>
      </c>
      <c r="AA3" s="113">
        <v>19</v>
      </c>
      <c r="AB3" s="113">
        <v>20</v>
      </c>
      <c r="AC3" s="113">
        <v>21</v>
      </c>
      <c r="AD3" s="113">
        <v>22</v>
      </c>
      <c r="AE3" s="113"/>
      <c r="AF3" s="113">
        <v>23</v>
      </c>
      <c r="AG3" s="113">
        <v>24</v>
      </c>
      <c r="AH3" s="113">
        <v>25</v>
      </c>
      <c r="AI3" s="113">
        <v>26</v>
      </c>
      <c r="AJ3" s="133">
        <v>27</v>
      </c>
      <c r="AK3" s="113">
        <v>28</v>
      </c>
      <c r="AL3" s="113">
        <v>29</v>
      </c>
      <c r="AM3" s="113">
        <v>30</v>
      </c>
      <c r="AN3" s="113">
        <v>31</v>
      </c>
      <c r="AO3" s="113">
        <v>32</v>
      </c>
      <c r="AP3" s="113">
        <v>33</v>
      </c>
      <c r="AQ3" s="113">
        <v>34</v>
      </c>
      <c r="AR3" s="113">
        <v>35</v>
      </c>
      <c r="AS3" s="113">
        <v>36</v>
      </c>
      <c r="AT3" s="113">
        <v>37</v>
      </c>
      <c r="AU3" s="113">
        <v>38</v>
      </c>
      <c r="AV3" s="113">
        <v>39</v>
      </c>
      <c r="AW3" s="113">
        <v>40</v>
      </c>
      <c r="AX3" s="113">
        <v>41</v>
      </c>
    </row>
    <row r="4" spans="2:57" ht="48.6" customHeight="1" thickBot="1">
      <c r="B4" s="344" t="s">
        <v>94</v>
      </c>
      <c r="C4" s="345" t="s">
        <v>95</v>
      </c>
      <c r="D4" s="345" t="s">
        <v>96</v>
      </c>
      <c r="E4" s="345" t="s">
        <v>97</v>
      </c>
      <c r="F4" s="345" t="s">
        <v>98</v>
      </c>
      <c r="G4" s="345" t="s">
        <v>99</v>
      </c>
      <c r="H4" s="346" t="s">
        <v>100</v>
      </c>
      <c r="I4" s="114" t="s">
        <v>101</v>
      </c>
      <c r="J4" s="115" t="s">
        <v>102</v>
      </c>
      <c r="K4" s="90" t="s">
        <v>103</v>
      </c>
      <c r="L4" s="407" t="s">
        <v>104</v>
      </c>
      <c r="M4" s="364" t="s">
        <v>190</v>
      </c>
      <c r="N4" s="87" t="s">
        <v>40</v>
      </c>
      <c r="O4" s="408" t="s">
        <v>106</v>
      </c>
      <c r="P4" s="364" t="s">
        <v>107</v>
      </c>
      <c r="Q4" s="86" t="s">
        <v>108</v>
      </c>
      <c r="R4" s="87" t="s">
        <v>109</v>
      </c>
      <c r="S4" s="88" t="s">
        <v>110</v>
      </c>
      <c r="T4" s="86" t="s">
        <v>41</v>
      </c>
      <c r="U4" s="86" t="s">
        <v>111</v>
      </c>
      <c r="V4" s="87" t="s">
        <v>42</v>
      </c>
      <c r="W4" s="88" t="s">
        <v>43</v>
      </c>
      <c r="X4" s="407" t="s">
        <v>112</v>
      </c>
      <c r="Y4" s="367" t="s">
        <v>113</v>
      </c>
      <c r="Z4" s="409" t="s">
        <v>75</v>
      </c>
      <c r="AA4" s="87" t="s">
        <v>114</v>
      </c>
      <c r="AB4" s="122" t="s">
        <v>115</v>
      </c>
      <c r="AC4" s="87" t="s">
        <v>116</v>
      </c>
      <c r="AD4" s="87" t="s">
        <v>117</v>
      </c>
      <c r="AE4" s="87" t="s">
        <v>118</v>
      </c>
      <c r="AF4" s="87" t="s">
        <v>119</v>
      </c>
      <c r="AG4" s="87" t="s">
        <v>120</v>
      </c>
      <c r="AH4" s="87" t="s">
        <v>121</v>
      </c>
      <c r="AI4" s="87" t="s">
        <v>122</v>
      </c>
      <c r="AJ4" s="134" t="s">
        <v>123</v>
      </c>
      <c r="AK4" s="135" t="s">
        <v>124</v>
      </c>
      <c r="AL4" s="410" t="s">
        <v>125</v>
      </c>
      <c r="AM4" s="374" t="s">
        <v>126</v>
      </c>
      <c r="AN4" s="87" t="s">
        <v>127</v>
      </c>
      <c r="AO4" s="87" t="s">
        <v>128</v>
      </c>
      <c r="AP4" s="87" t="s">
        <v>129</v>
      </c>
      <c r="AQ4" s="87" t="s">
        <v>130</v>
      </c>
      <c r="AR4" s="87" t="s">
        <v>131</v>
      </c>
      <c r="AS4" s="87" t="s">
        <v>55</v>
      </c>
      <c r="AT4" s="87" t="s">
        <v>132</v>
      </c>
      <c r="AU4" s="87" t="s">
        <v>58</v>
      </c>
      <c r="AV4" s="87" t="s">
        <v>133</v>
      </c>
      <c r="AW4" s="87" t="s">
        <v>60</v>
      </c>
      <c r="AX4" s="87" t="s">
        <v>134</v>
      </c>
      <c r="AY4" s="332" t="s">
        <v>135</v>
      </c>
      <c r="AZ4" s="333" t="s">
        <v>136</v>
      </c>
      <c r="BA4" s="334" t="s">
        <v>137</v>
      </c>
      <c r="BB4" s="335" t="s">
        <v>138</v>
      </c>
      <c r="BC4" s="336" t="s">
        <v>139</v>
      </c>
      <c r="BD4" s="337" t="s">
        <v>140</v>
      </c>
      <c r="BE4" s="145" t="s">
        <v>141</v>
      </c>
    </row>
    <row r="5" spans="2:57">
      <c r="B5" s="66" t="str">
        <f>_xlfn.CONCAT(Tableau118[[#This Row],[Name ILN]],"-",Tableau118[[#This Row],[Name Shipper]],"-",Tableau118[[#This Row],[Name Site]])</f>
        <v>ILN FR-ILN FR-CORMECANICA</v>
      </c>
      <c r="C5" s="66" t="e">
        <f ca="1">_xlfn.CONCAT(Tableau118[[#This Row],[Compte ILN]],"-",Tableau118[[#This Row],[Compte Shipper]],"-",Tableau118[[#This Row],[POL]],"-",Tableau118[[#This Row],[Compte Site]])</f>
        <v>#N/A</v>
      </c>
      <c r="D5" s="66" t="e">
        <f ca="1">_xlfn.CONCAT(Tableau118[[#This Row],[Compte ILN]],"-",Tableau118[[#This Row],[Compte Shipper]],"-",Tableau118[[#This Row],[POL]])</f>
        <v>#N/A</v>
      </c>
      <c r="E5" s="130" t="e">
        <f ca="1">_xlfn.CONCAT(Tableau118[[#This Row],[POL]],"-",Tableau118[[#This Row],[Carrier]],"-",Tableau118[[#This Row],[POD]])</f>
        <v>#N/A</v>
      </c>
      <c r="F5" s="66" t="str">
        <f>_xlfn.CONCAT(Tableau118[[#This Row],[ID]],"-","Next")</f>
        <v>60-Next</v>
      </c>
      <c r="G5" s="66" t="e">
        <f ca="1">_xlfn.CONCAT(Tableau118[[#This Row],[POD]],"-",Tableau118[[#This Row],[Code PFI]],"-",Tableau118[[#This Row],[Compte Site]])</f>
        <v>#N/A</v>
      </c>
      <c r="H5" s="131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" s="119" t="str">
        <f ca="1">IF(COUNTIF(I:I,Tableau118[[#This Row],[Plant-ILN-shipper-POL-Carrier-POD-PFI]])=1,"Non","Oui")</f>
        <v>Oui</v>
      </c>
      <c r="K5" s="436" t="str">
        <f>VLOOKUP(Tableau118[[#This Row],[Name Site]],Plant_AILN!A:D,4,FALSE)</f>
        <v>CHILE</v>
      </c>
      <c r="L5" s="285" t="s">
        <v>142</v>
      </c>
      <c r="M5" s="365">
        <f>VLOOKUP(Tableau118[[#This Row],[Name Site]],Plant_AILN!A:C,3,FALSE)</f>
        <v>90009500</v>
      </c>
      <c r="N5" s="55">
        <f>IF(Tableau118[[#This Row],[Name PFI/CDD]]="PFI VLL",2,VLOOKUP(Tableau118[[#This Row],[Compte Site]],Order!C:D,2,FALSE))</f>
        <v>7</v>
      </c>
      <c r="O5" s="124" t="s">
        <v>143</v>
      </c>
      <c r="P5" s="365">
        <f>VLOOKUP(Tableau118[[#This Row],[Name ILN]],Plant_AILN!F:G,2,FALSE)</f>
        <v>92000100</v>
      </c>
      <c r="Q5" s="50">
        <f>VLOOKUP(Tableau118[[#This Row],[Compte ILN]],'DATA ILN'!D:I,6,FALSE)</f>
        <v>9</v>
      </c>
      <c r="R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" s="50" t="e">
        <f ca="1">Tableau118[[#This Row],[Day ILN Order]]+Tableau118[[#This Row],[Delivery time to ILN/Shipper]]-1</f>
        <v>#N/A</v>
      </c>
      <c r="V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" s="50" t="e">
        <f ca="1">IFERROR(VLOOKUP(Tableau118[[#This Row],[Key(Compte ILN - shipper - POL - plant)]],'DATA ILN'!A:P,16,FALSE),VLOOKUP(Tableau118[[#This Row],[Key(Compte ILN - shipper - POL)]],'DATA ILN'!B:P,15,FALSE))</f>
        <v>#N/A</v>
      </c>
      <c r="X5" s="284" t="s">
        <v>143</v>
      </c>
      <c r="Y5" s="430">
        <f>IFERROR(VLOOKUP(Tableau118[[#This Row],[Name Shipper]],Plant_AILN!L:M,2,FALSE),0)</f>
        <v>92000100</v>
      </c>
      <c r="Z5" s="406">
        <v>60</v>
      </c>
      <c r="AA5" s="396" t="e">
        <f ca="1">VLOOKUP(Tableau118[[#This Row],[Key(ID-Actif)]],'DATA BTO'!A:N,5,FALSE)</f>
        <v>#N/A</v>
      </c>
      <c r="AB5" s="3" t="e">
        <f ca="1">VLOOKUP(Tableau118[[#This Row],[Key(ID-Actif)]],'DATA BTO'!A:N,6,FALSE)</f>
        <v>#N/A</v>
      </c>
      <c r="AC5" s="50" t="e">
        <f ca="1">VLOOKUP(Tableau118[[#This Row],[Key(ID-Actif)]],'DATA BTO'!A:N,7,FALSE)</f>
        <v>#N/A</v>
      </c>
      <c r="AD5" s="50" t="e">
        <f ca="1">VLOOKUP(Tableau118[[#This Row],[Key(ID-Actif)]],'DATA BTO'!A:N,8,FALSE)</f>
        <v>#N/A</v>
      </c>
      <c r="AE5" s="81" t="e">
        <f ca="1">IF(Tableau118[[#This Row],[First Day to POL]]&lt;=Tableau118[[#This Row],[Day Cut Off]],Tableau118[[#This Row],[Day ETD]],Tableau118[[#This Row],[Day ETD]]+7)</f>
        <v>#N/A</v>
      </c>
      <c r="AF5" s="50" t="e">
        <f ca="1">VLOOKUP(Tableau118[[#This Row],[Key(ID-Actif)]],'DATA BTO'!A:N,9,FALSE)</f>
        <v>#N/A</v>
      </c>
      <c r="AG5" s="3" t="e">
        <f ca="1">VLOOKUP(Tableau118[[#This Row],[Key(ID-Actif)]],'DATA BTO'!A:N,10,FALSE)</f>
        <v>#N/A</v>
      </c>
      <c r="AH5" s="3" t="e">
        <f ca="1">VLOOKUP(Tableau118[[#This Row],[Key(ID-Actif)]],'DATA BTO'!A:N,11,FALSE)</f>
        <v>#N/A</v>
      </c>
      <c r="AI5" s="50" t="e">
        <f ca="1">VLOOKUP(Tableau118[[#This Row],[Key(ID-Actif)]],'DATA BTO'!A:N,12,FALSE)</f>
        <v>#N/A</v>
      </c>
      <c r="AJ5" s="53" t="e">
        <f ca="1">VLOOKUP(Tableau118[[#This Row],[Key(ID-Actif)]],'DATA BTO'!A:N,14,FALSE)</f>
        <v>#N/A</v>
      </c>
      <c r="AK5" s="54" t="e">
        <f ca="1">VLOOKUP(Tableau118[[#This Row],[Key(POD -PFI- Usine)]],'DATA Consignee'!A:F,6,FALSE)</f>
        <v>#N/A</v>
      </c>
      <c r="AL5" s="284"/>
      <c r="AM5" s="376" t="str">
        <f>IF(Tableau118[[#This Row],[Name PFI/CDD]]="","-",VLOOKUP(Tableau118[[#This Row],[Name PFI/CDD]],Plant_AILN!I:J,2,FALSE))</f>
        <v>-</v>
      </c>
      <c r="AN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" s="2" t="e">
        <f ca="1">VLOOKUP(Tableau118[[#This Row],[Key(POD -PFI- Usine)]],'DATA Consignee'!A:J,10,FALSE)</f>
        <v>#N/A</v>
      </c>
      <c r="AQ5" s="50" t="e">
        <f ca="1">VLOOKUP(Tableau118[[#This Row],[Key(POD -PFI- Usine)]],'DATA Consignee'!A:N,14,FALSE)</f>
        <v>#N/A</v>
      </c>
      <c r="AR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" s="50" t="e">
        <f ca="1">Tableau118[[#This Row],[Transit time]]+Tableau118[[#This Row],[Time for security]]+Tableau118[[#This Row],[Time for security2 buffer]]</f>
        <v>#N/A</v>
      </c>
      <c r="AU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" s="50" t="e">
        <f ca="1">Tableau118[[#This Row],[Leadtime SI2C]]+Tableau118[[#This Row],[First Receipt Days]]-Tableau118[[#This Row],[Day Customer Order]]+1</f>
        <v>#N/A</v>
      </c>
      <c r="AW5" s="119" t="e">
        <f ca="1">IF(Tableau118[[#This Row],[Name ILN]]&lt;&gt;"SFK Freight Forwarder",Tableau118[[#This Row],[Cust. Leadtime]],Tableau118[[#This Row],[Leadtime SI2C]])</f>
        <v>#N/A</v>
      </c>
      <c r="AX5" s="59" t="str">
        <f>VLOOKUP(Tableau118[[#This Row],[ID]],'DATA BTO'!B:P,15,FALSE)</f>
        <v>Renault &gt; Horse BPH</v>
      </c>
      <c r="AY5" s="338">
        <f ca="1">IFERROR(VLOOKUP(Tableau118[[#This Row],[Key(ID-Actif)]],'DATA BTO'!A:N,4,FALSE),VLOOKUP(Tableau118[[#This Row],[ID]],'DATA BTO'!B:N,3,FALSE))</f>
        <v>46075</v>
      </c>
      <c r="AZ5" s="50" t="str">
        <f>IF(ISNUMBER(Tableau118[[#This Row],[Day Customer Order]]),"-","Please Check 'Name' information in 'Order' Sheet to make sure they have information")</f>
        <v>-</v>
      </c>
      <c r="BA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" s="50"/>
    </row>
    <row r="6" spans="2:57">
      <c r="B6" s="67" t="str">
        <f>_xlfn.CONCAT(Tableau118[[#This Row],[Name ILN]],"-",Tableau118[[#This Row],[Name Shipper]],"-",Tableau118[[#This Row],[Name Site]])</f>
        <v>SFK Freight Forwarder-GETRAG    MODUG-RKM</v>
      </c>
      <c r="C6" s="67" t="e">
        <f ca="1">_xlfn.CONCAT(Tableau118[[#This Row],[Compte ILN]],"-",Tableau118[[#This Row],[Compte Shipper]],"-",Tableau118[[#This Row],[POL]],"-",Tableau118[[#This Row],[Compte Site]])</f>
        <v>#N/A</v>
      </c>
      <c r="D6" s="66" t="e">
        <f ca="1">_xlfn.CONCAT(Tableau118[[#This Row],[Compte ILN]],"-",Tableau118[[#This Row],[Compte Shipper]],"-",Tableau118[[#This Row],[POL]])</f>
        <v>#N/A</v>
      </c>
      <c r="E6" s="434" t="e">
        <f ca="1">_xlfn.CONCAT(Tableau118[[#This Row],[POL]],"-",Tableau118[[#This Row],[Carrier]],"-",Tableau118[[#This Row],[POD]])</f>
        <v>#N/A</v>
      </c>
      <c r="F6" s="66" t="str">
        <f>_xlfn.CONCAT(Tableau118[[#This Row],[ID]],"-","Next")</f>
        <v>63-Next</v>
      </c>
      <c r="G6" s="66" t="e">
        <f ca="1">_xlfn.CONCAT(Tableau118[[#This Row],[POD]],"-",Tableau118[[#This Row],[Code PFI]],"-",Tableau118[[#This Row],[Compte Site]])</f>
        <v>#N/A</v>
      </c>
      <c r="H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" s="435" t="str">
        <f ca="1">IF(COUNTIF(I:I,Tableau118[[#This Row],[Plant-ILN-shipper-POL-Carrier-POD-PFI]])=1,"Non","Oui")</f>
        <v>Oui</v>
      </c>
      <c r="K6" s="436" t="str">
        <f>VLOOKUP(Tableau118[[#This Row],[Name Site]],Plant_AILN!A:D,4,FALSE)</f>
        <v>KOREA</v>
      </c>
      <c r="L6" s="285" t="s">
        <v>145</v>
      </c>
      <c r="M6" s="439">
        <f>VLOOKUP(Tableau118[[#This Row],[Name Site]],Plant_AILN!A:C,3,FALSE)</f>
        <v>92002200</v>
      </c>
      <c r="N6" s="55">
        <f>IF(Tableau118[[#This Row],[Name PFI/CDD]]="PFI VLL",2,VLOOKUP(Tableau118[[#This Row],[Compte Site]],Order!C:D,2,FALSE))</f>
        <v>2</v>
      </c>
      <c r="O6" s="116" t="s">
        <v>146</v>
      </c>
      <c r="P6" s="365">
        <f>VLOOKUP(Tableau118[[#This Row],[Name ILN]],Plant_AILN!F:G,2,FALSE)</f>
        <v>0</v>
      </c>
      <c r="Q6" s="50">
        <f>VLOOKUP(Tableau118[[#This Row],[Compte ILN]],'DATA ILN'!D:I,6,FALSE)</f>
        <v>9</v>
      </c>
      <c r="R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" s="50" t="e">
        <f ca="1">Tableau118[[#This Row],[Day ILN Order]]+Tableau118[[#This Row],[Delivery time to ILN/Shipper]]-1</f>
        <v>#N/A</v>
      </c>
      <c r="V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" s="284" t="s">
        <v>147</v>
      </c>
      <c r="Y6" s="437">
        <f>IFERROR(VLOOKUP(Tableau118[[#This Row],[Name Shipper]],Plant_AILN!L:M,2,FALSE),0)</f>
        <v>25566103</v>
      </c>
      <c r="Z6" s="406">
        <v>63</v>
      </c>
      <c r="AA6" s="396" t="e">
        <f ca="1">VLOOKUP(Tableau118[[#This Row],[Key(ID-Actif)]],'DATA BTO'!A:N,5,FALSE)</f>
        <v>#N/A</v>
      </c>
      <c r="AB6" s="3" t="e">
        <f ca="1">VLOOKUP(Tableau118[[#This Row],[Key(ID-Actif)]],'DATA BTO'!A:N,6,FALSE)</f>
        <v>#N/A</v>
      </c>
      <c r="AC6" s="50" t="e">
        <f ca="1">VLOOKUP(Tableau118[[#This Row],[Key(ID-Actif)]],'DATA BTO'!A:N,7,FALSE)</f>
        <v>#N/A</v>
      </c>
      <c r="AD6" s="50" t="e">
        <f ca="1">VLOOKUP(Tableau118[[#This Row],[Key(ID-Actif)]],'DATA BTO'!A:N,8,FALSE)</f>
        <v>#N/A</v>
      </c>
      <c r="AE6" s="432" t="e">
        <f ca="1">IF(Tableau118[[#This Row],[First Day to POL]]&lt;=Tableau118[[#This Row],[Day Cut Off]],Tableau118[[#This Row],[Day ETD]],Tableau118[[#This Row],[Day ETD]]+7)</f>
        <v>#N/A</v>
      </c>
      <c r="AF6" s="50" t="e">
        <f ca="1">VLOOKUP(Tableau118[[#This Row],[Key(ID-Actif)]],'DATA BTO'!A:N,9,FALSE)</f>
        <v>#N/A</v>
      </c>
      <c r="AG6" s="3" t="e">
        <f ca="1">VLOOKUP(Tableau118[[#This Row],[Key(ID-Actif)]],'DATA BTO'!A:N,10,FALSE)</f>
        <v>#N/A</v>
      </c>
      <c r="AH6" s="3" t="e">
        <f ca="1">VLOOKUP(Tableau118[[#This Row],[Key(ID-Actif)]],'DATA BTO'!A:N,11,FALSE)</f>
        <v>#N/A</v>
      </c>
      <c r="AI6" s="50" t="e">
        <f ca="1">VLOOKUP(Tableau118[[#This Row],[Key(ID-Actif)]],'DATA BTO'!A:N,12,FALSE)</f>
        <v>#N/A</v>
      </c>
      <c r="AJ6" s="53" t="e">
        <f ca="1">VLOOKUP(Tableau118[[#This Row],[Key(ID-Actif)]],'DATA BTO'!A:N,14,FALSE)</f>
        <v>#N/A</v>
      </c>
      <c r="AK6" s="54" t="e">
        <f ca="1">VLOOKUP(Tableau118[[#This Row],[Key(POD -PFI- Usine)]],'DATA Consignee'!A:F,6,FALSE)</f>
        <v>#N/A</v>
      </c>
      <c r="AL6" s="127"/>
      <c r="AM6" s="438" t="str">
        <f>IF(Tableau118[[#This Row],[Name PFI/CDD]]="","-",VLOOKUP(Tableau118[[#This Row],[Name PFI/CDD]],Plant_AILN!I:J,2,FALSE))</f>
        <v>-</v>
      </c>
      <c r="AN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" s="2" t="e">
        <f ca="1">VLOOKUP(Tableau118[[#This Row],[Key(POD -PFI- Usine)]],'DATA Consignee'!A:J,10,FALSE)</f>
        <v>#N/A</v>
      </c>
      <c r="AQ6" s="50" t="e">
        <f ca="1">VLOOKUP(Tableau118[[#This Row],[Key(POD -PFI- Usine)]],'DATA Consignee'!A:N,14,FALSE)</f>
        <v>#N/A</v>
      </c>
      <c r="AR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" s="50" t="e">
        <f ca="1">Tableau118[[#This Row],[Transit time]]+Tableau118[[#This Row],[Time for security]]+Tableau118[[#This Row],[Time for security2 buffer]]</f>
        <v>#N/A</v>
      </c>
      <c r="AU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" s="433" t="e">
        <f ca="1">Tableau118[[#This Row],[Leadtime SI2C]]+Tableau118[[#This Row],[First Receipt Days]]-Tableau118[[#This Row],[Day Customer Order]]+1</f>
        <v>#N/A</v>
      </c>
      <c r="AW6" s="119" t="e">
        <f ca="1">IF(Tableau118[[#This Row],[Name ILN]]&lt;&gt;"SFK Freight Forwarder",Tableau118[[#This Row],[Cust. Leadtime]],Tableau118[[#This Row],[Leadtime SI2C]])</f>
        <v>#N/A</v>
      </c>
      <c r="AX6" s="51" t="str">
        <f>VLOOKUP(Tableau118[[#This Row],[ID]],'DATA BTO'!B:P,15,FALSE)</f>
        <v>Horse &gt; Renault BPH (MLP)</v>
      </c>
      <c r="AY6" s="338">
        <f ca="1">IFERROR(VLOOKUP(Tableau118[[#This Row],[Key(ID-Actif)]],'DATA BTO'!A:N,4,FALSE),VLOOKUP(Tableau118[[#This Row],[ID]],'DATA BTO'!B:N,3,FALSE))</f>
        <v>46142</v>
      </c>
      <c r="AZ6" s="50" t="str">
        <f>IF(ISNUMBER(Tableau118[[#This Row],[Day Customer Order]]),"-","Please Check 'Name' information in 'Order' Sheet to make sure they have information")</f>
        <v>-</v>
      </c>
      <c r="BA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" s="50"/>
    </row>
    <row r="7" spans="2:57">
      <c r="B7" s="67" t="str">
        <f>_xlfn.CONCAT(Tableau118[[#This Row],[Name ILN]],"-",Tableau118[[#This Row],[Name Shipper]],"-",Tableau118[[#This Row],[Name Site]])</f>
        <v>ILN Chennai-ILN Chennai-CORMECANICA</v>
      </c>
      <c r="C7" s="67" t="e">
        <f ca="1">_xlfn.CONCAT(Tableau118[[#This Row],[Compte ILN]],"-",Tableau118[[#This Row],[Compte Shipper]],"-",Tableau118[[#This Row],[POL]],"-",Tableau118[[#This Row],[Compte Site]])</f>
        <v>#N/A</v>
      </c>
      <c r="D7" s="66" t="e">
        <f ca="1">_xlfn.CONCAT(Tableau118[[#This Row],[Compte ILN]],"-",Tableau118[[#This Row],[Compte Shipper]],"-",Tableau118[[#This Row],[POL]])</f>
        <v>#N/A</v>
      </c>
      <c r="E7" s="434" t="e">
        <f ca="1">_xlfn.CONCAT(Tableau118[[#This Row],[POL]],"-",Tableau118[[#This Row],[Carrier]],"-",Tableau118[[#This Row],[POD]])</f>
        <v>#N/A</v>
      </c>
      <c r="F7" s="66" t="str">
        <f>_xlfn.CONCAT(Tableau118[[#This Row],[ID]],"-","Next")</f>
        <v>120-Next</v>
      </c>
      <c r="G7" s="66" t="e">
        <f ca="1">_xlfn.CONCAT(Tableau118[[#This Row],[POD]],"-",Tableau118[[#This Row],[Code PFI]],"-",Tableau118[[#This Row],[Compte Site]])</f>
        <v>#N/A</v>
      </c>
      <c r="H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" s="435" t="str">
        <f ca="1">IF(COUNTIF(I:I,Tableau118[[#This Row],[Plant-ILN-shipper-POL-Carrier-POD-PFI]])=1,"Non","Oui")</f>
        <v>Oui</v>
      </c>
      <c r="K7" s="436" t="str">
        <f>VLOOKUP(Tableau118[[#This Row],[Name Site]],Plant_AILN!A:D,4,FALSE)</f>
        <v>CHILE</v>
      </c>
      <c r="L7" s="285" t="s">
        <v>142</v>
      </c>
      <c r="M7" s="439">
        <f>VLOOKUP(Tableau118[[#This Row],[Name Site]],Plant_AILN!A:C,3,FALSE)</f>
        <v>90009500</v>
      </c>
      <c r="N7" s="55">
        <f>IF(Tableau118[[#This Row],[Name PFI/CDD]]="PFI VLL",2,VLOOKUP(Tableau118[[#This Row],[Compte Site]],Order!C:D,2,FALSE))</f>
        <v>7</v>
      </c>
      <c r="O7" s="116" t="s">
        <v>149</v>
      </c>
      <c r="P7" s="365">
        <f>VLOOKUP(Tableau118[[#This Row],[Name ILN]],Plant_AILN!F:G,2,FALSE)</f>
        <v>2533780546</v>
      </c>
      <c r="Q7" s="50">
        <f>VLOOKUP(Tableau118[[#This Row],[Compte ILN]],'DATA ILN'!D:I,6,FALSE)</f>
        <v>9</v>
      </c>
      <c r="R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7" s="50" t="e">
        <f ca="1">Tableau118[[#This Row],[Day ILN Order]]+Tableau118[[#This Row],[Delivery time to ILN/Shipper]]-1</f>
        <v>#N/A</v>
      </c>
      <c r="V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7" s="116" t="s">
        <v>149</v>
      </c>
      <c r="Y7" s="437">
        <f>IFERROR(VLOOKUP(Tableau118[[#This Row],[Name Shipper]],Plant_AILN!L:M,2,FALSE),0)</f>
        <v>2533780546</v>
      </c>
      <c r="Z7" s="406">
        <v>120</v>
      </c>
      <c r="AA7" s="396" t="e">
        <f ca="1">VLOOKUP(Tableau118[[#This Row],[Key(ID-Actif)]],'DATA BTO'!A:N,5,FALSE)</f>
        <v>#N/A</v>
      </c>
      <c r="AB7" s="3" t="e">
        <f ca="1">VLOOKUP(Tableau118[[#This Row],[Key(ID-Actif)]],'DATA BTO'!A:N,6,FALSE)</f>
        <v>#N/A</v>
      </c>
      <c r="AC7" s="50" t="e">
        <f ca="1">VLOOKUP(Tableau118[[#This Row],[Key(ID-Actif)]],'DATA BTO'!A:N,7,FALSE)</f>
        <v>#N/A</v>
      </c>
      <c r="AD7" s="50" t="e">
        <f ca="1">VLOOKUP(Tableau118[[#This Row],[Key(ID-Actif)]],'DATA BTO'!A:N,8,FALSE)</f>
        <v>#N/A</v>
      </c>
      <c r="AE7" s="432" t="e">
        <f ca="1">IF(Tableau118[[#This Row],[First Day to POL]]&lt;=Tableau118[[#This Row],[Day Cut Off]],Tableau118[[#This Row],[Day ETD]],Tableau118[[#This Row],[Day ETD]]+7)</f>
        <v>#N/A</v>
      </c>
      <c r="AF7" s="50" t="e">
        <f ca="1">VLOOKUP(Tableau118[[#This Row],[Key(ID-Actif)]],'DATA BTO'!A:N,9,FALSE)</f>
        <v>#N/A</v>
      </c>
      <c r="AG7" s="3" t="e">
        <f ca="1">VLOOKUP(Tableau118[[#This Row],[Key(ID-Actif)]],'DATA BTO'!A:N,10,FALSE)</f>
        <v>#N/A</v>
      </c>
      <c r="AH7" s="3" t="e">
        <f ca="1">VLOOKUP(Tableau118[[#This Row],[Key(ID-Actif)]],'DATA BTO'!A:N,11,FALSE)</f>
        <v>#N/A</v>
      </c>
      <c r="AI7" s="50" t="e">
        <f ca="1">VLOOKUP(Tableau118[[#This Row],[Key(ID-Actif)]],'DATA BTO'!A:N,12,FALSE)</f>
        <v>#N/A</v>
      </c>
      <c r="AJ7" s="53" t="e">
        <f ca="1">VLOOKUP(Tableau118[[#This Row],[Key(ID-Actif)]],'DATA BTO'!A:N,14,FALSE)</f>
        <v>#N/A</v>
      </c>
      <c r="AK7" s="54" t="e">
        <f ca="1">VLOOKUP(Tableau118[[#This Row],[Key(POD -PFI- Usine)]],'DATA Consignee'!A:F,6,FALSE)</f>
        <v>#N/A</v>
      </c>
      <c r="AL7" s="127"/>
      <c r="AM7" s="438" t="str">
        <f>IF(Tableau118[[#This Row],[Name PFI/CDD]]="","-",VLOOKUP(Tableau118[[#This Row],[Name PFI/CDD]],Plant_AILN!I:J,2,FALSE))</f>
        <v>-</v>
      </c>
      <c r="AN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" s="2" t="e">
        <f ca="1">VLOOKUP(Tableau118[[#This Row],[Key(POD -PFI- Usine)]],'DATA Consignee'!A:J,10,FALSE)</f>
        <v>#N/A</v>
      </c>
      <c r="AQ7" s="50" t="e">
        <f ca="1">VLOOKUP(Tableau118[[#This Row],[Key(POD -PFI- Usine)]],'DATA Consignee'!A:N,14,FALSE)</f>
        <v>#N/A</v>
      </c>
      <c r="AR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" s="50" t="e">
        <f ca="1">Tableau118[[#This Row],[Transit time]]+Tableau118[[#This Row],[Time for security]]+Tableau118[[#This Row],[Time for security2 buffer]]</f>
        <v>#N/A</v>
      </c>
      <c r="AU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" s="433" t="e">
        <f ca="1">Tableau118[[#This Row],[Leadtime SI2C]]+Tableau118[[#This Row],[First Receipt Days]]-Tableau118[[#This Row],[Day Customer Order]]+1</f>
        <v>#N/A</v>
      </c>
      <c r="AW7" s="119" t="e">
        <f ca="1">IF(Tableau118[[#This Row],[Name ILN]]&lt;&gt;"SFK Freight Forwarder",Tableau118[[#This Row],[Cust. Leadtime]],Tableau118[[#This Row],[Leadtime SI2C]])</f>
        <v>#N/A</v>
      </c>
      <c r="AX7" s="51" t="str">
        <f>VLOOKUP(Tableau118[[#This Row],[ID]],'DATA BTO'!B:P,15,FALSE)</f>
        <v>Renault &gt; Horse BPH</v>
      </c>
      <c r="AY7" s="338">
        <f ca="1">IFERROR(VLOOKUP(Tableau118[[#This Row],[Key(ID-Actif)]],'DATA BTO'!A:N,4,FALSE),VLOOKUP(Tableau118[[#This Row],[ID]],'DATA BTO'!B:N,3,FALSE))</f>
        <v>45777</v>
      </c>
      <c r="AZ7" s="50" t="str">
        <f>IF(ISNUMBER(Tableau118[[#This Row],[Day Customer Order]]),"-","Please Check 'Name' information in 'Order' Sheet to make sure they have information")</f>
        <v>-</v>
      </c>
      <c r="BA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" s="50"/>
    </row>
    <row r="8" spans="2:57">
      <c r="B8" s="67" t="str">
        <f>_xlfn.CONCAT(Tableau118[[#This Row],[Name ILN]],"-",Tableau118[[#This Row],[Name Shipper]],"-",Tableau118[[#This Row],[Name Site]])</f>
        <v>ILN Pune-ILN Pune-CORMECANICA</v>
      </c>
      <c r="C8" s="67" t="e">
        <f ca="1">_xlfn.CONCAT(Tableau118[[#This Row],[Compte ILN]],"-",Tableau118[[#This Row],[Compte Shipper]],"-",Tableau118[[#This Row],[POL]],"-",Tableau118[[#This Row],[Compte Site]])</f>
        <v>#N/A</v>
      </c>
      <c r="D8" s="66" t="e">
        <f ca="1">_xlfn.CONCAT(Tableau118[[#This Row],[Compte ILN]],"-",Tableau118[[#This Row],[Compte Shipper]],"-",Tableau118[[#This Row],[POL]])</f>
        <v>#N/A</v>
      </c>
      <c r="E8" s="434" t="e">
        <f ca="1">_xlfn.CONCAT(Tableau118[[#This Row],[POL]],"-",Tableau118[[#This Row],[Carrier]],"-",Tableau118[[#This Row],[POD]])</f>
        <v>#N/A</v>
      </c>
      <c r="F8" s="66" t="str">
        <f>_xlfn.CONCAT(Tableau118[[#This Row],[ID]],"-","Next")</f>
        <v>121-Next</v>
      </c>
      <c r="G8" s="66" t="e">
        <f ca="1">_xlfn.CONCAT(Tableau118[[#This Row],[POD]],"-",Tableau118[[#This Row],[Code PFI]],"-",Tableau118[[#This Row],[Compte Site]])</f>
        <v>#N/A</v>
      </c>
      <c r="H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" s="435" t="str">
        <f ca="1">IF(COUNTIF(I:I,Tableau118[[#This Row],[Plant-ILN-shipper-POL-Carrier-POD-PFI]])=1,"Non","Oui")</f>
        <v>Oui</v>
      </c>
      <c r="K8" s="436" t="str">
        <f>VLOOKUP(Tableau118[[#This Row],[Name Site]],Plant_AILN!A:D,4,FALSE)</f>
        <v>CHILE</v>
      </c>
      <c r="L8" s="285" t="s">
        <v>142</v>
      </c>
      <c r="M8" s="439">
        <f>VLOOKUP(Tableau118[[#This Row],[Name Site]],Plant_AILN!A:C,3,FALSE)</f>
        <v>90009500</v>
      </c>
      <c r="N8" s="55">
        <f>IF(Tableau118[[#This Row],[Name PFI/CDD]]="PFI VLL",2,VLOOKUP(Tableau118[[#This Row],[Compte Site]],Order!C:D,2,FALSE))</f>
        <v>7</v>
      </c>
      <c r="O8" s="116" t="s">
        <v>150</v>
      </c>
      <c r="P8" s="365">
        <f>VLOOKUP(Tableau118[[#This Row],[Name ILN]],Plant_AILN!F:G,2,FALSE)</f>
        <v>2533780535</v>
      </c>
      <c r="Q8" s="50">
        <f>VLOOKUP(Tableau118[[#This Row],[Compte ILN]],'DATA ILN'!D:I,6,FALSE)</f>
        <v>9</v>
      </c>
      <c r="R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8" s="50" t="e">
        <f ca="1">Tableau118[[#This Row],[Day ILN Order]]+Tableau118[[#This Row],[Delivery time to ILN/Shipper]]-1</f>
        <v>#N/A</v>
      </c>
      <c r="V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8" s="284" t="s">
        <v>150</v>
      </c>
      <c r="Y8" s="437">
        <f>IFERROR(VLOOKUP(Tableau118[[#This Row],[Name Shipper]],Plant_AILN!L:M,2,FALSE),0)</f>
        <v>2533780535</v>
      </c>
      <c r="Z8" s="406">
        <v>121</v>
      </c>
      <c r="AA8" s="396" t="e">
        <f ca="1">VLOOKUP(Tableau118[[#This Row],[Key(ID-Actif)]],'DATA BTO'!A:N,5,FALSE)</f>
        <v>#N/A</v>
      </c>
      <c r="AB8" s="3" t="e">
        <f ca="1">VLOOKUP(Tableau118[[#This Row],[Key(ID-Actif)]],'DATA BTO'!A:N,6,FALSE)</f>
        <v>#N/A</v>
      </c>
      <c r="AC8" s="50" t="e">
        <f ca="1">VLOOKUP(Tableau118[[#This Row],[Key(ID-Actif)]],'DATA BTO'!A:N,7,FALSE)</f>
        <v>#N/A</v>
      </c>
      <c r="AD8" s="50" t="e">
        <f ca="1">VLOOKUP(Tableau118[[#This Row],[Key(ID-Actif)]],'DATA BTO'!A:N,8,FALSE)</f>
        <v>#N/A</v>
      </c>
      <c r="AE8" s="50" t="e">
        <f ca="1">IF(Tableau118[[#This Row],[First Day to POL]]&lt;=Tableau118[[#This Row],[Day Cut Off]],Tableau118[[#This Row],[Day ETD]],Tableau118[[#This Row],[Day ETD]]+7)</f>
        <v>#N/A</v>
      </c>
      <c r="AF8" s="50" t="e">
        <f ca="1">VLOOKUP(Tableau118[[#This Row],[Key(ID-Actif)]],'DATA BTO'!A:N,9,FALSE)</f>
        <v>#N/A</v>
      </c>
      <c r="AG8" s="3" t="e">
        <f ca="1">VLOOKUP(Tableau118[[#This Row],[Key(ID-Actif)]],'DATA BTO'!A:N,10,FALSE)</f>
        <v>#N/A</v>
      </c>
      <c r="AH8" s="3" t="e">
        <f ca="1">VLOOKUP(Tableau118[[#This Row],[Key(ID-Actif)]],'DATA BTO'!A:N,11,FALSE)</f>
        <v>#N/A</v>
      </c>
      <c r="AI8" s="50" t="e">
        <f ca="1">VLOOKUP(Tableau118[[#This Row],[Key(ID-Actif)]],'DATA BTO'!A:N,12,FALSE)</f>
        <v>#N/A</v>
      </c>
      <c r="AJ8" s="53" t="e">
        <f ca="1">VLOOKUP(Tableau118[[#This Row],[Key(ID-Actif)]],'DATA BTO'!A:N,14,FALSE)</f>
        <v>#N/A</v>
      </c>
      <c r="AK8" s="54" t="e">
        <f ca="1">VLOOKUP(Tableau118[[#This Row],[Key(POD -PFI- Usine)]],'DATA Consignee'!A:F,6,FALSE)</f>
        <v>#N/A</v>
      </c>
      <c r="AL8" s="127"/>
      <c r="AM8" s="438" t="str">
        <f>IF(Tableau118[[#This Row],[Name PFI/CDD]]="","-",VLOOKUP(Tableau118[[#This Row],[Name PFI/CDD]],Plant_AILN!I:J,2,FALSE))</f>
        <v>-</v>
      </c>
      <c r="AN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" s="2" t="e">
        <f ca="1">VLOOKUP(Tableau118[[#This Row],[Key(POD -PFI- Usine)]],'DATA Consignee'!A:J,10,FALSE)</f>
        <v>#N/A</v>
      </c>
      <c r="AQ8" s="50" t="e">
        <f ca="1">VLOOKUP(Tableau118[[#This Row],[Key(POD -PFI- Usine)]],'DATA Consignee'!A:N,14,FALSE)</f>
        <v>#N/A</v>
      </c>
      <c r="AR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" s="50" t="e">
        <f ca="1">Tableau118[[#This Row],[Transit time]]+Tableau118[[#This Row],[Time for security]]+Tableau118[[#This Row],[Time for security2 buffer]]</f>
        <v>#N/A</v>
      </c>
      <c r="AU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" s="433" t="e">
        <f ca="1">Tableau118[[#This Row],[Leadtime SI2C]]+Tableau118[[#This Row],[First Receipt Days]]-Tableau118[[#This Row],[Day Customer Order]]+1</f>
        <v>#N/A</v>
      </c>
      <c r="AW8" s="119" t="e">
        <f ca="1">IF(Tableau118[[#This Row],[Name ILN]]&lt;&gt;"SFK Freight Forwarder",Tableau118[[#This Row],[Cust. Leadtime]],Tableau118[[#This Row],[Leadtime SI2C]])</f>
        <v>#N/A</v>
      </c>
      <c r="AX8" s="51" t="str">
        <f>VLOOKUP(Tableau118[[#This Row],[ID]],'DATA BTO'!B:P,15,FALSE)</f>
        <v>Renault &gt; Horse BPH</v>
      </c>
      <c r="AY8" s="338">
        <f ca="1">IFERROR(VLOOKUP(Tableau118[[#This Row],[Key(ID-Actif)]],'DATA BTO'!A:N,4,FALSE),VLOOKUP(Tableau118[[#This Row],[ID]],'DATA BTO'!B:N,3,FALSE))</f>
        <v>45777</v>
      </c>
      <c r="AZ8" s="50" t="str">
        <f>IF(ISNUMBER(Tableau118[[#This Row],[Day Customer Order]]),"-","Please Check 'Name' information in 'Order' Sheet to make sure they have information")</f>
        <v>-</v>
      </c>
      <c r="BA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" s="50"/>
    </row>
    <row r="9" spans="2:57">
      <c r="B9" s="67" t="str">
        <f>_xlfn.CONCAT(Tableau118[[#This Row],[Name ILN]],"-",Tableau118[[#This Row],[Name Shipper]],"-",Tableau118[[#This Row],[Name Site]])</f>
        <v>ILN VLL-ILN VLL-CORMECANICA</v>
      </c>
      <c r="C9" s="67" t="e">
        <f ca="1">_xlfn.CONCAT(Tableau118[[#This Row],[Compte ILN]],"-",Tableau118[[#This Row],[Compte Shipper]],"-",Tableau118[[#This Row],[POL]],"-",Tableau118[[#This Row],[Compte Site]])</f>
        <v>#N/A</v>
      </c>
      <c r="D9" s="66" t="e">
        <f ca="1">_xlfn.CONCAT(Tableau118[[#This Row],[Compte ILN]],"-",Tableau118[[#This Row],[Compte Shipper]],"-",Tableau118[[#This Row],[POL]])</f>
        <v>#N/A</v>
      </c>
      <c r="E9" s="434" t="e">
        <f ca="1">_xlfn.CONCAT(Tableau118[[#This Row],[POL]],"-",Tableau118[[#This Row],[Carrier]],"-",Tableau118[[#This Row],[POD]])</f>
        <v>#N/A</v>
      </c>
      <c r="F9" s="66" t="str">
        <f>_xlfn.CONCAT(Tableau118[[#This Row],[ID]],"-","Next")</f>
        <v>233-Next</v>
      </c>
      <c r="G9" s="66" t="e">
        <f ca="1">_xlfn.CONCAT(Tableau118[[#This Row],[POD]],"-",Tableau118[[#This Row],[Code PFI]],"-",Tableau118[[#This Row],[Compte Site]])</f>
        <v>#N/A</v>
      </c>
      <c r="H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" s="435" t="str">
        <f ca="1">IF(COUNTIF(I:I,Tableau118[[#This Row],[Plant-ILN-shipper-POL-Carrier-POD-PFI]])=1,"Non","Oui")</f>
        <v>Oui</v>
      </c>
      <c r="K9" s="436" t="str">
        <f>VLOOKUP(Tableau118[[#This Row],[Name Site]],Plant_AILN!A:D,4,FALSE)</f>
        <v>CHILE</v>
      </c>
      <c r="L9" s="285" t="s">
        <v>142</v>
      </c>
      <c r="M9" s="439">
        <f>VLOOKUP(Tableau118[[#This Row],[Name Site]],Plant_AILN!A:C,3,FALSE)</f>
        <v>90009500</v>
      </c>
      <c r="N9" s="55">
        <f>IF(Tableau118[[#This Row],[Name PFI/CDD]]="PFI VLL",2,VLOOKUP(Tableau118[[#This Row],[Compte Site]],Order!C:D,2,FALSE))</f>
        <v>7</v>
      </c>
      <c r="O9" s="116" t="s">
        <v>151</v>
      </c>
      <c r="P9" s="365">
        <f>VLOOKUP(Tableau118[[#This Row],[Name ILN]],Plant_AILN!F:G,2,FALSE)</f>
        <v>91018400</v>
      </c>
      <c r="Q9" s="50">
        <f>VLOOKUP(Tableau118[[#This Row],[Compte ILN]],'DATA ILN'!D:I,6,FALSE)</f>
        <v>9</v>
      </c>
      <c r="R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9" s="50" t="e">
        <f ca="1">Tableau118[[#This Row],[Day ILN Order]]+Tableau118[[#This Row],[Delivery time to ILN/Shipper]]-1</f>
        <v>#N/A</v>
      </c>
      <c r="V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9" s="284" t="s">
        <v>151</v>
      </c>
      <c r="Y9" s="437">
        <f>IFERROR(VLOOKUP(Tableau118[[#This Row],[Name Shipper]],Plant_AILN!L:M,2,FALSE),0)</f>
        <v>91018400</v>
      </c>
      <c r="Z9" s="406">
        <v>233</v>
      </c>
      <c r="AA9" s="396" t="e">
        <f ca="1">VLOOKUP(Tableau118[[#This Row],[Key(ID-Actif)]],'DATA BTO'!A:N,5,FALSE)</f>
        <v>#N/A</v>
      </c>
      <c r="AB9" s="3" t="e">
        <f ca="1">VLOOKUP(Tableau118[[#This Row],[Key(ID-Actif)]],'DATA BTO'!A:N,6,FALSE)</f>
        <v>#N/A</v>
      </c>
      <c r="AC9" s="50" t="e">
        <f ca="1">VLOOKUP(Tableau118[[#This Row],[Key(ID-Actif)]],'DATA BTO'!A:N,7,FALSE)</f>
        <v>#N/A</v>
      </c>
      <c r="AD9" s="50" t="e">
        <f ca="1">VLOOKUP(Tableau118[[#This Row],[Key(ID-Actif)]],'DATA BTO'!A:N,8,FALSE)</f>
        <v>#N/A</v>
      </c>
      <c r="AE9" s="50" t="e">
        <f ca="1">IF(Tableau118[[#This Row],[First Day to POL]]&lt;=Tableau118[[#This Row],[Day Cut Off]],Tableau118[[#This Row],[Day ETD]],Tableau118[[#This Row],[Day ETD]]+7)</f>
        <v>#N/A</v>
      </c>
      <c r="AF9" s="50" t="e">
        <f ca="1">VLOOKUP(Tableau118[[#This Row],[Key(ID-Actif)]],'DATA BTO'!A:N,9,FALSE)</f>
        <v>#N/A</v>
      </c>
      <c r="AG9" s="3" t="e">
        <f ca="1">VLOOKUP(Tableau118[[#This Row],[Key(ID-Actif)]],'DATA BTO'!A:N,10,FALSE)</f>
        <v>#N/A</v>
      </c>
      <c r="AH9" s="3" t="e">
        <f ca="1">VLOOKUP(Tableau118[[#This Row],[Key(ID-Actif)]],'DATA BTO'!A:N,11,FALSE)</f>
        <v>#N/A</v>
      </c>
      <c r="AI9" s="50" t="e">
        <f ca="1">VLOOKUP(Tableau118[[#This Row],[Key(ID-Actif)]],'DATA BTO'!A:N,12,FALSE)</f>
        <v>#N/A</v>
      </c>
      <c r="AJ9" s="53" t="e">
        <f ca="1">VLOOKUP(Tableau118[[#This Row],[Key(ID-Actif)]],'DATA BTO'!A:N,14,FALSE)</f>
        <v>#N/A</v>
      </c>
      <c r="AK9" s="54" t="e">
        <f ca="1">VLOOKUP(Tableau118[[#This Row],[Key(POD -PFI- Usine)]],'DATA Consignee'!A:F,6,FALSE)</f>
        <v>#N/A</v>
      </c>
      <c r="AL9" s="127"/>
      <c r="AM9" s="438" t="str">
        <f>IF(Tableau118[[#This Row],[Name PFI/CDD]]="","-",VLOOKUP(Tableau118[[#This Row],[Name PFI/CDD]],Plant_AILN!I:J,2,FALSE))</f>
        <v>-</v>
      </c>
      <c r="AN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" s="2" t="e">
        <f ca="1">VLOOKUP(Tableau118[[#This Row],[Key(POD -PFI- Usine)]],'DATA Consignee'!A:J,10,FALSE)</f>
        <v>#N/A</v>
      </c>
      <c r="AQ9" s="50" t="e">
        <f ca="1">VLOOKUP(Tableau118[[#This Row],[Key(POD -PFI- Usine)]],'DATA Consignee'!A:N,14,FALSE)</f>
        <v>#N/A</v>
      </c>
      <c r="AR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" s="50" t="e">
        <f ca="1">Tableau118[[#This Row],[Transit time]]+Tableau118[[#This Row],[Time for security]]+Tableau118[[#This Row],[Time for security2 buffer]]</f>
        <v>#N/A</v>
      </c>
      <c r="AU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" s="433" t="e">
        <f ca="1">Tableau118[[#This Row],[Leadtime SI2C]]+Tableau118[[#This Row],[First Receipt Days]]-Tableau118[[#This Row],[Day Customer Order]]+1</f>
        <v>#N/A</v>
      </c>
      <c r="AW9" s="119" t="e">
        <f ca="1">IF(Tableau118[[#This Row],[Name ILN]]&lt;&gt;"SFK Freight Forwarder",Tableau118[[#This Row],[Cust. Leadtime]],Tableau118[[#This Row],[Leadtime SI2C]])</f>
        <v>#N/A</v>
      </c>
      <c r="AX9" s="51" t="str">
        <f>VLOOKUP(Tableau118[[#This Row],[ID]],'DATA BTO'!B:P,15,FALSE)</f>
        <v>Renault &gt; Horse BPH</v>
      </c>
      <c r="AY9" s="338">
        <f ca="1">IFERROR(VLOOKUP(Tableau118[[#This Row],[Key(ID-Actif)]],'DATA BTO'!A:N,4,FALSE),VLOOKUP(Tableau118[[#This Row],[ID]],'DATA BTO'!B:N,3,FALSE))</f>
        <v>46142</v>
      </c>
      <c r="AZ9" s="50" t="str">
        <f>IF(ISNUMBER(Tableau118[[#This Row],[Day Customer Order]]),"-","Please Check 'Name' information in 'Order' Sheet to make sure they have information")</f>
        <v>-</v>
      </c>
      <c r="BA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" s="50"/>
    </row>
    <row r="10" spans="2:57">
      <c r="B10" s="67" t="str">
        <f>_xlfn.CONCAT(Tableau118[[#This Row],[Name ILN]],"-",Tableau118[[#This Row],[Name Shipper]],"-",Tableau118[[#This Row],[Name Site]])</f>
        <v>SFK Freight Forwarder-Magna Shanghai-Curitiba CVP</v>
      </c>
      <c r="C10" s="67" t="e">
        <f ca="1">_xlfn.CONCAT(Tableau118[[#This Row],[Compte ILN]],"-",Tableau118[[#This Row],[Compte Shipper]],"-",Tableau118[[#This Row],[POL]],"-",Tableau118[[#This Row],[Compte Site]])</f>
        <v>#N/A</v>
      </c>
      <c r="D10" s="66" t="e">
        <f ca="1">_xlfn.CONCAT(Tableau118[[#This Row],[Compte ILN]],"-",Tableau118[[#This Row],[Compte Shipper]],"-",Tableau118[[#This Row],[POL]])</f>
        <v>#N/A</v>
      </c>
      <c r="E10" s="434" t="e">
        <f ca="1">_xlfn.CONCAT(Tableau118[[#This Row],[POL]],"-",Tableau118[[#This Row],[Carrier]],"-",Tableau118[[#This Row],[POD]])</f>
        <v>#N/A</v>
      </c>
      <c r="F10" s="66" t="str">
        <f>_xlfn.CONCAT(Tableau118[[#This Row],[ID]],"-","Next")</f>
        <v>752-Next</v>
      </c>
      <c r="G10" s="66" t="e">
        <f ca="1">_xlfn.CONCAT(Tableau118[[#This Row],[POD]],"-",Tableau118[[#This Row],[Code PFI]],"-",Tableau118[[#This Row],[Compte Site]])</f>
        <v>#N/A</v>
      </c>
      <c r="H1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" s="435" t="str">
        <f ca="1">IF(COUNTIF(I:I,Tableau118[[#This Row],[Plant-ILN-shipper-POL-Carrier-POD-PFI]])=1,"Non","Oui")</f>
        <v>Oui</v>
      </c>
      <c r="K10" s="436" t="str">
        <f>VLOOKUP(Tableau118[[#This Row],[Name Site]],Plant_AILN!A:D,4,FALSE)</f>
        <v>BRAZIL</v>
      </c>
      <c r="L10" s="285" t="s">
        <v>152</v>
      </c>
      <c r="M10" s="439">
        <f>VLOOKUP(Tableau118[[#This Row],[Name Site]],Plant_AILN!A:C,3,FALSE)</f>
        <v>90018000</v>
      </c>
      <c r="N10" s="55">
        <f>IF(Tableau118[[#This Row],[Name PFI/CDD]]="PFI VLL",2,VLOOKUP(Tableau118[[#This Row],[Compte Site]],Order!C:D,2,FALSE))</f>
        <v>7</v>
      </c>
      <c r="O10" s="116" t="s">
        <v>146</v>
      </c>
      <c r="P10" s="365">
        <f>VLOOKUP(Tableau118[[#This Row],[Name ILN]],Plant_AILN!F:G,2,FALSE)</f>
        <v>0</v>
      </c>
      <c r="Q10" s="50">
        <f>VLOOKUP(Tableau118[[#This Row],[Compte ILN]],'DATA ILN'!D:I,6,FALSE)</f>
        <v>9</v>
      </c>
      <c r="R1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0" s="50" t="e">
        <f ca="1">Tableau118[[#This Row],[Day ILN Order]]+Tableau118[[#This Row],[Delivery time to ILN/Shipper]]-1</f>
        <v>#N/A</v>
      </c>
      <c r="V1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0" s="284" t="s">
        <v>153</v>
      </c>
      <c r="Y10" s="437">
        <f>IFERROR(VLOOKUP(Tableau118[[#This Row],[Name Shipper]],Plant_AILN!L:M,2,FALSE),0)</f>
        <v>42838303</v>
      </c>
      <c r="Z10" s="406">
        <v>752</v>
      </c>
      <c r="AA10" s="396" t="e">
        <f ca="1">VLOOKUP(Tableau118[[#This Row],[Key(ID-Actif)]],'DATA BTO'!A:N,5,FALSE)</f>
        <v>#N/A</v>
      </c>
      <c r="AB10" s="3" t="e">
        <f ca="1">VLOOKUP(Tableau118[[#This Row],[Key(ID-Actif)]],'DATA BTO'!A:N,6,FALSE)</f>
        <v>#N/A</v>
      </c>
      <c r="AC10" s="50" t="e">
        <f ca="1">VLOOKUP(Tableau118[[#This Row],[Key(ID-Actif)]],'DATA BTO'!A:N,7,FALSE)</f>
        <v>#N/A</v>
      </c>
      <c r="AD10" s="50" t="e">
        <f ca="1">VLOOKUP(Tableau118[[#This Row],[Key(ID-Actif)]],'DATA BTO'!A:N,8,FALSE)</f>
        <v>#N/A</v>
      </c>
      <c r="AE10" s="50" t="e">
        <f ca="1">IF(Tableau118[[#This Row],[First Day to POL]]&lt;=Tableau118[[#This Row],[Day Cut Off]],Tableau118[[#This Row],[Day ETD]],Tableau118[[#This Row],[Day ETD]]+7)</f>
        <v>#N/A</v>
      </c>
      <c r="AF10" s="50" t="e">
        <f ca="1">VLOOKUP(Tableau118[[#This Row],[Key(ID-Actif)]],'DATA BTO'!A:N,9,FALSE)</f>
        <v>#N/A</v>
      </c>
      <c r="AG10" s="3" t="e">
        <f ca="1">VLOOKUP(Tableau118[[#This Row],[Key(ID-Actif)]],'DATA BTO'!A:N,10,FALSE)</f>
        <v>#N/A</v>
      </c>
      <c r="AH10" s="3" t="e">
        <f ca="1">VLOOKUP(Tableau118[[#This Row],[Key(ID-Actif)]],'DATA BTO'!A:N,11,FALSE)</f>
        <v>#N/A</v>
      </c>
      <c r="AI10" s="50" t="e">
        <f ca="1">VLOOKUP(Tableau118[[#This Row],[Key(ID-Actif)]],'DATA BTO'!A:N,12,FALSE)</f>
        <v>#N/A</v>
      </c>
      <c r="AJ10" s="53" t="e">
        <f ca="1">VLOOKUP(Tableau118[[#This Row],[Key(ID-Actif)]],'DATA BTO'!A:N,14,FALSE)</f>
        <v>#N/A</v>
      </c>
      <c r="AK10" s="54" t="e">
        <f ca="1">VLOOKUP(Tableau118[[#This Row],[Key(POD -PFI- Usine)]],'DATA Consignee'!A:F,6,FALSE)</f>
        <v>#N/A</v>
      </c>
      <c r="AL10" s="127"/>
      <c r="AM10" s="438" t="str">
        <f>IF(Tableau118[[#This Row],[Name PFI/CDD]]="","-",VLOOKUP(Tableau118[[#This Row],[Name PFI/CDD]],Plant_AILN!I:J,2,FALSE))</f>
        <v>-</v>
      </c>
      <c r="AN1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" s="2" t="e">
        <f ca="1">VLOOKUP(Tableau118[[#This Row],[Key(POD -PFI- Usine)]],'DATA Consignee'!A:J,10,FALSE)</f>
        <v>#N/A</v>
      </c>
      <c r="AQ10" s="50" t="e">
        <f ca="1">VLOOKUP(Tableau118[[#This Row],[Key(POD -PFI- Usine)]],'DATA Consignee'!A:N,14,FALSE)</f>
        <v>#N/A</v>
      </c>
      <c r="AR1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" s="50" t="e">
        <f ca="1">Tableau118[[#This Row],[Transit time]]+Tableau118[[#This Row],[Time for security]]+Tableau118[[#This Row],[Time for security2 buffer]]</f>
        <v>#N/A</v>
      </c>
      <c r="AU1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" s="433" t="e">
        <f ca="1">Tableau118[[#This Row],[Leadtime SI2C]]+Tableau118[[#This Row],[First Receipt Days]]-Tableau118[[#This Row],[Day Customer Order]]+1</f>
        <v>#N/A</v>
      </c>
      <c r="AW10" s="119" t="e">
        <f ca="1">IF(Tableau118[[#This Row],[Name ILN]]&lt;&gt;"SFK Freight Forwarder",Tableau118[[#This Row],[Cust. Leadtime]],Tableau118[[#This Row],[Leadtime SI2C]])</f>
        <v>#N/A</v>
      </c>
      <c r="AX10" s="51" t="str">
        <f>VLOOKUP(Tableau118[[#This Row],[ID]],'DATA BTO'!B:P,15,FALSE)</f>
        <v>Horse &gt; Renault BPH (MLP)</v>
      </c>
      <c r="AY10" s="338">
        <f ca="1">IFERROR(VLOOKUP(Tableau118[[#This Row],[Key(ID-Actif)]],'DATA BTO'!A:N,4,FALSE),VLOOKUP(Tableau118[[#This Row],[ID]],'DATA BTO'!B:N,3,FALSE))</f>
        <v>46142</v>
      </c>
      <c r="AZ10" s="50" t="str">
        <f>IF(ISNUMBER(Tableau118[[#This Row],[Day Customer Order]]),"-","Please Check 'Name' information in 'Order' Sheet to make sure they have information")</f>
        <v>-</v>
      </c>
      <c r="BA1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" s="50"/>
    </row>
    <row r="11" spans="2:57">
      <c r="B11" s="67" t="str">
        <f>_xlfn.CONCAT(Tableau118[[#This Row],[Name ILN]],"-",Tableau118[[#This Row],[Name Shipper]],"-",Tableau118[[#This Row],[Name Site]])</f>
        <v>SFK Freight Forwarder-Magna Shanghai-SOVAB</v>
      </c>
      <c r="C11" s="67" t="e">
        <f ca="1">_xlfn.CONCAT(Tableau118[[#This Row],[Compte ILN]],"-",Tableau118[[#This Row],[Compte Shipper]],"-",Tableau118[[#This Row],[POL]],"-",Tableau118[[#This Row],[Compte Site]])</f>
        <v>#N/A</v>
      </c>
      <c r="D11" s="66" t="e">
        <f ca="1">_xlfn.CONCAT(Tableau118[[#This Row],[Compte ILN]],"-",Tableau118[[#This Row],[Compte Shipper]],"-",Tableau118[[#This Row],[POL]])</f>
        <v>#N/A</v>
      </c>
      <c r="E11" s="434" t="e">
        <f ca="1">_xlfn.CONCAT(Tableau118[[#This Row],[POL]],"-",Tableau118[[#This Row],[Carrier]],"-",Tableau118[[#This Row],[POD]])</f>
        <v>#N/A</v>
      </c>
      <c r="F11" s="66" t="str">
        <f>_xlfn.CONCAT(Tableau118[[#This Row],[ID]],"-","Next")</f>
        <v>761-Next</v>
      </c>
      <c r="G11" s="66" t="e">
        <f ca="1">_xlfn.CONCAT(Tableau118[[#This Row],[POD]],"-",Tableau118[[#This Row],[Code PFI]],"-",Tableau118[[#This Row],[Compte Site]])</f>
        <v>#N/A</v>
      </c>
      <c r="H1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" s="435" t="str">
        <f ca="1">IF(COUNTIF(I:I,Tableau118[[#This Row],[Plant-ILN-shipper-POL-Carrier-POD-PFI]])=1,"Non","Oui")</f>
        <v>Oui</v>
      </c>
      <c r="K11" s="440" t="str">
        <f>VLOOKUP(Tableau118[[#This Row],[Name Site]],Plant_AILN!A:D,4,FALSE)</f>
        <v>FRANCE</v>
      </c>
      <c r="L11" s="10" t="s">
        <v>154</v>
      </c>
      <c r="M11" s="439">
        <f>VLOOKUP(Tableau118[[#This Row],[Name Site]],Plant_AILN!A:C,3,FALSE)</f>
        <v>90016900</v>
      </c>
      <c r="N11" s="55">
        <f>IF(Tableau118[[#This Row],[Name PFI/CDD]]="PFI VLL",2,VLOOKUP(Tableau118[[#This Row],[Compte Site]],Order!C:D,2,FALSE))</f>
        <v>7</v>
      </c>
      <c r="O11" s="116" t="s">
        <v>146</v>
      </c>
      <c r="P11" s="365">
        <f>VLOOKUP(Tableau118[[#This Row],[Name ILN]],Plant_AILN!F:G,2,FALSE)</f>
        <v>0</v>
      </c>
      <c r="Q11" s="50">
        <f>VLOOKUP(Tableau118[[#This Row],[Compte ILN]],'DATA ILN'!D:I,6,FALSE)</f>
        <v>9</v>
      </c>
      <c r="R1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1" s="50" t="e">
        <f ca="1">Tableau118[[#This Row],[Day ILN Order]]+Tableau118[[#This Row],[Delivery time to ILN/Shipper]]-1</f>
        <v>#N/A</v>
      </c>
      <c r="V1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1" s="284" t="s">
        <v>153</v>
      </c>
      <c r="Y11" s="437">
        <f>IFERROR(VLOOKUP(Tableau118[[#This Row],[Name Shipper]],Plant_AILN!L:M,2,FALSE),0)</f>
        <v>42838303</v>
      </c>
      <c r="Z11" s="406">
        <v>761</v>
      </c>
      <c r="AA11" s="396" t="e">
        <f ca="1">VLOOKUP(Tableau118[[#This Row],[Key(ID-Actif)]],'DATA BTO'!A:N,5,FALSE)</f>
        <v>#N/A</v>
      </c>
      <c r="AB11" s="3" t="e">
        <f ca="1">VLOOKUP(Tableau118[[#This Row],[Key(ID-Actif)]],'DATA BTO'!A:N,6,FALSE)</f>
        <v>#N/A</v>
      </c>
      <c r="AC11" s="50" t="e">
        <f ca="1">VLOOKUP(Tableau118[[#This Row],[Key(ID-Actif)]],'DATA BTO'!A:N,7,FALSE)</f>
        <v>#N/A</v>
      </c>
      <c r="AD11" s="50" t="e">
        <f ca="1">VLOOKUP(Tableau118[[#This Row],[Key(ID-Actif)]],'DATA BTO'!A:N,8,FALSE)</f>
        <v>#N/A</v>
      </c>
      <c r="AE11" s="50" t="e">
        <f ca="1">IF(Tableau118[[#This Row],[First Day to POL]]&lt;=Tableau118[[#This Row],[Day Cut Off]],Tableau118[[#This Row],[Day ETD]],Tableau118[[#This Row],[Day ETD]]+7)</f>
        <v>#N/A</v>
      </c>
      <c r="AF11" s="50" t="e">
        <f ca="1">VLOOKUP(Tableau118[[#This Row],[Key(ID-Actif)]],'DATA BTO'!A:N,9,FALSE)</f>
        <v>#N/A</v>
      </c>
      <c r="AG11" s="3" t="e">
        <f ca="1">VLOOKUP(Tableau118[[#This Row],[Key(ID-Actif)]],'DATA BTO'!A:N,10,FALSE)</f>
        <v>#N/A</v>
      </c>
      <c r="AH11" s="3" t="e">
        <f ca="1">VLOOKUP(Tableau118[[#This Row],[Key(ID-Actif)]],'DATA BTO'!A:N,11,FALSE)</f>
        <v>#N/A</v>
      </c>
      <c r="AI11" s="50" t="e">
        <f ca="1">VLOOKUP(Tableau118[[#This Row],[Key(ID-Actif)]],'DATA BTO'!A:N,12,FALSE)</f>
        <v>#N/A</v>
      </c>
      <c r="AJ11" s="53" t="e">
        <f ca="1">VLOOKUP(Tableau118[[#This Row],[Key(ID-Actif)]],'DATA BTO'!A:N,14,FALSE)</f>
        <v>#N/A</v>
      </c>
      <c r="AK11" s="54" t="e">
        <f ca="1">VLOOKUP(Tableau118[[#This Row],[Key(POD -PFI- Usine)]],'DATA Consignee'!A:F,6,FALSE)</f>
        <v>#N/A</v>
      </c>
      <c r="AL11" s="127" t="s">
        <v>155</v>
      </c>
      <c r="AM11" s="438">
        <f>IF(Tableau118[[#This Row],[Name PFI/CDD]]="","-",VLOOKUP(Tableau118[[#This Row],[Name PFI/CDD]],Plant_AILN!I:J,2,FALSE))</f>
        <v>90016600</v>
      </c>
      <c r="AN1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" s="2" t="e">
        <f ca="1">VLOOKUP(Tableau118[[#This Row],[Key(POD -PFI- Usine)]],'DATA Consignee'!A:J,10,FALSE)</f>
        <v>#N/A</v>
      </c>
      <c r="AQ11" s="50" t="e">
        <f ca="1">VLOOKUP(Tableau118[[#This Row],[Key(POD -PFI- Usine)]],'DATA Consignee'!A:N,14,FALSE)</f>
        <v>#N/A</v>
      </c>
      <c r="AR1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" s="50" t="e">
        <f ca="1">Tableau118[[#This Row],[Transit time]]+Tableau118[[#This Row],[Time for security]]+Tableau118[[#This Row],[Time for security2 buffer]]</f>
        <v>#N/A</v>
      </c>
      <c r="AU1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" s="433" t="e">
        <f ca="1">Tableau118[[#This Row],[Leadtime SI2C]]+Tableau118[[#This Row],[First Receipt Days]]-Tableau118[[#This Row],[Day Customer Order]]+1</f>
        <v>#N/A</v>
      </c>
      <c r="AW11" s="119" t="e">
        <f ca="1">IF(Tableau118[[#This Row],[Name ILN]]&lt;&gt;"SFK Freight Forwarder",Tableau118[[#This Row],[Cust. Leadtime]],Tableau118[[#This Row],[Leadtime SI2C]])</f>
        <v>#N/A</v>
      </c>
      <c r="AX11" s="51" t="str">
        <f>VLOOKUP(Tableau118[[#This Row],[ID]],'DATA BTO'!B:P,15,FALSE)</f>
        <v>Horse &gt; Renault BPH (MLP)</v>
      </c>
      <c r="AY11" s="338">
        <f ca="1">IFERROR(VLOOKUP(Tableau118[[#This Row],[Key(ID-Actif)]],'DATA BTO'!A:N,4,FALSE),VLOOKUP(Tableau118[[#This Row],[ID]],'DATA BTO'!B:N,3,FALSE))</f>
        <v>45777</v>
      </c>
      <c r="AZ11" s="50" t="str">
        <f>IF(ISNUMBER(Tableau118[[#This Row],[Day Customer Order]]),"-","Please Check 'Name' information in 'Order' Sheet to make sure they have information")</f>
        <v>-</v>
      </c>
      <c r="BA1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" s="50"/>
    </row>
    <row r="12" spans="2:57">
      <c r="B12" s="67" t="str">
        <f>_xlfn.CONCAT(Tableau118[[#This Row],[Name ILN]],"-",Tableau118[[#This Row],[Name Shipper]],"-",Tableau118[[#This Row],[Name Site]])</f>
        <v>ILN VLL-SEVILLE-RKM</v>
      </c>
      <c r="C12" s="67" t="e">
        <f ca="1">_xlfn.CONCAT(Tableau118[[#This Row],[Compte ILN]],"-",Tableau118[[#This Row],[Compte Shipper]],"-",Tableau118[[#This Row],[POL]],"-",Tableau118[[#This Row],[Compte Site]])</f>
        <v>#N/A</v>
      </c>
      <c r="D12" s="66" t="e">
        <f ca="1">_xlfn.CONCAT(Tableau118[[#This Row],[Compte ILN]],"-",Tableau118[[#This Row],[Compte Shipper]],"-",Tableau118[[#This Row],[POL]])</f>
        <v>#N/A</v>
      </c>
      <c r="E12" s="434" t="e">
        <f ca="1">_xlfn.CONCAT(Tableau118[[#This Row],[POL]],"-",Tableau118[[#This Row],[Carrier]],"-",Tableau118[[#This Row],[POD]])</f>
        <v>#N/A</v>
      </c>
      <c r="F12" s="66" t="str">
        <f>_xlfn.CONCAT(Tableau118[[#This Row],[ID]],"-","Next")</f>
        <v>801-Next</v>
      </c>
      <c r="G12" s="66" t="e">
        <f ca="1">_xlfn.CONCAT(Tableau118[[#This Row],[POD]],"-",Tableau118[[#This Row],[Code PFI]],"-",Tableau118[[#This Row],[Compte Site]])</f>
        <v>#N/A</v>
      </c>
      <c r="H1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" s="435" t="str">
        <f ca="1">IF(COUNTIF(I:I,Tableau118[[#This Row],[Plant-ILN-shipper-POL-Carrier-POD-PFI]])=1,"Non","Oui")</f>
        <v>Oui</v>
      </c>
      <c r="K12" s="440" t="str">
        <f>VLOOKUP(Tableau118[[#This Row],[Name Site]],Plant_AILN!A:D,4,FALSE)</f>
        <v>KOREA</v>
      </c>
      <c r="L12" s="10" t="s">
        <v>145</v>
      </c>
      <c r="M12" s="439">
        <f>VLOOKUP(Tableau118[[#This Row],[Name Site]],Plant_AILN!A:C,3,FALSE)</f>
        <v>92002200</v>
      </c>
      <c r="N12" s="55">
        <f>IF(Tableau118[[#This Row],[Name PFI/CDD]]="PFI VLL",2,VLOOKUP(Tableau118[[#This Row],[Compte Site]],Order!C:D,2,FALSE))</f>
        <v>2</v>
      </c>
      <c r="O12" s="116" t="s">
        <v>151</v>
      </c>
      <c r="P12" s="365">
        <f>VLOOKUP(Tableau118[[#This Row],[Name ILN]],Plant_AILN!F:G,2,FALSE)</f>
        <v>91018400</v>
      </c>
      <c r="Q12" s="50">
        <f>VLOOKUP(Tableau118[[#This Row],[Compte ILN]],'DATA ILN'!D:I,6,FALSE)</f>
        <v>9</v>
      </c>
      <c r="R1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2" s="50" t="e">
        <f ca="1">Tableau118[[#This Row],[Day ILN Order]]+Tableau118[[#This Row],[Delivery time to ILN/Shipper]]-1</f>
        <v>#N/A</v>
      </c>
      <c r="V1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2" s="284" t="s">
        <v>156</v>
      </c>
      <c r="Y12" s="437">
        <f>IFERROR(VLOOKUP(Tableau118[[#This Row],[Name Shipper]],Plant_AILN!L:M,2,FALSE),0)</f>
        <v>91017500</v>
      </c>
      <c r="Z12" s="406">
        <v>801</v>
      </c>
      <c r="AA12" s="396" t="e">
        <f ca="1">VLOOKUP(Tableau118[[#This Row],[Key(ID-Actif)]],'DATA BTO'!A:N,5,FALSE)</f>
        <v>#N/A</v>
      </c>
      <c r="AB12" s="3" t="e">
        <f ca="1">VLOOKUP(Tableau118[[#This Row],[Key(ID-Actif)]],'DATA BTO'!A:N,6,FALSE)</f>
        <v>#N/A</v>
      </c>
      <c r="AC12" s="50" t="e">
        <f ca="1">VLOOKUP(Tableau118[[#This Row],[Key(ID-Actif)]],'DATA BTO'!A:N,7,FALSE)</f>
        <v>#N/A</v>
      </c>
      <c r="AD12" s="50" t="e">
        <f ca="1">VLOOKUP(Tableau118[[#This Row],[Key(ID-Actif)]],'DATA BTO'!A:N,8,FALSE)</f>
        <v>#N/A</v>
      </c>
      <c r="AE12" s="50" t="e">
        <f ca="1">IF(Tableau118[[#This Row],[First Day to POL]]&lt;=Tableau118[[#This Row],[Day Cut Off]],Tableau118[[#This Row],[Day ETD]],Tableau118[[#This Row],[Day ETD]]+7)</f>
        <v>#N/A</v>
      </c>
      <c r="AF12" s="50" t="e">
        <f ca="1">VLOOKUP(Tableau118[[#This Row],[Key(ID-Actif)]],'DATA BTO'!A:N,9,FALSE)</f>
        <v>#N/A</v>
      </c>
      <c r="AG12" s="3" t="e">
        <f ca="1">VLOOKUP(Tableau118[[#This Row],[Key(ID-Actif)]],'DATA BTO'!A:N,10,FALSE)</f>
        <v>#N/A</v>
      </c>
      <c r="AH12" s="3" t="e">
        <f ca="1">VLOOKUP(Tableau118[[#This Row],[Key(ID-Actif)]],'DATA BTO'!A:N,11,FALSE)</f>
        <v>#N/A</v>
      </c>
      <c r="AI12" s="50" t="e">
        <f ca="1">VLOOKUP(Tableau118[[#This Row],[Key(ID-Actif)]],'DATA BTO'!A:N,12,FALSE)</f>
        <v>#N/A</v>
      </c>
      <c r="AJ12" s="53" t="e">
        <f ca="1">VLOOKUP(Tableau118[[#This Row],[Key(ID-Actif)]],'DATA BTO'!A:N,14,FALSE)</f>
        <v>#N/A</v>
      </c>
      <c r="AK12" s="54" t="e">
        <f ca="1">VLOOKUP(Tableau118[[#This Row],[Key(POD -PFI- Usine)]],'DATA Consignee'!A:F,6,FALSE)</f>
        <v>#N/A</v>
      </c>
      <c r="AL12" s="127"/>
      <c r="AM12" s="438" t="str">
        <f>IF(Tableau118[[#This Row],[Name PFI/CDD]]="","-",VLOOKUP(Tableau118[[#This Row],[Name PFI/CDD]],Plant_AILN!I:J,2,FALSE))</f>
        <v>-</v>
      </c>
      <c r="AN1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" s="2" t="e">
        <f ca="1">VLOOKUP(Tableau118[[#This Row],[Key(POD -PFI- Usine)]],'DATA Consignee'!A:J,10,FALSE)</f>
        <v>#N/A</v>
      </c>
      <c r="AQ12" s="50" t="e">
        <f ca="1">VLOOKUP(Tableau118[[#This Row],[Key(POD -PFI- Usine)]],'DATA Consignee'!A:N,14,FALSE)</f>
        <v>#N/A</v>
      </c>
      <c r="AR1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" s="50" t="e">
        <f ca="1">Tableau118[[#This Row],[Transit time]]+Tableau118[[#This Row],[Time for security]]+Tableau118[[#This Row],[Time for security2 buffer]]</f>
        <v>#N/A</v>
      </c>
      <c r="AU1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" s="433" t="e">
        <f ca="1">Tableau118[[#This Row],[Leadtime SI2C]]+Tableau118[[#This Row],[First Receipt Days]]-Tableau118[[#This Row],[Day Customer Order]]+1</f>
        <v>#N/A</v>
      </c>
      <c r="AW12" s="119" t="e">
        <f ca="1">IF(Tableau118[[#This Row],[Name ILN]]&lt;&gt;"SFK Freight Forwarder",Tableau118[[#This Row],[Cust. Leadtime]],Tableau118[[#This Row],[Leadtime SI2C]])</f>
        <v>#N/A</v>
      </c>
      <c r="AX12" s="51" t="str">
        <f>VLOOKUP(Tableau118[[#This Row],[ID]],'DATA BTO'!B:P,15,FALSE)</f>
        <v>Horse &gt; Renault BPR</v>
      </c>
      <c r="AY12" s="338">
        <f ca="1">IFERROR(VLOOKUP(Tableau118[[#This Row],[Key(ID-Actif)]],'DATA BTO'!A:N,4,FALSE),VLOOKUP(Tableau118[[#This Row],[ID]],'DATA BTO'!B:N,3,FALSE))</f>
        <v>46142</v>
      </c>
      <c r="AZ12" s="50" t="str">
        <f>IF(ISNUMBER(Tableau118[[#This Row],[Day Customer Order]]),"-","Please Check 'Name' information in 'Order' Sheet to make sure they have information")</f>
        <v>-</v>
      </c>
      <c r="BA1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" s="50"/>
    </row>
    <row r="13" spans="2:57">
      <c r="B13" s="67" t="str">
        <f>_xlfn.CONCAT(Tableau118[[#This Row],[Name ILN]],"-",Tableau118[[#This Row],[Name Shipper]],"-",Tableau118[[#This Row],[Name Site]])</f>
        <v>SFK Freight Forwarder-Magna Shanghai-CORDOBA</v>
      </c>
      <c r="C13" s="67" t="e">
        <f ca="1">_xlfn.CONCAT(Tableau118[[#This Row],[Compte ILN]],"-",Tableau118[[#This Row],[Compte Shipper]],"-",Tableau118[[#This Row],[POL]],"-",Tableau118[[#This Row],[Compte Site]])</f>
        <v>#N/A</v>
      </c>
      <c r="D13" s="66" t="e">
        <f ca="1">_xlfn.CONCAT(Tableau118[[#This Row],[Compte ILN]],"-",Tableau118[[#This Row],[Compte Shipper]],"-",Tableau118[[#This Row],[POL]])</f>
        <v>#N/A</v>
      </c>
      <c r="E13" s="434" t="e">
        <f ca="1">_xlfn.CONCAT(Tableau118[[#This Row],[POL]],"-",Tableau118[[#This Row],[Carrier]],"-",Tableau118[[#This Row],[POD]])</f>
        <v>#N/A</v>
      </c>
      <c r="F13" s="66" t="str">
        <f>_xlfn.CONCAT(Tableau118[[#This Row],[ID]],"-","Next")</f>
        <v>866-Next</v>
      </c>
      <c r="G13" s="66" t="e">
        <f ca="1">_xlfn.CONCAT(Tableau118[[#This Row],[POD]],"-",Tableau118[[#This Row],[Code PFI]],"-",Tableau118[[#This Row],[Compte Site]])</f>
        <v>#N/A</v>
      </c>
      <c r="H1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" s="435" t="str">
        <f ca="1">IF(COUNTIF(I:I,Tableau118[[#This Row],[Plant-ILN-shipper-POL-Carrier-POD-PFI]])=1,"Non","Oui")</f>
        <v>Oui</v>
      </c>
      <c r="K13" s="436" t="str">
        <f>VLOOKUP(Tableau118[[#This Row],[Name Site]],Plant_AILN!A:D,4,FALSE)</f>
        <v>ARGENTINA</v>
      </c>
      <c r="L13" s="411" t="s">
        <v>158</v>
      </c>
      <c r="M13" s="439">
        <f>VLOOKUP(Tableau118[[#This Row],[Name Site]],Plant_AILN!A:C,3,FALSE)</f>
        <v>90016000</v>
      </c>
      <c r="N13" s="55">
        <f>IF(Tableau118[[#This Row],[Name PFI/CDD]]="PFI VLL",2,VLOOKUP(Tableau118[[#This Row],[Compte Site]],Order!C:D,2,FALSE))</f>
        <v>7</v>
      </c>
      <c r="O13" s="116" t="s">
        <v>146</v>
      </c>
      <c r="P13" s="365">
        <f>VLOOKUP(Tableau118[[#This Row],[Name ILN]],Plant_AILN!F:G,2,FALSE)</f>
        <v>0</v>
      </c>
      <c r="Q13" s="50">
        <f>VLOOKUP(Tableau118[[#This Row],[Compte ILN]],'DATA ILN'!D:I,6,FALSE)</f>
        <v>9</v>
      </c>
      <c r="R1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3" s="50" t="e">
        <f ca="1">Tableau118[[#This Row],[Day ILN Order]]+Tableau118[[#This Row],[Delivery time to ILN/Shipper]]-1</f>
        <v>#N/A</v>
      </c>
      <c r="V1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3" s="284" t="s">
        <v>153</v>
      </c>
      <c r="Y13" s="437">
        <f>IFERROR(VLOOKUP(Tableau118[[#This Row],[Name Shipper]],Plant_AILN!L:M,2,FALSE),0)</f>
        <v>42838303</v>
      </c>
      <c r="Z13" s="406">
        <v>866</v>
      </c>
      <c r="AA13" s="396" t="e">
        <f ca="1">VLOOKUP(Tableau118[[#This Row],[Key(ID-Actif)]],'DATA BTO'!A:N,5,FALSE)</f>
        <v>#N/A</v>
      </c>
      <c r="AB13" s="3" t="e">
        <f ca="1">VLOOKUP(Tableau118[[#This Row],[Key(ID-Actif)]],'DATA BTO'!A:N,6,FALSE)</f>
        <v>#N/A</v>
      </c>
      <c r="AC13" s="50" t="e">
        <f ca="1">VLOOKUP(Tableau118[[#This Row],[Key(ID-Actif)]],'DATA BTO'!A:N,7,FALSE)</f>
        <v>#N/A</v>
      </c>
      <c r="AD13" s="50" t="e">
        <f ca="1">VLOOKUP(Tableau118[[#This Row],[Key(ID-Actif)]],'DATA BTO'!A:N,8,FALSE)</f>
        <v>#N/A</v>
      </c>
      <c r="AE13" s="50" t="e">
        <f ca="1">IF(Tableau118[[#This Row],[First Day to POL]]&lt;=Tableau118[[#This Row],[Day Cut Off]],Tableau118[[#This Row],[Day ETD]],Tableau118[[#This Row],[Day ETD]]+7)</f>
        <v>#N/A</v>
      </c>
      <c r="AF13" s="50" t="e">
        <f ca="1">VLOOKUP(Tableau118[[#This Row],[Key(ID-Actif)]],'DATA BTO'!A:N,9,FALSE)</f>
        <v>#N/A</v>
      </c>
      <c r="AG13" s="3" t="e">
        <f ca="1">VLOOKUP(Tableau118[[#This Row],[Key(ID-Actif)]],'DATA BTO'!A:N,10,FALSE)</f>
        <v>#N/A</v>
      </c>
      <c r="AH13" s="3" t="e">
        <f ca="1">VLOOKUP(Tableau118[[#This Row],[Key(ID-Actif)]],'DATA BTO'!A:N,11,FALSE)</f>
        <v>#N/A</v>
      </c>
      <c r="AI13" s="50" t="e">
        <f ca="1">VLOOKUP(Tableau118[[#This Row],[Key(ID-Actif)]],'DATA BTO'!A:N,12,FALSE)</f>
        <v>#N/A</v>
      </c>
      <c r="AJ13" s="53" t="e">
        <f ca="1">VLOOKUP(Tableau118[[#This Row],[Key(ID-Actif)]],'DATA BTO'!A:N,14,FALSE)</f>
        <v>#N/A</v>
      </c>
      <c r="AK13" s="54" t="e">
        <f ca="1">VLOOKUP(Tableau118[[#This Row],[Key(POD -PFI- Usine)]],'DATA Consignee'!A:F,6,FALSE)</f>
        <v>#N/A</v>
      </c>
      <c r="AL13" s="127"/>
      <c r="AM13" s="438" t="str">
        <f>IF(Tableau118[[#This Row],[Name PFI/CDD]]="","-",VLOOKUP(Tableau118[[#This Row],[Name PFI/CDD]],Plant_AILN!I:J,2,FALSE))</f>
        <v>-</v>
      </c>
      <c r="AN1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" s="2" t="e">
        <f ca="1">VLOOKUP(Tableau118[[#This Row],[Key(POD -PFI- Usine)]],'DATA Consignee'!A:J,10,FALSE)</f>
        <v>#N/A</v>
      </c>
      <c r="AQ13" s="50" t="e">
        <f ca="1">VLOOKUP(Tableau118[[#This Row],[Key(POD -PFI- Usine)]],'DATA Consignee'!A:N,14,FALSE)</f>
        <v>#N/A</v>
      </c>
      <c r="AR1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" s="50" t="e">
        <f ca="1">Tableau118[[#This Row],[Transit time]]+Tableau118[[#This Row],[Time for security]]+Tableau118[[#This Row],[Time for security2 buffer]]</f>
        <v>#N/A</v>
      </c>
      <c r="AU1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" s="433" t="e">
        <f ca="1">Tableau118[[#This Row],[Leadtime SI2C]]+Tableau118[[#This Row],[First Receipt Days]]-Tableau118[[#This Row],[Day Customer Order]]+1</f>
        <v>#N/A</v>
      </c>
      <c r="AW13" s="119" t="e">
        <f ca="1">IF(Tableau118[[#This Row],[Name ILN]]&lt;&gt;"SFK Freight Forwarder",Tableau118[[#This Row],[Cust. Leadtime]],Tableau118[[#This Row],[Leadtime SI2C]])</f>
        <v>#N/A</v>
      </c>
      <c r="AX13" s="51" t="str">
        <f>VLOOKUP(Tableau118[[#This Row],[ID]],'DATA BTO'!B:P,15,FALSE)</f>
        <v>Horse &gt; Renault BPH (MLP)</v>
      </c>
      <c r="AY13" s="338">
        <f ca="1">IFERROR(VLOOKUP(Tableau118[[#This Row],[Key(ID-Actif)]],'DATA BTO'!A:N,4,FALSE),VLOOKUP(Tableau118[[#This Row],[ID]],'DATA BTO'!B:N,3,FALSE))</f>
        <v>46142</v>
      </c>
      <c r="AZ13" s="50" t="str">
        <f>IF(ISNUMBER(Tableau118[[#This Row],[Day Customer Order]]),"-","Please Check 'Name' information in 'Order' Sheet to make sure they have information")</f>
        <v>-</v>
      </c>
      <c r="BA1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" s="50"/>
    </row>
    <row r="14" spans="2:57">
      <c r="B14" s="474" t="str">
        <f>_xlfn.CONCAT(Tableau118[[#This Row],[Name ILN]],"-",Tableau118[[#This Row],[Name Shipper]],"-",Tableau118[[#This Row],[Name Site]])</f>
        <v>SFK Freight Forwarder-Magna Shanghai-CHENNAI Vehicule</v>
      </c>
      <c r="C14" s="67" t="e">
        <f ca="1">_xlfn.CONCAT(Tableau118[[#This Row],[Compte ILN]],"-",Tableau118[[#This Row],[Compte Shipper]],"-",Tableau118[[#This Row],[POL]],"-",Tableau118[[#This Row],[Compte Site]])</f>
        <v>#N/A</v>
      </c>
      <c r="D14" s="66" t="e">
        <f ca="1">_xlfn.CONCAT(Tableau118[[#This Row],[Compte ILN]],"-",Tableau118[[#This Row],[Compte Shipper]],"-",Tableau118[[#This Row],[POL]])</f>
        <v>#N/A</v>
      </c>
      <c r="E14" s="434" t="e">
        <f ca="1">_xlfn.CONCAT(Tableau118[[#This Row],[POL]],"-",Tableau118[[#This Row],[Carrier]],"-",Tableau118[[#This Row],[POD]])</f>
        <v>#N/A</v>
      </c>
      <c r="F14" s="66" t="str">
        <f>_xlfn.CONCAT(Tableau118[[#This Row],[ID]],"-","Next")</f>
        <v>888-Next</v>
      </c>
      <c r="G14" s="66" t="e">
        <f ca="1">_xlfn.CONCAT(Tableau118[[#This Row],[POD]],"-",Tableau118[[#This Row],[Code PFI]],"-",Tableau118[[#This Row],[Compte Site]])</f>
        <v>#N/A</v>
      </c>
      <c r="H1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" s="435" t="str">
        <f ca="1">IF(COUNTIF(I:I,Tableau118[[#This Row],[Plant-ILN-shipper-POL-Carrier-POD-PFI]])=1,"Non","Oui")</f>
        <v>Oui</v>
      </c>
      <c r="K14" s="128" t="str">
        <f>VLOOKUP(Tableau118[[#This Row],[Name Site]],Plant_AILN!A:D,4,FALSE)</f>
        <v>INDIA</v>
      </c>
      <c r="L14" s="412" t="s">
        <v>159</v>
      </c>
      <c r="M14" s="431">
        <f>VLOOKUP(Tableau118[[#This Row],[Name Site]],Plant_AILN!A:C,3,FALSE)</f>
        <v>26549502</v>
      </c>
      <c r="N14" s="55">
        <f>IF(Tableau118[[#This Row],[Name PFI/CDD]]="PFI VLL",2,VLOOKUP(Tableau118[[#This Row],[Compte Site]],Order!C:D,2,FALSE))</f>
        <v>5</v>
      </c>
      <c r="O14" s="116" t="s">
        <v>146</v>
      </c>
      <c r="P14" s="365">
        <f>VLOOKUP(Tableau118[[#This Row],[Name ILN]],Plant_AILN!F:G,2,FALSE)</f>
        <v>0</v>
      </c>
      <c r="Q14" s="50">
        <f>VLOOKUP(Tableau118[[#This Row],[Compte ILN]],'DATA ILN'!D:I,6,FALSE)</f>
        <v>9</v>
      </c>
      <c r="R1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4" s="50" t="e">
        <f ca="1">Tableau118[[#This Row],[Day ILN Order]]+Tableau118[[#This Row],[Delivery time to ILN/Shipper]]-1</f>
        <v>#N/A</v>
      </c>
      <c r="V1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4" s="284" t="s">
        <v>153</v>
      </c>
      <c r="Y14" s="437">
        <f>IFERROR(VLOOKUP(Tableau118[[#This Row],[Name Shipper]],Plant_AILN!L:M,2,FALSE),0)</f>
        <v>42838303</v>
      </c>
      <c r="Z14" s="406">
        <v>888</v>
      </c>
      <c r="AA14" s="396" t="e">
        <f ca="1">VLOOKUP(Tableau118[[#This Row],[Key(ID-Actif)]],'DATA BTO'!A:N,5,FALSE)</f>
        <v>#N/A</v>
      </c>
      <c r="AB14" s="3" t="e">
        <f ca="1">VLOOKUP(Tableau118[[#This Row],[Key(ID-Actif)]],'DATA BTO'!A:N,6,FALSE)</f>
        <v>#N/A</v>
      </c>
      <c r="AC14" s="50" t="e">
        <f ca="1">VLOOKUP(Tableau118[[#This Row],[Key(ID-Actif)]],'DATA BTO'!A:N,7,FALSE)</f>
        <v>#N/A</v>
      </c>
      <c r="AD14" s="50" t="e">
        <f ca="1">VLOOKUP(Tableau118[[#This Row],[Key(ID-Actif)]],'DATA BTO'!A:N,8,FALSE)</f>
        <v>#N/A</v>
      </c>
      <c r="AE14" s="50" t="e">
        <f ca="1">IF(Tableau118[[#This Row],[First Day to POL]]&lt;=Tableau118[[#This Row],[Day Cut Off]],Tableau118[[#This Row],[Day ETD]],Tableau118[[#This Row],[Day ETD]]+7)</f>
        <v>#N/A</v>
      </c>
      <c r="AF14" s="50" t="e">
        <f ca="1">VLOOKUP(Tableau118[[#This Row],[Key(ID-Actif)]],'DATA BTO'!A:N,9,FALSE)</f>
        <v>#N/A</v>
      </c>
      <c r="AG14" s="3" t="e">
        <f ca="1">VLOOKUP(Tableau118[[#This Row],[Key(ID-Actif)]],'DATA BTO'!A:N,10,FALSE)</f>
        <v>#N/A</v>
      </c>
      <c r="AH14" s="3" t="e">
        <f ca="1">VLOOKUP(Tableau118[[#This Row],[Key(ID-Actif)]],'DATA BTO'!A:N,11,FALSE)</f>
        <v>#N/A</v>
      </c>
      <c r="AI14" s="50" t="e">
        <f ca="1">VLOOKUP(Tableau118[[#This Row],[Key(ID-Actif)]],'DATA BTO'!A:N,12,FALSE)</f>
        <v>#N/A</v>
      </c>
      <c r="AJ14" s="53" t="e">
        <f ca="1">VLOOKUP(Tableau118[[#This Row],[Key(ID-Actif)]],'DATA BTO'!A:N,14,FALSE)</f>
        <v>#N/A</v>
      </c>
      <c r="AK14" s="54" t="e">
        <f ca="1">VLOOKUP(Tableau118[[#This Row],[Key(POD -PFI- Usine)]],'DATA Consignee'!A:F,6,FALSE)</f>
        <v>#N/A</v>
      </c>
      <c r="AL14" s="127"/>
      <c r="AM14" s="438" t="str">
        <f>IF(Tableau118[[#This Row],[Name PFI/CDD]]="","-",VLOOKUP(Tableau118[[#This Row],[Name PFI/CDD]],Plant_AILN!I:J,2,FALSE))</f>
        <v>-</v>
      </c>
      <c r="AN1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4" s="2" t="e">
        <f ca="1">VLOOKUP(Tableau118[[#This Row],[Key(POD -PFI- Usine)]],'DATA Consignee'!A:J,10,FALSE)</f>
        <v>#N/A</v>
      </c>
      <c r="AQ14" s="50" t="e">
        <f ca="1">VLOOKUP(Tableau118[[#This Row],[Key(POD -PFI- Usine)]],'DATA Consignee'!A:N,14,FALSE)</f>
        <v>#N/A</v>
      </c>
      <c r="AR1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" s="50" t="e">
        <f ca="1">Tableau118[[#This Row],[Transit time]]+Tableau118[[#This Row],[Time for security]]+Tableau118[[#This Row],[Time for security2 buffer]]</f>
        <v>#N/A</v>
      </c>
      <c r="AU1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" s="433" t="e">
        <f ca="1">Tableau118[[#This Row],[Leadtime SI2C]]+Tableau118[[#This Row],[First Receipt Days]]-Tableau118[[#This Row],[Day Customer Order]]+1</f>
        <v>#N/A</v>
      </c>
      <c r="AW14" s="119" t="e">
        <f ca="1">IF(Tableau118[[#This Row],[Name ILN]]&lt;&gt;"SFK Freight Forwarder",Tableau118[[#This Row],[Cust. Leadtime]],Tableau118[[#This Row],[Leadtime SI2C]])</f>
        <v>#N/A</v>
      </c>
      <c r="AX14" s="51" t="str">
        <f>VLOOKUP(Tableau118[[#This Row],[ID]],'DATA BTO'!B:P,15,FALSE)</f>
        <v>Horse &gt; Renault BPH (MLP)</v>
      </c>
      <c r="AY14" s="338">
        <f ca="1">IFERROR(VLOOKUP(Tableau118[[#This Row],[Key(ID-Actif)]],'DATA BTO'!A:N,4,FALSE),VLOOKUP(Tableau118[[#This Row],[ID]],'DATA BTO'!B:N,3,FALSE))</f>
        <v>46142</v>
      </c>
      <c r="AZ14" s="50" t="str">
        <f>IF(ISNUMBER(Tableau118[[#This Row],[Day Customer Order]]),"-","Please Check 'Name' information in 'Order' Sheet to make sure they have information")</f>
        <v>-</v>
      </c>
      <c r="BA1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" s="50"/>
    </row>
    <row r="15" spans="2:57">
      <c r="B15" s="474" t="str">
        <f>_xlfn.CONCAT(Tableau118[[#This Row],[Name ILN]],"-",Tableau118[[#This Row],[Name Shipper]],"-",Tableau118[[#This Row],[Name Site]])</f>
        <v>ILN Tanger-ILN Tanger-Curitiba CMO</v>
      </c>
      <c r="C15" s="67" t="e">
        <f ca="1">_xlfn.CONCAT(Tableau118[[#This Row],[Compte ILN]],"-",Tableau118[[#This Row],[Compte Shipper]],"-",Tableau118[[#This Row],[POL]],"-",Tableau118[[#This Row],[Compte Site]])</f>
        <v>#N/A</v>
      </c>
      <c r="D15" s="66" t="e">
        <f ca="1">_xlfn.CONCAT(Tableau118[[#This Row],[Compte ILN]],"-",Tableau118[[#This Row],[Compte Shipper]],"-",Tableau118[[#This Row],[POL]])</f>
        <v>#N/A</v>
      </c>
      <c r="E15" s="434" t="e">
        <f ca="1">_xlfn.CONCAT(Tableau118[[#This Row],[POL]],"-",Tableau118[[#This Row],[Carrier]],"-",Tableau118[[#This Row],[POD]])</f>
        <v>#N/A</v>
      </c>
      <c r="F15" s="66" t="str">
        <f>_xlfn.CONCAT(Tableau118[[#This Row],[ID]],"-","Next")</f>
        <v>900-Next</v>
      </c>
      <c r="G15" s="66" t="e">
        <f ca="1">_xlfn.CONCAT(Tableau118[[#This Row],[POD]],"-",Tableau118[[#This Row],[Code PFI]],"-",Tableau118[[#This Row],[Compte Site]])</f>
        <v>#N/A</v>
      </c>
      <c r="H1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" s="435" t="str">
        <f ca="1">IF(COUNTIF(I:I,Tableau118[[#This Row],[Plant-ILN-shipper-POL-Carrier-POD-PFI]])=1,"Non","Oui")</f>
        <v>Oui</v>
      </c>
      <c r="K15" s="128" t="str">
        <f>VLOOKUP(Tableau118[[#This Row],[Name Site]],Plant_AILN!A:D,4,FALSE)</f>
        <v>BRAZIL</v>
      </c>
      <c r="L15" s="411" t="s">
        <v>160</v>
      </c>
      <c r="M15" s="439">
        <f>VLOOKUP(Tableau118[[#This Row],[Name Site]],Plant_AILN!A:C,3,FALSE)</f>
        <v>90018600</v>
      </c>
      <c r="N15" s="55">
        <f>IF(Tableau118[[#This Row],[Name PFI/CDD]]="PFI VLL",2,VLOOKUP(Tableau118[[#This Row],[Compte Site]],Order!C:D,2,FALSE))</f>
        <v>7</v>
      </c>
      <c r="O15" s="116" t="s">
        <v>161</v>
      </c>
      <c r="P15" s="365">
        <f>VLOOKUP(Tableau118[[#This Row],[Name ILN]],Plant_AILN!F:G,2,FALSE)</f>
        <v>92050300</v>
      </c>
      <c r="Q15" s="50">
        <f>VLOOKUP(Tableau118[[#This Row],[Compte ILN]],'DATA ILN'!D:I,6,FALSE)</f>
        <v>9</v>
      </c>
      <c r="R1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5" s="50" t="e">
        <f ca="1">Tableau118[[#This Row],[Day ILN Order]]+Tableau118[[#This Row],[Delivery time to ILN/Shipper]]-1</f>
        <v>#N/A</v>
      </c>
      <c r="V1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5" s="284" t="s">
        <v>161</v>
      </c>
      <c r="Y15" s="437">
        <f>IFERROR(VLOOKUP(Tableau118[[#This Row],[Name Shipper]],Plant_AILN!L:M,2,FALSE),0)</f>
        <v>92050300</v>
      </c>
      <c r="Z15" s="406">
        <v>900</v>
      </c>
      <c r="AA15" s="396" t="e">
        <f ca="1">VLOOKUP(Tableau118[[#This Row],[Key(ID-Actif)]],'DATA BTO'!A:N,5,FALSE)</f>
        <v>#N/A</v>
      </c>
      <c r="AB15" s="3" t="e">
        <f ca="1">VLOOKUP(Tableau118[[#This Row],[Key(ID-Actif)]],'DATA BTO'!A:N,6,FALSE)</f>
        <v>#N/A</v>
      </c>
      <c r="AC15" s="50" t="e">
        <f ca="1">VLOOKUP(Tableau118[[#This Row],[Key(ID-Actif)]],'DATA BTO'!A:N,7,FALSE)</f>
        <v>#N/A</v>
      </c>
      <c r="AD15" s="50" t="e">
        <f ca="1">VLOOKUP(Tableau118[[#This Row],[Key(ID-Actif)]],'DATA BTO'!A:N,8,FALSE)</f>
        <v>#N/A</v>
      </c>
      <c r="AE15" s="50" t="e">
        <f ca="1">IF(Tableau118[[#This Row],[First Day to POL]]&lt;=Tableau118[[#This Row],[Day Cut Off]],Tableau118[[#This Row],[Day ETD]],Tableau118[[#This Row],[Day ETD]]+7)</f>
        <v>#N/A</v>
      </c>
      <c r="AF15" s="50" t="e">
        <f ca="1">VLOOKUP(Tableau118[[#This Row],[Key(ID-Actif)]],'DATA BTO'!A:N,9,FALSE)</f>
        <v>#N/A</v>
      </c>
      <c r="AG15" s="3" t="e">
        <f ca="1">VLOOKUP(Tableau118[[#This Row],[Key(ID-Actif)]],'DATA BTO'!A:N,10,FALSE)</f>
        <v>#N/A</v>
      </c>
      <c r="AH15" s="3" t="e">
        <f ca="1">VLOOKUP(Tableau118[[#This Row],[Key(ID-Actif)]],'DATA BTO'!A:N,11,FALSE)</f>
        <v>#N/A</v>
      </c>
      <c r="AI15" s="50" t="e">
        <f ca="1">VLOOKUP(Tableau118[[#This Row],[Key(ID-Actif)]],'DATA BTO'!A:N,12,FALSE)</f>
        <v>#N/A</v>
      </c>
      <c r="AJ15" s="53" t="e">
        <f ca="1">VLOOKUP(Tableau118[[#This Row],[Key(ID-Actif)]],'DATA BTO'!A:N,14,FALSE)</f>
        <v>#N/A</v>
      </c>
      <c r="AK15" s="54" t="e">
        <f ca="1">VLOOKUP(Tableau118[[#This Row],[Key(POD -PFI- Usine)]],'DATA Consignee'!A:F,6,FALSE)</f>
        <v>#N/A</v>
      </c>
      <c r="AL15" s="127"/>
      <c r="AM15" s="438" t="str">
        <f>IF(Tableau118[[#This Row],[Name PFI/CDD]]="","-",VLOOKUP(Tableau118[[#This Row],[Name PFI/CDD]],Plant_AILN!I:J,2,FALSE))</f>
        <v>-</v>
      </c>
      <c r="AN1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5" s="2" t="e">
        <f ca="1">VLOOKUP(Tableau118[[#This Row],[Key(POD -PFI- Usine)]],'DATA Consignee'!A:J,10,FALSE)</f>
        <v>#N/A</v>
      </c>
      <c r="AQ15" s="50" t="e">
        <f ca="1">VLOOKUP(Tableau118[[#This Row],[Key(POD -PFI- Usine)]],'DATA Consignee'!A:N,14,FALSE)</f>
        <v>#N/A</v>
      </c>
      <c r="AR1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" s="50" t="e">
        <f ca="1">Tableau118[[#This Row],[Transit time]]+Tableau118[[#This Row],[Time for security]]+Tableau118[[#This Row],[Time for security2 buffer]]</f>
        <v>#N/A</v>
      </c>
      <c r="AU1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" s="433" t="e">
        <f ca="1">Tableau118[[#This Row],[Leadtime SI2C]]+Tableau118[[#This Row],[First Receipt Days]]-Tableau118[[#This Row],[Day Customer Order]]+1</f>
        <v>#N/A</v>
      </c>
      <c r="AW15" s="119" t="e">
        <f ca="1">IF(Tableau118[[#This Row],[Name ILN]]&lt;&gt;"SFK Freight Forwarder",Tableau118[[#This Row],[Cust. Leadtime]],Tableau118[[#This Row],[Leadtime SI2C]])</f>
        <v>#N/A</v>
      </c>
      <c r="AX15" s="51" t="str">
        <f>VLOOKUP(Tableau118[[#This Row],[ID]],'DATA BTO'!B:P,15,FALSE)</f>
        <v>Renault &gt; Horse BPH</v>
      </c>
      <c r="AY15" s="338">
        <f ca="1">IFERROR(VLOOKUP(Tableau118[[#This Row],[Key(ID-Actif)]],'DATA BTO'!A:N,4,FALSE),VLOOKUP(Tableau118[[#This Row],[ID]],'DATA BTO'!B:N,3,FALSE))</f>
        <v>46507</v>
      </c>
      <c r="AZ15" s="50" t="str">
        <f>IF(ISNUMBER(Tableau118[[#This Row],[Day Customer Order]]),"-","Please Check 'Name' information in 'Order' Sheet to make sure they have information")</f>
        <v>-</v>
      </c>
      <c r="BA1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POL mismatch,Please Check POL in 'DATA ILN' and 'DATA BTO' to make sure they can match</v>
      </c>
      <c r="BC1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" s="50"/>
    </row>
    <row r="16" spans="2:57">
      <c r="B16" s="67" t="str">
        <f>_xlfn.CONCAT(Tableau118[[#This Row],[Name ILN]],"-",Tableau118[[#This Row],[Name Shipper]],"-",Tableau118[[#This Row],[Name Site]])</f>
        <v>ILN Curitiba-ILN Curitiba-DACIA MECA</v>
      </c>
      <c r="C16" s="67" t="e">
        <f ca="1">_xlfn.CONCAT(Tableau118[[#This Row],[Compte ILN]],"-",Tableau118[[#This Row],[Compte Shipper]],"-",Tableau118[[#This Row],[POL]],"-",Tableau118[[#This Row],[Compte Site]])</f>
        <v>#N/A</v>
      </c>
      <c r="D16" s="66" t="e">
        <f ca="1">_xlfn.CONCAT(Tableau118[[#This Row],[Compte ILN]],"-",Tableau118[[#This Row],[Compte Shipper]],"-",Tableau118[[#This Row],[POL]])</f>
        <v>#N/A</v>
      </c>
      <c r="E16" s="434" t="e">
        <f ca="1">_xlfn.CONCAT(Tableau118[[#This Row],[POL]],"-",Tableau118[[#This Row],[Carrier]],"-",Tableau118[[#This Row],[POD]])</f>
        <v>#N/A</v>
      </c>
      <c r="F16" s="66" t="str">
        <f>_xlfn.CONCAT(Tableau118[[#This Row],[ID]],"-","Next")</f>
        <v>901-Next</v>
      </c>
      <c r="G16" s="66" t="e">
        <f ca="1">_xlfn.CONCAT(Tableau118[[#This Row],[POD]],"-",Tableau118[[#This Row],[Code PFI]],"-",Tableau118[[#This Row],[Compte Site]])</f>
        <v>#N/A</v>
      </c>
      <c r="H1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" s="435" t="str">
        <f ca="1">IF(COUNTIF(I:I,Tableau118[[#This Row],[Plant-ILN-shipper-POL-Carrier-POD-PFI]])=1,"Non","Oui")</f>
        <v>Oui</v>
      </c>
      <c r="K16" s="436" t="str">
        <f>VLOOKUP(Tableau118[[#This Row],[Name Site]],Plant_AILN!A:D,4,FALSE)</f>
        <v>ROMANIA</v>
      </c>
      <c r="L16" s="285" t="s">
        <v>162</v>
      </c>
      <c r="M16" s="439">
        <f>VLOOKUP(Tableau118[[#This Row],[Name Site]],Plant_AILN!A:C,3,FALSE)</f>
        <v>90012500</v>
      </c>
      <c r="N16" s="55">
        <f>IF(Tableau118[[#This Row],[Name PFI/CDD]]="PFI VLL",2,VLOOKUP(Tableau118[[#This Row],[Compte Site]],Order!C:D,2,FALSE))</f>
        <v>7</v>
      </c>
      <c r="O16" s="116" t="s">
        <v>163</v>
      </c>
      <c r="P16" s="365">
        <f>VLOOKUP(Tableau118[[#This Row],[Name ILN]],Plant_AILN!F:G,2,FALSE)</f>
        <v>95207</v>
      </c>
      <c r="Q16" s="50">
        <f>VLOOKUP(Tableau118[[#This Row],[Compte ILN]],'DATA ILN'!D:I,6,FALSE)</f>
        <v>9</v>
      </c>
      <c r="R1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6" s="50" t="e">
        <f ca="1">Tableau118[[#This Row],[Day ILN Order]]+Tableau118[[#This Row],[Delivery time to ILN/Shipper]]-1</f>
        <v>#N/A</v>
      </c>
      <c r="V1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6" s="284" t="s">
        <v>163</v>
      </c>
      <c r="Y16" s="437">
        <f>IFERROR(VLOOKUP(Tableau118[[#This Row],[Name Shipper]],Plant_AILN!L:M,2,FALSE),0)</f>
        <v>95207</v>
      </c>
      <c r="Z16" s="406">
        <v>901</v>
      </c>
      <c r="AA16" s="396" t="e">
        <f ca="1">VLOOKUP(Tableau118[[#This Row],[Key(ID-Actif)]],'DATA BTO'!A:N,5,FALSE)</f>
        <v>#N/A</v>
      </c>
      <c r="AB16" s="3" t="e">
        <f ca="1">VLOOKUP(Tableau118[[#This Row],[Key(ID-Actif)]],'DATA BTO'!A:N,6,FALSE)</f>
        <v>#N/A</v>
      </c>
      <c r="AC16" s="50" t="e">
        <f ca="1">VLOOKUP(Tableau118[[#This Row],[Key(ID-Actif)]],'DATA BTO'!A:N,7,FALSE)</f>
        <v>#N/A</v>
      </c>
      <c r="AD16" s="50" t="e">
        <f ca="1">VLOOKUP(Tableau118[[#This Row],[Key(ID-Actif)]],'DATA BTO'!A:N,8,FALSE)</f>
        <v>#N/A</v>
      </c>
      <c r="AE16" s="50" t="e">
        <f ca="1">IF(Tableau118[[#This Row],[First Day to POL]]&lt;=Tableau118[[#This Row],[Day Cut Off]],Tableau118[[#This Row],[Day ETD]],Tableau118[[#This Row],[Day ETD]]+7)</f>
        <v>#N/A</v>
      </c>
      <c r="AF16" s="50" t="e">
        <f ca="1">VLOOKUP(Tableau118[[#This Row],[Key(ID-Actif)]],'DATA BTO'!A:N,9,FALSE)</f>
        <v>#N/A</v>
      </c>
      <c r="AG16" s="3" t="e">
        <f ca="1">VLOOKUP(Tableau118[[#This Row],[Key(ID-Actif)]],'DATA BTO'!A:N,10,FALSE)</f>
        <v>#N/A</v>
      </c>
      <c r="AH16" s="3" t="e">
        <f ca="1">VLOOKUP(Tableau118[[#This Row],[Key(ID-Actif)]],'DATA BTO'!A:N,11,FALSE)</f>
        <v>#N/A</v>
      </c>
      <c r="AI16" s="50" t="e">
        <f ca="1">VLOOKUP(Tableau118[[#This Row],[Key(ID-Actif)]],'DATA BTO'!A:N,12,FALSE)</f>
        <v>#N/A</v>
      </c>
      <c r="AJ16" s="53" t="e">
        <f ca="1">VLOOKUP(Tableau118[[#This Row],[Key(ID-Actif)]],'DATA BTO'!A:N,14,FALSE)</f>
        <v>#N/A</v>
      </c>
      <c r="AK16" s="54" t="e">
        <f ca="1">VLOOKUP(Tableau118[[#This Row],[Key(POD -PFI- Usine)]],'DATA Consignee'!A:F,6,FALSE)</f>
        <v>#N/A</v>
      </c>
      <c r="AL16" s="127" t="s">
        <v>164</v>
      </c>
      <c r="AM16" s="438">
        <f>IF(Tableau118[[#This Row],[Name PFI/CDD]]="","-",VLOOKUP(Tableau118[[#This Row],[Name PFI/CDD]],Plant_AILN!I:J,2,FALSE))</f>
        <v>2839004</v>
      </c>
      <c r="AN1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" s="2" t="e">
        <f ca="1">VLOOKUP(Tableau118[[#This Row],[Key(POD -PFI- Usine)]],'DATA Consignee'!A:J,10,FALSE)</f>
        <v>#N/A</v>
      </c>
      <c r="AQ16" s="50" t="e">
        <f ca="1">VLOOKUP(Tableau118[[#This Row],[Key(POD -PFI- Usine)]],'DATA Consignee'!A:N,14,FALSE)</f>
        <v>#N/A</v>
      </c>
      <c r="AR1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" s="50" t="e">
        <f ca="1">Tableau118[[#This Row],[Transit time]]+Tableau118[[#This Row],[Time for security]]+Tableau118[[#This Row],[Time for security2 buffer]]</f>
        <v>#N/A</v>
      </c>
      <c r="AU1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" s="433" t="e">
        <f ca="1">Tableau118[[#This Row],[Leadtime SI2C]]+Tableau118[[#This Row],[First Receipt Days]]-Tableau118[[#This Row],[Day Customer Order]]+1</f>
        <v>#N/A</v>
      </c>
      <c r="AW16" s="119" t="e">
        <f ca="1">IF(Tableau118[[#This Row],[Name ILN]]&lt;&gt;"SFK Freight Forwarder",Tableau118[[#This Row],[Cust. Leadtime]],Tableau118[[#This Row],[Leadtime SI2C]])</f>
        <v>#N/A</v>
      </c>
      <c r="AX16" s="51" t="str">
        <f>VLOOKUP(Tableau118[[#This Row],[ID]],'DATA BTO'!B:P,15,FALSE)</f>
        <v>Renault &gt; Horse BPH</v>
      </c>
      <c r="AY16" s="338">
        <f ca="1">IFERROR(VLOOKUP(Tableau118[[#This Row],[Key(ID-Actif)]],'DATA BTO'!A:N,4,FALSE),VLOOKUP(Tableau118[[#This Row],[ID]],'DATA BTO'!B:N,3,FALSE))</f>
        <v>45412</v>
      </c>
      <c r="AZ16" s="50" t="str">
        <f>IF(ISNUMBER(Tableau118[[#This Row],[Day Customer Order]]),"-","Please Check 'Name' information in 'Order' Sheet to make sure they have information")</f>
        <v>-</v>
      </c>
      <c r="BA1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" s="50"/>
    </row>
    <row r="17" spans="2:57">
      <c r="B17" s="67" t="str">
        <f>_xlfn.CONCAT(Tableau118[[#This Row],[Name ILN]],"-",Tableau118[[#This Row],[Name Shipper]],"-",Tableau118[[#This Row],[Name Site]])</f>
        <v>ILN Busan-ILN Busan-OYAK MEKA</v>
      </c>
      <c r="C17" s="67" t="e">
        <f ca="1">_xlfn.CONCAT(Tableau118[[#This Row],[Compte ILN]],"-",Tableau118[[#This Row],[Compte Shipper]],"-",Tableau118[[#This Row],[POL]],"-",Tableau118[[#This Row],[Compte Site]])</f>
        <v>#N/A</v>
      </c>
      <c r="D17" s="66" t="e">
        <f ca="1">_xlfn.CONCAT(Tableau118[[#This Row],[Compte ILN]],"-",Tableau118[[#This Row],[Compte Shipper]],"-",Tableau118[[#This Row],[POL]])</f>
        <v>#N/A</v>
      </c>
      <c r="E17" s="434" t="e">
        <f ca="1">_xlfn.CONCAT(Tableau118[[#This Row],[POL]],"-",Tableau118[[#This Row],[Carrier]],"-",Tableau118[[#This Row],[POD]])</f>
        <v>#N/A</v>
      </c>
      <c r="F17" s="66" t="str">
        <f>_xlfn.CONCAT(Tableau118[[#This Row],[ID]],"-","Next")</f>
        <v>904-Next</v>
      </c>
      <c r="G17" s="66" t="e">
        <f ca="1">_xlfn.CONCAT(Tableau118[[#This Row],[POD]],"-",Tableau118[[#This Row],[Code PFI]],"-",Tableau118[[#This Row],[Compte Site]])</f>
        <v>#N/A</v>
      </c>
      <c r="H1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" s="435" t="str">
        <f ca="1">IF(COUNTIF(I:I,Tableau118[[#This Row],[Plant-ILN-shipper-POL-Carrier-POD-PFI]])=1,"Non","Oui")</f>
        <v>Oui</v>
      </c>
      <c r="K17" s="128" t="str">
        <f>VLOOKUP(Tableau118[[#This Row],[Name Site]],Plant_AILN!A:D,4,FALSE)</f>
        <v>TURKEY</v>
      </c>
      <c r="L17" s="411" t="s">
        <v>165</v>
      </c>
      <c r="M17" s="439">
        <f>VLOOKUP(Tableau118[[#This Row],[Name Site]],Plant_AILN!A:C,3,FALSE)</f>
        <v>90014400</v>
      </c>
      <c r="N17" s="55">
        <f>IF(Tableau118[[#This Row],[Name PFI/CDD]]="PFI VLL",2,VLOOKUP(Tableau118[[#This Row],[Compte Site]],Order!C:D,2,FALSE))</f>
        <v>2</v>
      </c>
      <c r="O17" s="116" t="s">
        <v>166</v>
      </c>
      <c r="P17" s="365">
        <f>VLOOKUP(Tableau118[[#This Row],[Name ILN]],Plant_AILN!F:G,2,FALSE)</f>
        <v>95436</v>
      </c>
      <c r="Q17" s="50">
        <f>VLOOKUP(Tableau118[[#This Row],[Compte ILN]],'DATA ILN'!D:I,6,FALSE)</f>
        <v>9</v>
      </c>
      <c r="R1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7" s="50" t="e">
        <f ca="1">Tableau118[[#This Row],[Day ILN Order]]+Tableau118[[#This Row],[Delivery time to ILN/Shipper]]-1</f>
        <v>#N/A</v>
      </c>
      <c r="V1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7" s="284" t="s">
        <v>166</v>
      </c>
      <c r="Y17" s="437">
        <f>IFERROR(VLOOKUP(Tableau118[[#This Row],[Name Shipper]],Plant_AILN!L:M,2,FALSE),0)</f>
        <v>95436</v>
      </c>
      <c r="Z17" s="406">
        <v>904</v>
      </c>
      <c r="AA17" s="396" t="e">
        <f ca="1">VLOOKUP(Tableau118[[#This Row],[Key(ID-Actif)]],'DATA BTO'!A:N,5,FALSE)</f>
        <v>#N/A</v>
      </c>
      <c r="AB17" s="3" t="e">
        <f ca="1">VLOOKUP(Tableau118[[#This Row],[Key(ID-Actif)]],'DATA BTO'!A:N,6,FALSE)</f>
        <v>#N/A</v>
      </c>
      <c r="AC17" s="50" t="e">
        <f ca="1">VLOOKUP(Tableau118[[#This Row],[Key(ID-Actif)]],'DATA BTO'!A:N,7,FALSE)</f>
        <v>#N/A</v>
      </c>
      <c r="AD17" s="50" t="e">
        <f ca="1">VLOOKUP(Tableau118[[#This Row],[Key(ID-Actif)]],'DATA BTO'!A:N,8,FALSE)</f>
        <v>#N/A</v>
      </c>
      <c r="AE17" s="50" t="e">
        <f ca="1">IF(Tableau118[[#This Row],[First Day to POL]]&lt;=Tableau118[[#This Row],[Day Cut Off]],Tableau118[[#This Row],[Day ETD]],Tableau118[[#This Row],[Day ETD]]+7)</f>
        <v>#N/A</v>
      </c>
      <c r="AF17" s="50" t="e">
        <f ca="1">VLOOKUP(Tableau118[[#This Row],[Key(ID-Actif)]],'DATA BTO'!A:N,9,FALSE)</f>
        <v>#N/A</v>
      </c>
      <c r="AG17" s="3" t="e">
        <f ca="1">VLOOKUP(Tableau118[[#This Row],[Key(ID-Actif)]],'DATA BTO'!A:N,10,FALSE)</f>
        <v>#N/A</v>
      </c>
      <c r="AH17" s="3" t="e">
        <f ca="1">VLOOKUP(Tableau118[[#This Row],[Key(ID-Actif)]],'DATA BTO'!A:N,11,FALSE)</f>
        <v>#N/A</v>
      </c>
      <c r="AI17" s="50" t="e">
        <f ca="1">VLOOKUP(Tableau118[[#This Row],[Key(ID-Actif)]],'DATA BTO'!A:N,12,FALSE)</f>
        <v>#N/A</v>
      </c>
      <c r="AJ17" s="53" t="e">
        <f ca="1">VLOOKUP(Tableau118[[#This Row],[Key(ID-Actif)]],'DATA BTO'!A:N,14,FALSE)</f>
        <v>#N/A</v>
      </c>
      <c r="AK17" s="54" t="e">
        <f ca="1">VLOOKUP(Tableau118[[#This Row],[Key(POD -PFI- Usine)]],'DATA Consignee'!A:F,6,FALSE)</f>
        <v>#N/A</v>
      </c>
      <c r="AL17" s="127"/>
      <c r="AM17" s="438" t="str">
        <f>IF(Tableau118[[#This Row],[Name PFI/CDD]]="","-",VLOOKUP(Tableau118[[#This Row],[Name PFI/CDD]],Plant_AILN!I:J,2,FALSE))</f>
        <v>-</v>
      </c>
      <c r="AN1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" s="2" t="e">
        <f ca="1">VLOOKUP(Tableau118[[#This Row],[Key(POD -PFI- Usine)]],'DATA Consignee'!A:J,10,FALSE)</f>
        <v>#N/A</v>
      </c>
      <c r="AQ17" s="50" t="e">
        <f ca="1">VLOOKUP(Tableau118[[#This Row],[Key(POD -PFI- Usine)]],'DATA Consignee'!A:N,14,FALSE)</f>
        <v>#N/A</v>
      </c>
      <c r="AR1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" s="50" t="e">
        <f ca="1">Tableau118[[#This Row],[Transit time]]+Tableau118[[#This Row],[Time for security]]+Tableau118[[#This Row],[Time for security2 buffer]]</f>
        <v>#N/A</v>
      </c>
      <c r="AU1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" s="433" t="e">
        <f ca="1">Tableau118[[#This Row],[Leadtime SI2C]]+Tableau118[[#This Row],[First Receipt Days]]-Tableau118[[#This Row],[Day Customer Order]]+1</f>
        <v>#N/A</v>
      </c>
      <c r="AW17" s="119" t="e">
        <f ca="1">IF(Tableau118[[#This Row],[Name ILN]]&lt;&gt;"SFK Freight Forwarder",Tableau118[[#This Row],[Cust. Leadtime]],Tableau118[[#This Row],[Leadtime SI2C]])</f>
        <v>#N/A</v>
      </c>
      <c r="AX17" s="51" t="str">
        <f>VLOOKUP(Tableau118[[#This Row],[ID]],'DATA BTO'!B:P,15,FALSE)</f>
        <v>Renault &gt; Horse BPH</v>
      </c>
      <c r="AY17" s="338">
        <f ca="1">IFERROR(VLOOKUP(Tableau118[[#This Row],[Key(ID-Actif)]],'DATA BTO'!A:N,4,FALSE),VLOOKUP(Tableau118[[#This Row],[ID]],'DATA BTO'!B:N,3,FALSE))</f>
        <v>45777</v>
      </c>
      <c r="AZ17" s="50" t="str">
        <f>IF(ISNUMBER(Tableau118[[#This Row],[Day Customer Order]]),"-","Please Check 'Name' information in 'Order' Sheet to make sure they have information")</f>
        <v>-</v>
      </c>
      <c r="BA1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" s="50"/>
    </row>
    <row r="18" spans="2:57">
      <c r="B18" s="67" t="str">
        <f>_xlfn.CONCAT(Tableau118[[#This Row],[Name ILN]],"-",Tableau118[[#This Row],[Name Shipper]],"-",Tableau118[[#This Row],[Name Site]])</f>
        <v>ILN Busan-ILN Busan-Curitiba CMO</v>
      </c>
      <c r="C18" s="67" t="e">
        <f ca="1">_xlfn.CONCAT(Tableau118[[#This Row],[Compte ILN]],"-",Tableau118[[#This Row],[Compte Shipper]],"-",Tableau118[[#This Row],[POL]],"-",Tableau118[[#This Row],[Compte Site]])</f>
        <v>#N/A</v>
      </c>
      <c r="D18" s="66" t="e">
        <f ca="1">_xlfn.CONCAT(Tableau118[[#This Row],[Compte ILN]],"-",Tableau118[[#This Row],[Compte Shipper]],"-",Tableau118[[#This Row],[POL]])</f>
        <v>#N/A</v>
      </c>
      <c r="E18" s="434" t="e">
        <f ca="1">_xlfn.CONCAT(Tableau118[[#This Row],[POL]],"-",Tableau118[[#This Row],[Carrier]],"-",Tableau118[[#This Row],[POD]])</f>
        <v>#N/A</v>
      </c>
      <c r="F18" s="66" t="str">
        <f>_xlfn.CONCAT(Tableau118[[#This Row],[ID]],"-","Next")</f>
        <v>906-Next</v>
      </c>
      <c r="G18" s="66" t="e">
        <f ca="1">_xlfn.CONCAT(Tableau118[[#This Row],[POD]],"-",Tableau118[[#This Row],[Code PFI]],"-",Tableau118[[#This Row],[Compte Site]])</f>
        <v>#N/A</v>
      </c>
      <c r="H1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" s="435" t="str">
        <f ca="1">IF(COUNTIF(I:I,Tableau118[[#This Row],[Plant-ILN-shipper-POL-Carrier-POD-PFI]])=1,"Non","Oui")</f>
        <v>Oui</v>
      </c>
      <c r="K18" s="436" t="str">
        <f>VLOOKUP(Tableau118[[#This Row],[Name Site]],Plant_AILN!A:D,4,FALSE)</f>
        <v>BRAZIL</v>
      </c>
      <c r="L18" s="285" t="s">
        <v>160</v>
      </c>
      <c r="M18" s="439">
        <f>VLOOKUP(Tableau118[[#This Row],[Name Site]],Plant_AILN!A:C,3,FALSE)</f>
        <v>90018600</v>
      </c>
      <c r="N18" s="55">
        <f>IF(Tableau118[[#This Row],[Name PFI/CDD]]="PFI VLL",2,VLOOKUP(Tableau118[[#This Row],[Compte Site]],Order!C:D,2,FALSE))</f>
        <v>7</v>
      </c>
      <c r="O18" s="116" t="s">
        <v>166</v>
      </c>
      <c r="P18" s="365">
        <f>VLOOKUP(Tableau118[[#This Row],[Name ILN]],Plant_AILN!F:G,2,FALSE)</f>
        <v>95436</v>
      </c>
      <c r="Q18" s="50">
        <f>VLOOKUP(Tableau118[[#This Row],[Compte ILN]],'DATA ILN'!D:I,6,FALSE)</f>
        <v>9</v>
      </c>
      <c r="R1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8" s="50" t="e">
        <f ca="1">Tableau118[[#This Row],[Day ILN Order]]+Tableau118[[#This Row],[Delivery time to ILN/Shipper]]-1</f>
        <v>#N/A</v>
      </c>
      <c r="V1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8" s="284" t="s">
        <v>166</v>
      </c>
      <c r="Y18" s="437">
        <f>IFERROR(VLOOKUP(Tableau118[[#This Row],[Name Shipper]],Plant_AILN!L:M,2,FALSE),0)</f>
        <v>95436</v>
      </c>
      <c r="Z18" s="406">
        <v>906</v>
      </c>
      <c r="AA18" s="396" t="e">
        <f ca="1">VLOOKUP(Tableau118[[#This Row],[Key(ID-Actif)]],'DATA BTO'!A:N,5,FALSE)</f>
        <v>#N/A</v>
      </c>
      <c r="AB18" s="3" t="e">
        <f ca="1">VLOOKUP(Tableau118[[#This Row],[Key(ID-Actif)]],'DATA BTO'!A:N,6,FALSE)</f>
        <v>#N/A</v>
      </c>
      <c r="AC18" s="50" t="e">
        <f ca="1">VLOOKUP(Tableau118[[#This Row],[Key(ID-Actif)]],'DATA BTO'!A:N,7,FALSE)</f>
        <v>#N/A</v>
      </c>
      <c r="AD18" s="50" t="e">
        <f ca="1">VLOOKUP(Tableau118[[#This Row],[Key(ID-Actif)]],'DATA BTO'!A:N,8,FALSE)</f>
        <v>#N/A</v>
      </c>
      <c r="AE18" s="50" t="e">
        <f ca="1">IF(Tableau118[[#This Row],[First Day to POL]]&lt;=Tableau118[[#This Row],[Day Cut Off]],Tableau118[[#This Row],[Day ETD]],Tableau118[[#This Row],[Day ETD]]+7)</f>
        <v>#N/A</v>
      </c>
      <c r="AF18" s="50" t="e">
        <f ca="1">VLOOKUP(Tableau118[[#This Row],[Key(ID-Actif)]],'DATA BTO'!A:N,9,FALSE)</f>
        <v>#N/A</v>
      </c>
      <c r="AG18" s="3" t="e">
        <f ca="1">VLOOKUP(Tableau118[[#This Row],[Key(ID-Actif)]],'DATA BTO'!A:N,10,FALSE)</f>
        <v>#N/A</v>
      </c>
      <c r="AH18" s="3" t="e">
        <f ca="1">VLOOKUP(Tableau118[[#This Row],[Key(ID-Actif)]],'DATA BTO'!A:N,11,FALSE)</f>
        <v>#N/A</v>
      </c>
      <c r="AI18" s="50" t="e">
        <f ca="1">VLOOKUP(Tableau118[[#This Row],[Key(ID-Actif)]],'DATA BTO'!A:N,12,FALSE)</f>
        <v>#N/A</v>
      </c>
      <c r="AJ18" s="53" t="e">
        <f ca="1">VLOOKUP(Tableau118[[#This Row],[Key(ID-Actif)]],'DATA BTO'!A:N,14,FALSE)</f>
        <v>#N/A</v>
      </c>
      <c r="AK18" s="54" t="e">
        <f ca="1">VLOOKUP(Tableau118[[#This Row],[Key(POD -PFI- Usine)]],'DATA Consignee'!A:F,6,FALSE)</f>
        <v>#N/A</v>
      </c>
      <c r="AL18" s="127"/>
      <c r="AM18" s="438" t="str">
        <f>IF(Tableau118[[#This Row],[Name PFI/CDD]]="","-",VLOOKUP(Tableau118[[#This Row],[Name PFI/CDD]],Plant_AILN!I:J,2,FALSE))</f>
        <v>-</v>
      </c>
      <c r="AN1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" s="2" t="e">
        <f ca="1">VLOOKUP(Tableau118[[#This Row],[Key(POD -PFI- Usine)]],'DATA Consignee'!A:J,10,FALSE)</f>
        <v>#N/A</v>
      </c>
      <c r="AQ18" s="50" t="e">
        <f ca="1">VLOOKUP(Tableau118[[#This Row],[Key(POD -PFI- Usine)]],'DATA Consignee'!A:N,14,FALSE)</f>
        <v>#N/A</v>
      </c>
      <c r="AR1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" s="50" t="e">
        <f ca="1">Tableau118[[#This Row],[Transit time]]+Tableau118[[#This Row],[Time for security]]+Tableau118[[#This Row],[Time for security2 buffer]]</f>
        <v>#N/A</v>
      </c>
      <c r="AU1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" s="433" t="e">
        <f ca="1">Tableau118[[#This Row],[Leadtime SI2C]]+Tableau118[[#This Row],[First Receipt Days]]-Tableau118[[#This Row],[Day Customer Order]]+1</f>
        <v>#N/A</v>
      </c>
      <c r="AW18" s="119" t="e">
        <f ca="1">IF(Tableau118[[#This Row],[Name ILN]]&lt;&gt;"SFK Freight Forwarder",Tableau118[[#This Row],[Cust. Leadtime]],Tableau118[[#This Row],[Leadtime SI2C]])</f>
        <v>#N/A</v>
      </c>
      <c r="AX18" s="51" t="str">
        <f>VLOOKUP(Tableau118[[#This Row],[ID]],'DATA BTO'!B:P,15,FALSE)</f>
        <v>Renault &gt; Horse BPH</v>
      </c>
      <c r="AY18" s="338">
        <f ca="1">IFERROR(VLOOKUP(Tableau118[[#This Row],[Key(ID-Actif)]],'DATA BTO'!A:N,4,FALSE),VLOOKUP(Tableau118[[#This Row],[ID]],'DATA BTO'!B:N,3,FALSE))</f>
        <v>45777</v>
      </c>
      <c r="AZ18" s="50" t="str">
        <f>IF(ISNUMBER(Tableau118[[#This Row],[Day Customer Order]]),"-","Please Check 'Name' information in 'Order' Sheet to make sure they have information")</f>
        <v>-</v>
      </c>
      <c r="BA1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" s="50"/>
    </row>
    <row r="19" spans="2:57">
      <c r="B19" s="67" t="str">
        <f>_xlfn.CONCAT(Tableau118[[#This Row],[Name ILN]],"-",Tableau118[[#This Row],[Name Shipper]],"-",Tableau118[[#This Row],[Name Site]])</f>
        <v>ILN Bursa-ILN Bursa-Curitiba CMO</v>
      </c>
      <c r="C19" s="67" t="e">
        <f ca="1">_xlfn.CONCAT(Tableau118[[#This Row],[Compte ILN]],"-",Tableau118[[#This Row],[Compte Shipper]],"-",Tableau118[[#This Row],[POL]],"-",Tableau118[[#This Row],[Compte Site]])</f>
        <v>#N/A</v>
      </c>
      <c r="D19" s="66" t="e">
        <f ca="1">_xlfn.CONCAT(Tableau118[[#This Row],[Compte ILN]],"-",Tableau118[[#This Row],[Compte Shipper]],"-",Tableau118[[#This Row],[POL]])</f>
        <v>#N/A</v>
      </c>
      <c r="E19" s="434" t="e">
        <f ca="1">_xlfn.CONCAT(Tableau118[[#This Row],[POL]],"-",Tableau118[[#This Row],[Carrier]],"-",Tableau118[[#This Row],[POD]])</f>
        <v>#N/A</v>
      </c>
      <c r="F19" s="66" t="str">
        <f>_xlfn.CONCAT(Tableau118[[#This Row],[ID]],"-","Next")</f>
        <v>907-Next</v>
      </c>
      <c r="G19" s="66" t="e">
        <f ca="1">_xlfn.CONCAT(Tableau118[[#This Row],[POD]],"-",Tableau118[[#This Row],[Code PFI]],"-",Tableau118[[#This Row],[Compte Site]])</f>
        <v>#N/A</v>
      </c>
      <c r="H1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" s="435" t="str">
        <f ca="1">IF(COUNTIF(I:I,Tableau118[[#This Row],[Plant-ILN-shipper-POL-Carrier-POD-PFI]])=1,"Non","Oui")</f>
        <v>Oui</v>
      </c>
      <c r="K19" s="436" t="str">
        <f>VLOOKUP(Tableau118[[#This Row],[Name Site]],Plant_AILN!A:D,4,FALSE)</f>
        <v>BRAZIL</v>
      </c>
      <c r="L19" s="285" t="s">
        <v>160</v>
      </c>
      <c r="M19" s="439">
        <f>VLOOKUP(Tableau118[[#This Row],[Name Site]],Plant_AILN!A:C,3,FALSE)</f>
        <v>90018600</v>
      </c>
      <c r="N19" s="55">
        <f>IF(Tableau118[[#This Row],[Name PFI/CDD]]="PFI VLL",2,VLOOKUP(Tableau118[[#This Row],[Compte Site]],Order!C:D,2,FALSE))</f>
        <v>7</v>
      </c>
      <c r="O19" s="116" t="s">
        <v>167</v>
      </c>
      <c r="P19" s="365">
        <f>VLOOKUP(Tableau118[[#This Row],[Name ILN]],Plant_AILN!F:G,2,FALSE)</f>
        <v>95112</v>
      </c>
      <c r="Q19" s="50">
        <f>VLOOKUP(Tableau118[[#This Row],[Compte ILN]],'DATA ILN'!D:I,6,FALSE)</f>
        <v>9</v>
      </c>
      <c r="R1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1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1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19" s="50" t="e">
        <f ca="1">Tableau118[[#This Row],[Day ILN Order]]+Tableau118[[#This Row],[Delivery time to ILN/Shipper]]-1</f>
        <v>#N/A</v>
      </c>
      <c r="V1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1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19" s="284" t="s">
        <v>167</v>
      </c>
      <c r="Y19" s="437">
        <f>IFERROR(VLOOKUP(Tableau118[[#This Row],[Name Shipper]],Plant_AILN!L:M,2,FALSE),0)</f>
        <v>95112</v>
      </c>
      <c r="Z19" s="406">
        <v>907</v>
      </c>
      <c r="AA19" s="396" t="e">
        <f ca="1">VLOOKUP(Tableau118[[#This Row],[Key(ID-Actif)]],'DATA BTO'!A:N,5,FALSE)</f>
        <v>#N/A</v>
      </c>
      <c r="AB19" s="3" t="e">
        <f ca="1">VLOOKUP(Tableau118[[#This Row],[Key(ID-Actif)]],'DATA BTO'!A:N,6,FALSE)</f>
        <v>#N/A</v>
      </c>
      <c r="AC19" s="50" t="e">
        <f ca="1">VLOOKUP(Tableau118[[#This Row],[Key(ID-Actif)]],'DATA BTO'!A:N,7,FALSE)</f>
        <v>#N/A</v>
      </c>
      <c r="AD19" s="50" t="e">
        <f ca="1">VLOOKUP(Tableau118[[#This Row],[Key(ID-Actif)]],'DATA BTO'!A:N,8,FALSE)</f>
        <v>#N/A</v>
      </c>
      <c r="AE19" s="50" t="e">
        <f ca="1">IF(Tableau118[[#This Row],[First Day to POL]]&lt;=Tableau118[[#This Row],[Day Cut Off]],Tableau118[[#This Row],[Day ETD]],Tableau118[[#This Row],[Day ETD]]+7)</f>
        <v>#N/A</v>
      </c>
      <c r="AF19" s="50" t="e">
        <f ca="1">VLOOKUP(Tableau118[[#This Row],[Key(ID-Actif)]],'DATA BTO'!A:N,9,FALSE)</f>
        <v>#N/A</v>
      </c>
      <c r="AG19" s="3" t="e">
        <f ca="1">VLOOKUP(Tableau118[[#This Row],[Key(ID-Actif)]],'DATA BTO'!A:N,10,FALSE)</f>
        <v>#N/A</v>
      </c>
      <c r="AH19" s="3" t="e">
        <f ca="1">VLOOKUP(Tableau118[[#This Row],[Key(ID-Actif)]],'DATA BTO'!A:N,11,FALSE)</f>
        <v>#N/A</v>
      </c>
      <c r="AI19" s="50" t="e">
        <f ca="1">VLOOKUP(Tableau118[[#This Row],[Key(ID-Actif)]],'DATA BTO'!A:N,12,FALSE)</f>
        <v>#N/A</v>
      </c>
      <c r="AJ19" s="53" t="e">
        <f ca="1">VLOOKUP(Tableau118[[#This Row],[Key(ID-Actif)]],'DATA BTO'!A:N,14,FALSE)</f>
        <v>#N/A</v>
      </c>
      <c r="AK19" s="54" t="e">
        <f ca="1">VLOOKUP(Tableau118[[#This Row],[Key(POD -PFI- Usine)]],'DATA Consignee'!A:F,6,FALSE)</f>
        <v>#N/A</v>
      </c>
      <c r="AL19" s="127"/>
      <c r="AM19" s="438" t="str">
        <f>IF(Tableau118[[#This Row],[Name PFI/CDD]]="","-",VLOOKUP(Tableau118[[#This Row],[Name PFI/CDD]],Plant_AILN!I:J,2,FALSE))</f>
        <v>-</v>
      </c>
      <c r="AN1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" s="2" t="e">
        <f ca="1">VLOOKUP(Tableau118[[#This Row],[Key(POD -PFI- Usine)]],'DATA Consignee'!A:J,10,FALSE)</f>
        <v>#N/A</v>
      </c>
      <c r="AQ19" s="50" t="e">
        <f ca="1">VLOOKUP(Tableau118[[#This Row],[Key(POD -PFI- Usine)]],'DATA Consignee'!A:N,14,FALSE)</f>
        <v>#N/A</v>
      </c>
      <c r="AR1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" s="50" t="e">
        <f ca="1">Tableau118[[#This Row],[Transit time]]+Tableau118[[#This Row],[Time for security]]+Tableau118[[#This Row],[Time for security2 buffer]]</f>
        <v>#N/A</v>
      </c>
      <c r="AU1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" s="433" t="e">
        <f ca="1">Tableau118[[#This Row],[Leadtime SI2C]]+Tableau118[[#This Row],[First Receipt Days]]-Tableau118[[#This Row],[Day Customer Order]]+1</f>
        <v>#N/A</v>
      </c>
      <c r="AW19" s="119" t="e">
        <f ca="1">IF(Tableau118[[#This Row],[Name ILN]]&lt;&gt;"SFK Freight Forwarder",Tableau118[[#This Row],[Cust. Leadtime]],Tableau118[[#This Row],[Leadtime SI2C]])</f>
        <v>#N/A</v>
      </c>
      <c r="AX19" s="51" t="str">
        <f>VLOOKUP(Tableau118[[#This Row],[ID]],'DATA BTO'!B:P,15,FALSE)</f>
        <v>Renault &gt; Horse BPH</v>
      </c>
      <c r="AY19" s="338">
        <f ca="1">IFERROR(VLOOKUP(Tableau118[[#This Row],[Key(ID-Actif)]],'DATA BTO'!A:N,4,FALSE),VLOOKUP(Tableau118[[#This Row],[ID]],'DATA BTO'!B:N,3,FALSE))</f>
        <v>46142</v>
      </c>
      <c r="AZ19" s="50" t="str">
        <f>IF(ISNUMBER(Tableau118[[#This Row],[Day Customer Order]]),"-","Please Check 'Name' information in 'Order' Sheet to make sure they have information")</f>
        <v>-</v>
      </c>
      <c r="BA1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1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" s="50"/>
    </row>
    <row r="20" spans="2:57">
      <c r="B20" s="67" t="str">
        <f>_xlfn.CONCAT(Tableau118[[#This Row],[Name ILN]],"-",Tableau118[[#This Row],[Name Shipper]],"-",Tableau118[[#This Row],[Name Site]])</f>
        <v>ILN Mioveni-ILN Mioveni-Curitiba CMO</v>
      </c>
      <c r="C20" s="67" t="e">
        <f ca="1">_xlfn.CONCAT(Tableau118[[#This Row],[Compte ILN]],"-",Tableau118[[#This Row],[Compte Shipper]],"-",Tableau118[[#This Row],[POL]],"-",Tableau118[[#This Row],[Compte Site]])</f>
        <v>#N/A</v>
      </c>
      <c r="D20" s="66" t="e">
        <f ca="1">_xlfn.CONCAT(Tableau118[[#This Row],[Compte ILN]],"-",Tableau118[[#This Row],[Compte Shipper]],"-",Tableau118[[#This Row],[POL]])</f>
        <v>#N/A</v>
      </c>
      <c r="E20" s="434" t="e">
        <f ca="1">_xlfn.CONCAT(Tableau118[[#This Row],[POL]],"-",Tableau118[[#This Row],[Carrier]],"-",Tableau118[[#This Row],[POD]])</f>
        <v>#N/A</v>
      </c>
      <c r="F20" s="66" t="str">
        <f>_xlfn.CONCAT(Tableau118[[#This Row],[ID]],"-","Next")</f>
        <v>908-Next</v>
      </c>
      <c r="G20" s="66" t="e">
        <f ca="1">_xlfn.CONCAT(Tableau118[[#This Row],[POD]],"-",Tableau118[[#This Row],[Code PFI]],"-",Tableau118[[#This Row],[Compte Site]])</f>
        <v>#N/A</v>
      </c>
      <c r="H2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" s="435" t="str">
        <f ca="1">IF(COUNTIF(I:I,Tableau118[[#This Row],[Plant-ILN-shipper-POL-Carrier-POD-PFI]])=1,"Non","Oui")</f>
        <v>Oui</v>
      </c>
      <c r="K20" s="436" t="str">
        <f>VLOOKUP(Tableau118[[#This Row],[Name Site]],Plant_AILN!A:D,4,FALSE)</f>
        <v>BRAZIL</v>
      </c>
      <c r="L20" s="285" t="s">
        <v>160</v>
      </c>
      <c r="M20" s="439">
        <f>VLOOKUP(Tableau118[[#This Row],[Name Site]],Plant_AILN!A:C,3,FALSE)</f>
        <v>90018600</v>
      </c>
      <c r="N20" s="55">
        <f>IF(Tableau118[[#This Row],[Name PFI/CDD]]="PFI VLL",2,VLOOKUP(Tableau118[[#This Row],[Compte Site]],Order!C:D,2,FALSE))</f>
        <v>7</v>
      </c>
      <c r="O20" s="116" t="s">
        <v>168</v>
      </c>
      <c r="P20" s="365">
        <f>VLOOKUP(Tableau118[[#This Row],[Name ILN]],Plant_AILN!F:G,2,FALSE)</f>
        <v>28390</v>
      </c>
      <c r="Q20" s="50">
        <f>VLOOKUP(Tableau118[[#This Row],[Compte ILN]],'DATA ILN'!D:I,6,FALSE)</f>
        <v>9</v>
      </c>
      <c r="R2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0" s="50" t="e">
        <f ca="1">Tableau118[[#This Row],[Day ILN Order]]+Tableau118[[#This Row],[Delivery time to ILN/Shipper]]-1</f>
        <v>#N/A</v>
      </c>
      <c r="V2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0" s="284" t="s">
        <v>168</v>
      </c>
      <c r="Y20" s="437">
        <f>IFERROR(VLOOKUP(Tableau118[[#This Row],[Name Shipper]],Plant_AILN!L:M,2,FALSE),0)</f>
        <v>28390</v>
      </c>
      <c r="Z20" s="406">
        <v>908</v>
      </c>
      <c r="AA20" s="396" t="e">
        <f ca="1">VLOOKUP(Tableau118[[#This Row],[Key(ID-Actif)]],'DATA BTO'!A:N,5,FALSE)</f>
        <v>#N/A</v>
      </c>
      <c r="AB20" s="3" t="e">
        <f ca="1">VLOOKUP(Tableau118[[#This Row],[Key(ID-Actif)]],'DATA BTO'!A:N,6,FALSE)</f>
        <v>#N/A</v>
      </c>
      <c r="AC20" s="50" t="e">
        <f ca="1">VLOOKUP(Tableau118[[#This Row],[Key(ID-Actif)]],'DATA BTO'!A:N,7,FALSE)</f>
        <v>#N/A</v>
      </c>
      <c r="AD20" s="50" t="e">
        <f ca="1">VLOOKUP(Tableau118[[#This Row],[Key(ID-Actif)]],'DATA BTO'!A:N,8,FALSE)</f>
        <v>#N/A</v>
      </c>
      <c r="AE20" s="50" t="e">
        <f ca="1">IF(Tableau118[[#This Row],[First Day to POL]]&lt;=Tableau118[[#This Row],[Day Cut Off]],Tableau118[[#This Row],[Day ETD]],Tableau118[[#This Row],[Day ETD]]+7)</f>
        <v>#N/A</v>
      </c>
      <c r="AF20" s="50" t="e">
        <f ca="1">VLOOKUP(Tableau118[[#This Row],[Key(ID-Actif)]],'DATA BTO'!A:N,9,FALSE)</f>
        <v>#N/A</v>
      </c>
      <c r="AG20" s="3" t="e">
        <f ca="1">VLOOKUP(Tableau118[[#This Row],[Key(ID-Actif)]],'DATA BTO'!A:N,10,FALSE)</f>
        <v>#N/A</v>
      </c>
      <c r="AH20" s="3" t="e">
        <f ca="1">VLOOKUP(Tableau118[[#This Row],[Key(ID-Actif)]],'DATA BTO'!A:N,11,FALSE)</f>
        <v>#N/A</v>
      </c>
      <c r="AI20" s="50" t="e">
        <f ca="1">VLOOKUP(Tableau118[[#This Row],[Key(ID-Actif)]],'DATA BTO'!A:N,12,FALSE)</f>
        <v>#N/A</v>
      </c>
      <c r="AJ20" s="53" t="e">
        <f ca="1">VLOOKUP(Tableau118[[#This Row],[Key(ID-Actif)]],'DATA BTO'!A:N,14,FALSE)</f>
        <v>#N/A</v>
      </c>
      <c r="AK20" s="54" t="e">
        <f ca="1">VLOOKUP(Tableau118[[#This Row],[Key(POD -PFI- Usine)]],'DATA Consignee'!A:F,6,FALSE)</f>
        <v>#N/A</v>
      </c>
      <c r="AL20" s="127"/>
      <c r="AM20" s="438" t="str">
        <f>IF(Tableau118[[#This Row],[Name PFI/CDD]]="","-",VLOOKUP(Tableau118[[#This Row],[Name PFI/CDD]],Plant_AILN!I:J,2,FALSE))</f>
        <v>-</v>
      </c>
      <c r="AN2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" s="2" t="e">
        <f ca="1">VLOOKUP(Tableau118[[#This Row],[Key(POD -PFI- Usine)]],'DATA Consignee'!A:J,10,FALSE)</f>
        <v>#N/A</v>
      </c>
      <c r="AQ20" s="50" t="e">
        <f ca="1">VLOOKUP(Tableau118[[#This Row],[Key(POD -PFI- Usine)]],'DATA Consignee'!A:N,14,FALSE)</f>
        <v>#N/A</v>
      </c>
      <c r="AR2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" s="50" t="e">
        <f ca="1">Tableau118[[#This Row],[Transit time]]+Tableau118[[#This Row],[Time for security]]+Tableau118[[#This Row],[Time for security2 buffer]]</f>
        <v>#N/A</v>
      </c>
      <c r="AU2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" s="433" t="e">
        <f ca="1">Tableau118[[#This Row],[Leadtime SI2C]]+Tableau118[[#This Row],[First Receipt Days]]-Tableau118[[#This Row],[Day Customer Order]]+1</f>
        <v>#N/A</v>
      </c>
      <c r="AW20" s="119" t="e">
        <f ca="1">IF(Tableau118[[#This Row],[Name ILN]]&lt;&gt;"SFK Freight Forwarder",Tableau118[[#This Row],[Cust. Leadtime]],Tableau118[[#This Row],[Leadtime SI2C]])</f>
        <v>#N/A</v>
      </c>
      <c r="AX20" s="51" t="str">
        <f>VLOOKUP(Tableau118[[#This Row],[ID]],'DATA BTO'!B:P,15,FALSE)</f>
        <v>Renault &gt; Horse BPH</v>
      </c>
      <c r="AY20" s="338">
        <f ca="1">IFERROR(VLOOKUP(Tableau118[[#This Row],[Key(ID-Actif)]],'DATA BTO'!A:N,4,FALSE),VLOOKUP(Tableau118[[#This Row],[ID]],'DATA BTO'!B:N,3,FALSE))</f>
        <v>46507</v>
      </c>
      <c r="AZ20" s="50" t="str">
        <f>IF(ISNUMBER(Tableau118[[#This Row],[Day Customer Order]]),"-","Please Check 'Name' information in 'Order' Sheet to make sure they have information")</f>
        <v>-</v>
      </c>
      <c r="BA2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POL mismatch,Please Check POL in 'DATA ILN' and 'DATA BTO' to make sure they can match</v>
      </c>
      <c r="BC2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" s="50"/>
    </row>
    <row r="21" spans="2:57">
      <c r="B21" s="67" t="str">
        <f>_xlfn.CONCAT(Tableau118[[#This Row],[Name ILN]],"-",Tableau118[[#This Row],[Name Shipper]],"-",Tableau118[[#This Row],[Name Site]])</f>
        <v>ILN FR-ILN FR-Curitiba CMO</v>
      </c>
      <c r="C21" s="67" t="e">
        <f ca="1">_xlfn.CONCAT(Tableau118[[#This Row],[Compte ILN]],"-",Tableau118[[#This Row],[Compte Shipper]],"-",Tableau118[[#This Row],[POL]],"-",Tableau118[[#This Row],[Compte Site]])</f>
        <v>#N/A</v>
      </c>
      <c r="D21" s="66" t="e">
        <f ca="1">_xlfn.CONCAT(Tableau118[[#This Row],[Compte ILN]],"-",Tableau118[[#This Row],[Compte Shipper]],"-",Tableau118[[#This Row],[POL]])</f>
        <v>#N/A</v>
      </c>
      <c r="E21" s="434" t="e">
        <f ca="1">_xlfn.CONCAT(Tableau118[[#This Row],[POL]],"-",Tableau118[[#This Row],[Carrier]],"-",Tableau118[[#This Row],[POD]])</f>
        <v>#N/A</v>
      </c>
      <c r="F21" s="66" t="str">
        <f>_xlfn.CONCAT(Tableau118[[#This Row],[ID]],"-","Next")</f>
        <v>910-Next</v>
      </c>
      <c r="G21" s="66" t="e">
        <f ca="1">_xlfn.CONCAT(Tableau118[[#This Row],[POD]],"-",Tableau118[[#This Row],[Code PFI]],"-",Tableau118[[#This Row],[Compte Site]])</f>
        <v>#N/A</v>
      </c>
      <c r="H2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" s="435" t="str">
        <f ca="1">IF(COUNTIF(I:I,Tableau118[[#This Row],[Plant-ILN-shipper-POL-Carrier-POD-PFI]])=1,"Non","Oui")</f>
        <v>Oui</v>
      </c>
      <c r="K21" s="128" t="str">
        <f>VLOOKUP(Tableau118[[#This Row],[Name Site]],Plant_AILN!A:D,4,FALSE)</f>
        <v>BRAZIL</v>
      </c>
      <c r="L21" s="10" t="s">
        <v>160</v>
      </c>
      <c r="M21" s="439">
        <f>VLOOKUP(Tableau118[[#This Row],[Name Site]],Plant_AILN!A:C,3,FALSE)</f>
        <v>90018600</v>
      </c>
      <c r="N21" s="55">
        <f>IF(Tableau118[[#This Row],[Name PFI/CDD]]="PFI VLL",2,VLOOKUP(Tableau118[[#This Row],[Compte Site]],Order!C:D,2,FALSE))</f>
        <v>7</v>
      </c>
      <c r="O21" s="132" t="s">
        <v>143</v>
      </c>
      <c r="P21" s="365">
        <f>VLOOKUP(Tableau118[[#This Row],[Name ILN]],Plant_AILN!F:G,2,FALSE)</f>
        <v>92000100</v>
      </c>
      <c r="Q21" s="50">
        <f>VLOOKUP(Tableau118[[#This Row],[Compte ILN]],'DATA ILN'!D:I,6,FALSE)</f>
        <v>9</v>
      </c>
      <c r="R2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1" s="50" t="e">
        <f ca="1">Tableau118[[#This Row],[Day ILN Order]]+Tableau118[[#This Row],[Delivery time to ILN/Shipper]]-1</f>
        <v>#N/A</v>
      </c>
      <c r="V2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1" s="287" t="s">
        <v>143</v>
      </c>
      <c r="Y21" s="437">
        <f>IFERROR(VLOOKUP(Tableau118[[#This Row],[Name Shipper]],Plant_AILN!L:M,2,FALSE),0)</f>
        <v>92000100</v>
      </c>
      <c r="Z21" s="406">
        <v>910</v>
      </c>
      <c r="AA21" s="396" t="e">
        <f ca="1">VLOOKUP(Tableau118[[#This Row],[Key(ID-Actif)]],'DATA BTO'!A:N,5,FALSE)</f>
        <v>#N/A</v>
      </c>
      <c r="AB21" s="3" t="e">
        <f ca="1">VLOOKUP(Tableau118[[#This Row],[Key(ID-Actif)]],'DATA BTO'!A:N,6,FALSE)</f>
        <v>#N/A</v>
      </c>
      <c r="AC21" s="50" t="e">
        <f ca="1">VLOOKUP(Tableau118[[#This Row],[Key(ID-Actif)]],'DATA BTO'!A:N,7,FALSE)</f>
        <v>#N/A</v>
      </c>
      <c r="AD21" s="50" t="e">
        <f ca="1">VLOOKUP(Tableau118[[#This Row],[Key(ID-Actif)]],'DATA BTO'!A:N,8,FALSE)</f>
        <v>#N/A</v>
      </c>
      <c r="AE21" s="50" t="e">
        <f ca="1">IF(Tableau118[[#This Row],[First Day to POL]]&lt;=Tableau118[[#This Row],[Day Cut Off]],Tableau118[[#This Row],[Day ETD]],Tableau118[[#This Row],[Day ETD]]+7)</f>
        <v>#N/A</v>
      </c>
      <c r="AF21" s="50" t="e">
        <f ca="1">VLOOKUP(Tableau118[[#This Row],[Key(ID-Actif)]],'DATA BTO'!A:N,9,FALSE)</f>
        <v>#N/A</v>
      </c>
      <c r="AG21" s="3" t="e">
        <f ca="1">VLOOKUP(Tableau118[[#This Row],[Key(ID-Actif)]],'DATA BTO'!A:N,10,FALSE)</f>
        <v>#N/A</v>
      </c>
      <c r="AH21" s="3" t="e">
        <f ca="1">VLOOKUP(Tableau118[[#This Row],[Key(ID-Actif)]],'DATA BTO'!A:N,11,FALSE)</f>
        <v>#N/A</v>
      </c>
      <c r="AI21" s="50" t="e">
        <f ca="1">VLOOKUP(Tableau118[[#This Row],[Key(ID-Actif)]],'DATA BTO'!A:N,12,FALSE)</f>
        <v>#N/A</v>
      </c>
      <c r="AJ21" s="53" t="e">
        <f ca="1">VLOOKUP(Tableau118[[#This Row],[Key(ID-Actif)]],'DATA BTO'!A:N,14,FALSE)</f>
        <v>#N/A</v>
      </c>
      <c r="AK21" s="54" t="e">
        <f ca="1">VLOOKUP(Tableau118[[#This Row],[Key(POD -PFI- Usine)]],'DATA Consignee'!A:F,6,FALSE)</f>
        <v>#N/A</v>
      </c>
      <c r="AL21" s="127"/>
      <c r="AM21" s="438" t="str">
        <f>IF(Tableau118[[#This Row],[Name PFI/CDD]]="","-",VLOOKUP(Tableau118[[#This Row],[Name PFI/CDD]],Plant_AILN!I:J,2,FALSE))</f>
        <v>-</v>
      </c>
      <c r="AN2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" s="2" t="e">
        <f ca="1">VLOOKUP(Tableau118[[#This Row],[Key(POD -PFI- Usine)]],'DATA Consignee'!A:J,10,FALSE)</f>
        <v>#N/A</v>
      </c>
      <c r="AQ21" s="50" t="e">
        <f ca="1">VLOOKUP(Tableau118[[#This Row],[Key(POD -PFI- Usine)]],'DATA Consignee'!A:N,14,FALSE)</f>
        <v>#N/A</v>
      </c>
      <c r="AR2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" s="50" t="e">
        <f ca="1">Tableau118[[#This Row],[Transit time]]+Tableau118[[#This Row],[Time for security]]+Tableau118[[#This Row],[Time for security2 buffer]]</f>
        <v>#N/A</v>
      </c>
      <c r="AU2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" s="433" t="e">
        <f ca="1">Tableau118[[#This Row],[Leadtime SI2C]]+Tableau118[[#This Row],[First Receipt Days]]-Tableau118[[#This Row],[Day Customer Order]]+1</f>
        <v>#N/A</v>
      </c>
      <c r="AW21" s="119" t="e">
        <f ca="1">IF(Tableau118[[#This Row],[Name ILN]]&lt;&gt;"SFK Freight Forwarder",Tableau118[[#This Row],[Cust. Leadtime]],Tableau118[[#This Row],[Leadtime SI2C]])</f>
        <v>#N/A</v>
      </c>
      <c r="AX21" s="51" t="str">
        <f>VLOOKUP(Tableau118[[#This Row],[ID]],'DATA BTO'!B:P,15,FALSE)</f>
        <v>Renault &gt; Horse BPH</v>
      </c>
      <c r="AY21" s="338">
        <f ca="1">IFERROR(VLOOKUP(Tableau118[[#This Row],[Key(ID-Actif)]],'DATA BTO'!A:N,4,FALSE),VLOOKUP(Tableau118[[#This Row],[ID]],'DATA BTO'!B:N,3,FALSE))</f>
        <v>46142</v>
      </c>
      <c r="AZ21" s="50" t="str">
        <f>IF(ISNUMBER(Tableau118[[#This Row],[Day Customer Order]]),"-","Please Check 'Name' information in 'Order' Sheet to make sure they have information")</f>
        <v>-</v>
      </c>
      <c r="BA2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" s="50"/>
    </row>
    <row r="22" spans="2:57">
      <c r="B22" s="67" t="str">
        <f>_xlfn.CONCAT(Tableau118[[#This Row],[Name ILN]],"-",Tableau118[[#This Row],[Name Shipper]],"-",Tableau118[[#This Row],[Name Site]])</f>
        <v>ILN Pune-ILN Pune-Curitiba CMO</v>
      </c>
      <c r="C22" s="67" t="e">
        <f ca="1">_xlfn.CONCAT(Tableau118[[#This Row],[Compte ILN]],"-",Tableau118[[#This Row],[Compte Shipper]],"-",Tableau118[[#This Row],[POL]],"-",Tableau118[[#This Row],[Compte Site]])</f>
        <v>#N/A</v>
      </c>
      <c r="D22" s="66" t="e">
        <f ca="1">_xlfn.CONCAT(Tableau118[[#This Row],[Compte ILN]],"-",Tableau118[[#This Row],[Compte Shipper]],"-",Tableau118[[#This Row],[POL]])</f>
        <v>#N/A</v>
      </c>
      <c r="E22" s="434" t="e">
        <f ca="1">_xlfn.CONCAT(Tableau118[[#This Row],[POL]],"-",Tableau118[[#This Row],[Carrier]],"-",Tableau118[[#This Row],[POD]])</f>
        <v>#N/A</v>
      </c>
      <c r="F22" s="66" t="str">
        <f>_xlfn.CONCAT(Tableau118[[#This Row],[ID]],"-","Next")</f>
        <v>912-Next</v>
      </c>
      <c r="G22" s="66" t="e">
        <f ca="1">_xlfn.CONCAT(Tableau118[[#This Row],[POD]],"-",Tableau118[[#This Row],[Code PFI]],"-",Tableau118[[#This Row],[Compte Site]])</f>
        <v>#N/A</v>
      </c>
      <c r="H2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" s="435" t="str">
        <f ca="1">IF(COUNTIF(I:I,Tableau118[[#This Row],[Plant-ILN-shipper-POL-Carrier-POD-PFI]])=1,"Non","Oui")</f>
        <v>Oui</v>
      </c>
      <c r="K22" s="128" t="str">
        <f>VLOOKUP(Tableau118[[#This Row],[Name Site]],Plant_AILN!A:D,4,FALSE)</f>
        <v>BRAZIL</v>
      </c>
      <c r="L22" s="10" t="s">
        <v>160</v>
      </c>
      <c r="M22" s="439">
        <f>VLOOKUP(Tableau118[[#This Row],[Name Site]],Plant_AILN!A:C,3,FALSE)</f>
        <v>90018600</v>
      </c>
      <c r="N22" s="55">
        <f>IF(Tableau118[[#This Row],[Name PFI/CDD]]="PFI VLL",2,VLOOKUP(Tableau118[[#This Row],[Compte Site]],Order!C:D,2,FALSE))</f>
        <v>7</v>
      </c>
      <c r="O22" s="116" t="s">
        <v>150</v>
      </c>
      <c r="P22" s="365">
        <f>VLOOKUP(Tableau118[[#This Row],[Name ILN]],Plant_AILN!F:G,2,FALSE)</f>
        <v>2533780535</v>
      </c>
      <c r="Q22" s="50">
        <f>VLOOKUP(Tableau118[[#This Row],[Compte ILN]],'DATA ILN'!D:I,6,FALSE)</f>
        <v>9</v>
      </c>
      <c r="R2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2" s="50" t="e">
        <f ca="1">Tableau118[[#This Row],[Day ILN Order]]+Tableau118[[#This Row],[Delivery time to ILN/Shipper]]-1</f>
        <v>#N/A</v>
      </c>
      <c r="V2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2" s="284" t="s">
        <v>150</v>
      </c>
      <c r="Y22" s="437">
        <f>IFERROR(VLOOKUP(Tableau118[[#This Row],[Name Shipper]],Plant_AILN!L:M,2,FALSE),0)</f>
        <v>2533780535</v>
      </c>
      <c r="Z22" s="406">
        <v>912</v>
      </c>
      <c r="AA22" s="396" t="e">
        <f ca="1">VLOOKUP(Tableau118[[#This Row],[Key(ID-Actif)]],'DATA BTO'!A:N,5,FALSE)</f>
        <v>#N/A</v>
      </c>
      <c r="AB22" s="3" t="e">
        <f ca="1">VLOOKUP(Tableau118[[#This Row],[Key(ID-Actif)]],'DATA BTO'!A:N,6,FALSE)</f>
        <v>#N/A</v>
      </c>
      <c r="AC22" s="50" t="e">
        <f ca="1">VLOOKUP(Tableau118[[#This Row],[Key(ID-Actif)]],'DATA BTO'!A:N,7,FALSE)</f>
        <v>#N/A</v>
      </c>
      <c r="AD22" s="50" t="e">
        <f ca="1">VLOOKUP(Tableau118[[#This Row],[Key(ID-Actif)]],'DATA BTO'!A:N,8,FALSE)</f>
        <v>#N/A</v>
      </c>
      <c r="AE22" s="50" t="e">
        <f ca="1">IF(Tableau118[[#This Row],[First Day to POL]]&lt;=Tableau118[[#This Row],[Day Cut Off]],Tableau118[[#This Row],[Day ETD]],Tableau118[[#This Row],[Day ETD]]+7)</f>
        <v>#N/A</v>
      </c>
      <c r="AF22" s="50" t="e">
        <f ca="1">VLOOKUP(Tableau118[[#This Row],[Key(ID-Actif)]],'DATA BTO'!A:N,9,FALSE)</f>
        <v>#N/A</v>
      </c>
      <c r="AG22" s="3" t="e">
        <f ca="1">VLOOKUP(Tableau118[[#This Row],[Key(ID-Actif)]],'DATA BTO'!A:N,10,FALSE)</f>
        <v>#N/A</v>
      </c>
      <c r="AH22" s="3" t="e">
        <f ca="1">VLOOKUP(Tableau118[[#This Row],[Key(ID-Actif)]],'DATA BTO'!A:N,11,FALSE)</f>
        <v>#N/A</v>
      </c>
      <c r="AI22" s="50" t="e">
        <f ca="1">VLOOKUP(Tableau118[[#This Row],[Key(ID-Actif)]],'DATA BTO'!A:N,12,FALSE)</f>
        <v>#N/A</v>
      </c>
      <c r="AJ22" s="53" t="e">
        <f ca="1">VLOOKUP(Tableau118[[#This Row],[Key(ID-Actif)]],'DATA BTO'!A:N,14,FALSE)</f>
        <v>#N/A</v>
      </c>
      <c r="AK22" s="54" t="e">
        <f ca="1">VLOOKUP(Tableau118[[#This Row],[Key(POD -PFI- Usine)]],'DATA Consignee'!A:F,6,FALSE)</f>
        <v>#N/A</v>
      </c>
      <c r="AL22" s="127"/>
      <c r="AM22" s="438" t="str">
        <f>IF(Tableau118[[#This Row],[Name PFI/CDD]]="","-",VLOOKUP(Tableau118[[#This Row],[Name PFI/CDD]],Plant_AILN!I:J,2,FALSE))</f>
        <v>-</v>
      </c>
      <c r="AN2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" s="2" t="e">
        <f ca="1">VLOOKUP(Tableau118[[#This Row],[Key(POD -PFI- Usine)]],'DATA Consignee'!A:J,10,FALSE)</f>
        <v>#N/A</v>
      </c>
      <c r="AQ22" s="50" t="e">
        <f ca="1">VLOOKUP(Tableau118[[#This Row],[Key(POD -PFI- Usine)]],'DATA Consignee'!A:N,14,FALSE)</f>
        <v>#N/A</v>
      </c>
      <c r="AR2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" s="50" t="e">
        <f ca="1">Tableau118[[#This Row],[Transit time]]+Tableau118[[#This Row],[Time for security]]+Tableau118[[#This Row],[Time for security2 buffer]]</f>
        <v>#N/A</v>
      </c>
      <c r="AU2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" s="433" t="e">
        <f ca="1">Tableau118[[#This Row],[Leadtime SI2C]]+Tableau118[[#This Row],[First Receipt Days]]-Tableau118[[#This Row],[Day Customer Order]]+1</f>
        <v>#N/A</v>
      </c>
      <c r="AW22" s="119" t="e">
        <f ca="1">IF(Tableau118[[#This Row],[Name ILN]]&lt;&gt;"SFK Freight Forwarder",Tableau118[[#This Row],[Cust. Leadtime]],Tableau118[[#This Row],[Leadtime SI2C]])</f>
        <v>#N/A</v>
      </c>
      <c r="AX22" s="51" t="str">
        <f>VLOOKUP(Tableau118[[#This Row],[ID]],'DATA BTO'!B:P,15,FALSE)</f>
        <v>Renault &gt; Horse BPH</v>
      </c>
      <c r="AY22" s="338">
        <f ca="1">IFERROR(VLOOKUP(Tableau118[[#This Row],[Key(ID-Actif)]],'DATA BTO'!A:N,4,FALSE),VLOOKUP(Tableau118[[#This Row],[ID]],'DATA BTO'!B:N,3,FALSE))</f>
        <v>45777</v>
      </c>
      <c r="AZ22" s="50" t="str">
        <f>IF(ISNUMBER(Tableau118[[#This Row],[Day Customer Order]]),"-","Please Check 'Name' information in 'Order' Sheet to make sure they have information")</f>
        <v>-</v>
      </c>
      <c r="BA2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" s="50"/>
    </row>
    <row r="23" spans="2:57">
      <c r="B23" s="67" t="str">
        <f>_xlfn.CONCAT(Tableau118[[#This Row],[Name ILN]],"-",Tableau118[[#This Row],[Name Shipper]],"-",Tableau118[[#This Row],[Name Site]])</f>
        <v>ILN Chennai-ILN Chennai-DACIA MECA</v>
      </c>
      <c r="C23" s="67" t="e">
        <f ca="1">_xlfn.CONCAT(Tableau118[[#This Row],[Compte ILN]],"-",Tableau118[[#This Row],[Compte Shipper]],"-",Tableau118[[#This Row],[POL]],"-",Tableau118[[#This Row],[Compte Site]])</f>
        <v>#N/A</v>
      </c>
      <c r="D23" s="66" t="e">
        <f ca="1">_xlfn.CONCAT(Tableau118[[#This Row],[Compte ILN]],"-",Tableau118[[#This Row],[Compte Shipper]],"-",Tableau118[[#This Row],[POL]])</f>
        <v>#N/A</v>
      </c>
      <c r="E23" s="434" t="e">
        <f ca="1">_xlfn.CONCAT(Tableau118[[#This Row],[POL]],"-",Tableau118[[#This Row],[Carrier]],"-",Tableau118[[#This Row],[POD]])</f>
        <v>#N/A</v>
      </c>
      <c r="F23" s="66" t="str">
        <f>_xlfn.CONCAT(Tableau118[[#This Row],[ID]],"-","Next")</f>
        <v>915-Next</v>
      </c>
      <c r="G23" s="66" t="e">
        <f ca="1">_xlfn.CONCAT(Tableau118[[#This Row],[POD]],"-",Tableau118[[#This Row],[Code PFI]],"-",Tableau118[[#This Row],[Compte Site]])</f>
        <v>#N/A</v>
      </c>
      <c r="H2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" s="435" t="str">
        <f ca="1">IF(COUNTIF(I:I,Tableau118[[#This Row],[Plant-ILN-shipper-POL-Carrier-POD-PFI]])=1,"Non","Oui")</f>
        <v>Oui</v>
      </c>
      <c r="K23" s="436" t="str">
        <f>VLOOKUP(Tableau118[[#This Row],[Name Site]],Plant_AILN!A:D,4,FALSE)</f>
        <v>ROMANIA</v>
      </c>
      <c r="L23" s="285" t="s">
        <v>162</v>
      </c>
      <c r="M23" s="431">
        <f>VLOOKUP(Tableau118[[#This Row],[Name Site]],Plant_AILN!A:C,3,FALSE)</f>
        <v>90012500</v>
      </c>
      <c r="N23" s="55">
        <f>IF(Tableau118[[#This Row],[Name PFI/CDD]]="PFI VLL",2,VLOOKUP(Tableau118[[#This Row],[Compte Site]],Order!C:D,2,FALSE))</f>
        <v>7</v>
      </c>
      <c r="O23" s="116" t="s">
        <v>149</v>
      </c>
      <c r="P23" s="365">
        <f>VLOOKUP(Tableau118[[#This Row],[Name ILN]],Plant_AILN!F:G,2,FALSE)</f>
        <v>2533780546</v>
      </c>
      <c r="Q23" s="50">
        <f>VLOOKUP(Tableau118[[#This Row],[Compte ILN]],'DATA ILN'!D:I,6,FALSE)</f>
        <v>9</v>
      </c>
      <c r="R2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3" s="50" t="e">
        <f ca="1">Tableau118[[#This Row],[Day ILN Order]]+Tableau118[[#This Row],[Delivery time to ILN/Shipper]]-1</f>
        <v>#N/A</v>
      </c>
      <c r="V2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3" s="284" t="s">
        <v>149</v>
      </c>
      <c r="Y23" s="437">
        <f>IFERROR(VLOOKUP(Tableau118[[#This Row],[Name Shipper]],Plant_AILN!L:M,2,FALSE),0)</f>
        <v>2533780546</v>
      </c>
      <c r="Z23" s="406">
        <v>915</v>
      </c>
      <c r="AA23" s="396" t="e">
        <f ca="1">VLOOKUP(Tableau118[[#This Row],[Key(ID-Actif)]],'DATA BTO'!A:N,5,FALSE)</f>
        <v>#N/A</v>
      </c>
      <c r="AB23" s="3" t="e">
        <f ca="1">VLOOKUP(Tableau118[[#This Row],[Key(ID-Actif)]],'DATA BTO'!A:N,6,FALSE)</f>
        <v>#N/A</v>
      </c>
      <c r="AC23" s="50" t="e">
        <f ca="1">VLOOKUP(Tableau118[[#This Row],[Key(ID-Actif)]],'DATA BTO'!A:N,7,FALSE)</f>
        <v>#N/A</v>
      </c>
      <c r="AD23" s="50" t="e">
        <f ca="1">VLOOKUP(Tableau118[[#This Row],[Key(ID-Actif)]],'DATA BTO'!A:N,8,FALSE)</f>
        <v>#N/A</v>
      </c>
      <c r="AE23" s="50" t="e">
        <f ca="1">IF(Tableau118[[#This Row],[First Day to POL]]&lt;=Tableau118[[#This Row],[Day Cut Off]],Tableau118[[#This Row],[Day ETD]],Tableau118[[#This Row],[Day ETD]]+7)</f>
        <v>#N/A</v>
      </c>
      <c r="AF23" s="50" t="e">
        <f ca="1">VLOOKUP(Tableau118[[#This Row],[Key(ID-Actif)]],'DATA BTO'!A:N,9,FALSE)</f>
        <v>#N/A</v>
      </c>
      <c r="AG23" s="3" t="e">
        <f ca="1">VLOOKUP(Tableau118[[#This Row],[Key(ID-Actif)]],'DATA BTO'!A:N,10,FALSE)</f>
        <v>#N/A</v>
      </c>
      <c r="AH23" s="3" t="e">
        <f ca="1">VLOOKUP(Tableau118[[#This Row],[Key(ID-Actif)]],'DATA BTO'!A:N,11,FALSE)</f>
        <v>#N/A</v>
      </c>
      <c r="AI23" s="50" t="e">
        <f ca="1">VLOOKUP(Tableau118[[#This Row],[Key(ID-Actif)]],'DATA BTO'!A:N,12,FALSE)</f>
        <v>#N/A</v>
      </c>
      <c r="AJ23" s="53" t="e">
        <f ca="1">VLOOKUP(Tableau118[[#This Row],[Key(ID-Actif)]],'DATA BTO'!A:N,14,FALSE)</f>
        <v>#N/A</v>
      </c>
      <c r="AK23" s="54" t="e">
        <f ca="1">VLOOKUP(Tableau118[[#This Row],[Key(POD -PFI- Usine)]],'DATA Consignee'!A:F,6,FALSE)</f>
        <v>#N/A</v>
      </c>
      <c r="AL23" s="127" t="s">
        <v>164</v>
      </c>
      <c r="AM23" s="438">
        <f>IF(Tableau118[[#This Row],[Name PFI/CDD]]="","-",VLOOKUP(Tableau118[[#This Row],[Name PFI/CDD]],Plant_AILN!I:J,2,FALSE))</f>
        <v>2839004</v>
      </c>
      <c r="AN2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" s="2" t="e">
        <f ca="1">VLOOKUP(Tableau118[[#This Row],[Key(POD -PFI- Usine)]],'DATA Consignee'!A:J,10,FALSE)</f>
        <v>#N/A</v>
      </c>
      <c r="AQ23" s="50" t="e">
        <f ca="1">VLOOKUP(Tableau118[[#This Row],[Key(POD -PFI- Usine)]],'DATA Consignee'!A:N,14,FALSE)</f>
        <v>#N/A</v>
      </c>
      <c r="AR2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" s="50" t="e">
        <f ca="1">Tableau118[[#This Row],[Transit time]]+Tableau118[[#This Row],[Time for security]]+Tableau118[[#This Row],[Time for security2 buffer]]</f>
        <v>#N/A</v>
      </c>
      <c r="AU2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" s="433" t="e">
        <f ca="1">Tableau118[[#This Row],[Leadtime SI2C]]+Tableau118[[#This Row],[First Receipt Days]]-Tableau118[[#This Row],[Day Customer Order]]+1</f>
        <v>#N/A</v>
      </c>
      <c r="AW23" s="119" t="e">
        <f ca="1">IF(Tableau118[[#This Row],[Name ILN]]&lt;&gt;"SFK Freight Forwarder",Tableau118[[#This Row],[Cust. Leadtime]],Tableau118[[#This Row],[Leadtime SI2C]])</f>
        <v>#N/A</v>
      </c>
      <c r="AX23" s="51" t="str">
        <f>VLOOKUP(Tableau118[[#This Row],[ID]],'DATA BTO'!B:P,15,FALSE)</f>
        <v>Renault &gt; Horse BPH</v>
      </c>
      <c r="AY23" s="338">
        <f ca="1">IFERROR(VLOOKUP(Tableau118[[#This Row],[Key(ID-Actif)]],'DATA BTO'!A:N,4,FALSE),VLOOKUP(Tableau118[[#This Row],[ID]],'DATA BTO'!B:N,3,FALSE))</f>
        <v>45777</v>
      </c>
      <c r="AZ23" s="50" t="str">
        <f>IF(ISNUMBER(Tableau118[[#This Row],[Day Customer Order]]),"-","Please Check 'Name' information in 'Order' Sheet to make sure they have information")</f>
        <v>-</v>
      </c>
      <c r="BA2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" s="50"/>
    </row>
    <row r="24" spans="2:57">
      <c r="B24" s="67" t="str">
        <f>_xlfn.CONCAT(Tableau118[[#This Row],[Name ILN]],"-",Tableau118[[#This Row],[Name Shipper]],"-",Tableau118[[#This Row],[Name Site]])</f>
        <v>ILN Curitiba-ILN Curitiba-MOTORES</v>
      </c>
      <c r="C24" s="67" t="e">
        <f ca="1">_xlfn.CONCAT(Tableau118[[#This Row],[Compte ILN]],"-",Tableau118[[#This Row],[Compte Shipper]],"-",Tableau118[[#This Row],[POL]],"-",Tableau118[[#This Row],[Compte Site]])</f>
        <v>#N/A</v>
      </c>
      <c r="D24" s="66" t="e">
        <f ca="1">_xlfn.CONCAT(Tableau118[[#This Row],[Compte ILN]],"-",Tableau118[[#This Row],[Compte Shipper]],"-",Tableau118[[#This Row],[POL]])</f>
        <v>#N/A</v>
      </c>
      <c r="E24" s="434" t="e">
        <f ca="1">_xlfn.CONCAT(Tableau118[[#This Row],[POL]],"-",Tableau118[[#This Row],[Carrier]],"-",Tableau118[[#This Row],[POD]])</f>
        <v>#N/A</v>
      </c>
      <c r="F24" s="66" t="str">
        <f>_xlfn.CONCAT(Tableau118[[#This Row],[ID]],"-","Next")</f>
        <v>916-Next</v>
      </c>
      <c r="G24" s="66" t="e">
        <f ca="1">_xlfn.CONCAT(Tableau118[[#This Row],[POD]],"-",Tableau118[[#This Row],[Code PFI]],"-",Tableau118[[#This Row],[Compte Site]])</f>
        <v>#N/A</v>
      </c>
      <c r="H2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" s="435" t="str">
        <f ca="1">IF(COUNTIF(I:I,Tableau118[[#This Row],[Plant-ILN-shipper-POL-Carrier-POD-PFI]])=1,"Non","Oui")</f>
        <v>Oui</v>
      </c>
      <c r="K24" s="128" t="str">
        <f>VLOOKUP(Tableau118[[#This Row],[Name Site]],Plant_AILN!A:D,4,FALSE)</f>
        <v>SPAIN</v>
      </c>
      <c r="L24" s="10" t="s">
        <v>63</v>
      </c>
      <c r="M24" s="439">
        <f>VLOOKUP(Tableau118[[#This Row],[Name Site]],Plant_AILN!A:C,3,FALSE)</f>
        <v>91017700</v>
      </c>
      <c r="N24" s="55">
        <f>IF(Tableau118[[#This Row],[Name PFI/CDD]]="PFI VLL",2,VLOOKUP(Tableau118[[#This Row],[Compte Site]],Order!C:D,2,FALSE))</f>
        <v>7</v>
      </c>
      <c r="O24" s="116" t="s">
        <v>163</v>
      </c>
      <c r="P24" s="365">
        <f>VLOOKUP(Tableau118[[#This Row],[Name ILN]],Plant_AILN!F:G,2,FALSE)</f>
        <v>95207</v>
      </c>
      <c r="Q24" s="50">
        <f>VLOOKUP(Tableau118[[#This Row],[Compte ILN]],'DATA ILN'!D:I,6,FALSE)</f>
        <v>9</v>
      </c>
      <c r="R2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4" s="50" t="e">
        <f ca="1">Tableau118[[#This Row],[Day ILN Order]]+Tableau118[[#This Row],[Delivery time to ILN/Shipper]]-1</f>
        <v>#N/A</v>
      </c>
      <c r="V2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4" s="284" t="s">
        <v>163</v>
      </c>
      <c r="Y24" s="437">
        <f>IFERROR(VLOOKUP(Tableau118[[#This Row],[Name Shipper]],Plant_AILN!L:M,2,FALSE),0)</f>
        <v>95207</v>
      </c>
      <c r="Z24" s="406">
        <v>916</v>
      </c>
      <c r="AA24" s="396" t="e">
        <f ca="1">VLOOKUP(Tableau118[[#This Row],[Key(ID-Actif)]],'DATA BTO'!A:N,5,FALSE)</f>
        <v>#N/A</v>
      </c>
      <c r="AB24" s="3" t="e">
        <f ca="1">VLOOKUP(Tableau118[[#This Row],[Key(ID-Actif)]],'DATA BTO'!A:N,6,FALSE)</f>
        <v>#N/A</v>
      </c>
      <c r="AC24" s="50" t="e">
        <f ca="1">VLOOKUP(Tableau118[[#This Row],[Key(ID-Actif)]],'DATA BTO'!A:N,7,FALSE)</f>
        <v>#N/A</v>
      </c>
      <c r="AD24" s="50" t="e">
        <f ca="1">VLOOKUP(Tableau118[[#This Row],[Key(ID-Actif)]],'DATA BTO'!A:N,8,FALSE)</f>
        <v>#N/A</v>
      </c>
      <c r="AE24" s="50" t="e">
        <f ca="1">IF(Tableau118[[#This Row],[First Day to POL]]&lt;=Tableau118[[#This Row],[Day Cut Off]],Tableau118[[#This Row],[Day ETD]],Tableau118[[#This Row],[Day ETD]]+7)</f>
        <v>#N/A</v>
      </c>
      <c r="AF24" s="50" t="e">
        <f ca="1">VLOOKUP(Tableau118[[#This Row],[Key(ID-Actif)]],'DATA BTO'!A:N,9,FALSE)</f>
        <v>#N/A</v>
      </c>
      <c r="AG24" s="3" t="e">
        <f ca="1">VLOOKUP(Tableau118[[#This Row],[Key(ID-Actif)]],'DATA BTO'!A:N,10,FALSE)</f>
        <v>#N/A</v>
      </c>
      <c r="AH24" s="3" t="e">
        <f ca="1">VLOOKUP(Tableau118[[#This Row],[Key(ID-Actif)]],'DATA BTO'!A:N,11,FALSE)</f>
        <v>#N/A</v>
      </c>
      <c r="AI24" s="50" t="e">
        <f ca="1">VLOOKUP(Tableau118[[#This Row],[Key(ID-Actif)]],'DATA BTO'!A:N,12,FALSE)</f>
        <v>#N/A</v>
      </c>
      <c r="AJ24" s="53" t="e">
        <f ca="1">VLOOKUP(Tableau118[[#This Row],[Key(ID-Actif)]],'DATA BTO'!A:N,14,FALSE)</f>
        <v>#N/A</v>
      </c>
      <c r="AK24" s="54" t="e">
        <f ca="1">VLOOKUP(Tableau118[[#This Row],[Key(POD -PFI- Usine)]],'DATA Consignee'!A:F,6,FALSE)</f>
        <v>#N/A</v>
      </c>
      <c r="AL24" s="127" t="s">
        <v>169</v>
      </c>
      <c r="AM24" s="438">
        <f>IF(Tableau118[[#This Row],[Name PFI/CDD]]="","-",VLOOKUP(Tableau118[[#This Row],[Name PFI/CDD]],Plant_AILN!I:J,2,FALSE))</f>
        <v>91018400</v>
      </c>
      <c r="AN24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4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4" s="2" t="e">
        <f ca="1">VLOOKUP(Tableau118[[#This Row],[Key(POD -PFI- Usine)]],'DATA Consignee'!A:J,10,FALSE)</f>
        <v>#N/A</v>
      </c>
      <c r="AQ24" s="50" t="e">
        <f ca="1">VLOOKUP(Tableau118[[#This Row],[Key(POD -PFI- Usine)]],'DATA Consignee'!A:N,14,FALSE)</f>
        <v>#N/A</v>
      </c>
      <c r="AR2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" s="50" t="e">
        <f ca="1">Tableau118[[#This Row],[Transit time]]+Tableau118[[#This Row],[Time for security]]+Tableau118[[#This Row],[Time for security2 buffer]]</f>
        <v>#N/A</v>
      </c>
      <c r="AU2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" s="433" t="e">
        <f ca="1">Tableau118[[#This Row],[Leadtime SI2C]]+Tableau118[[#This Row],[First Receipt Days]]-Tableau118[[#This Row],[Day Customer Order]]+1</f>
        <v>#N/A</v>
      </c>
      <c r="AW24" s="119" t="e">
        <f ca="1">IF(Tableau118[[#This Row],[Name ILN]]&lt;&gt;"SFK Freight Forwarder",Tableau118[[#This Row],[Cust. Leadtime]],Tableau118[[#This Row],[Leadtime SI2C]])</f>
        <v>#N/A</v>
      </c>
      <c r="AX24" s="51" t="str">
        <f>VLOOKUP(Tableau118[[#This Row],[ID]],'DATA BTO'!B:P,15,FALSE)</f>
        <v>Renault &gt; Horse BPH</v>
      </c>
      <c r="AY24" s="338">
        <f ca="1">IFERROR(VLOOKUP(Tableau118[[#This Row],[Key(ID-Actif)]],'DATA BTO'!A:N,4,FALSE),VLOOKUP(Tableau118[[#This Row],[ID]],'DATA BTO'!B:N,3,FALSE))</f>
        <v>45412</v>
      </c>
      <c r="AZ24" s="50" t="str">
        <f>IF(ISNUMBER(Tableau118[[#This Row],[Day Customer Order]]),"-","Please Check 'Name' information in 'Order' Sheet to make sure they have information")</f>
        <v>-</v>
      </c>
      <c r="BA2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" s="50"/>
    </row>
    <row r="25" spans="2:57">
      <c r="B25" s="67" t="str">
        <f>_xlfn.CONCAT(Tableau118[[#This Row],[Name ILN]],"-",Tableau118[[#This Row],[Name Shipper]],"-",Tableau118[[#This Row],[Name Site]])</f>
        <v>ILN Chennai-ILN Chennai-OYAK MEKA</v>
      </c>
      <c r="C25" s="67" t="e">
        <f ca="1">_xlfn.CONCAT(Tableau118[[#This Row],[Compte ILN]],"-",Tableau118[[#This Row],[Compte Shipper]],"-",Tableau118[[#This Row],[POL]],"-",Tableau118[[#This Row],[Compte Site]])</f>
        <v>#N/A</v>
      </c>
      <c r="D25" s="66" t="e">
        <f ca="1">_xlfn.CONCAT(Tableau118[[#This Row],[Compte ILN]],"-",Tableau118[[#This Row],[Compte Shipper]],"-",Tableau118[[#This Row],[POL]])</f>
        <v>#N/A</v>
      </c>
      <c r="E25" s="434" t="e">
        <f ca="1">_xlfn.CONCAT(Tableau118[[#This Row],[POL]],"-",Tableau118[[#This Row],[Carrier]],"-",Tableau118[[#This Row],[POD]])</f>
        <v>#N/A</v>
      </c>
      <c r="F25" s="66" t="str">
        <f>_xlfn.CONCAT(Tableau118[[#This Row],[ID]],"-","Next")</f>
        <v>917-Next</v>
      </c>
      <c r="G25" s="66" t="e">
        <f ca="1">_xlfn.CONCAT(Tableau118[[#This Row],[POD]],"-",Tableau118[[#This Row],[Code PFI]],"-",Tableau118[[#This Row],[Compte Site]])</f>
        <v>#N/A</v>
      </c>
      <c r="H2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" s="435" t="str">
        <f ca="1">IF(COUNTIF(I:I,Tableau118[[#This Row],[Plant-ILN-shipper-POL-Carrier-POD-PFI]])=1,"Non","Oui")</f>
        <v>Oui</v>
      </c>
      <c r="K25" s="128" t="str">
        <f>VLOOKUP(Tableau118[[#This Row],[Name Site]],Plant_AILN!A:D,4,FALSE)</f>
        <v>TURKEY</v>
      </c>
      <c r="L25" s="10" t="s">
        <v>165</v>
      </c>
      <c r="M25" s="439">
        <f>VLOOKUP(Tableau118[[#This Row],[Name Site]],Plant_AILN!A:C,3,FALSE)</f>
        <v>90014400</v>
      </c>
      <c r="N25" s="55">
        <f>IF(Tableau118[[#This Row],[Name PFI/CDD]]="PFI VLL",2,VLOOKUP(Tableau118[[#This Row],[Compte Site]],Order!C:D,2,FALSE))</f>
        <v>2</v>
      </c>
      <c r="O25" s="116" t="s">
        <v>149</v>
      </c>
      <c r="P25" s="365">
        <f>VLOOKUP(Tableau118[[#This Row],[Name ILN]],Plant_AILN!F:G,2,FALSE)</f>
        <v>2533780546</v>
      </c>
      <c r="Q25" s="50">
        <f>VLOOKUP(Tableau118[[#This Row],[Compte ILN]],'DATA ILN'!D:I,6,FALSE)</f>
        <v>9</v>
      </c>
      <c r="R2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5" s="50" t="e">
        <f ca="1">Tableau118[[#This Row],[Day ILN Order]]+Tableau118[[#This Row],[Delivery time to ILN/Shipper]]-1</f>
        <v>#N/A</v>
      </c>
      <c r="V2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5" s="284" t="s">
        <v>149</v>
      </c>
      <c r="Y25" s="437">
        <f>IFERROR(VLOOKUP(Tableau118[[#This Row],[Name Shipper]],Plant_AILN!L:M,2,FALSE),0)</f>
        <v>2533780546</v>
      </c>
      <c r="Z25" s="406">
        <v>917</v>
      </c>
      <c r="AA25" s="396" t="e">
        <f ca="1">VLOOKUP(Tableau118[[#This Row],[Key(ID-Actif)]],'DATA BTO'!A:N,5,FALSE)</f>
        <v>#N/A</v>
      </c>
      <c r="AB25" s="3" t="e">
        <f ca="1">VLOOKUP(Tableau118[[#This Row],[Key(ID-Actif)]],'DATA BTO'!A:N,6,FALSE)</f>
        <v>#N/A</v>
      </c>
      <c r="AC25" s="50" t="e">
        <f ca="1">VLOOKUP(Tableau118[[#This Row],[Key(ID-Actif)]],'DATA BTO'!A:N,7,FALSE)</f>
        <v>#N/A</v>
      </c>
      <c r="AD25" s="50" t="e">
        <f ca="1">VLOOKUP(Tableau118[[#This Row],[Key(ID-Actif)]],'DATA BTO'!A:N,8,FALSE)</f>
        <v>#N/A</v>
      </c>
      <c r="AE25" s="50" t="e">
        <f ca="1">IF(Tableau118[[#This Row],[First Day to POL]]&lt;=Tableau118[[#This Row],[Day Cut Off]],Tableau118[[#This Row],[Day ETD]],Tableau118[[#This Row],[Day ETD]]+7)</f>
        <v>#N/A</v>
      </c>
      <c r="AF25" s="50" t="e">
        <f ca="1">VLOOKUP(Tableau118[[#This Row],[Key(ID-Actif)]],'DATA BTO'!A:N,9,FALSE)</f>
        <v>#N/A</v>
      </c>
      <c r="AG25" s="3" t="e">
        <f ca="1">VLOOKUP(Tableau118[[#This Row],[Key(ID-Actif)]],'DATA BTO'!A:N,10,FALSE)</f>
        <v>#N/A</v>
      </c>
      <c r="AH25" s="3" t="e">
        <f ca="1">VLOOKUP(Tableau118[[#This Row],[Key(ID-Actif)]],'DATA BTO'!A:N,11,FALSE)</f>
        <v>#N/A</v>
      </c>
      <c r="AI25" s="50" t="e">
        <f ca="1">VLOOKUP(Tableau118[[#This Row],[Key(ID-Actif)]],'DATA BTO'!A:N,12,FALSE)</f>
        <v>#N/A</v>
      </c>
      <c r="AJ25" s="53" t="e">
        <f ca="1">VLOOKUP(Tableau118[[#This Row],[Key(ID-Actif)]],'DATA BTO'!A:N,14,FALSE)</f>
        <v>#N/A</v>
      </c>
      <c r="AK25" s="54" t="e">
        <f ca="1">VLOOKUP(Tableau118[[#This Row],[Key(POD -PFI- Usine)]],'DATA Consignee'!A:F,6,FALSE)</f>
        <v>#N/A</v>
      </c>
      <c r="AL25" s="127"/>
      <c r="AM25" s="438" t="str">
        <f>IF(Tableau118[[#This Row],[Name PFI/CDD]]="","-",VLOOKUP(Tableau118[[#This Row],[Name PFI/CDD]],Plant_AILN!I:J,2,FALSE))</f>
        <v>-</v>
      </c>
      <c r="AN2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" s="2" t="e">
        <f ca="1">VLOOKUP(Tableau118[[#This Row],[Key(POD -PFI- Usine)]],'DATA Consignee'!A:J,10,FALSE)</f>
        <v>#N/A</v>
      </c>
      <c r="AQ25" s="50" t="e">
        <f ca="1">VLOOKUP(Tableau118[[#This Row],[Key(POD -PFI- Usine)]],'DATA Consignee'!A:N,14,FALSE)</f>
        <v>#N/A</v>
      </c>
      <c r="AR2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" s="50" t="e">
        <f ca="1">Tableau118[[#This Row],[Transit time]]+Tableau118[[#This Row],[Time for security]]+Tableau118[[#This Row],[Time for security2 buffer]]</f>
        <v>#N/A</v>
      </c>
      <c r="AU2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" s="433" t="e">
        <f ca="1">Tableau118[[#This Row],[Leadtime SI2C]]+Tableau118[[#This Row],[First Receipt Days]]-Tableau118[[#This Row],[Day Customer Order]]+1</f>
        <v>#N/A</v>
      </c>
      <c r="AW25" s="119" t="e">
        <f ca="1">IF(Tableau118[[#This Row],[Name ILN]]&lt;&gt;"SFK Freight Forwarder",Tableau118[[#This Row],[Cust. Leadtime]],Tableau118[[#This Row],[Leadtime SI2C]])</f>
        <v>#N/A</v>
      </c>
      <c r="AX25" s="51" t="str">
        <f>VLOOKUP(Tableau118[[#This Row],[ID]],'DATA BTO'!B:P,15,FALSE)</f>
        <v>Renault &gt; Horse BPH</v>
      </c>
      <c r="AY25" s="338">
        <f ca="1">IFERROR(VLOOKUP(Tableau118[[#This Row],[Key(ID-Actif)]],'DATA BTO'!A:N,4,FALSE),VLOOKUP(Tableau118[[#This Row],[ID]],'DATA BTO'!B:N,3,FALSE))</f>
        <v>45777</v>
      </c>
      <c r="AZ25" s="50" t="str">
        <f>IF(ISNUMBER(Tableau118[[#This Row],[Day Customer Order]]),"-","Please Check 'Name' information in 'Order' Sheet to make sure they have information")</f>
        <v>-</v>
      </c>
      <c r="BA2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" s="50"/>
    </row>
    <row r="26" spans="2:57">
      <c r="B26" s="67" t="str">
        <f>_xlfn.CONCAT(Tableau118[[#This Row],[Name ILN]],"-",Tableau118[[#This Row],[Name Shipper]],"-",Tableau118[[#This Row],[Name Site]])</f>
        <v>ILN Chennai-ILN Chennai-MOTORES</v>
      </c>
      <c r="C26" s="67" t="e">
        <f ca="1">_xlfn.CONCAT(Tableau118[[#This Row],[Compte ILN]],"-",Tableau118[[#This Row],[Compte Shipper]],"-",Tableau118[[#This Row],[POL]],"-",Tableau118[[#This Row],[Compte Site]])</f>
        <v>#N/A</v>
      </c>
      <c r="D26" s="66" t="e">
        <f ca="1">_xlfn.CONCAT(Tableau118[[#This Row],[Compte ILN]],"-",Tableau118[[#This Row],[Compte Shipper]],"-",Tableau118[[#This Row],[POL]])</f>
        <v>#N/A</v>
      </c>
      <c r="E26" s="434" t="e">
        <f ca="1">_xlfn.CONCAT(Tableau118[[#This Row],[POL]],"-",Tableau118[[#This Row],[Carrier]],"-",Tableau118[[#This Row],[POD]])</f>
        <v>#N/A</v>
      </c>
      <c r="F26" s="66" t="str">
        <f>_xlfn.CONCAT(Tableau118[[#This Row],[ID]],"-","Next")</f>
        <v>918-Next</v>
      </c>
      <c r="G26" s="66" t="e">
        <f ca="1">_xlfn.CONCAT(Tableau118[[#This Row],[POD]],"-",Tableau118[[#This Row],[Code PFI]],"-",Tableau118[[#This Row],[Compte Site]])</f>
        <v>#N/A</v>
      </c>
      <c r="H2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" s="435" t="str">
        <f ca="1">IF(COUNTIF(I:I,Tableau118[[#This Row],[Plant-ILN-shipper-POL-Carrier-POD-PFI]])=1,"Non","Oui")</f>
        <v>Oui</v>
      </c>
      <c r="K26" s="128" t="str">
        <f>VLOOKUP(Tableau118[[#This Row],[Name Site]],Plant_AILN!A:D,4,FALSE)</f>
        <v>SPAIN</v>
      </c>
      <c r="L26" s="412" t="s">
        <v>63</v>
      </c>
      <c r="M26" s="439">
        <f>VLOOKUP(Tableau118[[#This Row],[Name Site]],Plant_AILN!A:C,3,FALSE)</f>
        <v>91017700</v>
      </c>
      <c r="N26" s="55">
        <f>IF(Tableau118[[#This Row],[Name PFI/CDD]]="PFI VLL",2,VLOOKUP(Tableau118[[#This Row],[Compte Site]],Order!C:D,2,FALSE))</f>
        <v>7</v>
      </c>
      <c r="O26" s="116" t="s">
        <v>149</v>
      </c>
      <c r="P26" s="365">
        <f>VLOOKUP(Tableau118[[#This Row],[Name ILN]],Plant_AILN!F:G,2,FALSE)</f>
        <v>2533780546</v>
      </c>
      <c r="Q26" s="50">
        <f>VLOOKUP(Tableau118[[#This Row],[Compte ILN]],'DATA ILN'!D:I,6,FALSE)</f>
        <v>9</v>
      </c>
      <c r="R2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6" s="50" t="e">
        <f ca="1">Tableau118[[#This Row],[Day ILN Order]]+Tableau118[[#This Row],[Delivery time to ILN/Shipper]]-1</f>
        <v>#N/A</v>
      </c>
      <c r="V2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6" s="284" t="s">
        <v>149</v>
      </c>
      <c r="Y26" s="437">
        <f>IFERROR(VLOOKUP(Tableau118[[#This Row],[Name Shipper]],Plant_AILN!L:M,2,FALSE),0)</f>
        <v>2533780546</v>
      </c>
      <c r="Z26" s="406">
        <v>918</v>
      </c>
      <c r="AA26" s="396" t="e">
        <f ca="1">VLOOKUP(Tableau118[[#This Row],[Key(ID-Actif)]],'DATA BTO'!A:N,5,FALSE)</f>
        <v>#N/A</v>
      </c>
      <c r="AB26" s="3" t="e">
        <f ca="1">VLOOKUP(Tableau118[[#This Row],[Key(ID-Actif)]],'DATA BTO'!A:N,6,FALSE)</f>
        <v>#N/A</v>
      </c>
      <c r="AC26" s="50" t="e">
        <f ca="1">VLOOKUP(Tableau118[[#This Row],[Key(ID-Actif)]],'DATA BTO'!A:N,7,FALSE)</f>
        <v>#N/A</v>
      </c>
      <c r="AD26" s="50" t="e">
        <f ca="1">VLOOKUP(Tableau118[[#This Row],[Key(ID-Actif)]],'DATA BTO'!A:N,8,FALSE)</f>
        <v>#N/A</v>
      </c>
      <c r="AE26" s="50" t="e">
        <f ca="1">IF(Tableau118[[#This Row],[First Day to POL]]&lt;=Tableau118[[#This Row],[Day Cut Off]],Tableau118[[#This Row],[Day ETD]],Tableau118[[#This Row],[Day ETD]]+7)</f>
        <v>#N/A</v>
      </c>
      <c r="AF26" s="50" t="e">
        <f ca="1">VLOOKUP(Tableau118[[#This Row],[Key(ID-Actif)]],'DATA BTO'!A:N,9,FALSE)</f>
        <v>#N/A</v>
      </c>
      <c r="AG26" s="3" t="e">
        <f ca="1">VLOOKUP(Tableau118[[#This Row],[Key(ID-Actif)]],'DATA BTO'!A:N,10,FALSE)</f>
        <v>#N/A</v>
      </c>
      <c r="AH26" s="3" t="e">
        <f ca="1">VLOOKUP(Tableau118[[#This Row],[Key(ID-Actif)]],'DATA BTO'!A:N,11,FALSE)</f>
        <v>#N/A</v>
      </c>
      <c r="AI26" s="50" t="e">
        <f ca="1">VLOOKUP(Tableau118[[#This Row],[Key(ID-Actif)]],'DATA BTO'!A:N,12,FALSE)</f>
        <v>#N/A</v>
      </c>
      <c r="AJ26" s="53" t="e">
        <f ca="1">VLOOKUP(Tableau118[[#This Row],[Key(ID-Actif)]],'DATA BTO'!A:N,14,FALSE)</f>
        <v>#N/A</v>
      </c>
      <c r="AK26" s="54" t="e">
        <f ca="1">VLOOKUP(Tableau118[[#This Row],[Key(POD -PFI- Usine)]],'DATA Consignee'!A:F,6,FALSE)</f>
        <v>#N/A</v>
      </c>
      <c r="AL26" s="489"/>
      <c r="AM26" s="438" t="str">
        <f>IF(Tableau118[[#This Row],[Name PFI/CDD]]="","-",VLOOKUP(Tableau118[[#This Row],[Name PFI/CDD]],Plant_AILN!I:J,2,FALSE))</f>
        <v>-</v>
      </c>
      <c r="AN2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" s="2" t="e">
        <f ca="1">VLOOKUP(Tableau118[[#This Row],[Key(POD -PFI- Usine)]],'DATA Consignee'!A:J,10,FALSE)</f>
        <v>#N/A</v>
      </c>
      <c r="AQ26" s="50" t="e">
        <f ca="1">VLOOKUP(Tableau118[[#This Row],[Key(POD -PFI- Usine)]],'DATA Consignee'!A:N,14,FALSE)</f>
        <v>#N/A</v>
      </c>
      <c r="AR2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" s="50" t="e">
        <f ca="1">Tableau118[[#This Row],[Transit time]]+Tableau118[[#This Row],[Time for security]]+Tableau118[[#This Row],[Time for security2 buffer]]</f>
        <v>#N/A</v>
      </c>
      <c r="AU2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" s="433" t="e">
        <f ca="1">Tableau118[[#This Row],[Leadtime SI2C]]+Tableau118[[#This Row],[First Receipt Days]]-Tableau118[[#This Row],[Day Customer Order]]+1</f>
        <v>#N/A</v>
      </c>
      <c r="AW26" s="119" t="e">
        <f ca="1">IF(Tableau118[[#This Row],[Name ILN]]&lt;&gt;"SFK Freight Forwarder",Tableau118[[#This Row],[Cust. Leadtime]],Tableau118[[#This Row],[Leadtime SI2C]])</f>
        <v>#N/A</v>
      </c>
      <c r="AX26" s="51" t="str">
        <f>VLOOKUP(Tableau118[[#This Row],[ID]],'DATA BTO'!B:P,15,FALSE)</f>
        <v>Renault &gt; Horse BPH</v>
      </c>
      <c r="AY26" s="338">
        <f ca="1">IFERROR(VLOOKUP(Tableau118[[#This Row],[Key(ID-Actif)]],'DATA BTO'!A:N,4,FALSE),VLOOKUP(Tableau118[[#This Row],[ID]],'DATA BTO'!B:N,3,FALSE))</f>
        <v>45777</v>
      </c>
      <c r="AZ26" s="50" t="str">
        <f>IF(ISNUMBER(Tableau118[[#This Row],[Day Customer Order]]),"-","Please Check 'Name' information in 'Order' Sheet to make sure they have information")</f>
        <v>-</v>
      </c>
      <c r="BA2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" s="50"/>
    </row>
    <row r="27" spans="2:57">
      <c r="B27" s="67" t="str">
        <f>_xlfn.CONCAT(Tableau118[[#This Row],[Name ILN]],"-",Tableau118[[#This Row],[Name Shipper]],"-",Tableau118[[#This Row],[Name Site]])</f>
        <v>ILN Chennai-ILN Chennai-MOTORES</v>
      </c>
      <c r="C27" s="67" t="e">
        <f ca="1">_xlfn.CONCAT(Tableau118[[#This Row],[Compte ILN]],"-",Tableau118[[#This Row],[Compte Shipper]],"-",Tableau118[[#This Row],[POL]],"-",Tableau118[[#This Row],[Compte Site]])</f>
        <v>#N/A</v>
      </c>
      <c r="D27" s="66" t="e">
        <f ca="1">_xlfn.CONCAT(Tableau118[[#This Row],[Compte ILN]],"-",Tableau118[[#This Row],[Compte Shipper]],"-",Tableau118[[#This Row],[POL]])</f>
        <v>#N/A</v>
      </c>
      <c r="E27" s="434" t="e">
        <f ca="1">_xlfn.CONCAT(Tableau118[[#This Row],[POL]],"-",Tableau118[[#This Row],[Carrier]],"-",Tableau118[[#This Row],[POD]])</f>
        <v>#N/A</v>
      </c>
      <c r="F27" s="66" t="str">
        <f>_xlfn.CONCAT(Tableau118[[#This Row],[ID]],"-","Next")</f>
        <v>918-Next</v>
      </c>
      <c r="G27" s="66" t="e">
        <f ca="1">_xlfn.CONCAT(Tableau118[[#This Row],[POD]],"-",Tableau118[[#This Row],[Code PFI]],"-",Tableau118[[#This Row],[Compte Site]])</f>
        <v>#N/A</v>
      </c>
      <c r="H2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" s="435" t="str">
        <f ca="1">IF(COUNTIF(I:I,Tableau118[[#This Row],[Plant-ILN-shipper-POL-Carrier-POD-PFI]])=1,"Non","Oui")</f>
        <v>Oui</v>
      </c>
      <c r="K27" s="436" t="str">
        <f>VLOOKUP(Tableau118[[#This Row],[Name Site]],Plant_AILN!A:D,4,FALSE)</f>
        <v>SPAIN</v>
      </c>
      <c r="L27" s="285" t="s">
        <v>63</v>
      </c>
      <c r="M27" s="439">
        <f>VLOOKUP(Tableau118[[#This Row],[Name Site]],Plant_AILN!A:C,3,FALSE)</f>
        <v>91017700</v>
      </c>
      <c r="N27" s="55">
        <f>IF(Tableau118[[#This Row],[Name PFI/CDD]]="PFI VLL",2,VLOOKUP(Tableau118[[#This Row],[Compte Site]],Order!C:D,2,FALSE))</f>
        <v>7</v>
      </c>
      <c r="O27" s="116" t="s">
        <v>149</v>
      </c>
      <c r="P27" s="365">
        <f>VLOOKUP(Tableau118[[#This Row],[Name ILN]],Plant_AILN!F:G,2,FALSE)</f>
        <v>2533780546</v>
      </c>
      <c r="Q27" s="50">
        <f>VLOOKUP(Tableau118[[#This Row],[Compte ILN]],'DATA ILN'!D:I,6,FALSE)</f>
        <v>9</v>
      </c>
      <c r="R2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7" s="50" t="e">
        <f ca="1">Tableau118[[#This Row],[Day ILN Order]]+Tableau118[[#This Row],[Delivery time to ILN/Shipper]]-1</f>
        <v>#N/A</v>
      </c>
      <c r="V2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7" s="284" t="s">
        <v>149</v>
      </c>
      <c r="Y27" s="437">
        <f>IFERROR(VLOOKUP(Tableau118[[#This Row],[Name Shipper]],Plant_AILN!L:M,2,FALSE),0)</f>
        <v>2533780546</v>
      </c>
      <c r="Z27" s="406">
        <v>918</v>
      </c>
      <c r="AA27" s="396" t="e">
        <f ca="1">VLOOKUP(Tableau118[[#This Row],[Key(ID-Actif)]],'DATA BTO'!A:N,5,FALSE)</f>
        <v>#N/A</v>
      </c>
      <c r="AB27" s="3" t="e">
        <f ca="1">VLOOKUP(Tableau118[[#This Row],[Key(ID-Actif)]],'DATA BTO'!A:N,6,FALSE)</f>
        <v>#N/A</v>
      </c>
      <c r="AC27" s="50" t="e">
        <f ca="1">VLOOKUP(Tableau118[[#This Row],[Key(ID-Actif)]],'DATA BTO'!A:N,7,FALSE)</f>
        <v>#N/A</v>
      </c>
      <c r="AD27" s="50" t="e">
        <f ca="1">VLOOKUP(Tableau118[[#This Row],[Key(ID-Actif)]],'DATA BTO'!A:N,8,FALSE)</f>
        <v>#N/A</v>
      </c>
      <c r="AE27" s="50" t="e">
        <f ca="1">IF(Tableau118[[#This Row],[First Day to POL]]&lt;=Tableau118[[#This Row],[Day Cut Off]],Tableau118[[#This Row],[Day ETD]],Tableau118[[#This Row],[Day ETD]]+7)</f>
        <v>#N/A</v>
      </c>
      <c r="AF27" s="50" t="e">
        <f ca="1">VLOOKUP(Tableau118[[#This Row],[Key(ID-Actif)]],'DATA BTO'!A:N,9,FALSE)</f>
        <v>#N/A</v>
      </c>
      <c r="AG27" s="3" t="e">
        <f ca="1">VLOOKUP(Tableau118[[#This Row],[Key(ID-Actif)]],'DATA BTO'!A:N,10,FALSE)</f>
        <v>#N/A</v>
      </c>
      <c r="AH27" s="3" t="e">
        <f ca="1">VLOOKUP(Tableau118[[#This Row],[Key(ID-Actif)]],'DATA BTO'!A:N,11,FALSE)</f>
        <v>#N/A</v>
      </c>
      <c r="AI27" s="50" t="e">
        <f ca="1">VLOOKUP(Tableau118[[#This Row],[Key(ID-Actif)]],'DATA BTO'!A:N,12,FALSE)</f>
        <v>#N/A</v>
      </c>
      <c r="AJ27" s="53" t="e">
        <f ca="1">VLOOKUP(Tableau118[[#This Row],[Key(ID-Actif)]],'DATA BTO'!A:N,14,FALSE)</f>
        <v>#N/A</v>
      </c>
      <c r="AK27" s="54" t="e">
        <f ca="1">VLOOKUP(Tableau118[[#This Row],[Key(POD -PFI- Usine)]],'DATA Consignee'!A:F,6,FALSE)</f>
        <v>#N/A</v>
      </c>
      <c r="AL27" s="127"/>
      <c r="AM27" s="438" t="str">
        <f>IF(Tableau118[[#This Row],[Name PFI/CDD]]="","-",VLOOKUP(Tableau118[[#This Row],[Name PFI/CDD]],Plant_AILN!I:J,2,FALSE))</f>
        <v>-</v>
      </c>
      <c r="AN2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" s="2" t="e">
        <f ca="1">VLOOKUP(Tableau118[[#This Row],[Key(POD -PFI- Usine)]],'DATA Consignee'!A:J,10,FALSE)</f>
        <v>#N/A</v>
      </c>
      <c r="AQ27" s="50" t="e">
        <f ca="1">VLOOKUP(Tableau118[[#This Row],[Key(POD -PFI- Usine)]],'DATA Consignee'!A:N,14,FALSE)</f>
        <v>#N/A</v>
      </c>
      <c r="AR2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" s="50" t="e">
        <f ca="1">Tableau118[[#This Row],[Transit time]]+Tableau118[[#This Row],[Time for security]]+Tableau118[[#This Row],[Time for security2 buffer]]</f>
        <v>#N/A</v>
      </c>
      <c r="AU2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" s="433" t="e">
        <f ca="1">Tableau118[[#This Row],[Leadtime SI2C]]+Tableau118[[#This Row],[First Receipt Days]]-Tableau118[[#This Row],[Day Customer Order]]+1</f>
        <v>#N/A</v>
      </c>
      <c r="AW27" s="119" t="e">
        <f ca="1">IF(Tableau118[[#This Row],[Name ILN]]&lt;&gt;"SFK Freight Forwarder",Tableau118[[#This Row],[Cust. Leadtime]],Tableau118[[#This Row],[Leadtime SI2C]])</f>
        <v>#N/A</v>
      </c>
      <c r="AX27" s="51" t="str">
        <f>VLOOKUP(Tableau118[[#This Row],[ID]],'DATA BTO'!B:P,15,FALSE)</f>
        <v>Renault &gt; Horse BPH</v>
      </c>
      <c r="AY27" s="338">
        <f ca="1">IFERROR(VLOOKUP(Tableau118[[#This Row],[Key(ID-Actif)]],'DATA BTO'!A:N,4,FALSE),VLOOKUP(Tableau118[[#This Row],[ID]],'DATA BTO'!B:N,3,FALSE))</f>
        <v>45777</v>
      </c>
      <c r="AZ27" s="50" t="str">
        <f>IF(ISNUMBER(Tableau118[[#This Row],[Day Customer Order]]),"-","Please Check 'Name' information in 'Order' Sheet to make sure they have information")</f>
        <v>-</v>
      </c>
      <c r="BA2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" s="50"/>
    </row>
    <row r="28" spans="2:57">
      <c r="B28" s="67" t="str">
        <f>_xlfn.CONCAT(Tableau118[[#This Row],[Name ILN]],"-",Tableau118[[#This Row],[Name Shipper]],"-",Tableau118[[#This Row],[Name Site]])</f>
        <v>ILN Pune-ILN Pune-CACIA</v>
      </c>
      <c r="C28" s="67" t="e">
        <f ca="1">_xlfn.CONCAT(Tableau118[[#This Row],[Compte ILN]],"-",Tableau118[[#This Row],[Compte Shipper]],"-",Tableau118[[#This Row],[POL]],"-",Tableau118[[#This Row],[Compte Site]])</f>
        <v>#N/A</v>
      </c>
      <c r="D28" s="66" t="e">
        <f ca="1">_xlfn.CONCAT(Tableau118[[#This Row],[Compte ILN]],"-",Tableau118[[#This Row],[Compte Shipper]],"-",Tableau118[[#This Row],[POL]])</f>
        <v>#N/A</v>
      </c>
      <c r="E28" s="434" t="e">
        <f ca="1">_xlfn.CONCAT(Tableau118[[#This Row],[POL]],"-",Tableau118[[#This Row],[Carrier]],"-",Tableau118[[#This Row],[POD]])</f>
        <v>#N/A</v>
      </c>
      <c r="F28" s="66" t="str">
        <f>_xlfn.CONCAT(Tableau118[[#This Row],[ID]],"-","Next")</f>
        <v>920-Next</v>
      </c>
      <c r="G28" s="66" t="e">
        <f ca="1">_xlfn.CONCAT(Tableau118[[#This Row],[POD]],"-",Tableau118[[#This Row],[Code PFI]],"-",Tableau118[[#This Row],[Compte Site]])</f>
        <v>#N/A</v>
      </c>
      <c r="H2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" s="435" t="str">
        <f ca="1">IF(COUNTIF(I:I,Tableau118[[#This Row],[Plant-ILN-shipper-POL-Carrier-POD-PFI]])=1,"Non","Oui")</f>
        <v>Oui</v>
      </c>
      <c r="K28" s="128" t="str">
        <f>VLOOKUP(Tableau118[[#This Row],[Name Site]],Plant_AILN!A:D,4,FALSE)</f>
        <v>PORTUGAL</v>
      </c>
      <c r="L28" s="412" t="s">
        <v>170</v>
      </c>
      <c r="M28" s="439">
        <f>VLOOKUP(Tableau118[[#This Row],[Name Site]],Plant_AILN!A:C,3,FALSE)</f>
        <v>90016500</v>
      </c>
      <c r="N28" s="55">
        <f>IF(Tableau118[[#This Row],[Name PFI/CDD]]="PFI VLL",2,VLOOKUP(Tableau118[[#This Row],[Compte Site]],Order!C:D,2,FALSE))</f>
        <v>2</v>
      </c>
      <c r="O28" s="498" t="s">
        <v>150</v>
      </c>
      <c r="P28" s="365">
        <f>VLOOKUP(Tableau118[[#This Row],[Name ILN]],Plant_AILN!F:G,2,FALSE)</f>
        <v>2533780535</v>
      </c>
      <c r="Q28" s="50">
        <f>VLOOKUP(Tableau118[[#This Row],[Compte ILN]],'DATA ILN'!D:I,6,FALSE)</f>
        <v>9</v>
      </c>
      <c r="R2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8" s="50" t="e">
        <f ca="1">Tableau118[[#This Row],[Day ILN Order]]+Tableau118[[#This Row],[Delivery time to ILN/Shipper]]-1</f>
        <v>#N/A</v>
      </c>
      <c r="V2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8" s="284" t="s">
        <v>150</v>
      </c>
      <c r="Y28" s="437">
        <f>IFERROR(VLOOKUP(Tableau118[[#This Row],[Name Shipper]],Plant_AILN!L:M,2,FALSE),0)</f>
        <v>2533780535</v>
      </c>
      <c r="Z28" s="414">
        <v>920</v>
      </c>
      <c r="AA28" s="396" t="e">
        <f ca="1">VLOOKUP(Tableau118[[#This Row],[Key(ID-Actif)]],'DATA BTO'!A:N,5,FALSE)</f>
        <v>#N/A</v>
      </c>
      <c r="AB28" s="3" t="e">
        <f ca="1">VLOOKUP(Tableau118[[#This Row],[Key(ID-Actif)]],'DATA BTO'!A:N,6,FALSE)</f>
        <v>#N/A</v>
      </c>
      <c r="AC28" s="50" t="e">
        <f ca="1">VLOOKUP(Tableau118[[#This Row],[Key(ID-Actif)]],'DATA BTO'!A:N,7,FALSE)</f>
        <v>#N/A</v>
      </c>
      <c r="AD28" s="50" t="e">
        <f ca="1">VLOOKUP(Tableau118[[#This Row],[Key(ID-Actif)]],'DATA BTO'!A:N,8,FALSE)</f>
        <v>#N/A</v>
      </c>
      <c r="AE28" s="50" t="e">
        <f ca="1">IF(Tableau118[[#This Row],[First Day to POL]]&lt;=Tableau118[[#This Row],[Day Cut Off]],Tableau118[[#This Row],[Day ETD]],Tableau118[[#This Row],[Day ETD]]+7)</f>
        <v>#N/A</v>
      </c>
      <c r="AF28" s="50" t="e">
        <f ca="1">VLOOKUP(Tableau118[[#This Row],[Key(ID-Actif)]],'DATA BTO'!A:N,9,FALSE)</f>
        <v>#N/A</v>
      </c>
      <c r="AG28" s="3" t="e">
        <f ca="1">VLOOKUP(Tableau118[[#This Row],[Key(ID-Actif)]],'DATA BTO'!A:N,10,FALSE)</f>
        <v>#N/A</v>
      </c>
      <c r="AH28" s="3" t="e">
        <f ca="1">VLOOKUP(Tableau118[[#This Row],[Key(ID-Actif)]],'DATA BTO'!A:N,11,FALSE)</f>
        <v>#N/A</v>
      </c>
      <c r="AI28" s="50" t="e">
        <f ca="1">VLOOKUP(Tableau118[[#This Row],[Key(ID-Actif)]],'DATA BTO'!A:N,12,FALSE)</f>
        <v>#N/A</v>
      </c>
      <c r="AJ28" s="53" t="e">
        <f ca="1">VLOOKUP(Tableau118[[#This Row],[Key(ID-Actif)]],'DATA BTO'!A:N,14,FALSE)</f>
        <v>#N/A</v>
      </c>
      <c r="AK28" s="54" t="e">
        <f ca="1">VLOOKUP(Tableau118[[#This Row],[Key(POD -PFI- Usine)]],'DATA Consignee'!A:F,6,FALSE)</f>
        <v>#N/A</v>
      </c>
      <c r="AL28" s="127" t="s">
        <v>171</v>
      </c>
      <c r="AM28" s="438">
        <f>IF(Tableau118[[#This Row],[Name PFI/CDD]]="","-",VLOOKUP(Tableau118[[#This Row],[Name PFI/CDD]],Plant_AILN!I:J,2,FALSE))</f>
        <v>91018400</v>
      </c>
      <c r="AN2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8" s="2" t="e">
        <f ca="1">VLOOKUP(Tableau118[[#This Row],[Key(POD -PFI- Usine)]],'DATA Consignee'!A:J,10,FALSE)</f>
        <v>#N/A</v>
      </c>
      <c r="AQ28" s="50" t="e">
        <f ca="1">VLOOKUP(Tableau118[[#This Row],[Key(POD -PFI- Usine)]],'DATA Consignee'!A:N,14,FALSE)</f>
        <v>#N/A</v>
      </c>
      <c r="AR2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" s="50" t="e">
        <f ca="1">Tableau118[[#This Row],[Transit time]]+Tableau118[[#This Row],[Time for security]]+Tableau118[[#This Row],[Time for security2 buffer]]</f>
        <v>#N/A</v>
      </c>
      <c r="AU2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" s="433" t="e">
        <f ca="1">Tableau118[[#This Row],[Leadtime SI2C]]+Tableau118[[#This Row],[First Receipt Days]]-Tableau118[[#This Row],[Day Customer Order]]+1</f>
        <v>#N/A</v>
      </c>
      <c r="AW28" s="119" t="e">
        <f ca="1">IF(Tableau118[[#This Row],[Name ILN]]&lt;&gt;"SFK Freight Forwarder",Tableau118[[#This Row],[Cust. Leadtime]],Tableau118[[#This Row],[Leadtime SI2C]])</f>
        <v>#N/A</v>
      </c>
      <c r="AX28" s="51" t="str">
        <f>VLOOKUP(Tableau118[[#This Row],[ID]],'DATA BTO'!B:P,15,FALSE)</f>
        <v>Renault &gt; Horse BPH</v>
      </c>
      <c r="AY28" s="338">
        <f ca="1">IFERROR(VLOOKUP(Tableau118[[#This Row],[Key(ID-Actif)]],'DATA BTO'!A:N,4,FALSE),VLOOKUP(Tableau118[[#This Row],[ID]],'DATA BTO'!B:N,3,FALSE))</f>
        <v>45657</v>
      </c>
      <c r="AZ28" s="50" t="str">
        <f>IF(ISNUMBER(Tableau118[[#This Row],[Day Customer Order]]),"-","Please Check 'Name' information in 'Order' Sheet to make sure they have information")</f>
        <v>-</v>
      </c>
      <c r="BA2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" s="50"/>
    </row>
    <row r="29" spans="2:57">
      <c r="B29" s="67" t="str">
        <f>_xlfn.CONCAT(Tableau118[[#This Row],[Name ILN]],"-",Tableau118[[#This Row],[Name Shipper]],"-",Tableau118[[#This Row],[Name Site]])</f>
        <v>ILN Pune-ILN Pune-SEVILLA</v>
      </c>
      <c r="C29" s="67" t="e">
        <f ca="1">_xlfn.CONCAT(Tableau118[[#This Row],[Compte ILN]],"-",Tableau118[[#This Row],[Compte Shipper]],"-",Tableau118[[#This Row],[POL]],"-",Tableau118[[#This Row],[Compte Site]])</f>
        <v>#N/A</v>
      </c>
      <c r="D29" s="66" t="e">
        <f ca="1">_xlfn.CONCAT(Tableau118[[#This Row],[Compte ILN]],"-",Tableau118[[#This Row],[Compte Shipper]],"-",Tableau118[[#This Row],[POL]])</f>
        <v>#N/A</v>
      </c>
      <c r="E29" s="434" t="e">
        <f ca="1">_xlfn.CONCAT(Tableau118[[#This Row],[POL]],"-",Tableau118[[#This Row],[Carrier]],"-",Tableau118[[#This Row],[POD]])</f>
        <v>#N/A</v>
      </c>
      <c r="F29" s="66" t="str">
        <f>_xlfn.CONCAT(Tableau118[[#This Row],[ID]],"-","Next")</f>
        <v>920-Next</v>
      </c>
      <c r="G29" s="66" t="e">
        <f ca="1">_xlfn.CONCAT(Tableau118[[#This Row],[POD]],"-",Tableau118[[#This Row],[Code PFI]],"-",Tableau118[[#This Row],[Compte Site]])</f>
        <v>#N/A</v>
      </c>
      <c r="H2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" s="435" t="str">
        <f ca="1">IF(COUNTIF(I:I,Tableau118[[#This Row],[Plant-ILN-shipper-POL-Carrier-POD-PFI]])=1,"Non","Oui")</f>
        <v>Oui</v>
      </c>
      <c r="K29" s="436" t="str">
        <f>VLOOKUP(Tableau118[[#This Row],[Name Site]],Plant_AILN!A:D,4,FALSE)</f>
        <v>SPAIN</v>
      </c>
      <c r="L29" s="285" t="s">
        <v>172</v>
      </c>
      <c r="M29" s="439">
        <f>VLOOKUP(Tableau118[[#This Row],[Name Site]],Plant_AILN!A:C,3,FALSE)</f>
        <v>91017500</v>
      </c>
      <c r="N29" s="55">
        <f>IF(Tableau118[[#This Row],[Name PFI/CDD]]="PFI VLL",2,VLOOKUP(Tableau118[[#This Row],[Compte Site]],Order!C:D,2,FALSE))</f>
        <v>2</v>
      </c>
      <c r="O29" s="116" t="s">
        <v>150</v>
      </c>
      <c r="P29" s="365">
        <f>VLOOKUP(Tableau118[[#This Row],[Name ILN]],Plant_AILN!F:G,2,FALSE)</f>
        <v>2533780535</v>
      </c>
      <c r="Q29" s="50">
        <f>VLOOKUP(Tableau118[[#This Row],[Compte ILN]],'DATA ILN'!D:I,6,FALSE)</f>
        <v>9</v>
      </c>
      <c r="R2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2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2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29" s="50" t="e">
        <f ca="1">Tableau118[[#This Row],[Day ILN Order]]+Tableau118[[#This Row],[Delivery time to ILN/Shipper]]-1</f>
        <v>#N/A</v>
      </c>
      <c r="V2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2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29" s="284" t="s">
        <v>150</v>
      </c>
      <c r="Y29" s="437">
        <f>IFERROR(VLOOKUP(Tableau118[[#This Row],[Name Shipper]],Plant_AILN!L:M,2,FALSE),0)</f>
        <v>2533780535</v>
      </c>
      <c r="Z29" s="406">
        <v>920</v>
      </c>
      <c r="AA29" s="396" t="e">
        <f ca="1">VLOOKUP(Tableau118[[#This Row],[Key(ID-Actif)]],'DATA BTO'!A:N,5,FALSE)</f>
        <v>#N/A</v>
      </c>
      <c r="AB29" s="3" t="e">
        <f ca="1">VLOOKUP(Tableau118[[#This Row],[Key(ID-Actif)]],'DATA BTO'!A:N,6,FALSE)</f>
        <v>#N/A</v>
      </c>
      <c r="AC29" s="50" t="e">
        <f ca="1">VLOOKUP(Tableau118[[#This Row],[Key(ID-Actif)]],'DATA BTO'!A:N,7,FALSE)</f>
        <v>#N/A</v>
      </c>
      <c r="AD29" s="50" t="e">
        <f ca="1">VLOOKUP(Tableau118[[#This Row],[Key(ID-Actif)]],'DATA BTO'!A:N,8,FALSE)</f>
        <v>#N/A</v>
      </c>
      <c r="AE29" s="50" t="e">
        <f ca="1">IF(Tableau118[[#This Row],[First Day to POL]]&lt;=Tableau118[[#This Row],[Day Cut Off]],Tableau118[[#This Row],[Day ETD]],Tableau118[[#This Row],[Day ETD]]+7)</f>
        <v>#N/A</v>
      </c>
      <c r="AF29" s="50" t="e">
        <f ca="1">VLOOKUP(Tableau118[[#This Row],[Key(ID-Actif)]],'DATA BTO'!A:N,9,FALSE)</f>
        <v>#N/A</v>
      </c>
      <c r="AG29" s="3" t="e">
        <f ca="1">VLOOKUP(Tableau118[[#This Row],[Key(ID-Actif)]],'DATA BTO'!A:N,10,FALSE)</f>
        <v>#N/A</v>
      </c>
      <c r="AH29" s="3" t="e">
        <f ca="1">VLOOKUP(Tableau118[[#This Row],[Key(ID-Actif)]],'DATA BTO'!A:N,11,FALSE)</f>
        <v>#N/A</v>
      </c>
      <c r="AI29" s="50" t="e">
        <f ca="1">VLOOKUP(Tableau118[[#This Row],[Key(ID-Actif)]],'DATA BTO'!A:N,12,FALSE)</f>
        <v>#N/A</v>
      </c>
      <c r="AJ29" s="53" t="e">
        <f ca="1">VLOOKUP(Tableau118[[#This Row],[Key(ID-Actif)]],'DATA BTO'!A:N,14,FALSE)</f>
        <v>#N/A</v>
      </c>
      <c r="AK29" s="54" t="e">
        <f ca="1">VLOOKUP(Tableau118[[#This Row],[Key(POD -PFI- Usine)]],'DATA Consignee'!A:F,6,FALSE)</f>
        <v>#N/A</v>
      </c>
      <c r="AL29" s="127" t="s">
        <v>171</v>
      </c>
      <c r="AM29" s="438">
        <f>IF(Tableau118[[#This Row],[Name PFI/CDD]]="","-",VLOOKUP(Tableau118[[#This Row],[Name PFI/CDD]],Plant_AILN!I:J,2,FALSE))</f>
        <v>91018400</v>
      </c>
      <c r="AN29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9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9" s="2" t="e">
        <f ca="1">VLOOKUP(Tableau118[[#This Row],[Key(POD -PFI- Usine)]],'DATA Consignee'!A:J,10,FALSE)</f>
        <v>#N/A</v>
      </c>
      <c r="AQ29" s="50" t="e">
        <f ca="1">VLOOKUP(Tableau118[[#This Row],[Key(POD -PFI- Usine)]],'DATA Consignee'!A:N,14,FALSE)</f>
        <v>#N/A</v>
      </c>
      <c r="AR2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" s="50" t="e">
        <f ca="1">Tableau118[[#This Row],[Transit time]]+Tableau118[[#This Row],[Time for security]]+Tableau118[[#This Row],[Time for security2 buffer]]</f>
        <v>#N/A</v>
      </c>
      <c r="AU2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" s="433" t="e">
        <f ca="1">Tableau118[[#This Row],[Leadtime SI2C]]+Tableau118[[#This Row],[First Receipt Days]]-Tableau118[[#This Row],[Day Customer Order]]+1</f>
        <v>#N/A</v>
      </c>
      <c r="AW29" s="119" t="e">
        <f ca="1">IF(Tableau118[[#This Row],[Name ILN]]&lt;&gt;"SFK Freight Forwarder",Tableau118[[#This Row],[Cust. Leadtime]],Tableau118[[#This Row],[Leadtime SI2C]])</f>
        <v>#N/A</v>
      </c>
      <c r="AX29" s="51" t="str">
        <f>VLOOKUP(Tableau118[[#This Row],[ID]],'DATA BTO'!B:P,15,FALSE)</f>
        <v>Renault &gt; Horse BPH</v>
      </c>
      <c r="AY29" s="338">
        <f ca="1">IFERROR(VLOOKUP(Tableau118[[#This Row],[Key(ID-Actif)]],'DATA BTO'!A:N,4,FALSE),VLOOKUP(Tableau118[[#This Row],[ID]],'DATA BTO'!B:N,3,FALSE))</f>
        <v>45657</v>
      </c>
      <c r="AZ29" s="50" t="str">
        <f>IF(ISNUMBER(Tableau118[[#This Row],[Day Customer Order]]),"-","Please Check 'Name' information in 'Order' Sheet to make sure they have information")</f>
        <v>-</v>
      </c>
      <c r="BA2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2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" s="50"/>
    </row>
    <row r="30" spans="2:57">
      <c r="B30" s="67" t="str">
        <f>_xlfn.CONCAT(Tableau118[[#This Row],[Name ILN]],"-",Tableau118[[#This Row],[Name Shipper]],"-",Tableau118[[#This Row],[Name Site]])</f>
        <v>ILN Pune-ILN Pune-OYAK MEKA</v>
      </c>
      <c r="C30" s="67" t="e">
        <f ca="1">_xlfn.CONCAT(Tableau118[[#This Row],[Compte ILN]],"-",Tableau118[[#This Row],[Compte Shipper]],"-",Tableau118[[#This Row],[POL]],"-",Tableau118[[#This Row],[Compte Site]])</f>
        <v>#N/A</v>
      </c>
      <c r="D30" s="66" t="e">
        <f ca="1">_xlfn.CONCAT(Tableau118[[#This Row],[Compte ILN]],"-",Tableau118[[#This Row],[Compte Shipper]],"-",Tableau118[[#This Row],[POL]])</f>
        <v>#N/A</v>
      </c>
      <c r="E30" s="434" t="e">
        <f ca="1">_xlfn.CONCAT(Tableau118[[#This Row],[POL]],"-",Tableau118[[#This Row],[Carrier]],"-",Tableau118[[#This Row],[POD]])</f>
        <v>#N/A</v>
      </c>
      <c r="F30" s="66" t="str">
        <f>_xlfn.CONCAT(Tableau118[[#This Row],[ID]],"-","Next")</f>
        <v>921-Next</v>
      </c>
      <c r="G30" s="66" t="e">
        <f ca="1">_xlfn.CONCAT(Tableau118[[#This Row],[POD]],"-",Tableau118[[#This Row],[Code PFI]],"-",Tableau118[[#This Row],[Compte Site]])</f>
        <v>#N/A</v>
      </c>
      <c r="H3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" s="435" t="str">
        <f ca="1">IF(COUNTIF(I:I,Tableau118[[#This Row],[Plant-ILN-shipper-POL-Carrier-POD-PFI]])=1,"Non","Oui")</f>
        <v>Oui</v>
      </c>
      <c r="K30" s="436" t="str">
        <f>VLOOKUP(Tableau118[[#This Row],[Name Site]],Plant_AILN!A:D,4,FALSE)</f>
        <v>TURKEY</v>
      </c>
      <c r="L30" s="285" t="s">
        <v>165</v>
      </c>
      <c r="M30" s="431">
        <f>VLOOKUP(Tableau118[[#This Row],[Name Site]],Plant_AILN!A:C,3,FALSE)</f>
        <v>90014400</v>
      </c>
      <c r="N30" s="55">
        <f>IF(Tableau118[[#This Row],[Name PFI/CDD]]="PFI VLL",2,VLOOKUP(Tableau118[[#This Row],[Compte Site]],Order!C:D,2,FALSE))</f>
        <v>2</v>
      </c>
      <c r="O30" s="116" t="s">
        <v>150</v>
      </c>
      <c r="P30" s="365">
        <f>VLOOKUP(Tableau118[[#This Row],[Name ILN]],Plant_AILN!F:G,2,FALSE)</f>
        <v>2533780535</v>
      </c>
      <c r="Q30" s="50">
        <f>VLOOKUP(Tableau118[[#This Row],[Compte ILN]],'DATA ILN'!D:I,6,FALSE)</f>
        <v>9</v>
      </c>
      <c r="R3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0" s="50" t="e">
        <f ca="1">Tableau118[[#This Row],[Day ILN Order]]+Tableau118[[#This Row],[Delivery time to ILN/Shipper]]-1</f>
        <v>#N/A</v>
      </c>
      <c r="V3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0" s="284" t="s">
        <v>150</v>
      </c>
      <c r="Y30" s="437">
        <f>IFERROR(VLOOKUP(Tableau118[[#This Row],[Name Shipper]],Plant_AILN!L:M,2,FALSE),0)</f>
        <v>2533780535</v>
      </c>
      <c r="Z30" s="406">
        <v>921</v>
      </c>
      <c r="AA30" s="396" t="e">
        <f ca="1">VLOOKUP(Tableau118[[#This Row],[Key(ID-Actif)]],'DATA BTO'!A:N,5,FALSE)</f>
        <v>#N/A</v>
      </c>
      <c r="AB30" s="3" t="e">
        <f ca="1">VLOOKUP(Tableau118[[#This Row],[Key(ID-Actif)]],'DATA BTO'!A:N,6,FALSE)</f>
        <v>#N/A</v>
      </c>
      <c r="AC30" s="50" t="e">
        <f ca="1">VLOOKUP(Tableau118[[#This Row],[Key(ID-Actif)]],'DATA BTO'!A:N,7,FALSE)</f>
        <v>#N/A</v>
      </c>
      <c r="AD30" s="50" t="e">
        <f ca="1">VLOOKUP(Tableau118[[#This Row],[Key(ID-Actif)]],'DATA BTO'!A:N,8,FALSE)</f>
        <v>#N/A</v>
      </c>
      <c r="AE30" s="50" t="e">
        <f ca="1">IF(Tableau118[[#This Row],[First Day to POL]]&lt;=Tableau118[[#This Row],[Day Cut Off]],Tableau118[[#This Row],[Day ETD]],Tableau118[[#This Row],[Day ETD]]+7)</f>
        <v>#N/A</v>
      </c>
      <c r="AF30" s="50" t="e">
        <f ca="1">VLOOKUP(Tableau118[[#This Row],[Key(ID-Actif)]],'DATA BTO'!A:N,9,FALSE)</f>
        <v>#N/A</v>
      </c>
      <c r="AG30" s="3" t="e">
        <f ca="1">VLOOKUP(Tableau118[[#This Row],[Key(ID-Actif)]],'DATA BTO'!A:N,10,FALSE)</f>
        <v>#N/A</v>
      </c>
      <c r="AH30" s="3" t="e">
        <f ca="1">VLOOKUP(Tableau118[[#This Row],[Key(ID-Actif)]],'DATA BTO'!A:N,11,FALSE)</f>
        <v>#N/A</v>
      </c>
      <c r="AI30" s="50" t="e">
        <f ca="1">VLOOKUP(Tableau118[[#This Row],[Key(ID-Actif)]],'DATA BTO'!A:N,12,FALSE)</f>
        <v>#N/A</v>
      </c>
      <c r="AJ30" s="53" t="e">
        <f ca="1">VLOOKUP(Tableau118[[#This Row],[Key(ID-Actif)]],'DATA BTO'!A:N,14,FALSE)</f>
        <v>#N/A</v>
      </c>
      <c r="AK30" s="54" t="e">
        <f ca="1">VLOOKUP(Tableau118[[#This Row],[Key(POD -PFI- Usine)]],'DATA Consignee'!A:F,6,FALSE)</f>
        <v>#N/A</v>
      </c>
      <c r="AL30" s="127"/>
      <c r="AM30" s="438" t="str">
        <f>IF(Tableau118[[#This Row],[Name PFI/CDD]]="","-",VLOOKUP(Tableau118[[#This Row],[Name PFI/CDD]],Plant_AILN!I:J,2,FALSE))</f>
        <v>-</v>
      </c>
      <c r="AN3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" s="2" t="e">
        <f ca="1">VLOOKUP(Tableau118[[#This Row],[Key(POD -PFI- Usine)]],'DATA Consignee'!A:J,10,FALSE)</f>
        <v>#N/A</v>
      </c>
      <c r="AQ30" s="50" t="e">
        <f ca="1">VLOOKUP(Tableau118[[#This Row],[Key(POD -PFI- Usine)]],'DATA Consignee'!A:N,14,FALSE)</f>
        <v>#N/A</v>
      </c>
      <c r="AR3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" s="50" t="e">
        <f ca="1">Tableau118[[#This Row],[Transit time]]+Tableau118[[#This Row],[Time for security]]+Tableau118[[#This Row],[Time for security2 buffer]]</f>
        <v>#N/A</v>
      </c>
      <c r="AU3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" s="433" t="e">
        <f ca="1">Tableau118[[#This Row],[Leadtime SI2C]]+Tableau118[[#This Row],[First Receipt Days]]-Tableau118[[#This Row],[Day Customer Order]]+1</f>
        <v>#N/A</v>
      </c>
      <c r="AW30" s="119" t="e">
        <f ca="1">IF(Tableau118[[#This Row],[Name ILN]]&lt;&gt;"SFK Freight Forwarder",Tableau118[[#This Row],[Cust. Leadtime]],Tableau118[[#This Row],[Leadtime SI2C]])</f>
        <v>#N/A</v>
      </c>
      <c r="AX30" s="51" t="str">
        <f>VLOOKUP(Tableau118[[#This Row],[ID]],'DATA BTO'!B:P,15,FALSE)</f>
        <v>Renault &gt; Horse BPH</v>
      </c>
      <c r="AY30" s="338">
        <f ca="1">IFERROR(VLOOKUP(Tableau118[[#This Row],[Key(ID-Actif)]],'DATA BTO'!A:N,4,FALSE),VLOOKUP(Tableau118[[#This Row],[ID]],'DATA BTO'!B:N,3,FALSE))</f>
        <v>45777</v>
      </c>
      <c r="AZ30" s="50" t="str">
        <f>IF(ISNUMBER(Tableau118[[#This Row],[Day Customer Order]]),"-","Please Check 'Name' information in 'Order' Sheet to make sure they have information")</f>
        <v>-</v>
      </c>
      <c r="BA3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" s="50"/>
    </row>
    <row r="31" spans="2:57">
      <c r="B31" s="67" t="str">
        <f>_xlfn.CONCAT(Tableau118[[#This Row],[Name ILN]],"-",Tableau118[[#This Row],[Name Shipper]],"-",Tableau118[[#This Row],[Name Site]])</f>
        <v>ILN Pune-ILN Pune-OYAK MONT</v>
      </c>
      <c r="C31" s="67" t="e">
        <f ca="1">_xlfn.CONCAT(Tableau118[[#This Row],[Compte ILN]],"-",Tableau118[[#This Row],[Compte Shipper]],"-",Tableau118[[#This Row],[POL]],"-",Tableau118[[#This Row],[Compte Site]])</f>
        <v>#N/A</v>
      </c>
      <c r="D31" s="66" t="e">
        <f ca="1">_xlfn.CONCAT(Tableau118[[#This Row],[Compte ILN]],"-",Tableau118[[#This Row],[Compte Shipper]],"-",Tableau118[[#This Row],[POL]])</f>
        <v>#N/A</v>
      </c>
      <c r="E31" s="434" t="e">
        <f ca="1">_xlfn.CONCAT(Tableau118[[#This Row],[POL]],"-",Tableau118[[#This Row],[Carrier]],"-",Tableau118[[#This Row],[POD]])</f>
        <v>#N/A</v>
      </c>
      <c r="F31" s="66" t="str">
        <f>_xlfn.CONCAT(Tableau118[[#This Row],[ID]],"-","Next")</f>
        <v>921-Next</v>
      </c>
      <c r="G31" s="66" t="e">
        <f ca="1">_xlfn.CONCAT(Tableau118[[#This Row],[POD]],"-",Tableau118[[#This Row],[Code PFI]],"-",Tableau118[[#This Row],[Compte Site]])</f>
        <v>#N/A</v>
      </c>
      <c r="H3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" s="435" t="str">
        <f ca="1">IF(COUNTIF(I:I,Tableau118[[#This Row],[Plant-ILN-shipper-POL-Carrier-POD-PFI]])=1,"Non","Oui")</f>
        <v>Oui</v>
      </c>
      <c r="K31" s="128" t="str">
        <f>VLOOKUP(Tableau118[[#This Row],[Name Site]],Plant_AILN!A:D,4,FALSE)</f>
        <v>TURKEY</v>
      </c>
      <c r="L31" s="10" t="s">
        <v>173</v>
      </c>
      <c r="M31" s="439">
        <f>VLOOKUP(Tableau118[[#This Row],[Name Site]],Plant_AILN!A:C,3,FALSE)</f>
        <v>90017000</v>
      </c>
      <c r="N31" s="55">
        <f>IF(Tableau118[[#This Row],[Name PFI/CDD]]="PFI VLL",2,VLOOKUP(Tableau118[[#This Row],[Compte Site]],Order!C:D,2,FALSE))</f>
        <v>7</v>
      </c>
      <c r="O31" s="116" t="s">
        <v>150</v>
      </c>
      <c r="P31" s="365">
        <f>VLOOKUP(Tableau118[[#This Row],[Name ILN]],Plant_AILN!F:G,2,FALSE)</f>
        <v>2533780535</v>
      </c>
      <c r="Q31" s="50">
        <f>VLOOKUP(Tableau118[[#This Row],[Compte ILN]],'DATA ILN'!D:I,6,FALSE)</f>
        <v>9</v>
      </c>
      <c r="R3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1" s="50" t="e">
        <f ca="1">Tableau118[[#This Row],[Day ILN Order]]+Tableau118[[#This Row],[Delivery time to ILN/Shipper]]-1</f>
        <v>#N/A</v>
      </c>
      <c r="V3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1" s="284" t="s">
        <v>150</v>
      </c>
      <c r="Y31" s="437">
        <f>IFERROR(VLOOKUP(Tableau118[[#This Row],[Name Shipper]],Plant_AILN!L:M,2,FALSE),0)</f>
        <v>2533780535</v>
      </c>
      <c r="Z31" s="406">
        <v>921</v>
      </c>
      <c r="AA31" s="396" t="e">
        <f ca="1">VLOOKUP(Tableau118[[#This Row],[Key(ID-Actif)]],'DATA BTO'!A:N,5,FALSE)</f>
        <v>#N/A</v>
      </c>
      <c r="AB31" s="3" t="e">
        <f ca="1">VLOOKUP(Tableau118[[#This Row],[Key(ID-Actif)]],'DATA BTO'!A:N,6,FALSE)</f>
        <v>#N/A</v>
      </c>
      <c r="AC31" s="50" t="e">
        <f ca="1">VLOOKUP(Tableau118[[#This Row],[Key(ID-Actif)]],'DATA BTO'!A:N,7,FALSE)</f>
        <v>#N/A</v>
      </c>
      <c r="AD31" s="50" t="e">
        <f ca="1">VLOOKUP(Tableau118[[#This Row],[Key(ID-Actif)]],'DATA BTO'!A:N,8,FALSE)</f>
        <v>#N/A</v>
      </c>
      <c r="AE31" s="50" t="e">
        <f ca="1">IF(Tableau118[[#This Row],[First Day to POL]]&lt;=Tableau118[[#This Row],[Day Cut Off]],Tableau118[[#This Row],[Day ETD]],Tableau118[[#This Row],[Day ETD]]+7)</f>
        <v>#N/A</v>
      </c>
      <c r="AF31" s="50" t="e">
        <f ca="1">VLOOKUP(Tableau118[[#This Row],[Key(ID-Actif)]],'DATA BTO'!A:N,9,FALSE)</f>
        <v>#N/A</v>
      </c>
      <c r="AG31" s="3" t="e">
        <f ca="1">VLOOKUP(Tableau118[[#This Row],[Key(ID-Actif)]],'DATA BTO'!A:N,10,FALSE)</f>
        <v>#N/A</v>
      </c>
      <c r="AH31" s="3" t="e">
        <f ca="1">VLOOKUP(Tableau118[[#This Row],[Key(ID-Actif)]],'DATA BTO'!A:N,11,FALSE)</f>
        <v>#N/A</v>
      </c>
      <c r="AI31" s="50" t="e">
        <f ca="1">VLOOKUP(Tableau118[[#This Row],[Key(ID-Actif)]],'DATA BTO'!A:N,12,FALSE)</f>
        <v>#N/A</v>
      </c>
      <c r="AJ31" s="53" t="e">
        <f ca="1">VLOOKUP(Tableau118[[#This Row],[Key(ID-Actif)]],'DATA BTO'!A:N,14,FALSE)</f>
        <v>#N/A</v>
      </c>
      <c r="AK31" s="54" t="e">
        <f ca="1">VLOOKUP(Tableau118[[#This Row],[Key(POD -PFI- Usine)]],'DATA Consignee'!A:F,6,FALSE)</f>
        <v>#N/A</v>
      </c>
      <c r="AL31" s="127"/>
      <c r="AM31" s="438" t="str">
        <f>IF(Tableau118[[#This Row],[Name PFI/CDD]]="","-",VLOOKUP(Tableau118[[#This Row],[Name PFI/CDD]],Plant_AILN!I:J,2,FALSE))</f>
        <v>-</v>
      </c>
      <c r="AN3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" s="2" t="e">
        <f ca="1">VLOOKUP(Tableau118[[#This Row],[Key(POD -PFI- Usine)]],'DATA Consignee'!A:J,10,FALSE)</f>
        <v>#N/A</v>
      </c>
      <c r="AQ31" s="50" t="e">
        <f ca="1">VLOOKUP(Tableau118[[#This Row],[Key(POD -PFI- Usine)]],'DATA Consignee'!A:N,14,FALSE)</f>
        <v>#N/A</v>
      </c>
      <c r="AR3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" s="50" t="e">
        <f ca="1">Tableau118[[#This Row],[Transit time]]+Tableau118[[#This Row],[Time for security]]+Tableau118[[#This Row],[Time for security2 buffer]]</f>
        <v>#N/A</v>
      </c>
      <c r="AU3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" s="433" t="e">
        <f ca="1">Tableau118[[#This Row],[Leadtime SI2C]]+Tableau118[[#This Row],[First Receipt Days]]-Tableau118[[#This Row],[Day Customer Order]]+1</f>
        <v>#N/A</v>
      </c>
      <c r="AW31" s="119" t="e">
        <f ca="1">IF(Tableau118[[#This Row],[Name ILN]]&lt;&gt;"SFK Freight Forwarder",Tableau118[[#This Row],[Cust. Leadtime]],Tableau118[[#This Row],[Leadtime SI2C]])</f>
        <v>#N/A</v>
      </c>
      <c r="AX31" s="51" t="str">
        <f>VLOOKUP(Tableau118[[#This Row],[ID]],'DATA BTO'!B:P,15,FALSE)</f>
        <v>Renault &gt; Horse BPH</v>
      </c>
      <c r="AY31" s="338">
        <f ca="1">IFERROR(VLOOKUP(Tableau118[[#This Row],[Key(ID-Actif)]],'DATA BTO'!A:N,4,FALSE),VLOOKUP(Tableau118[[#This Row],[ID]],'DATA BTO'!B:N,3,FALSE))</f>
        <v>45777</v>
      </c>
      <c r="AZ31" s="50" t="str">
        <f>IF(ISNUMBER(Tableau118[[#This Row],[Day Customer Order]]),"-","Please Check 'Name' information in 'Order' Sheet to make sure they have information")</f>
        <v>-</v>
      </c>
      <c r="BA3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" s="50"/>
    </row>
    <row r="32" spans="2:57">
      <c r="B32" s="67" t="str">
        <f>_xlfn.CONCAT(Tableau118[[#This Row],[Name ILN]],"-",Tableau118[[#This Row],[Name Shipper]],"-",Tableau118[[#This Row],[Name Site]])</f>
        <v>ILN Tanger-ILN Tanger-DACIA MECA</v>
      </c>
      <c r="C32" s="67" t="e">
        <f ca="1">_xlfn.CONCAT(Tableau118[[#This Row],[Compte ILN]],"-",Tableau118[[#This Row],[Compte Shipper]],"-",Tableau118[[#This Row],[POL]],"-",Tableau118[[#This Row],[Compte Site]])</f>
        <v>#N/A</v>
      </c>
      <c r="D32" s="66" t="e">
        <f ca="1">_xlfn.CONCAT(Tableau118[[#This Row],[Compte ILN]],"-",Tableau118[[#This Row],[Compte Shipper]],"-",Tableau118[[#This Row],[POL]])</f>
        <v>#N/A</v>
      </c>
      <c r="E32" s="434" t="e">
        <f ca="1">_xlfn.CONCAT(Tableau118[[#This Row],[POL]],"-",Tableau118[[#This Row],[Carrier]],"-",Tableau118[[#This Row],[POD]])</f>
        <v>#N/A</v>
      </c>
      <c r="F32" s="66" t="str">
        <f>_xlfn.CONCAT(Tableau118[[#This Row],[ID]],"-","Next")</f>
        <v>924-Next</v>
      </c>
      <c r="G32" s="66" t="e">
        <f ca="1">_xlfn.CONCAT(Tableau118[[#This Row],[POD]],"-",Tableau118[[#This Row],[Code PFI]],"-",Tableau118[[#This Row],[Compte Site]])</f>
        <v>#N/A</v>
      </c>
      <c r="H3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" s="435" t="str">
        <f ca="1">IF(COUNTIF(I:I,Tableau118[[#This Row],[Plant-ILN-shipper-POL-Carrier-POD-PFI]])=1,"Non","Oui")</f>
        <v>Oui</v>
      </c>
      <c r="K32" s="128" t="str">
        <f>VLOOKUP(Tableau118[[#This Row],[Name Site]],Plant_AILN!A:D,4,FALSE)</f>
        <v>ROMANIA</v>
      </c>
      <c r="L32" s="10" t="s">
        <v>162</v>
      </c>
      <c r="M32" s="439">
        <f>VLOOKUP(Tableau118[[#This Row],[Name Site]],Plant_AILN!A:C,3,FALSE)</f>
        <v>90012500</v>
      </c>
      <c r="N32" s="55">
        <f>IF(Tableau118[[#This Row],[Name PFI/CDD]]="PFI VLL",2,VLOOKUP(Tableau118[[#This Row],[Compte Site]],Order!C:D,2,FALSE))</f>
        <v>7</v>
      </c>
      <c r="O32" s="116" t="s">
        <v>161</v>
      </c>
      <c r="P32" s="365">
        <f>VLOOKUP(Tableau118[[#This Row],[Name ILN]],Plant_AILN!F:G,2,FALSE)</f>
        <v>92050300</v>
      </c>
      <c r="Q32" s="50">
        <f>VLOOKUP(Tableau118[[#This Row],[Compte ILN]],'DATA ILN'!D:I,6,FALSE)</f>
        <v>9</v>
      </c>
      <c r="R3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2" s="50" t="e">
        <f ca="1">Tableau118[[#This Row],[Day ILN Order]]+Tableau118[[#This Row],[Delivery time to ILN/Shipper]]-1</f>
        <v>#N/A</v>
      </c>
      <c r="V3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2" s="284" t="s">
        <v>161</v>
      </c>
      <c r="Y32" s="437">
        <f>IFERROR(VLOOKUP(Tableau118[[#This Row],[Name Shipper]],Plant_AILN!L:M,2,FALSE),0)</f>
        <v>92050300</v>
      </c>
      <c r="Z32" s="406">
        <v>924</v>
      </c>
      <c r="AA32" s="396" t="e">
        <f ca="1">VLOOKUP(Tableau118[[#This Row],[Key(ID-Actif)]],'DATA BTO'!A:N,5,FALSE)</f>
        <v>#N/A</v>
      </c>
      <c r="AB32" s="3" t="e">
        <f ca="1">VLOOKUP(Tableau118[[#This Row],[Key(ID-Actif)]],'DATA BTO'!A:N,6,FALSE)</f>
        <v>#N/A</v>
      </c>
      <c r="AC32" s="50" t="e">
        <f ca="1">VLOOKUP(Tableau118[[#This Row],[Key(ID-Actif)]],'DATA BTO'!A:N,7,FALSE)</f>
        <v>#N/A</v>
      </c>
      <c r="AD32" s="50" t="e">
        <f ca="1">VLOOKUP(Tableau118[[#This Row],[Key(ID-Actif)]],'DATA BTO'!A:N,8,FALSE)</f>
        <v>#N/A</v>
      </c>
      <c r="AE32" s="50" t="e">
        <f ca="1">IF(Tableau118[[#This Row],[First Day to POL]]&lt;=Tableau118[[#This Row],[Day Cut Off]],Tableau118[[#This Row],[Day ETD]],Tableau118[[#This Row],[Day ETD]]+7)</f>
        <v>#N/A</v>
      </c>
      <c r="AF32" s="50" t="e">
        <f ca="1">VLOOKUP(Tableau118[[#This Row],[Key(ID-Actif)]],'DATA BTO'!A:N,9,FALSE)</f>
        <v>#N/A</v>
      </c>
      <c r="AG32" s="3" t="e">
        <f ca="1">VLOOKUP(Tableau118[[#This Row],[Key(ID-Actif)]],'DATA BTO'!A:N,10,FALSE)</f>
        <v>#N/A</v>
      </c>
      <c r="AH32" s="3" t="e">
        <f ca="1">VLOOKUP(Tableau118[[#This Row],[Key(ID-Actif)]],'DATA BTO'!A:N,11,FALSE)</f>
        <v>#N/A</v>
      </c>
      <c r="AI32" s="50" t="e">
        <f ca="1">VLOOKUP(Tableau118[[#This Row],[Key(ID-Actif)]],'DATA BTO'!A:N,12,FALSE)</f>
        <v>#N/A</v>
      </c>
      <c r="AJ32" s="53" t="e">
        <f ca="1">VLOOKUP(Tableau118[[#This Row],[Key(ID-Actif)]],'DATA BTO'!A:N,14,FALSE)</f>
        <v>#N/A</v>
      </c>
      <c r="AK32" s="54" t="e">
        <f ca="1">VLOOKUP(Tableau118[[#This Row],[Key(POD -PFI- Usine)]],'DATA Consignee'!A:F,6,FALSE)</f>
        <v>#N/A</v>
      </c>
      <c r="AL32" s="127" t="s">
        <v>164</v>
      </c>
      <c r="AM32" s="438">
        <f>IF(Tableau118[[#This Row],[Name PFI/CDD]]="","-",VLOOKUP(Tableau118[[#This Row],[Name PFI/CDD]],Plant_AILN!I:J,2,FALSE))</f>
        <v>2839004</v>
      </c>
      <c r="AN3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" s="2" t="e">
        <f ca="1">VLOOKUP(Tableau118[[#This Row],[Key(POD -PFI- Usine)]],'DATA Consignee'!A:J,10,FALSE)</f>
        <v>#N/A</v>
      </c>
      <c r="AQ32" s="50" t="e">
        <f ca="1">VLOOKUP(Tableau118[[#This Row],[Key(POD -PFI- Usine)]],'DATA Consignee'!A:N,14,FALSE)</f>
        <v>#N/A</v>
      </c>
      <c r="AR3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" s="50" t="e">
        <f ca="1">Tableau118[[#This Row],[Transit time]]+Tableau118[[#This Row],[Time for security]]+Tableau118[[#This Row],[Time for security2 buffer]]</f>
        <v>#N/A</v>
      </c>
      <c r="AU3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" s="433" t="e">
        <f ca="1">Tableau118[[#This Row],[Leadtime SI2C]]+Tableau118[[#This Row],[First Receipt Days]]-Tableau118[[#This Row],[Day Customer Order]]+1</f>
        <v>#N/A</v>
      </c>
      <c r="AW32" s="119" t="e">
        <f ca="1">IF(Tableau118[[#This Row],[Name ILN]]&lt;&gt;"SFK Freight Forwarder",Tableau118[[#This Row],[Cust. Leadtime]],Tableau118[[#This Row],[Leadtime SI2C]])</f>
        <v>#N/A</v>
      </c>
      <c r="AX32" s="51" t="str">
        <f>VLOOKUP(Tableau118[[#This Row],[ID]],'DATA BTO'!B:P,15,FALSE)</f>
        <v>Renault &gt; Horse BPH</v>
      </c>
      <c r="AY32" s="338">
        <f ca="1">IFERROR(VLOOKUP(Tableau118[[#This Row],[Key(ID-Actif)]],'DATA BTO'!A:N,4,FALSE),VLOOKUP(Tableau118[[#This Row],[ID]],'DATA BTO'!B:N,3,FALSE))</f>
        <v>46507</v>
      </c>
      <c r="AZ32" s="50" t="str">
        <f>IF(ISNUMBER(Tableau118[[#This Row],[Day Customer Order]]),"-","Please Check 'Name' information in 'Order' Sheet to make sure they have information")</f>
        <v>-</v>
      </c>
      <c r="BA3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POL mismatch,Please Check POL in 'DATA ILN' and 'DATA BTO' to make sure they can match</v>
      </c>
      <c r="BC3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" s="50"/>
    </row>
    <row r="33" spans="2:57">
      <c r="B33" s="67" t="str">
        <f>_xlfn.CONCAT(Tableau118[[#This Row],[Name ILN]],"-",Tableau118[[#This Row],[Name Shipper]],"-",Tableau118[[#This Row],[Name Site]])</f>
        <v>ILN Chennai-ILN Chennai-CURITIBA CMO</v>
      </c>
      <c r="C33" s="67" t="e">
        <f ca="1">_xlfn.CONCAT(Tableau118[[#This Row],[Compte ILN]],"-",Tableau118[[#This Row],[Compte Shipper]],"-",Tableau118[[#This Row],[POL]],"-",Tableau118[[#This Row],[Compte Site]])</f>
        <v>#N/A</v>
      </c>
      <c r="D33" s="66" t="e">
        <f ca="1">_xlfn.CONCAT(Tableau118[[#This Row],[Compte ILN]],"-",Tableau118[[#This Row],[Compte Shipper]],"-",Tableau118[[#This Row],[POL]])</f>
        <v>#N/A</v>
      </c>
      <c r="E33" s="434" t="e">
        <f ca="1">_xlfn.CONCAT(Tableau118[[#This Row],[POL]],"-",Tableau118[[#This Row],[Carrier]],"-",Tableau118[[#This Row],[POD]])</f>
        <v>#N/A</v>
      </c>
      <c r="F33" s="66" t="str">
        <f>_xlfn.CONCAT(Tableau118[[#This Row],[ID]],"-","Next")</f>
        <v>925-Next</v>
      </c>
      <c r="G33" s="66" t="e">
        <f ca="1">_xlfn.CONCAT(Tableau118[[#This Row],[POD]],"-",Tableau118[[#This Row],[Code PFI]],"-",Tableau118[[#This Row],[Compte Site]])</f>
        <v>#N/A</v>
      </c>
      <c r="H3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" s="435" t="str">
        <f ca="1">IF(COUNTIF(I:I,Tableau118[[#This Row],[Plant-ILN-shipper-POL-Carrier-POD-PFI]])=1,"Non","Oui")</f>
        <v>Oui</v>
      </c>
      <c r="K33" s="128" t="str">
        <f>VLOOKUP(Tableau118[[#This Row],[Name Site]],Plant_AILN!A:D,4,FALSE)</f>
        <v>BRAZIL</v>
      </c>
      <c r="L33" s="10" t="s">
        <v>174</v>
      </c>
      <c r="M33" s="439">
        <f>VLOOKUP(Tableau118[[#This Row],[Name Site]],Plant_AILN!A:C,3,FALSE)</f>
        <v>90018600</v>
      </c>
      <c r="N33" s="55">
        <f>IF(Tableau118[[#This Row],[Name PFI/CDD]]="PFI VLL",2,VLOOKUP(Tableau118[[#This Row],[Compte Site]],Order!C:D,2,FALSE))</f>
        <v>7</v>
      </c>
      <c r="O33" s="116" t="s">
        <v>149</v>
      </c>
      <c r="P33" s="365">
        <f>VLOOKUP(Tableau118[[#This Row],[Name ILN]],Plant_AILN!F:G,2,FALSE)</f>
        <v>2533780546</v>
      </c>
      <c r="Q33" s="50">
        <f>VLOOKUP(Tableau118[[#This Row],[Compte ILN]],'DATA ILN'!D:I,6,FALSE)</f>
        <v>9</v>
      </c>
      <c r="R3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3" s="50" t="e">
        <f ca="1">Tableau118[[#This Row],[Day ILN Order]]+Tableau118[[#This Row],[Delivery time to ILN/Shipper]]-1</f>
        <v>#N/A</v>
      </c>
      <c r="V3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3" s="284" t="s">
        <v>149</v>
      </c>
      <c r="Y33" s="437">
        <f>IFERROR(VLOOKUP(Tableau118[[#This Row],[Name Shipper]],Plant_AILN!L:M,2,FALSE),0)</f>
        <v>2533780546</v>
      </c>
      <c r="Z33" s="406">
        <v>925</v>
      </c>
      <c r="AA33" s="396" t="e">
        <f ca="1">VLOOKUP(Tableau118[[#This Row],[Key(ID-Actif)]],'DATA BTO'!A:N,5,FALSE)</f>
        <v>#N/A</v>
      </c>
      <c r="AB33" s="3" t="e">
        <f ca="1">VLOOKUP(Tableau118[[#This Row],[Key(ID-Actif)]],'DATA BTO'!A:N,6,FALSE)</f>
        <v>#N/A</v>
      </c>
      <c r="AC33" s="50" t="e">
        <f ca="1">VLOOKUP(Tableau118[[#This Row],[Key(ID-Actif)]],'DATA BTO'!A:N,7,FALSE)</f>
        <v>#N/A</v>
      </c>
      <c r="AD33" s="50" t="e">
        <f ca="1">VLOOKUP(Tableau118[[#This Row],[Key(ID-Actif)]],'DATA BTO'!A:N,8,FALSE)</f>
        <v>#N/A</v>
      </c>
      <c r="AE33" s="50" t="e">
        <f ca="1">IF(Tableau118[[#This Row],[First Day to POL]]&lt;=Tableau118[[#This Row],[Day Cut Off]],Tableau118[[#This Row],[Day ETD]],Tableau118[[#This Row],[Day ETD]]+7)</f>
        <v>#N/A</v>
      </c>
      <c r="AF33" s="50" t="e">
        <f ca="1">VLOOKUP(Tableau118[[#This Row],[Key(ID-Actif)]],'DATA BTO'!A:N,9,FALSE)</f>
        <v>#N/A</v>
      </c>
      <c r="AG33" s="3" t="e">
        <f ca="1">VLOOKUP(Tableau118[[#This Row],[Key(ID-Actif)]],'DATA BTO'!A:N,10,FALSE)</f>
        <v>#N/A</v>
      </c>
      <c r="AH33" s="3" t="e">
        <f ca="1">VLOOKUP(Tableau118[[#This Row],[Key(ID-Actif)]],'DATA BTO'!A:N,11,FALSE)</f>
        <v>#N/A</v>
      </c>
      <c r="AI33" s="50" t="e">
        <f ca="1">VLOOKUP(Tableau118[[#This Row],[Key(ID-Actif)]],'DATA BTO'!A:N,12,FALSE)</f>
        <v>#N/A</v>
      </c>
      <c r="AJ33" s="53" t="e">
        <f ca="1">VLOOKUP(Tableau118[[#This Row],[Key(ID-Actif)]],'DATA BTO'!A:N,14,FALSE)</f>
        <v>#N/A</v>
      </c>
      <c r="AK33" s="54" t="e">
        <f ca="1">VLOOKUP(Tableau118[[#This Row],[Key(POD -PFI- Usine)]],'DATA Consignee'!A:F,6,FALSE)</f>
        <v>#N/A</v>
      </c>
      <c r="AL33" s="127"/>
      <c r="AM33" s="438" t="str">
        <f>IF(Tableau118[[#This Row],[Name PFI/CDD]]="","-",VLOOKUP(Tableau118[[#This Row],[Name PFI/CDD]],Plant_AILN!I:J,2,FALSE))</f>
        <v>-</v>
      </c>
      <c r="AN3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" s="2" t="e">
        <f ca="1">VLOOKUP(Tableau118[[#This Row],[Key(POD -PFI- Usine)]],'DATA Consignee'!A:J,10,FALSE)</f>
        <v>#N/A</v>
      </c>
      <c r="AQ33" s="50" t="e">
        <f ca="1">VLOOKUP(Tableau118[[#This Row],[Key(POD -PFI- Usine)]],'DATA Consignee'!A:N,14,FALSE)</f>
        <v>#N/A</v>
      </c>
      <c r="AR3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" s="50" t="e">
        <f ca="1">Tableau118[[#This Row],[Transit time]]+Tableau118[[#This Row],[Time for security]]+Tableau118[[#This Row],[Time for security2 buffer]]</f>
        <v>#N/A</v>
      </c>
      <c r="AU3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" s="433" t="e">
        <f ca="1">Tableau118[[#This Row],[Leadtime SI2C]]+Tableau118[[#This Row],[First Receipt Days]]-Tableau118[[#This Row],[Day Customer Order]]+1</f>
        <v>#N/A</v>
      </c>
      <c r="AW33" s="119" t="e">
        <f ca="1">IF(Tableau118[[#This Row],[Name ILN]]&lt;&gt;"SFK Freight Forwarder",Tableau118[[#This Row],[Cust. Leadtime]],Tableau118[[#This Row],[Leadtime SI2C]])</f>
        <v>#N/A</v>
      </c>
      <c r="AX33" s="51" t="str">
        <f>VLOOKUP(Tableau118[[#This Row],[ID]],'DATA BTO'!B:P,15,FALSE)</f>
        <v>Renault &gt; Horse BPH</v>
      </c>
      <c r="AY33" s="338">
        <f ca="1">IFERROR(VLOOKUP(Tableau118[[#This Row],[Key(ID-Actif)]],'DATA BTO'!A:N,4,FALSE),VLOOKUP(Tableau118[[#This Row],[ID]],'DATA BTO'!B:N,3,FALSE))</f>
        <v>45777</v>
      </c>
      <c r="AZ33" s="50" t="str">
        <f>IF(ISNUMBER(Tableau118[[#This Row],[Day Customer Order]]),"-","Please Check 'Name' information in 'Order' Sheet to make sure they have information")</f>
        <v>-</v>
      </c>
      <c r="BA3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" s="50"/>
    </row>
    <row r="34" spans="2:57">
      <c r="B34" s="67" t="str">
        <f>_xlfn.CONCAT(Tableau118[[#This Row],[Name ILN]],"-",Tableau118[[#This Row],[Name Shipper]],"-",Tableau118[[#This Row],[Name Site]])</f>
        <v>KWE Shanghai-KWE Shanghai-OYAK MEKA</v>
      </c>
      <c r="C34" s="67" t="e">
        <f ca="1">_xlfn.CONCAT(Tableau118[[#This Row],[Compte ILN]],"-",Tableau118[[#This Row],[Compte Shipper]],"-",Tableau118[[#This Row],[POL]],"-",Tableau118[[#This Row],[Compte Site]])</f>
        <v>#N/A</v>
      </c>
      <c r="D34" s="66" t="e">
        <f ca="1">_xlfn.CONCAT(Tableau118[[#This Row],[Compte ILN]],"-",Tableau118[[#This Row],[Compte Shipper]],"-",Tableau118[[#This Row],[POL]])</f>
        <v>#N/A</v>
      </c>
      <c r="E34" s="434" t="e">
        <f ca="1">_xlfn.CONCAT(Tableau118[[#This Row],[POL]],"-",Tableau118[[#This Row],[Carrier]],"-",Tableau118[[#This Row],[POD]])</f>
        <v>#N/A</v>
      </c>
      <c r="F34" s="66" t="str">
        <f>_xlfn.CONCAT(Tableau118[[#This Row],[ID]],"-","Next")</f>
        <v>927-Next</v>
      </c>
      <c r="G34" s="66" t="e">
        <f ca="1">_xlfn.CONCAT(Tableau118[[#This Row],[POD]],"-",Tableau118[[#This Row],[Code PFI]],"-",Tableau118[[#This Row],[Compte Site]])</f>
        <v>#N/A</v>
      </c>
      <c r="H3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" s="435" t="str">
        <f ca="1">IF(COUNTIF(I:I,Tableau118[[#This Row],[Plant-ILN-shipper-POL-Carrier-POD-PFI]])=1,"Non","Oui")</f>
        <v>Oui</v>
      </c>
      <c r="K34" s="128" t="str">
        <f>VLOOKUP(Tableau118[[#This Row],[Name Site]],Plant_AILN!A:D,4,FALSE)</f>
        <v>TURKEY</v>
      </c>
      <c r="L34" s="10" t="s">
        <v>165</v>
      </c>
      <c r="M34" s="439">
        <f>VLOOKUP(Tableau118[[#This Row],[Name Site]],Plant_AILN!A:C,3,FALSE)</f>
        <v>90014400</v>
      </c>
      <c r="N34" s="55">
        <f>IF(Tableau118[[#This Row],[Name PFI/CDD]]="PFI VLL",2,VLOOKUP(Tableau118[[#This Row],[Compte Site]],Order!C:D,2,FALSE))</f>
        <v>2</v>
      </c>
      <c r="O34" s="116" t="s">
        <v>62</v>
      </c>
      <c r="P34" s="365">
        <f>VLOOKUP(Tableau118[[#This Row],[Name ILN]],Plant_AILN!F:G,2,FALSE)</f>
        <v>26037000</v>
      </c>
      <c r="Q34" s="50">
        <f>VLOOKUP(Tableau118[[#This Row],[Compte ILN]],'DATA ILN'!D:I,6,FALSE)</f>
        <v>9</v>
      </c>
      <c r="R3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4" s="50" t="e">
        <f ca="1">Tableau118[[#This Row],[Day ILN Order]]+Tableau118[[#This Row],[Delivery time to ILN/Shipper]]-1</f>
        <v>#N/A</v>
      </c>
      <c r="V3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4" s="284" t="s">
        <v>62</v>
      </c>
      <c r="Y34" s="437">
        <f>IFERROR(VLOOKUP(Tableau118[[#This Row],[Name Shipper]],Plant_AILN!L:M,2,FALSE),0)</f>
        <v>26037000</v>
      </c>
      <c r="Z34" s="406">
        <v>927</v>
      </c>
      <c r="AA34" s="396" t="e">
        <f ca="1">VLOOKUP(Tableau118[[#This Row],[Key(ID-Actif)]],'DATA BTO'!A:N,5,FALSE)</f>
        <v>#N/A</v>
      </c>
      <c r="AB34" s="3" t="e">
        <f ca="1">VLOOKUP(Tableau118[[#This Row],[Key(ID-Actif)]],'DATA BTO'!A:N,6,FALSE)</f>
        <v>#N/A</v>
      </c>
      <c r="AC34" s="50" t="e">
        <f ca="1">VLOOKUP(Tableau118[[#This Row],[Key(ID-Actif)]],'DATA BTO'!A:N,7,FALSE)</f>
        <v>#N/A</v>
      </c>
      <c r="AD34" s="50" t="e">
        <f ca="1">VLOOKUP(Tableau118[[#This Row],[Key(ID-Actif)]],'DATA BTO'!A:N,8,FALSE)</f>
        <v>#N/A</v>
      </c>
      <c r="AE34" s="50" t="e">
        <f ca="1">IF(Tableau118[[#This Row],[First Day to POL]]&lt;=Tableau118[[#This Row],[Day Cut Off]],Tableau118[[#This Row],[Day ETD]],Tableau118[[#This Row],[Day ETD]]+7)</f>
        <v>#N/A</v>
      </c>
      <c r="AF34" s="50" t="e">
        <f ca="1">VLOOKUP(Tableau118[[#This Row],[Key(ID-Actif)]],'DATA BTO'!A:N,9,FALSE)</f>
        <v>#N/A</v>
      </c>
      <c r="AG34" s="3" t="e">
        <f ca="1">VLOOKUP(Tableau118[[#This Row],[Key(ID-Actif)]],'DATA BTO'!A:N,10,FALSE)</f>
        <v>#N/A</v>
      </c>
      <c r="AH34" s="3" t="e">
        <f ca="1">VLOOKUP(Tableau118[[#This Row],[Key(ID-Actif)]],'DATA BTO'!A:N,11,FALSE)</f>
        <v>#N/A</v>
      </c>
      <c r="AI34" s="50" t="e">
        <f ca="1">VLOOKUP(Tableau118[[#This Row],[Key(ID-Actif)]],'DATA BTO'!A:N,12,FALSE)</f>
        <v>#N/A</v>
      </c>
      <c r="AJ34" s="53" t="e">
        <f ca="1">VLOOKUP(Tableau118[[#This Row],[Key(ID-Actif)]],'DATA BTO'!A:N,14,FALSE)</f>
        <v>#N/A</v>
      </c>
      <c r="AK34" s="54" t="e">
        <f ca="1">VLOOKUP(Tableau118[[#This Row],[Key(POD -PFI- Usine)]],'DATA Consignee'!A:F,6,FALSE)</f>
        <v>#N/A</v>
      </c>
      <c r="AL34" s="127"/>
      <c r="AM34" s="438" t="str">
        <f>IF(Tableau118[[#This Row],[Name PFI/CDD]]="","-",VLOOKUP(Tableau118[[#This Row],[Name PFI/CDD]],Plant_AILN!I:J,2,FALSE))</f>
        <v>-</v>
      </c>
      <c r="AN3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" s="2" t="e">
        <f ca="1">VLOOKUP(Tableau118[[#This Row],[Key(POD -PFI- Usine)]],'DATA Consignee'!A:J,10,FALSE)</f>
        <v>#N/A</v>
      </c>
      <c r="AQ34" s="50" t="e">
        <f ca="1">VLOOKUP(Tableau118[[#This Row],[Key(POD -PFI- Usine)]],'DATA Consignee'!A:N,14,FALSE)</f>
        <v>#N/A</v>
      </c>
      <c r="AR3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" s="50" t="e">
        <f ca="1">Tableau118[[#This Row],[Transit time]]+Tableau118[[#This Row],[Time for security]]+Tableau118[[#This Row],[Time for security2 buffer]]</f>
        <v>#N/A</v>
      </c>
      <c r="AU3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" s="433" t="e">
        <f ca="1">Tableau118[[#This Row],[Leadtime SI2C]]+Tableau118[[#This Row],[First Receipt Days]]-Tableau118[[#This Row],[Day Customer Order]]+1</f>
        <v>#N/A</v>
      </c>
      <c r="AW34" s="119" t="e">
        <f ca="1">IF(Tableau118[[#This Row],[Name ILN]]&lt;&gt;"SFK Freight Forwarder",Tableau118[[#This Row],[Cust. Leadtime]],Tableau118[[#This Row],[Leadtime SI2C]])</f>
        <v>#N/A</v>
      </c>
      <c r="AX34" s="51" t="str">
        <f>VLOOKUP(Tableau118[[#This Row],[ID]],'DATA BTO'!B:P,15,FALSE)</f>
        <v>Renault &gt; Horse BPH</v>
      </c>
      <c r="AY34" s="338">
        <f ca="1">IFERROR(VLOOKUP(Tableau118[[#This Row],[Key(ID-Actif)]],'DATA BTO'!A:N,4,FALSE),VLOOKUP(Tableau118[[#This Row],[ID]],'DATA BTO'!B:N,3,FALSE))</f>
        <v>45777</v>
      </c>
      <c r="AZ34" s="50" t="str">
        <f>IF(ISNUMBER(Tableau118[[#This Row],[Day Customer Order]]),"-","Please Check 'Name' information in 'Order' Sheet to make sure they have information")</f>
        <v>-</v>
      </c>
      <c r="BA3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" s="50"/>
    </row>
    <row r="35" spans="2:57">
      <c r="B35" s="67" t="str">
        <f>_xlfn.CONCAT(Tableau118[[#This Row],[Name ILN]],"-",Tableau118[[#This Row],[Name Shipper]],"-",Tableau118[[#This Row],[Name Site]])</f>
        <v>ILN VLL-ILN VLL-Curitiba CMO</v>
      </c>
      <c r="C35" s="67" t="e">
        <f ca="1">_xlfn.CONCAT(Tableau118[[#This Row],[Compte ILN]],"-",Tableau118[[#This Row],[Compte Shipper]],"-",Tableau118[[#This Row],[POL]],"-",Tableau118[[#This Row],[Compte Site]])</f>
        <v>#N/A</v>
      </c>
      <c r="D35" s="66" t="e">
        <f ca="1">_xlfn.CONCAT(Tableau118[[#This Row],[Compte ILN]],"-",Tableau118[[#This Row],[Compte Shipper]],"-",Tableau118[[#This Row],[POL]])</f>
        <v>#N/A</v>
      </c>
      <c r="E35" s="434" t="e">
        <f ca="1">_xlfn.CONCAT(Tableau118[[#This Row],[POL]],"-",Tableau118[[#This Row],[Carrier]],"-",Tableau118[[#This Row],[POD]])</f>
        <v>#N/A</v>
      </c>
      <c r="F35" s="66" t="str">
        <f>_xlfn.CONCAT(Tableau118[[#This Row],[ID]],"-","Next")</f>
        <v>928-Next</v>
      </c>
      <c r="G35" s="66" t="e">
        <f ca="1">_xlfn.CONCAT(Tableau118[[#This Row],[POD]],"-",Tableau118[[#This Row],[Code PFI]],"-",Tableau118[[#This Row],[Compte Site]])</f>
        <v>#N/A</v>
      </c>
      <c r="H3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" s="435" t="str">
        <f ca="1">IF(COUNTIF(I:I,Tableau118[[#This Row],[Plant-ILN-shipper-POL-Carrier-POD-PFI]])=1,"Non","Oui")</f>
        <v>Oui</v>
      </c>
      <c r="K35" s="128" t="str">
        <f>VLOOKUP(Tableau118[[#This Row],[Name Site]],Plant_AILN!A:D,4,FALSE)</f>
        <v>BRAZIL</v>
      </c>
      <c r="L35" s="10" t="s">
        <v>160</v>
      </c>
      <c r="M35" s="439">
        <f>VLOOKUP(Tableau118[[#This Row],[Name Site]],Plant_AILN!A:C,3,FALSE)</f>
        <v>90018600</v>
      </c>
      <c r="N35" s="55">
        <f>IF(Tableau118[[#This Row],[Name PFI/CDD]]="PFI VLL",2,VLOOKUP(Tableau118[[#This Row],[Compte Site]],Order!C:D,2,FALSE))</f>
        <v>7</v>
      </c>
      <c r="O35" s="116" t="s">
        <v>151</v>
      </c>
      <c r="P35" s="365">
        <f>VLOOKUP(Tableau118[[#This Row],[Name ILN]],Plant_AILN!F:G,2,FALSE)</f>
        <v>91018400</v>
      </c>
      <c r="Q35" s="50">
        <f>VLOOKUP(Tableau118[[#This Row],[Compte ILN]],'DATA ILN'!D:I,6,FALSE)</f>
        <v>9</v>
      </c>
      <c r="R3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5" s="50" t="e">
        <f ca="1">Tableau118[[#This Row],[Day ILN Order]]+Tableau118[[#This Row],[Delivery time to ILN/Shipper]]-1</f>
        <v>#N/A</v>
      </c>
      <c r="V3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5" s="284" t="s">
        <v>151</v>
      </c>
      <c r="Y35" s="437">
        <f>IFERROR(VLOOKUP(Tableau118[[#This Row],[Name Shipper]],Plant_AILN!L:M,2,FALSE),0)</f>
        <v>91018400</v>
      </c>
      <c r="Z35" s="406">
        <v>928</v>
      </c>
      <c r="AA35" s="396" t="e">
        <f ca="1">VLOOKUP(Tableau118[[#This Row],[Key(ID-Actif)]],'DATA BTO'!A:N,5,FALSE)</f>
        <v>#N/A</v>
      </c>
      <c r="AB35" s="3" t="e">
        <f ca="1">VLOOKUP(Tableau118[[#This Row],[Key(ID-Actif)]],'DATA BTO'!A:N,6,FALSE)</f>
        <v>#N/A</v>
      </c>
      <c r="AC35" s="50" t="e">
        <f ca="1">VLOOKUP(Tableau118[[#This Row],[Key(ID-Actif)]],'DATA BTO'!A:N,7,FALSE)</f>
        <v>#N/A</v>
      </c>
      <c r="AD35" s="50" t="e">
        <f ca="1">VLOOKUP(Tableau118[[#This Row],[Key(ID-Actif)]],'DATA BTO'!A:N,8,FALSE)</f>
        <v>#N/A</v>
      </c>
      <c r="AE35" s="50" t="e">
        <f ca="1">IF(Tableau118[[#This Row],[First Day to POL]]&lt;=Tableau118[[#This Row],[Day Cut Off]],Tableau118[[#This Row],[Day ETD]],Tableau118[[#This Row],[Day ETD]]+7)</f>
        <v>#N/A</v>
      </c>
      <c r="AF35" s="50" t="e">
        <f ca="1">VLOOKUP(Tableau118[[#This Row],[Key(ID-Actif)]],'DATA BTO'!A:N,9,FALSE)</f>
        <v>#N/A</v>
      </c>
      <c r="AG35" s="3" t="e">
        <f ca="1">VLOOKUP(Tableau118[[#This Row],[Key(ID-Actif)]],'DATA BTO'!A:N,10,FALSE)</f>
        <v>#N/A</v>
      </c>
      <c r="AH35" s="3" t="e">
        <f ca="1">VLOOKUP(Tableau118[[#This Row],[Key(ID-Actif)]],'DATA BTO'!A:N,11,FALSE)</f>
        <v>#N/A</v>
      </c>
      <c r="AI35" s="50" t="e">
        <f ca="1">VLOOKUP(Tableau118[[#This Row],[Key(ID-Actif)]],'DATA BTO'!A:N,12,FALSE)</f>
        <v>#N/A</v>
      </c>
      <c r="AJ35" s="53" t="e">
        <f ca="1">VLOOKUP(Tableau118[[#This Row],[Key(ID-Actif)]],'DATA BTO'!A:N,14,FALSE)</f>
        <v>#N/A</v>
      </c>
      <c r="AK35" s="54" t="e">
        <f ca="1">VLOOKUP(Tableau118[[#This Row],[Key(POD -PFI- Usine)]],'DATA Consignee'!A:F,6,FALSE)</f>
        <v>#N/A</v>
      </c>
      <c r="AL35" s="127"/>
      <c r="AM35" s="438" t="str">
        <f>IF(Tableau118[[#This Row],[Name PFI/CDD]]="","-",VLOOKUP(Tableau118[[#This Row],[Name PFI/CDD]],Plant_AILN!I:J,2,FALSE))</f>
        <v>-</v>
      </c>
      <c r="AN3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" s="2" t="e">
        <f ca="1">VLOOKUP(Tableau118[[#This Row],[Key(POD -PFI- Usine)]],'DATA Consignee'!A:J,10,FALSE)</f>
        <v>#N/A</v>
      </c>
      <c r="AQ35" s="50" t="e">
        <f ca="1">VLOOKUP(Tableau118[[#This Row],[Key(POD -PFI- Usine)]],'DATA Consignee'!A:N,14,FALSE)</f>
        <v>#N/A</v>
      </c>
      <c r="AR3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" s="50" t="e">
        <f ca="1">Tableau118[[#This Row],[Transit time]]+Tableau118[[#This Row],[Time for security]]+Tableau118[[#This Row],[Time for security2 buffer]]</f>
        <v>#N/A</v>
      </c>
      <c r="AU3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" s="433" t="e">
        <f ca="1">Tableau118[[#This Row],[Leadtime SI2C]]+Tableau118[[#This Row],[First Receipt Days]]-Tableau118[[#This Row],[Day Customer Order]]+1</f>
        <v>#N/A</v>
      </c>
      <c r="AW35" s="119" t="e">
        <f ca="1">IF(Tableau118[[#This Row],[Name ILN]]&lt;&gt;"SFK Freight Forwarder",Tableau118[[#This Row],[Cust. Leadtime]],Tableau118[[#This Row],[Leadtime SI2C]])</f>
        <v>#N/A</v>
      </c>
      <c r="AX35" s="51" t="str">
        <f>VLOOKUP(Tableau118[[#This Row],[ID]],'DATA BTO'!B:P,15,FALSE)</f>
        <v>Renault &gt; Horse BPH</v>
      </c>
      <c r="AY35" s="338">
        <f ca="1">IFERROR(VLOOKUP(Tableau118[[#This Row],[Key(ID-Actif)]],'DATA BTO'!A:N,4,FALSE),VLOOKUP(Tableau118[[#This Row],[ID]],'DATA BTO'!B:N,3,FALSE))</f>
        <v>46142</v>
      </c>
      <c r="AZ35" s="50" t="str">
        <f>IF(ISNUMBER(Tableau118[[#This Row],[Day Customer Order]]),"-","Please Check 'Name' information in 'Order' Sheet to make sure they have information")</f>
        <v>-</v>
      </c>
      <c r="BA3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" s="50"/>
    </row>
    <row r="36" spans="2:57">
      <c r="B36" s="67" t="str">
        <f>_xlfn.CONCAT(Tableau118[[#This Row],[Name ILN]],"-",Tableau118[[#This Row],[Name Shipper]],"-",Tableau118[[#This Row],[Name Site]])</f>
        <v>KWE Shanghai-KWE Shanghai-CACIA</v>
      </c>
      <c r="C36" s="67" t="e">
        <f ca="1">_xlfn.CONCAT(Tableau118[[#This Row],[Compte ILN]],"-",Tableau118[[#This Row],[Compte Shipper]],"-",Tableau118[[#This Row],[POL]],"-",Tableau118[[#This Row],[Compte Site]])</f>
        <v>#N/A</v>
      </c>
      <c r="D36" s="66" t="e">
        <f ca="1">_xlfn.CONCAT(Tableau118[[#This Row],[Compte ILN]],"-",Tableau118[[#This Row],[Compte Shipper]],"-",Tableau118[[#This Row],[POL]])</f>
        <v>#N/A</v>
      </c>
      <c r="E36" s="434" t="e">
        <f ca="1">_xlfn.CONCAT(Tableau118[[#This Row],[POL]],"-",Tableau118[[#This Row],[Carrier]],"-",Tableau118[[#This Row],[POD]])</f>
        <v>#N/A</v>
      </c>
      <c r="F36" s="66" t="str">
        <f>_xlfn.CONCAT(Tableau118[[#This Row],[ID]],"-","Next")</f>
        <v>930-Next</v>
      </c>
      <c r="G36" s="66" t="e">
        <f ca="1">_xlfn.CONCAT(Tableau118[[#This Row],[POD]],"-",Tableau118[[#This Row],[Code PFI]],"-",Tableau118[[#This Row],[Compte Site]])</f>
        <v>#N/A</v>
      </c>
      <c r="H3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" s="435" t="str">
        <f ca="1">IF(COUNTIF(I:I,Tableau118[[#This Row],[Plant-ILN-shipper-POL-Carrier-POD-PFI]])=1,"Non","Oui")</f>
        <v>Oui</v>
      </c>
      <c r="K36" s="436" t="str">
        <f>VLOOKUP(Tableau118[[#This Row],[Name Site]],Plant_AILN!A:D,4,FALSE)</f>
        <v>PORTUGAL</v>
      </c>
      <c r="L36" s="285" t="s">
        <v>170</v>
      </c>
      <c r="M36" s="439">
        <f>VLOOKUP(Tableau118[[#This Row],[Name Site]],Plant_AILN!A:C,3,FALSE)</f>
        <v>90016500</v>
      </c>
      <c r="N36" s="55">
        <f>IF(Tableau118[[#This Row],[Name PFI/CDD]]="PFI VLL",2,VLOOKUP(Tableau118[[#This Row],[Compte Site]],Order!C:D,2,FALSE))</f>
        <v>2</v>
      </c>
      <c r="O36" s="116" t="s">
        <v>62</v>
      </c>
      <c r="P36" s="365">
        <f>VLOOKUP(Tableau118[[#This Row],[Name ILN]],Plant_AILN!F:G,2,FALSE)</f>
        <v>26037000</v>
      </c>
      <c r="Q36" s="50">
        <f>VLOOKUP(Tableau118[[#This Row],[Compte ILN]],'DATA ILN'!D:I,6,FALSE)</f>
        <v>9</v>
      </c>
      <c r="R3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6" s="50" t="e">
        <f ca="1">Tableau118[[#This Row],[Day ILN Order]]+Tableau118[[#This Row],[Delivery time to ILN/Shipper]]-1</f>
        <v>#N/A</v>
      </c>
      <c r="V3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6" s="284" t="s">
        <v>62</v>
      </c>
      <c r="Y36" s="437">
        <f>IFERROR(VLOOKUP(Tableau118[[#This Row],[Name Shipper]],Plant_AILN!L:M,2,FALSE),0)</f>
        <v>26037000</v>
      </c>
      <c r="Z36" s="406">
        <v>930</v>
      </c>
      <c r="AA36" s="396" t="e">
        <f ca="1">VLOOKUP(Tableau118[[#This Row],[Key(ID-Actif)]],'DATA BTO'!A:N,5,FALSE)</f>
        <v>#N/A</v>
      </c>
      <c r="AB36" s="3" t="e">
        <f ca="1">VLOOKUP(Tableau118[[#This Row],[Key(ID-Actif)]],'DATA BTO'!A:N,6,FALSE)</f>
        <v>#N/A</v>
      </c>
      <c r="AC36" s="50" t="e">
        <f ca="1">VLOOKUP(Tableau118[[#This Row],[Key(ID-Actif)]],'DATA BTO'!A:N,7,FALSE)</f>
        <v>#N/A</v>
      </c>
      <c r="AD36" s="50" t="e">
        <f ca="1">VLOOKUP(Tableau118[[#This Row],[Key(ID-Actif)]],'DATA BTO'!A:N,8,FALSE)</f>
        <v>#N/A</v>
      </c>
      <c r="AE36" s="50" t="e">
        <f ca="1">IF(Tableau118[[#This Row],[First Day to POL]]&lt;=Tableau118[[#This Row],[Day Cut Off]],Tableau118[[#This Row],[Day ETD]],Tableau118[[#This Row],[Day ETD]]+7)</f>
        <v>#N/A</v>
      </c>
      <c r="AF36" s="50" t="e">
        <f ca="1">VLOOKUP(Tableau118[[#This Row],[Key(ID-Actif)]],'DATA BTO'!A:N,9,FALSE)</f>
        <v>#N/A</v>
      </c>
      <c r="AG36" s="3" t="e">
        <f ca="1">VLOOKUP(Tableau118[[#This Row],[Key(ID-Actif)]],'DATA BTO'!A:N,10,FALSE)</f>
        <v>#N/A</v>
      </c>
      <c r="AH36" s="3" t="e">
        <f ca="1">VLOOKUP(Tableau118[[#This Row],[Key(ID-Actif)]],'DATA BTO'!A:N,11,FALSE)</f>
        <v>#N/A</v>
      </c>
      <c r="AI36" s="50" t="e">
        <f ca="1">VLOOKUP(Tableau118[[#This Row],[Key(ID-Actif)]],'DATA BTO'!A:N,12,FALSE)</f>
        <v>#N/A</v>
      </c>
      <c r="AJ36" s="53" t="e">
        <f ca="1">VLOOKUP(Tableau118[[#This Row],[Key(ID-Actif)]],'DATA BTO'!A:N,14,FALSE)</f>
        <v>#N/A</v>
      </c>
      <c r="AK36" s="54" t="e">
        <f ca="1">VLOOKUP(Tableau118[[#This Row],[Key(POD -PFI- Usine)]],'DATA Consignee'!A:F,6,FALSE)</f>
        <v>#N/A</v>
      </c>
      <c r="AL36" s="127" t="s">
        <v>171</v>
      </c>
      <c r="AM36" s="438">
        <f>IF(Tableau118[[#This Row],[Name PFI/CDD]]="","-",VLOOKUP(Tableau118[[#This Row],[Name PFI/CDD]],Plant_AILN!I:J,2,FALSE))</f>
        <v>91018400</v>
      </c>
      <c r="AN36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36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36" s="2" t="e">
        <f ca="1">VLOOKUP(Tableau118[[#This Row],[Key(POD -PFI- Usine)]],'DATA Consignee'!A:J,10,FALSE)</f>
        <v>#N/A</v>
      </c>
      <c r="AQ36" s="50" t="e">
        <f ca="1">VLOOKUP(Tableau118[[#This Row],[Key(POD -PFI- Usine)]],'DATA Consignee'!A:N,14,FALSE)</f>
        <v>#N/A</v>
      </c>
      <c r="AR3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" s="50" t="e">
        <f ca="1">Tableau118[[#This Row],[Transit time]]+Tableau118[[#This Row],[Time for security]]+Tableau118[[#This Row],[Time for security2 buffer]]</f>
        <v>#N/A</v>
      </c>
      <c r="AU3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" s="433" t="e">
        <f ca="1">Tableau118[[#This Row],[Leadtime SI2C]]+Tableau118[[#This Row],[First Receipt Days]]-Tableau118[[#This Row],[Day Customer Order]]+1</f>
        <v>#N/A</v>
      </c>
      <c r="AW36" s="119" t="e">
        <f ca="1">IF(Tableau118[[#This Row],[Name ILN]]&lt;&gt;"SFK Freight Forwarder",Tableau118[[#This Row],[Cust. Leadtime]],Tableau118[[#This Row],[Leadtime SI2C]])</f>
        <v>#N/A</v>
      </c>
      <c r="AX36" s="51" t="str">
        <f>VLOOKUP(Tableau118[[#This Row],[ID]],'DATA BTO'!B:P,15,FALSE)</f>
        <v>Renault &gt; Horse BPH</v>
      </c>
      <c r="AY36" s="338">
        <f ca="1">IFERROR(VLOOKUP(Tableau118[[#This Row],[Key(ID-Actif)]],'DATA BTO'!A:N,4,FALSE),VLOOKUP(Tableau118[[#This Row],[ID]],'DATA BTO'!B:N,3,FALSE))</f>
        <v>45777</v>
      </c>
      <c r="AZ36" s="50" t="str">
        <f>IF(ISNUMBER(Tableau118[[#This Row],[Day Customer Order]]),"-","Please Check 'Name' information in 'Order' Sheet to make sure they have information")</f>
        <v>-</v>
      </c>
      <c r="BA3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" s="50"/>
    </row>
    <row r="37" spans="2:57">
      <c r="B37" s="67" t="str">
        <f>_xlfn.CONCAT(Tableau118[[#This Row],[Name ILN]],"-",Tableau118[[#This Row],[Name Shipper]],"-",Tableau118[[#This Row],[Name Site]])</f>
        <v>KWE Shanghai-KWE Shanghai-MOTORES</v>
      </c>
      <c r="C37" s="67" t="e">
        <f ca="1">_xlfn.CONCAT(Tableau118[[#This Row],[Compte ILN]],"-",Tableau118[[#This Row],[Compte Shipper]],"-",Tableau118[[#This Row],[POL]],"-",Tableau118[[#This Row],[Compte Site]])</f>
        <v>#N/A</v>
      </c>
      <c r="D37" s="66" t="e">
        <f ca="1">_xlfn.CONCAT(Tableau118[[#This Row],[Compte ILN]],"-",Tableau118[[#This Row],[Compte Shipper]],"-",Tableau118[[#This Row],[POL]])</f>
        <v>#N/A</v>
      </c>
      <c r="E37" s="434" t="e">
        <f ca="1">_xlfn.CONCAT(Tableau118[[#This Row],[POL]],"-",Tableau118[[#This Row],[Carrier]],"-",Tableau118[[#This Row],[POD]])</f>
        <v>#N/A</v>
      </c>
      <c r="F37" s="66" t="str">
        <f>_xlfn.CONCAT(Tableau118[[#This Row],[ID]],"-","Next")</f>
        <v>930-Next</v>
      </c>
      <c r="G37" s="66" t="e">
        <f ca="1">_xlfn.CONCAT(Tableau118[[#This Row],[POD]],"-",Tableau118[[#This Row],[Code PFI]],"-",Tableau118[[#This Row],[Compte Site]])</f>
        <v>#N/A</v>
      </c>
      <c r="H3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" s="435" t="str">
        <f ca="1">IF(COUNTIF(I:I,Tableau118[[#This Row],[Plant-ILN-shipper-POL-Carrier-POD-PFI]])=1,"Non","Oui")</f>
        <v>Oui</v>
      </c>
      <c r="K37" s="436" t="str">
        <f>VLOOKUP(Tableau118[[#This Row],[Name Site]],Plant_AILN!A:D,4,FALSE)</f>
        <v>SPAIN</v>
      </c>
      <c r="L37" s="285" t="s">
        <v>63</v>
      </c>
      <c r="M37" s="439">
        <f>VLOOKUP(Tableau118[[#This Row],[Name Site]],Plant_AILN!A:C,3,FALSE)</f>
        <v>91017700</v>
      </c>
      <c r="N37" s="55">
        <f>IF(Tableau118[[#This Row],[Name PFI/CDD]]="PFI VLL",2,VLOOKUP(Tableau118[[#This Row],[Compte Site]],Order!C:D,2,FALSE))</f>
        <v>7</v>
      </c>
      <c r="O37" s="116" t="s">
        <v>62</v>
      </c>
      <c r="P37" s="365">
        <f>VLOOKUP(Tableau118[[#This Row],[Name ILN]],Plant_AILN!F:G,2,FALSE)</f>
        <v>26037000</v>
      </c>
      <c r="Q37" s="50">
        <f>VLOOKUP(Tableau118[[#This Row],[Compte ILN]],'DATA ILN'!D:I,6,FALSE)</f>
        <v>9</v>
      </c>
      <c r="R3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7" s="50" t="e">
        <f ca="1">Tableau118[[#This Row],[Day ILN Order]]+Tableau118[[#This Row],[Delivery time to ILN/Shipper]]-1</f>
        <v>#N/A</v>
      </c>
      <c r="V3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7" s="284" t="s">
        <v>62</v>
      </c>
      <c r="Y37" s="437">
        <f>IFERROR(VLOOKUP(Tableau118[[#This Row],[Name Shipper]],Plant_AILN!L:M,2,FALSE),0)</f>
        <v>26037000</v>
      </c>
      <c r="Z37" s="406">
        <v>930</v>
      </c>
      <c r="AA37" s="396" t="e">
        <f ca="1">VLOOKUP(Tableau118[[#This Row],[Key(ID-Actif)]],'DATA BTO'!A:N,5,FALSE)</f>
        <v>#N/A</v>
      </c>
      <c r="AB37" s="3" t="e">
        <f ca="1">VLOOKUP(Tableau118[[#This Row],[Key(ID-Actif)]],'DATA BTO'!A:N,6,FALSE)</f>
        <v>#N/A</v>
      </c>
      <c r="AC37" s="50" t="e">
        <f ca="1">VLOOKUP(Tableau118[[#This Row],[Key(ID-Actif)]],'DATA BTO'!A:N,7,FALSE)</f>
        <v>#N/A</v>
      </c>
      <c r="AD37" s="50" t="e">
        <f ca="1">VLOOKUP(Tableau118[[#This Row],[Key(ID-Actif)]],'DATA BTO'!A:N,8,FALSE)</f>
        <v>#N/A</v>
      </c>
      <c r="AE37" s="50" t="e">
        <f ca="1">IF(Tableau118[[#This Row],[First Day to POL]]&lt;=Tableau118[[#This Row],[Day Cut Off]],Tableau118[[#This Row],[Day ETD]],Tableau118[[#This Row],[Day ETD]]+7)</f>
        <v>#N/A</v>
      </c>
      <c r="AF37" s="50" t="e">
        <f ca="1">VLOOKUP(Tableau118[[#This Row],[Key(ID-Actif)]],'DATA BTO'!A:N,9,FALSE)</f>
        <v>#N/A</v>
      </c>
      <c r="AG37" s="3" t="e">
        <f ca="1">VLOOKUP(Tableau118[[#This Row],[Key(ID-Actif)]],'DATA BTO'!A:N,10,FALSE)</f>
        <v>#N/A</v>
      </c>
      <c r="AH37" s="3" t="e">
        <f ca="1">VLOOKUP(Tableau118[[#This Row],[Key(ID-Actif)]],'DATA BTO'!A:N,11,FALSE)</f>
        <v>#N/A</v>
      </c>
      <c r="AI37" s="50" t="e">
        <f ca="1">VLOOKUP(Tableau118[[#This Row],[Key(ID-Actif)]],'DATA BTO'!A:N,12,FALSE)</f>
        <v>#N/A</v>
      </c>
      <c r="AJ37" s="53" t="e">
        <f ca="1">VLOOKUP(Tableau118[[#This Row],[Key(ID-Actif)]],'DATA BTO'!A:N,14,FALSE)</f>
        <v>#N/A</v>
      </c>
      <c r="AK37" s="54" t="e">
        <f ca="1">VLOOKUP(Tableau118[[#This Row],[Key(POD -PFI- Usine)]],'DATA Consignee'!A:F,6,FALSE)</f>
        <v>#N/A</v>
      </c>
      <c r="AL37" s="127" t="s">
        <v>169</v>
      </c>
      <c r="AM37" s="438">
        <f>IF(Tableau118[[#This Row],[Name PFI/CDD]]="","-",VLOOKUP(Tableau118[[#This Row],[Name PFI/CDD]],Plant_AILN!I:J,2,FALSE))</f>
        <v>91018400</v>
      </c>
      <c r="AN37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37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37" s="2" t="e">
        <f ca="1">VLOOKUP(Tableau118[[#This Row],[Key(POD -PFI- Usine)]],'DATA Consignee'!A:J,10,FALSE)</f>
        <v>#N/A</v>
      </c>
      <c r="AQ37" s="50" t="e">
        <f ca="1">VLOOKUP(Tableau118[[#This Row],[Key(POD -PFI- Usine)]],'DATA Consignee'!A:N,14,FALSE)</f>
        <v>#N/A</v>
      </c>
      <c r="AR3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" s="50" t="e">
        <f ca="1">Tableau118[[#This Row],[Transit time]]+Tableau118[[#This Row],[Time for security]]+Tableau118[[#This Row],[Time for security2 buffer]]</f>
        <v>#N/A</v>
      </c>
      <c r="AU3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" s="433" t="e">
        <f ca="1">Tableau118[[#This Row],[Leadtime SI2C]]+Tableau118[[#This Row],[First Receipt Days]]-Tableau118[[#This Row],[Day Customer Order]]+1</f>
        <v>#N/A</v>
      </c>
      <c r="AW37" s="119" t="e">
        <f ca="1">IF(Tableau118[[#This Row],[Name ILN]]&lt;&gt;"SFK Freight Forwarder",Tableau118[[#This Row],[Cust. Leadtime]],Tableau118[[#This Row],[Leadtime SI2C]])</f>
        <v>#N/A</v>
      </c>
      <c r="AX37" s="51" t="str">
        <f>VLOOKUP(Tableau118[[#This Row],[ID]],'DATA BTO'!B:P,15,FALSE)</f>
        <v>Renault &gt; Horse BPH</v>
      </c>
      <c r="AY37" s="338">
        <f ca="1">IFERROR(VLOOKUP(Tableau118[[#This Row],[Key(ID-Actif)]],'DATA BTO'!A:N,4,FALSE),VLOOKUP(Tableau118[[#This Row],[ID]],'DATA BTO'!B:N,3,FALSE))</f>
        <v>45777</v>
      </c>
      <c r="AZ37" s="50" t="str">
        <f>IF(ISNUMBER(Tableau118[[#This Row],[Day Customer Order]]),"-","Please Check 'Name' information in 'Order' Sheet to make sure they have information")</f>
        <v>-</v>
      </c>
      <c r="BA3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" s="50"/>
    </row>
    <row r="38" spans="2:57">
      <c r="B38" s="67" t="str">
        <f>_xlfn.CONCAT(Tableau118[[#This Row],[Name ILN]],"-",Tableau118[[#This Row],[Name Shipper]],"-",Tableau118[[#This Row],[Name Site]])</f>
        <v>KWE Shanghai-KWE Shanghai-VALL MONTAGE</v>
      </c>
      <c r="C38" s="67" t="e">
        <f ca="1">_xlfn.CONCAT(Tableau118[[#This Row],[Compte ILN]],"-",Tableau118[[#This Row],[Compte Shipper]],"-",Tableau118[[#This Row],[POL]],"-",Tableau118[[#This Row],[Compte Site]])</f>
        <v>#N/A</v>
      </c>
      <c r="D38" s="66" t="e">
        <f ca="1">_xlfn.CONCAT(Tableau118[[#This Row],[Compte ILN]],"-",Tableau118[[#This Row],[Compte Shipper]],"-",Tableau118[[#This Row],[POL]])</f>
        <v>#N/A</v>
      </c>
      <c r="E38" s="434" t="e">
        <f ca="1">_xlfn.CONCAT(Tableau118[[#This Row],[POL]],"-",Tableau118[[#This Row],[Carrier]],"-",Tableau118[[#This Row],[POD]])</f>
        <v>#N/A</v>
      </c>
      <c r="F38" s="66" t="str">
        <f>_xlfn.CONCAT(Tableau118[[#This Row],[ID]],"-","Next")</f>
        <v>930-Next</v>
      </c>
      <c r="G38" s="66" t="e">
        <f ca="1">_xlfn.CONCAT(Tableau118[[#This Row],[POD]],"-",Tableau118[[#This Row],[Code PFI]],"-",Tableau118[[#This Row],[Compte Site]])</f>
        <v>#N/A</v>
      </c>
      <c r="H3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" s="435" t="str">
        <f ca="1">IF(COUNTIF(I:I,Tableau118[[#This Row],[Plant-ILN-shipper-POL-Carrier-POD-PFI]])=1,"Non","Oui")</f>
        <v>Oui</v>
      </c>
      <c r="K38" s="128" t="str">
        <f>VLOOKUP(Tableau118[[#This Row],[Name Site]],Plant_AILN!A:D,4,FALSE)</f>
        <v>SPAIN</v>
      </c>
      <c r="L38" s="10" t="s">
        <v>175</v>
      </c>
      <c r="M38" s="439">
        <f>VLOOKUP(Tableau118[[#This Row],[Name Site]],Plant_AILN!A:C,3,FALSE)</f>
        <v>91017300</v>
      </c>
      <c r="N38" s="55">
        <f>IF(Tableau118[[#This Row],[Name PFI/CDD]]="PFI VLL",2,VLOOKUP(Tableau118[[#This Row],[Compte Site]],Order!C:D,2,FALSE))</f>
        <v>7</v>
      </c>
      <c r="O38" s="116" t="s">
        <v>62</v>
      </c>
      <c r="P38" s="365">
        <f>VLOOKUP(Tableau118[[#This Row],[Name ILN]],Plant_AILN!F:G,2,FALSE)</f>
        <v>26037000</v>
      </c>
      <c r="Q38" s="50">
        <f>VLOOKUP(Tableau118[[#This Row],[Compte ILN]],'DATA ILN'!D:I,6,FALSE)</f>
        <v>9</v>
      </c>
      <c r="R3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8" s="50" t="e">
        <f ca="1">Tableau118[[#This Row],[Day ILN Order]]+Tableau118[[#This Row],[Delivery time to ILN/Shipper]]-1</f>
        <v>#N/A</v>
      </c>
      <c r="V3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8" s="284" t="s">
        <v>62</v>
      </c>
      <c r="Y38" s="437">
        <f>IFERROR(VLOOKUP(Tableau118[[#This Row],[Name Shipper]],Plant_AILN!L:M,2,FALSE),0)</f>
        <v>26037000</v>
      </c>
      <c r="Z38" s="406">
        <v>930</v>
      </c>
      <c r="AA38" s="396" t="e">
        <f ca="1">VLOOKUP(Tableau118[[#This Row],[Key(ID-Actif)]],'DATA BTO'!A:N,5,FALSE)</f>
        <v>#N/A</v>
      </c>
      <c r="AB38" s="3" t="e">
        <f ca="1">VLOOKUP(Tableau118[[#This Row],[Key(ID-Actif)]],'DATA BTO'!A:N,6,FALSE)</f>
        <v>#N/A</v>
      </c>
      <c r="AC38" s="50" t="e">
        <f ca="1">VLOOKUP(Tableau118[[#This Row],[Key(ID-Actif)]],'DATA BTO'!A:N,7,FALSE)</f>
        <v>#N/A</v>
      </c>
      <c r="AD38" s="50" t="e">
        <f ca="1">VLOOKUP(Tableau118[[#This Row],[Key(ID-Actif)]],'DATA BTO'!A:N,8,FALSE)</f>
        <v>#N/A</v>
      </c>
      <c r="AE38" s="50" t="e">
        <f ca="1">IF(Tableau118[[#This Row],[First Day to POL]]&lt;=Tableau118[[#This Row],[Day Cut Off]],Tableau118[[#This Row],[Day ETD]],Tableau118[[#This Row],[Day ETD]]+7)</f>
        <v>#N/A</v>
      </c>
      <c r="AF38" s="50" t="e">
        <f ca="1">VLOOKUP(Tableau118[[#This Row],[Key(ID-Actif)]],'DATA BTO'!A:N,9,FALSE)</f>
        <v>#N/A</v>
      </c>
      <c r="AG38" s="3" t="e">
        <f ca="1">VLOOKUP(Tableau118[[#This Row],[Key(ID-Actif)]],'DATA BTO'!A:N,10,FALSE)</f>
        <v>#N/A</v>
      </c>
      <c r="AH38" s="3" t="e">
        <f ca="1">VLOOKUP(Tableau118[[#This Row],[Key(ID-Actif)]],'DATA BTO'!A:N,11,FALSE)</f>
        <v>#N/A</v>
      </c>
      <c r="AI38" s="50" t="e">
        <f ca="1">VLOOKUP(Tableau118[[#This Row],[Key(ID-Actif)]],'DATA BTO'!A:N,12,FALSE)</f>
        <v>#N/A</v>
      </c>
      <c r="AJ38" s="53" t="e">
        <f ca="1">VLOOKUP(Tableau118[[#This Row],[Key(ID-Actif)]],'DATA BTO'!A:N,14,FALSE)</f>
        <v>#N/A</v>
      </c>
      <c r="AK38" s="54" t="e">
        <f ca="1">VLOOKUP(Tableau118[[#This Row],[Key(POD -PFI- Usine)]],'DATA Consignee'!A:F,6,FALSE)</f>
        <v>#N/A</v>
      </c>
      <c r="AL38" s="127" t="s">
        <v>169</v>
      </c>
      <c r="AM38" s="438">
        <f>IF(Tableau118[[#This Row],[Name PFI/CDD]]="","-",VLOOKUP(Tableau118[[#This Row],[Name PFI/CDD]],Plant_AILN!I:J,2,FALSE))</f>
        <v>91018400</v>
      </c>
      <c r="AN3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3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38" s="2" t="e">
        <f ca="1">VLOOKUP(Tableau118[[#This Row],[Key(POD -PFI- Usine)]],'DATA Consignee'!A:J,10,FALSE)</f>
        <v>#N/A</v>
      </c>
      <c r="AQ38" s="50" t="e">
        <f ca="1">VLOOKUP(Tableau118[[#This Row],[Key(POD -PFI- Usine)]],'DATA Consignee'!A:N,14,FALSE)</f>
        <v>#N/A</v>
      </c>
      <c r="AR3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" s="50" t="e">
        <f ca="1">Tableau118[[#This Row],[Transit time]]+Tableau118[[#This Row],[Time for security]]+Tableau118[[#This Row],[Time for security2 buffer]]</f>
        <v>#N/A</v>
      </c>
      <c r="AU3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" s="433" t="e">
        <f ca="1">Tableau118[[#This Row],[Leadtime SI2C]]+Tableau118[[#This Row],[First Receipt Days]]-Tableau118[[#This Row],[Day Customer Order]]+1</f>
        <v>#N/A</v>
      </c>
      <c r="AW38" s="119" t="e">
        <f ca="1">IF(Tableau118[[#This Row],[Name ILN]]&lt;&gt;"SFK Freight Forwarder",Tableau118[[#This Row],[Cust. Leadtime]],Tableau118[[#This Row],[Leadtime SI2C]])</f>
        <v>#N/A</v>
      </c>
      <c r="AX38" s="51" t="str">
        <f>VLOOKUP(Tableau118[[#This Row],[ID]],'DATA BTO'!B:P,15,FALSE)</f>
        <v>Renault &gt; Horse BPH</v>
      </c>
      <c r="AY38" s="338">
        <f ca="1">IFERROR(VLOOKUP(Tableau118[[#This Row],[Key(ID-Actif)]],'DATA BTO'!A:N,4,FALSE),VLOOKUP(Tableau118[[#This Row],[ID]],'DATA BTO'!B:N,3,FALSE))</f>
        <v>45777</v>
      </c>
      <c r="AZ38" s="50" t="str">
        <f>IF(ISNUMBER(Tableau118[[#This Row],[Day Customer Order]]),"-","Please Check 'Name' information in 'Order' Sheet to make sure they have information")</f>
        <v>-</v>
      </c>
      <c r="BA3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3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" s="50"/>
    </row>
    <row r="39" spans="2:57">
      <c r="B39" s="67" t="str">
        <f>_xlfn.CONCAT(Tableau118[[#This Row],[Name ILN]],"-",Tableau118[[#This Row],[Name Shipper]],"-",Tableau118[[#This Row],[Name Site]])</f>
        <v>KWE Shanghai-KWE Shanghai-CURITIBA CMO</v>
      </c>
      <c r="C39" s="67" t="e">
        <f ca="1">_xlfn.CONCAT(Tableau118[[#This Row],[Compte ILN]],"-",Tableau118[[#This Row],[Compte Shipper]],"-",Tableau118[[#This Row],[POL]],"-",Tableau118[[#This Row],[Compte Site]])</f>
        <v>#N/A</v>
      </c>
      <c r="D39" s="66" t="e">
        <f ca="1">_xlfn.CONCAT(Tableau118[[#This Row],[Compte ILN]],"-",Tableau118[[#This Row],[Compte Shipper]],"-",Tableau118[[#This Row],[POL]])</f>
        <v>#N/A</v>
      </c>
      <c r="E39" s="434" t="e">
        <f ca="1">_xlfn.CONCAT(Tableau118[[#This Row],[POL]],"-",Tableau118[[#This Row],[Carrier]],"-",Tableau118[[#This Row],[POD]])</f>
        <v>#N/A</v>
      </c>
      <c r="F39" s="66" t="str">
        <f>_xlfn.CONCAT(Tableau118[[#This Row],[ID]],"-","Next")</f>
        <v>931-Next</v>
      </c>
      <c r="G39" s="66" t="e">
        <f ca="1">_xlfn.CONCAT(Tableau118[[#This Row],[POD]],"-",Tableau118[[#This Row],[Code PFI]],"-",Tableau118[[#This Row],[Compte Site]])</f>
        <v>#N/A</v>
      </c>
      <c r="H3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" s="435" t="str">
        <f ca="1">IF(COUNTIF(I:I,Tableau118[[#This Row],[Plant-ILN-shipper-POL-Carrier-POD-PFI]])=1,"Non","Oui")</f>
        <v>Oui</v>
      </c>
      <c r="K39" s="440" t="str">
        <f>VLOOKUP(Tableau118[[#This Row],[Name Site]],Plant_AILN!A:D,4,FALSE)</f>
        <v>BRAZIL</v>
      </c>
      <c r="L39" s="10" t="s">
        <v>174</v>
      </c>
      <c r="M39" s="439">
        <f>VLOOKUP(Tableau118[[#This Row],[Name Site]],Plant_AILN!A:C,3,FALSE)</f>
        <v>90018600</v>
      </c>
      <c r="N39" s="55">
        <f>IF(Tableau118[[#This Row],[Name PFI/CDD]]="PFI VLL",2,VLOOKUP(Tableau118[[#This Row],[Compte Site]],Order!C:D,2,FALSE))</f>
        <v>7</v>
      </c>
      <c r="O39" s="116" t="s">
        <v>62</v>
      </c>
      <c r="P39" s="365">
        <f>VLOOKUP(Tableau118[[#This Row],[Name ILN]],Plant_AILN!F:G,2,FALSE)</f>
        <v>26037000</v>
      </c>
      <c r="Q39" s="50">
        <f>VLOOKUP(Tableau118[[#This Row],[Compte ILN]],'DATA ILN'!D:I,6,FALSE)</f>
        <v>9</v>
      </c>
      <c r="R3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3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3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39" s="50" t="e">
        <f ca="1">Tableau118[[#This Row],[Day ILN Order]]+Tableau118[[#This Row],[Delivery time to ILN/Shipper]]-1</f>
        <v>#N/A</v>
      </c>
      <c r="V3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3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39" s="284" t="s">
        <v>62</v>
      </c>
      <c r="Y39" s="437">
        <f>IFERROR(VLOOKUP(Tableau118[[#This Row],[Name Shipper]],Plant_AILN!L:M,2,FALSE),0)</f>
        <v>26037000</v>
      </c>
      <c r="Z39" s="406">
        <v>931</v>
      </c>
      <c r="AA39" s="396" t="e">
        <f ca="1">VLOOKUP(Tableau118[[#This Row],[Key(ID-Actif)]],'DATA BTO'!A:N,5,FALSE)</f>
        <v>#N/A</v>
      </c>
      <c r="AB39" s="3" t="e">
        <f ca="1">VLOOKUP(Tableau118[[#This Row],[Key(ID-Actif)]],'DATA BTO'!A:N,6,FALSE)</f>
        <v>#N/A</v>
      </c>
      <c r="AC39" s="50" t="e">
        <f ca="1">VLOOKUP(Tableau118[[#This Row],[Key(ID-Actif)]],'DATA BTO'!A:N,7,FALSE)</f>
        <v>#N/A</v>
      </c>
      <c r="AD39" s="50" t="e">
        <f ca="1">VLOOKUP(Tableau118[[#This Row],[Key(ID-Actif)]],'DATA BTO'!A:N,8,FALSE)</f>
        <v>#N/A</v>
      </c>
      <c r="AE39" s="50" t="e">
        <f ca="1">IF(Tableau118[[#This Row],[First Day to POL]]&lt;=Tableau118[[#This Row],[Day Cut Off]],Tableau118[[#This Row],[Day ETD]],Tableau118[[#This Row],[Day ETD]]+7)</f>
        <v>#N/A</v>
      </c>
      <c r="AF39" s="50" t="e">
        <f ca="1">VLOOKUP(Tableau118[[#This Row],[Key(ID-Actif)]],'DATA BTO'!A:N,9,FALSE)</f>
        <v>#N/A</v>
      </c>
      <c r="AG39" s="3" t="e">
        <f ca="1">VLOOKUP(Tableau118[[#This Row],[Key(ID-Actif)]],'DATA BTO'!A:N,10,FALSE)</f>
        <v>#N/A</v>
      </c>
      <c r="AH39" s="3" t="e">
        <f ca="1">VLOOKUP(Tableau118[[#This Row],[Key(ID-Actif)]],'DATA BTO'!A:N,11,FALSE)</f>
        <v>#N/A</v>
      </c>
      <c r="AI39" s="50" t="e">
        <f ca="1">VLOOKUP(Tableau118[[#This Row],[Key(ID-Actif)]],'DATA BTO'!A:N,12,FALSE)</f>
        <v>#N/A</v>
      </c>
      <c r="AJ39" s="53" t="e">
        <f ca="1">VLOOKUP(Tableau118[[#This Row],[Key(ID-Actif)]],'DATA BTO'!A:N,14,FALSE)</f>
        <v>#N/A</v>
      </c>
      <c r="AK39" s="54" t="e">
        <f ca="1">VLOOKUP(Tableau118[[#This Row],[Key(POD -PFI- Usine)]],'DATA Consignee'!A:F,6,FALSE)</f>
        <v>#N/A</v>
      </c>
      <c r="AL39" s="127"/>
      <c r="AM39" s="438" t="str">
        <f>IF(Tableau118[[#This Row],[Name PFI/CDD]]="","-",VLOOKUP(Tableau118[[#This Row],[Name PFI/CDD]],Plant_AILN!I:J,2,FALSE))</f>
        <v>-</v>
      </c>
      <c r="AN3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" s="2" t="e">
        <f ca="1">VLOOKUP(Tableau118[[#This Row],[Key(POD -PFI- Usine)]],'DATA Consignee'!A:J,10,FALSE)</f>
        <v>#N/A</v>
      </c>
      <c r="AQ39" s="50" t="e">
        <f ca="1">VLOOKUP(Tableau118[[#This Row],[Key(POD -PFI- Usine)]],'DATA Consignee'!A:N,14,FALSE)</f>
        <v>#N/A</v>
      </c>
      <c r="AR3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" s="50" t="e">
        <f ca="1">Tableau118[[#This Row],[Transit time]]+Tableau118[[#This Row],[Time for security]]+Tableau118[[#This Row],[Time for security2 buffer]]</f>
        <v>#N/A</v>
      </c>
      <c r="AU3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" s="433" t="e">
        <f ca="1">Tableau118[[#This Row],[Leadtime SI2C]]+Tableau118[[#This Row],[First Receipt Days]]-Tableau118[[#This Row],[Day Customer Order]]+1</f>
        <v>#N/A</v>
      </c>
      <c r="AW39" s="119" t="e">
        <f ca="1">IF(Tableau118[[#This Row],[Name ILN]]&lt;&gt;"SFK Freight Forwarder",Tableau118[[#This Row],[Cust. Leadtime]],Tableau118[[#This Row],[Leadtime SI2C]])</f>
        <v>#N/A</v>
      </c>
      <c r="AX39" s="51" t="str">
        <f>VLOOKUP(Tableau118[[#This Row],[ID]],'DATA BTO'!B:P,15,FALSE)</f>
        <v>Renault &gt; Horse BPH</v>
      </c>
      <c r="AY39" s="338">
        <f ca="1">IFERROR(VLOOKUP(Tableau118[[#This Row],[Key(ID-Actif)]],'DATA BTO'!A:N,4,FALSE),VLOOKUP(Tableau118[[#This Row],[ID]],'DATA BTO'!B:N,3,FALSE))</f>
        <v>46507</v>
      </c>
      <c r="AZ39" s="50" t="str">
        <f>IF(ISNUMBER(Tableau118[[#This Row],[Day Customer Order]]),"-","Please Check 'Name' information in 'Order' Sheet to make sure they have information")</f>
        <v>-</v>
      </c>
      <c r="BA3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POL mismatch,Please Check POL in 'DATA ILN' and 'DATA BTO' to make sure they can match</v>
      </c>
      <c r="BC3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" s="50"/>
    </row>
    <row r="40" spans="2:57">
      <c r="B40" s="67" t="str">
        <f>_xlfn.CONCAT(Tableau118[[#This Row],[Name ILN]],"-",Tableau118[[#This Row],[Name Shipper]],"-",Tableau118[[#This Row],[Name Site]])</f>
        <v>KWE Shanghai-KWE Shanghai-DACIA MECA</v>
      </c>
      <c r="C40" s="67" t="e">
        <f ca="1">_xlfn.CONCAT(Tableau118[[#This Row],[Compte ILN]],"-",Tableau118[[#This Row],[Compte Shipper]],"-",Tableau118[[#This Row],[POL]],"-",Tableau118[[#This Row],[Compte Site]])</f>
        <v>#N/A</v>
      </c>
      <c r="D40" s="66" t="e">
        <f ca="1">_xlfn.CONCAT(Tableau118[[#This Row],[Compte ILN]],"-",Tableau118[[#This Row],[Compte Shipper]],"-",Tableau118[[#This Row],[POL]])</f>
        <v>#N/A</v>
      </c>
      <c r="E40" s="434" t="e">
        <f ca="1">_xlfn.CONCAT(Tableau118[[#This Row],[POL]],"-",Tableau118[[#This Row],[Carrier]],"-",Tableau118[[#This Row],[POD]])</f>
        <v>#N/A</v>
      </c>
      <c r="F40" s="66" t="str">
        <f>_xlfn.CONCAT(Tableau118[[#This Row],[ID]],"-","Next")</f>
        <v>932-Next</v>
      </c>
      <c r="G40" s="66" t="e">
        <f ca="1">_xlfn.CONCAT(Tableau118[[#This Row],[POD]],"-",Tableau118[[#This Row],[Code PFI]],"-",Tableau118[[#This Row],[Compte Site]])</f>
        <v>#N/A</v>
      </c>
      <c r="H4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0" s="435" t="str">
        <f ca="1">IF(COUNTIF(I:I,Tableau118[[#This Row],[Plant-ILN-shipper-POL-Carrier-POD-PFI]])=1,"Non","Oui")</f>
        <v>Oui</v>
      </c>
      <c r="K40" s="440" t="str">
        <f>VLOOKUP(Tableau118[[#This Row],[Name Site]],Plant_AILN!A:D,4,FALSE)</f>
        <v>ROMANIA</v>
      </c>
      <c r="L40" s="10" t="s">
        <v>162</v>
      </c>
      <c r="M40" s="439">
        <f>VLOOKUP(Tableau118[[#This Row],[Name Site]],Plant_AILN!A:C,3,FALSE)</f>
        <v>90012500</v>
      </c>
      <c r="N40" s="55">
        <f>IF(Tableau118[[#This Row],[Name PFI/CDD]]="PFI VLL",2,VLOOKUP(Tableau118[[#This Row],[Compte Site]],Order!C:D,2,FALSE))</f>
        <v>7</v>
      </c>
      <c r="O40" s="116" t="s">
        <v>62</v>
      </c>
      <c r="P40" s="365">
        <f>VLOOKUP(Tableau118[[#This Row],[Name ILN]],Plant_AILN!F:G,2,FALSE)</f>
        <v>26037000</v>
      </c>
      <c r="Q40" s="50">
        <f>VLOOKUP(Tableau118[[#This Row],[Compte ILN]],'DATA ILN'!D:I,6,FALSE)</f>
        <v>9</v>
      </c>
      <c r="R4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0" s="50" t="e">
        <f ca="1">Tableau118[[#This Row],[Day ILN Order]]+Tableau118[[#This Row],[Delivery time to ILN/Shipper]]-1</f>
        <v>#N/A</v>
      </c>
      <c r="V4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0" s="284" t="s">
        <v>62</v>
      </c>
      <c r="Y40" s="437">
        <f>IFERROR(VLOOKUP(Tableau118[[#This Row],[Name Shipper]],Plant_AILN!L:M,2,FALSE),0)</f>
        <v>26037000</v>
      </c>
      <c r="Z40" s="406">
        <v>932</v>
      </c>
      <c r="AA40" s="396" t="e">
        <f ca="1">VLOOKUP(Tableau118[[#This Row],[Key(ID-Actif)]],'DATA BTO'!A:N,5,FALSE)</f>
        <v>#N/A</v>
      </c>
      <c r="AB40" s="3" t="e">
        <f ca="1">VLOOKUP(Tableau118[[#This Row],[Key(ID-Actif)]],'DATA BTO'!A:N,6,FALSE)</f>
        <v>#N/A</v>
      </c>
      <c r="AC40" s="50" t="e">
        <f ca="1">VLOOKUP(Tableau118[[#This Row],[Key(ID-Actif)]],'DATA BTO'!A:N,7,FALSE)</f>
        <v>#N/A</v>
      </c>
      <c r="AD40" s="50" t="e">
        <f ca="1">VLOOKUP(Tableau118[[#This Row],[Key(ID-Actif)]],'DATA BTO'!A:N,8,FALSE)</f>
        <v>#N/A</v>
      </c>
      <c r="AE40" s="50" t="e">
        <f ca="1">IF(Tableau118[[#This Row],[First Day to POL]]&lt;=Tableau118[[#This Row],[Day Cut Off]],Tableau118[[#This Row],[Day ETD]],Tableau118[[#This Row],[Day ETD]]+7)</f>
        <v>#N/A</v>
      </c>
      <c r="AF40" s="50" t="e">
        <f ca="1">VLOOKUP(Tableau118[[#This Row],[Key(ID-Actif)]],'DATA BTO'!A:N,9,FALSE)</f>
        <v>#N/A</v>
      </c>
      <c r="AG40" s="3" t="e">
        <f ca="1">VLOOKUP(Tableau118[[#This Row],[Key(ID-Actif)]],'DATA BTO'!A:N,10,FALSE)</f>
        <v>#N/A</v>
      </c>
      <c r="AH40" s="3" t="e">
        <f ca="1">VLOOKUP(Tableau118[[#This Row],[Key(ID-Actif)]],'DATA BTO'!A:N,11,FALSE)</f>
        <v>#N/A</v>
      </c>
      <c r="AI40" s="50" t="e">
        <f ca="1">VLOOKUP(Tableau118[[#This Row],[Key(ID-Actif)]],'DATA BTO'!A:N,12,FALSE)</f>
        <v>#N/A</v>
      </c>
      <c r="AJ40" s="53" t="e">
        <f ca="1">VLOOKUP(Tableau118[[#This Row],[Key(ID-Actif)]],'DATA BTO'!A:N,14,FALSE)</f>
        <v>#N/A</v>
      </c>
      <c r="AK40" s="54" t="e">
        <f ca="1">VLOOKUP(Tableau118[[#This Row],[Key(POD -PFI- Usine)]],'DATA Consignee'!A:F,6,FALSE)</f>
        <v>#N/A</v>
      </c>
      <c r="AL40" s="127" t="s">
        <v>164</v>
      </c>
      <c r="AM40" s="438">
        <f>IF(Tableau118[[#This Row],[Name PFI/CDD]]="","-",VLOOKUP(Tableau118[[#This Row],[Name PFI/CDD]],Plant_AILN!I:J,2,FALSE))</f>
        <v>2839004</v>
      </c>
      <c r="AN4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0" s="2" t="e">
        <f ca="1">VLOOKUP(Tableau118[[#This Row],[Key(POD -PFI- Usine)]],'DATA Consignee'!A:J,10,FALSE)</f>
        <v>#N/A</v>
      </c>
      <c r="AQ40" s="50" t="e">
        <f ca="1">VLOOKUP(Tableau118[[#This Row],[Key(POD -PFI- Usine)]],'DATA Consignee'!A:N,14,FALSE)</f>
        <v>#N/A</v>
      </c>
      <c r="AR4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0" s="50" t="e">
        <f ca="1">Tableau118[[#This Row],[Transit time]]+Tableau118[[#This Row],[Time for security]]+Tableau118[[#This Row],[Time for security2 buffer]]</f>
        <v>#N/A</v>
      </c>
      <c r="AU4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0" s="433" t="e">
        <f ca="1">Tableau118[[#This Row],[Leadtime SI2C]]+Tableau118[[#This Row],[First Receipt Days]]-Tableau118[[#This Row],[Day Customer Order]]+1</f>
        <v>#N/A</v>
      </c>
      <c r="AW40" s="119" t="e">
        <f ca="1">IF(Tableau118[[#This Row],[Name ILN]]&lt;&gt;"SFK Freight Forwarder",Tableau118[[#This Row],[Cust. Leadtime]],Tableau118[[#This Row],[Leadtime SI2C]])</f>
        <v>#N/A</v>
      </c>
      <c r="AX40" s="51" t="str">
        <f>VLOOKUP(Tableau118[[#This Row],[ID]],'DATA BTO'!B:P,15,FALSE)</f>
        <v>Renault &gt; Horse BPH</v>
      </c>
      <c r="AY40" s="338">
        <f ca="1">IFERROR(VLOOKUP(Tableau118[[#This Row],[Key(ID-Actif)]],'DATA BTO'!A:N,4,FALSE),VLOOKUP(Tableau118[[#This Row],[ID]],'DATA BTO'!B:N,3,FALSE))</f>
        <v>45777</v>
      </c>
      <c r="AZ40" s="50" t="str">
        <f>IF(ISNUMBER(Tableau118[[#This Row],[Day Customer Order]]),"-","Please Check 'Name' information in 'Order' Sheet to make sure they have information")</f>
        <v>-</v>
      </c>
      <c r="BA4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" s="50"/>
    </row>
    <row r="41" spans="2:57">
      <c r="B41" s="67" t="str">
        <f>_xlfn.CONCAT(Tableau118[[#This Row],[Name ILN]],"-",Tableau118[[#This Row],[Name Shipper]],"-",Tableau118[[#This Row],[Name Site]])</f>
        <v>SFK Freight Forwarder-Jatco Mexique-RKM</v>
      </c>
      <c r="C41" s="67" t="e">
        <f ca="1">_xlfn.CONCAT(Tableau118[[#This Row],[Compte ILN]],"-",Tableau118[[#This Row],[Compte Shipper]],"-",Tableau118[[#This Row],[POL]],"-",Tableau118[[#This Row],[Compte Site]])</f>
        <v>#N/A</v>
      </c>
      <c r="D41" s="66" t="e">
        <f ca="1">_xlfn.CONCAT(Tableau118[[#This Row],[Compte ILN]],"-",Tableau118[[#This Row],[Compte Shipper]],"-",Tableau118[[#This Row],[POL]])</f>
        <v>#N/A</v>
      </c>
      <c r="E41" s="434" t="e">
        <f ca="1">_xlfn.CONCAT(Tableau118[[#This Row],[POL]],"-",Tableau118[[#This Row],[Carrier]],"-",Tableau118[[#This Row],[POD]])</f>
        <v>#N/A</v>
      </c>
      <c r="F41" s="66" t="str">
        <f>_xlfn.CONCAT(Tableau118[[#This Row],[ID]],"-","Next")</f>
        <v>1000-Next</v>
      </c>
      <c r="G41" s="66" t="e">
        <f ca="1">_xlfn.CONCAT(Tableau118[[#This Row],[POD]],"-",Tableau118[[#This Row],[Code PFI]],"-",Tableau118[[#This Row],[Compte Site]])</f>
        <v>#N/A</v>
      </c>
      <c r="H4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1" s="435" t="str">
        <f ca="1">IF(COUNTIF(I:I,Tableau118[[#This Row],[Plant-ILN-shipper-POL-Carrier-POD-PFI]])=1,"Non","Oui")</f>
        <v>Oui</v>
      </c>
      <c r="K41" s="440" t="str">
        <f>VLOOKUP(Tableau118[[#This Row],[Name Site]],Plant_AILN!A:D,4,FALSE)</f>
        <v>KOREA</v>
      </c>
      <c r="L41" s="10" t="s">
        <v>145</v>
      </c>
      <c r="M41" s="439">
        <f>VLOOKUP(Tableau118[[#This Row],[Name Site]],Plant_AILN!A:C,3,FALSE)</f>
        <v>92002200</v>
      </c>
      <c r="N41" s="55">
        <f>IF(Tableau118[[#This Row],[Name PFI/CDD]]="PFI VLL",2,VLOOKUP(Tableau118[[#This Row],[Compte Site]],Order!C:D,2,FALSE))</f>
        <v>2</v>
      </c>
      <c r="O41" s="116" t="s">
        <v>146</v>
      </c>
      <c r="P41" s="365">
        <f>VLOOKUP(Tableau118[[#This Row],[Name ILN]],Plant_AILN!F:G,2,FALSE)</f>
        <v>0</v>
      </c>
      <c r="Q41" s="50">
        <f>VLOOKUP(Tableau118[[#This Row],[Compte ILN]],'DATA ILN'!D:I,6,FALSE)</f>
        <v>9</v>
      </c>
      <c r="R4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1" s="50" t="e">
        <f ca="1">Tableau118[[#This Row],[Day ILN Order]]+Tableau118[[#This Row],[Delivery time to ILN/Shipper]]-1</f>
        <v>#N/A</v>
      </c>
      <c r="V4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1" s="284" t="s">
        <v>176</v>
      </c>
      <c r="Y41" s="437">
        <f>IFERROR(VLOOKUP(Tableau118[[#This Row],[Name Shipper]],Plant_AILN!L:M,2,FALSE),0)</f>
        <v>261427</v>
      </c>
      <c r="Z41" s="406">
        <v>1000</v>
      </c>
      <c r="AA41" s="396" t="e">
        <f ca="1">VLOOKUP(Tableau118[[#This Row],[Key(ID-Actif)]],'DATA BTO'!A:N,5,FALSE)</f>
        <v>#N/A</v>
      </c>
      <c r="AB41" s="3" t="e">
        <f ca="1">VLOOKUP(Tableau118[[#This Row],[Key(ID-Actif)]],'DATA BTO'!A:N,6,FALSE)</f>
        <v>#N/A</v>
      </c>
      <c r="AC41" s="50" t="e">
        <f ca="1">VLOOKUP(Tableau118[[#This Row],[Key(ID-Actif)]],'DATA BTO'!A:N,7,FALSE)</f>
        <v>#N/A</v>
      </c>
      <c r="AD41" s="50" t="e">
        <f ca="1">VLOOKUP(Tableau118[[#This Row],[Key(ID-Actif)]],'DATA BTO'!A:N,8,FALSE)</f>
        <v>#N/A</v>
      </c>
      <c r="AE41" s="50" t="e">
        <f ca="1">IF(Tableau118[[#This Row],[First Day to POL]]&lt;=Tableau118[[#This Row],[Day Cut Off]],Tableau118[[#This Row],[Day ETD]],Tableau118[[#This Row],[Day ETD]]+7)</f>
        <v>#N/A</v>
      </c>
      <c r="AF41" s="50" t="e">
        <f ca="1">VLOOKUP(Tableau118[[#This Row],[Key(ID-Actif)]],'DATA BTO'!A:N,9,FALSE)</f>
        <v>#N/A</v>
      </c>
      <c r="AG41" s="3" t="e">
        <f ca="1">VLOOKUP(Tableau118[[#This Row],[Key(ID-Actif)]],'DATA BTO'!A:N,10,FALSE)</f>
        <v>#N/A</v>
      </c>
      <c r="AH41" s="3" t="e">
        <f ca="1">VLOOKUP(Tableau118[[#This Row],[Key(ID-Actif)]],'DATA BTO'!A:N,11,FALSE)</f>
        <v>#N/A</v>
      </c>
      <c r="AI41" s="50" t="e">
        <f ca="1">VLOOKUP(Tableau118[[#This Row],[Key(ID-Actif)]],'DATA BTO'!A:N,12,FALSE)</f>
        <v>#N/A</v>
      </c>
      <c r="AJ41" s="53" t="e">
        <f ca="1">VLOOKUP(Tableau118[[#This Row],[Key(ID-Actif)]],'DATA BTO'!A:N,14,FALSE)</f>
        <v>#N/A</v>
      </c>
      <c r="AK41" s="54" t="e">
        <f ca="1">VLOOKUP(Tableau118[[#This Row],[Key(POD -PFI- Usine)]],'DATA Consignee'!A:F,6,FALSE)</f>
        <v>#N/A</v>
      </c>
      <c r="AL41" s="127"/>
      <c r="AM41" s="438" t="str">
        <f>IF(Tableau118[[#This Row],[Name PFI/CDD]]="","-",VLOOKUP(Tableau118[[#This Row],[Name PFI/CDD]],Plant_AILN!I:J,2,FALSE))</f>
        <v>-</v>
      </c>
      <c r="AN4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1" s="2" t="e">
        <f ca="1">VLOOKUP(Tableau118[[#This Row],[Key(POD -PFI- Usine)]],'DATA Consignee'!A:J,10,FALSE)</f>
        <v>#N/A</v>
      </c>
      <c r="AQ41" s="50" t="e">
        <f ca="1">VLOOKUP(Tableau118[[#This Row],[Key(POD -PFI- Usine)]],'DATA Consignee'!A:N,14,FALSE)</f>
        <v>#N/A</v>
      </c>
      <c r="AR4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1" s="50" t="e">
        <f ca="1">Tableau118[[#This Row],[Transit time]]+Tableau118[[#This Row],[Time for security]]+Tableau118[[#This Row],[Time for security2 buffer]]</f>
        <v>#N/A</v>
      </c>
      <c r="AU4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1" s="433" t="e">
        <f ca="1">Tableau118[[#This Row],[Leadtime SI2C]]+Tableau118[[#This Row],[First Receipt Days]]-Tableau118[[#This Row],[Day Customer Order]]+1</f>
        <v>#N/A</v>
      </c>
      <c r="AW41" s="119" t="e">
        <f ca="1">IF(Tableau118[[#This Row],[Name ILN]]&lt;&gt;"SFK Freight Forwarder",Tableau118[[#This Row],[Cust. Leadtime]],Tableau118[[#This Row],[Leadtime SI2C]])</f>
        <v>#N/A</v>
      </c>
      <c r="AX41" s="51" t="str">
        <f>VLOOKUP(Tableau118[[#This Row],[ID]],'DATA BTO'!B:P,15,FALSE)</f>
        <v>Horse &gt; Renault BPH (MLP)</v>
      </c>
      <c r="AY41" s="338">
        <f ca="1">IFERROR(VLOOKUP(Tableau118[[#This Row],[Key(ID-Actif)]],'DATA BTO'!A:N,4,FALSE),VLOOKUP(Tableau118[[#This Row],[ID]],'DATA BTO'!B:N,3,FALSE))</f>
        <v>46142</v>
      </c>
      <c r="AZ41" s="50" t="str">
        <f>IF(ISNUMBER(Tableau118[[#This Row],[Day Customer Order]]),"-","Please Check 'Name' information in 'Order' Sheet to make sure they have information")</f>
        <v>-</v>
      </c>
      <c r="BA4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1" s="50"/>
    </row>
    <row r="42" spans="2:57">
      <c r="B42" s="67" t="str">
        <f>_xlfn.CONCAT(Tableau118[[#This Row],[Name ILN]],"-",Tableau118[[#This Row],[Name Shipper]],"-",Tableau118[[#This Row],[Name Site]])</f>
        <v>SFK Freight Forwarder-Jatco Japon-SOFASA</v>
      </c>
      <c r="C42" s="67" t="e">
        <f ca="1">_xlfn.CONCAT(Tableau118[[#This Row],[Compte ILN]],"-",Tableau118[[#This Row],[Compte Shipper]],"-",Tableau118[[#This Row],[POL]],"-",Tableau118[[#This Row],[Compte Site]])</f>
        <v>#N/A</v>
      </c>
      <c r="D42" s="66" t="e">
        <f ca="1">_xlfn.CONCAT(Tableau118[[#This Row],[Compte ILN]],"-",Tableau118[[#This Row],[Compte Shipper]],"-",Tableau118[[#This Row],[POL]])</f>
        <v>#N/A</v>
      </c>
      <c r="E42" s="434" t="e">
        <f ca="1">_xlfn.CONCAT(Tableau118[[#This Row],[POL]],"-",Tableau118[[#This Row],[Carrier]],"-",Tableau118[[#This Row],[POD]])</f>
        <v>#N/A</v>
      </c>
      <c r="F42" s="66" t="str">
        <f>_xlfn.CONCAT(Tableau118[[#This Row],[ID]],"-","Next")</f>
        <v>1005-Next</v>
      </c>
      <c r="G42" s="66" t="e">
        <f ca="1">_xlfn.CONCAT(Tableau118[[#This Row],[POD]],"-",Tableau118[[#This Row],[Code PFI]],"-",Tableau118[[#This Row],[Compte Site]])</f>
        <v>#N/A</v>
      </c>
      <c r="H4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2" s="435" t="str">
        <f ca="1">IF(COUNTIF(I:I,Tableau118[[#This Row],[Plant-ILN-shipper-POL-Carrier-POD-PFI]])=1,"Non","Oui")</f>
        <v>Oui</v>
      </c>
      <c r="K42" s="440" t="str">
        <f>VLOOKUP(Tableau118[[#This Row],[Name Site]],Plant_AILN!A:D,4,FALSE)</f>
        <v>COLOMBIA</v>
      </c>
      <c r="L42" s="10" t="s">
        <v>177</v>
      </c>
      <c r="M42" s="439">
        <f>VLOOKUP(Tableau118[[#This Row],[Name Site]],Plant_AILN!A:C,3,FALSE)</f>
        <v>9510600</v>
      </c>
      <c r="N42" s="55">
        <f>IF(Tableau118[[#This Row],[Name PFI/CDD]]="PFI VLL",2,VLOOKUP(Tableau118[[#This Row],[Compte Site]],Order!C:D,2,FALSE))</f>
        <v>7</v>
      </c>
      <c r="O42" s="116" t="s">
        <v>146</v>
      </c>
      <c r="P42" s="365">
        <f>VLOOKUP(Tableau118[[#This Row],[Name ILN]],Plant_AILN!F:G,2,FALSE)</f>
        <v>0</v>
      </c>
      <c r="Q42" s="50">
        <f>VLOOKUP(Tableau118[[#This Row],[Compte ILN]],'DATA ILN'!D:I,6,FALSE)</f>
        <v>9</v>
      </c>
      <c r="R4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2" s="50" t="e">
        <f ca="1">Tableau118[[#This Row],[Day ILN Order]]+Tableau118[[#This Row],[Delivery time to ILN/Shipper]]-1</f>
        <v>#N/A</v>
      </c>
      <c r="V4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2" s="284" t="s">
        <v>178</v>
      </c>
      <c r="Y42" s="437">
        <f>IFERROR(VLOOKUP(Tableau118[[#This Row],[Name Shipper]],Plant_AILN!L:M,2,FALSE),0)</f>
        <v>119640</v>
      </c>
      <c r="Z42" s="406">
        <v>1005</v>
      </c>
      <c r="AA42" s="396" t="e">
        <f ca="1">VLOOKUP(Tableau118[[#This Row],[Key(ID-Actif)]],'DATA BTO'!A:N,5,FALSE)</f>
        <v>#N/A</v>
      </c>
      <c r="AB42" s="3" t="e">
        <f ca="1">VLOOKUP(Tableau118[[#This Row],[Key(ID-Actif)]],'DATA BTO'!A:N,6,FALSE)</f>
        <v>#N/A</v>
      </c>
      <c r="AC42" s="50" t="e">
        <f ca="1">VLOOKUP(Tableau118[[#This Row],[Key(ID-Actif)]],'DATA BTO'!A:N,7,FALSE)</f>
        <v>#N/A</v>
      </c>
      <c r="AD42" s="50" t="e">
        <f ca="1">VLOOKUP(Tableau118[[#This Row],[Key(ID-Actif)]],'DATA BTO'!A:N,8,FALSE)</f>
        <v>#N/A</v>
      </c>
      <c r="AE42" s="50" t="e">
        <f ca="1">IF(Tableau118[[#This Row],[First Day to POL]]&lt;=Tableau118[[#This Row],[Day Cut Off]],Tableau118[[#This Row],[Day ETD]],Tableau118[[#This Row],[Day ETD]]+7)</f>
        <v>#N/A</v>
      </c>
      <c r="AF42" s="50" t="e">
        <f ca="1">VLOOKUP(Tableau118[[#This Row],[Key(ID-Actif)]],'DATA BTO'!A:N,9,FALSE)</f>
        <v>#N/A</v>
      </c>
      <c r="AG42" s="3" t="e">
        <f ca="1">VLOOKUP(Tableau118[[#This Row],[Key(ID-Actif)]],'DATA BTO'!A:N,10,FALSE)</f>
        <v>#N/A</v>
      </c>
      <c r="AH42" s="3" t="e">
        <f ca="1">VLOOKUP(Tableau118[[#This Row],[Key(ID-Actif)]],'DATA BTO'!A:N,11,FALSE)</f>
        <v>#N/A</v>
      </c>
      <c r="AI42" s="50" t="e">
        <f ca="1">VLOOKUP(Tableau118[[#This Row],[Key(ID-Actif)]],'DATA BTO'!A:N,12,FALSE)</f>
        <v>#N/A</v>
      </c>
      <c r="AJ42" s="53" t="e">
        <f ca="1">VLOOKUP(Tableau118[[#This Row],[Key(ID-Actif)]],'DATA BTO'!A:N,14,FALSE)</f>
        <v>#N/A</v>
      </c>
      <c r="AK42" s="54" t="e">
        <f ca="1">VLOOKUP(Tableau118[[#This Row],[Key(POD -PFI- Usine)]],'DATA Consignee'!A:F,6,FALSE)</f>
        <v>#N/A</v>
      </c>
      <c r="AL42" s="127"/>
      <c r="AM42" s="438" t="str">
        <f>IF(Tableau118[[#This Row],[Name PFI/CDD]]="","-",VLOOKUP(Tableau118[[#This Row],[Name PFI/CDD]],Plant_AILN!I:J,2,FALSE))</f>
        <v>-</v>
      </c>
      <c r="AN4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2" s="2" t="e">
        <f ca="1">VLOOKUP(Tableau118[[#This Row],[Key(POD -PFI- Usine)]],'DATA Consignee'!A:J,10,FALSE)</f>
        <v>#N/A</v>
      </c>
      <c r="AQ42" s="50" t="e">
        <f ca="1">VLOOKUP(Tableau118[[#This Row],[Key(POD -PFI- Usine)]],'DATA Consignee'!A:N,14,FALSE)</f>
        <v>#N/A</v>
      </c>
      <c r="AR4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2" s="50" t="e">
        <f ca="1">Tableau118[[#This Row],[Transit time]]+Tableau118[[#This Row],[Time for security]]+Tableau118[[#This Row],[Time for security2 buffer]]</f>
        <v>#N/A</v>
      </c>
      <c r="AU4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2" s="433" t="e">
        <f ca="1">Tableau118[[#This Row],[Leadtime SI2C]]+Tableau118[[#This Row],[First Receipt Days]]-Tableau118[[#This Row],[Day Customer Order]]+1</f>
        <v>#N/A</v>
      </c>
      <c r="AW42" s="119" t="e">
        <f ca="1">IF(Tableau118[[#This Row],[Name ILN]]&lt;&gt;"SFK Freight Forwarder",Tableau118[[#This Row],[Cust. Leadtime]],Tableau118[[#This Row],[Leadtime SI2C]])</f>
        <v>#N/A</v>
      </c>
      <c r="AX42" s="51" t="str">
        <f>VLOOKUP(Tableau118[[#This Row],[ID]],'DATA BTO'!B:P,15,FALSE)</f>
        <v>Horse &gt; Renault BPH (MLP)</v>
      </c>
      <c r="AY42" s="338">
        <f ca="1">IFERROR(VLOOKUP(Tableau118[[#This Row],[Key(ID-Actif)]],'DATA BTO'!A:N,4,FALSE),VLOOKUP(Tableau118[[#This Row],[ID]],'DATA BTO'!B:N,3,FALSE))</f>
        <v>46142</v>
      </c>
      <c r="AZ42" s="50" t="str">
        <f>IF(ISNUMBER(Tableau118[[#This Row],[Day Customer Order]]),"-","Please Check 'Name' information in 'Order' Sheet to make sure they have information")</f>
        <v>-</v>
      </c>
      <c r="BA4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2" s="50"/>
    </row>
    <row r="43" spans="2:57">
      <c r="B43" s="67" t="str">
        <f>_xlfn.CONCAT(Tableau118[[#This Row],[Name ILN]],"-",Tableau118[[#This Row],[Name Shipper]],"-",Tableau118[[#This Row],[Name Site]])</f>
        <v>SFK Freight Forwarder-Jatco Japon-SOMACA</v>
      </c>
      <c r="C43" s="67" t="e">
        <f ca="1">_xlfn.CONCAT(Tableau118[[#This Row],[Compte ILN]],"-",Tableau118[[#This Row],[Compte Shipper]],"-",Tableau118[[#This Row],[POL]],"-",Tableau118[[#This Row],[Compte Site]])</f>
        <v>#N/A</v>
      </c>
      <c r="D43" s="66" t="e">
        <f ca="1">_xlfn.CONCAT(Tableau118[[#This Row],[Compte ILN]],"-",Tableau118[[#This Row],[Compte Shipper]],"-",Tableau118[[#This Row],[POL]])</f>
        <v>#N/A</v>
      </c>
      <c r="E43" s="434" t="e">
        <f ca="1">_xlfn.CONCAT(Tableau118[[#This Row],[POL]],"-",Tableau118[[#This Row],[Carrier]],"-",Tableau118[[#This Row],[POD]])</f>
        <v>#N/A</v>
      </c>
      <c r="F43" s="66" t="str">
        <f>_xlfn.CONCAT(Tableau118[[#This Row],[ID]],"-","Next")</f>
        <v>1006-Next</v>
      </c>
      <c r="G43" s="66" t="e">
        <f ca="1">_xlfn.CONCAT(Tableau118[[#This Row],[POD]],"-",Tableau118[[#This Row],[Code PFI]],"-",Tableau118[[#This Row],[Compte Site]])</f>
        <v>#N/A</v>
      </c>
      <c r="H4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3" s="435" t="str">
        <f ca="1">IF(COUNTIF(I:I,Tableau118[[#This Row],[Plant-ILN-shipper-POL-Carrier-POD-PFI]])=1,"Non","Oui")</f>
        <v>Oui</v>
      </c>
      <c r="K43" s="440" t="str">
        <f>VLOOKUP(Tableau118[[#This Row],[Name Site]],Plant_AILN!A:D,4,FALSE)</f>
        <v>MOROCCO</v>
      </c>
      <c r="L43" s="10" t="s">
        <v>179</v>
      </c>
      <c r="M43" s="439">
        <f>VLOOKUP(Tableau118[[#This Row],[Name Site]],Plant_AILN!A:C,3,FALSE)</f>
        <v>90038200</v>
      </c>
      <c r="N43" s="55">
        <f>IF(Tableau118[[#This Row],[Name PFI/CDD]]="PFI VLL",2,VLOOKUP(Tableau118[[#This Row],[Compte Site]],Order!C:D,2,FALSE))</f>
        <v>7</v>
      </c>
      <c r="O43" s="116" t="s">
        <v>146</v>
      </c>
      <c r="P43" s="365">
        <f>VLOOKUP(Tableau118[[#This Row],[Name ILN]],Plant_AILN!F:G,2,FALSE)</f>
        <v>0</v>
      </c>
      <c r="Q43" s="50">
        <f>VLOOKUP(Tableau118[[#This Row],[Compte ILN]],'DATA ILN'!D:I,6,FALSE)</f>
        <v>9</v>
      </c>
      <c r="R4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3" s="50" t="e">
        <f ca="1">Tableau118[[#This Row],[Day ILN Order]]+Tableau118[[#This Row],[Delivery time to ILN/Shipper]]-1</f>
        <v>#N/A</v>
      </c>
      <c r="V4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3" s="284" t="s">
        <v>178</v>
      </c>
      <c r="Y43" s="437">
        <f>IFERROR(VLOOKUP(Tableau118[[#This Row],[Name Shipper]],Plant_AILN!L:M,2,FALSE),0)</f>
        <v>119640</v>
      </c>
      <c r="Z43" s="406">
        <v>1006</v>
      </c>
      <c r="AA43" s="396" t="e">
        <f ca="1">VLOOKUP(Tableau118[[#This Row],[Key(ID-Actif)]],'DATA BTO'!A:N,5,FALSE)</f>
        <v>#N/A</v>
      </c>
      <c r="AB43" s="3" t="e">
        <f ca="1">VLOOKUP(Tableau118[[#This Row],[Key(ID-Actif)]],'DATA BTO'!A:N,6,FALSE)</f>
        <v>#N/A</v>
      </c>
      <c r="AC43" s="50" t="e">
        <f ca="1">VLOOKUP(Tableau118[[#This Row],[Key(ID-Actif)]],'DATA BTO'!A:N,7,FALSE)</f>
        <v>#N/A</v>
      </c>
      <c r="AD43" s="50" t="e">
        <f ca="1">VLOOKUP(Tableau118[[#This Row],[Key(ID-Actif)]],'DATA BTO'!A:N,8,FALSE)</f>
        <v>#N/A</v>
      </c>
      <c r="AE43" s="50" t="e">
        <f ca="1">IF(Tableau118[[#This Row],[First Day to POL]]&lt;=Tableau118[[#This Row],[Day Cut Off]],Tableau118[[#This Row],[Day ETD]],Tableau118[[#This Row],[Day ETD]]+7)</f>
        <v>#N/A</v>
      </c>
      <c r="AF43" s="50" t="e">
        <f ca="1">VLOOKUP(Tableau118[[#This Row],[Key(ID-Actif)]],'DATA BTO'!A:N,9,FALSE)</f>
        <v>#N/A</v>
      </c>
      <c r="AG43" s="3" t="e">
        <f ca="1">VLOOKUP(Tableau118[[#This Row],[Key(ID-Actif)]],'DATA BTO'!A:N,10,FALSE)</f>
        <v>#N/A</v>
      </c>
      <c r="AH43" s="3" t="e">
        <f ca="1">VLOOKUP(Tableau118[[#This Row],[Key(ID-Actif)]],'DATA BTO'!A:N,11,FALSE)</f>
        <v>#N/A</v>
      </c>
      <c r="AI43" s="50" t="e">
        <f ca="1">VLOOKUP(Tableau118[[#This Row],[Key(ID-Actif)]],'DATA BTO'!A:N,12,FALSE)</f>
        <v>#N/A</v>
      </c>
      <c r="AJ43" s="53" t="e">
        <f ca="1">VLOOKUP(Tableau118[[#This Row],[Key(ID-Actif)]],'DATA BTO'!A:N,14,FALSE)</f>
        <v>#N/A</v>
      </c>
      <c r="AK43" s="54" t="e">
        <f ca="1">VLOOKUP(Tableau118[[#This Row],[Key(POD -PFI- Usine)]],'DATA Consignee'!A:F,6,FALSE)</f>
        <v>#N/A</v>
      </c>
      <c r="AL43" s="127"/>
      <c r="AM43" s="438" t="str">
        <f>IF(Tableau118[[#This Row],[Name PFI/CDD]]="","-",VLOOKUP(Tableau118[[#This Row],[Name PFI/CDD]],Plant_AILN!I:J,2,FALSE))</f>
        <v>-</v>
      </c>
      <c r="AN4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3" s="2" t="e">
        <f ca="1">VLOOKUP(Tableau118[[#This Row],[Key(POD -PFI- Usine)]],'DATA Consignee'!A:J,10,FALSE)</f>
        <v>#N/A</v>
      </c>
      <c r="AQ43" s="50" t="e">
        <f ca="1">VLOOKUP(Tableau118[[#This Row],[Key(POD -PFI- Usine)]],'DATA Consignee'!A:N,14,FALSE)</f>
        <v>#N/A</v>
      </c>
      <c r="AR4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3" s="50" t="e">
        <f ca="1">Tableau118[[#This Row],[Transit time]]+Tableau118[[#This Row],[Time for security]]+Tableau118[[#This Row],[Time for security2 buffer]]</f>
        <v>#N/A</v>
      </c>
      <c r="AU4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3" s="433" t="e">
        <f ca="1">Tableau118[[#This Row],[Leadtime SI2C]]+Tableau118[[#This Row],[First Receipt Days]]-Tableau118[[#This Row],[Day Customer Order]]+1</f>
        <v>#N/A</v>
      </c>
      <c r="AW43" s="119" t="e">
        <f ca="1">IF(Tableau118[[#This Row],[Name ILN]]&lt;&gt;"SFK Freight Forwarder",Tableau118[[#This Row],[Cust. Leadtime]],Tableau118[[#This Row],[Leadtime SI2C]])</f>
        <v>#N/A</v>
      </c>
      <c r="AX43" s="51" t="str">
        <f>VLOOKUP(Tableau118[[#This Row],[ID]],'DATA BTO'!B:P,15,FALSE)</f>
        <v>Horse &gt; Renault BPH (MLP)</v>
      </c>
      <c r="AY43" s="338">
        <f ca="1">IFERROR(VLOOKUP(Tableau118[[#This Row],[Key(ID-Actif)]],'DATA BTO'!A:N,4,FALSE),VLOOKUP(Tableau118[[#This Row],[ID]],'DATA BTO'!B:N,3,FALSE))</f>
        <v>46142</v>
      </c>
      <c r="AZ43" s="50" t="str">
        <f>IF(ISNUMBER(Tableau118[[#This Row],[Day Customer Order]]),"-","Please Check 'Name' information in 'Order' Sheet to make sure they have information")</f>
        <v>-</v>
      </c>
      <c r="BA4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3" s="50"/>
    </row>
    <row r="44" spans="2:57">
      <c r="B44" s="67" t="str">
        <f>_xlfn.CONCAT(Tableau118[[#This Row],[Name ILN]],"-",Tableau118[[#This Row],[Name Shipper]],"-",Tableau118[[#This Row],[Name Site]])</f>
        <v>SFK Freight Forwarder-Jatco Japon-TANGER</v>
      </c>
      <c r="C44" s="67" t="e">
        <f ca="1">_xlfn.CONCAT(Tableau118[[#This Row],[Compte ILN]],"-",Tableau118[[#This Row],[Compte Shipper]],"-",Tableau118[[#This Row],[POL]],"-",Tableau118[[#This Row],[Compte Site]])</f>
        <v>#N/A</v>
      </c>
      <c r="D44" s="66" t="e">
        <f ca="1">_xlfn.CONCAT(Tableau118[[#This Row],[Compte ILN]],"-",Tableau118[[#This Row],[Compte Shipper]],"-",Tableau118[[#This Row],[POL]])</f>
        <v>#N/A</v>
      </c>
      <c r="E44" s="434" t="e">
        <f ca="1">_xlfn.CONCAT(Tableau118[[#This Row],[POL]],"-",Tableau118[[#This Row],[Carrier]],"-",Tableau118[[#This Row],[POD]])</f>
        <v>#N/A</v>
      </c>
      <c r="F44" s="66" t="str">
        <f>_xlfn.CONCAT(Tableau118[[#This Row],[ID]],"-","Next")</f>
        <v>1007-Next</v>
      </c>
      <c r="G44" s="66" t="e">
        <f ca="1">_xlfn.CONCAT(Tableau118[[#This Row],[POD]],"-",Tableau118[[#This Row],[Code PFI]],"-",Tableau118[[#This Row],[Compte Site]])</f>
        <v>#N/A</v>
      </c>
      <c r="H4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4" s="435" t="str">
        <f ca="1">IF(COUNTIF(I:I,Tableau118[[#This Row],[Plant-ILN-shipper-POL-Carrier-POD-PFI]])=1,"Non","Oui")</f>
        <v>Oui</v>
      </c>
      <c r="K44" s="440" t="str">
        <f>VLOOKUP(Tableau118[[#This Row],[Name Site]],Plant_AILN!A:D,4,FALSE)</f>
        <v>MOROCCO</v>
      </c>
      <c r="L44" s="10" t="s">
        <v>180</v>
      </c>
      <c r="M44" s="439">
        <f>VLOOKUP(Tableau118[[#This Row],[Name Site]],Plant_AILN!A:C,3,FALSE)</f>
        <v>900383</v>
      </c>
      <c r="N44" s="55">
        <f>IF(Tableau118[[#This Row],[Name PFI/CDD]]="PFI VLL",2,VLOOKUP(Tableau118[[#This Row],[Compte Site]],Order!C:D,2,FALSE))</f>
        <v>7</v>
      </c>
      <c r="O44" s="116" t="s">
        <v>146</v>
      </c>
      <c r="P44" s="365">
        <f>VLOOKUP(Tableau118[[#This Row],[Name ILN]],Plant_AILN!F:G,2,FALSE)</f>
        <v>0</v>
      </c>
      <c r="Q44" s="50">
        <f>VLOOKUP(Tableau118[[#This Row],[Compte ILN]],'DATA ILN'!D:I,6,FALSE)</f>
        <v>9</v>
      </c>
      <c r="R4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4" s="50" t="e">
        <f ca="1">Tableau118[[#This Row],[Day ILN Order]]+Tableau118[[#This Row],[Delivery time to ILN/Shipper]]-1</f>
        <v>#N/A</v>
      </c>
      <c r="V4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4" s="284" t="s">
        <v>178</v>
      </c>
      <c r="Y44" s="437">
        <f>IFERROR(VLOOKUP(Tableau118[[#This Row],[Name Shipper]],Plant_AILN!L:M,2,FALSE),0)</f>
        <v>119640</v>
      </c>
      <c r="Z44" s="406">
        <v>1007</v>
      </c>
      <c r="AA44" s="396" t="e">
        <f ca="1">VLOOKUP(Tableau118[[#This Row],[Key(ID-Actif)]],'DATA BTO'!A:N,5,FALSE)</f>
        <v>#N/A</v>
      </c>
      <c r="AB44" s="3" t="e">
        <f ca="1">VLOOKUP(Tableau118[[#This Row],[Key(ID-Actif)]],'DATA BTO'!A:N,6,FALSE)</f>
        <v>#N/A</v>
      </c>
      <c r="AC44" s="50" t="e">
        <f ca="1">VLOOKUP(Tableau118[[#This Row],[Key(ID-Actif)]],'DATA BTO'!A:N,7,FALSE)</f>
        <v>#N/A</v>
      </c>
      <c r="AD44" s="50" t="e">
        <f ca="1">VLOOKUP(Tableau118[[#This Row],[Key(ID-Actif)]],'DATA BTO'!A:N,8,FALSE)</f>
        <v>#N/A</v>
      </c>
      <c r="AE44" s="50" t="e">
        <f ca="1">IF(Tableau118[[#This Row],[First Day to POL]]&lt;=Tableau118[[#This Row],[Day Cut Off]],Tableau118[[#This Row],[Day ETD]],Tableau118[[#This Row],[Day ETD]]+7)</f>
        <v>#N/A</v>
      </c>
      <c r="AF44" s="50" t="e">
        <f ca="1">VLOOKUP(Tableau118[[#This Row],[Key(ID-Actif)]],'DATA BTO'!A:N,9,FALSE)</f>
        <v>#N/A</v>
      </c>
      <c r="AG44" s="3" t="e">
        <f ca="1">VLOOKUP(Tableau118[[#This Row],[Key(ID-Actif)]],'DATA BTO'!A:N,10,FALSE)</f>
        <v>#N/A</v>
      </c>
      <c r="AH44" s="3" t="e">
        <f ca="1">VLOOKUP(Tableau118[[#This Row],[Key(ID-Actif)]],'DATA BTO'!A:N,11,FALSE)</f>
        <v>#N/A</v>
      </c>
      <c r="AI44" s="50" t="e">
        <f ca="1">VLOOKUP(Tableau118[[#This Row],[Key(ID-Actif)]],'DATA BTO'!A:N,12,FALSE)</f>
        <v>#N/A</v>
      </c>
      <c r="AJ44" s="53" t="e">
        <f ca="1">VLOOKUP(Tableau118[[#This Row],[Key(ID-Actif)]],'DATA BTO'!A:N,14,FALSE)</f>
        <v>#N/A</v>
      </c>
      <c r="AK44" s="54" t="e">
        <f ca="1">VLOOKUP(Tableau118[[#This Row],[Key(POD -PFI- Usine)]],'DATA Consignee'!A:F,6,FALSE)</f>
        <v>#N/A</v>
      </c>
      <c r="AL44" s="127"/>
      <c r="AM44" s="438" t="str">
        <f>IF(Tableau118[[#This Row],[Name PFI/CDD]]="","-",VLOOKUP(Tableau118[[#This Row],[Name PFI/CDD]],Plant_AILN!I:J,2,FALSE))</f>
        <v>-</v>
      </c>
      <c r="AN4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4" s="2" t="e">
        <f ca="1">VLOOKUP(Tableau118[[#This Row],[Key(POD -PFI- Usine)]],'DATA Consignee'!A:J,10,FALSE)</f>
        <v>#N/A</v>
      </c>
      <c r="AQ44" s="50" t="e">
        <f ca="1">VLOOKUP(Tableau118[[#This Row],[Key(POD -PFI- Usine)]],'DATA Consignee'!A:N,14,FALSE)</f>
        <v>#N/A</v>
      </c>
      <c r="AR4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4" s="50" t="e">
        <f ca="1">Tableau118[[#This Row],[Transit time]]+Tableau118[[#This Row],[Time for security]]+Tableau118[[#This Row],[Time for security2 buffer]]</f>
        <v>#N/A</v>
      </c>
      <c r="AU4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4" s="433" t="e">
        <f ca="1">Tableau118[[#This Row],[Leadtime SI2C]]+Tableau118[[#This Row],[First Receipt Days]]-Tableau118[[#This Row],[Day Customer Order]]+1</f>
        <v>#N/A</v>
      </c>
      <c r="AW44" s="119" t="e">
        <f ca="1">IF(Tableau118[[#This Row],[Name ILN]]&lt;&gt;"SFK Freight Forwarder",Tableau118[[#This Row],[Cust. Leadtime]],Tableau118[[#This Row],[Leadtime SI2C]])</f>
        <v>#N/A</v>
      </c>
      <c r="AX44" s="51" t="str">
        <f>VLOOKUP(Tableau118[[#This Row],[ID]],'DATA BTO'!B:P,15,FALSE)</f>
        <v>Horse &gt; Renault BPH (MLP)</v>
      </c>
      <c r="AY44" s="338">
        <f ca="1">IFERROR(VLOOKUP(Tableau118[[#This Row],[Key(ID-Actif)]],'DATA BTO'!A:N,4,FALSE),VLOOKUP(Tableau118[[#This Row],[ID]],'DATA BTO'!B:N,3,FALSE))</f>
        <v>46142</v>
      </c>
      <c r="AZ44" s="50" t="str">
        <f>IF(ISNUMBER(Tableau118[[#This Row],[Day Customer Order]]),"-","Please Check 'Name' information in 'Order' Sheet to make sure they have information")</f>
        <v>-</v>
      </c>
      <c r="BA4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4" s="50"/>
    </row>
    <row r="45" spans="2:57">
      <c r="B45" s="67" t="str">
        <f>_xlfn.CONCAT(Tableau118[[#This Row],[Name ILN]],"-",Tableau118[[#This Row],[Name Shipper]],"-",Tableau118[[#This Row],[Name Site]])</f>
        <v>SFK Freight Forwarder-Jatco Japon-REVOZ</v>
      </c>
      <c r="C45" s="67" t="e">
        <f ca="1">_xlfn.CONCAT(Tableau118[[#This Row],[Compte ILN]],"-",Tableau118[[#This Row],[Compte Shipper]],"-",Tableau118[[#This Row],[POL]],"-",Tableau118[[#This Row],[Compte Site]])</f>
        <v>#N/A</v>
      </c>
      <c r="D45" s="66" t="e">
        <f ca="1">_xlfn.CONCAT(Tableau118[[#This Row],[Compte ILN]],"-",Tableau118[[#This Row],[Compte Shipper]],"-",Tableau118[[#This Row],[POL]])</f>
        <v>#N/A</v>
      </c>
      <c r="E45" s="434" t="e">
        <f ca="1">_xlfn.CONCAT(Tableau118[[#This Row],[POL]],"-",Tableau118[[#This Row],[Carrier]],"-",Tableau118[[#This Row],[POD]])</f>
        <v>#N/A</v>
      </c>
      <c r="F45" s="66" t="str">
        <f>_xlfn.CONCAT(Tableau118[[#This Row],[ID]],"-","Next")</f>
        <v>1009-Next</v>
      </c>
      <c r="G45" s="66" t="e">
        <f ca="1">_xlfn.CONCAT(Tableau118[[#This Row],[POD]],"-",Tableau118[[#This Row],[Code PFI]],"-",Tableau118[[#This Row],[Compte Site]])</f>
        <v>#N/A</v>
      </c>
      <c r="H4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5" s="435" t="str">
        <f ca="1">IF(COUNTIF(I:I,Tableau118[[#This Row],[Plant-ILN-shipper-POL-Carrier-POD-PFI]])=1,"Non","Oui")</f>
        <v>Oui</v>
      </c>
      <c r="K45" s="440" t="str">
        <f>VLOOKUP(Tableau118[[#This Row],[Name Site]],Plant_AILN!A:D,4,FALSE)</f>
        <v>SLOVENIA</v>
      </c>
      <c r="L45" s="10" t="s">
        <v>35</v>
      </c>
      <c r="M45" s="439">
        <f>VLOOKUP(Tableau118[[#This Row],[Name Site]],Plant_AILN!A:C,3,FALSE)</f>
        <v>90016700</v>
      </c>
      <c r="N45" s="55">
        <f>IF(Tableau118[[#This Row],[Name PFI/CDD]]="PFI VLL",2,VLOOKUP(Tableau118[[#This Row],[Compte Site]],Order!C:D,2,FALSE))</f>
        <v>7</v>
      </c>
      <c r="O45" s="116" t="s">
        <v>146</v>
      </c>
      <c r="P45" s="365">
        <f>VLOOKUP(Tableau118[[#This Row],[Name ILN]],Plant_AILN!F:G,2,FALSE)</f>
        <v>0</v>
      </c>
      <c r="Q45" s="50">
        <f>VLOOKUP(Tableau118[[#This Row],[Compte ILN]],'DATA ILN'!D:I,6,FALSE)</f>
        <v>9</v>
      </c>
      <c r="R4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5" s="50" t="e">
        <f ca="1">Tableau118[[#This Row],[Day ILN Order]]+Tableau118[[#This Row],[Delivery time to ILN/Shipper]]-1</f>
        <v>#N/A</v>
      </c>
      <c r="V4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5" s="284" t="s">
        <v>178</v>
      </c>
      <c r="Y45" s="437">
        <f>IFERROR(VLOOKUP(Tableau118[[#This Row],[Name Shipper]],Plant_AILN!L:M,2,FALSE),0)</f>
        <v>119640</v>
      </c>
      <c r="Z45" s="406">
        <v>1009</v>
      </c>
      <c r="AA45" s="396" t="e">
        <f ca="1">VLOOKUP(Tableau118[[#This Row],[Key(ID-Actif)]],'DATA BTO'!A:N,5,FALSE)</f>
        <v>#N/A</v>
      </c>
      <c r="AB45" s="3" t="e">
        <f ca="1">VLOOKUP(Tableau118[[#This Row],[Key(ID-Actif)]],'DATA BTO'!A:N,6,FALSE)</f>
        <v>#N/A</v>
      </c>
      <c r="AC45" s="50" t="e">
        <f ca="1">VLOOKUP(Tableau118[[#This Row],[Key(ID-Actif)]],'DATA BTO'!A:N,7,FALSE)</f>
        <v>#N/A</v>
      </c>
      <c r="AD45" s="50" t="e">
        <f ca="1">VLOOKUP(Tableau118[[#This Row],[Key(ID-Actif)]],'DATA BTO'!A:N,8,FALSE)</f>
        <v>#N/A</v>
      </c>
      <c r="AE45" s="50" t="e">
        <f ca="1">IF(Tableau118[[#This Row],[First Day to POL]]&lt;=Tableau118[[#This Row],[Day Cut Off]],Tableau118[[#This Row],[Day ETD]],Tableau118[[#This Row],[Day ETD]]+7)</f>
        <v>#N/A</v>
      </c>
      <c r="AF45" s="50" t="e">
        <f ca="1">VLOOKUP(Tableau118[[#This Row],[Key(ID-Actif)]],'DATA BTO'!A:N,9,FALSE)</f>
        <v>#N/A</v>
      </c>
      <c r="AG45" s="3" t="e">
        <f ca="1">VLOOKUP(Tableau118[[#This Row],[Key(ID-Actif)]],'DATA BTO'!A:N,10,FALSE)</f>
        <v>#N/A</v>
      </c>
      <c r="AH45" s="3" t="e">
        <f ca="1">VLOOKUP(Tableau118[[#This Row],[Key(ID-Actif)]],'DATA BTO'!A:N,11,FALSE)</f>
        <v>#N/A</v>
      </c>
      <c r="AI45" s="50" t="e">
        <f ca="1">VLOOKUP(Tableau118[[#This Row],[Key(ID-Actif)]],'DATA BTO'!A:N,12,FALSE)</f>
        <v>#N/A</v>
      </c>
      <c r="AJ45" s="53" t="e">
        <f ca="1">VLOOKUP(Tableau118[[#This Row],[Key(ID-Actif)]],'DATA BTO'!A:N,14,FALSE)</f>
        <v>#N/A</v>
      </c>
      <c r="AK45" s="54" t="e">
        <f ca="1">VLOOKUP(Tableau118[[#This Row],[Key(POD -PFI- Usine)]],'DATA Consignee'!A:F,6,FALSE)</f>
        <v>#N/A</v>
      </c>
      <c r="AL45" s="127"/>
      <c r="AM45" s="438" t="str">
        <f>IF(Tableau118[[#This Row],[Name PFI/CDD]]="","-",VLOOKUP(Tableau118[[#This Row],[Name PFI/CDD]],Plant_AILN!I:J,2,FALSE))</f>
        <v>-</v>
      </c>
      <c r="AN4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5" s="2" t="e">
        <f ca="1">VLOOKUP(Tableau118[[#This Row],[Key(POD -PFI- Usine)]],'DATA Consignee'!A:J,10,FALSE)</f>
        <v>#N/A</v>
      </c>
      <c r="AQ45" s="50" t="e">
        <f ca="1">VLOOKUP(Tableau118[[#This Row],[Key(POD -PFI- Usine)]],'DATA Consignee'!A:N,14,FALSE)</f>
        <v>#N/A</v>
      </c>
      <c r="AR4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5" s="50" t="e">
        <f ca="1">Tableau118[[#This Row],[Transit time]]+Tableau118[[#This Row],[Time for security]]+Tableau118[[#This Row],[Time for security2 buffer]]</f>
        <v>#N/A</v>
      </c>
      <c r="AU4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5" s="433" t="e">
        <f ca="1">Tableau118[[#This Row],[Leadtime SI2C]]+Tableau118[[#This Row],[First Receipt Days]]-Tableau118[[#This Row],[Day Customer Order]]+1</f>
        <v>#N/A</v>
      </c>
      <c r="AW45" s="119" t="e">
        <f ca="1">IF(Tableau118[[#This Row],[Name ILN]]&lt;&gt;"SFK Freight Forwarder",Tableau118[[#This Row],[Cust. Leadtime]],Tableau118[[#This Row],[Leadtime SI2C]])</f>
        <v>#N/A</v>
      </c>
      <c r="AX45" s="51" t="str">
        <f>VLOOKUP(Tableau118[[#This Row],[ID]],'DATA BTO'!B:P,15,FALSE)</f>
        <v>Horse &gt; Renault BPH (MLP)</v>
      </c>
      <c r="AY45" s="338">
        <f ca="1">IFERROR(VLOOKUP(Tableau118[[#This Row],[Key(ID-Actif)]],'DATA BTO'!A:N,4,FALSE),VLOOKUP(Tableau118[[#This Row],[ID]],'DATA BTO'!B:N,3,FALSE))</f>
        <v>46142</v>
      </c>
      <c r="AZ45" s="50" t="str">
        <f>IF(ISNUMBER(Tableau118[[#This Row],[Day Customer Order]]),"-","Please Check 'Name' information in 'Order' Sheet to make sure they have information")</f>
        <v>-</v>
      </c>
      <c r="BA4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5" s="50"/>
    </row>
    <row r="46" spans="2:57">
      <c r="B46" s="67" t="str">
        <f>_xlfn.CONCAT(Tableau118[[#This Row],[Name ILN]],"-",Tableau118[[#This Row],[Name Shipper]],"-",Tableau118[[#This Row],[Name Site]])</f>
        <v>SFK Freight Forwarder-Jatco Japon-OYAK MONT</v>
      </c>
      <c r="C46" s="67" t="e">
        <f ca="1">_xlfn.CONCAT(Tableau118[[#This Row],[Compte ILN]],"-",Tableau118[[#This Row],[Compte Shipper]],"-",Tableau118[[#This Row],[POL]],"-",Tableau118[[#This Row],[Compte Site]])</f>
        <v>#N/A</v>
      </c>
      <c r="D46" s="66" t="e">
        <f ca="1">_xlfn.CONCAT(Tableau118[[#This Row],[Compte ILN]],"-",Tableau118[[#This Row],[Compte Shipper]],"-",Tableau118[[#This Row],[POL]])</f>
        <v>#N/A</v>
      </c>
      <c r="E46" s="434" t="e">
        <f ca="1">_xlfn.CONCAT(Tableau118[[#This Row],[POL]],"-",Tableau118[[#This Row],[Carrier]],"-",Tableau118[[#This Row],[POD]])</f>
        <v>#N/A</v>
      </c>
      <c r="F46" s="66" t="str">
        <f>_xlfn.CONCAT(Tableau118[[#This Row],[ID]],"-","Next")</f>
        <v>1010-Next</v>
      </c>
      <c r="G46" s="66" t="e">
        <f ca="1">_xlfn.CONCAT(Tableau118[[#This Row],[POD]],"-",Tableau118[[#This Row],[Code PFI]],"-",Tableau118[[#This Row],[Compte Site]])</f>
        <v>#N/A</v>
      </c>
      <c r="H4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6" s="435" t="str">
        <f ca="1">IF(COUNTIF(I:I,Tableau118[[#This Row],[Plant-ILN-shipper-POL-Carrier-POD-PFI]])=1,"Non","Oui")</f>
        <v>Oui</v>
      </c>
      <c r="K46" s="436" t="str">
        <f>VLOOKUP(Tableau118[[#This Row],[Name Site]],Plant_AILN!A:D,4,FALSE)</f>
        <v>TURKEY</v>
      </c>
      <c r="L46" s="285" t="s">
        <v>173</v>
      </c>
      <c r="M46" s="439">
        <f>VLOOKUP(Tableau118[[#This Row],[Name Site]],Plant_AILN!A:C,3,FALSE)</f>
        <v>90017000</v>
      </c>
      <c r="N46" s="55">
        <f>IF(Tableau118[[#This Row],[Name PFI/CDD]]="PFI VLL",2,VLOOKUP(Tableau118[[#This Row],[Compte Site]],Order!C:D,2,FALSE))</f>
        <v>7</v>
      </c>
      <c r="O46" s="116" t="s">
        <v>146</v>
      </c>
      <c r="P46" s="365">
        <f>VLOOKUP(Tableau118[[#This Row],[Name ILN]],Plant_AILN!F:G,2,FALSE)</f>
        <v>0</v>
      </c>
      <c r="Q46" s="50">
        <f>VLOOKUP(Tableau118[[#This Row],[Compte ILN]],'DATA ILN'!D:I,6,FALSE)</f>
        <v>9</v>
      </c>
      <c r="R4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6" s="50" t="e">
        <f ca="1">Tableau118[[#This Row],[Day ILN Order]]+Tableau118[[#This Row],[Delivery time to ILN/Shipper]]-1</f>
        <v>#N/A</v>
      </c>
      <c r="V4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6" s="284" t="s">
        <v>178</v>
      </c>
      <c r="Y46" s="437">
        <f>IFERROR(VLOOKUP(Tableau118[[#This Row],[Name Shipper]],Plant_AILN!L:M,2,FALSE),0)</f>
        <v>119640</v>
      </c>
      <c r="Z46" s="406">
        <v>1010</v>
      </c>
      <c r="AA46" s="396" t="e">
        <f ca="1">VLOOKUP(Tableau118[[#This Row],[Key(ID-Actif)]],'DATA BTO'!A:N,5,FALSE)</f>
        <v>#N/A</v>
      </c>
      <c r="AB46" s="3" t="e">
        <f ca="1">VLOOKUP(Tableau118[[#This Row],[Key(ID-Actif)]],'DATA BTO'!A:N,6,FALSE)</f>
        <v>#N/A</v>
      </c>
      <c r="AC46" s="50" t="e">
        <f ca="1">VLOOKUP(Tableau118[[#This Row],[Key(ID-Actif)]],'DATA BTO'!A:N,7,FALSE)</f>
        <v>#N/A</v>
      </c>
      <c r="AD46" s="50" t="e">
        <f ca="1">VLOOKUP(Tableau118[[#This Row],[Key(ID-Actif)]],'DATA BTO'!A:N,8,FALSE)</f>
        <v>#N/A</v>
      </c>
      <c r="AE46" s="50" t="e">
        <f ca="1">IF(Tableau118[[#This Row],[First Day to POL]]&lt;=Tableau118[[#This Row],[Day Cut Off]],Tableau118[[#This Row],[Day ETD]],Tableau118[[#This Row],[Day ETD]]+7)</f>
        <v>#N/A</v>
      </c>
      <c r="AF46" s="50" t="e">
        <f ca="1">VLOOKUP(Tableau118[[#This Row],[Key(ID-Actif)]],'DATA BTO'!A:N,9,FALSE)</f>
        <v>#N/A</v>
      </c>
      <c r="AG46" s="3" t="e">
        <f ca="1">VLOOKUP(Tableau118[[#This Row],[Key(ID-Actif)]],'DATA BTO'!A:N,10,FALSE)</f>
        <v>#N/A</v>
      </c>
      <c r="AH46" s="3" t="e">
        <f ca="1">VLOOKUP(Tableau118[[#This Row],[Key(ID-Actif)]],'DATA BTO'!A:N,11,FALSE)</f>
        <v>#N/A</v>
      </c>
      <c r="AI46" s="50" t="e">
        <f ca="1">VLOOKUP(Tableau118[[#This Row],[Key(ID-Actif)]],'DATA BTO'!A:N,12,FALSE)</f>
        <v>#N/A</v>
      </c>
      <c r="AJ46" s="53" t="e">
        <f ca="1">VLOOKUP(Tableau118[[#This Row],[Key(ID-Actif)]],'DATA BTO'!A:N,14,FALSE)</f>
        <v>#N/A</v>
      </c>
      <c r="AK46" s="54" t="e">
        <f ca="1">VLOOKUP(Tableau118[[#This Row],[Key(POD -PFI- Usine)]],'DATA Consignee'!A:F,6,FALSE)</f>
        <v>#N/A</v>
      </c>
      <c r="AL46" s="127"/>
      <c r="AM46" s="438" t="str">
        <f>IF(Tableau118[[#This Row],[Name PFI/CDD]]="","-",VLOOKUP(Tableau118[[#This Row],[Name PFI/CDD]],Plant_AILN!I:J,2,FALSE))</f>
        <v>-</v>
      </c>
      <c r="AN4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6" s="2" t="e">
        <f ca="1">VLOOKUP(Tableau118[[#This Row],[Key(POD -PFI- Usine)]],'DATA Consignee'!A:J,10,FALSE)</f>
        <v>#N/A</v>
      </c>
      <c r="AQ46" s="50" t="e">
        <f ca="1">VLOOKUP(Tableau118[[#This Row],[Key(POD -PFI- Usine)]],'DATA Consignee'!A:N,14,FALSE)</f>
        <v>#N/A</v>
      </c>
      <c r="AR4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6" s="50" t="e">
        <f ca="1">Tableau118[[#This Row],[Transit time]]+Tableau118[[#This Row],[Time for security]]+Tableau118[[#This Row],[Time for security2 buffer]]</f>
        <v>#N/A</v>
      </c>
      <c r="AU4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6" s="433" t="e">
        <f ca="1">Tableau118[[#This Row],[Leadtime SI2C]]+Tableau118[[#This Row],[First Receipt Days]]-Tableau118[[#This Row],[Day Customer Order]]+1</f>
        <v>#N/A</v>
      </c>
      <c r="AW46" s="119" t="e">
        <f ca="1">IF(Tableau118[[#This Row],[Name ILN]]&lt;&gt;"SFK Freight Forwarder",Tableau118[[#This Row],[Cust. Leadtime]],Tableau118[[#This Row],[Leadtime SI2C]])</f>
        <v>#N/A</v>
      </c>
      <c r="AX46" s="51" t="str">
        <f>VLOOKUP(Tableau118[[#This Row],[ID]],'DATA BTO'!B:P,15,FALSE)</f>
        <v>Horse &gt; Renault BPH (MLP)</v>
      </c>
      <c r="AY46" s="338">
        <f ca="1">IFERROR(VLOOKUP(Tableau118[[#This Row],[Key(ID-Actif)]],'DATA BTO'!A:N,4,FALSE),VLOOKUP(Tableau118[[#This Row],[ID]],'DATA BTO'!B:N,3,FALSE))</f>
        <v>46142</v>
      </c>
      <c r="AZ46" s="50" t="str">
        <f>IF(ISNUMBER(Tableau118[[#This Row],[Day Customer Order]]),"-","Please Check 'Name' information in 'Order' Sheet to make sure they have information")</f>
        <v>-</v>
      </c>
      <c r="BA4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6" s="50"/>
    </row>
    <row r="47" spans="2:57">
      <c r="B47" s="67" t="str">
        <f>_xlfn.CONCAT(Tableau118[[#This Row],[Name ILN]],"-",Tableau118[[#This Row],[Name Shipper]],"-",Tableau118[[#This Row],[Name Site]])</f>
        <v>SFK Freight Forwarder-Jatco Japon-RKM</v>
      </c>
      <c r="C47" s="67" t="e">
        <f ca="1">_xlfn.CONCAT(Tableau118[[#This Row],[Compte ILN]],"-",Tableau118[[#This Row],[Compte Shipper]],"-",Tableau118[[#This Row],[POL]],"-",Tableau118[[#This Row],[Compte Site]])</f>
        <v>#N/A</v>
      </c>
      <c r="D47" s="66" t="e">
        <f ca="1">_xlfn.CONCAT(Tableau118[[#This Row],[Compte ILN]],"-",Tableau118[[#This Row],[Compte Shipper]],"-",Tableau118[[#This Row],[POL]])</f>
        <v>#N/A</v>
      </c>
      <c r="E47" s="434" t="e">
        <f ca="1">_xlfn.CONCAT(Tableau118[[#This Row],[POL]],"-",Tableau118[[#This Row],[Carrier]],"-",Tableau118[[#This Row],[POD]])</f>
        <v>#N/A</v>
      </c>
      <c r="F47" s="66" t="str">
        <f>_xlfn.CONCAT(Tableau118[[#This Row],[ID]],"-","Next")</f>
        <v>1011-Next</v>
      </c>
      <c r="G47" s="66" t="e">
        <f ca="1">_xlfn.CONCAT(Tableau118[[#This Row],[POD]],"-",Tableau118[[#This Row],[Code PFI]],"-",Tableau118[[#This Row],[Compte Site]])</f>
        <v>#N/A</v>
      </c>
      <c r="H4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7" s="435" t="str">
        <f ca="1">IF(COUNTIF(I:I,Tableau118[[#This Row],[Plant-ILN-shipper-POL-Carrier-POD-PFI]])=1,"Non","Oui")</f>
        <v>Oui</v>
      </c>
      <c r="K47" s="436" t="str">
        <f>VLOOKUP(Tableau118[[#This Row],[Name Site]],Plant_AILN!A:D,4,FALSE)</f>
        <v>KOREA</v>
      </c>
      <c r="L47" s="285" t="s">
        <v>145</v>
      </c>
      <c r="M47" s="431">
        <f>VLOOKUP(Tableau118[[#This Row],[Name Site]],Plant_AILN!A:C,3,FALSE)</f>
        <v>92002200</v>
      </c>
      <c r="N47" s="55">
        <f>IF(Tableau118[[#This Row],[Name PFI/CDD]]="PFI VLL",2,VLOOKUP(Tableau118[[#This Row],[Compte Site]],Order!C:D,2,FALSE))</f>
        <v>2</v>
      </c>
      <c r="O47" s="116" t="s">
        <v>146</v>
      </c>
      <c r="P47" s="365">
        <f>VLOOKUP(Tableau118[[#This Row],[Name ILN]],Plant_AILN!F:G,2,FALSE)</f>
        <v>0</v>
      </c>
      <c r="Q47" s="50">
        <f>VLOOKUP(Tableau118[[#This Row],[Compte ILN]],'DATA ILN'!D:I,6,FALSE)</f>
        <v>9</v>
      </c>
      <c r="R4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7" s="50" t="e">
        <f ca="1">Tableau118[[#This Row],[Day ILN Order]]+Tableau118[[#This Row],[Delivery time to ILN/Shipper]]-1</f>
        <v>#N/A</v>
      </c>
      <c r="V4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7" s="284" t="s">
        <v>178</v>
      </c>
      <c r="Y47" s="437">
        <f>IFERROR(VLOOKUP(Tableau118[[#This Row],[Name Shipper]],Plant_AILN!L:M,2,FALSE),0)</f>
        <v>119640</v>
      </c>
      <c r="Z47" s="406">
        <v>1011</v>
      </c>
      <c r="AA47" s="396" t="e">
        <f ca="1">VLOOKUP(Tableau118[[#This Row],[Key(ID-Actif)]],'DATA BTO'!A:N,5,FALSE)</f>
        <v>#N/A</v>
      </c>
      <c r="AB47" s="3" t="e">
        <f ca="1">VLOOKUP(Tableau118[[#This Row],[Key(ID-Actif)]],'DATA BTO'!A:N,6,FALSE)</f>
        <v>#N/A</v>
      </c>
      <c r="AC47" s="50" t="e">
        <f ca="1">VLOOKUP(Tableau118[[#This Row],[Key(ID-Actif)]],'DATA BTO'!A:N,7,FALSE)</f>
        <v>#N/A</v>
      </c>
      <c r="AD47" s="50" t="e">
        <f ca="1">VLOOKUP(Tableau118[[#This Row],[Key(ID-Actif)]],'DATA BTO'!A:N,8,FALSE)</f>
        <v>#N/A</v>
      </c>
      <c r="AE47" s="50" t="e">
        <f ca="1">IF(Tableau118[[#This Row],[First Day to POL]]&lt;=Tableau118[[#This Row],[Day Cut Off]],Tableau118[[#This Row],[Day ETD]],Tableau118[[#This Row],[Day ETD]]+7)</f>
        <v>#N/A</v>
      </c>
      <c r="AF47" s="50" t="e">
        <f ca="1">VLOOKUP(Tableau118[[#This Row],[Key(ID-Actif)]],'DATA BTO'!A:N,9,FALSE)</f>
        <v>#N/A</v>
      </c>
      <c r="AG47" s="3" t="e">
        <f ca="1">VLOOKUP(Tableau118[[#This Row],[Key(ID-Actif)]],'DATA BTO'!A:N,10,FALSE)</f>
        <v>#N/A</v>
      </c>
      <c r="AH47" s="3" t="e">
        <f ca="1">VLOOKUP(Tableau118[[#This Row],[Key(ID-Actif)]],'DATA BTO'!A:N,11,FALSE)</f>
        <v>#N/A</v>
      </c>
      <c r="AI47" s="50" t="e">
        <f ca="1">VLOOKUP(Tableau118[[#This Row],[Key(ID-Actif)]],'DATA BTO'!A:N,12,FALSE)</f>
        <v>#N/A</v>
      </c>
      <c r="AJ47" s="53" t="e">
        <f ca="1">VLOOKUP(Tableau118[[#This Row],[Key(ID-Actif)]],'DATA BTO'!A:N,14,FALSE)</f>
        <v>#N/A</v>
      </c>
      <c r="AK47" s="54" t="e">
        <f ca="1">VLOOKUP(Tableau118[[#This Row],[Key(POD -PFI- Usine)]],'DATA Consignee'!A:F,6,FALSE)</f>
        <v>#N/A</v>
      </c>
      <c r="AL47" s="127"/>
      <c r="AM47" s="438" t="str">
        <f>IF(Tableau118[[#This Row],[Name PFI/CDD]]="","-",VLOOKUP(Tableau118[[#This Row],[Name PFI/CDD]],Plant_AILN!I:J,2,FALSE))</f>
        <v>-</v>
      </c>
      <c r="AN4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7" s="2" t="e">
        <f ca="1">VLOOKUP(Tableau118[[#This Row],[Key(POD -PFI- Usine)]],'DATA Consignee'!A:J,10,FALSE)</f>
        <v>#N/A</v>
      </c>
      <c r="AQ47" s="50" t="e">
        <f ca="1">VLOOKUP(Tableau118[[#This Row],[Key(POD -PFI- Usine)]],'DATA Consignee'!A:N,14,FALSE)</f>
        <v>#N/A</v>
      </c>
      <c r="AR4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7" s="50" t="e">
        <f ca="1">Tableau118[[#This Row],[Transit time]]+Tableau118[[#This Row],[Time for security]]+Tableau118[[#This Row],[Time for security2 buffer]]</f>
        <v>#N/A</v>
      </c>
      <c r="AU4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7" s="433" t="e">
        <f ca="1">Tableau118[[#This Row],[Leadtime SI2C]]+Tableau118[[#This Row],[First Receipt Days]]-Tableau118[[#This Row],[Day Customer Order]]+1</f>
        <v>#N/A</v>
      </c>
      <c r="AW47" s="119" t="e">
        <f ca="1">IF(Tableau118[[#This Row],[Name ILN]]&lt;&gt;"SFK Freight Forwarder",Tableau118[[#This Row],[Cust. Leadtime]],Tableau118[[#This Row],[Leadtime SI2C]])</f>
        <v>#N/A</v>
      </c>
      <c r="AX47" s="51" t="str">
        <f>VLOOKUP(Tableau118[[#This Row],[ID]],'DATA BTO'!B:P,15,FALSE)</f>
        <v>Horse &gt; Renault BPH (MLP)</v>
      </c>
      <c r="AY47" s="338">
        <f ca="1">IFERROR(VLOOKUP(Tableau118[[#This Row],[Key(ID-Actif)]],'DATA BTO'!A:N,4,FALSE),VLOOKUP(Tableau118[[#This Row],[ID]],'DATA BTO'!B:N,3,FALSE))</f>
        <v>46142</v>
      </c>
      <c r="AZ47" s="50" t="str">
        <f>IF(ISNUMBER(Tableau118[[#This Row],[Day Customer Order]]),"-","Please Check 'Name' information in 'Order' Sheet to make sure they have information")</f>
        <v>-</v>
      </c>
      <c r="BA4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7" s="50"/>
    </row>
    <row r="48" spans="2:57">
      <c r="B48" s="67" t="str">
        <f>_xlfn.CONCAT(Tableau118[[#This Row],[Name ILN]],"-",Tableau118[[#This Row],[Name Shipper]],"-",Tableau118[[#This Row],[Name Site]])</f>
        <v>SFK Freight Forwarder-Jatco Japon-CURITIBA CVP</v>
      </c>
      <c r="C48" s="67" t="e">
        <f ca="1">_xlfn.CONCAT(Tableau118[[#This Row],[Compte ILN]],"-",Tableau118[[#This Row],[Compte Shipper]],"-",Tableau118[[#This Row],[POL]],"-",Tableau118[[#This Row],[Compte Site]])</f>
        <v>#N/A</v>
      </c>
      <c r="D48" s="66" t="e">
        <f ca="1">_xlfn.CONCAT(Tableau118[[#This Row],[Compte ILN]],"-",Tableau118[[#This Row],[Compte Shipper]],"-",Tableau118[[#This Row],[POL]])</f>
        <v>#N/A</v>
      </c>
      <c r="E48" s="434" t="e">
        <f ca="1">_xlfn.CONCAT(Tableau118[[#This Row],[POL]],"-",Tableau118[[#This Row],[Carrier]],"-",Tableau118[[#This Row],[POD]])</f>
        <v>#N/A</v>
      </c>
      <c r="F48" s="66" t="str">
        <f>_xlfn.CONCAT(Tableau118[[#This Row],[ID]],"-","Next")</f>
        <v>1012-Next</v>
      </c>
      <c r="G48" s="66" t="e">
        <f ca="1">_xlfn.CONCAT(Tableau118[[#This Row],[POD]],"-",Tableau118[[#This Row],[Code PFI]],"-",Tableau118[[#This Row],[Compte Site]])</f>
        <v>#N/A</v>
      </c>
      <c r="H4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8" s="435" t="str">
        <f ca="1">IF(COUNTIF(I:I,Tableau118[[#This Row],[Plant-ILN-shipper-POL-Carrier-POD-PFI]])=1,"Non","Oui")</f>
        <v>Oui</v>
      </c>
      <c r="K48" s="436" t="str">
        <f>VLOOKUP(Tableau118[[#This Row],[Name Site]],Plant_AILN!A:D,4,FALSE)</f>
        <v>BRAZIL</v>
      </c>
      <c r="L48" s="411" t="s">
        <v>181</v>
      </c>
      <c r="M48" s="439">
        <f>VLOOKUP(Tableau118[[#This Row],[Name Site]],Plant_AILN!A:C,3,FALSE)</f>
        <v>90018000</v>
      </c>
      <c r="N48" s="55">
        <f>IF(Tableau118[[#This Row],[Name PFI/CDD]]="PFI VLL",2,VLOOKUP(Tableau118[[#This Row],[Compte Site]],Order!C:D,2,FALSE))</f>
        <v>7</v>
      </c>
      <c r="O48" s="116" t="s">
        <v>146</v>
      </c>
      <c r="P48" s="365">
        <f>VLOOKUP(Tableau118[[#This Row],[Name ILN]],Plant_AILN!F:G,2,FALSE)</f>
        <v>0</v>
      </c>
      <c r="Q48" s="50">
        <f>VLOOKUP(Tableau118[[#This Row],[Compte ILN]],'DATA ILN'!D:I,6,FALSE)</f>
        <v>9</v>
      </c>
      <c r="R4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8" s="50" t="e">
        <f ca="1">Tableau118[[#This Row],[Day ILN Order]]+Tableau118[[#This Row],[Delivery time to ILN/Shipper]]-1</f>
        <v>#N/A</v>
      </c>
      <c r="V4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8" s="284" t="s">
        <v>178</v>
      </c>
      <c r="Y48" s="437">
        <f>IFERROR(VLOOKUP(Tableau118[[#This Row],[Name Shipper]],Plant_AILN!L:M,2,FALSE),0)</f>
        <v>119640</v>
      </c>
      <c r="Z48" s="406">
        <v>1012</v>
      </c>
      <c r="AA48" s="396" t="e">
        <f ca="1">VLOOKUP(Tableau118[[#This Row],[Key(ID-Actif)]],'DATA BTO'!A:N,5,FALSE)</f>
        <v>#N/A</v>
      </c>
      <c r="AB48" s="3" t="e">
        <f ca="1">VLOOKUP(Tableau118[[#This Row],[Key(ID-Actif)]],'DATA BTO'!A:N,6,FALSE)</f>
        <v>#N/A</v>
      </c>
      <c r="AC48" s="50" t="e">
        <f ca="1">VLOOKUP(Tableau118[[#This Row],[Key(ID-Actif)]],'DATA BTO'!A:N,7,FALSE)</f>
        <v>#N/A</v>
      </c>
      <c r="AD48" s="50" t="e">
        <f ca="1">VLOOKUP(Tableau118[[#This Row],[Key(ID-Actif)]],'DATA BTO'!A:N,8,FALSE)</f>
        <v>#N/A</v>
      </c>
      <c r="AE48" s="50" t="e">
        <f ca="1">IF(Tableau118[[#This Row],[First Day to POL]]&lt;=Tableau118[[#This Row],[Day Cut Off]],Tableau118[[#This Row],[Day ETD]],Tableau118[[#This Row],[Day ETD]]+7)</f>
        <v>#N/A</v>
      </c>
      <c r="AF48" s="50" t="e">
        <f ca="1">VLOOKUP(Tableau118[[#This Row],[Key(ID-Actif)]],'DATA BTO'!A:N,9,FALSE)</f>
        <v>#N/A</v>
      </c>
      <c r="AG48" s="3" t="e">
        <f ca="1">VLOOKUP(Tableau118[[#This Row],[Key(ID-Actif)]],'DATA BTO'!A:N,10,FALSE)</f>
        <v>#N/A</v>
      </c>
      <c r="AH48" s="3" t="e">
        <f ca="1">VLOOKUP(Tableau118[[#This Row],[Key(ID-Actif)]],'DATA BTO'!A:N,11,FALSE)</f>
        <v>#N/A</v>
      </c>
      <c r="AI48" s="50" t="e">
        <f ca="1">VLOOKUP(Tableau118[[#This Row],[Key(ID-Actif)]],'DATA BTO'!A:N,12,FALSE)</f>
        <v>#N/A</v>
      </c>
      <c r="AJ48" s="53" t="e">
        <f ca="1">VLOOKUP(Tableau118[[#This Row],[Key(ID-Actif)]],'DATA BTO'!A:N,14,FALSE)</f>
        <v>#N/A</v>
      </c>
      <c r="AK48" s="54" t="e">
        <f ca="1">VLOOKUP(Tableau118[[#This Row],[Key(POD -PFI- Usine)]],'DATA Consignee'!A:F,6,FALSE)</f>
        <v>#N/A</v>
      </c>
      <c r="AL48" s="127"/>
      <c r="AM48" s="438" t="str">
        <f>IF(Tableau118[[#This Row],[Name PFI/CDD]]="","-",VLOOKUP(Tableau118[[#This Row],[Name PFI/CDD]],Plant_AILN!I:J,2,FALSE))</f>
        <v>-</v>
      </c>
      <c r="AN4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8" s="2" t="e">
        <f ca="1">VLOOKUP(Tableau118[[#This Row],[Key(POD -PFI- Usine)]],'DATA Consignee'!A:J,10,FALSE)</f>
        <v>#N/A</v>
      </c>
      <c r="AQ48" s="50" t="e">
        <f ca="1">VLOOKUP(Tableau118[[#This Row],[Key(POD -PFI- Usine)]],'DATA Consignee'!A:N,14,FALSE)</f>
        <v>#N/A</v>
      </c>
      <c r="AR4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8" s="50" t="e">
        <f ca="1">Tableau118[[#This Row],[Transit time]]+Tableau118[[#This Row],[Time for security]]+Tableau118[[#This Row],[Time for security2 buffer]]</f>
        <v>#N/A</v>
      </c>
      <c r="AU4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8" s="433" t="e">
        <f ca="1">Tableau118[[#This Row],[Leadtime SI2C]]+Tableau118[[#This Row],[First Receipt Days]]-Tableau118[[#This Row],[Day Customer Order]]+1</f>
        <v>#N/A</v>
      </c>
      <c r="AW48" s="119" t="e">
        <f ca="1">IF(Tableau118[[#This Row],[Name ILN]]&lt;&gt;"SFK Freight Forwarder",Tableau118[[#This Row],[Cust. Leadtime]],Tableau118[[#This Row],[Leadtime SI2C]])</f>
        <v>#N/A</v>
      </c>
      <c r="AX48" s="51" t="str">
        <f>VLOOKUP(Tableau118[[#This Row],[ID]],'DATA BTO'!B:P,15,FALSE)</f>
        <v>Horse &gt; Renault BPH (MLP)</v>
      </c>
      <c r="AY48" s="338">
        <f ca="1">IFERROR(VLOOKUP(Tableau118[[#This Row],[Key(ID-Actif)]],'DATA BTO'!A:N,4,FALSE),VLOOKUP(Tableau118[[#This Row],[ID]],'DATA BTO'!B:N,3,FALSE))</f>
        <v>46142</v>
      </c>
      <c r="AZ48" s="50" t="str">
        <f>IF(ISNUMBER(Tableau118[[#This Row],[Day Customer Order]]),"-","Please Check 'Name' information in 'Order' Sheet to make sure they have information")</f>
        <v>-</v>
      </c>
      <c r="BA4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8" s="50"/>
    </row>
    <row r="49" spans="2:57">
      <c r="B49" s="67" t="str">
        <f>_xlfn.CONCAT(Tableau118[[#This Row],[Name ILN]],"-",Tableau118[[#This Row],[Name Shipper]],"-",Tableau118[[#This Row],[Name Site]])</f>
        <v>SFK Freight Forwarder-Jatco Mexique-SOFASA</v>
      </c>
      <c r="C49" s="67" t="e">
        <f ca="1">_xlfn.CONCAT(Tableau118[[#This Row],[Compte ILN]],"-",Tableau118[[#This Row],[Compte Shipper]],"-",Tableau118[[#This Row],[POL]],"-",Tableau118[[#This Row],[Compte Site]])</f>
        <v>#N/A</v>
      </c>
      <c r="D49" s="66" t="e">
        <f ca="1">_xlfn.CONCAT(Tableau118[[#This Row],[Compte ILN]],"-",Tableau118[[#This Row],[Compte Shipper]],"-",Tableau118[[#This Row],[POL]])</f>
        <v>#N/A</v>
      </c>
      <c r="E49" s="434" t="e">
        <f ca="1">_xlfn.CONCAT(Tableau118[[#This Row],[POL]],"-",Tableau118[[#This Row],[Carrier]],"-",Tableau118[[#This Row],[POD]])</f>
        <v>#N/A</v>
      </c>
      <c r="F49" s="66" t="str">
        <f>_xlfn.CONCAT(Tableau118[[#This Row],[ID]],"-","Next")</f>
        <v>1014-Next</v>
      </c>
      <c r="G49" s="66" t="e">
        <f ca="1">_xlfn.CONCAT(Tableau118[[#This Row],[POD]],"-",Tableau118[[#This Row],[Code PFI]],"-",Tableau118[[#This Row],[Compte Site]])</f>
        <v>#N/A</v>
      </c>
      <c r="H4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9" s="435" t="str">
        <f ca="1">IF(COUNTIF(I:I,Tableau118[[#This Row],[Plant-ILN-shipper-POL-Carrier-POD-PFI]])=1,"Non","Oui")</f>
        <v>Oui</v>
      </c>
      <c r="K49" s="436" t="str">
        <f>VLOOKUP(Tableau118[[#This Row],[Name Site]],Plant_AILN!A:D,4,FALSE)</f>
        <v>COLOMBIA</v>
      </c>
      <c r="L49" s="285" t="s">
        <v>177</v>
      </c>
      <c r="M49" s="439">
        <f>VLOOKUP(Tableau118[[#This Row],[Name Site]],Plant_AILN!A:C,3,FALSE)</f>
        <v>9510600</v>
      </c>
      <c r="N49" s="55">
        <f>IF(Tableau118[[#This Row],[Name PFI/CDD]]="PFI VLL",2,VLOOKUP(Tableau118[[#This Row],[Compte Site]],Order!C:D,2,FALSE))</f>
        <v>7</v>
      </c>
      <c r="O49" s="116" t="s">
        <v>146</v>
      </c>
      <c r="P49" s="365">
        <f>VLOOKUP(Tableau118[[#This Row],[Name ILN]],Plant_AILN!F:G,2,FALSE)</f>
        <v>0</v>
      </c>
      <c r="Q49" s="50">
        <f>VLOOKUP(Tableau118[[#This Row],[Compte ILN]],'DATA ILN'!D:I,6,FALSE)</f>
        <v>9</v>
      </c>
      <c r="R4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4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4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49" s="50" t="e">
        <f ca="1">Tableau118[[#This Row],[Day ILN Order]]+Tableau118[[#This Row],[Delivery time to ILN/Shipper]]-1</f>
        <v>#N/A</v>
      </c>
      <c r="V4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4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49" s="284" t="s">
        <v>176</v>
      </c>
      <c r="Y49" s="437">
        <f>IFERROR(VLOOKUP(Tableau118[[#This Row],[Name Shipper]],Plant_AILN!L:M,2,FALSE),0)</f>
        <v>261427</v>
      </c>
      <c r="Z49" s="406">
        <v>1014</v>
      </c>
      <c r="AA49" s="396" t="e">
        <f ca="1">VLOOKUP(Tableau118[[#This Row],[Key(ID-Actif)]],'DATA BTO'!A:N,5,FALSE)</f>
        <v>#N/A</v>
      </c>
      <c r="AB49" s="3" t="e">
        <f ca="1">VLOOKUP(Tableau118[[#This Row],[Key(ID-Actif)]],'DATA BTO'!A:N,6,FALSE)</f>
        <v>#N/A</v>
      </c>
      <c r="AC49" s="50" t="e">
        <f ca="1">VLOOKUP(Tableau118[[#This Row],[Key(ID-Actif)]],'DATA BTO'!A:N,7,FALSE)</f>
        <v>#N/A</v>
      </c>
      <c r="AD49" s="50" t="e">
        <f ca="1">VLOOKUP(Tableau118[[#This Row],[Key(ID-Actif)]],'DATA BTO'!A:N,8,FALSE)</f>
        <v>#N/A</v>
      </c>
      <c r="AE49" s="50" t="e">
        <f ca="1">IF(Tableau118[[#This Row],[First Day to POL]]&lt;=Tableau118[[#This Row],[Day Cut Off]],Tableau118[[#This Row],[Day ETD]],Tableau118[[#This Row],[Day ETD]]+7)</f>
        <v>#N/A</v>
      </c>
      <c r="AF49" s="50" t="e">
        <f ca="1">VLOOKUP(Tableau118[[#This Row],[Key(ID-Actif)]],'DATA BTO'!A:N,9,FALSE)</f>
        <v>#N/A</v>
      </c>
      <c r="AG49" s="3" t="e">
        <f ca="1">VLOOKUP(Tableau118[[#This Row],[Key(ID-Actif)]],'DATA BTO'!A:N,10,FALSE)</f>
        <v>#N/A</v>
      </c>
      <c r="AH49" s="3" t="e">
        <f ca="1">VLOOKUP(Tableau118[[#This Row],[Key(ID-Actif)]],'DATA BTO'!A:N,11,FALSE)</f>
        <v>#N/A</v>
      </c>
      <c r="AI49" s="50" t="e">
        <f ca="1">VLOOKUP(Tableau118[[#This Row],[Key(ID-Actif)]],'DATA BTO'!A:N,12,FALSE)</f>
        <v>#N/A</v>
      </c>
      <c r="AJ49" s="53" t="e">
        <f ca="1">VLOOKUP(Tableau118[[#This Row],[Key(ID-Actif)]],'DATA BTO'!A:N,14,FALSE)</f>
        <v>#N/A</v>
      </c>
      <c r="AK49" s="54" t="e">
        <f ca="1">VLOOKUP(Tableau118[[#This Row],[Key(POD -PFI- Usine)]],'DATA Consignee'!A:F,6,FALSE)</f>
        <v>#N/A</v>
      </c>
      <c r="AL49" s="127"/>
      <c r="AM49" s="438" t="str">
        <f>IF(Tableau118[[#This Row],[Name PFI/CDD]]="","-",VLOOKUP(Tableau118[[#This Row],[Name PFI/CDD]],Plant_AILN!I:J,2,FALSE))</f>
        <v>-</v>
      </c>
      <c r="AN4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9" s="2" t="e">
        <f ca="1">VLOOKUP(Tableau118[[#This Row],[Key(POD -PFI- Usine)]],'DATA Consignee'!A:J,10,FALSE)</f>
        <v>#N/A</v>
      </c>
      <c r="AQ49" s="50" t="e">
        <f ca="1">VLOOKUP(Tableau118[[#This Row],[Key(POD -PFI- Usine)]],'DATA Consignee'!A:N,14,FALSE)</f>
        <v>#N/A</v>
      </c>
      <c r="AR4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9" s="50" t="e">
        <f ca="1">Tableau118[[#This Row],[Transit time]]+Tableau118[[#This Row],[Time for security]]+Tableau118[[#This Row],[Time for security2 buffer]]</f>
        <v>#N/A</v>
      </c>
      <c r="AU4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9" s="433" t="e">
        <f ca="1">Tableau118[[#This Row],[Leadtime SI2C]]+Tableau118[[#This Row],[First Receipt Days]]-Tableau118[[#This Row],[Day Customer Order]]+1</f>
        <v>#N/A</v>
      </c>
      <c r="AW49" s="119" t="e">
        <f ca="1">IF(Tableau118[[#This Row],[Name ILN]]&lt;&gt;"SFK Freight Forwarder",Tableau118[[#This Row],[Cust. Leadtime]],Tableau118[[#This Row],[Leadtime SI2C]])</f>
        <v>#N/A</v>
      </c>
      <c r="AX49" s="51" t="str">
        <f>VLOOKUP(Tableau118[[#This Row],[ID]],'DATA BTO'!B:P,15,FALSE)</f>
        <v>Horse &gt; Renault BPH (MLP)</v>
      </c>
      <c r="AY49" s="338">
        <f ca="1">IFERROR(VLOOKUP(Tableau118[[#This Row],[Key(ID-Actif)]],'DATA BTO'!A:N,4,FALSE),VLOOKUP(Tableau118[[#This Row],[ID]],'DATA BTO'!B:N,3,FALSE))</f>
        <v>46142</v>
      </c>
      <c r="AZ49" s="50" t="str">
        <f>IF(ISNUMBER(Tableau118[[#This Row],[Day Customer Order]]),"-","Please Check 'Name' information in 'Order' Sheet to make sure they have information")</f>
        <v>-</v>
      </c>
      <c r="BA4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4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9" s="50"/>
    </row>
    <row r="50" spans="2:57">
      <c r="B50" s="67" t="str">
        <f>_xlfn.CONCAT(Tableau118[[#This Row],[Name ILN]],"-",Tableau118[[#This Row],[Name Shipper]],"-",Tableau118[[#This Row],[Name Site]])</f>
        <v>SFK Freight Forwarder-Jatco Mexique-CURITIBA CVP</v>
      </c>
      <c r="C50" s="67" t="e">
        <f ca="1">_xlfn.CONCAT(Tableau118[[#This Row],[Compte ILN]],"-",Tableau118[[#This Row],[Compte Shipper]],"-",Tableau118[[#This Row],[POL]],"-",Tableau118[[#This Row],[Compte Site]])</f>
        <v>#N/A</v>
      </c>
      <c r="D50" s="66" t="e">
        <f ca="1">_xlfn.CONCAT(Tableau118[[#This Row],[Compte ILN]],"-",Tableau118[[#This Row],[Compte Shipper]],"-",Tableau118[[#This Row],[POL]])</f>
        <v>#N/A</v>
      </c>
      <c r="E50" s="434" t="e">
        <f ca="1">_xlfn.CONCAT(Tableau118[[#This Row],[POL]],"-",Tableau118[[#This Row],[Carrier]],"-",Tableau118[[#This Row],[POD]])</f>
        <v>#N/A</v>
      </c>
      <c r="F50" s="66" t="str">
        <f>_xlfn.CONCAT(Tableau118[[#This Row],[ID]],"-","Next")</f>
        <v>1015-Next</v>
      </c>
      <c r="G50" s="66" t="e">
        <f ca="1">_xlfn.CONCAT(Tableau118[[#This Row],[POD]],"-",Tableau118[[#This Row],[Code PFI]],"-",Tableau118[[#This Row],[Compte Site]])</f>
        <v>#N/A</v>
      </c>
      <c r="H5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0" s="435" t="str">
        <f ca="1">IF(COUNTIF(I:I,Tableau118[[#This Row],[Plant-ILN-shipper-POL-Carrier-POD-PFI]])=1,"Non","Oui")</f>
        <v>Oui</v>
      </c>
      <c r="K50" s="436" t="str">
        <f>VLOOKUP(Tableau118[[#This Row],[Name Site]],Plant_AILN!A:D,4,FALSE)</f>
        <v>BRAZIL</v>
      </c>
      <c r="L50" s="285" t="s">
        <v>181</v>
      </c>
      <c r="M50" s="439">
        <f>VLOOKUP(Tableau118[[#This Row],[Name Site]],Plant_AILN!A:C,3,FALSE)</f>
        <v>90018000</v>
      </c>
      <c r="N50" s="55">
        <f>IF(Tableau118[[#This Row],[Name PFI/CDD]]="PFI VLL",2,VLOOKUP(Tableau118[[#This Row],[Compte Site]],Order!C:D,2,FALSE))</f>
        <v>7</v>
      </c>
      <c r="O50" s="116" t="s">
        <v>146</v>
      </c>
      <c r="P50" s="365">
        <f>VLOOKUP(Tableau118[[#This Row],[Name ILN]],Plant_AILN!F:G,2,FALSE)</f>
        <v>0</v>
      </c>
      <c r="Q50" s="50">
        <f>VLOOKUP(Tableau118[[#This Row],[Compte ILN]],'DATA ILN'!D:I,6,FALSE)</f>
        <v>9</v>
      </c>
      <c r="R5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0" s="50" t="e">
        <f ca="1">Tableau118[[#This Row],[Day ILN Order]]+Tableau118[[#This Row],[Delivery time to ILN/Shipper]]-1</f>
        <v>#N/A</v>
      </c>
      <c r="V5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0" s="284" t="s">
        <v>176</v>
      </c>
      <c r="Y50" s="437">
        <f>IFERROR(VLOOKUP(Tableau118[[#This Row],[Name Shipper]],Plant_AILN!L:M,2,FALSE),0)</f>
        <v>261427</v>
      </c>
      <c r="Z50" s="406">
        <v>1015</v>
      </c>
      <c r="AA50" s="396" t="e">
        <f ca="1">VLOOKUP(Tableau118[[#This Row],[Key(ID-Actif)]],'DATA BTO'!A:N,5,FALSE)</f>
        <v>#N/A</v>
      </c>
      <c r="AB50" s="3" t="e">
        <f ca="1">VLOOKUP(Tableau118[[#This Row],[Key(ID-Actif)]],'DATA BTO'!A:N,6,FALSE)</f>
        <v>#N/A</v>
      </c>
      <c r="AC50" s="50" t="e">
        <f ca="1">VLOOKUP(Tableau118[[#This Row],[Key(ID-Actif)]],'DATA BTO'!A:N,7,FALSE)</f>
        <v>#N/A</v>
      </c>
      <c r="AD50" s="50" t="e">
        <f ca="1">VLOOKUP(Tableau118[[#This Row],[Key(ID-Actif)]],'DATA BTO'!A:N,8,FALSE)</f>
        <v>#N/A</v>
      </c>
      <c r="AE50" s="50" t="e">
        <f ca="1">IF(Tableau118[[#This Row],[First Day to POL]]&lt;=Tableau118[[#This Row],[Day Cut Off]],Tableau118[[#This Row],[Day ETD]],Tableau118[[#This Row],[Day ETD]]+7)</f>
        <v>#N/A</v>
      </c>
      <c r="AF50" s="50" t="e">
        <f ca="1">VLOOKUP(Tableau118[[#This Row],[Key(ID-Actif)]],'DATA BTO'!A:N,9,FALSE)</f>
        <v>#N/A</v>
      </c>
      <c r="AG50" s="3" t="e">
        <f ca="1">VLOOKUP(Tableau118[[#This Row],[Key(ID-Actif)]],'DATA BTO'!A:N,10,FALSE)</f>
        <v>#N/A</v>
      </c>
      <c r="AH50" s="3" t="e">
        <f ca="1">VLOOKUP(Tableau118[[#This Row],[Key(ID-Actif)]],'DATA BTO'!A:N,11,FALSE)</f>
        <v>#N/A</v>
      </c>
      <c r="AI50" s="50" t="e">
        <f ca="1">VLOOKUP(Tableau118[[#This Row],[Key(ID-Actif)]],'DATA BTO'!A:N,12,FALSE)</f>
        <v>#N/A</v>
      </c>
      <c r="AJ50" s="53" t="e">
        <f ca="1">VLOOKUP(Tableau118[[#This Row],[Key(ID-Actif)]],'DATA BTO'!A:N,14,FALSE)</f>
        <v>#N/A</v>
      </c>
      <c r="AK50" s="54" t="e">
        <f ca="1">VLOOKUP(Tableau118[[#This Row],[Key(POD -PFI- Usine)]],'DATA Consignee'!A:F,6,FALSE)</f>
        <v>#N/A</v>
      </c>
      <c r="AL50" s="127"/>
      <c r="AM50" s="438" t="str">
        <f>IF(Tableau118[[#This Row],[Name PFI/CDD]]="","-",VLOOKUP(Tableau118[[#This Row],[Name PFI/CDD]],Plant_AILN!I:J,2,FALSE))</f>
        <v>-</v>
      </c>
      <c r="AN5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0" s="2" t="e">
        <f ca="1">VLOOKUP(Tableau118[[#This Row],[Key(POD -PFI- Usine)]],'DATA Consignee'!A:J,10,FALSE)</f>
        <v>#N/A</v>
      </c>
      <c r="AQ50" s="50" t="e">
        <f ca="1">VLOOKUP(Tableau118[[#This Row],[Key(POD -PFI- Usine)]],'DATA Consignee'!A:N,14,FALSE)</f>
        <v>#N/A</v>
      </c>
      <c r="AR5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0" s="50" t="e">
        <f ca="1">Tableau118[[#This Row],[Transit time]]+Tableau118[[#This Row],[Time for security]]+Tableau118[[#This Row],[Time for security2 buffer]]</f>
        <v>#N/A</v>
      </c>
      <c r="AU5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0" s="433" t="e">
        <f ca="1">Tableau118[[#This Row],[Leadtime SI2C]]+Tableau118[[#This Row],[First Receipt Days]]-Tableau118[[#This Row],[Day Customer Order]]+1</f>
        <v>#N/A</v>
      </c>
      <c r="AW50" s="119" t="e">
        <f ca="1">IF(Tableau118[[#This Row],[Name ILN]]&lt;&gt;"SFK Freight Forwarder",Tableau118[[#This Row],[Cust. Leadtime]],Tableau118[[#This Row],[Leadtime SI2C]])</f>
        <v>#N/A</v>
      </c>
      <c r="AX50" s="51" t="str">
        <f>VLOOKUP(Tableau118[[#This Row],[ID]],'DATA BTO'!B:P,15,FALSE)</f>
        <v>Horse &gt; Renault BPH (MLP)</v>
      </c>
      <c r="AY50" s="338">
        <f ca="1">IFERROR(VLOOKUP(Tableau118[[#This Row],[Key(ID-Actif)]],'DATA BTO'!A:N,4,FALSE),VLOOKUP(Tableau118[[#This Row],[ID]],'DATA BTO'!B:N,3,FALSE))</f>
        <v>46142</v>
      </c>
      <c r="AZ50" s="50" t="str">
        <f>IF(ISNUMBER(Tableau118[[#This Row],[Day Customer Order]]),"-","Please Check 'Name' information in 'Order' Sheet to make sure they have information")</f>
        <v>-</v>
      </c>
      <c r="BA5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0" s="50"/>
    </row>
    <row r="51" spans="2:57">
      <c r="B51" s="67" t="str">
        <f>_xlfn.CONCAT(Tableau118[[#This Row],[Name ILN]],"-",Tableau118[[#This Row],[Name Shipper]],"-",Tableau118[[#This Row],[Name Site]])</f>
        <v>SFK Freight Forwarder-Jatco Thailande-CHENNAI Vehicule</v>
      </c>
      <c r="C51" s="67" t="e">
        <f ca="1">_xlfn.CONCAT(Tableau118[[#This Row],[Compte ILN]],"-",Tableau118[[#This Row],[Compte Shipper]],"-",Tableau118[[#This Row],[POL]],"-",Tableau118[[#This Row],[Compte Site]])</f>
        <v>#N/A</v>
      </c>
      <c r="D51" s="66" t="e">
        <f ca="1">_xlfn.CONCAT(Tableau118[[#This Row],[Compte ILN]],"-",Tableau118[[#This Row],[Compte Shipper]],"-",Tableau118[[#This Row],[POL]])</f>
        <v>#N/A</v>
      </c>
      <c r="E51" s="434" t="e">
        <f ca="1">_xlfn.CONCAT(Tableau118[[#This Row],[POL]],"-",Tableau118[[#This Row],[Carrier]],"-",Tableau118[[#This Row],[POD]])</f>
        <v>#N/A</v>
      </c>
      <c r="F51" s="66" t="str">
        <f>_xlfn.CONCAT(Tableau118[[#This Row],[ID]],"-","Next")</f>
        <v>1022-Next</v>
      </c>
      <c r="G51" s="66" t="e">
        <f ca="1">_xlfn.CONCAT(Tableau118[[#This Row],[POD]],"-",Tableau118[[#This Row],[Code PFI]],"-",Tableau118[[#This Row],[Compte Site]])</f>
        <v>#N/A</v>
      </c>
      <c r="H5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1" s="435" t="str">
        <f ca="1">IF(COUNTIF(I:I,Tableau118[[#This Row],[Plant-ILN-shipper-POL-Carrier-POD-PFI]])=1,"Non","Oui")</f>
        <v>Oui</v>
      </c>
      <c r="K51" s="436" t="str">
        <f>VLOOKUP(Tableau118[[#This Row],[Name Site]],Plant_AILN!A:D,4,FALSE)</f>
        <v>INDIA</v>
      </c>
      <c r="L51" s="285" t="s">
        <v>159</v>
      </c>
      <c r="M51" s="439">
        <f>VLOOKUP(Tableau118[[#This Row],[Name Site]],Plant_AILN!A:C,3,FALSE)</f>
        <v>26549502</v>
      </c>
      <c r="N51" s="55">
        <f>IF(Tableau118[[#This Row],[Name PFI/CDD]]="PFI VLL",2,VLOOKUP(Tableau118[[#This Row],[Compte Site]],Order!C:D,2,FALSE))</f>
        <v>5</v>
      </c>
      <c r="O51" s="116" t="s">
        <v>146</v>
      </c>
      <c r="P51" s="365">
        <f>VLOOKUP(Tableau118[[#This Row],[Name ILN]],Plant_AILN!F:G,2,FALSE)</f>
        <v>0</v>
      </c>
      <c r="Q51" s="50">
        <f>VLOOKUP(Tableau118[[#This Row],[Compte ILN]],'DATA ILN'!D:I,6,FALSE)</f>
        <v>9</v>
      </c>
      <c r="R5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1" s="50" t="e">
        <f ca="1">Tableau118[[#This Row],[Day ILN Order]]+Tableau118[[#This Row],[Delivery time to ILN/Shipper]]-1</f>
        <v>#N/A</v>
      </c>
      <c r="V5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1" s="284" t="s">
        <v>182</v>
      </c>
      <c r="Y51" s="437">
        <f>IFERROR(VLOOKUP(Tableau118[[#This Row],[Name Shipper]],Plant_AILN!L:M,2,FALSE),0)</f>
        <v>29770601</v>
      </c>
      <c r="Z51" s="406">
        <v>1022</v>
      </c>
      <c r="AA51" s="396" t="e">
        <f ca="1">VLOOKUP(Tableau118[[#This Row],[Key(ID-Actif)]],'DATA BTO'!A:N,5,FALSE)</f>
        <v>#N/A</v>
      </c>
      <c r="AB51" s="3" t="e">
        <f ca="1">VLOOKUP(Tableau118[[#This Row],[Key(ID-Actif)]],'DATA BTO'!A:N,6,FALSE)</f>
        <v>#N/A</v>
      </c>
      <c r="AC51" s="50" t="e">
        <f ca="1">VLOOKUP(Tableau118[[#This Row],[Key(ID-Actif)]],'DATA BTO'!A:N,7,FALSE)</f>
        <v>#N/A</v>
      </c>
      <c r="AD51" s="50" t="e">
        <f ca="1">VLOOKUP(Tableau118[[#This Row],[Key(ID-Actif)]],'DATA BTO'!A:N,8,FALSE)</f>
        <v>#N/A</v>
      </c>
      <c r="AE51" s="50" t="e">
        <f ca="1">IF(Tableau118[[#This Row],[First Day to POL]]&lt;=Tableau118[[#This Row],[Day Cut Off]],Tableau118[[#This Row],[Day ETD]],Tableau118[[#This Row],[Day ETD]]+7)</f>
        <v>#N/A</v>
      </c>
      <c r="AF51" s="50" t="e">
        <f ca="1">VLOOKUP(Tableau118[[#This Row],[Key(ID-Actif)]],'DATA BTO'!A:N,9,FALSE)</f>
        <v>#N/A</v>
      </c>
      <c r="AG51" s="3" t="e">
        <f ca="1">VLOOKUP(Tableau118[[#This Row],[Key(ID-Actif)]],'DATA BTO'!A:N,10,FALSE)</f>
        <v>#N/A</v>
      </c>
      <c r="AH51" s="3" t="e">
        <f ca="1">VLOOKUP(Tableau118[[#This Row],[Key(ID-Actif)]],'DATA BTO'!A:N,11,FALSE)</f>
        <v>#N/A</v>
      </c>
      <c r="AI51" s="50" t="e">
        <f ca="1">VLOOKUP(Tableau118[[#This Row],[Key(ID-Actif)]],'DATA BTO'!A:N,12,FALSE)</f>
        <v>#N/A</v>
      </c>
      <c r="AJ51" s="53" t="e">
        <f ca="1">VLOOKUP(Tableau118[[#This Row],[Key(ID-Actif)]],'DATA BTO'!A:N,14,FALSE)</f>
        <v>#N/A</v>
      </c>
      <c r="AK51" s="54" t="e">
        <f ca="1">VLOOKUP(Tableau118[[#This Row],[Key(POD -PFI- Usine)]],'DATA Consignee'!A:F,6,FALSE)</f>
        <v>#N/A</v>
      </c>
      <c r="AL51" s="127"/>
      <c r="AM51" s="438" t="str">
        <f>IF(Tableau118[[#This Row],[Name PFI/CDD]]="","-",VLOOKUP(Tableau118[[#This Row],[Name PFI/CDD]],Plant_AILN!I:J,2,FALSE))</f>
        <v>-</v>
      </c>
      <c r="AN5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1" s="2" t="e">
        <f ca="1">VLOOKUP(Tableau118[[#This Row],[Key(POD -PFI- Usine)]],'DATA Consignee'!A:J,10,FALSE)</f>
        <v>#N/A</v>
      </c>
      <c r="AQ51" s="50" t="e">
        <f ca="1">VLOOKUP(Tableau118[[#This Row],[Key(POD -PFI- Usine)]],'DATA Consignee'!A:N,14,FALSE)</f>
        <v>#N/A</v>
      </c>
      <c r="AR5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1" s="50" t="e">
        <f ca="1">Tableau118[[#This Row],[Transit time]]+Tableau118[[#This Row],[Time for security]]+Tableau118[[#This Row],[Time for security2 buffer]]</f>
        <v>#N/A</v>
      </c>
      <c r="AU5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1" s="433" t="e">
        <f ca="1">Tableau118[[#This Row],[Leadtime SI2C]]+Tableau118[[#This Row],[First Receipt Days]]-Tableau118[[#This Row],[Day Customer Order]]+1</f>
        <v>#N/A</v>
      </c>
      <c r="AW51" s="119" t="e">
        <f ca="1">IF(Tableau118[[#This Row],[Name ILN]]&lt;&gt;"SFK Freight Forwarder",Tableau118[[#This Row],[Cust. Leadtime]],Tableau118[[#This Row],[Leadtime SI2C]])</f>
        <v>#N/A</v>
      </c>
      <c r="AX51" s="51" t="str">
        <f>VLOOKUP(Tableau118[[#This Row],[ID]],'DATA BTO'!B:P,15,FALSE)</f>
        <v>Horse &gt; Renault BPH (MLP)</v>
      </c>
      <c r="AY51" s="338">
        <f ca="1">IFERROR(VLOOKUP(Tableau118[[#This Row],[Key(ID-Actif)]],'DATA BTO'!A:N,4,FALSE),VLOOKUP(Tableau118[[#This Row],[ID]],'DATA BTO'!B:N,3,FALSE))</f>
        <v>46142</v>
      </c>
      <c r="AZ51" s="50" t="str">
        <f>IF(ISNUMBER(Tableau118[[#This Row],[Day Customer Order]]),"-","Please Check 'Name' information in 'Order' Sheet to make sure they have information")</f>
        <v>-</v>
      </c>
      <c r="BA5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1" s="50"/>
    </row>
    <row r="52" spans="2:57">
      <c r="B52" s="67" t="str">
        <f>_xlfn.CONCAT(Tableau118[[#This Row],[Name ILN]],"-",Tableau118[[#This Row],[Name Shipper]],"-",Tableau118[[#This Row],[Name Site]])</f>
        <v>SFK Freight Forwarder-Jatco Japon-CLEON</v>
      </c>
      <c r="C52" s="67" t="e">
        <f ca="1">_xlfn.CONCAT(Tableau118[[#This Row],[Compte ILN]],"-",Tableau118[[#This Row],[Compte Shipper]],"-",Tableau118[[#This Row],[POL]],"-",Tableau118[[#This Row],[Compte Site]])</f>
        <v>#N/A</v>
      </c>
      <c r="D52" s="66" t="e">
        <f ca="1">_xlfn.CONCAT(Tableau118[[#This Row],[Compte ILN]],"-",Tableau118[[#This Row],[Compte Shipper]],"-",Tableau118[[#This Row],[POL]])</f>
        <v>#N/A</v>
      </c>
      <c r="E52" s="434" t="e">
        <f ca="1">_xlfn.CONCAT(Tableau118[[#This Row],[POL]],"-",Tableau118[[#This Row],[Carrier]],"-",Tableau118[[#This Row],[POD]])</f>
        <v>#N/A</v>
      </c>
      <c r="F52" s="66" t="str">
        <f>_xlfn.CONCAT(Tableau118[[#This Row],[ID]],"-","Next")</f>
        <v>1030-Next</v>
      </c>
      <c r="G52" s="66" t="e">
        <f ca="1">_xlfn.CONCAT(Tableau118[[#This Row],[POD]],"-",Tableau118[[#This Row],[Code PFI]],"-",Tableau118[[#This Row],[Compte Site]])</f>
        <v>#N/A</v>
      </c>
      <c r="H5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2" s="435" t="str">
        <f ca="1">IF(COUNTIF(I:I,Tableau118[[#This Row],[Plant-ILN-shipper-POL-Carrier-POD-PFI]])=1,"Non","Oui")</f>
        <v>Oui</v>
      </c>
      <c r="K52" s="436" t="str">
        <f>VLOOKUP(Tableau118[[#This Row],[Name Site]],Plant_AILN!A:D,4,FALSE)</f>
        <v>FRANCE</v>
      </c>
      <c r="L52" s="285" t="s">
        <v>183</v>
      </c>
      <c r="M52" s="439">
        <f>VLOOKUP(Tableau118[[#This Row],[Name Site]],Plant_AILN!A:C,3,FALSE)</f>
        <v>92000100</v>
      </c>
      <c r="N52" s="55">
        <f>IF(Tableau118[[#This Row],[Name PFI/CDD]]="PFI VLL",2,VLOOKUP(Tableau118[[#This Row],[Compte Site]],Order!C:D,2,FALSE))</f>
        <v>7</v>
      </c>
      <c r="O52" s="116" t="s">
        <v>146</v>
      </c>
      <c r="P52" s="365">
        <f>VLOOKUP(Tableau118[[#This Row],[Name ILN]],Plant_AILN!F:G,2,FALSE)</f>
        <v>0</v>
      </c>
      <c r="Q52" s="50">
        <f>VLOOKUP(Tableau118[[#This Row],[Compte ILN]],'DATA ILN'!D:I,6,FALSE)</f>
        <v>9</v>
      </c>
      <c r="R5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2" s="50" t="e">
        <f ca="1">Tableau118[[#This Row],[Day ILN Order]]+Tableau118[[#This Row],[Delivery time to ILN/Shipper]]-1</f>
        <v>#N/A</v>
      </c>
      <c r="V5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2" s="284" t="s">
        <v>178</v>
      </c>
      <c r="Y52" s="437">
        <f>IFERROR(VLOOKUP(Tableau118[[#This Row],[Name Shipper]],Plant_AILN!L:M,2,FALSE),0)</f>
        <v>119640</v>
      </c>
      <c r="Z52" s="406">
        <v>1030</v>
      </c>
      <c r="AA52" s="396" t="e">
        <f ca="1">VLOOKUP(Tableau118[[#This Row],[Key(ID-Actif)]],'DATA BTO'!A:N,5,FALSE)</f>
        <v>#N/A</v>
      </c>
      <c r="AB52" s="3" t="e">
        <f ca="1">VLOOKUP(Tableau118[[#This Row],[Key(ID-Actif)]],'DATA BTO'!A:N,6,FALSE)</f>
        <v>#N/A</v>
      </c>
      <c r="AC52" s="50" t="e">
        <f ca="1">VLOOKUP(Tableau118[[#This Row],[Key(ID-Actif)]],'DATA BTO'!A:N,7,FALSE)</f>
        <v>#N/A</v>
      </c>
      <c r="AD52" s="50" t="e">
        <f ca="1">VLOOKUP(Tableau118[[#This Row],[Key(ID-Actif)]],'DATA BTO'!A:N,8,FALSE)</f>
        <v>#N/A</v>
      </c>
      <c r="AE52" s="50" t="e">
        <f ca="1">IF(Tableau118[[#This Row],[First Day to POL]]&lt;=Tableau118[[#This Row],[Day Cut Off]],Tableau118[[#This Row],[Day ETD]],Tableau118[[#This Row],[Day ETD]]+7)</f>
        <v>#N/A</v>
      </c>
      <c r="AF52" s="50" t="e">
        <f ca="1">VLOOKUP(Tableau118[[#This Row],[Key(ID-Actif)]],'DATA BTO'!A:N,9,FALSE)</f>
        <v>#N/A</v>
      </c>
      <c r="AG52" s="3" t="e">
        <f ca="1">VLOOKUP(Tableau118[[#This Row],[Key(ID-Actif)]],'DATA BTO'!A:N,10,FALSE)</f>
        <v>#N/A</v>
      </c>
      <c r="AH52" s="3" t="e">
        <f ca="1">VLOOKUP(Tableau118[[#This Row],[Key(ID-Actif)]],'DATA BTO'!A:N,11,FALSE)</f>
        <v>#N/A</v>
      </c>
      <c r="AI52" s="50" t="e">
        <f ca="1">VLOOKUP(Tableau118[[#This Row],[Key(ID-Actif)]],'DATA BTO'!A:N,12,FALSE)</f>
        <v>#N/A</v>
      </c>
      <c r="AJ52" s="53" t="e">
        <f ca="1">VLOOKUP(Tableau118[[#This Row],[Key(ID-Actif)]],'DATA BTO'!A:N,14,FALSE)</f>
        <v>#N/A</v>
      </c>
      <c r="AK52" s="54" t="e">
        <f ca="1">VLOOKUP(Tableau118[[#This Row],[Key(POD -PFI- Usine)]],'DATA Consignee'!A:F,6,FALSE)</f>
        <v>#N/A</v>
      </c>
      <c r="AL52" s="127"/>
      <c r="AM52" s="438" t="str">
        <f>IF(Tableau118[[#This Row],[Name PFI/CDD]]="","-",VLOOKUP(Tableau118[[#This Row],[Name PFI/CDD]],Plant_AILN!I:J,2,FALSE))</f>
        <v>-</v>
      </c>
      <c r="AN5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2" s="2" t="e">
        <f ca="1">VLOOKUP(Tableau118[[#This Row],[Key(POD -PFI- Usine)]],'DATA Consignee'!A:J,10,FALSE)</f>
        <v>#N/A</v>
      </c>
      <c r="AQ52" s="50" t="e">
        <f ca="1">VLOOKUP(Tableau118[[#This Row],[Key(POD -PFI- Usine)]],'DATA Consignee'!A:N,14,FALSE)</f>
        <v>#N/A</v>
      </c>
      <c r="AR5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2" s="50" t="e">
        <f ca="1">Tableau118[[#This Row],[Transit time]]+Tableau118[[#This Row],[Time for security]]+Tableau118[[#This Row],[Time for security2 buffer]]</f>
        <v>#N/A</v>
      </c>
      <c r="AU5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2" s="433" t="e">
        <f ca="1">Tableau118[[#This Row],[Leadtime SI2C]]+Tableau118[[#This Row],[First Receipt Days]]-Tableau118[[#This Row],[Day Customer Order]]+1</f>
        <v>#N/A</v>
      </c>
      <c r="AW52" s="119" t="e">
        <f ca="1">IF(Tableau118[[#This Row],[Name ILN]]&lt;&gt;"SFK Freight Forwarder",Tableau118[[#This Row],[Cust. Leadtime]],Tableau118[[#This Row],[Leadtime SI2C]])</f>
        <v>#N/A</v>
      </c>
      <c r="AX52" s="51" t="str">
        <f>VLOOKUP(Tableau118[[#This Row],[ID]],'DATA BTO'!B:P,15,FALSE)</f>
        <v>Horse &gt; Renault BPH (MLP)</v>
      </c>
      <c r="AY52" s="338">
        <f ca="1">IFERROR(VLOOKUP(Tableau118[[#This Row],[Key(ID-Actif)]],'DATA BTO'!A:N,4,FALSE),VLOOKUP(Tableau118[[#This Row],[ID]],'DATA BTO'!B:N,3,FALSE))</f>
        <v>46142</v>
      </c>
      <c r="AZ52" s="50" t="str">
        <f>IF(ISNUMBER(Tableau118[[#This Row],[Day Customer Order]]),"-","Please Check 'Name' information in 'Order' Sheet to make sure they have information")</f>
        <v>-</v>
      </c>
      <c r="BA5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2" s="50"/>
    </row>
    <row r="53" spans="2:57">
      <c r="B53" s="67" t="str">
        <f>_xlfn.CONCAT(Tableau118[[#This Row],[Name ILN]],"-",Tableau118[[#This Row],[Name Shipper]],"-",Tableau118[[#This Row],[Name Site]])</f>
        <v>SFK Freight Forwarder-Jatco Japon-VALL MONTAGE</v>
      </c>
      <c r="C53" s="67" t="e">
        <f ca="1">_xlfn.CONCAT(Tableau118[[#This Row],[Compte ILN]],"-",Tableau118[[#This Row],[Compte Shipper]],"-",Tableau118[[#This Row],[POL]],"-",Tableau118[[#This Row],[Compte Site]])</f>
        <v>#N/A</v>
      </c>
      <c r="D53" s="66" t="e">
        <f ca="1">_xlfn.CONCAT(Tableau118[[#This Row],[Compte ILN]],"-",Tableau118[[#This Row],[Compte Shipper]],"-",Tableau118[[#This Row],[POL]])</f>
        <v>#N/A</v>
      </c>
      <c r="E53" s="434" t="e">
        <f ca="1">_xlfn.CONCAT(Tableau118[[#This Row],[POL]],"-",Tableau118[[#This Row],[Carrier]],"-",Tableau118[[#This Row],[POD]])</f>
        <v>#N/A</v>
      </c>
      <c r="F53" s="66" t="str">
        <f>_xlfn.CONCAT(Tableau118[[#This Row],[ID]],"-","Next")</f>
        <v>1034-Next</v>
      </c>
      <c r="G53" s="66" t="e">
        <f ca="1">_xlfn.CONCAT(Tableau118[[#This Row],[POD]],"-",Tableau118[[#This Row],[Code PFI]],"-",Tableau118[[#This Row],[Compte Site]])</f>
        <v>#N/A</v>
      </c>
      <c r="H5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3" s="435" t="str">
        <f ca="1">IF(COUNTIF(I:I,Tableau118[[#This Row],[Plant-ILN-shipper-POL-Carrier-POD-PFI]])=1,"Non","Oui")</f>
        <v>Oui</v>
      </c>
      <c r="K53" s="436" t="str">
        <f>VLOOKUP(Tableau118[[#This Row],[Name Site]],Plant_AILN!A:D,4,FALSE)</f>
        <v>SPAIN</v>
      </c>
      <c r="L53" s="285" t="s">
        <v>175</v>
      </c>
      <c r="M53" s="439">
        <f>VLOOKUP(Tableau118[[#This Row],[Name Site]],Plant_AILN!A:C,3,FALSE)</f>
        <v>91017300</v>
      </c>
      <c r="N53" s="55">
        <f>IF(Tableau118[[#This Row],[Name PFI/CDD]]="PFI VLL",2,VLOOKUP(Tableau118[[#This Row],[Compte Site]],Order!C:D,2,FALSE))</f>
        <v>7</v>
      </c>
      <c r="O53" s="116" t="s">
        <v>146</v>
      </c>
      <c r="P53" s="365">
        <f>VLOOKUP(Tableau118[[#This Row],[Name ILN]],Plant_AILN!F:G,2,FALSE)</f>
        <v>0</v>
      </c>
      <c r="Q53" s="50">
        <f>VLOOKUP(Tableau118[[#This Row],[Compte ILN]],'DATA ILN'!D:I,6,FALSE)</f>
        <v>9</v>
      </c>
      <c r="R5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3" s="50" t="e">
        <f ca="1">Tableau118[[#This Row],[Day ILN Order]]+Tableau118[[#This Row],[Delivery time to ILN/Shipper]]-1</f>
        <v>#N/A</v>
      </c>
      <c r="V5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3" s="284" t="s">
        <v>178</v>
      </c>
      <c r="Y53" s="437">
        <f>IFERROR(VLOOKUP(Tableau118[[#This Row],[Name Shipper]],Plant_AILN!L:M,2,FALSE),0)</f>
        <v>119640</v>
      </c>
      <c r="Z53" s="406">
        <v>1034</v>
      </c>
      <c r="AA53" s="396" t="e">
        <f ca="1">VLOOKUP(Tableau118[[#This Row],[Key(ID-Actif)]],'DATA BTO'!A:N,5,FALSE)</f>
        <v>#N/A</v>
      </c>
      <c r="AB53" s="3" t="e">
        <f ca="1">VLOOKUP(Tableau118[[#This Row],[Key(ID-Actif)]],'DATA BTO'!A:N,6,FALSE)</f>
        <v>#N/A</v>
      </c>
      <c r="AC53" s="50" t="e">
        <f ca="1">VLOOKUP(Tableau118[[#This Row],[Key(ID-Actif)]],'DATA BTO'!A:N,7,FALSE)</f>
        <v>#N/A</v>
      </c>
      <c r="AD53" s="50" t="e">
        <f ca="1">VLOOKUP(Tableau118[[#This Row],[Key(ID-Actif)]],'DATA BTO'!A:N,8,FALSE)</f>
        <v>#N/A</v>
      </c>
      <c r="AE53" s="50" t="e">
        <f ca="1">IF(Tableau118[[#This Row],[First Day to POL]]&lt;=Tableau118[[#This Row],[Day Cut Off]],Tableau118[[#This Row],[Day ETD]],Tableau118[[#This Row],[Day ETD]]+7)</f>
        <v>#N/A</v>
      </c>
      <c r="AF53" s="50" t="e">
        <f ca="1">VLOOKUP(Tableau118[[#This Row],[Key(ID-Actif)]],'DATA BTO'!A:N,9,FALSE)</f>
        <v>#N/A</v>
      </c>
      <c r="AG53" s="3" t="e">
        <f ca="1">VLOOKUP(Tableau118[[#This Row],[Key(ID-Actif)]],'DATA BTO'!A:N,10,FALSE)</f>
        <v>#N/A</v>
      </c>
      <c r="AH53" s="3" t="e">
        <f ca="1">VLOOKUP(Tableau118[[#This Row],[Key(ID-Actif)]],'DATA BTO'!A:N,11,FALSE)</f>
        <v>#N/A</v>
      </c>
      <c r="AI53" s="50" t="e">
        <f ca="1">VLOOKUP(Tableau118[[#This Row],[Key(ID-Actif)]],'DATA BTO'!A:N,12,FALSE)</f>
        <v>#N/A</v>
      </c>
      <c r="AJ53" s="53" t="e">
        <f ca="1">VLOOKUP(Tableau118[[#This Row],[Key(ID-Actif)]],'DATA BTO'!A:N,14,FALSE)</f>
        <v>#N/A</v>
      </c>
      <c r="AK53" s="54" t="e">
        <f ca="1">VLOOKUP(Tableau118[[#This Row],[Key(POD -PFI- Usine)]],'DATA Consignee'!A:F,6,FALSE)</f>
        <v>#N/A</v>
      </c>
      <c r="AL53" s="127" t="s">
        <v>169</v>
      </c>
      <c r="AM53" s="438">
        <f>IF(Tableau118[[#This Row],[Name PFI/CDD]]="","-",VLOOKUP(Tableau118[[#This Row],[Name PFI/CDD]],Plant_AILN!I:J,2,FALSE))</f>
        <v>91018400</v>
      </c>
      <c r="AN53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53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53" s="2" t="e">
        <f ca="1">VLOOKUP(Tableau118[[#This Row],[Key(POD -PFI- Usine)]],'DATA Consignee'!A:J,10,FALSE)</f>
        <v>#N/A</v>
      </c>
      <c r="AQ53" s="50" t="e">
        <f ca="1">VLOOKUP(Tableau118[[#This Row],[Key(POD -PFI- Usine)]],'DATA Consignee'!A:N,14,FALSE)</f>
        <v>#N/A</v>
      </c>
      <c r="AR5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3" s="50" t="e">
        <f ca="1">Tableau118[[#This Row],[Transit time]]+Tableau118[[#This Row],[Time for security]]+Tableau118[[#This Row],[Time for security2 buffer]]</f>
        <v>#N/A</v>
      </c>
      <c r="AU5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3" s="433" t="e">
        <f ca="1">Tableau118[[#This Row],[Leadtime SI2C]]+Tableau118[[#This Row],[First Receipt Days]]-Tableau118[[#This Row],[Day Customer Order]]+1</f>
        <v>#N/A</v>
      </c>
      <c r="AW53" s="119" t="e">
        <f ca="1">IF(Tableau118[[#This Row],[Name ILN]]&lt;&gt;"SFK Freight Forwarder",Tableau118[[#This Row],[Cust. Leadtime]],Tableau118[[#This Row],[Leadtime SI2C]])</f>
        <v>#N/A</v>
      </c>
      <c r="AX53" s="51" t="str">
        <f>VLOOKUP(Tableau118[[#This Row],[ID]],'DATA BTO'!B:P,15,FALSE)</f>
        <v>Horse &gt; Renault BPH (MLP)</v>
      </c>
      <c r="AY53" s="338">
        <f ca="1">IFERROR(VLOOKUP(Tableau118[[#This Row],[Key(ID-Actif)]],'DATA BTO'!A:N,4,FALSE),VLOOKUP(Tableau118[[#This Row],[ID]],'DATA BTO'!B:N,3,FALSE))</f>
        <v>46142</v>
      </c>
      <c r="AZ53" s="50" t="str">
        <f>IF(ISNUMBER(Tableau118[[#This Row],[Day Customer Order]]),"-","Please Check 'Name' information in 'Order' Sheet to make sure they have information")</f>
        <v>-</v>
      </c>
      <c r="BA5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3" s="50"/>
    </row>
    <row r="54" spans="2:57">
      <c r="B54" s="67" t="str">
        <f>_xlfn.CONCAT(Tableau118[[#This Row],[Name ILN]],"-",Tableau118[[#This Row],[Name Shipper]],"-",Tableau118[[#This Row],[Name Site]])</f>
        <v>SFK Freight Forwarder-Jatco Mexique-PALENCIA</v>
      </c>
      <c r="C54" s="67" t="e">
        <f ca="1">_xlfn.CONCAT(Tableau118[[#This Row],[Compte ILN]],"-",Tableau118[[#This Row],[Compte Shipper]],"-",Tableau118[[#This Row],[POL]],"-",Tableau118[[#This Row],[Compte Site]])</f>
        <v>#N/A</v>
      </c>
      <c r="D54" s="66" t="e">
        <f ca="1">_xlfn.CONCAT(Tableau118[[#This Row],[Compte ILN]],"-",Tableau118[[#This Row],[Compte Shipper]],"-",Tableau118[[#This Row],[POL]])</f>
        <v>#N/A</v>
      </c>
      <c r="E54" s="434" t="e">
        <f ca="1">_xlfn.CONCAT(Tableau118[[#This Row],[POL]],"-",Tableau118[[#This Row],[Carrier]],"-",Tableau118[[#This Row],[POD]])</f>
        <v>#N/A</v>
      </c>
      <c r="F54" s="66" t="str">
        <f>_xlfn.CONCAT(Tableau118[[#This Row],[ID]],"-","Next")</f>
        <v>1036-Next</v>
      </c>
      <c r="G54" s="66" t="e">
        <f ca="1">_xlfn.CONCAT(Tableau118[[#This Row],[POD]],"-",Tableau118[[#This Row],[Code PFI]],"-",Tableau118[[#This Row],[Compte Site]])</f>
        <v>#N/A</v>
      </c>
      <c r="H5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4" s="435" t="str">
        <f ca="1">IF(COUNTIF(I:I,Tableau118[[#This Row],[Plant-ILN-shipper-POL-Carrier-POD-PFI]])=1,"Non","Oui")</f>
        <v>Oui</v>
      </c>
      <c r="K54" s="128" t="str">
        <f>VLOOKUP(Tableau118[[#This Row],[Name Site]],Plant_AILN!A:D,4,FALSE)</f>
        <v>SPAIN</v>
      </c>
      <c r="L54" s="285" t="s">
        <v>184</v>
      </c>
      <c r="M54" s="439">
        <f>VLOOKUP(Tableau118[[#This Row],[Name Site]],Plant_AILN!A:C,3,FALSE)</f>
        <v>91017200</v>
      </c>
      <c r="N54" s="55">
        <f>IF(Tableau118[[#This Row],[Name PFI/CDD]]="PFI VLL",2,VLOOKUP(Tableau118[[#This Row],[Compte Site]],Order!C:D,2,FALSE))</f>
        <v>7</v>
      </c>
      <c r="O54" s="116" t="s">
        <v>146</v>
      </c>
      <c r="P54" s="365">
        <f>VLOOKUP(Tableau118[[#This Row],[Name ILN]],Plant_AILN!F:G,2,FALSE)</f>
        <v>0</v>
      </c>
      <c r="Q54" s="50">
        <f>VLOOKUP(Tableau118[[#This Row],[Compte ILN]],'DATA ILN'!D:I,6,FALSE)</f>
        <v>9</v>
      </c>
      <c r="R5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4" s="50" t="e">
        <f ca="1">Tableau118[[#This Row],[Day ILN Order]]+Tableau118[[#This Row],[Delivery time to ILN/Shipper]]-1</f>
        <v>#N/A</v>
      </c>
      <c r="V5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4" s="284" t="s">
        <v>176</v>
      </c>
      <c r="Y54" s="437">
        <f>IFERROR(VLOOKUP(Tableau118[[#This Row],[Name Shipper]],Plant_AILN!L:M,2,FALSE),0)</f>
        <v>261427</v>
      </c>
      <c r="Z54" s="406">
        <v>1036</v>
      </c>
      <c r="AA54" s="396" t="e">
        <f ca="1">VLOOKUP(Tableau118[[#This Row],[Key(ID-Actif)]],'DATA BTO'!A:N,5,FALSE)</f>
        <v>#N/A</v>
      </c>
      <c r="AB54" s="3" t="e">
        <f ca="1">VLOOKUP(Tableau118[[#This Row],[Key(ID-Actif)]],'DATA BTO'!A:N,6,FALSE)</f>
        <v>#N/A</v>
      </c>
      <c r="AC54" s="50" t="e">
        <f ca="1">VLOOKUP(Tableau118[[#This Row],[Key(ID-Actif)]],'DATA BTO'!A:N,7,FALSE)</f>
        <v>#N/A</v>
      </c>
      <c r="AD54" s="50" t="e">
        <f ca="1">VLOOKUP(Tableau118[[#This Row],[Key(ID-Actif)]],'DATA BTO'!A:N,8,FALSE)</f>
        <v>#N/A</v>
      </c>
      <c r="AE54" s="50" t="e">
        <f ca="1">IF(Tableau118[[#This Row],[First Day to POL]]&lt;=Tableau118[[#This Row],[Day Cut Off]],Tableau118[[#This Row],[Day ETD]],Tableau118[[#This Row],[Day ETD]]+7)</f>
        <v>#N/A</v>
      </c>
      <c r="AF54" s="50" t="e">
        <f ca="1">VLOOKUP(Tableau118[[#This Row],[Key(ID-Actif)]],'DATA BTO'!A:N,9,FALSE)</f>
        <v>#N/A</v>
      </c>
      <c r="AG54" s="3" t="e">
        <f ca="1">VLOOKUP(Tableau118[[#This Row],[Key(ID-Actif)]],'DATA BTO'!A:N,10,FALSE)</f>
        <v>#N/A</v>
      </c>
      <c r="AH54" s="3" t="e">
        <f ca="1">VLOOKUP(Tableau118[[#This Row],[Key(ID-Actif)]],'DATA BTO'!A:N,11,FALSE)</f>
        <v>#N/A</v>
      </c>
      <c r="AI54" s="50" t="e">
        <f ca="1">VLOOKUP(Tableau118[[#This Row],[Key(ID-Actif)]],'DATA BTO'!A:N,12,FALSE)</f>
        <v>#N/A</v>
      </c>
      <c r="AJ54" s="53" t="e">
        <f ca="1">VLOOKUP(Tableau118[[#This Row],[Key(ID-Actif)]],'DATA BTO'!A:N,14,FALSE)</f>
        <v>#N/A</v>
      </c>
      <c r="AK54" s="54" t="e">
        <f ca="1">VLOOKUP(Tableau118[[#This Row],[Key(POD -PFI- Usine)]],'DATA Consignee'!A:F,6,FALSE)</f>
        <v>#N/A</v>
      </c>
      <c r="AL54" s="127" t="s">
        <v>169</v>
      </c>
      <c r="AM54" s="438">
        <f>IF(Tableau118[[#This Row],[Name PFI/CDD]]="","-",VLOOKUP(Tableau118[[#This Row],[Name PFI/CDD]],Plant_AILN!I:J,2,FALSE))</f>
        <v>91018400</v>
      </c>
      <c r="AN54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54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54" s="2" t="e">
        <f ca="1">VLOOKUP(Tableau118[[#This Row],[Key(POD -PFI- Usine)]],'DATA Consignee'!A:J,10,FALSE)</f>
        <v>#N/A</v>
      </c>
      <c r="AQ54" s="50" t="e">
        <f ca="1">VLOOKUP(Tableau118[[#This Row],[Key(POD -PFI- Usine)]],'DATA Consignee'!A:N,14,FALSE)</f>
        <v>#N/A</v>
      </c>
      <c r="AR5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4" s="50" t="e">
        <f ca="1">Tableau118[[#This Row],[Transit time]]+Tableau118[[#This Row],[Time for security]]+Tableau118[[#This Row],[Time for security2 buffer]]</f>
        <v>#N/A</v>
      </c>
      <c r="AU5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4" s="433" t="e">
        <f ca="1">Tableau118[[#This Row],[Leadtime SI2C]]+Tableau118[[#This Row],[First Receipt Days]]-Tableau118[[#This Row],[Day Customer Order]]+1</f>
        <v>#N/A</v>
      </c>
      <c r="AW54" s="119" t="e">
        <f ca="1">IF(Tableau118[[#This Row],[Name ILN]]&lt;&gt;"SFK Freight Forwarder",Tableau118[[#This Row],[Cust. Leadtime]],Tableau118[[#This Row],[Leadtime SI2C]])</f>
        <v>#N/A</v>
      </c>
      <c r="AX54" s="51" t="str">
        <f>VLOOKUP(Tableau118[[#This Row],[ID]],'DATA BTO'!B:P,15,FALSE)</f>
        <v>Horse &gt; Renault BPH (MLP)</v>
      </c>
      <c r="AY54" s="338">
        <f ca="1">IFERROR(VLOOKUP(Tableau118[[#This Row],[Key(ID-Actif)]],'DATA BTO'!A:N,4,FALSE),VLOOKUP(Tableau118[[#This Row],[ID]],'DATA BTO'!B:N,3,FALSE))</f>
        <v>46142</v>
      </c>
      <c r="AZ54" s="50" t="str">
        <f>IF(ISNUMBER(Tableau118[[#This Row],[Day Customer Order]]),"-","Please Check 'Name' information in 'Order' Sheet to make sure they have information")</f>
        <v>-</v>
      </c>
      <c r="BA5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4" s="50"/>
    </row>
    <row r="55" spans="2:57">
      <c r="B55" s="67" t="str">
        <f>_xlfn.CONCAT(Tableau118[[#This Row],[Name ILN]],"-",Tableau118[[#This Row],[Name Shipper]],"-",Tableau118[[#This Row],[Name Site]])</f>
        <v>SFK Freight Forwarder-Jatco Japon-CORDOBA</v>
      </c>
      <c r="C55" s="67" t="e">
        <f ca="1">_xlfn.CONCAT(Tableau118[[#This Row],[Compte ILN]],"-",Tableau118[[#This Row],[Compte Shipper]],"-",Tableau118[[#This Row],[POL]],"-",Tableau118[[#This Row],[Compte Site]])</f>
        <v>#N/A</v>
      </c>
      <c r="D55" s="66" t="e">
        <f ca="1">_xlfn.CONCAT(Tableau118[[#This Row],[Compte ILN]],"-",Tableau118[[#This Row],[Compte Shipper]],"-",Tableau118[[#This Row],[POL]])</f>
        <v>#N/A</v>
      </c>
      <c r="E55" s="434" t="e">
        <f ca="1">_xlfn.CONCAT(Tableau118[[#This Row],[POL]],"-",Tableau118[[#This Row],[Carrier]],"-",Tableau118[[#This Row],[POD]])</f>
        <v>#N/A</v>
      </c>
      <c r="F55" s="66" t="str">
        <f>_xlfn.CONCAT(Tableau118[[#This Row],[ID]],"-","Next")</f>
        <v>1037-Next</v>
      </c>
      <c r="G55" s="66" t="e">
        <f ca="1">_xlfn.CONCAT(Tableau118[[#This Row],[POD]],"-",Tableau118[[#This Row],[Code PFI]],"-",Tableau118[[#This Row],[Compte Site]])</f>
        <v>#N/A</v>
      </c>
      <c r="H5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5" s="435" t="str">
        <f ca="1">IF(COUNTIF(I:I,Tableau118[[#This Row],[Plant-ILN-shipper-POL-Carrier-POD-PFI]])=1,"Non","Oui")</f>
        <v>Oui</v>
      </c>
      <c r="K55" s="436" t="str">
        <f>VLOOKUP(Tableau118[[#This Row],[Name Site]],Plant_AILN!A:D,4,FALSE)</f>
        <v>ARGENTINA</v>
      </c>
      <c r="L55" s="285" t="s">
        <v>158</v>
      </c>
      <c r="M55" s="439">
        <f>VLOOKUP(Tableau118[[#This Row],[Name Site]],Plant_AILN!A:C,3,FALSE)</f>
        <v>90016000</v>
      </c>
      <c r="N55" s="55">
        <f>IF(Tableau118[[#This Row],[Name PFI/CDD]]="PFI VLL",2,VLOOKUP(Tableau118[[#This Row],[Compte Site]],Order!C:D,2,FALSE))</f>
        <v>7</v>
      </c>
      <c r="O55" s="116" t="s">
        <v>146</v>
      </c>
      <c r="P55" s="365">
        <f>VLOOKUP(Tableau118[[#This Row],[Name ILN]],Plant_AILN!F:G,2,FALSE)</f>
        <v>0</v>
      </c>
      <c r="Q55" s="50">
        <f>VLOOKUP(Tableau118[[#This Row],[Compte ILN]],'DATA ILN'!D:I,6,FALSE)</f>
        <v>9</v>
      </c>
      <c r="R5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5" s="50" t="e">
        <f ca="1">Tableau118[[#This Row],[Day ILN Order]]+Tableau118[[#This Row],[Delivery time to ILN/Shipper]]-1</f>
        <v>#N/A</v>
      </c>
      <c r="V5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5" s="284" t="s">
        <v>178</v>
      </c>
      <c r="Y55" s="437">
        <f>IFERROR(VLOOKUP(Tableau118[[#This Row],[Name Shipper]],Plant_AILN!L:M,2,FALSE),0)</f>
        <v>119640</v>
      </c>
      <c r="Z55" s="406">
        <v>1037</v>
      </c>
      <c r="AA55" s="396" t="e">
        <f ca="1">VLOOKUP(Tableau118[[#This Row],[Key(ID-Actif)]],'DATA BTO'!A:N,5,FALSE)</f>
        <v>#N/A</v>
      </c>
      <c r="AB55" s="3" t="e">
        <f ca="1">VLOOKUP(Tableau118[[#This Row],[Key(ID-Actif)]],'DATA BTO'!A:N,6,FALSE)</f>
        <v>#N/A</v>
      </c>
      <c r="AC55" s="50" t="e">
        <f ca="1">VLOOKUP(Tableau118[[#This Row],[Key(ID-Actif)]],'DATA BTO'!A:N,7,FALSE)</f>
        <v>#N/A</v>
      </c>
      <c r="AD55" s="50" t="e">
        <f ca="1">VLOOKUP(Tableau118[[#This Row],[Key(ID-Actif)]],'DATA BTO'!A:N,8,FALSE)</f>
        <v>#N/A</v>
      </c>
      <c r="AE55" s="50" t="e">
        <f ca="1">IF(Tableau118[[#This Row],[First Day to POL]]&lt;=Tableau118[[#This Row],[Day Cut Off]],Tableau118[[#This Row],[Day ETD]],Tableau118[[#This Row],[Day ETD]]+7)</f>
        <v>#N/A</v>
      </c>
      <c r="AF55" s="50" t="e">
        <f ca="1">VLOOKUP(Tableau118[[#This Row],[Key(ID-Actif)]],'DATA BTO'!A:N,9,FALSE)</f>
        <v>#N/A</v>
      </c>
      <c r="AG55" s="3" t="e">
        <f ca="1">VLOOKUP(Tableau118[[#This Row],[Key(ID-Actif)]],'DATA BTO'!A:N,10,FALSE)</f>
        <v>#N/A</v>
      </c>
      <c r="AH55" s="3" t="e">
        <f ca="1">VLOOKUP(Tableau118[[#This Row],[Key(ID-Actif)]],'DATA BTO'!A:N,11,FALSE)</f>
        <v>#N/A</v>
      </c>
      <c r="AI55" s="50" t="e">
        <f ca="1">VLOOKUP(Tableau118[[#This Row],[Key(ID-Actif)]],'DATA BTO'!A:N,12,FALSE)</f>
        <v>#N/A</v>
      </c>
      <c r="AJ55" s="53" t="e">
        <f ca="1">VLOOKUP(Tableau118[[#This Row],[Key(ID-Actif)]],'DATA BTO'!A:N,14,FALSE)</f>
        <v>#N/A</v>
      </c>
      <c r="AK55" s="54" t="e">
        <f ca="1">VLOOKUP(Tableau118[[#This Row],[Key(POD -PFI- Usine)]],'DATA Consignee'!A:F,6,FALSE)</f>
        <v>#N/A</v>
      </c>
      <c r="AL55" s="127"/>
      <c r="AM55" s="438" t="str">
        <f>IF(Tableau118[[#This Row],[Name PFI/CDD]]="","-",VLOOKUP(Tableau118[[#This Row],[Name PFI/CDD]],Plant_AILN!I:J,2,FALSE))</f>
        <v>-</v>
      </c>
      <c r="AN5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5" s="2" t="e">
        <f ca="1">VLOOKUP(Tableau118[[#This Row],[Key(POD -PFI- Usine)]],'DATA Consignee'!A:J,10,FALSE)</f>
        <v>#N/A</v>
      </c>
      <c r="AQ55" s="50" t="e">
        <f ca="1">VLOOKUP(Tableau118[[#This Row],[Key(POD -PFI- Usine)]],'DATA Consignee'!A:N,14,FALSE)</f>
        <v>#N/A</v>
      </c>
      <c r="AR5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5" s="50" t="e">
        <f ca="1">Tableau118[[#This Row],[Transit time]]+Tableau118[[#This Row],[Time for security]]+Tableau118[[#This Row],[Time for security2 buffer]]</f>
        <v>#N/A</v>
      </c>
      <c r="AU5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5" s="433" t="e">
        <f ca="1">Tableau118[[#This Row],[Leadtime SI2C]]+Tableau118[[#This Row],[First Receipt Days]]-Tableau118[[#This Row],[Day Customer Order]]+1</f>
        <v>#N/A</v>
      </c>
      <c r="AW55" s="119" t="e">
        <f ca="1">IF(Tableau118[[#This Row],[Name ILN]]&lt;&gt;"SFK Freight Forwarder",Tableau118[[#This Row],[Cust. Leadtime]],Tableau118[[#This Row],[Leadtime SI2C]])</f>
        <v>#N/A</v>
      </c>
      <c r="AX55" s="51" t="str">
        <f>VLOOKUP(Tableau118[[#This Row],[ID]],'DATA BTO'!B:P,15,FALSE)</f>
        <v>Horse &gt; Renault BPH (MLP)</v>
      </c>
      <c r="AY55" s="338">
        <f ca="1">IFERROR(VLOOKUP(Tableau118[[#This Row],[Key(ID-Actif)]],'DATA BTO'!A:N,4,FALSE),VLOOKUP(Tableau118[[#This Row],[ID]],'DATA BTO'!B:N,3,FALSE))</f>
        <v>46142</v>
      </c>
      <c r="AZ55" s="50" t="str">
        <f>IF(ISNUMBER(Tableau118[[#This Row],[Day Customer Order]]),"-","Please Check 'Name' information in 'Order' Sheet to make sure they have information")</f>
        <v>-</v>
      </c>
      <c r="BA5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5" s="50"/>
    </row>
    <row r="56" spans="2:57">
      <c r="B56" s="67" t="str">
        <f>_xlfn.CONCAT(Tableau118[[#This Row],[Name ILN]],"-",Tableau118[[#This Row],[Name Shipper]],"-",Tableau118[[#This Row],[Name Site]])</f>
        <v>ILN Chine -ILN Chine -MOTORES</v>
      </c>
      <c r="C56" s="67" t="e">
        <f ca="1">_xlfn.CONCAT(Tableau118[[#This Row],[Compte ILN]],"-",Tableau118[[#This Row],[Compte Shipper]],"-",Tableau118[[#This Row],[POL]],"-",Tableau118[[#This Row],[Compte Site]])</f>
        <v>#N/A</v>
      </c>
      <c r="D56" s="66" t="e">
        <f ca="1">_xlfn.CONCAT(Tableau118[[#This Row],[Compte ILN]],"-",Tableau118[[#This Row],[Compte Shipper]],"-",Tableau118[[#This Row],[POL]])</f>
        <v>#N/A</v>
      </c>
      <c r="E56" s="434" t="e">
        <f ca="1">_xlfn.CONCAT(Tableau118[[#This Row],[POL]],"-",Tableau118[[#This Row],[Carrier]],"-",Tableau118[[#This Row],[POD]])</f>
        <v>#N/A</v>
      </c>
      <c r="F56" s="66" t="str">
        <f>_xlfn.CONCAT(Tableau118[[#This Row],[ID]],"-","Next")</f>
        <v>1039-Next</v>
      </c>
      <c r="G56" s="66" t="e">
        <f ca="1">_xlfn.CONCAT(Tableau118[[#This Row],[POD]],"-",Tableau118[[#This Row],[Code PFI]],"-",Tableau118[[#This Row],[Compte Site]])</f>
        <v>#N/A</v>
      </c>
      <c r="H5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6" s="435" t="str">
        <f ca="1">IF(COUNTIF(I:I,Tableau118[[#This Row],[Plant-ILN-shipper-POL-Carrier-POD-PFI]])=1,"Non","Oui")</f>
        <v>Oui</v>
      </c>
      <c r="K56" s="436" t="str">
        <f>VLOOKUP(Tableau118[[#This Row],[Name Site]],Plant_AILN!A:D,4,FALSE)</f>
        <v>SPAIN</v>
      </c>
      <c r="L56" s="285" t="s">
        <v>63</v>
      </c>
      <c r="M56" s="439">
        <f>VLOOKUP(Tableau118[[#This Row],[Name Site]],Plant_AILN!A:C,3,FALSE)</f>
        <v>91017700</v>
      </c>
      <c r="N56" s="55">
        <f>IF(Tableau118[[#This Row],[Name PFI/CDD]]="PFI VLL",2,VLOOKUP(Tableau118[[#This Row],[Compte Site]],Order!C:D,2,FALSE))</f>
        <v>7</v>
      </c>
      <c r="O56" s="116" t="s">
        <v>1</v>
      </c>
      <c r="P56" s="365">
        <f>VLOOKUP(Tableau118[[#This Row],[Name ILN]],Plant_AILN!F:G,2,FALSE)</f>
        <v>424479</v>
      </c>
      <c r="Q56" s="50">
        <f>VLOOKUP(Tableau118[[#This Row],[Compte ILN]],'DATA ILN'!D:I,6,FALSE)</f>
        <v>9</v>
      </c>
      <c r="R5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6" s="50" t="e">
        <f ca="1">Tableau118[[#This Row],[Day ILN Order]]+Tableau118[[#This Row],[Delivery time to ILN/Shipper]]-1</f>
        <v>#N/A</v>
      </c>
      <c r="V5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6" s="284" t="s">
        <v>1</v>
      </c>
      <c r="Y56" s="437">
        <f>IFERROR(VLOOKUP(Tableau118[[#This Row],[Name Shipper]],Plant_AILN!L:M,2,FALSE),0)</f>
        <v>424479</v>
      </c>
      <c r="Z56" s="406">
        <v>1039</v>
      </c>
      <c r="AA56" s="396" t="e">
        <f ca="1">VLOOKUP(Tableau118[[#This Row],[Key(ID-Actif)]],'DATA BTO'!A:N,5,FALSE)</f>
        <v>#N/A</v>
      </c>
      <c r="AB56" s="3" t="e">
        <f ca="1">VLOOKUP(Tableau118[[#This Row],[Key(ID-Actif)]],'DATA BTO'!A:N,6,FALSE)</f>
        <v>#N/A</v>
      </c>
      <c r="AC56" s="50" t="e">
        <f ca="1">VLOOKUP(Tableau118[[#This Row],[Key(ID-Actif)]],'DATA BTO'!A:N,7,FALSE)</f>
        <v>#N/A</v>
      </c>
      <c r="AD56" s="50" t="e">
        <f ca="1">VLOOKUP(Tableau118[[#This Row],[Key(ID-Actif)]],'DATA BTO'!A:N,8,FALSE)</f>
        <v>#N/A</v>
      </c>
      <c r="AE56" s="50" t="e">
        <f ca="1">IF(Tableau118[[#This Row],[First Day to POL]]&lt;=Tableau118[[#This Row],[Day Cut Off]],Tableau118[[#This Row],[Day ETD]],Tableau118[[#This Row],[Day ETD]]+7)</f>
        <v>#N/A</v>
      </c>
      <c r="AF56" s="50" t="e">
        <f ca="1">VLOOKUP(Tableau118[[#This Row],[Key(ID-Actif)]],'DATA BTO'!A:N,9,FALSE)</f>
        <v>#N/A</v>
      </c>
      <c r="AG56" s="3" t="e">
        <f ca="1">VLOOKUP(Tableau118[[#This Row],[Key(ID-Actif)]],'DATA BTO'!A:N,10,FALSE)</f>
        <v>#N/A</v>
      </c>
      <c r="AH56" s="3" t="e">
        <f ca="1">VLOOKUP(Tableau118[[#This Row],[Key(ID-Actif)]],'DATA BTO'!A:N,11,FALSE)</f>
        <v>#N/A</v>
      </c>
      <c r="AI56" s="50" t="e">
        <f ca="1">VLOOKUP(Tableau118[[#This Row],[Key(ID-Actif)]],'DATA BTO'!A:N,12,FALSE)</f>
        <v>#N/A</v>
      </c>
      <c r="AJ56" s="53" t="e">
        <f ca="1">VLOOKUP(Tableau118[[#This Row],[Key(ID-Actif)]],'DATA BTO'!A:N,14,FALSE)</f>
        <v>#N/A</v>
      </c>
      <c r="AK56" s="54" t="e">
        <f ca="1">VLOOKUP(Tableau118[[#This Row],[Key(POD -PFI- Usine)]],'DATA Consignee'!A:F,6,FALSE)</f>
        <v>#N/A</v>
      </c>
      <c r="AL56" s="127"/>
      <c r="AM56" s="438" t="str">
        <f>IF(Tableau118[[#This Row],[Name PFI/CDD]]="","-",VLOOKUP(Tableau118[[#This Row],[Name PFI/CDD]],Plant_AILN!I:J,2,FALSE))</f>
        <v>-</v>
      </c>
      <c r="AN5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6" s="2" t="e">
        <f ca="1">VLOOKUP(Tableau118[[#This Row],[Key(POD -PFI- Usine)]],'DATA Consignee'!A:J,10,FALSE)</f>
        <v>#N/A</v>
      </c>
      <c r="AQ56" s="50" t="e">
        <f ca="1">VLOOKUP(Tableau118[[#This Row],[Key(POD -PFI- Usine)]],'DATA Consignee'!A:N,14,FALSE)</f>
        <v>#N/A</v>
      </c>
      <c r="AR5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6" s="50" t="e">
        <f ca="1">Tableau118[[#This Row],[Transit time]]+Tableau118[[#This Row],[Time for security]]+Tableau118[[#This Row],[Time for security2 buffer]]</f>
        <v>#N/A</v>
      </c>
      <c r="AU5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6" s="433" t="e">
        <f ca="1">Tableau118[[#This Row],[Leadtime SI2C]]+Tableau118[[#This Row],[First Receipt Days]]-Tableau118[[#This Row],[Day Customer Order]]+1</f>
        <v>#N/A</v>
      </c>
      <c r="AW56" s="119" t="e">
        <f ca="1">IF(Tableau118[[#This Row],[Name ILN]]&lt;&gt;"SFK Freight Forwarder",Tableau118[[#This Row],[Cust. Leadtime]],Tableau118[[#This Row],[Leadtime SI2C]])</f>
        <v>#N/A</v>
      </c>
      <c r="AX56" s="51" t="str">
        <f>VLOOKUP(Tableau118[[#This Row],[ID]],'DATA BTO'!B:P,15,FALSE)</f>
        <v>Renault &gt; Horse BPH</v>
      </c>
      <c r="AY56" s="338">
        <f ca="1">IFERROR(VLOOKUP(Tableau118[[#This Row],[Key(ID-Actif)]],'DATA BTO'!A:N,4,FALSE),VLOOKUP(Tableau118[[#This Row],[ID]],'DATA BTO'!B:N,3,FALSE))</f>
        <v>46142</v>
      </c>
      <c r="AZ56" s="50" t="str">
        <f>IF(ISNUMBER(Tableau118[[#This Row],[Day Customer Order]]),"-","Please Check 'Name' information in 'Order' Sheet to make sure they have information")</f>
        <v>-</v>
      </c>
      <c r="BA5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6" s="50"/>
    </row>
    <row r="57" spans="2:57">
      <c r="B57" s="67" t="str">
        <f>_xlfn.CONCAT(Tableau118[[#This Row],[Name ILN]],"-",Tableau118[[#This Row],[Name Shipper]],"-",Tableau118[[#This Row],[Name Site]])</f>
        <v>SFK Freight Forwarder-Jatco Japon-CHENNAI Vehicule</v>
      </c>
      <c r="C57" s="67" t="e">
        <f ca="1">_xlfn.CONCAT(Tableau118[[#This Row],[Compte ILN]],"-",Tableau118[[#This Row],[Compte Shipper]],"-",Tableau118[[#This Row],[POL]],"-",Tableau118[[#This Row],[Compte Site]])</f>
        <v>#N/A</v>
      </c>
      <c r="D57" s="66" t="e">
        <f ca="1">_xlfn.CONCAT(Tableau118[[#This Row],[Compte ILN]],"-",Tableau118[[#This Row],[Compte Shipper]],"-",Tableau118[[#This Row],[POL]])</f>
        <v>#N/A</v>
      </c>
      <c r="E57" s="434" t="e">
        <f ca="1">_xlfn.CONCAT(Tableau118[[#This Row],[POL]],"-",Tableau118[[#This Row],[Carrier]],"-",Tableau118[[#This Row],[POD]])</f>
        <v>#N/A</v>
      </c>
      <c r="F57" s="66" t="str">
        <f>_xlfn.CONCAT(Tableau118[[#This Row],[ID]],"-","Next")</f>
        <v>1040-Next</v>
      </c>
      <c r="G57" s="66" t="e">
        <f ca="1">_xlfn.CONCAT(Tableau118[[#This Row],[POD]],"-",Tableau118[[#This Row],[Code PFI]],"-",Tableau118[[#This Row],[Compte Site]])</f>
        <v>#N/A</v>
      </c>
      <c r="H5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7" s="435" t="str">
        <f ca="1">IF(COUNTIF(I:I,Tableau118[[#This Row],[Plant-ILN-shipper-POL-Carrier-POD-PFI]])=1,"Non","Oui")</f>
        <v>Oui</v>
      </c>
      <c r="K57" s="436" t="str">
        <f>VLOOKUP(Tableau118[[#This Row],[Name Site]],Plant_AILN!A:D,4,FALSE)</f>
        <v>INDIA</v>
      </c>
      <c r="L57" s="285" t="s">
        <v>159</v>
      </c>
      <c r="M57" s="439">
        <f>VLOOKUP(Tableau118[[#This Row],[Name Site]],Plant_AILN!A:C,3,FALSE)</f>
        <v>26549502</v>
      </c>
      <c r="N57" s="55">
        <f>IF(Tableau118[[#This Row],[Name PFI/CDD]]="PFI VLL",2,VLOOKUP(Tableau118[[#This Row],[Compte Site]],Order!C:D,2,FALSE))</f>
        <v>5</v>
      </c>
      <c r="O57" s="116" t="s">
        <v>146</v>
      </c>
      <c r="P57" s="365">
        <f>VLOOKUP(Tableau118[[#This Row],[Name ILN]],Plant_AILN!F:G,2,FALSE)</f>
        <v>0</v>
      </c>
      <c r="Q57" s="50">
        <f>VLOOKUP(Tableau118[[#This Row],[Compte ILN]],'DATA ILN'!D:I,6,FALSE)</f>
        <v>9</v>
      </c>
      <c r="R5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7" s="50" t="e">
        <f ca="1">Tableau118[[#This Row],[Day ILN Order]]+Tableau118[[#This Row],[Delivery time to ILN/Shipper]]-1</f>
        <v>#N/A</v>
      </c>
      <c r="V5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7" s="284" t="s">
        <v>178</v>
      </c>
      <c r="Y57" s="437">
        <f>IFERROR(VLOOKUP(Tableau118[[#This Row],[Name Shipper]],Plant_AILN!L:M,2,FALSE),0)</f>
        <v>119640</v>
      </c>
      <c r="Z57" s="406">
        <v>1040</v>
      </c>
      <c r="AA57" s="396" t="e">
        <f ca="1">VLOOKUP(Tableau118[[#This Row],[Key(ID-Actif)]],'DATA BTO'!A:N,5,FALSE)</f>
        <v>#N/A</v>
      </c>
      <c r="AB57" s="3" t="e">
        <f ca="1">VLOOKUP(Tableau118[[#This Row],[Key(ID-Actif)]],'DATA BTO'!A:N,6,FALSE)</f>
        <v>#N/A</v>
      </c>
      <c r="AC57" s="50" t="e">
        <f ca="1">VLOOKUP(Tableau118[[#This Row],[Key(ID-Actif)]],'DATA BTO'!A:N,7,FALSE)</f>
        <v>#N/A</v>
      </c>
      <c r="AD57" s="50" t="e">
        <f ca="1">VLOOKUP(Tableau118[[#This Row],[Key(ID-Actif)]],'DATA BTO'!A:N,8,FALSE)</f>
        <v>#N/A</v>
      </c>
      <c r="AE57" s="50" t="e">
        <f ca="1">IF(Tableau118[[#This Row],[First Day to POL]]&lt;=Tableau118[[#This Row],[Day Cut Off]],Tableau118[[#This Row],[Day ETD]],Tableau118[[#This Row],[Day ETD]]+7)</f>
        <v>#N/A</v>
      </c>
      <c r="AF57" s="50" t="e">
        <f ca="1">VLOOKUP(Tableau118[[#This Row],[Key(ID-Actif)]],'DATA BTO'!A:N,9,FALSE)</f>
        <v>#N/A</v>
      </c>
      <c r="AG57" s="3" t="e">
        <f ca="1">VLOOKUP(Tableau118[[#This Row],[Key(ID-Actif)]],'DATA BTO'!A:N,10,FALSE)</f>
        <v>#N/A</v>
      </c>
      <c r="AH57" s="3" t="e">
        <f ca="1">VLOOKUP(Tableau118[[#This Row],[Key(ID-Actif)]],'DATA BTO'!A:N,11,FALSE)</f>
        <v>#N/A</v>
      </c>
      <c r="AI57" s="50" t="e">
        <f ca="1">VLOOKUP(Tableau118[[#This Row],[Key(ID-Actif)]],'DATA BTO'!A:N,12,FALSE)</f>
        <v>#N/A</v>
      </c>
      <c r="AJ57" s="53" t="e">
        <f ca="1">VLOOKUP(Tableau118[[#This Row],[Key(ID-Actif)]],'DATA BTO'!A:N,14,FALSE)</f>
        <v>#N/A</v>
      </c>
      <c r="AK57" s="54" t="e">
        <f ca="1">VLOOKUP(Tableau118[[#This Row],[Key(POD -PFI- Usine)]],'DATA Consignee'!A:F,6,FALSE)</f>
        <v>#N/A</v>
      </c>
      <c r="AL57" s="127"/>
      <c r="AM57" s="438" t="str">
        <f>IF(Tableau118[[#This Row],[Name PFI/CDD]]="","-",VLOOKUP(Tableau118[[#This Row],[Name PFI/CDD]],Plant_AILN!I:J,2,FALSE))</f>
        <v>-</v>
      </c>
      <c r="AN5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7" s="2" t="e">
        <f ca="1">VLOOKUP(Tableau118[[#This Row],[Key(POD -PFI- Usine)]],'DATA Consignee'!A:J,10,FALSE)</f>
        <v>#N/A</v>
      </c>
      <c r="AQ57" s="50" t="e">
        <f ca="1">VLOOKUP(Tableau118[[#This Row],[Key(POD -PFI- Usine)]],'DATA Consignee'!A:N,14,FALSE)</f>
        <v>#N/A</v>
      </c>
      <c r="AR5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7" s="50" t="e">
        <f ca="1">Tableau118[[#This Row],[Transit time]]+Tableau118[[#This Row],[Time for security]]+Tableau118[[#This Row],[Time for security2 buffer]]</f>
        <v>#N/A</v>
      </c>
      <c r="AU5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7" s="433" t="e">
        <f ca="1">Tableau118[[#This Row],[Leadtime SI2C]]+Tableau118[[#This Row],[First Receipt Days]]-Tableau118[[#This Row],[Day Customer Order]]+1</f>
        <v>#N/A</v>
      </c>
      <c r="AW57" s="119" t="e">
        <f ca="1">IF(Tableau118[[#This Row],[Name ILN]]&lt;&gt;"SFK Freight Forwarder",Tableau118[[#This Row],[Cust. Leadtime]],Tableau118[[#This Row],[Leadtime SI2C]])</f>
        <v>#N/A</v>
      </c>
      <c r="AX57" s="51" t="str">
        <f>VLOOKUP(Tableau118[[#This Row],[ID]],'DATA BTO'!B:P,15,FALSE)</f>
        <v>Horse &gt; Renault BPH (MLP)</v>
      </c>
      <c r="AY57" s="338">
        <f ca="1">IFERROR(VLOOKUP(Tableau118[[#This Row],[Key(ID-Actif)]],'DATA BTO'!A:N,4,FALSE),VLOOKUP(Tableau118[[#This Row],[ID]],'DATA BTO'!B:N,3,FALSE))</f>
        <v>46142</v>
      </c>
      <c r="AZ57" s="50" t="str">
        <f>IF(ISNUMBER(Tableau118[[#This Row],[Day Customer Order]]),"-","Please Check 'Name' information in 'Order' Sheet to make sure they have information")</f>
        <v>-</v>
      </c>
      <c r="BA5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7" s="50"/>
    </row>
    <row r="58" spans="2:57">
      <c r="B58" s="67" t="str">
        <f>_xlfn.CONCAT(Tableau118[[#This Row],[Name ILN]],"-",Tableau118[[#This Row],[Name Shipper]],"-",Tableau118[[#This Row],[Name Site]])</f>
        <v>ILN Chine -ILN Chine -OYAK MEKA</v>
      </c>
      <c r="C58" s="67" t="e">
        <f ca="1">_xlfn.CONCAT(Tableau118[[#This Row],[Compte ILN]],"-",Tableau118[[#This Row],[Compte Shipper]],"-",Tableau118[[#This Row],[POL]],"-",Tableau118[[#This Row],[Compte Site]])</f>
        <v>#N/A</v>
      </c>
      <c r="D58" s="66" t="e">
        <f ca="1">_xlfn.CONCAT(Tableau118[[#This Row],[Compte ILN]],"-",Tableau118[[#This Row],[Compte Shipper]],"-",Tableau118[[#This Row],[POL]])</f>
        <v>#N/A</v>
      </c>
      <c r="E58" s="434" t="e">
        <f ca="1">_xlfn.CONCAT(Tableau118[[#This Row],[POL]],"-",Tableau118[[#This Row],[Carrier]],"-",Tableau118[[#This Row],[POD]])</f>
        <v>#N/A</v>
      </c>
      <c r="F58" s="66" t="str">
        <f>_xlfn.CONCAT(Tableau118[[#This Row],[ID]],"-","Next")</f>
        <v>1045-Next</v>
      </c>
      <c r="G58" s="66" t="e">
        <f ca="1">_xlfn.CONCAT(Tableau118[[#This Row],[POD]],"-",Tableau118[[#This Row],[Code PFI]],"-",Tableau118[[#This Row],[Compte Site]])</f>
        <v>#N/A</v>
      </c>
      <c r="H5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8" s="435" t="str">
        <f ca="1">IF(COUNTIF(I:I,Tableau118[[#This Row],[Plant-ILN-shipper-POL-Carrier-POD-PFI]])=1,"Non","Oui")</f>
        <v>Oui</v>
      </c>
      <c r="K58" s="436" t="str">
        <f>VLOOKUP(Tableau118[[#This Row],[Name Site]],Plant_AILN!A:D,4,FALSE)</f>
        <v>TURKEY</v>
      </c>
      <c r="L58" s="285" t="s">
        <v>165</v>
      </c>
      <c r="M58" s="431">
        <f>VLOOKUP(Tableau118[[#This Row],[Name Site]],Plant_AILN!A:C,3,FALSE)</f>
        <v>90014400</v>
      </c>
      <c r="N58" s="55">
        <f>IF(Tableau118[[#This Row],[Name PFI/CDD]]="PFI VLL",2,VLOOKUP(Tableau118[[#This Row],[Compte Site]],Order!C:D,2,FALSE))</f>
        <v>2</v>
      </c>
      <c r="O58" s="116" t="s">
        <v>1</v>
      </c>
      <c r="P58" s="365">
        <f>VLOOKUP(Tableau118[[#This Row],[Name ILN]],Plant_AILN!F:G,2,FALSE)</f>
        <v>424479</v>
      </c>
      <c r="Q58" s="50">
        <f>VLOOKUP(Tableau118[[#This Row],[Compte ILN]],'DATA ILN'!D:I,6,FALSE)</f>
        <v>9</v>
      </c>
      <c r="R5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8" s="50" t="e">
        <f ca="1">Tableau118[[#This Row],[Day ILN Order]]+Tableau118[[#This Row],[Delivery time to ILN/Shipper]]-1</f>
        <v>#N/A</v>
      </c>
      <c r="V5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8" s="284" t="s">
        <v>1</v>
      </c>
      <c r="Y58" s="437">
        <f>IFERROR(VLOOKUP(Tableau118[[#This Row],[Name Shipper]],Plant_AILN!L:M,2,FALSE),0)</f>
        <v>424479</v>
      </c>
      <c r="Z58" s="406">
        <v>1045</v>
      </c>
      <c r="AA58" s="396" t="e">
        <f ca="1">VLOOKUP(Tableau118[[#This Row],[Key(ID-Actif)]],'DATA BTO'!A:N,5,FALSE)</f>
        <v>#N/A</v>
      </c>
      <c r="AB58" s="3" t="e">
        <f ca="1">VLOOKUP(Tableau118[[#This Row],[Key(ID-Actif)]],'DATA BTO'!A:N,6,FALSE)</f>
        <v>#N/A</v>
      </c>
      <c r="AC58" s="50" t="e">
        <f ca="1">VLOOKUP(Tableau118[[#This Row],[Key(ID-Actif)]],'DATA BTO'!A:N,7,FALSE)</f>
        <v>#N/A</v>
      </c>
      <c r="AD58" s="50" t="e">
        <f ca="1">VLOOKUP(Tableau118[[#This Row],[Key(ID-Actif)]],'DATA BTO'!A:N,8,FALSE)</f>
        <v>#N/A</v>
      </c>
      <c r="AE58" s="50" t="e">
        <f ca="1">IF(Tableau118[[#This Row],[First Day to POL]]&lt;=Tableau118[[#This Row],[Day Cut Off]],Tableau118[[#This Row],[Day ETD]],Tableau118[[#This Row],[Day ETD]]+7)</f>
        <v>#N/A</v>
      </c>
      <c r="AF58" s="50" t="e">
        <f ca="1">VLOOKUP(Tableau118[[#This Row],[Key(ID-Actif)]],'DATA BTO'!A:N,9,FALSE)</f>
        <v>#N/A</v>
      </c>
      <c r="AG58" s="3" t="e">
        <f ca="1">VLOOKUP(Tableau118[[#This Row],[Key(ID-Actif)]],'DATA BTO'!A:N,10,FALSE)</f>
        <v>#N/A</v>
      </c>
      <c r="AH58" s="3" t="e">
        <f ca="1">VLOOKUP(Tableau118[[#This Row],[Key(ID-Actif)]],'DATA BTO'!A:N,11,FALSE)</f>
        <v>#N/A</v>
      </c>
      <c r="AI58" s="50" t="e">
        <f ca="1">VLOOKUP(Tableau118[[#This Row],[Key(ID-Actif)]],'DATA BTO'!A:N,12,FALSE)</f>
        <v>#N/A</v>
      </c>
      <c r="AJ58" s="53" t="e">
        <f ca="1">VLOOKUP(Tableau118[[#This Row],[Key(ID-Actif)]],'DATA BTO'!A:N,14,FALSE)</f>
        <v>#N/A</v>
      </c>
      <c r="AK58" s="54" t="e">
        <f ca="1">VLOOKUP(Tableau118[[#This Row],[Key(POD -PFI- Usine)]],'DATA Consignee'!A:F,6,FALSE)</f>
        <v>#N/A</v>
      </c>
      <c r="AL58" s="127"/>
      <c r="AM58" s="438" t="str">
        <f>IF(Tableau118[[#This Row],[Name PFI/CDD]]="","-",VLOOKUP(Tableau118[[#This Row],[Name PFI/CDD]],Plant_AILN!I:J,2,FALSE))</f>
        <v>-</v>
      </c>
      <c r="AN5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8" s="2" t="e">
        <f ca="1">VLOOKUP(Tableau118[[#This Row],[Key(POD -PFI- Usine)]],'DATA Consignee'!A:J,10,FALSE)</f>
        <v>#N/A</v>
      </c>
      <c r="AQ58" s="50" t="e">
        <f ca="1">VLOOKUP(Tableau118[[#This Row],[Key(POD -PFI- Usine)]],'DATA Consignee'!A:N,14,FALSE)</f>
        <v>#N/A</v>
      </c>
      <c r="AR5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8" s="50" t="e">
        <f ca="1">Tableau118[[#This Row],[Transit time]]+Tableau118[[#This Row],[Time for security]]+Tableau118[[#This Row],[Time for security2 buffer]]</f>
        <v>#N/A</v>
      </c>
      <c r="AU5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8" s="433" t="e">
        <f ca="1">Tableau118[[#This Row],[Leadtime SI2C]]+Tableau118[[#This Row],[First Receipt Days]]-Tableau118[[#This Row],[Day Customer Order]]+1</f>
        <v>#N/A</v>
      </c>
      <c r="AW58" s="119" t="e">
        <f ca="1">IF(Tableau118[[#This Row],[Name ILN]]&lt;&gt;"SFK Freight Forwarder",Tableau118[[#This Row],[Cust. Leadtime]],Tableau118[[#This Row],[Leadtime SI2C]])</f>
        <v>#N/A</v>
      </c>
      <c r="AX58" s="51" t="str">
        <f>VLOOKUP(Tableau118[[#This Row],[ID]],'DATA BTO'!B:P,15,FALSE)</f>
        <v>Renault &gt; Horse BPH</v>
      </c>
      <c r="AY58" s="338">
        <f ca="1">IFERROR(VLOOKUP(Tableau118[[#This Row],[Key(ID-Actif)]],'DATA BTO'!A:N,4,FALSE),VLOOKUP(Tableau118[[#This Row],[ID]],'DATA BTO'!B:N,3,FALSE))</f>
        <v>45961</v>
      </c>
      <c r="AZ58" s="50" t="str">
        <f>IF(ISNUMBER(Tableau118[[#This Row],[Day Customer Order]]),"-","Please Check 'Name' information in 'Order' Sheet to make sure they have information")</f>
        <v>-</v>
      </c>
      <c r="BA5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8" s="50"/>
    </row>
    <row r="59" spans="2:57">
      <c r="B59" s="67" t="str">
        <f>_xlfn.CONCAT(Tableau118[[#This Row],[Name ILN]],"-",Tableau118[[#This Row],[Name Shipper]],"-",Tableau118[[#This Row],[Name Site]])</f>
        <v>ILN Chine -ILN Chine -OYAK MONT</v>
      </c>
      <c r="C59" s="67" t="e">
        <f ca="1">_xlfn.CONCAT(Tableau118[[#This Row],[Compte ILN]],"-",Tableau118[[#This Row],[Compte Shipper]],"-",Tableau118[[#This Row],[POL]],"-",Tableau118[[#This Row],[Compte Site]])</f>
        <v>#N/A</v>
      </c>
      <c r="D59" s="66" t="e">
        <f ca="1">_xlfn.CONCAT(Tableau118[[#This Row],[Compte ILN]],"-",Tableau118[[#This Row],[Compte Shipper]],"-",Tableau118[[#This Row],[POL]])</f>
        <v>#N/A</v>
      </c>
      <c r="E59" s="434" t="e">
        <f ca="1">_xlfn.CONCAT(Tableau118[[#This Row],[POL]],"-",Tableau118[[#This Row],[Carrier]],"-",Tableau118[[#This Row],[POD]])</f>
        <v>#N/A</v>
      </c>
      <c r="F59" s="66" t="str">
        <f>_xlfn.CONCAT(Tableau118[[#This Row],[ID]],"-","Next")</f>
        <v>1045-Next</v>
      </c>
      <c r="G59" s="66" t="e">
        <f ca="1">_xlfn.CONCAT(Tableau118[[#This Row],[POD]],"-",Tableau118[[#This Row],[Code PFI]],"-",Tableau118[[#This Row],[Compte Site]])</f>
        <v>#N/A</v>
      </c>
      <c r="H5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9" s="435" t="str">
        <f ca="1">IF(COUNTIF(I:I,Tableau118[[#This Row],[Plant-ILN-shipper-POL-Carrier-POD-PFI]])=1,"Non","Oui")</f>
        <v>Oui</v>
      </c>
      <c r="K59" s="440" t="str">
        <f>VLOOKUP(Tableau118[[#This Row],[Name Site]],Plant_AILN!A:D,4,FALSE)</f>
        <v>TURKEY</v>
      </c>
      <c r="L59" s="285" t="s">
        <v>173</v>
      </c>
      <c r="M59" s="431">
        <f>VLOOKUP(Tableau118[[#This Row],[Name Site]],Plant_AILN!A:C,3,FALSE)</f>
        <v>90017000</v>
      </c>
      <c r="N59" s="55">
        <f>IF(Tableau118[[#This Row],[Name PFI/CDD]]="PFI VLL",2,VLOOKUP(Tableau118[[#This Row],[Compte Site]],Order!C:D,2,FALSE))</f>
        <v>7</v>
      </c>
      <c r="O59" s="116" t="s">
        <v>1</v>
      </c>
      <c r="P59" s="365">
        <f>VLOOKUP(Tableau118[[#This Row],[Name ILN]],Plant_AILN!F:G,2,FALSE)</f>
        <v>424479</v>
      </c>
      <c r="Q59" s="50">
        <f>VLOOKUP(Tableau118[[#This Row],[Compte ILN]],'DATA ILN'!D:I,6,FALSE)</f>
        <v>9</v>
      </c>
      <c r="R5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5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5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59" s="50" t="e">
        <f ca="1">Tableau118[[#This Row],[Day ILN Order]]+Tableau118[[#This Row],[Delivery time to ILN/Shipper]]-1</f>
        <v>#N/A</v>
      </c>
      <c r="V5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5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59" s="284" t="s">
        <v>1</v>
      </c>
      <c r="Y59" s="437">
        <f>IFERROR(VLOOKUP(Tableau118[[#This Row],[Name Shipper]],Plant_AILN!L:M,2,FALSE),0)</f>
        <v>424479</v>
      </c>
      <c r="Z59" s="406">
        <v>1045</v>
      </c>
      <c r="AA59" s="396" t="e">
        <f ca="1">VLOOKUP(Tableau118[[#This Row],[Key(ID-Actif)]],'DATA BTO'!A:N,5,FALSE)</f>
        <v>#N/A</v>
      </c>
      <c r="AB59" s="3" t="e">
        <f ca="1">VLOOKUP(Tableau118[[#This Row],[Key(ID-Actif)]],'DATA BTO'!A:N,6,FALSE)</f>
        <v>#N/A</v>
      </c>
      <c r="AC59" s="50" t="e">
        <f ca="1">VLOOKUP(Tableau118[[#This Row],[Key(ID-Actif)]],'DATA BTO'!A:N,7,FALSE)</f>
        <v>#N/A</v>
      </c>
      <c r="AD59" s="50" t="e">
        <f ca="1">VLOOKUP(Tableau118[[#This Row],[Key(ID-Actif)]],'DATA BTO'!A:N,8,FALSE)</f>
        <v>#N/A</v>
      </c>
      <c r="AE59" s="50" t="e">
        <f ca="1">IF(Tableau118[[#This Row],[First Day to POL]]&lt;=Tableau118[[#This Row],[Day Cut Off]],Tableau118[[#This Row],[Day ETD]],Tableau118[[#This Row],[Day ETD]]+7)</f>
        <v>#N/A</v>
      </c>
      <c r="AF59" s="50" t="e">
        <f ca="1">VLOOKUP(Tableau118[[#This Row],[Key(ID-Actif)]],'DATA BTO'!A:N,9,FALSE)</f>
        <v>#N/A</v>
      </c>
      <c r="AG59" s="3" t="e">
        <f ca="1">VLOOKUP(Tableau118[[#This Row],[Key(ID-Actif)]],'DATA BTO'!A:N,10,FALSE)</f>
        <v>#N/A</v>
      </c>
      <c r="AH59" s="3" t="e">
        <f ca="1">VLOOKUP(Tableau118[[#This Row],[Key(ID-Actif)]],'DATA BTO'!A:N,11,FALSE)</f>
        <v>#N/A</v>
      </c>
      <c r="AI59" s="50" t="e">
        <f ca="1">VLOOKUP(Tableau118[[#This Row],[Key(ID-Actif)]],'DATA BTO'!A:N,12,FALSE)</f>
        <v>#N/A</v>
      </c>
      <c r="AJ59" s="53" t="e">
        <f ca="1">VLOOKUP(Tableau118[[#This Row],[Key(ID-Actif)]],'DATA BTO'!A:N,14,FALSE)</f>
        <v>#N/A</v>
      </c>
      <c r="AK59" s="54" t="e">
        <f ca="1">VLOOKUP(Tableau118[[#This Row],[Key(POD -PFI- Usine)]],'DATA Consignee'!A:F,6,FALSE)</f>
        <v>#N/A</v>
      </c>
      <c r="AL59" s="127"/>
      <c r="AM59" s="438" t="str">
        <f>IF(Tableau118[[#This Row],[Name PFI/CDD]]="","-",VLOOKUP(Tableau118[[#This Row],[Name PFI/CDD]],Plant_AILN!I:J,2,FALSE))</f>
        <v>-</v>
      </c>
      <c r="AN5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9" s="2" t="e">
        <f ca="1">VLOOKUP(Tableau118[[#This Row],[Key(POD -PFI- Usine)]],'DATA Consignee'!A:J,10,FALSE)</f>
        <v>#N/A</v>
      </c>
      <c r="AQ59" s="50" t="e">
        <f ca="1">VLOOKUP(Tableau118[[#This Row],[Key(POD -PFI- Usine)]],'DATA Consignee'!A:N,14,FALSE)</f>
        <v>#N/A</v>
      </c>
      <c r="AR5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9" s="50" t="e">
        <f ca="1">Tableau118[[#This Row],[Transit time]]+Tableau118[[#This Row],[Time for security]]+Tableau118[[#This Row],[Time for security2 buffer]]</f>
        <v>#N/A</v>
      </c>
      <c r="AU5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9" s="433" t="e">
        <f ca="1">Tableau118[[#This Row],[Leadtime SI2C]]+Tableau118[[#This Row],[First Receipt Days]]-Tableau118[[#This Row],[Day Customer Order]]+1</f>
        <v>#N/A</v>
      </c>
      <c r="AW59" s="119" t="e">
        <f ca="1">IF(Tableau118[[#This Row],[Name ILN]]&lt;&gt;"SFK Freight Forwarder",Tableau118[[#This Row],[Cust. Leadtime]],Tableau118[[#This Row],[Leadtime SI2C]])</f>
        <v>#N/A</v>
      </c>
      <c r="AX59" s="51" t="str">
        <f>VLOOKUP(Tableau118[[#This Row],[ID]],'DATA BTO'!B:P,15,FALSE)</f>
        <v>Renault &gt; Horse BPH</v>
      </c>
      <c r="AY59" s="338">
        <f ca="1">IFERROR(VLOOKUP(Tableau118[[#This Row],[Key(ID-Actif)]],'DATA BTO'!A:N,4,FALSE),VLOOKUP(Tableau118[[#This Row],[ID]],'DATA BTO'!B:N,3,FALSE))</f>
        <v>45961</v>
      </c>
      <c r="AZ59" s="50" t="str">
        <f>IF(ISNUMBER(Tableau118[[#This Row],[Day Customer Order]]),"-","Please Check 'Name' information in 'Order' Sheet to make sure they have information")</f>
        <v>-</v>
      </c>
      <c r="BA5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5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9" s="50"/>
    </row>
    <row r="60" spans="2:57">
      <c r="B60" s="67" t="str">
        <f>_xlfn.CONCAT(Tableau118[[#This Row],[Name ILN]],"-",Tableau118[[#This Row],[Name Shipper]],"-",Tableau118[[#This Row],[Name Site]])</f>
        <v>SFK Freight Forwarder-Jatco Thailande-SOFASA</v>
      </c>
      <c r="C60" s="67" t="e">
        <f ca="1">_xlfn.CONCAT(Tableau118[[#This Row],[Compte ILN]],"-",Tableau118[[#This Row],[Compte Shipper]],"-",Tableau118[[#This Row],[POL]],"-",Tableau118[[#This Row],[Compte Site]])</f>
        <v>#N/A</v>
      </c>
      <c r="D60" s="66" t="e">
        <f ca="1">_xlfn.CONCAT(Tableau118[[#This Row],[Compte ILN]],"-",Tableau118[[#This Row],[Compte Shipper]],"-",Tableau118[[#This Row],[POL]])</f>
        <v>#N/A</v>
      </c>
      <c r="E60" s="434" t="e">
        <f ca="1">_xlfn.CONCAT(Tableau118[[#This Row],[POL]],"-",Tableau118[[#This Row],[Carrier]],"-",Tableau118[[#This Row],[POD]])</f>
        <v>#N/A</v>
      </c>
      <c r="F60" s="66" t="str">
        <f>_xlfn.CONCAT(Tableau118[[#This Row],[ID]],"-","Next")</f>
        <v>1065-Next</v>
      </c>
      <c r="G60" s="66" t="e">
        <f ca="1">_xlfn.CONCAT(Tableau118[[#This Row],[POD]],"-",Tableau118[[#This Row],[Code PFI]],"-",Tableau118[[#This Row],[Compte Site]])</f>
        <v>#N/A</v>
      </c>
      <c r="H6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0" s="435" t="str">
        <f ca="1">IF(COUNTIF(I:I,Tableau118[[#This Row],[Plant-ILN-shipper-POL-Carrier-POD-PFI]])=1,"Non","Oui")</f>
        <v>Oui</v>
      </c>
      <c r="K60" s="440" t="str">
        <f>VLOOKUP(Tableau118[[#This Row],[Name Site]],Plant_AILN!A:D,4,FALSE)</f>
        <v>COLOMBIA</v>
      </c>
      <c r="L60" s="285" t="s">
        <v>177</v>
      </c>
      <c r="M60" s="431">
        <f>VLOOKUP(Tableau118[[#This Row],[Name Site]],Plant_AILN!A:C,3,FALSE)</f>
        <v>9510600</v>
      </c>
      <c r="N60" s="55">
        <f>IF(Tableau118[[#This Row],[Name PFI/CDD]]="PFI VLL",2,VLOOKUP(Tableau118[[#This Row],[Compte Site]],Order!C:D,2,FALSE))</f>
        <v>7</v>
      </c>
      <c r="O60" s="116" t="s">
        <v>146</v>
      </c>
      <c r="P60" s="365">
        <f>VLOOKUP(Tableau118[[#This Row],[Name ILN]],Plant_AILN!F:G,2,FALSE)</f>
        <v>0</v>
      </c>
      <c r="Q60" s="50">
        <f>VLOOKUP(Tableau118[[#This Row],[Compte ILN]],'DATA ILN'!D:I,6,FALSE)</f>
        <v>9</v>
      </c>
      <c r="R6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0" s="50" t="e">
        <f ca="1">Tableau118[[#This Row],[Day ILN Order]]+Tableau118[[#This Row],[Delivery time to ILN/Shipper]]-1</f>
        <v>#N/A</v>
      </c>
      <c r="V6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0" s="284" t="s">
        <v>182</v>
      </c>
      <c r="Y60" s="437">
        <f>IFERROR(VLOOKUP(Tableau118[[#This Row],[Name Shipper]],Plant_AILN!L:M,2,FALSE),0)</f>
        <v>29770601</v>
      </c>
      <c r="Z60" s="406">
        <v>1065</v>
      </c>
      <c r="AA60" s="396" t="e">
        <f ca="1">VLOOKUP(Tableau118[[#This Row],[Key(ID-Actif)]],'DATA BTO'!A:N,5,FALSE)</f>
        <v>#N/A</v>
      </c>
      <c r="AB60" s="3" t="e">
        <f ca="1">VLOOKUP(Tableau118[[#This Row],[Key(ID-Actif)]],'DATA BTO'!A:N,6,FALSE)</f>
        <v>#N/A</v>
      </c>
      <c r="AC60" s="50" t="e">
        <f ca="1">VLOOKUP(Tableau118[[#This Row],[Key(ID-Actif)]],'DATA BTO'!A:N,7,FALSE)</f>
        <v>#N/A</v>
      </c>
      <c r="AD60" s="50" t="e">
        <f ca="1">VLOOKUP(Tableau118[[#This Row],[Key(ID-Actif)]],'DATA BTO'!A:N,8,FALSE)</f>
        <v>#N/A</v>
      </c>
      <c r="AE60" s="50" t="e">
        <f ca="1">IF(Tableau118[[#This Row],[First Day to POL]]&lt;=Tableau118[[#This Row],[Day Cut Off]],Tableau118[[#This Row],[Day ETD]],Tableau118[[#This Row],[Day ETD]]+7)</f>
        <v>#N/A</v>
      </c>
      <c r="AF60" s="50" t="e">
        <f ca="1">VLOOKUP(Tableau118[[#This Row],[Key(ID-Actif)]],'DATA BTO'!A:N,9,FALSE)</f>
        <v>#N/A</v>
      </c>
      <c r="AG60" s="3" t="e">
        <f ca="1">VLOOKUP(Tableau118[[#This Row],[Key(ID-Actif)]],'DATA BTO'!A:N,10,FALSE)</f>
        <v>#N/A</v>
      </c>
      <c r="AH60" s="3" t="e">
        <f ca="1">VLOOKUP(Tableau118[[#This Row],[Key(ID-Actif)]],'DATA BTO'!A:N,11,FALSE)</f>
        <v>#N/A</v>
      </c>
      <c r="AI60" s="50" t="e">
        <f ca="1">VLOOKUP(Tableau118[[#This Row],[Key(ID-Actif)]],'DATA BTO'!A:N,12,FALSE)</f>
        <v>#N/A</v>
      </c>
      <c r="AJ60" s="53" t="e">
        <f ca="1">VLOOKUP(Tableau118[[#This Row],[Key(ID-Actif)]],'DATA BTO'!A:N,14,FALSE)</f>
        <v>#N/A</v>
      </c>
      <c r="AK60" s="54" t="e">
        <f ca="1">VLOOKUP(Tableau118[[#This Row],[Key(POD -PFI- Usine)]],'DATA Consignee'!A:F,6,FALSE)</f>
        <v>#N/A</v>
      </c>
      <c r="AL60" s="127"/>
      <c r="AM60" s="438" t="str">
        <f>IF(Tableau118[[#This Row],[Name PFI/CDD]]="","-",VLOOKUP(Tableau118[[#This Row],[Name PFI/CDD]],Plant_AILN!I:J,2,FALSE))</f>
        <v>-</v>
      </c>
      <c r="AN6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0" s="2" t="e">
        <f ca="1">VLOOKUP(Tableau118[[#This Row],[Key(POD -PFI- Usine)]],'DATA Consignee'!A:J,10,FALSE)</f>
        <v>#N/A</v>
      </c>
      <c r="AQ60" s="50" t="e">
        <f ca="1">VLOOKUP(Tableau118[[#This Row],[Key(POD -PFI- Usine)]],'DATA Consignee'!A:N,14,FALSE)</f>
        <v>#N/A</v>
      </c>
      <c r="AR6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0" s="50" t="e">
        <f ca="1">Tableau118[[#This Row],[Transit time]]+Tableau118[[#This Row],[Time for security]]+Tableau118[[#This Row],[Time for security2 buffer]]</f>
        <v>#N/A</v>
      </c>
      <c r="AU6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0" s="433" t="e">
        <f ca="1">Tableau118[[#This Row],[Leadtime SI2C]]+Tableau118[[#This Row],[First Receipt Days]]-Tableau118[[#This Row],[Day Customer Order]]+1</f>
        <v>#N/A</v>
      </c>
      <c r="AW60" s="119" t="e">
        <f ca="1">IF(Tableau118[[#This Row],[Name ILN]]&lt;&gt;"SFK Freight Forwarder",Tableau118[[#This Row],[Cust. Leadtime]],Tableau118[[#This Row],[Leadtime SI2C]])</f>
        <v>#N/A</v>
      </c>
      <c r="AX60" s="51" t="str">
        <f>VLOOKUP(Tableau118[[#This Row],[ID]],'DATA BTO'!B:P,15,FALSE)</f>
        <v>Horse &gt; Renault BPH (MLP)</v>
      </c>
      <c r="AY60" s="338">
        <f ca="1">IFERROR(VLOOKUP(Tableau118[[#This Row],[Key(ID-Actif)]],'DATA BTO'!A:N,4,FALSE),VLOOKUP(Tableau118[[#This Row],[ID]],'DATA BTO'!B:N,3,FALSE))</f>
        <v>46142</v>
      </c>
      <c r="AZ60" s="50" t="str">
        <f>IF(ISNUMBER(Tableau118[[#This Row],[Day Customer Order]]),"-","Please Check 'Name' information in 'Order' Sheet to make sure they have information")</f>
        <v>-</v>
      </c>
      <c r="BA6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0" s="50"/>
    </row>
    <row r="61" spans="2:57">
      <c r="B61" s="67" t="str">
        <f>_xlfn.CONCAT(Tableau118[[#This Row],[Name ILN]],"-",Tableau118[[#This Row],[Name Shipper]],"-",Tableau118[[#This Row],[Name Site]])</f>
        <v>SFK Freight Forwarder-Jatco Thailande-SOMACA</v>
      </c>
      <c r="C61" s="67" t="e">
        <f ca="1">_xlfn.CONCAT(Tableau118[[#This Row],[Compte ILN]],"-",Tableau118[[#This Row],[Compte Shipper]],"-",Tableau118[[#This Row],[POL]],"-",Tableau118[[#This Row],[Compte Site]])</f>
        <v>#N/A</v>
      </c>
      <c r="D61" s="66" t="e">
        <f ca="1">_xlfn.CONCAT(Tableau118[[#This Row],[Compte ILN]],"-",Tableau118[[#This Row],[Compte Shipper]],"-",Tableau118[[#This Row],[POL]])</f>
        <v>#N/A</v>
      </c>
      <c r="E61" s="434" t="e">
        <f ca="1">_xlfn.CONCAT(Tableau118[[#This Row],[POL]],"-",Tableau118[[#This Row],[Carrier]],"-",Tableau118[[#This Row],[POD]])</f>
        <v>#N/A</v>
      </c>
      <c r="F61" s="66" t="str">
        <f>_xlfn.CONCAT(Tableau118[[#This Row],[ID]],"-","Next")</f>
        <v>1066-Next</v>
      </c>
      <c r="G61" s="66" t="e">
        <f ca="1">_xlfn.CONCAT(Tableau118[[#This Row],[POD]],"-",Tableau118[[#This Row],[Code PFI]],"-",Tableau118[[#This Row],[Compte Site]])</f>
        <v>#N/A</v>
      </c>
      <c r="H61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1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1" s="435" t="str">
        <f ca="1">IF(COUNTIF(I:I,Tableau118[[#This Row],[Plant-ILN-shipper-POL-Carrier-POD-PFI]])=1,"Non","Oui")</f>
        <v>Oui</v>
      </c>
      <c r="K61" s="436" t="str">
        <f>VLOOKUP(Tableau118[[#This Row],[Name Site]],Plant_AILN!A:D,4,FALSE)</f>
        <v>MOROCCO</v>
      </c>
      <c r="L61" s="285" t="s">
        <v>179</v>
      </c>
      <c r="M61" s="431">
        <f>VLOOKUP(Tableau118[[#This Row],[Name Site]],Plant_AILN!A:C,3,FALSE)</f>
        <v>90038200</v>
      </c>
      <c r="N61" s="55">
        <f>IF(Tableau118[[#This Row],[Name PFI/CDD]]="PFI VLL",2,VLOOKUP(Tableau118[[#This Row],[Compte Site]],Order!C:D,2,FALSE))</f>
        <v>7</v>
      </c>
      <c r="O61" s="116" t="s">
        <v>146</v>
      </c>
      <c r="P61" s="365">
        <f>VLOOKUP(Tableau118[[#This Row],[Name ILN]],Plant_AILN!F:G,2,FALSE)</f>
        <v>0</v>
      </c>
      <c r="Q61" s="50">
        <f>VLOOKUP(Tableau118[[#This Row],[Compte ILN]],'DATA ILN'!D:I,6,FALSE)</f>
        <v>9</v>
      </c>
      <c r="R61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1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1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1" s="50" t="e">
        <f ca="1">Tableau118[[#This Row],[Day ILN Order]]+Tableau118[[#This Row],[Delivery time to ILN/Shipper]]-1</f>
        <v>#N/A</v>
      </c>
      <c r="V61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1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1" s="284" t="s">
        <v>182</v>
      </c>
      <c r="Y61" s="437">
        <f>IFERROR(VLOOKUP(Tableau118[[#This Row],[Name Shipper]],Plant_AILN!L:M,2,FALSE),0)</f>
        <v>29770601</v>
      </c>
      <c r="Z61" s="406">
        <v>1066</v>
      </c>
      <c r="AA61" s="396" t="e">
        <f ca="1">VLOOKUP(Tableau118[[#This Row],[Key(ID-Actif)]],'DATA BTO'!A:N,5,FALSE)</f>
        <v>#N/A</v>
      </c>
      <c r="AB61" s="3" t="e">
        <f ca="1">VLOOKUP(Tableau118[[#This Row],[Key(ID-Actif)]],'DATA BTO'!A:N,6,FALSE)</f>
        <v>#N/A</v>
      </c>
      <c r="AC61" s="50" t="e">
        <f ca="1">VLOOKUP(Tableau118[[#This Row],[Key(ID-Actif)]],'DATA BTO'!A:N,7,FALSE)</f>
        <v>#N/A</v>
      </c>
      <c r="AD61" s="50" t="e">
        <f ca="1">VLOOKUP(Tableau118[[#This Row],[Key(ID-Actif)]],'DATA BTO'!A:N,8,FALSE)</f>
        <v>#N/A</v>
      </c>
      <c r="AE61" s="50" t="e">
        <f ca="1">IF(Tableau118[[#This Row],[First Day to POL]]&lt;=Tableau118[[#This Row],[Day Cut Off]],Tableau118[[#This Row],[Day ETD]],Tableau118[[#This Row],[Day ETD]]+7)</f>
        <v>#N/A</v>
      </c>
      <c r="AF61" s="50" t="e">
        <f ca="1">VLOOKUP(Tableau118[[#This Row],[Key(ID-Actif)]],'DATA BTO'!A:N,9,FALSE)</f>
        <v>#N/A</v>
      </c>
      <c r="AG61" s="3" t="e">
        <f ca="1">VLOOKUP(Tableau118[[#This Row],[Key(ID-Actif)]],'DATA BTO'!A:N,10,FALSE)</f>
        <v>#N/A</v>
      </c>
      <c r="AH61" s="3" t="e">
        <f ca="1">VLOOKUP(Tableau118[[#This Row],[Key(ID-Actif)]],'DATA BTO'!A:N,11,FALSE)</f>
        <v>#N/A</v>
      </c>
      <c r="AI61" s="50" t="e">
        <f ca="1">VLOOKUP(Tableau118[[#This Row],[Key(ID-Actif)]],'DATA BTO'!A:N,12,FALSE)</f>
        <v>#N/A</v>
      </c>
      <c r="AJ61" s="53" t="e">
        <f ca="1">VLOOKUP(Tableau118[[#This Row],[Key(ID-Actif)]],'DATA BTO'!A:N,14,FALSE)</f>
        <v>#N/A</v>
      </c>
      <c r="AK61" s="54" t="e">
        <f ca="1">VLOOKUP(Tableau118[[#This Row],[Key(POD -PFI- Usine)]],'DATA Consignee'!A:F,6,FALSE)</f>
        <v>#N/A</v>
      </c>
      <c r="AL61" s="127"/>
      <c r="AM61" s="438" t="str">
        <f>IF(Tableau118[[#This Row],[Name PFI/CDD]]="","-",VLOOKUP(Tableau118[[#This Row],[Name PFI/CDD]],Plant_AILN!I:J,2,FALSE))</f>
        <v>-</v>
      </c>
      <c r="AN6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1" s="2" t="e">
        <f ca="1">VLOOKUP(Tableau118[[#This Row],[Key(POD -PFI- Usine)]],'DATA Consignee'!A:J,10,FALSE)</f>
        <v>#N/A</v>
      </c>
      <c r="AQ61" s="50" t="e">
        <f ca="1">VLOOKUP(Tableau118[[#This Row],[Key(POD -PFI- Usine)]],'DATA Consignee'!A:N,14,FALSE)</f>
        <v>#N/A</v>
      </c>
      <c r="AR6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1" s="50" t="e">
        <f ca="1">Tableau118[[#This Row],[Transit time]]+Tableau118[[#This Row],[Time for security]]+Tableau118[[#This Row],[Time for security2 buffer]]</f>
        <v>#N/A</v>
      </c>
      <c r="AU6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1" s="433" t="e">
        <f ca="1">Tableau118[[#This Row],[Leadtime SI2C]]+Tableau118[[#This Row],[First Receipt Days]]-Tableau118[[#This Row],[Day Customer Order]]+1</f>
        <v>#N/A</v>
      </c>
      <c r="AW61" s="119" t="e">
        <f ca="1">IF(Tableau118[[#This Row],[Name ILN]]&lt;&gt;"SFK Freight Forwarder",Tableau118[[#This Row],[Cust. Leadtime]],Tableau118[[#This Row],[Leadtime SI2C]])</f>
        <v>#N/A</v>
      </c>
      <c r="AX61" s="51" t="str">
        <f>VLOOKUP(Tableau118[[#This Row],[ID]],'DATA BTO'!B:P,15,FALSE)</f>
        <v>Horse &gt; Renault BPH (MLP)</v>
      </c>
      <c r="AY61" s="338">
        <f ca="1">IFERROR(VLOOKUP(Tableau118[[#This Row],[Key(ID-Actif)]],'DATA BTO'!A:N,4,FALSE),VLOOKUP(Tableau118[[#This Row],[ID]],'DATA BTO'!B:N,3,FALSE))</f>
        <v>46142</v>
      </c>
      <c r="AZ61" s="50" t="str">
        <f>IF(ISNUMBER(Tableau118[[#This Row],[Day Customer Order]]),"-","Please Check 'Name' information in 'Order' Sheet to make sure they have information")</f>
        <v>-</v>
      </c>
      <c r="BA61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1" s="50"/>
    </row>
    <row r="62" spans="2:57">
      <c r="B62" s="67" t="str">
        <f>_xlfn.CONCAT(Tableau118[[#This Row],[Name ILN]],"-",Tableau118[[#This Row],[Name Shipper]],"-",Tableau118[[#This Row],[Name Site]])</f>
        <v>SFK Freight Forwarder-Jatco Thailande-TANGER</v>
      </c>
      <c r="C62" s="67" t="e">
        <f ca="1">_xlfn.CONCAT(Tableau118[[#This Row],[Compte ILN]],"-",Tableau118[[#This Row],[Compte Shipper]],"-",Tableau118[[#This Row],[POL]],"-",Tableau118[[#This Row],[Compte Site]])</f>
        <v>#N/A</v>
      </c>
      <c r="D62" s="66" t="e">
        <f ca="1">_xlfn.CONCAT(Tableau118[[#This Row],[Compte ILN]],"-",Tableau118[[#This Row],[Compte Shipper]],"-",Tableau118[[#This Row],[POL]])</f>
        <v>#N/A</v>
      </c>
      <c r="E62" s="434" t="e">
        <f ca="1">_xlfn.CONCAT(Tableau118[[#This Row],[POL]],"-",Tableau118[[#This Row],[Carrier]],"-",Tableau118[[#This Row],[POD]])</f>
        <v>#N/A</v>
      </c>
      <c r="F62" s="66" t="str">
        <f>_xlfn.CONCAT(Tableau118[[#This Row],[ID]],"-","Next")</f>
        <v>1067-Next</v>
      </c>
      <c r="G62" s="66" t="e">
        <f ca="1">_xlfn.CONCAT(Tableau118[[#This Row],[POD]],"-",Tableau118[[#This Row],[Code PFI]],"-",Tableau118[[#This Row],[Compte Site]])</f>
        <v>#N/A</v>
      </c>
      <c r="H62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2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2" s="435" t="str">
        <f ca="1">IF(COUNTIF(I:I,Tableau118[[#This Row],[Plant-ILN-shipper-POL-Carrier-POD-PFI]])=1,"Non","Oui")</f>
        <v>Oui</v>
      </c>
      <c r="K62" s="436" t="str">
        <f>VLOOKUP(Tableau118[[#This Row],[Name Site]],Plant_AILN!A:D,4,FALSE)</f>
        <v>MOROCCO</v>
      </c>
      <c r="L62" s="285" t="s">
        <v>180</v>
      </c>
      <c r="M62" s="439">
        <f>VLOOKUP(Tableau118[[#This Row],[Name Site]],Plant_AILN!A:C,3,FALSE)</f>
        <v>900383</v>
      </c>
      <c r="N62" s="55">
        <f>IF(Tableau118[[#This Row],[Name PFI/CDD]]="PFI VLL",2,VLOOKUP(Tableau118[[#This Row],[Compte Site]],Order!C:D,2,FALSE))</f>
        <v>7</v>
      </c>
      <c r="O62" s="116" t="s">
        <v>146</v>
      </c>
      <c r="P62" s="365">
        <f>VLOOKUP(Tableau118[[#This Row],[Name ILN]],Plant_AILN!F:G,2,FALSE)</f>
        <v>0</v>
      </c>
      <c r="Q62" s="50">
        <f>VLOOKUP(Tableau118[[#This Row],[Compte ILN]],'DATA ILN'!D:I,6,FALSE)</f>
        <v>9</v>
      </c>
      <c r="R62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2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2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2" s="50" t="e">
        <f ca="1">Tableau118[[#This Row],[Day ILN Order]]+Tableau118[[#This Row],[Delivery time to ILN/Shipper]]-1</f>
        <v>#N/A</v>
      </c>
      <c r="V62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2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2" s="284" t="s">
        <v>182</v>
      </c>
      <c r="Y62" s="437">
        <f>IFERROR(VLOOKUP(Tableau118[[#This Row],[Name Shipper]],Plant_AILN!L:M,2,FALSE),0)</f>
        <v>29770601</v>
      </c>
      <c r="Z62" s="406">
        <v>1067</v>
      </c>
      <c r="AA62" s="396" t="e">
        <f ca="1">VLOOKUP(Tableau118[[#This Row],[Key(ID-Actif)]],'DATA BTO'!A:N,5,FALSE)</f>
        <v>#N/A</v>
      </c>
      <c r="AB62" s="3" t="e">
        <f ca="1">VLOOKUP(Tableau118[[#This Row],[Key(ID-Actif)]],'DATA BTO'!A:N,6,FALSE)</f>
        <v>#N/A</v>
      </c>
      <c r="AC62" s="50" t="e">
        <f ca="1">VLOOKUP(Tableau118[[#This Row],[Key(ID-Actif)]],'DATA BTO'!A:N,7,FALSE)</f>
        <v>#N/A</v>
      </c>
      <c r="AD62" s="50" t="e">
        <f ca="1">VLOOKUP(Tableau118[[#This Row],[Key(ID-Actif)]],'DATA BTO'!A:N,8,FALSE)</f>
        <v>#N/A</v>
      </c>
      <c r="AE62" s="50" t="e">
        <f ca="1">IF(Tableau118[[#This Row],[First Day to POL]]&lt;=Tableau118[[#This Row],[Day Cut Off]],Tableau118[[#This Row],[Day ETD]],Tableau118[[#This Row],[Day ETD]]+7)</f>
        <v>#N/A</v>
      </c>
      <c r="AF62" s="50" t="e">
        <f ca="1">VLOOKUP(Tableau118[[#This Row],[Key(ID-Actif)]],'DATA BTO'!A:N,9,FALSE)</f>
        <v>#N/A</v>
      </c>
      <c r="AG62" s="3" t="e">
        <f ca="1">VLOOKUP(Tableau118[[#This Row],[Key(ID-Actif)]],'DATA BTO'!A:N,10,FALSE)</f>
        <v>#N/A</v>
      </c>
      <c r="AH62" s="3" t="e">
        <f ca="1">VLOOKUP(Tableau118[[#This Row],[Key(ID-Actif)]],'DATA BTO'!A:N,11,FALSE)</f>
        <v>#N/A</v>
      </c>
      <c r="AI62" s="50" t="e">
        <f ca="1">VLOOKUP(Tableau118[[#This Row],[Key(ID-Actif)]],'DATA BTO'!A:N,12,FALSE)</f>
        <v>#N/A</v>
      </c>
      <c r="AJ62" s="53" t="e">
        <f ca="1">VLOOKUP(Tableau118[[#This Row],[Key(ID-Actif)]],'DATA BTO'!A:N,14,FALSE)</f>
        <v>#N/A</v>
      </c>
      <c r="AK62" s="54" t="e">
        <f ca="1">VLOOKUP(Tableau118[[#This Row],[Key(POD -PFI- Usine)]],'DATA Consignee'!A:F,6,FALSE)</f>
        <v>#N/A</v>
      </c>
      <c r="AL62" s="127"/>
      <c r="AM62" s="438" t="str">
        <f>IF(Tableau118[[#This Row],[Name PFI/CDD]]="","-",VLOOKUP(Tableau118[[#This Row],[Name PFI/CDD]],Plant_AILN!I:J,2,FALSE))</f>
        <v>-</v>
      </c>
      <c r="AN6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2" s="2" t="e">
        <f ca="1">VLOOKUP(Tableau118[[#This Row],[Key(POD -PFI- Usine)]],'DATA Consignee'!A:J,10,FALSE)</f>
        <v>#N/A</v>
      </c>
      <c r="AQ62" s="50" t="e">
        <f ca="1">VLOOKUP(Tableau118[[#This Row],[Key(POD -PFI- Usine)]],'DATA Consignee'!A:N,14,FALSE)</f>
        <v>#N/A</v>
      </c>
      <c r="AR6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2" s="50" t="e">
        <f ca="1">Tableau118[[#This Row],[Transit time]]+Tableau118[[#This Row],[Time for security]]+Tableau118[[#This Row],[Time for security2 buffer]]</f>
        <v>#N/A</v>
      </c>
      <c r="AU6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2" s="433" t="e">
        <f ca="1">Tableau118[[#This Row],[Leadtime SI2C]]+Tableau118[[#This Row],[First Receipt Days]]-Tableau118[[#This Row],[Day Customer Order]]+1</f>
        <v>#N/A</v>
      </c>
      <c r="AW62" s="119" t="e">
        <f ca="1">IF(Tableau118[[#This Row],[Name ILN]]&lt;&gt;"SFK Freight Forwarder",Tableau118[[#This Row],[Cust. Leadtime]],Tableau118[[#This Row],[Leadtime SI2C]])</f>
        <v>#N/A</v>
      </c>
      <c r="AX62" s="51" t="str">
        <f>VLOOKUP(Tableau118[[#This Row],[ID]],'DATA BTO'!B:P,15,FALSE)</f>
        <v>Horse &gt; Renault BPH (MLP)</v>
      </c>
      <c r="AY62" s="338">
        <f ca="1">IFERROR(VLOOKUP(Tableau118[[#This Row],[Key(ID-Actif)]],'DATA BTO'!A:N,4,FALSE),VLOOKUP(Tableau118[[#This Row],[ID]],'DATA BTO'!B:N,3,FALSE))</f>
        <v>46142</v>
      </c>
      <c r="AZ62" s="50" t="str">
        <f>IF(ISNUMBER(Tableau118[[#This Row],[Day Customer Order]]),"-","Please Check 'Name' information in 'Order' Sheet to make sure they have information")</f>
        <v>-</v>
      </c>
      <c r="BA62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2" s="50"/>
    </row>
    <row r="63" spans="2:57">
      <c r="B63" s="67" t="str">
        <f>_xlfn.CONCAT(Tableau118[[#This Row],[Name ILN]],"-",Tableau118[[#This Row],[Name Shipper]],"-",Tableau118[[#This Row],[Name Site]])</f>
        <v>SFK Freight Forwarder-Jatco Thailande-DACIA MONT</v>
      </c>
      <c r="C63" s="67" t="e">
        <f ca="1">_xlfn.CONCAT(Tableau118[[#This Row],[Compte ILN]],"-",Tableau118[[#This Row],[Compte Shipper]],"-",Tableau118[[#This Row],[POL]],"-",Tableau118[[#This Row],[Compte Site]])</f>
        <v>#N/A</v>
      </c>
      <c r="D63" s="66" t="e">
        <f ca="1">_xlfn.CONCAT(Tableau118[[#This Row],[Compte ILN]],"-",Tableau118[[#This Row],[Compte Shipper]],"-",Tableau118[[#This Row],[POL]])</f>
        <v>#N/A</v>
      </c>
      <c r="E63" s="434" t="e">
        <f ca="1">_xlfn.CONCAT(Tableau118[[#This Row],[POL]],"-",Tableau118[[#This Row],[Carrier]],"-",Tableau118[[#This Row],[POD]])</f>
        <v>#N/A</v>
      </c>
      <c r="F63" s="66" t="str">
        <f>_xlfn.CONCAT(Tableau118[[#This Row],[ID]],"-","Next")</f>
        <v>1068-Next</v>
      </c>
      <c r="G63" s="66" t="e">
        <f ca="1">_xlfn.CONCAT(Tableau118[[#This Row],[POD]],"-",Tableau118[[#This Row],[Code PFI]],"-",Tableau118[[#This Row],[Compte Site]])</f>
        <v>#N/A</v>
      </c>
      <c r="H63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3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3" s="435" t="str">
        <f ca="1">IF(COUNTIF(I:I,Tableau118[[#This Row],[Plant-ILN-shipper-POL-Carrier-POD-PFI]])=1,"Non","Oui")</f>
        <v>Oui</v>
      </c>
      <c r="K63" s="436" t="str">
        <f>VLOOKUP(Tableau118[[#This Row],[Name Site]],Plant_AILN!A:D,4,FALSE)</f>
        <v>ROMANIA</v>
      </c>
      <c r="L63" s="285" t="s">
        <v>185</v>
      </c>
      <c r="M63" s="439">
        <f>VLOOKUP(Tableau118[[#This Row],[Name Site]],Plant_AILN!A:C,3,FALSE)</f>
        <v>90016800</v>
      </c>
      <c r="N63" s="55">
        <f>IF(Tableau118[[#This Row],[Name PFI/CDD]]="PFI VLL",2,VLOOKUP(Tableau118[[#This Row],[Compte Site]],Order!C:D,2,FALSE))</f>
        <v>7</v>
      </c>
      <c r="O63" s="116" t="s">
        <v>146</v>
      </c>
      <c r="P63" s="365">
        <f>VLOOKUP(Tableau118[[#This Row],[Name ILN]],Plant_AILN!F:G,2,FALSE)</f>
        <v>0</v>
      </c>
      <c r="Q63" s="50">
        <f>VLOOKUP(Tableau118[[#This Row],[Compte ILN]],'DATA ILN'!D:I,6,FALSE)</f>
        <v>9</v>
      </c>
      <c r="R63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3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3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3" s="50" t="e">
        <f ca="1">Tableau118[[#This Row],[Day ILN Order]]+Tableau118[[#This Row],[Delivery time to ILN/Shipper]]-1</f>
        <v>#N/A</v>
      </c>
      <c r="V63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3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3" s="284" t="s">
        <v>182</v>
      </c>
      <c r="Y63" s="437">
        <f>IFERROR(VLOOKUP(Tableau118[[#This Row],[Name Shipper]],Plant_AILN!L:M,2,FALSE),0)</f>
        <v>29770601</v>
      </c>
      <c r="Z63" s="406">
        <v>1068</v>
      </c>
      <c r="AA63" s="396" t="e">
        <f ca="1">VLOOKUP(Tableau118[[#This Row],[Key(ID-Actif)]],'DATA BTO'!A:N,5,FALSE)</f>
        <v>#N/A</v>
      </c>
      <c r="AB63" s="3" t="e">
        <f ca="1">VLOOKUP(Tableau118[[#This Row],[Key(ID-Actif)]],'DATA BTO'!A:N,6,FALSE)</f>
        <v>#N/A</v>
      </c>
      <c r="AC63" s="50" t="e">
        <f ca="1">VLOOKUP(Tableau118[[#This Row],[Key(ID-Actif)]],'DATA BTO'!A:N,7,FALSE)</f>
        <v>#N/A</v>
      </c>
      <c r="AD63" s="50" t="e">
        <f ca="1">VLOOKUP(Tableau118[[#This Row],[Key(ID-Actif)]],'DATA BTO'!A:N,8,FALSE)</f>
        <v>#N/A</v>
      </c>
      <c r="AE63" s="50" t="e">
        <f ca="1">IF(Tableau118[[#This Row],[First Day to POL]]&lt;=Tableau118[[#This Row],[Day Cut Off]],Tableau118[[#This Row],[Day ETD]],Tableau118[[#This Row],[Day ETD]]+7)</f>
        <v>#N/A</v>
      </c>
      <c r="AF63" s="50" t="e">
        <f ca="1">VLOOKUP(Tableau118[[#This Row],[Key(ID-Actif)]],'DATA BTO'!A:N,9,FALSE)</f>
        <v>#N/A</v>
      </c>
      <c r="AG63" s="3" t="e">
        <f ca="1">VLOOKUP(Tableau118[[#This Row],[Key(ID-Actif)]],'DATA BTO'!A:N,10,FALSE)</f>
        <v>#N/A</v>
      </c>
      <c r="AH63" s="3" t="e">
        <f ca="1">VLOOKUP(Tableau118[[#This Row],[Key(ID-Actif)]],'DATA BTO'!A:N,11,FALSE)</f>
        <v>#N/A</v>
      </c>
      <c r="AI63" s="50" t="e">
        <f ca="1">VLOOKUP(Tableau118[[#This Row],[Key(ID-Actif)]],'DATA BTO'!A:N,12,FALSE)</f>
        <v>#N/A</v>
      </c>
      <c r="AJ63" s="53" t="e">
        <f ca="1">VLOOKUP(Tableau118[[#This Row],[Key(ID-Actif)]],'DATA BTO'!A:N,14,FALSE)</f>
        <v>#N/A</v>
      </c>
      <c r="AK63" s="54" t="e">
        <f ca="1">VLOOKUP(Tableau118[[#This Row],[Key(POD -PFI- Usine)]],'DATA Consignee'!A:F,6,FALSE)</f>
        <v>#N/A</v>
      </c>
      <c r="AL63" s="127" t="s">
        <v>164</v>
      </c>
      <c r="AM63" s="438">
        <f>IF(Tableau118[[#This Row],[Name PFI/CDD]]="","-",VLOOKUP(Tableau118[[#This Row],[Name PFI/CDD]],Plant_AILN!I:J,2,FALSE))</f>
        <v>2839004</v>
      </c>
      <c r="AN6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3" s="2" t="e">
        <f ca="1">VLOOKUP(Tableau118[[#This Row],[Key(POD -PFI- Usine)]],'DATA Consignee'!A:J,10,FALSE)</f>
        <v>#N/A</v>
      </c>
      <c r="AQ63" s="50" t="e">
        <f ca="1">VLOOKUP(Tableau118[[#This Row],[Key(POD -PFI- Usine)]],'DATA Consignee'!A:N,14,FALSE)</f>
        <v>#N/A</v>
      </c>
      <c r="AR6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3" s="50" t="e">
        <f ca="1">Tableau118[[#This Row],[Transit time]]+Tableau118[[#This Row],[Time for security]]+Tableau118[[#This Row],[Time for security2 buffer]]</f>
        <v>#N/A</v>
      </c>
      <c r="AU6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3" s="433" t="e">
        <f ca="1">Tableau118[[#This Row],[Leadtime SI2C]]+Tableau118[[#This Row],[First Receipt Days]]-Tableau118[[#This Row],[Day Customer Order]]+1</f>
        <v>#N/A</v>
      </c>
      <c r="AW63" s="119" t="e">
        <f ca="1">IF(Tableau118[[#This Row],[Name ILN]]&lt;&gt;"SFK Freight Forwarder",Tableau118[[#This Row],[Cust. Leadtime]],Tableau118[[#This Row],[Leadtime SI2C]])</f>
        <v>#N/A</v>
      </c>
      <c r="AX63" s="51" t="str">
        <f>VLOOKUP(Tableau118[[#This Row],[ID]],'DATA BTO'!B:P,15,FALSE)</f>
        <v>Horse &gt; Renault BPH (MLP)</v>
      </c>
      <c r="AY63" s="338">
        <f ca="1">IFERROR(VLOOKUP(Tableau118[[#This Row],[Key(ID-Actif)]],'DATA BTO'!A:N,4,FALSE),VLOOKUP(Tableau118[[#This Row],[ID]],'DATA BTO'!B:N,3,FALSE))</f>
        <v>46142</v>
      </c>
      <c r="AZ63" s="50" t="str">
        <f>IF(ISNUMBER(Tableau118[[#This Row],[Day Customer Order]]),"-","Please Check 'Name' information in 'Order' Sheet to make sure they have information")</f>
        <v>-</v>
      </c>
      <c r="BA63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3" s="50"/>
    </row>
    <row r="64" spans="2:57">
      <c r="B64" s="67" t="str">
        <f>_xlfn.CONCAT(Tableau118[[#This Row],[Name ILN]],"-",Tableau118[[#This Row],[Name Shipper]],"-",Tableau118[[#This Row],[Name Site]])</f>
        <v>SFK Freight Forwarder-Jatco Thailande-REVOZ</v>
      </c>
      <c r="C64" s="67" t="e">
        <f ca="1">_xlfn.CONCAT(Tableau118[[#This Row],[Compte ILN]],"-",Tableau118[[#This Row],[Compte Shipper]],"-",Tableau118[[#This Row],[POL]],"-",Tableau118[[#This Row],[Compte Site]])</f>
        <v>#N/A</v>
      </c>
      <c r="D64" s="66" t="e">
        <f ca="1">_xlfn.CONCAT(Tableau118[[#This Row],[Compte ILN]],"-",Tableau118[[#This Row],[Compte Shipper]],"-",Tableau118[[#This Row],[POL]])</f>
        <v>#N/A</v>
      </c>
      <c r="E64" s="434" t="e">
        <f ca="1">_xlfn.CONCAT(Tableau118[[#This Row],[POL]],"-",Tableau118[[#This Row],[Carrier]],"-",Tableau118[[#This Row],[POD]])</f>
        <v>#N/A</v>
      </c>
      <c r="F64" s="66" t="str">
        <f>_xlfn.CONCAT(Tableau118[[#This Row],[ID]],"-","Next")</f>
        <v>1069-Next</v>
      </c>
      <c r="G64" s="66" t="e">
        <f ca="1">_xlfn.CONCAT(Tableau118[[#This Row],[POD]],"-",Tableau118[[#This Row],[Code PFI]],"-",Tableau118[[#This Row],[Compte Site]])</f>
        <v>#N/A</v>
      </c>
      <c r="H64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4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4" s="435" t="str">
        <f ca="1">IF(COUNTIF(I:I,Tableau118[[#This Row],[Plant-ILN-shipper-POL-Carrier-POD-PFI]])=1,"Non","Oui")</f>
        <v>Oui</v>
      </c>
      <c r="K64" s="440" t="str">
        <f>VLOOKUP(Tableau118[[#This Row],[Name Site]],Plant_AILN!A:D,4,FALSE)</f>
        <v>SLOVENIA</v>
      </c>
      <c r="L64" s="10" t="s">
        <v>35</v>
      </c>
      <c r="M64" s="439">
        <f>VLOOKUP(Tableau118[[#This Row],[Name Site]],Plant_AILN!A:C,3,FALSE)</f>
        <v>90016700</v>
      </c>
      <c r="N64" s="55">
        <f>IF(Tableau118[[#This Row],[Name PFI/CDD]]="PFI VLL",2,VLOOKUP(Tableau118[[#This Row],[Compte Site]],Order!C:D,2,FALSE))</f>
        <v>7</v>
      </c>
      <c r="O64" s="116" t="s">
        <v>146</v>
      </c>
      <c r="P64" s="365">
        <f>VLOOKUP(Tableau118[[#This Row],[Name ILN]],Plant_AILN!F:G,2,FALSE)</f>
        <v>0</v>
      </c>
      <c r="Q64" s="50">
        <f>VLOOKUP(Tableau118[[#This Row],[Compte ILN]],'DATA ILN'!D:I,6,FALSE)</f>
        <v>9</v>
      </c>
      <c r="R64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4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4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4" s="50" t="e">
        <f ca="1">Tableau118[[#This Row],[Day ILN Order]]+Tableau118[[#This Row],[Delivery time to ILN/Shipper]]-1</f>
        <v>#N/A</v>
      </c>
      <c r="V64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4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4" s="284" t="s">
        <v>182</v>
      </c>
      <c r="Y64" s="437">
        <f>IFERROR(VLOOKUP(Tableau118[[#This Row],[Name Shipper]],Plant_AILN!L:M,2,FALSE),0)</f>
        <v>29770601</v>
      </c>
      <c r="Z64" s="406">
        <v>1069</v>
      </c>
      <c r="AA64" s="396" t="e">
        <f ca="1">VLOOKUP(Tableau118[[#This Row],[Key(ID-Actif)]],'DATA BTO'!A:N,5,FALSE)</f>
        <v>#N/A</v>
      </c>
      <c r="AB64" s="3" t="e">
        <f ca="1">VLOOKUP(Tableau118[[#This Row],[Key(ID-Actif)]],'DATA BTO'!A:N,6,FALSE)</f>
        <v>#N/A</v>
      </c>
      <c r="AC64" s="50" t="e">
        <f ca="1">VLOOKUP(Tableau118[[#This Row],[Key(ID-Actif)]],'DATA BTO'!A:N,7,FALSE)</f>
        <v>#N/A</v>
      </c>
      <c r="AD64" s="50" t="e">
        <f ca="1">VLOOKUP(Tableau118[[#This Row],[Key(ID-Actif)]],'DATA BTO'!A:N,8,FALSE)</f>
        <v>#N/A</v>
      </c>
      <c r="AE64" s="50" t="e">
        <f ca="1">IF(Tableau118[[#This Row],[First Day to POL]]&lt;=Tableau118[[#This Row],[Day Cut Off]],Tableau118[[#This Row],[Day ETD]],Tableau118[[#This Row],[Day ETD]]+7)</f>
        <v>#N/A</v>
      </c>
      <c r="AF64" s="50" t="e">
        <f ca="1">VLOOKUP(Tableau118[[#This Row],[Key(ID-Actif)]],'DATA BTO'!A:N,9,FALSE)</f>
        <v>#N/A</v>
      </c>
      <c r="AG64" s="3" t="e">
        <f ca="1">VLOOKUP(Tableau118[[#This Row],[Key(ID-Actif)]],'DATA BTO'!A:N,10,FALSE)</f>
        <v>#N/A</v>
      </c>
      <c r="AH64" s="3" t="e">
        <f ca="1">VLOOKUP(Tableau118[[#This Row],[Key(ID-Actif)]],'DATA BTO'!A:N,11,FALSE)</f>
        <v>#N/A</v>
      </c>
      <c r="AI64" s="50" t="e">
        <f ca="1">VLOOKUP(Tableau118[[#This Row],[Key(ID-Actif)]],'DATA BTO'!A:N,12,FALSE)</f>
        <v>#N/A</v>
      </c>
      <c r="AJ64" s="53" t="e">
        <f ca="1">VLOOKUP(Tableau118[[#This Row],[Key(ID-Actif)]],'DATA BTO'!A:N,14,FALSE)</f>
        <v>#N/A</v>
      </c>
      <c r="AK64" s="54" t="e">
        <f ca="1">VLOOKUP(Tableau118[[#This Row],[Key(POD -PFI- Usine)]],'DATA Consignee'!A:F,6,FALSE)</f>
        <v>#N/A</v>
      </c>
      <c r="AL64" s="127"/>
      <c r="AM64" s="438" t="str">
        <f>IF(Tableau118[[#This Row],[Name PFI/CDD]]="","-",VLOOKUP(Tableau118[[#This Row],[Name PFI/CDD]],Plant_AILN!I:J,2,FALSE))</f>
        <v>-</v>
      </c>
      <c r="AN6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4" s="2" t="e">
        <f ca="1">VLOOKUP(Tableau118[[#This Row],[Key(POD -PFI- Usine)]],'DATA Consignee'!A:J,10,FALSE)</f>
        <v>#N/A</v>
      </c>
      <c r="AQ64" s="50" t="e">
        <f ca="1">VLOOKUP(Tableau118[[#This Row],[Key(POD -PFI- Usine)]],'DATA Consignee'!A:N,14,FALSE)</f>
        <v>#N/A</v>
      </c>
      <c r="AR6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4" s="50" t="e">
        <f ca="1">Tableau118[[#This Row],[Transit time]]+Tableau118[[#This Row],[Time for security]]+Tableau118[[#This Row],[Time for security2 buffer]]</f>
        <v>#N/A</v>
      </c>
      <c r="AU6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4" s="433" t="e">
        <f ca="1">Tableau118[[#This Row],[Leadtime SI2C]]+Tableau118[[#This Row],[First Receipt Days]]-Tableau118[[#This Row],[Day Customer Order]]+1</f>
        <v>#N/A</v>
      </c>
      <c r="AW64" s="119" t="e">
        <f ca="1">IF(Tableau118[[#This Row],[Name ILN]]&lt;&gt;"SFK Freight Forwarder",Tableau118[[#This Row],[Cust. Leadtime]],Tableau118[[#This Row],[Leadtime SI2C]])</f>
        <v>#N/A</v>
      </c>
      <c r="AX64" s="51" t="str">
        <f>VLOOKUP(Tableau118[[#This Row],[ID]],'DATA BTO'!B:P,15,FALSE)</f>
        <v>Horse &gt; Renault BPH (MLP)</v>
      </c>
      <c r="AY64" s="338">
        <f ca="1">IFERROR(VLOOKUP(Tableau118[[#This Row],[Key(ID-Actif)]],'DATA BTO'!A:N,4,FALSE),VLOOKUP(Tableau118[[#This Row],[ID]],'DATA BTO'!B:N,3,FALSE))</f>
        <v>46142</v>
      </c>
      <c r="AZ64" s="50" t="str">
        <f>IF(ISNUMBER(Tableau118[[#This Row],[Day Customer Order]]),"-","Please Check 'Name' information in 'Order' Sheet to make sure they have information")</f>
        <v>-</v>
      </c>
      <c r="BA64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4" s="50"/>
    </row>
    <row r="65" spans="2:57">
      <c r="B65" s="67" t="str">
        <f>_xlfn.CONCAT(Tableau118[[#This Row],[Name ILN]],"-",Tableau118[[#This Row],[Name Shipper]],"-",Tableau118[[#This Row],[Name Site]])</f>
        <v>SFK Freight Forwarder-Jatco Thailande-OYAK MONT</v>
      </c>
      <c r="C65" s="67" t="e">
        <f ca="1">_xlfn.CONCAT(Tableau118[[#This Row],[Compte ILN]],"-",Tableau118[[#This Row],[Compte Shipper]],"-",Tableau118[[#This Row],[POL]],"-",Tableau118[[#This Row],[Compte Site]])</f>
        <v>#N/A</v>
      </c>
      <c r="D65" s="66" t="e">
        <f ca="1">_xlfn.CONCAT(Tableau118[[#This Row],[Compte ILN]],"-",Tableau118[[#This Row],[Compte Shipper]],"-",Tableau118[[#This Row],[POL]])</f>
        <v>#N/A</v>
      </c>
      <c r="E65" s="434" t="e">
        <f ca="1">_xlfn.CONCAT(Tableau118[[#This Row],[POL]],"-",Tableau118[[#This Row],[Carrier]],"-",Tableau118[[#This Row],[POD]])</f>
        <v>#N/A</v>
      </c>
      <c r="F65" s="66" t="str">
        <f>_xlfn.CONCAT(Tableau118[[#This Row],[ID]],"-","Next")</f>
        <v>1070-Next</v>
      </c>
      <c r="G65" s="66" t="e">
        <f ca="1">_xlfn.CONCAT(Tableau118[[#This Row],[POD]],"-",Tableau118[[#This Row],[Code PFI]],"-",Tableau118[[#This Row],[Compte Site]])</f>
        <v>#N/A</v>
      </c>
      <c r="H65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5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5" s="435" t="str">
        <f ca="1">IF(COUNTIF(I:I,Tableau118[[#This Row],[Plant-ILN-shipper-POL-Carrier-POD-PFI]])=1,"Non","Oui")</f>
        <v>Oui</v>
      </c>
      <c r="K65" s="440" t="str">
        <f>VLOOKUP(Tableau118[[#This Row],[Name Site]],Plant_AILN!A:D,4,FALSE)</f>
        <v>TURKEY</v>
      </c>
      <c r="L65" s="10" t="s">
        <v>173</v>
      </c>
      <c r="M65" s="439">
        <f>VLOOKUP(Tableau118[[#This Row],[Name Site]],Plant_AILN!A:C,3,FALSE)</f>
        <v>90017000</v>
      </c>
      <c r="N65" s="55">
        <f>IF(Tableau118[[#This Row],[Name PFI/CDD]]="PFI VLL",2,VLOOKUP(Tableau118[[#This Row],[Compte Site]],Order!C:D,2,FALSE))</f>
        <v>7</v>
      </c>
      <c r="O65" s="116" t="s">
        <v>146</v>
      </c>
      <c r="P65" s="365">
        <f>VLOOKUP(Tableau118[[#This Row],[Name ILN]],Plant_AILN!F:G,2,FALSE)</f>
        <v>0</v>
      </c>
      <c r="Q65" s="50">
        <f>VLOOKUP(Tableau118[[#This Row],[Compte ILN]],'DATA ILN'!D:I,6,FALSE)</f>
        <v>9</v>
      </c>
      <c r="R65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5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5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5" s="50" t="e">
        <f ca="1">Tableau118[[#This Row],[Day ILN Order]]+Tableau118[[#This Row],[Delivery time to ILN/Shipper]]-1</f>
        <v>#N/A</v>
      </c>
      <c r="V65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5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5" s="284" t="s">
        <v>182</v>
      </c>
      <c r="Y65" s="437">
        <f>IFERROR(VLOOKUP(Tableau118[[#This Row],[Name Shipper]],Plant_AILN!L:M,2,FALSE),0)</f>
        <v>29770601</v>
      </c>
      <c r="Z65" s="406">
        <v>1070</v>
      </c>
      <c r="AA65" s="396" t="e">
        <f ca="1">VLOOKUP(Tableau118[[#This Row],[Key(ID-Actif)]],'DATA BTO'!A:N,5,FALSE)</f>
        <v>#N/A</v>
      </c>
      <c r="AB65" s="3" t="e">
        <f ca="1">VLOOKUP(Tableau118[[#This Row],[Key(ID-Actif)]],'DATA BTO'!A:N,6,FALSE)</f>
        <v>#N/A</v>
      </c>
      <c r="AC65" s="50" t="e">
        <f ca="1">VLOOKUP(Tableau118[[#This Row],[Key(ID-Actif)]],'DATA BTO'!A:N,7,FALSE)</f>
        <v>#N/A</v>
      </c>
      <c r="AD65" s="50" t="e">
        <f ca="1">VLOOKUP(Tableau118[[#This Row],[Key(ID-Actif)]],'DATA BTO'!A:N,8,FALSE)</f>
        <v>#N/A</v>
      </c>
      <c r="AE65" s="50" t="e">
        <f ca="1">IF(Tableau118[[#This Row],[First Day to POL]]&lt;=Tableau118[[#This Row],[Day Cut Off]],Tableau118[[#This Row],[Day ETD]],Tableau118[[#This Row],[Day ETD]]+7)</f>
        <v>#N/A</v>
      </c>
      <c r="AF65" s="50" t="e">
        <f ca="1">VLOOKUP(Tableau118[[#This Row],[Key(ID-Actif)]],'DATA BTO'!A:N,9,FALSE)</f>
        <v>#N/A</v>
      </c>
      <c r="AG65" s="3" t="e">
        <f ca="1">VLOOKUP(Tableau118[[#This Row],[Key(ID-Actif)]],'DATA BTO'!A:N,10,FALSE)</f>
        <v>#N/A</v>
      </c>
      <c r="AH65" s="3" t="e">
        <f ca="1">VLOOKUP(Tableau118[[#This Row],[Key(ID-Actif)]],'DATA BTO'!A:N,11,FALSE)</f>
        <v>#N/A</v>
      </c>
      <c r="AI65" s="50" t="e">
        <f ca="1">VLOOKUP(Tableau118[[#This Row],[Key(ID-Actif)]],'DATA BTO'!A:N,12,FALSE)</f>
        <v>#N/A</v>
      </c>
      <c r="AJ65" s="53" t="e">
        <f ca="1">VLOOKUP(Tableau118[[#This Row],[Key(ID-Actif)]],'DATA BTO'!A:N,14,FALSE)</f>
        <v>#N/A</v>
      </c>
      <c r="AK65" s="54" t="e">
        <f ca="1">VLOOKUP(Tableau118[[#This Row],[Key(POD -PFI- Usine)]],'DATA Consignee'!A:F,6,FALSE)</f>
        <v>#N/A</v>
      </c>
      <c r="AL65" s="127"/>
      <c r="AM65" s="438" t="str">
        <f>IF(Tableau118[[#This Row],[Name PFI/CDD]]="","-",VLOOKUP(Tableau118[[#This Row],[Name PFI/CDD]],Plant_AILN!I:J,2,FALSE))</f>
        <v>-</v>
      </c>
      <c r="AN6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5" s="2" t="e">
        <f ca="1">VLOOKUP(Tableau118[[#This Row],[Key(POD -PFI- Usine)]],'DATA Consignee'!A:J,10,FALSE)</f>
        <v>#N/A</v>
      </c>
      <c r="AQ65" s="50" t="e">
        <f ca="1">VLOOKUP(Tableau118[[#This Row],[Key(POD -PFI- Usine)]],'DATA Consignee'!A:N,14,FALSE)</f>
        <v>#N/A</v>
      </c>
      <c r="AR6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5" s="50" t="e">
        <f ca="1">Tableau118[[#This Row],[Transit time]]+Tableau118[[#This Row],[Time for security]]+Tableau118[[#This Row],[Time for security2 buffer]]</f>
        <v>#N/A</v>
      </c>
      <c r="AU6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5" s="433" t="e">
        <f ca="1">Tableau118[[#This Row],[Leadtime SI2C]]+Tableau118[[#This Row],[First Receipt Days]]-Tableau118[[#This Row],[Day Customer Order]]+1</f>
        <v>#N/A</v>
      </c>
      <c r="AW65" s="119" t="e">
        <f ca="1">IF(Tableau118[[#This Row],[Name ILN]]&lt;&gt;"SFK Freight Forwarder",Tableau118[[#This Row],[Cust. Leadtime]],Tableau118[[#This Row],[Leadtime SI2C]])</f>
        <v>#N/A</v>
      </c>
      <c r="AX65" s="51" t="str">
        <f>VLOOKUP(Tableau118[[#This Row],[ID]],'DATA BTO'!B:P,15,FALSE)</f>
        <v>Horse &gt; Renault BPH (MLP)</v>
      </c>
      <c r="AY65" s="338">
        <f ca="1">IFERROR(VLOOKUP(Tableau118[[#This Row],[Key(ID-Actif)]],'DATA BTO'!A:N,4,FALSE),VLOOKUP(Tableau118[[#This Row],[ID]],'DATA BTO'!B:N,3,FALSE))</f>
        <v>46142</v>
      </c>
      <c r="AZ65" s="50" t="str">
        <f>IF(ISNUMBER(Tableau118[[#This Row],[Day Customer Order]]),"-","Please Check 'Name' information in 'Order' Sheet to make sure they have information")</f>
        <v>-</v>
      </c>
      <c r="BA65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5" s="50"/>
    </row>
    <row r="66" spans="2:57">
      <c r="B66" s="67" t="str">
        <f>_xlfn.CONCAT(Tableau118[[#This Row],[Name ILN]],"-",Tableau118[[#This Row],[Name Shipper]],"-",Tableau118[[#This Row],[Name Site]])</f>
        <v>SFK Freight Forwarder-Jatco Thailande-RKM</v>
      </c>
      <c r="C66" s="67" t="e">
        <f ca="1">_xlfn.CONCAT(Tableau118[[#This Row],[Compte ILN]],"-",Tableau118[[#This Row],[Compte Shipper]],"-",Tableau118[[#This Row],[POL]],"-",Tableau118[[#This Row],[Compte Site]])</f>
        <v>#N/A</v>
      </c>
      <c r="D66" s="66" t="e">
        <f ca="1">_xlfn.CONCAT(Tableau118[[#This Row],[Compte ILN]],"-",Tableau118[[#This Row],[Compte Shipper]],"-",Tableau118[[#This Row],[POL]])</f>
        <v>#N/A</v>
      </c>
      <c r="E66" s="434" t="e">
        <f ca="1">_xlfn.CONCAT(Tableau118[[#This Row],[POL]],"-",Tableau118[[#This Row],[Carrier]],"-",Tableau118[[#This Row],[POD]])</f>
        <v>#N/A</v>
      </c>
      <c r="F66" s="66" t="str">
        <f>_xlfn.CONCAT(Tableau118[[#This Row],[ID]],"-","Next")</f>
        <v>1071-Next</v>
      </c>
      <c r="G66" s="66" t="e">
        <f ca="1">_xlfn.CONCAT(Tableau118[[#This Row],[POD]],"-",Tableau118[[#This Row],[Code PFI]],"-",Tableau118[[#This Row],[Compte Site]])</f>
        <v>#N/A</v>
      </c>
      <c r="H66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6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6" s="435" t="str">
        <f ca="1">IF(COUNTIF(I:I,Tableau118[[#This Row],[Plant-ILN-shipper-POL-Carrier-POD-PFI]])=1,"Non","Oui")</f>
        <v>Oui</v>
      </c>
      <c r="K66" s="436" t="str">
        <f>VLOOKUP(Tableau118[[#This Row],[Name Site]],Plant_AILN!A:D,4,FALSE)</f>
        <v>KOREA</v>
      </c>
      <c r="L66" s="285" t="s">
        <v>145</v>
      </c>
      <c r="M66" s="439">
        <f>VLOOKUP(Tableau118[[#This Row],[Name Site]],Plant_AILN!A:C,3,FALSE)</f>
        <v>92002200</v>
      </c>
      <c r="N66" s="55">
        <f>IF(Tableau118[[#This Row],[Name PFI/CDD]]="PFI VLL",2,VLOOKUP(Tableau118[[#This Row],[Compte Site]],Order!C:D,2,FALSE))</f>
        <v>2</v>
      </c>
      <c r="O66" s="68" t="s">
        <v>146</v>
      </c>
      <c r="P66" s="365">
        <f>VLOOKUP(Tableau118[[#This Row],[Name ILN]],Plant_AILN!F:G,2,FALSE)</f>
        <v>0</v>
      </c>
      <c r="Q66" s="50">
        <f>VLOOKUP(Tableau118[[#This Row],[Compte ILN]],'DATA ILN'!D:I,6,FALSE)</f>
        <v>9</v>
      </c>
      <c r="R66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6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6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6" s="50" t="e">
        <f ca="1">Tableau118[[#This Row],[Day ILN Order]]+Tableau118[[#This Row],[Delivery time to ILN/Shipper]]-1</f>
        <v>#N/A</v>
      </c>
      <c r="V66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6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6" s="284" t="s">
        <v>182</v>
      </c>
      <c r="Y66" s="437">
        <f>IFERROR(VLOOKUP(Tableau118[[#This Row],[Name Shipper]],Plant_AILN!L:M,2,FALSE),0)</f>
        <v>29770601</v>
      </c>
      <c r="Z66" s="406">
        <v>1071</v>
      </c>
      <c r="AA66" s="396" t="e">
        <f ca="1">VLOOKUP(Tableau118[[#This Row],[Key(ID-Actif)]],'DATA BTO'!A:N,5,FALSE)</f>
        <v>#N/A</v>
      </c>
      <c r="AB66" s="3" t="e">
        <f ca="1">VLOOKUP(Tableau118[[#This Row],[Key(ID-Actif)]],'DATA BTO'!A:N,6,FALSE)</f>
        <v>#N/A</v>
      </c>
      <c r="AC66" s="50" t="e">
        <f ca="1">VLOOKUP(Tableau118[[#This Row],[Key(ID-Actif)]],'DATA BTO'!A:N,7,FALSE)</f>
        <v>#N/A</v>
      </c>
      <c r="AD66" s="50" t="e">
        <f ca="1">VLOOKUP(Tableau118[[#This Row],[Key(ID-Actif)]],'DATA BTO'!A:N,8,FALSE)</f>
        <v>#N/A</v>
      </c>
      <c r="AE66" s="50" t="e">
        <f ca="1">IF(Tableau118[[#This Row],[First Day to POL]]&lt;=Tableau118[[#This Row],[Day Cut Off]],Tableau118[[#This Row],[Day ETD]],Tableau118[[#This Row],[Day ETD]]+7)</f>
        <v>#N/A</v>
      </c>
      <c r="AF66" s="50" t="e">
        <f ca="1">VLOOKUP(Tableau118[[#This Row],[Key(ID-Actif)]],'DATA BTO'!A:N,9,FALSE)</f>
        <v>#N/A</v>
      </c>
      <c r="AG66" s="3" t="e">
        <f ca="1">VLOOKUP(Tableau118[[#This Row],[Key(ID-Actif)]],'DATA BTO'!A:N,10,FALSE)</f>
        <v>#N/A</v>
      </c>
      <c r="AH66" s="3" t="e">
        <f ca="1">VLOOKUP(Tableau118[[#This Row],[Key(ID-Actif)]],'DATA BTO'!A:N,11,FALSE)</f>
        <v>#N/A</v>
      </c>
      <c r="AI66" s="50" t="e">
        <f ca="1">VLOOKUP(Tableau118[[#This Row],[Key(ID-Actif)]],'DATA BTO'!A:N,12,FALSE)</f>
        <v>#N/A</v>
      </c>
      <c r="AJ66" s="53" t="e">
        <f ca="1">VLOOKUP(Tableau118[[#This Row],[Key(ID-Actif)]],'DATA BTO'!A:N,14,FALSE)</f>
        <v>#N/A</v>
      </c>
      <c r="AK66" s="54" t="e">
        <f ca="1">VLOOKUP(Tableau118[[#This Row],[Key(POD -PFI- Usine)]],'DATA Consignee'!A:F,6,FALSE)</f>
        <v>#N/A</v>
      </c>
      <c r="AL66" s="127"/>
      <c r="AM66" s="438" t="str">
        <f>IF(Tableau118[[#This Row],[Name PFI/CDD]]="","-",VLOOKUP(Tableau118[[#This Row],[Name PFI/CDD]],Plant_AILN!I:J,2,FALSE))</f>
        <v>-</v>
      </c>
      <c r="AN6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6" s="2" t="e">
        <f ca="1">VLOOKUP(Tableau118[[#This Row],[Key(POD -PFI- Usine)]],'DATA Consignee'!A:J,10,FALSE)</f>
        <v>#N/A</v>
      </c>
      <c r="AQ66" s="50" t="e">
        <f ca="1">VLOOKUP(Tableau118[[#This Row],[Key(POD -PFI- Usine)]],'DATA Consignee'!A:N,14,FALSE)</f>
        <v>#N/A</v>
      </c>
      <c r="AR6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6" s="50" t="e">
        <f ca="1">Tableau118[[#This Row],[Transit time]]+Tableau118[[#This Row],[Time for security]]+Tableau118[[#This Row],[Time for security2 buffer]]</f>
        <v>#N/A</v>
      </c>
      <c r="AU6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6" s="433" t="e">
        <f ca="1">Tableau118[[#This Row],[Leadtime SI2C]]+Tableau118[[#This Row],[First Receipt Days]]-Tableau118[[#This Row],[Day Customer Order]]+1</f>
        <v>#N/A</v>
      </c>
      <c r="AW66" s="119" t="e">
        <f ca="1">IF(Tableau118[[#This Row],[Name ILN]]&lt;&gt;"SFK Freight Forwarder",Tableau118[[#This Row],[Cust. Leadtime]],Tableau118[[#This Row],[Leadtime SI2C]])</f>
        <v>#N/A</v>
      </c>
      <c r="AX66" s="51" t="str">
        <f>VLOOKUP(Tableau118[[#This Row],[ID]],'DATA BTO'!B:P,15,FALSE)</f>
        <v>Horse &gt; Renault BPH (MLP)</v>
      </c>
      <c r="AY66" s="338">
        <f ca="1">IFERROR(VLOOKUP(Tableau118[[#This Row],[Key(ID-Actif)]],'DATA BTO'!A:N,4,FALSE),VLOOKUP(Tableau118[[#This Row],[ID]],'DATA BTO'!B:N,3,FALSE))</f>
        <v>46142</v>
      </c>
      <c r="AZ66" s="50" t="str">
        <f>IF(ISNUMBER(Tableau118[[#This Row],[Day Customer Order]]),"-","Please Check 'Name' information in 'Order' Sheet to make sure they have information")</f>
        <v>-</v>
      </c>
      <c r="BA66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6" s="50"/>
    </row>
    <row r="67" spans="2:57">
      <c r="B67" s="67" t="str">
        <f>_xlfn.CONCAT(Tableau118[[#This Row],[Name ILN]],"-",Tableau118[[#This Row],[Name Shipper]],"-",Tableau118[[#This Row],[Name Site]])</f>
        <v>SFK Freight Forwarder-Jatco Thailande-CURITIBA CVP</v>
      </c>
      <c r="C67" s="67" t="e">
        <f ca="1">_xlfn.CONCAT(Tableau118[[#This Row],[Compte ILN]],"-",Tableau118[[#This Row],[Compte Shipper]],"-",Tableau118[[#This Row],[POL]],"-",Tableau118[[#This Row],[Compte Site]])</f>
        <v>#N/A</v>
      </c>
      <c r="D67" s="66" t="e">
        <f ca="1">_xlfn.CONCAT(Tableau118[[#This Row],[Compte ILN]],"-",Tableau118[[#This Row],[Compte Shipper]],"-",Tableau118[[#This Row],[POL]])</f>
        <v>#N/A</v>
      </c>
      <c r="E67" s="434" t="e">
        <f ca="1">_xlfn.CONCAT(Tableau118[[#This Row],[POL]],"-",Tableau118[[#This Row],[Carrier]],"-",Tableau118[[#This Row],[POD]])</f>
        <v>#N/A</v>
      </c>
      <c r="F67" s="66" t="str">
        <f>_xlfn.CONCAT(Tableau118[[#This Row],[ID]],"-","Next")</f>
        <v>1072-Next</v>
      </c>
      <c r="G67" s="66" t="e">
        <f ca="1">_xlfn.CONCAT(Tableau118[[#This Row],[POD]],"-",Tableau118[[#This Row],[Code PFI]],"-",Tableau118[[#This Row],[Compte Site]])</f>
        <v>#N/A</v>
      </c>
      <c r="H67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7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7" s="435" t="str">
        <f ca="1">IF(COUNTIF(I:I,Tableau118[[#This Row],[Plant-ILN-shipper-POL-Carrier-POD-PFI]])=1,"Non","Oui")</f>
        <v>Oui</v>
      </c>
      <c r="K67" s="436" t="str">
        <f>VLOOKUP(Tableau118[[#This Row],[Name Site]],Plant_AILN!A:D,4,FALSE)</f>
        <v>BRAZIL</v>
      </c>
      <c r="L67" s="285" t="s">
        <v>181</v>
      </c>
      <c r="M67" s="439">
        <f>VLOOKUP(Tableau118[[#This Row],[Name Site]],Plant_AILN!A:C,3,FALSE)</f>
        <v>90018000</v>
      </c>
      <c r="N67" s="55">
        <f>IF(Tableau118[[#This Row],[Name PFI/CDD]]="PFI VLL",2,VLOOKUP(Tableau118[[#This Row],[Compte Site]],Order!C:D,2,FALSE))</f>
        <v>7</v>
      </c>
      <c r="O67" s="116" t="s">
        <v>146</v>
      </c>
      <c r="P67" s="365">
        <f>VLOOKUP(Tableau118[[#This Row],[Name ILN]],Plant_AILN!F:G,2,FALSE)</f>
        <v>0</v>
      </c>
      <c r="Q67" s="50">
        <f>VLOOKUP(Tableau118[[#This Row],[Compte ILN]],'DATA ILN'!D:I,6,FALSE)</f>
        <v>9</v>
      </c>
      <c r="R67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7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7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7" s="50" t="e">
        <f ca="1">Tableau118[[#This Row],[Day ILN Order]]+Tableau118[[#This Row],[Delivery time to ILN/Shipper]]-1</f>
        <v>#N/A</v>
      </c>
      <c r="V67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7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7" s="284" t="s">
        <v>182</v>
      </c>
      <c r="Y67" s="437">
        <f>IFERROR(VLOOKUP(Tableau118[[#This Row],[Name Shipper]],Plant_AILN!L:M,2,FALSE),0)</f>
        <v>29770601</v>
      </c>
      <c r="Z67" s="406">
        <v>1072</v>
      </c>
      <c r="AA67" s="396" t="e">
        <f ca="1">VLOOKUP(Tableau118[[#This Row],[Key(ID-Actif)]],'DATA BTO'!A:N,5,FALSE)</f>
        <v>#N/A</v>
      </c>
      <c r="AB67" s="3" t="e">
        <f ca="1">VLOOKUP(Tableau118[[#This Row],[Key(ID-Actif)]],'DATA BTO'!A:N,6,FALSE)</f>
        <v>#N/A</v>
      </c>
      <c r="AC67" s="50" t="e">
        <f ca="1">VLOOKUP(Tableau118[[#This Row],[Key(ID-Actif)]],'DATA BTO'!A:N,7,FALSE)</f>
        <v>#N/A</v>
      </c>
      <c r="AD67" s="50" t="e">
        <f ca="1">VLOOKUP(Tableau118[[#This Row],[Key(ID-Actif)]],'DATA BTO'!A:N,8,FALSE)</f>
        <v>#N/A</v>
      </c>
      <c r="AE67" s="50" t="e">
        <f ca="1">IF(Tableau118[[#This Row],[First Day to POL]]&lt;=Tableau118[[#This Row],[Day Cut Off]],Tableau118[[#This Row],[Day ETD]],Tableau118[[#This Row],[Day ETD]]+7)</f>
        <v>#N/A</v>
      </c>
      <c r="AF67" s="50" t="e">
        <f ca="1">VLOOKUP(Tableau118[[#This Row],[Key(ID-Actif)]],'DATA BTO'!A:N,9,FALSE)</f>
        <v>#N/A</v>
      </c>
      <c r="AG67" s="3" t="e">
        <f ca="1">VLOOKUP(Tableau118[[#This Row],[Key(ID-Actif)]],'DATA BTO'!A:N,10,FALSE)</f>
        <v>#N/A</v>
      </c>
      <c r="AH67" s="3" t="e">
        <f ca="1">VLOOKUP(Tableau118[[#This Row],[Key(ID-Actif)]],'DATA BTO'!A:N,11,FALSE)</f>
        <v>#N/A</v>
      </c>
      <c r="AI67" s="50" t="e">
        <f ca="1">VLOOKUP(Tableau118[[#This Row],[Key(ID-Actif)]],'DATA BTO'!A:N,12,FALSE)</f>
        <v>#N/A</v>
      </c>
      <c r="AJ67" s="53" t="e">
        <f ca="1">VLOOKUP(Tableau118[[#This Row],[Key(ID-Actif)]],'DATA BTO'!A:N,14,FALSE)</f>
        <v>#N/A</v>
      </c>
      <c r="AK67" s="54" t="e">
        <f ca="1">VLOOKUP(Tableau118[[#This Row],[Key(POD -PFI- Usine)]],'DATA Consignee'!A:F,6,FALSE)</f>
        <v>#N/A</v>
      </c>
      <c r="AL67" s="127"/>
      <c r="AM67" s="438" t="str">
        <f>IF(Tableau118[[#This Row],[Name PFI/CDD]]="","-",VLOOKUP(Tableau118[[#This Row],[Name PFI/CDD]],Plant_AILN!I:J,2,FALSE))</f>
        <v>-</v>
      </c>
      <c r="AN6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7" s="2" t="e">
        <f ca="1">VLOOKUP(Tableau118[[#This Row],[Key(POD -PFI- Usine)]],'DATA Consignee'!A:J,10,FALSE)</f>
        <v>#N/A</v>
      </c>
      <c r="AQ67" s="50" t="e">
        <f ca="1">VLOOKUP(Tableau118[[#This Row],[Key(POD -PFI- Usine)]],'DATA Consignee'!A:N,14,FALSE)</f>
        <v>#N/A</v>
      </c>
      <c r="AR6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7" s="50" t="e">
        <f ca="1">Tableau118[[#This Row],[Transit time]]+Tableau118[[#This Row],[Time for security]]+Tableau118[[#This Row],[Time for security2 buffer]]</f>
        <v>#N/A</v>
      </c>
      <c r="AU6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7" s="433" t="e">
        <f ca="1">Tableau118[[#This Row],[Leadtime SI2C]]+Tableau118[[#This Row],[First Receipt Days]]-Tableau118[[#This Row],[Day Customer Order]]+1</f>
        <v>#N/A</v>
      </c>
      <c r="AW67" s="119" t="e">
        <f ca="1">IF(Tableau118[[#This Row],[Name ILN]]&lt;&gt;"SFK Freight Forwarder",Tableau118[[#This Row],[Cust. Leadtime]],Tableau118[[#This Row],[Leadtime SI2C]])</f>
        <v>#N/A</v>
      </c>
      <c r="AX67" s="51" t="str">
        <f>VLOOKUP(Tableau118[[#This Row],[ID]],'DATA BTO'!B:P,15,FALSE)</f>
        <v>Horse &gt; Renault BPH (MLP)</v>
      </c>
      <c r="AY67" s="338">
        <f ca="1">IFERROR(VLOOKUP(Tableau118[[#This Row],[Key(ID-Actif)]],'DATA BTO'!A:N,4,FALSE),VLOOKUP(Tableau118[[#This Row],[ID]],'DATA BTO'!B:N,3,FALSE))</f>
        <v>46142</v>
      </c>
      <c r="AZ67" s="50" t="str">
        <f>IF(ISNUMBER(Tableau118[[#This Row],[Day Customer Order]]),"-","Please Check 'Name' information in 'Order' Sheet to make sure they have information")</f>
        <v>-</v>
      </c>
      <c r="BA67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7" s="50"/>
    </row>
    <row r="68" spans="2:57">
      <c r="B68" s="67" t="str">
        <f>_xlfn.CONCAT(Tableau118[[#This Row],[Name ILN]],"-",Tableau118[[#This Row],[Name Shipper]],"-",Tableau118[[#This Row],[Name Site]])</f>
        <v>SFK Freight Forwarder-Jatco Thailande-VALL MONTAGE</v>
      </c>
      <c r="C68" s="67" t="e">
        <f ca="1">_xlfn.CONCAT(Tableau118[[#This Row],[Compte ILN]],"-",Tableau118[[#This Row],[Compte Shipper]],"-",Tableau118[[#This Row],[POL]],"-",Tableau118[[#This Row],[Compte Site]])</f>
        <v>#N/A</v>
      </c>
      <c r="D68" s="66" t="e">
        <f ca="1">_xlfn.CONCAT(Tableau118[[#This Row],[Compte ILN]],"-",Tableau118[[#This Row],[Compte Shipper]],"-",Tableau118[[#This Row],[POL]])</f>
        <v>#N/A</v>
      </c>
      <c r="E68" s="434" t="e">
        <f ca="1">_xlfn.CONCAT(Tableau118[[#This Row],[POL]],"-",Tableau118[[#This Row],[Carrier]],"-",Tableau118[[#This Row],[POD]])</f>
        <v>#N/A</v>
      </c>
      <c r="F68" s="66" t="str">
        <f>_xlfn.CONCAT(Tableau118[[#This Row],[ID]],"-","Next")</f>
        <v>1073-Next</v>
      </c>
      <c r="G68" s="66" t="e">
        <f ca="1">_xlfn.CONCAT(Tableau118[[#This Row],[POD]],"-",Tableau118[[#This Row],[Code PFI]],"-",Tableau118[[#This Row],[Compte Site]])</f>
        <v>#N/A</v>
      </c>
      <c r="H68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8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8" s="435" t="str">
        <f ca="1">IF(COUNTIF(I:I,Tableau118[[#This Row],[Plant-ILN-shipper-POL-Carrier-POD-PFI]])=1,"Non","Oui")</f>
        <v>Oui</v>
      </c>
      <c r="K68" s="128" t="str">
        <f>VLOOKUP(Tableau118[[#This Row],[Name Site]],Plant_AILN!A:D,4,FALSE)</f>
        <v>SPAIN</v>
      </c>
      <c r="L68" s="10" t="s">
        <v>175</v>
      </c>
      <c r="M68" s="439">
        <f>VLOOKUP(Tableau118[[#This Row],[Name Site]],Plant_AILN!A:C,3,FALSE)</f>
        <v>91017300</v>
      </c>
      <c r="N68" s="55">
        <f>IF(Tableau118[[#This Row],[Name PFI/CDD]]="PFI VLL",2,VLOOKUP(Tableau118[[#This Row],[Compte Site]],Order!C:D,2,FALSE))</f>
        <v>7</v>
      </c>
      <c r="O68" s="116" t="s">
        <v>146</v>
      </c>
      <c r="P68" s="365">
        <f>VLOOKUP(Tableau118[[#This Row],[Name ILN]],Plant_AILN!F:G,2,FALSE)</f>
        <v>0</v>
      </c>
      <c r="Q68" s="50">
        <f>VLOOKUP(Tableau118[[#This Row],[Compte ILN]],'DATA ILN'!D:I,6,FALSE)</f>
        <v>9</v>
      </c>
      <c r="R68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8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8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8" s="50" t="e">
        <f ca="1">Tableau118[[#This Row],[Day ILN Order]]+Tableau118[[#This Row],[Delivery time to ILN/Shipper]]-1</f>
        <v>#N/A</v>
      </c>
      <c r="V68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8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8" s="284" t="s">
        <v>182</v>
      </c>
      <c r="Y68" s="437">
        <f>IFERROR(VLOOKUP(Tableau118[[#This Row],[Name Shipper]],Plant_AILN!L:M,2,FALSE),0)</f>
        <v>29770601</v>
      </c>
      <c r="Z68" s="406">
        <v>1073</v>
      </c>
      <c r="AA68" s="396" t="e">
        <f ca="1">VLOOKUP(Tableau118[[#This Row],[Key(ID-Actif)]],'DATA BTO'!A:N,5,FALSE)</f>
        <v>#N/A</v>
      </c>
      <c r="AB68" s="3" t="e">
        <f ca="1">VLOOKUP(Tableau118[[#This Row],[Key(ID-Actif)]],'DATA BTO'!A:N,6,FALSE)</f>
        <v>#N/A</v>
      </c>
      <c r="AC68" s="50" t="e">
        <f ca="1">VLOOKUP(Tableau118[[#This Row],[Key(ID-Actif)]],'DATA BTO'!A:N,7,FALSE)</f>
        <v>#N/A</v>
      </c>
      <c r="AD68" s="50" t="e">
        <f ca="1">VLOOKUP(Tableau118[[#This Row],[Key(ID-Actif)]],'DATA BTO'!A:N,8,FALSE)</f>
        <v>#N/A</v>
      </c>
      <c r="AE68" s="50" t="e">
        <f ca="1">IF(Tableau118[[#This Row],[First Day to POL]]&lt;=Tableau118[[#This Row],[Day Cut Off]],Tableau118[[#This Row],[Day ETD]],Tableau118[[#This Row],[Day ETD]]+7)</f>
        <v>#N/A</v>
      </c>
      <c r="AF68" s="50" t="e">
        <f ca="1">VLOOKUP(Tableau118[[#This Row],[Key(ID-Actif)]],'DATA BTO'!A:N,9,FALSE)</f>
        <v>#N/A</v>
      </c>
      <c r="AG68" s="3" t="e">
        <f ca="1">VLOOKUP(Tableau118[[#This Row],[Key(ID-Actif)]],'DATA BTO'!A:N,10,FALSE)</f>
        <v>#N/A</v>
      </c>
      <c r="AH68" s="3" t="e">
        <f ca="1">VLOOKUP(Tableau118[[#This Row],[Key(ID-Actif)]],'DATA BTO'!A:N,11,FALSE)</f>
        <v>#N/A</v>
      </c>
      <c r="AI68" s="50" t="e">
        <f ca="1">VLOOKUP(Tableau118[[#This Row],[Key(ID-Actif)]],'DATA BTO'!A:N,12,FALSE)</f>
        <v>#N/A</v>
      </c>
      <c r="AJ68" s="53" t="e">
        <f ca="1">VLOOKUP(Tableau118[[#This Row],[Key(ID-Actif)]],'DATA BTO'!A:N,14,FALSE)</f>
        <v>#N/A</v>
      </c>
      <c r="AK68" s="54" t="e">
        <f ca="1">VLOOKUP(Tableau118[[#This Row],[Key(POD -PFI- Usine)]],'DATA Consignee'!A:F,6,FALSE)</f>
        <v>#N/A</v>
      </c>
      <c r="AL68" s="127" t="s">
        <v>169</v>
      </c>
      <c r="AM68" s="438">
        <f>IF(Tableau118[[#This Row],[Name PFI/CDD]]="","-",VLOOKUP(Tableau118[[#This Row],[Name PFI/CDD]],Plant_AILN!I:J,2,FALSE))</f>
        <v>91018400</v>
      </c>
      <c r="AN6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6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68" s="2" t="e">
        <f ca="1">VLOOKUP(Tableau118[[#This Row],[Key(POD -PFI- Usine)]],'DATA Consignee'!A:J,10,FALSE)</f>
        <v>#N/A</v>
      </c>
      <c r="AQ68" s="50" t="e">
        <f ca="1">VLOOKUP(Tableau118[[#This Row],[Key(POD -PFI- Usine)]],'DATA Consignee'!A:N,14,FALSE)</f>
        <v>#N/A</v>
      </c>
      <c r="AR6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8" s="50" t="e">
        <f ca="1">Tableau118[[#This Row],[Transit time]]+Tableau118[[#This Row],[Time for security]]+Tableau118[[#This Row],[Time for security2 buffer]]</f>
        <v>#N/A</v>
      </c>
      <c r="AU6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8" s="433" t="e">
        <f ca="1">Tableau118[[#This Row],[Leadtime SI2C]]+Tableau118[[#This Row],[First Receipt Days]]-Tableau118[[#This Row],[Day Customer Order]]+1</f>
        <v>#N/A</v>
      </c>
      <c r="AW68" s="119" t="e">
        <f ca="1">IF(Tableau118[[#This Row],[Name ILN]]&lt;&gt;"SFK Freight Forwarder",Tableau118[[#This Row],[Cust. Leadtime]],Tableau118[[#This Row],[Leadtime SI2C]])</f>
        <v>#N/A</v>
      </c>
      <c r="AX68" s="51" t="str">
        <f>VLOOKUP(Tableau118[[#This Row],[ID]],'DATA BTO'!B:P,15,FALSE)</f>
        <v>Horse &gt; Renault BPH (MLP)</v>
      </c>
      <c r="AY68" s="338">
        <f ca="1">IFERROR(VLOOKUP(Tableau118[[#This Row],[Key(ID-Actif)]],'DATA BTO'!A:N,4,FALSE),VLOOKUP(Tableau118[[#This Row],[ID]],'DATA BTO'!B:N,3,FALSE))</f>
        <v>46142</v>
      </c>
      <c r="AZ68" s="50" t="str">
        <f>IF(ISNUMBER(Tableau118[[#This Row],[Day Customer Order]]),"-","Please Check 'Name' information in 'Order' Sheet to make sure they have information")</f>
        <v>-</v>
      </c>
      <c r="BA68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8" s="50"/>
    </row>
    <row r="69" spans="2:57">
      <c r="B69" s="67" t="str">
        <f>_xlfn.CONCAT(Tableau118[[#This Row],[Name ILN]],"-",Tableau118[[#This Row],[Name Shipper]],"-",Tableau118[[#This Row],[Name Site]])</f>
        <v>SFK Freight Forwarder-Jatco Thailande-CORDOBA</v>
      </c>
      <c r="C69" s="67" t="e">
        <f ca="1">_xlfn.CONCAT(Tableau118[[#This Row],[Compte ILN]],"-",Tableau118[[#This Row],[Compte Shipper]],"-",Tableau118[[#This Row],[POL]],"-",Tableau118[[#This Row],[Compte Site]])</f>
        <v>#N/A</v>
      </c>
      <c r="D69" s="66" t="e">
        <f ca="1">_xlfn.CONCAT(Tableau118[[#This Row],[Compte ILN]],"-",Tableau118[[#This Row],[Compte Shipper]],"-",Tableau118[[#This Row],[POL]])</f>
        <v>#N/A</v>
      </c>
      <c r="E69" s="434" t="e">
        <f ca="1">_xlfn.CONCAT(Tableau118[[#This Row],[POL]],"-",Tableau118[[#This Row],[Carrier]],"-",Tableau118[[#This Row],[POD]])</f>
        <v>#N/A</v>
      </c>
      <c r="F69" s="66" t="str">
        <f>_xlfn.CONCAT(Tableau118[[#This Row],[ID]],"-","Next")</f>
        <v>1074-Next</v>
      </c>
      <c r="G69" s="66" t="e">
        <f ca="1">_xlfn.CONCAT(Tableau118[[#This Row],[POD]],"-",Tableau118[[#This Row],[Code PFI]],"-",Tableau118[[#This Row],[Compte Site]])</f>
        <v>#N/A</v>
      </c>
      <c r="H69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9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9" s="435" t="str">
        <f ca="1">IF(COUNTIF(I:I,Tableau118[[#This Row],[Plant-ILN-shipper-POL-Carrier-POD-PFI]])=1,"Non","Oui")</f>
        <v>Oui</v>
      </c>
      <c r="K69" s="128" t="str">
        <f>VLOOKUP(Tableau118[[#This Row],[Name Site]],Plant_AILN!A:D,4,FALSE)</f>
        <v>ARGENTINA</v>
      </c>
      <c r="L69" s="10" t="s">
        <v>158</v>
      </c>
      <c r="M69" s="439">
        <f>VLOOKUP(Tableau118[[#This Row],[Name Site]],Plant_AILN!A:C,3,FALSE)</f>
        <v>90016000</v>
      </c>
      <c r="N69" s="55">
        <f>IF(Tableau118[[#This Row],[Name PFI/CDD]]="PFI VLL",2,VLOOKUP(Tableau118[[#This Row],[Compte Site]],Order!C:D,2,FALSE))</f>
        <v>7</v>
      </c>
      <c r="O69" s="116" t="s">
        <v>146</v>
      </c>
      <c r="P69" s="365">
        <f>VLOOKUP(Tableau118[[#This Row],[Name ILN]],Plant_AILN!F:G,2,FALSE)</f>
        <v>0</v>
      </c>
      <c r="Q69" s="50">
        <f>VLOOKUP(Tableau118[[#This Row],[Compte ILN]],'DATA ILN'!D:I,6,FALSE)</f>
        <v>9</v>
      </c>
      <c r="R69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69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69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69" s="50" t="e">
        <f ca="1">Tableau118[[#This Row],[Day ILN Order]]+Tableau118[[#This Row],[Delivery time to ILN/Shipper]]-1</f>
        <v>#N/A</v>
      </c>
      <c r="V69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69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69" s="284" t="s">
        <v>182</v>
      </c>
      <c r="Y69" s="437">
        <f>IFERROR(VLOOKUP(Tableau118[[#This Row],[Name Shipper]],Plant_AILN!L:M,2,FALSE),0)</f>
        <v>29770601</v>
      </c>
      <c r="Z69" s="406">
        <v>1074</v>
      </c>
      <c r="AA69" s="396" t="e">
        <f ca="1">VLOOKUP(Tableau118[[#This Row],[Key(ID-Actif)]],'DATA BTO'!A:N,5,FALSE)</f>
        <v>#N/A</v>
      </c>
      <c r="AB69" s="3" t="e">
        <f ca="1">VLOOKUP(Tableau118[[#This Row],[Key(ID-Actif)]],'DATA BTO'!A:N,6,FALSE)</f>
        <v>#N/A</v>
      </c>
      <c r="AC69" s="50" t="e">
        <f ca="1">VLOOKUP(Tableau118[[#This Row],[Key(ID-Actif)]],'DATA BTO'!A:N,7,FALSE)</f>
        <v>#N/A</v>
      </c>
      <c r="AD69" s="50" t="e">
        <f ca="1">VLOOKUP(Tableau118[[#This Row],[Key(ID-Actif)]],'DATA BTO'!A:N,8,FALSE)</f>
        <v>#N/A</v>
      </c>
      <c r="AE69" s="50" t="e">
        <f ca="1">IF(Tableau118[[#This Row],[First Day to POL]]&lt;=Tableau118[[#This Row],[Day Cut Off]],Tableau118[[#This Row],[Day ETD]],Tableau118[[#This Row],[Day ETD]]+7)</f>
        <v>#N/A</v>
      </c>
      <c r="AF69" s="50" t="e">
        <f ca="1">VLOOKUP(Tableau118[[#This Row],[Key(ID-Actif)]],'DATA BTO'!A:N,9,FALSE)</f>
        <v>#N/A</v>
      </c>
      <c r="AG69" s="3" t="e">
        <f ca="1">VLOOKUP(Tableau118[[#This Row],[Key(ID-Actif)]],'DATA BTO'!A:N,10,FALSE)</f>
        <v>#N/A</v>
      </c>
      <c r="AH69" s="3" t="e">
        <f ca="1">VLOOKUP(Tableau118[[#This Row],[Key(ID-Actif)]],'DATA BTO'!A:N,11,FALSE)</f>
        <v>#N/A</v>
      </c>
      <c r="AI69" s="50" t="e">
        <f ca="1">VLOOKUP(Tableau118[[#This Row],[Key(ID-Actif)]],'DATA BTO'!A:N,12,FALSE)</f>
        <v>#N/A</v>
      </c>
      <c r="AJ69" s="53" t="e">
        <f ca="1">VLOOKUP(Tableau118[[#This Row],[Key(ID-Actif)]],'DATA BTO'!A:N,14,FALSE)</f>
        <v>#N/A</v>
      </c>
      <c r="AK69" s="54" t="e">
        <f ca="1">VLOOKUP(Tableau118[[#This Row],[Key(POD -PFI- Usine)]],'DATA Consignee'!A:F,6,FALSE)</f>
        <v>#N/A</v>
      </c>
      <c r="AL69" s="127"/>
      <c r="AM69" s="438" t="str">
        <f>IF(Tableau118[[#This Row],[Name PFI/CDD]]="","-",VLOOKUP(Tableau118[[#This Row],[Name PFI/CDD]],Plant_AILN!I:J,2,FALSE))</f>
        <v>-</v>
      </c>
      <c r="AN6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9" s="2" t="e">
        <f ca="1">VLOOKUP(Tableau118[[#This Row],[Key(POD -PFI- Usine)]],'DATA Consignee'!A:J,10,FALSE)</f>
        <v>#N/A</v>
      </c>
      <c r="AQ69" s="50" t="e">
        <f ca="1">VLOOKUP(Tableau118[[#This Row],[Key(POD -PFI- Usine)]],'DATA Consignee'!A:N,14,FALSE)</f>
        <v>#N/A</v>
      </c>
      <c r="AR6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9" s="50" t="e">
        <f ca="1">Tableau118[[#This Row],[Transit time]]+Tableau118[[#This Row],[Time for security]]+Tableau118[[#This Row],[Time for security2 buffer]]</f>
        <v>#N/A</v>
      </c>
      <c r="AU6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9" s="433" t="e">
        <f ca="1">Tableau118[[#This Row],[Leadtime SI2C]]+Tableau118[[#This Row],[First Receipt Days]]-Tableau118[[#This Row],[Day Customer Order]]+1</f>
        <v>#N/A</v>
      </c>
      <c r="AW69" s="119" t="e">
        <f ca="1">IF(Tableau118[[#This Row],[Name ILN]]&lt;&gt;"SFK Freight Forwarder",Tableau118[[#This Row],[Cust. Leadtime]],Tableau118[[#This Row],[Leadtime SI2C]])</f>
        <v>#N/A</v>
      </c>
      <c r="AX69" s="51" t="str">
        <f>VLOOKUP(Tableau118[[#This Row],[ID]],'DATA BTO'!B:P,15,FALSE)</f>
        <v>Horse &gt; Renault BPH (MLP)</v>
      </c>
      <c r="AY69" s="338">
        <f ca="1">IFERROR(VLOOKUP(Tableau118[[#This Row],[Key(ID-Actif)]],'DATA BTO'!A:N,4,FALSE),VLOOKUP(Tableau118[[#This Row],[ID]],'DATA BTO'!B:N,3,FALSE))</f>
        <v>46142</v>
      </c>
      <c r="AZ69" s="50" t="str">
        <f>IF(ISNUMBER(Tableau118[[#This Row],[Day Customer Order]]),"-","Please Check 'Name' information in 'Order' Sheet to make sure they have information")</f>
        <v>-</v>
      </c>
      <c r="BA69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6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9" s="50"/>
    </row>
    <row r="70" spans="2:57">
      <c r="B70" s="67" t="str">
        <f>_xlfn.CONCAT(Tableau118[[#This Row],[Name ILN]],"-",Tableau118[[#This Row],[Name Shipper]],"-",Tableau118[[#This Row],[Name Site]])</f>
        <v>ILN Mexique-ILN Mexique-CURITIBA CMO</v>
      </c>
      <c r="C70" s="67" t="e">
        <f ca="1">_xlfn.CONCAT(Tableau118[[#This Row],[Compte ILN]],"-",Tableau118[[#This Row],[Compte Shipper]],"-",Tableau118[[#This Row],[POL]],"-",Tableau118[[#This Row],[Compte Site]])</f>
        <v>#N/A</v>
      </c>
      <c r="D70" s="66" t="e">
        <f ca="1">_xlfn.CONCAT(Tableau118[[#This Row],[Compte ILN]],"-",Tableau118[[#This Row],[Compte Shipper]],"-",Tableau118[[#This Row],[POL]])</f>
        <v>#N/A</v>
      </c>
      <c r="E70" s="434" t="e">
        <f ca="1">_xlfn.CONCAT(Tableau118[[#This Row],[POL]],"-",Tableau118[[#This Row],[Carrier]],"-",Tableau118[[#This Row],[POD]])</f>
        <v>#N/A</v>
      </c>
      <c r="F70" s="66" t="str">
        <f>_xlfn.CONCAT(Tableau118[[#This Row],[ID]],"-","Next")</f>
        <v>1084-Next</v>
      </c>
      <c r="G70" s="66" t="e">
        <f ca="1">_xlfn.CONCAT(Tableau118[[#This Row],[POD]],"-",Tableau118[[#This Row],[Code PFI]],"-",Tableau118[[#This Row],[Compte Site]])</f>
        <v>#N/A</v>
      </c>
      <c r="H70" s="434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0" s="84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0" s="435" t="str">
        <f ca="1">IF(COUNTIF(I:I,Tableau118[[#This Row],[Plant-ILN-shipper-POL-Carrier-POD-PFI]])=1,"Non","Oui")</f>
        <v>Oui</v>
      </c>
      <c r="K70" s="128" t="str">
        <f>VLOOKUP(Tableau118[[#This Row],[Name Site]],Plant_AILN!A:D,4,FALSE)</f>
        <v>BRAZIL</v>
      </c>
      <c r="L70" s="10" t="s">
        <v>174</v>
      </c>
      <c r="M70" s="439">
        <f>VLOOKUP(Tableau118[[#This Row],[Name Site]],Plant_AILN!A:C,3,FALSE)</f>
        <v>90018600</v>
      </c>
      <c r="N70" s="55">
        <f>IF(Tableau118[[#This Row],[Name PFI/CDD]]="PFI VLL",2,VLOOKUP(Tableau118[[#This Row],[Compte Site]],Order!C:D,2,FALSE))</f>
        <v>7</v>
      </c>
      <c r="O70" s="116" t="s">
        <v>186</v>
      </c>
      <c r="P70" s="365">
        <f>VLOOKUP(Tableau118[[#This Row],[Name ILN]],Plant_AILN!F:G,2,FALSE)</f>
        <v>333333</v>
      </c>
      <c r="Q70" s="50">
        <f>VLOOKUP(Tableau118[[#This Row],[Compte ILN]],'DATA ILN'!D:I,6,FALSE)</f>
        <v>9</v>
      </c>
      <c r="R70" s="50" t="e">
        <f ca="1">IFERROR(VLOOKUP(Tableau118[[#This Row],[Key(Compte ILN - shipper - POL - plant)]],'DATA ILN'!A:J,10,FALSE),VLOOKUP(Tableau118[[#This Row],[Key(Compte ILN - shipper - POL)]],'DATA ILN'!B:J,9,FALSE))</f>
        <v>#N/A</v>
      </c>
      <c r="S70" s="50" t="e">
        <f ca="1">IFERROR(VLOOKUP(Tableau118[[#This Row],[Key(Compte ILN - shipper - POL - plant)]],'DATA ILN'!A:K,11,FALSE),VLOOKUP(Tableau118[[#This Row],[Key(Compte ILN - shipper - POL)]],'DATA ILN'!B:K,10,FALSE))</f>
        <v>#N/A</v>
      </c>
      <c r="T70" s="50" t="e">
        <f ca="1">IFERROR(VLOOKUP(Tableau118[[#This Row],[Key(Compte ILN - shipper - POL - plant)]],'DATA ILN'!A:L,12,FALSE),VLOOKUP(Tableau118[[#This Row],[Key(Compte ILN - shipper - POL)]],'DATA ILN'!B:L,11,FALSE))</f>
        <v>#N/A</v>
      </c>
      <c r="U70" s="50" t="e">
        <f ca="1">Tableau118[[#This Row],[Day ILN Order]]+Tableau118[[#This Row],[Delivery time to ILN/Shipper]]-1</f>
        <v>#N/A</v>
      </c>
      <c r="V70" s="50" t="e">
        <f ca="1">IFERROR(VLOOKUP(Tableau118[[#This Row],[Key(Compte ILN - shipper - POL - plant)]],'DATA ILN'!A:N,14,FALSE),VLOOKUP(Tableau118[[#This Row],[Key(Compte ILN - shipper - POL)]],'DATA ILN'!B:N,13,FALSE))</f>
        <v>#N/A</v>
      </c>
      <c r="W70" s="53" t="e">
        <f ca="1">IFERROR(VLOOKUP(Tableau118[[#This Row],[Key(Compte ILN - shipper - POL - plant)]],'DATA ILN'!A:P,16,FALSE),VLOOKUP(Tableau118[[#This Row],[Key(Compte ILN - shipper - POL)]],'DATA ILN'!B:P,15,FALSE))</f>
        <v>#N/A</v>
      </c>
      <c r="X70" s="284" t="s">
        <v>186</v>
      </c>
      <c r="Y70" s="437">
        <f>IFERROR(VLOOKUP(Tableau118[[#This Row],[Name Shipper]],Plant_AILN!L:M,2,FALSE),0)</f>
        <v>333333</v>
      </c>
      <c r="Z70" s="406">
        <v>1084</v>
      </c>
      <c r="AA70" s="396" t="e">
        <f ca="1">VLOOKUP(Tableau118[[#This Row],[Key(ID-Actif)]],'DATA BTO'!A:N,5,FALSE)</f>
        <v>#N/A</v>
      </c>
      <c r="AB70" s="3" t="e">
        <f ca="1">VLOOKUP(Tableau118[[#This Row],[Key(ID-Actif)]],'DATA BTO'!A:N,6,FALSE)</f>
        <v>#N/A</v>
      </c>
      <c r="AC70" s="50" t="e">
        <f ca="1">VLOOKUP(Tableau118[[#This Row],[Key(ID-Actif)]],'DATA BTO'!A:N,7,FALSE)</f>
        <v>#N/A</v>
      </c>
      <c r="AD70" s="50" t="e">
        <f ca="1">VLOOKUP(Tableau118[[#This Row],[Key(ID-Actif)]],'DATA BTO'!A:N,8,FALSE)</f>
        <v>#N/A</v>
      </c>
      <c r="AE70" s="50" t="e">
        <f ca="1">IF(Tableau118[[#This Row],[First Day to POL]]&lt;=Tableau118[[#This Row],[Day Cut Off]],Tableau118[[#This Row],[Day ETD]],Tableau118[[#This Row],[Day ETD]]+7)</f>
        <v>#N/A</v>
      </c>
      <c r="AF70" s="50" t="e">
        <f ca="1">VLOOKUP(Tableau118[[#This Row],[Key(ID-Actif)]],'DATA BTO'!A:N,9,FALSE)</f>
        <v>#N/A</v>
      </c>
      <c r="AG70" s="3" t="e">
        <f ca="1">VLOOKUP(Tableau118[[#This Row],[Key(ID-Actif)]],'DATA BTO'!A:N,10,FALSE)</f>
        <v>#N/A</v>
      </c>
      <c r="AH70" s="3" t="e">
        <f ca="1">VLOOKUP(Tableau118[[#This Row],[Key(ID-Actif)]],'DATA BTO'!A:N,11,FALSE)</f>
        <v>#N/A</v>
      </c>
      <c r="AI70" s="50" t="e">
        <f ca="1">VLOOKUP(Tableau118[[#This Row],[Key(ID-Actif)]],'DATA BTO'!A:N,12,FALSE)</f>
        <v>#N/A</v>
      </c>
      <c r="AJ70" s="53" t="e">
        <f ca="1">VLOOKUP(Tableau118[[#This Row],[Key(ID-Actif)]],'DATA BTO'!A:N,14,FALSE)</f>
        <v>#N/A</v>
      </c>
      <c r="AK70" s="54" t="e">
        <f ca="1">VLOOKUP(Tableau118[[#This Row],[Key(POD -PFI- Usine)]],'DATA Consignee'!A:F,6,FALSE)</f>
        <v>#N/A</v>
      </c>
      <c r="AL70" s="127"/>
      <c r="AM70" s="438" t="str">
        <f>IF(Tableau118[[#This Row],[Name PFI/CDD]]="","-",VLOOKUP(Tableau118[[#This Row],[Name PFI/CDD]],Plant_AILN!I:J,2,FALSE))</f>
        <v>-</v>
      </c>
      <c r="AN7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0" s="2" t="e">
        <f ca="1">VLOOKUP(Tableau118[[#This Row],[Key(POD -PFI- Usine)]],'DATA Consignee'!A:J,10,FALSE)</f>
        <v>#N/A</v>
      </c>
      <c r="AQ70" s="50" t="e">
        <f ca="1">VLOOKUP(Tableau118[[#This Row],[Key(POD -PFI- Usine)]],'DATA Consignee'!A:N,14,FALSE)</f>
        <v>#N/A</v>
      </c>
      <c r="AR7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0" s="50" t="e">
        <f ca="1">Tableau118[[#This Row],[Transit time]]+Tableau118[[#This Row],[Time for security]]+Tableau118[[#This Row],[Time for security2 buffer]]</f>
        <v>#N/A</v>
      </c>
      <c r="AU7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0" s="433" t="e">
        <f ca="1">Tableau118[[#This Row],[Leadtime SI2C]]+Tableau118[[#This Row],[First Receipt Days]]-Tableau118[[#This Row],[Day Customer Order]]+1</f>
        <v>#N/A</v>
      </c>
      <c r="AW70" s="119" t="e">
        <f ca="1">IF(Tableau118[[#This Row],[Name ILN]]&lt;&gt;"SFK Freight Forwarder",Tableau118[[#This Row],[Cust. Leadtime]],Tableau118[[#This Row],[Leadtime SI2C]])</f>
        <v>#N/A</v>
      </c>
      <c r="AX70" s="51" t="str">
        <f>VLOOKUP(Tableau118[[#This Row],[ID]],'DATA BTO'!B:P,15,FALSE)</f>
        <v>Renault &gt; Horse BPH</v>
      </c>
      <c r="AY70" s="338">
        <f ca="1">IFERROR(VLOOKUP(Tableau118[[#This Row],[Key(ID-Actif)]],'DATA BTO'!A:N,4,FALSE),VLOOKUP(Tableau118[[#This Row],[ID]],'DATA BTO'!B:N,3,FALSE))</f>
        <v>46142</v>
      </c>
      <c r="AZ70" s="50" t="str">
        <f>IF(ISNUMBER(Tableau118[[#This Row],[Day Customer Order]]),"-","Please Check 'Name' information in 'Order' Sheet to make sure they have information")</f>
        <v>-</v>
      </c>
      <c r="BA70" s="50" t="str">
        <f ca="1"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Please update the BTO validity period</v>
      </c>
      <c r="BC7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0" s="50"/>
    </row>
  </sheetData>
  <sheetProtection formatCells="0" formatColumns="0" formatRows="0" sort="0" autoFilter="0"/>
  <mergeCells count="18">
    <mergeCell ref="AK1:AQ1"/>
    <mergeCell ref="AS2:AV2"/>
    <mergeCell ref="C3:D3"/>
    <mergeCell ref="AR1:AW1"/>
    <mergeCell ref="B1:H1"/>
    <mergeCell ref="AX1:AX2"/>
    <mergeCell ref="I2:J2"/>
    <mergeCell ref="K2:N2"/>
    <mergeCell ref="O2:R2"/>
    <mergeCell ref="S2:V2"/>
    <mergeCell ref="W2:Y2"/>
    <mergeCell ref="Z2:AJ2"/>
    <mergeCell ref="AK2:AP2"/>
    <mergeCell ref="AQ2:AR2"/>
    <mergeCell ref="I1:J1"/>
    <mergeCell ref="K1:N1"/>
    <mergeCell ref="O1:Y1"/>
    <mergeCell ref="Z1:AI1"/>
  </mergeCells>
  <conditionalFormatting sqref="K5:AX70">
    <cfRule type="expression" dxfId="292" priority="40">
      <formula>$AY5&lt;=TODAY()</formula>
    </cfRule>
  </conditionalFormatting>
  <conditionalFormatting sqref="J5:J70">
    <cfRule type="expression" dxfId="291" priority="39">
      <formula>$J5="Oui"</formula>
    </cfRule>
  </conditionalFormatting>
  <dataValidations count="4">
    <dataValidation type="list" allowBlank="1" showInputMessage="1" showErrorMessage="1" sqref="X5:X1048066" xr:uid="{22E4A742-B65F-4CC7-9703-8ACB2B0880A4}">
      <formula1>shippername</formula1>
    </dataValidation>
    <dataValidation type="list" allowBlank="1" showInputMessage="1" showErrorMessage="1" sqref="AL5:AL1048066" xr:uid="{33D8AAF2-43D9-4C2C-8958-CA66FFB17274}">
      <formula1>PFIname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5:L1048066" xr:uid="{1795C478-1682-4922-953F-FFF0E9713D33}">
      <formula1>plantname</formula1>
    </dataValidation>
    <dataValidation type="list" allowBlank="1" showInputMessage="1" showErrorMessage="1" sqref="O5:O1048066" xr:uid="{DD3BD301-808F-40E6-94DB-AEA51381AD4D}">
      <formula1>AILNname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7E5B-5754-49AB-88A7-0EAD52C4FD3E}">
  <sheetPr codeName="Feuil8">
    <tabColor theme="4" tint="0.59999389629810485"/>
  </sheetPr>
  <dimension ref="A1:D56"/>
  <sheetViews>
    <sheetView workbookViewId="0">
      <selection activeCell="D87" sqref="D87"/>
    </sheetView>
  </sheetViews>
  <sheetFormatPr baseColWidth="10" defaultColWidth="11.42578125" defaultRowHeight="15"/>
  <cols>
    <col min="1" max="1" width="18.42578125" style="48" customWidth="1"/>
    <col min="2" max="2" width="23" style="48" customWidth="1"/>
    <col min="3" max="3" width="13.42578125" style="48" customWidth="1"/>
    <col min="4" max="4" width="19.42578125" style="48" customWidth="1"/>
  </cols>
  <sheetData>
    <row r="1" spans="1:4" ht="43.35" customHeight="1">
      <c r="A1" s="113" t="s">
        <v>103</v>
      </c>
      <c r="B1" s="140" t="s">
        <v>214</v>
      </c>
      <c r="C1" s="141" t="s">
        <v>190</v>
      </c>
      <c r="D1" s="142" t="s">
        <v>40</v>
      </c>
    </row>
    <row r="2" spans="1:4" hidden="1">
      <c r="A2" s="5">
        <v>2</v>
      </c>
      <c r="B2" s="5">
        <v>3</v>
      </c>
      <c r="C2" s="244">
        <v>4</v>
      </c>
      <c r="D2" s="245">
        <v>5</v>
      </c>
    </row>
    <row r="3" spans="1:4" hidden="1">
      <c r="A3" s="246" t="str">
        <f>VLOOKUP(Tableau6[[#This Row],[Name]],Tableau10[],4,FALSE)</f>
        <v>ALGERIA</v>
      </c>
      <c r="B3" s="184" t="s">
        <v>198</v>
      </c>
      <c r="C3" s="246">
        <f>VLOOKUP(Tableau6[[#This Row],[Name]],Tableau10[],3,FALSE)</f>
        <v>90021000</v>
      </c>
      <c r="D3" s="220">
        <v>7</v>
      </c>
    </row>
    <row r="4" spans="1:4" hidden="1">
      <c r="A4" s="246" t="str">
        <f>VLOOKUP(Tableau6[[#This Row],[Name]],Tableau10[],4,FALSE)</f>
        <v>ARGENTINA</v>
      </c>
      <c r="B4" s="184" t="s">
        <v>158</v>
      </c>
      <c r="C4" s="246">
        <f>VLOOKUP(Tableau6[[#This Row],[Name]],Tableau10[],3,FALSE)</f>
        <v>90016000</v>
      </c>
      <c r="D4" s="220">
        <v>7</v>
      </c>
    </row>
    <row r="5" spans="1:4" hidden="1">
      <c r="A5" s="246" t="str">
        <f>VLOOKUP(Tableau6[[#This Row],[Name]],Tableau10[],4,FALSE)</f>
        <v>BRAZIL</v>
      </c>
      <c r="B5" s="184" t="s">
        <v>181</v>
      </c>
      <c r="C5" s="246">
        <f>VLOOKUP(Tableau6[[#This Row],[Name]],Tableau10[],3,FALSE)</f>
        <v>90018000</v>
      </c>
      <c r="D5" s="220">
        <v>7</v>
      </c>
    </row>
    <row r="6" spans="1:4" hidden="1">
      <c r="A6" s="246" t="str">
        <f>VLOOKUP(Tableau6[[#This Row],[Name]],Tableau10[],4,FALSE)</f>
        <v>BRAZIL</v>
      </c>
      <c r="B6" s="184" t="s">
        <v>174</v>
      </c>
      <c r="C6" s="246">
        <f>VLOOKUP(Tableau6[[#This Row],[Name]],Tableau10[],3,FALSE)</f>
        <v>90018600</v>
      </c>
      <c r="D6" s="220">
        <v>7</v>
      </c>
    </row>
    <row r="7" spans="1:4" hidden="1">
      <c r="A7" s="246" t="str">
        <f>VLOOKUP(Tableau6[[#This Row],[Name]],Tableau10[],4,FALSE)</f>
        <v>BRAZIL</v>
      </c>
      <c r="B7" s="184" t="s">
        <v>215</v>
      </c>
      <c r="C7" s="246">
        <f>VLOOKUP(Tableau6[[#This Row],[Name]],Tableau10[],3,FALSE)</f>
        <v>28750500</v>
      </c>
      <c r="D7" s="220">
        <v>7</v>
      </c>
    </row>
    <row r="8" spans="1:4" hidden="1">
      <c r="A8" s="246" t="str">
        <f>VLOOKUP(Tableau6[[#This Row],[Name]],Tableau10[],4,FALSE)</f>
        <v>BRAZIL</v>
      </c>
      <c r="B8" s="184" t="s">
        <v>206</v>
      </c>
      <c r="C8" s="246">
        <f>VLOOKUP(Tableau6[[#This Row],[Name]],Tableau10[],3,FALSE)</f>
        <v>90018500</v>
      </c>
      <c r="D8" s="220">
        <v>7</v>
      </c>
    </row>
    <row r="9" spans="1:4" hidden="1">
      <c r="A9" s="246" t="str">
        <f>VLOOKUP(Tableau6[[#This Row],[Name]],Tableau10[],4,FALSE)</f>
        <v>CHILE</v>
      </c>
      <c r="B9" s="184" t="s">
        <v>142</v>
      </c>
      <c r="C9" s="246">
        <f>VLOOKUP(Tableau6[[#This Row],[Name]],Tableau10[],3,FALSE)</f>
        <v>90009500</v>
      </c>
      <c r="D9" s="220">
        <v>7</v>
      </c>
    </row>
    <row r="10" spans="1:4" hidden="1">
      <c r="A10" s="246" t="str">
        <f>VLOOKUP(Tableau6[[#This Row],[Name]],Tableau10[],4,FALSE)</f>
        <v>CHINA</v>
      </c>
      <c r="B10" s="184" t="s">
        <v>216</v>
      </c>
      <c r="C10" s="246">
        <f>VLOOKUP(Tableau6[[#This Row],[Name]],Tableau10[],3,FALSE)</f>
        <v>0</v>
      </c>
      <c r="D10" s="220">
        <v>7</v>
      </c>
    </row>
    <row r="11" spans="1:4" hidden="1">
      <c r="A11" s="246" t="str">
        <f>VLOOKUP(Tableau6[[#This Row],[Name]],Tableau10[],4,FALSE)</f>
        <v>COLOMBIA</v>
      </c>
      <c r="B11" s="184" t="s">
        <v>177</v>
      </c>
      <c r="C11" s="246">
        <f>VLOOKUP(Tableau6[[#This Row],[Name]],Tableau10[],3,FALSE)</f>
        <v>9510600</v>
      </c>
      <c r="D11" s="220">
        <v>7</v>
      </c>
    </row>
    <row r="12" spans="1:4" hidden="1">
      <c r="A12" s="246" t="str">
        <f>VLOOKUP(Tableau6[[#This Row],[Name]],Tableau10[],4,FALSE)</f>
        <v>EGYPT</v>
      </c>
      <c r="B12" s="184" t="s">
        <v>217</v>
      </c>
      <c r="C12" s="246">
        <f>VLOOKUP(Tableau6[[#This Row],[Name]],Tableau10[],3,FALSE)</f>
        <v>0</v>
      </c>
      <c r="D12" s="220">
        <v>7</v>
      </c>
    </row>
    <row r="13" spans="1:4" hidden="1">
      <c r="A13" s="246" t="str">
        <f>VLOOKUP(Tableau6[[#This Row],[Name]],Tableau10[],4,FALSE)</f>
        <v>FRANCE</v>
      </c>
      <c r="B13" s="184" t="s">
        <v>188</v>
      </c>
      <c r="C13" s="246">
        <f>VLOOKUP(Tableau6[[#This Row],[Name]],Tableau10[],3,FALSE)</f>
        <v>90019100</v>
      </c>
      <c r="D13" s="220">
        <v>7</v>
      </c>
    </row>
    <row r="14" spans="1:4" hidden="1">
      <c r="A14" s="246" t="str">
        <f>VLOOKUP(Tableau6[[#This Row],[Name]],Tableau10[],4,FALSE)</f>
        <v>FRANCE</v>
      </c>
      <c r="B14" s="184" t="s">
        <v>218</v>
      </c>
      <c r="C14" s="465">
        <f>VLOOKUP(Tableau6[[#This Row],[Name]],Tableau10[],3,FALSE)</f>
        <v>9624700</v>
      </c>
      <c r="D14" s="466">
        <v>7</v>
      </c>
    </row>
    <row r="15" spans="1:4" hidden="1">
      <c r="A15" s="246" t="str">
        <f>VLOOKUP(Tableau6[[#This Row],[Name]],Tableau10[],4,FALSE)</f>
        <v>FRANCE</v>
      </c>
      <c r="B15" s="184" t="s">
        <v>209</v>
      </c>
      <c r="C15" s="246">
        <f>VLOOKUP(Tableau6[[#This Row],[Name]],Tableau10[],3,FALSE)</f>
        <v>90015100</v>
      </c>
      <c r="D15" s="220">
        <v>7</v>
      </c>
    </row>
    <row r="16" spans="1:4" hidden="1">
      <c r="A16" s="246" t="str">
        <f>VLOOKUP(Tableau6[[#This Row],[Name]],Tableau10[],4,FALSE)</f>
        <v>FRANCE</v>
      </c>
      <c r="B16" s="184" t="s">
        <v>183</v>
      </c>
      <c r="C16" s="246">
        <f>VLOOKUP(Tableau6[[#This Row],[Name]],Tableau10[],3,FALSE)</f>
        <v>92000100</v>
      </c>
      <c r="D16" s="220">
        <v>7</v>
      </c>
    </row>
    <row r="17" spans="1:4" hidden="1">
      <c r="A17" s="246" t="str">
        <f>VLOOKUP(Tableau6[[#This Row],[Name]],Tableau10[],4,FALSE)</f>
        <v>FRANCE</v>
      </c>
      <c r="B17" s="184" t="s">
        <v>143</v>
      </c>
      <c r="C17" s="246">
        <f>VLOOKUP(Tableau6[[#This Row],[Name]],Tableau10[],3,FALSE)</f>
        <v>90016600</v>
      </c>
      <c r="D17" s="220">
        <v>7</v>
      </c>
    </row>
    <row r="18" spans="1:4" hidden="1">
      <c r="A18" s="246" t="str">
        <f>VLOOKUP(Tableau6[[#This Row],[Name]],Tableau10[],4,FALSE)</f>
        <v>FRANCE</v>
      </c>
      <c r="B18" s="184" t="s">
        <v>219</v>
      </c>
      <c r="C18" s="246">
        <f>VLOOKUP(Tableau6[[#This Row],[Name]],Tableau10[],3,FALSE)</f>
        <v>90018400</v>
      </c>
      <c r="D18" s="220">
        <v>7</v>
      </c>
    </row>
    <row r="19" spans="1:4" hidden="1">
      <c r="A19" s="246" t="str">
        <f>VLOOKUP(Tableau6[[#This Row],[Name]],Tableau10[],4,FALSE)</f>
        <v>FRANCE</v>
      </c>
      <c r="B19" s="184" t="s">
        <v>196</v>
      </c>
      <c r="C19" s="246">
        <f>VLOOKUP(Tableau6[[#This Row],[Name]],Tableau10[],3,FALSE)</f>
        <v>90017100</v>
      </c>
      <c r="D19" s="220">
        <v>7</v>
      </c>
    </row>
    <row r="20" spans="1:4" hidden="1">
      <c r="A20" s="246" t="str">
        <f>VLOOKUP(Tableau6[[#This Row],[Name]],Tableau10[],4,FALSE)</f>
        <v>FRANCE</v>
      </c>
      <c r="B20" s="184" t="s">
        <v>210</v>
      </c>
      <c r="C20" s="246">
        <f>VLOOKUP(Tableau6[[#This Row],[Name]],Tableau10[],3,FALSE)</f>
        <v>90016200</v>
      </c>
      <c r="D20" s="220">
        <v>7</v>
      </c>
    </row>
    <row r="21" spans="1:4" hidden="1">
      <c r="A21" s="246" t="str">
        <f>VLOOKUP(Tableau6[[#This Row],[Name]],Tableau10[],4,FALSE)</f>
        <v>FRANCE</v>
      </c>
      <c r="B21" s="184" t="s">
        <v>220</v>
      </c>
      <c r="C21" s="246">
        <f>VLOOKUP(Tableau6[[#This Row],[Name]],Tableau10[],3,FALSE)</f>
        <v>90018300</v>
      </c>
      <c r="D21" s="220">
        <v>7</v>
      </c>
    </row>
    <row r="22" spans="1:4" hidden="1">
      <c r="A22" s="246" t="str">
        <f>VLOOKUP(Tableau6[[#This Row],[Name]],Tableau10[],4,FALSE)</f>
        <v>FRANCE</v>
      </c>
      <c r="B22" s="184" t="s">
        <v>154</v>
      </c>
      <c r="C22" s="246">
        <f>VLOOKUP(Tableau6[[#This Row],[Name]],Tableau10[],3,FALSE)</f>
        <v>90016900</v>
      </c>
      <c r="D22" s="220">
        <v>7</v>
      </c>
    </row>
    <row r="23" spans="1:4" hidden="1">
      <c r="A23" s="246" t="str">
        <f>VLOOKUP(Tableau6[[#This Row],[Name]],Tableau10[],4,FALSE)</f>
        <v>INDIA</v>
      </c>
      <c r="B23" s="184" t="s">
        <v>221</v>
      </c>
      <c r="C23" s="246">
        <f>VLOOKUP(Tableau6[[#This Row],[Name]],Tableau10[],3,FALSE)</f>
        <v>26549500</v>
      </c>
      <c r="D23" s="220">
        <v>5</v>
      </c>
    </row>
    <row r="24" spans="1:4" hidden="1">
      <c r="A24" s="246" t="str">
        <f>VLOOKUP(Tableau6[[#This Row],[Name]],Tableau10[],4,FALSE)</f>
        <v>INDIA</v>
      </c>
      <c r="B24" s="8" t="s">
        <v>222</v>
      </c>
      <c r="C24" s="465">
        <f>VLOOKUP(Tableau6[[#This Row],[Name]],Tableau10[],3,FALSE)</f>
        <v>26549502</v>
      </c>
      <c r="D24" s="466">
        <v>5</v>
      </c>
    </row>
    <row r="25" spans="1:4" hidden="1">
      <c r="A25" s="246" t="str">
        <f>VLOOKUP(Tableau6[[#This Row],[Name]],Tableau10[],4,FALSE)</f>
        <v>INDIA</v>
      </c>
      <c r="B25" s="184" t="s">
        <v>223</v>
      </c>
      <c r="C25" s="246">
        <f>VLOOKUP(Tableau6[[#This Row],[Name]],Tableau10[],3,FALSE)</f>
        <v>92049500</v>
      </c>
      <c r="D25" s="220">
        <v>7</v>
      </c>
    </row>
    <row r="26" spans="1:4" hidden="1">
      <c r="A26" s="246" t="str">
        <f>VLOOKUP(Tableau6[[#This Row],[Name]],Tableau10[],4,FALSE)</f>
        <v>JAPAN</v>
      </c>
      <c r="B26" s="184" t="s">
        <v>224</v>
      </c>
      <c r="C26" s="246">
        <f>VLOOKUP(Tableau6[[#This Row],[Name]],Tableau10[],3,FALSE)</f>
        <v>0</v>
      </c>
      <c r="D26" s="220">
        <v>7</v>
      </c>
    </row>
    <row r="27" spans="1:4" hidden="1">
      <c r="A27" s="246" t="str">
        <f>VLOOKUP(Tableau6[[#This Row],[Name]],Tableau10[],4,FALSE)</f>
        <v>JAPAN</v>
      </c>
      <c r="B27" s="184" t="s">
        <v>225</v>
      </c>
      <c r="C27" s="246">
        <f>VLOOKUP(Tableau6[[#This Row],[Name]],Tableau10[],3,FALSE)</f>
        <v>0</v>
      </c>
      <c r="D27" s="220">
        <v>7</v>
      </c>
    </row>
    <row r="28" spans="1:4" hidden="1">
      <c r="A28" s="246" t="str">
        <f>VLOOKUP(Tableau6[[#This Row],[Name]],Tableau10[],4,FALSE)</f>
        <v>JAPAN</v>
      </c>
      <c r="B28" s="184" t="s">
        <v>226</v>
      </c>
      <c r="C28" s="246">
        <f>VLOOKUP(Tableau6[[#This Row],[Name]],Tableau10[],3,FALSE)</f>
        <v>2915900</v>
      </c>
      <c r="D28" s="220">
        <v>7</v>
      </c>
    </row>
    <row r="29" spans="1:4" hidden="1">
      <c r="A29" s="246" t="str">
        <f>VLOOKUP(Tableau6[[#This Row],[Name]],Tableau10[],4,FALSE)</f>
        <v>JAPAN</v>
      </c>
      <c r="B29" s="184" t="s">
        <v>227</v>
      </c>
      <c r="C29" s="246">
        <f>VLOOKUP(Tableau6[[#This Row],[Name]],Tableau10[],3,FALSE)</f>
        <v>0</v>
      </c>
      <c r="D29" s="220">
        <v>7</v>
      </c>
    </row>
    <row r="30" spans="1:4" hidden="1">
      <c r="A30" s="246" t="str">
        <f>VLOOKUP(Tableau6[[#This Row],[Name]],Tableau10[],4,FALSE)</f>
        <v>KOREA</v>
      </c>
      <c r="B30" s="184" t="s">
        <v>145</v>
      </c>
      <c r="C30" s="246">
        <f>VLOOKUP(Tableau6[[#This Row],[Name]],Tableau10[],3,FALSE)</f>
        <v>92002200</v>
      </c>
      <c r="D30" s="220">
        <v>2</v>
      </c>
    </row>
    <row r="31" spans="1:4" hidden="1">
      <c r="A31" s="246" t="str">
        <f>VLOOKUP(Tableau6[[#This Row],[Name]],Tableau10[],4,FALSE)</f>
        <v xml:space="preserve">MALAYSIA </v>
      </c>
      <c r="B31" s="184" t="s">
        <v>228</v>
      </c>
      <c r="C31" s="246">
        <f>VLOOKUP(Tableau6[[#This Row],[Name]],Tableau10[],3,FALSE)</f>
        <v>12300</v>
      </c>
      <c r="D31" s="220">
        <v>7</v>
      </c>
    </row>
    <row r="32" spans="1:4" hidden="1">
      <c r="A32" s="246" t="str">
        <f>VLOOKUP(Tableau6[[#This Row],[Name]],Tableau10[],4,FALSE)</f>
        <v>MEXICO</v>
      </c>
      <c r="B32" s="184" t="s">
        <v>229</v>
      </c>
      <c r="C32" s="246">
        <f>VLOOKUP(Tableau6[[#This Row],[Name]],Tableau10[],3,FALSE)</f>
        <v>90101300</v>
      </c>
      <c r="D32" s="220">
        <v>7</v>
      </c>
    </row>
    <row r="33" spans="1:4" hidden="1">
      <c r="A33" s="246" t="str">
        <f>VLOOKUP(Tableau6[[#This Row],[Name]],Tableau10[],4,FALSE)</f>
        <v>MOROCCO</v>
      </c>
      <c r="B33" s="184" t="s">
        <v>180</v>
      </c>
      <c r="C33" s="246">
        <f>VLOOKUP(Tableau6[[#This Row],[Name]],Tableau10[],3,FALSE)</f>
        <v>900383</v>
      </c>
      <c r="D33" s="220">
        <v>7</v>
      </c>
    </row>
    <row r="34" spans="1:4" hidden="1">
      <c r="A34" s="246" t="str">
        <f>VLOOKUP(Tableau6[[#This Row],[Name]],Tableau10[],4,FALSE)</f>
        <v>MOROCCO</v>
      </c>
      <c r="B34" s="184" t="s">
        <v>179</v>
      </c>
      <c r="C34" s="246">
        <f>VLOOKUP(Tableau6[[#This Row],[Name]],Tableau10[],3,FALSE)</f>
        <v>90038200</v>
      </c>
      <c r="D34" s="220">
        <v>7</v>
      </c>
    </row>
    <row r="35" spans="1:4" hidden="1">
      <c r="A35" s="246" t="str">
        <f>VLOOKUP(Tableau6[[#This Row],[Name]],Tableau10[],4,FALSE)</f>
        <v>PORTUGAL</v>
      </c>
      <c r="B35" s="184" t="s">
        <v>170</v>
      </c>
      <c r="C35" s="246">
        <f>VLOOKUP(Tableau6[[#This Row],[Name]],Tableau10[],3,FALSE)</f>
        <v>90016500</v>
      </c>
      <c r="D35" s="220">
        <v>5</v>
      </c>
    </row>
    <row r="36" spans="1:4" hidden="1">
      <c r="A36" s="246" t="str">
        <f>VLOOKUP(Tableau6[[#This Row],[Name]],Tableau10[],4,FALSE)</f>
        <v>ROMANIA</v>
      </c>
      <c r="B36" s="184" t="s">
        <v>185</v>
      </c>
      <c r="C36" s="246">
        <f>VLOOKUP(Tableau6[[#This Row],[Name]],Tableau10[],3,FALSE)</f>
        <v>90016800</v>
      </c>
      <c r="D36" s="220">
        <v>7</v>
      </c>
    </row>
    <row r="37" spans="1:4" hidden="1">
      <c r="A37" s="246" t="str">
        <f>VLOOKUP(Tableau6[[#This Row],[Name]],Tableau10[],4,FALSE)</f>
        <v>ROMANIA</v>
      </c>
      <c r="B37" s="184" t="s">
        <v>168</v>
      </c>
      <c r="C37" s="246">
        <f>VLOOKUP(Tableau6[[#This Row],[Name]],Tableau10[],3,FALSE)</f>
        <v>283900400</v>
      </c>
      <c r="D37" s="220">
        <v>2</v>
      </c>
    </row>
    <row r="38" spans="1:4" hidden="1">
      <c r="A38" s="246" t="str">
        <f>VLOOKUP(Tableau6[[#This Row],[Name]],Tableau10[],4,FALSE)</f>
        <v>ROMANIA</v>
      </c>
      <c r="B38" s="184" t="s">
        <v>162</v>
      </c>
      <c r="C38" s="246">
        <f>VLOOKUP(Tableau6[[#This Row],[Name]],Tableau10[],3,FALSE)</f>
        <v>90012500</v>
      </c>
      <c r="D38" s="220">
        <v>7</v>
      </c>
    </row>
    <row r="39" spans="1:4" hidden="1">
      <c r="A39" s="246" t="str">
        <f>VLOOKUP(Tableau6[[#This Row],[Name]],Tableau10[],4,FALSE)</f>
        <v>ROMANIA</v>
      </c>
      <c r="B39" s="184" t="s">
        <v>212</v>
      </c>
      <c r="C39" s="246">
        <f>VLOOKUP(Tableau6[[#This Row],[Name]],Tableau10[],3,FALSE)</f>
        <v>90012300</v>
      </c>
      <c r="D39" s="220">
        <v>7</v>
      </c>
    </row>
    <row r="40" spans="1:4" hidden="1">
      <c r="A40" s="246" t="str">
        <f>VLOOKUP(Tableau6[[#This Row],[Name]],Tableau10[],4,FALSE)</f>
        <v>RUSSIA</v>
      </c>
      <c r="B40" s="184" t="s">
        <v>230</v>
      </c>
      <c r="C40" s="246">
        <f>VLOOKUP(Tableau6[[#This Row],[Name]],Tableau10[],3,FALSE)</f>
        <v>90030100</v>
      </c>
      <c r="D40" s="220">
        <v>7</v>
      </c>
    </row>
    <row r="41" spans="1:4" hidden="1">
      <c r="A41" s="246" t="str">
        <f>VLOOKUP(Tableau6[[#This Row],[Name]],Tableau10[],4,FALSE)</f>
        <v>RUSSIA</v>
      </c>
      <c r="B41" s="184" t="s">
        <v>231</v>
      </c>
      <c r="C41" s="246">
        <f>VLOOKUP(Tableau6[[#This Row],[Name]],Tableau10[],3,FALSE)</f>
        <v>90010700</v>
      </c>
      <c r="D41" s="220">
        <v>7</v>
      </c>
    </row>
    <row r="42" spans="1:4" hidden="1">
      <c r="A42" s="246" t="str">
        <f>VLOOKUP(Tableau6[[#This Row],[Name]],Tableau10[],4,FALSE)</f>
        <v>RUSSIA</v>
      </c>
      <c r="B42" s="184" t="s">
        <v>232</v>
      </c>
      <c r="C42" s="246">
        <f>VLOOKUP(Tableau6[[#This Row],[Name]],Tableau10[],3,FALSE)</f>
        <v>90020000</v>
      </c>
      <c r="D42" s="220">
        <v>7</v>
      </c>
    </row>
    <row r="43" spans="1:4" hidden="1">
      <c r="A43" s="246" t="str">
        <f>VLOOKUP(Tableau6[[#This Row],[Name]],Tableau10[],4,FALSE)</f>
        <v>SLOVENIA</v>
      </c>
      <c r="B43" s="184" t="s">
        <v>35</v>
      </c>
      <c r="C43" s="246">
        <f>VLOOKUP(Tableau6[[#This Row],[Name]],Tableau10[],3,FALSE)</f>
        <v>90016700</v>
      </c>
      <c r="D43" s="220">
        <v>7</v>
      </c>
    </row>
    <row r="44" spans="1:4" hidden="1">
      <c r="A44" s="246" t="str">
        <f>VLOOKUP(Tableau6[[#This Row],[Name]],Tableau10[],4,FALSE)</f>
        <v>SOUTH AFRICA</v>
      </c>
      <c r="B44" s="184" t="s">
        <v>233</v>
      </c>
      <c r="C44" s="246">
        <f>VLOOKUP(Tableau6[[#This Row],[Name]],Tableau10[],3,FALSE)</f>
        <v>25079500</v>
      </c>
      <c r="D44" s="220">
        <v>7</v>
      </c>
    </row>
    <row r="45" spans="1:4" hidden="1">
      <c r="A45" s="246" t="str">
        <f>VLOOKUP(Tableau6[[#This Row],[Name]],Tableau10[],4,FALSE)</f>
        <v>SPAIN</v>
      </c>
      <c r="B45" s="184" t="s">
        <v>175</v>
      </c>
      <c r="C45" s="246">
        <f>VLOOKUP(Tableau6[[#This Row],[Name]],Tableau10[],3,FALSE)</f>
        <v>91017300</v>
      </c>
      <c r="D45" s="220">
        <v>7</v>
      </c>
    </row>
    <row r="46" spans="1:4">
      <c r="A46" s="246" t="str">
        <f>VLOOKUP(Tableau6[[#This Row],[Name]],Tableau10[],4,FALSE)</f>
        <v>SPAIN</v>
      </c>
      <c r="B46" s="184" t="s">
        <v>63</v>
      </c>
      <c r="C46" s="246">
        <f>VLOOKUP(Tableau6[[#This Row],[Name]],Tableau10[],3,FALSE)</f>
        <v>91017700</v>
      </c>
      <c r="D46" s="220">
        <v>7</v>
      </c>
    </row>
    <row r="47" spans="1:4" hidden="1">
      <c r="A47" s="246" t="str">
        <f>VLOOKUP(Tableau6[[#This Row],[Name]],Tableau10[],4,FALSE)</f>
        <v>SPAIN</v>
      </c>
      <c r="B47" s="184" t="s">
        <v>151</v>
      </c>
      <c r="C47" s="246">
        <f>VLOOKUP(Tableau6[[#This Row],[Name]],Tableau10[],3,FALSE)</f>
        <v>9101840000</v>
      </c>
      <c r="D47" s="220">
        <v>2</v>
      </c>
    </row>
    <row r="48" spans="1:4" hidden="1">
      <c r="A48" s="246" t="str">
        <f>VLOOKUP(Tableau6[[#This Row],[Name]],Tableau10[],4,FALSE)</f>
        <v>SPAIN</v>
      </c>
      <c r="B48" s="184" t="s">
        <v>184</v>
      </c>
      <c r="C48" s="246">
        <f>VLOOKUP(Tableau6[[#This Row],[Name]],Tableau10[],3,FALSE)</f>
        <v>91017200</v>
      </c>
      <c r="D48" s="220">
        <v>7</v>
      </c>
    </row>
    <row r="49" spans="1:4" ht="15" hidden="1" customHeight="1">
      <c r="A49" s="246" t="str">
        <f>VLOOKUP(Tableau6[[#This Row],[Name]],Tableau10[],4,FALSE)</f>
        <v>SPAIN</v>
      </c>
      <c r="B49" s="184" t="s">
        <v>172</v>
      </c>
      <c r="C49" s="246">
        <f>VLOOKUP(Tableau6[[#This Row],[Name]],Tableau10[],3,FALSE)</f>
        <v>91017500</v>
      </c>
      <c r="D49" s="220">
        <v>7</v>
      </c>
    </row>
    <row r="50" spans="1:4" hidden="1">
      <c r="A50" s="246" t="str">
        <f>VLOOKUP(Tableau6[[#This Row],[Name]],Tableau10[],4,FALSE)</f>
        <v>SPAIN</v>
      </c>
      <c r="B50" s="247" t="s">
        <v>211</v>
      </c>
      <c r="C50" s="246">
        <f>VLOOKUP(Tableau6[[#This Row],[Name]],Tableau10[],3,FALSE)</f>
        <v>91017600</v>
      </c>
      <c r="D50" s="220">
        <v>7</v>
      </c>
    </row>
    <row r="51" spans="1:4" hidden="1">
      <c r="A51" s="246" t="str">
        <f>VLOOKUP(Tableau6[[#This Row],[Name]],Tableau10[],4,FALSE)</f>
        <v>THAILAND</v>
      </c>
      <c r="B51" s="184" t="s">
        <v>234</v>
      </c>
      <c r="C51" s="246">
        <f>VLOOKUP(Tableau6[[#This Row],[Name]],Tableau10[],3,FALSE)</f>
        <v>25048500</v>
      </c>
      <c r="D51" s="220">
        <v>7</v>
      </c>
    </row>
    <row r="52" spans="1:4" hidden="1">
      <c r="A52" s="246" t="str">
        <f>VLOOKUP(Tableau6[[#This Row],[Name]],Tableau10[],4,FALSE)</f>
        <v>TURKEY</v>
      </c>
      <c r="B52" s="184" t="s">
        <v>173</v>
      </c>
      <c r="C52" s="246">
        <f>VLOOKUP(Tableau6[[#This Row],[Name]],Tableau10[],3,FALSE)</f>
        <v>90017000</v>
      </c>
      <c r="D52" s="248">
        <v>7</v>
      </c>
    </row>
    <row r="53" spans="1:4" hidden="1">
      <c r="A53" s="246" t="str">
        <f>VLOOKUP(Tableau6[[#This Row],[Name]],Tableau10[],4,FALSE)</f>
        <v>TURKEY</v>
      </c>
      <c r="B53" s="282" t="s">
        <v>165</v>
      </c>
      <c r="C53" s="246">
        <f>VLOOKUP(Tableau6[[#This Row],[Name]],Tableau10[],3,FALSE)</f>
        <v>90014400</v>
      </c>
      <c r="D53" s="248">
        <v>2</v>
      </c>
    </row>
    <row r="54" spans="1:4" hidden="1">
      <c r="A54" s="246" t="str">
        <f>VLOOKUP(Tableau6[[#This Row],[Name]],Tableau10[],4,FALSE)</f>
        <v>TURKEY</v>
      </c>
      <c r="B54" s="282" t="s">
        <v>235</v>
      </c>
      <c r="C54" s="246">
        <f>VLOOKUP(Tableau6[[#This Row],[Name]],Tableau10[],3,FALSE)</f>
        <v>90022000</v>
      </c>
      <c r="D54" s="248">
        <v>7</v>
      </c>
    </row>
    <row r="55" spans="1:4" hidden="1">
      <c r="A55" s="246" t="str">
        <f>VLOOKUP(Tableau6[[#This Row],[Name]],Tableau10[],4,FALSE)</f>
        <v>FRANCE</v>
      </c>
      <c r="B55" s="282" t="s">
        <v>236</v>
      </c>
      <c r="C55" s="246">
        <f>VLOOKUP(Tableau6[[#This Row],[Name]],Tableau10[],3,FALSE)</f>
        <v>90016102</v>
      </c>
      <c r="D55" s="248">
        <v>2</v>
      </c>
    </row>
    <row r="56" spans="1:4" hidden="1">
      <c r="A56" s="246" t="str">
        <f>VLOOKUP(Tableau6[[#This Row],[Name]],Tableau10[],4,FALSE)</f>
        <v>FRANCE</v>
      </c>
      <c r="B56" s="282" t="s">
        <v>237</v>
      </c>
      <c r="C56" s="477">
        <f>VLOOKUP(Tableau6[[#This Row],[Name]],Tableau10[],3,FALSE)</f>
        <v>90016100</v>
      </c>
      <c r="D56" s="248">
        <v>2</v>
      </c>
    </row>
  </sheetData>
  <phoneticPr fontId="77" type="noConversion"/>
  <dataValidations count="1">
    <dataValidation type="list" allowBlank="1" showInputMessage="1" showErrorMessage="1" sqref="B53:B1048576 B3:B23 B25:B51" xr:uid="{063F2BE3-5867-4CAE-AA9D-2138C9C09771}">
      <formula1>plantname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73064-4DA5-4CA6-B0A3-16DB7009F1B2}">
  <sheetPr codeName="Feuil2">
    <tabColor theme="9" tint="-0.499984740745262"/>
  </sheetPr>
  <dimension ref="A1:W111"/>
  <sheetViews>
    <sheetView workbookViewId="0">
      <selection activeCell="G6" sqref="G6"/>
    </sheetView>
  </sheetViews>
  <sheetFormatPr baseColWidth="10" defaultColWidth="8.42578125" defaultRowHeight="15"/>
  <cols>
    <col min="1" max="1" width="17" customWidth="1"/>
    <col min="2" max="2" width="18.42578125" customWidth="1"/>
    <col min="3" max="3" width="17.42578125" style="354" customWidth="1"/>
    <col min="4" max="4" width="13.42578125" bestFit="1" customWidth="1"/>
    <col min="5" max="5" width="11.42578125" style="48" customWidth="1"/>
    <col min="6" max="6" width="18.42578125" customWidth="1"/>
    <col min="7" max="7" width="13.42578125" style="358" bestFit="1" customWidth="1"/>
    <col min="8" max="8" width="5.42578125" customWidth="1"/>
    <col min="9" max="9" width="15.42578125" bestFit="1" customWidth="1"/>
    <col min="10" max="10" width="11" style="358" bestFit="1" customWidth="1"/>
    <col min="11" max="11" width="5.42578125" customWidth="1"/>
    <col min="12" max="12" width="49.42578125" bestFit="1" customWidth="1"/>
    <col min="13" max="13" width="11" bestFit="1" customWidth="1"/>
    <col min="14" max="14" width="7.42578125" bestFit="1" customWidth="1"/>
    <col min="15" max="15" width="16.28515625" bestFit="1" customWidth="1"/>
    <col min="16" max="16" width="29.7109375" bestFit="1" customWidth="1"/>
    <col min="17" max="17" width="11.7109375" bestFit="1" customWidth="1"/>
    <col min="19" max="19" width="12.42578125" bestFit="1" customWidth="1"/>
    <col min="21" max="21" width="14.42578125" bestFit="1" customWidth="1"/>
    <col min="23" max="23" width="21" bestFit="1" customWidth="1"/>
  </cols>
  <sheetData>
    <row r="1" spans="1:23">
      <c r="A1" s="142" t="s">
        <v>238</v>
      </c>
      <c r="B1" s="142" t="s">
        <v>239</v>
      </c>
      <c r="C1" s="350" t="s">
        <v>240</v>
      </c>
      <c r="D1" s="142" t="s">
        <v>103</v>
      </c>
      <c r="E1" s="204"/>
      <c r="F1" s="142" t="s">
        <v>241</v>
      </c>
      <c r="G1" s="350" t="s">
        <v>240</v>
      </c>
      <c r="I1" s="142" t="s">
        <v>242</v>
      </c>
      <c r="J1" s="350" t="s">
        <v>240</v>
      </c>
      <c r="L1" s="142" t="s">
        <v>84</v>
      </c>
      <c r="M1" s="350" t="s">
        <v>240</v>
      </c>
      <c r="N1" s="73" t="s">
        <v>241</v>
      </c>
      <c r="O1" s="74" t="s">
        <v>243</v>
      </c>
      <c r="P1" s="74" t="s">
        <v>244</v>
      </c>
      <c r="Q1" s="80" t="s">
        <v>103</v>
      </c>
      <c r="S1" s="142" t="s">
        <v>115</v>
      </c>
      <c r="U1" s="142" t="s">
        <v>123</v>
      </c>
      <c r="W1" s="5" t="s">
        <v>245</v>
      </c>
    </row>
    <row r="2" spans="1:23">
      <c r="A2" s="71" t="s">
        <v>220</v>
      </c>
      <c r="B2" s="99" t="s">
        <v>246</v>
      </c>
      <c r="C2" s="351">
        <v>90018300</v>
      </c>
      <c r="D2" s="8" t="s">
        <v>247</v>
      </c>
      <c r="F2" s="78" t="s">
        <v>167</v>
      </c>
      <c r="G2" s="461">
        <v>95112</v>
      </c>
      <c r="I2" s="71" t="s">
        <v>155</v>
      </c>
      <c r="J2" s="359">
        <v>90016600</v>
      </c>
      <c r="L2" s="71" t="s">
        <v>248</v>
      </c>
      <c r="M2" s="361">
        <v>9521000</v>
      </c>
      <c r="N2" s="71" t="s">
        <v>249</v>
      </c>
      <c r="O2" s="8" t="s">
        <v>250</v>
      </c>
      <c r="P2" s="8" t="s">
        <v>251</v>
      </c>
      <c r="Q2" s="59" t="s">
        <v>252</v>
      </c>
      <c r="S2" s="51" t="s">
        <v>253</v>
      </c>
      <c r="U2" s="51" t="s">
        <v>254</v>
      </c>
      <c r="W2" s="91" t="s">
        <v>220</v>
      </c>
    </row>
    <row r="3" spans="1:23">
      <c r="A3" s="71" t="s">
        <v>218</v>
      </c>
      <c r="B3" s="99" t="s">
        <v>255</v>
      </c>
      <c r="C3" s="351">
        <v>9624700</v>
      </c>
      <c r="D3" s="8" t="s">
        <v>247</v>
      </c>
      <c r="F3" s="78" t="s">
        <v>166</v>
      </c>
      <c r="G3" s="461">
        <v>95436</v>
      </c>
      <c r="I3" s="71" t="s">
        <v>169</v>
      </c>
      <c r="J3" s="359">
        <v>91018400</v>
      </c>
      <c r="L3" s="71" t="s">
        <v>256</v>
      </c>
      <c r="M3" s="361">
        <v>92000100</v>
      </c>
      <c r="N3" s="71" t="s">
        <v>249</v>
      </c>
      <c r="O3" s="8" t="s">
        <v>257</v>
      </c>
      <c r="P3" s="8" t="s">
        <v>258</v>
      </c>
      <c r="Q3" s="59" t="s">
        <v>252</v>
      </c>
      <c r="S3" s="51" t="s">
        <v>259</v>
      </c>
      <c r="U3" s="51" t="s">
        <v>260</v>
      </c>
      <c r="W3" s="91" t="s">
        <v>218</v>
      </c>
    </row>
    <row r="4" spans="1:23">
      <c r="A4" s="71" t="s">
        <v>170</v>
      </c>
      <c r="B4" s="99" t="s">
        <v>170</v>
      </c>
      <c r="C4" s="351">
        <v>90016500</v>
      </c>
      <c r="D4" s="8" t="s">
        <v>261</v>
      </c>
      <c r="F4" s="78" t="s">
        <v>149</v>
      </c>
      <c r="G4" s="355">
        <v>2533780546</v>
      </c>
      <c r="I4" s="71" t="s">
        <v>164</v>
      </c>
      <c r="J4" s="403">
        <v>2839004</v>
      </c>
      <c r="L4" s="95" t="s">
        <v>262</v>
      </c>
      <c r="M4" s="424"/>
      <c r="N4" s="71" t="s">
        <v>249</v>
      </c>
      <c r="O4" s="8" t="s">
        <v>263</v>
      </c>
      <c r="P4" s="8" t="s">
        <v>264</v>
      </c>
      <c r="Q4" s="59" t="s">
        <v>265</v>
      </c>
      <c r="S4" s="51" t="s">
        <v>266</v>
      </c>
      <c r="U4" s="51" t="s">
        <v>267</v>
      </c>
      <c r="W4" s="8" t="s">
        <v>170</v>
      </c>
    </row>
    <row r="5" spans="1:23">
      <c r="A5" s="71" t="s">
        <v>211</v>
      </c>
      <c r="B5" s="99" t="s">
        <v>268</v>
      </c>
      <c r="C5" s="351">
        <v>91017600</v>
      </c>
      <c r="D5" s="8" t="s">
        <v>269</v>
      </c>
      <c r="F5" s="78" t="s">
        <v>199</v>
      </c>
      <c r="G5" s="461">
        <v>26376</v>
      </c>
      <c r="I5" s="71" t="s">
        <v>270</v>
      </c>
      <c r="J5" s="359">
        <v>90016600</v>
      </c>
      <c r="L5" s="71" t="s">
        <v>209</v>
      </c>
      <c r="M5" s="361">
        <v>90015100</v>
      </c>
      <c r="N5" s="71" t="s">
        <v>249</v>
      </c>
      <c r="O5" s="8" t="s">
        <v>271</v>
      </c>
      <c r="P5" s="8" t="s">
        <v>272</v>
      </c>
      <c r="Q5" s="59" t="s">
        <v>273</v>
      </c>
      <c r="S5" s="51" t="s">
        <v>274</v>
      </c>
      <c r="U5" s="77" t="s">
        <v>275</v>
      </c>
      <c r="W5" s="91" t="s">
        <v>211</v>
      </c>
    </row>
    <row r="6" spans="1:23">
      <c r="A6" s="71" t="s">
        <v>221</v>
      </c>
      <c r="B6" s="98" t="s">
        <v>276</v>
      </c>
      <c r="C6" s="352">
        <v>26549500</v>
      </c>
      <c r="D6" s="8" t="s">
        <v>277</v>
      </c>
      <c r="F6" s="78" t="s">
        <v>163</v>
      </c>
      <c r="G6" s="461">
        <v>95207</v>
      </c>
      <c r="I6" s="71" t="s">
        <v>278</v>
      </c>
      <c r="J6" s="359">
        <v>2839004</v>
      </c>
      <c r="L6" s="95" t="s">
        <v>147</v>
      </c>
      <c r="M6" s="361">
        <v>25566103</v>
      </c>
      <c r="N6" s="71" t="s">
        <v>249</v>
      </c>
      <c r="O6" s="8" t="s">
        <v>279</v>
      </c>
      <c r="P6" s="8" t="s">
        <v>280</v>
      </c>
      <c r="Q6" s="59" t="s">
        <v>281</v>
      </c>
      <c r="S6" s="51" t="s">
        <v>282</v>
      </c>
      <c r="U6" s="77" t="s">
        <v>283</v>
      </c>
      <c r="W6" s="8" t="s">
        <v>183</v>
      </c>
    </row>
    <row r="7" spans="1:23">
      <c r="A7" s="71" t="s">
        <v>159</v>
      </c>
      <c r="B7" s="71" t="s">
        <v>222</v>
      </c>
      <c r="C7" s="352">
        <v>26549502</v>
      </c>
      <c r="D7" s="8" t="s">
        <v>277</v>
      </c>
      <c r="F7" s="78" t="s">
        <v>284</v>
      </c>
      <c r="G7" s="357">
        <v>2533780535</v>
      </c>
      <c r="I7" s="71" t="s">
        <v>285</v>
      </c>
      <c r="J7" s="359">
        <v>28752501</v>
      </c>
      <c r="L7" s="71" t="s">
        <v>286</v>
      </c>
      <c r="M7" s="358">
        <v>29179903</v>
      </c>
      <c r="N7" s="71" t="s">
        <v>249</v>
      </c>
      <c r="O7" s="8" t="s">
        <v>287</v>
      </c>
      <c r="P7" s="8" t="s">
        <v>288</v>
      </c>
      <c r="Q7" s="59" t="s">
        <v>289</v>
      </c>
      <c r="S7" s="51" t="s">
        <v>290</v>
      </c>
      <c r="W7" s="91" t="s">
        <v>158</v>
      </c>
    </row>
    <row r="8" spans="1:23">
      <c r="A8" s="71" t="s">
        <v>183</v>
      </c>
      <c r="B8" s="99" t="s">
        <v>291</v>
      </c>
      <c r="C8" s="476">
        <v>92000100</v>
      </c>
      <c r="D8" s="8" t="s">
        <v>247</v>
      </c>
      <c r="F8" s="78" t="s">
        <v>143</v>
      </c>
      <c r="G8" s="461">
        <v>92000100</v>
      </c>
      <c r="I8" s="75" t="s">
        <v>171</v>
      </c>
      <c r="J8" s="362">
        <v>91018400</v>
      </c>
      <c r="L8" s="71" t="s">
        <v>292</v>
      </c>
      <c r="M8" s="358">
        <v>29179903</v>
      </c>
      <c r="N8" s="71" t="s">
        <v>249</v>
      </c>
      <c r="O8" s="8" t="s">
        <v>293</v>
      </c>
      <c r="P8" s="8" t="s">
        <v>294</v>
      </c>
      <c r="Q8" s="59" t="s">
        <v>252</v>
      </c>
      <c r="S8" s="51" t="s">
        <v>295</v>
      </c>
      <c r="W8" s="8" t="s">
        <v>142</v>
      </c>
    </row>
    <row r="9" spans="1:23">
      <c r="A9" s="71" t="s">
        <v>158</v>
      </c>
      <c r="B9" s="99" t="s">
        <v>296</v>
      </c>
      <c r="C9" s="351">
        <v>90016000</v>
      </c>
      <c r="D9" s="8" t="s">
        <v>297</v>
      </c>
      <c r="F9" s="78" t="s">
        <v>168</v>
      </c>
      <c r="G9" s="461">
        <v>28390</v>
      </c>
      <c r="I9" s="75"/>
      <c r="J9" s="362"/>
      <c r="L9" s="71" t="s">
        <v>298</v>
      </c>
      <c r="M9" s="361">
        <v>29179900</v>
      </c>
      <c r="N9" s="71" t="s">
        <v>249</v>
      </c>
      <c r="O9" s="8" t="s">
        <v>299</v>
      </c>
      <c r="P9" s="8" t="s">
        <v>300</v>
      </c>
      <c r="Q9" s="59" t="s">
        <v>289</v>
      </c>
      <c r="S9" s="51" t="s">
        <v>301</v>
      </c>
      <c r="W9" s="91" t="s">
        <v>174</v>
      </c>
    </row>
    <row r="10" spans="1:23">
      <c r="A10" s="71" t="s">
        <v>142</v>
      </c>
      <c r="B10" s="99" t="s">
        <v>142</v>
      </c>
      <c r="C10" s="351">
        <v>90009500</v>
      </c>
      <c r="D10" s="8" t="s">
        <v>302</v>
      </c>
      <c r="F10" s="78" t="s">
        <v>303</v>
      </c>
      <c r="G10" s="355">
        <v>29562503</v>
      </c>
      <c r="I10" s="75"/>
      <c r="J10" s="362"/>
      <c r="L10" s="71" t="s">
        <v>304</v>
      </c>
      <c r="M10" s="358">
        <v>29179903</v>
      </c>
      <c r="N10" s="71" t="s">
        <v>249</v>
      </c>
      <c r="O10" s="8" t="s">
        <v>305</v>
      </c>
      <c r="P10" s="8" t="s">
        <v>306</v>
      </c>
      <c r="Q10" s="59" t="s">
        <v>289</v>
      </c>
      <c r="S10" s="51" t="s">
        <v>307</v>
      </c>
      <c r="W10" s="8" t="s">
        <v>181</v>
      </c>
    </row>
    <row r="11" spans="1:23">
      <c r="A11" s="71" t="s">
        <v>174</v>
      </c>
      <c r="B11" s="99" t="s">
        <v>308</v>
      </c>
      <c r="C11" s="351">
        <v>90018600</v>
      </c>
      <c r="D11" s="8" t="s">
        <v>309</v>
      </c>
      <c r="F11" s="78" t="s">
        <v>150</v>
      </c>
      <c r="G11" s="355">
        <v>2533780535</v>
      </c>
      <c r="L11" s="71" t="s">
        <v>310</v>
      </c>
      <c r="M11" s="358">
        <v>29179901</v>
      </c>
      <c r="N11" s="71" t="s">
        <v>249</v>
      </c>
      <c r="O11" s="8" t="s">
        <v>311</v>
      </c>
      <c r="P11" s="8" t="s">
        <v>312</v>
      </c>
      <c r="Q11" s="59" t="s">
        <v>313</v>
      </c>
      <c r="S11" s="77" t="s">
        <v>314</v>
      </c>
      <c r="W11" s="91" t="s">
        <v>206</v>
      </c>
    </row>
    <row r="12" spans="1:23">
      <c r="A12" s="71" t="s">
        <v>181</v>
      </c>
      <c r="B12" s="99" t="s">
        <v>315</v>
      </c>
      <c r="C12" s="351">
        <v>90018000</v>
      </c>
      <c r="D12" s="8" t="s">
        <v>309</v>
      </c>
      <c r="F12" s="78" t="s">
        <v>161</v>
      </c>
      <c r="G12" s="355">
        <v>92050300</v>
      </c>
      <c r="L12" s="71" t="s">
        <v>316</v>
      </c>
      <c r="M12" s="355">
        <v>42631300</v>
      </c>
      <c r="N12" s="71" t="s">
        <v>249</v>
      </c>
      <c r="O12" s="8" t="s">
        <v>317</v>
      </c>
      <c r="P12" s="8" t="s">
        <v>318</v>
      </c>
      <c r="Q12" s="59" t="s">
        <v>319</v>
      </c>
      <c r="S12" s="51" t="s">
        <v>320</v>
      </c>
      <c r="W12" s="8" t="s">
        <v>162</v>
      </c>
    </row>
    <row r="13" spans="1:23">
      <c r="A13" s="71" t="s">
        <v>206</v>
      </c>
      <c r="B13" s="99" t="s">
        <v>321</v>
      </c>
      <c r="C13" s="351">
        <v>90018500</v>
      </c>
      <c r="D13" s="8" t="s">
        <v>309</v>
      </c>
      <c r="F13" s="78" t="s">
        <v>151</v>
      </c>
      <c r="G13" s="355">
        <v>91018400</v>
      </c>
      <c r="L13" s="71" t="s">
        <v>322</v>
      </c>
      <c r="M13" s="361">
        <v>27002800</v>
      </c>
      <c r="N13" s="71" t="s">
        <v>249</v>
      </c>
      <c r="O13" s="8" t="s">
        <v>323</v>
      </c>
      <c r="P13" s="8" t="s">
        <v>324</v>
      </c>
      <c r="Q13" s="59" t="s">
        <v>325</v>
      </c>
      <c r="W13" s="91" t="s">
        <v>185</v>
      </c>
    </row>
    <row r="14" spans="1:23">
      <c r="A14" s="71" t="s">
        <v>162</v>
      </c>
      <c r="B14" s="99" t="s">
        <v>326</v>
      </c>
      <c r="C14" s="351">
        <v>90012500</v>
      </c>
      <c r="D14" s="8" t="s">
        <v>327</v>
      </c>
      <c r="F14" s="78" t="s">
        <v>62</v>
      </c>
      <c r="G14" s="361">
        <v>26037000</v>
      </c>
      <c r="I14" s="462"/>
      <c r="L14" s="71" t="s">
        <v>167</v>
      </c>
      <c r="M14" s="461">
        <v>95112</v>
      </c>
      <c r="N14" s="71" t="s">
        <v>249</v>
      </c>
      <c r="O14" s="8" t="s">
        <v>328</v>
      </c>
      <c r="P14" s="8" t="s">
        <v>329</v>
      </c>
      <c r="Q14" s="59" t="s">
        <v>313</v>
      </c>
      <c r="W14" s="8" t="s">
        <v>188</v>
      </c>
    </row>
    <row r="15" spans="1:23">
      <c r="A15" s="71" t="s">
        <v>185</v>
      </c>
      <c r="B15" s="99" t="s">
        <v>330</v>
      </c>
      <c r="C15" s="351">
        <v>90016800</v>
      </c>
      <c r="D15" s="8" t="s">
        <v>327</v>
      </c>
      <c r="F15" s="79" t="s">
        <v>331</v>
      </c>
      <c r="G15" s="356">
        <v>26037002</v>
      </c>
      <c r="L15" s="71" t="s">
        <v>166</v>
      </c>
      <c r="M15" s="461">
        <v>95436</v>
      </c>
      <c r="N15" s="71" t="s">
        <v>249</v>
      </c>
      <c r="O15" s="8" t="s">
        <v>332</v>
      </c>
      <c r="P15" s="8" t="s">
        <v>333</v>
      </c>
      <c r="Q15" s="59" t="s">
        <v>334</v>
      </c>
      <c r="W15" s="91" t="s">
        <v>209</v>
      </c>
    </row>
    <row r="16" spans="1:23">
      <c r="A16" s="71" t="s">
        <v>216</v>
      </c>
      <c r="B16" s="99"/>
      <c r="C16" s="352"/>
      <c r="D16" s="8" t="s">
        <v>335</v>
      </c>
      <c r="F16" s="79" t="s">
        <v>201</v>
      </c>
      <c r="G16" s="356">
        <v>26037001</v>
      </c>
      <c r="L16" s="71" t="s">
        <v>149</v>
      </c>
      <c r="M16" s="361">
        <v>2533780546</v>
      </c>
      <c r="N16" s="71" t="s">
        <v>249</v>
      </c>
      <c r="O16" s="8" t="s">
        <v>336</v>
      </c>
      <c r="P16" s="8" t="s">
        <v>337</v>
      </c>
      <c r="Q16" s="59" t="s">
        <v>334</v>
      </c>
      <c r="W16" s="8" t="s">
        <v>143</v>
      </c>
    </row>
    <row r="17" spans="1:23">
      <c r="A17" s="71" t="s">
        <v>188</v>
      </c>
      <c r="B17" s="99" t="s">
        <v>338</v>
      </c>
      <c r="C17" s="351">
        <v>90019100</v>
      </c>
      <c r="D17" s="8" t="s">
        <v>247</v>
      </c>
      <c r="F17" s="79" t="s">
        <v>187</v>
      </c>
      <c r="G17" s="356">
        <v>27261102</v>
      </c>
      <c r="L17" s="71" t="s">
        <v>199</v>
      </c>
      <c r="M17" s="461">
        <v>26376</v>
      </c>
      <c r="N17" s="71" t="s">
        <v>249</v>
      </c>
      <c r="O17" s="8" t="s">
        <v>339</v>
      </c>
      <c r="P17" s="8" t="s">
        <v>340</v>
      </c>
      <c r="Q17" s="59" t="s">
        <v>273</v>
      </c>
      <c r="W17" s="91" t="s">
        <v>168</v>
      </c>
    </row>
    <row r="18" spans="1:23">
      <c r="A18" s="72" t="s">
        <v>341</v>
      </c>
      <c r="B18" s="100"/>
      <c r="C18" s="352"/>
      <c r="D18" s="7" t="s">
        <v>335</v>
      </c>
      <c r="F18" s="79" t="s">
        <v>146</v>
      </c>
      <c r="G18" s="356">
        <v>0</v>
      </c>
      <c r="L18" s="71" t="s">
        <v>163</v>
      </c>
      <c r="M18" s="461">
        <v>95207</v>
      </c>
      <c r="N18" s="71" t="s">
        <v>249</v>
      </c>
      <c r="O18" s="8" t="s">
        <v>342</v>
      </c>
      <c r="P18" s="8" t="s">
        <v>343</v>
      </c>
      <c r="Q18" s="59" t="s">
        <v>344</v>
      </c>
      <c r="W18" s="8" t="s">
        <v>151</v>
      </c>
    </row>
    <row r="19" spans="1:23">
      <c r="A19" s="71" t="s">
        <v>209</v>
      </c>
      <c r="B19" s="99" t="s">
        <v>345</v>
      </c>
      <c r="C19" s="353">
        <v>90015100</v>
      </c>
      <c r="D19" s="8" t="s">
        <v>247</v>
      </c>
      <c r="F19" s="79" t="s">
        <v>346</v>
      </c>
      <c r="G19" s="355">
        <v>26429412</v>
      </c>
      <c r="L19" s="78" t="s">
        <v>284</v>
      </c>
      <c r="M19" s="401">
        <v>2533780535</v>
      </c>
      <c r="N19" s="71" t="s">
        <v>249</v>
      </c>
      <c r="O19" s="8" t="s">
        <v>347</v>
      </c>
      <c r="P19" s="8" t="s">
        <v>348</v>
      </c>
      <c r="Q19" s="59" t="s">
        <v>349</v>
      </c>
      <c r="W19" s="91" t="s">
        <v>232</v>
      </c>
    </row>
    <row r="20" spans="1:23">
      <c r="A20" s="71" t="s">
        <v>143</v>
      </c>
      <c r="B20" s="99"/>
      <c r="C20" s="351">
        <v>90016600</v>
      </c>
      <c r="D20" s="8" t="s">
        <v>247</v>
      </c>
      <c r="F20" s="79" t="s">
        <v>350</v>
      </c>
      <c r="G20" s="356" t="s">
        <v>351</v>
      </c>
      <c r="L20" s="71" t="s">
        <v>143</v>
      </c>
      <c r="M20" s="461">
        <v>92000100</v>
      </c>
      <c r="N20" s="71" t="s">
        <v>352</v>
      </c>
      <c r="O20" s="8" t="s">
        <v>299</v>
      </c>
      <c r="P20" s="8" t="s">
        <v>353</v>
      </c>
      <c r="Q20" s="59" t="s">
        <v>289</v>
      </c>
      <c r="W20" s="8" t="s">
        <v>230</v>
      </c>
    </row>
    <row r="21" spans="1:23">
      <c r="A21" s="71" t="s">
        <v>168</v>
      </c>
      <c r="B21" s="99"/>
      <c r="C21" s="351">
        <v>283900400</v>
      </c>
      <c r="D21" s="8" t="s">
        <v>327</v>
      </c>
      <c r="F21" t="s">
        <v>1</v>
      </c>
      <c r="G21" s="356">
        <v>424479</v>
      </c>
      <c r="L21" s="71" t="s">
        <v>168</v>
      </c>
      <c r="M21" s="461">
        <v>28390</v>
      </c>
      <c r="N21" s="71" t="s">
        <v>352</v>
      </c>
      <c r="O21" s="8" t="s">
        <v>354</v>
      </c>
      <c r="P21" s="8" t="s">
        <v>355</v>
      </c>
      <c r="Q21" s="59" t="s">
        <v>289</v>
      </c>
      <c r="W21" s="91" t="s">
        <v>210</v>
      </c>
    </row>
    <row r="22" spans="1:23">
      <c r="A22" s="71" t="s">
        <v>151</v>
      </c>
      <c r="B22" s="99"/>
      <c r="C22" s="351">
        <v>9101840000</v>
      </c>
      <c r="D22" s="8" t="s">
        <v>269</v>
      </c>
      <c r="F22" t="s">
        <v>186</v>
      </c>
      <c r="G22">
        <v>333333</v>
      </c>
      <c r="L22" s="71" t="s">
        <v>303</v>
      </c>
      <c r="M22" s="361">
        <v>29562503</v>
      </c>
      <c r="N22" s="71" t="s">
        <v>352</v>
      </c>
      <c r="O22" s="8" t="s">
        <v>305</v>
      </c>
      <c r="P22" s="8" t="s">
        <v>356</v>
      </c>
      <c r="Q22" s="59" t="s">
        <v>289</v>
      </c>
      <c r="W22" s="8" t="s">
        <v>231</v>
      </c>
    </row>
    <row r="23" spans="1:23">
      <c r="A23" s="71" t="s">
        <v>223</v>
      </c>
      <c r="B23" s="98" t="s">
        <v>357</v>
      </c>
      <c r="C23" s="351">
        <v>92049500</v>
      </c>
      <c r="D23" s="8" t="s">
        <v>277</v>
      </c>
      <c r="L23" s="71" t="s">
        <v>150</v>
      </c>
      <c r="M23" s="361">
        <v>2533780535</v>
      </c>
      <c r="N23" s="71" t="s">
        <v>352</v>
      </c>
      <c r="O23" s="8" t="s">
        <v>358</v>
      </c>
      <c r="P23" s="8" t="s">
        <v>359</v>
      </c>
      <c r="Q23" s="59" t="s">
        <v>360</v>
      </c>
      <c r="W23" s="91" t="s">
        <v>63</v>
      </c>
    </row>
    <row r="24" spans="1:23">
      <c r="A24" s="71" t="s">
        <v>232</v>
      </c>
      <c r="B24" s="101" t="s">
        <v>361</v>
      </c>
      <c r="C24" s="351">
        <v>90020000</v>
      </c>
      <c r="D24" s="8" t="s">
        <v>362</v>
      </c>
      <c r="L24" s="71" t="s">
        <v>161</v>
      </c>
      <c r="M24" s="361">
        <v>92050300</v>
      </c>
      <c r="N24" s="71" t="s">
        <v>352</v>
      </c>
      <c r="O24" s="8" t="s">
        <v>363</v>
      </c>
      <c r="P24" s="8" t="s">
        <v>364</v>
      </c>
      <c r="Q24" s="59" t="s">
        <v>325</v>
      </c>
      <c r="W24" s="8" t="s">
        <v>198</v>
      </c>
    </row>
    <row r="25" spans="1:23">
      <c r="A25" s="71" t="s">
        <v>224</v>
      </c>
      <c r="B25" s="98"/>
      <c r="C25" s="352"/>
      <c r="D25" s="8" t="s">
        <v>224</v>
      </c>
      <c r="L25" s="71" t="s">
        <v>151</v>
      </c>
      <c r="M25" s="361">
        <v>91018400</v>
      </c>
      <c r="N25" s="71" t="s">
        <v>352</v>
      </c>
      <c r="O25" s="8" t="s">
        <v>342</v>
      </c>
      <c r="P25" s="8" t="s">
        <v>365</v>
      </c>
      <c r="Q25" s="59" t="s">
        <v>344</v>
      </c>
      <c r="W25" s="91" t="s">
        <v>165</v>
      </c>
    </row>
    <row r="26" spans="1:23">
      <c r="A26" s="71" t="s">
        <v>227</v>
      </c>
      <c r="B26" s="98"/>
      <c r="C26" s="352"/>
      <c r="D26" s="8" t="s">
        <v>224</v>
      </c>
      <c r="L26" s="71" t="s">
        <v>62</v>
      </c>
      <c r="M26" s="361">
        <v>26037000</v>
      </c>
      <c r="N26" s="71" t="s">
        <v>352</v>
      </c>
      <c r="O26" s="8" t="s">
        <v>366</v>
      </c>
      <c r="P26" s="8" t="s">
        <v>367</v>
      </c>
      <c r="Q26" s="59" t="s">
        <v>265</v>
      </c>
      <c r="W26" s="8" t="s">
        <v>173</v>
      </c>
    </row>
    <row r="27" spans="1:23">
      <c r="A27" s="71" t="s">
        <v>225</v>
      </c>
      <c r="B27" s="98" t="s">
        <v>368</v>
      </c>
      <c r="C27" s="352"/>
      <c r="D27" s="8" t="s">
        <v>224</v>
      </c>
      <c r="L27" s="95" t="s">
        <v>369</v>
      </c>
      <c r="M27" s="358">
        <v>42838303</v>
      </c>
      <c r="N27" s="71" t="s">
        <v>352</v>
      </c>
      <c r="O27" s="8" t="s">
        <v>370</v>
      </c>
      <c r="P27" s="8" t="s">
        <v>371</v>
      </c>
      <c r="Q27" s="59" t="s">
        <v>265</v>
      </c>
      <c r="W27" s="91" t="s">
        <v>184</v>
      </c>
    </row>
    <row r="28" spans="1:23">
      <c r="A28" s="71" t="s">
        <v>226</v>
      </c>
      <c r="B28" s="98" t="s">
        <v>368</v>
      </c>
      <c r="C28" s="352">
        <v>2915900</v>
      </c>
      <c r="D28" s="8" t="s">
        <v>224</v>
      </c>
      <c r="L28" s="95" t="s">
        <v>153</v>
      </c>
      <c r="M28" s="358">
        <v>42838303</v>
      </c>
      <c r="N28" s="71" t="s">
        <v>352</v>
      </c>
      <c r="O28" s="8" t="s">
        <v>372</v>
      </c>
      <c r="P28" s="8" t="s">
        <v>373</v>
      </c>
      <c r="Q28" s="59" t="s">
        <v>313</v>
      </c>
      <c r="W28" s="8" t="s">
        <v>35</v>
      </c>
    </row>
    <row r="29" spans="1:23">
      <c r="A29" s="71" t="s">
        <v>230</v>
      </c>
      <c r="B29" s="99" t="s">
        <v>374</v>
      </c>
      <c r="C29" s="351">
        <v>90030100</v>
      </c>
      <c r="D29" s="8" t="s">
        <v>362</v>
      </c>
      <c r="L29" s="78" t="s">
        <v>331</v>
      </c>
      <c r="M29" s="359">
        <v>26037002</v>
      </c>
      <c r="N29" s="71" t="s">
        <v>352</v>
      </c>
      <c r="O29" s="8" t="s">
        <v>375</v>
      </c>
      <c r="P29" s="8" t="s">
        <v>376</v>
      </c>
      <c r="Q29" s="59" t="s">
        <v>360</v>
      </c>
      <c r="W29" s="91" t="s">
        <v>145</v>
      </c>
    </row>
    <row r="30" spans="1:23">
      <c r="A30" s="71" t="s">
        <v>235</v>
      </c>
      <c r="B30" s="8" t="s">
        <v>377</v>
      </c>
      <c r="C30" s="352">
        <v>90022000</v>
      </c>
      <c r="D30" s="8" t="s">
        <v>378</v>
      </c>
      <c r="L30" s="78" t="s">
        <v>201</v>
      </c>
      <c r="M30" s="359">
        <v>26037001</v>
      </c>
      <c r="N30" s="71" t="s">
        <v>352</v>
      </c>
      <c r="O30" s="8" t="s">
        <v>379</v>
      </c>
      <c r="P30" s="8" t="s">
        <v>380</v>
      </c>
      <c r="Q30" s="59" t="s">
        <v>381</v>
      </c>
      <c r="W30" s="8" t="s">
        <v>212</v>
      </c>
    </row>
    <row r="31" spans="1:23">
      <c r="A31" s="71" t="s">
        <v>228</v>
      </c>
      <c r="B31" s="98"/>
      <c r="C31" s="352">
        <v>12300</v>
      </c>
      <c r="D31" s="8" t="s">
        <v>382</v>
      </c>
      <c r="L31" s="75" t="s">
        <v>383</v>
      </c>
      <c r="M31" s="360">
        <v>92007300</v>
      </c>
      <c r="N31" s="71" t="s">
        <v>352</v>
      </c>
      <c r="O31" s="8" t="s">
        <v>384</v>
      </c>
      <c r="P31" s="8" t="s">
        <v>385</v>
      </c>
      <c r="Q31" s="59" t="s">
        <v>319</v>
      </c>
      <c r="W31" s="91" t="s">
        <v>196</v>
      </c>
    </row>
    <row r="32" spans="1:23">
      <c r="A32" s="71" t="s">
        <v>210</v>
      </c>
      <c r="B32" s="99" t="s">
        <v>386</v>
      </c>
      <c r="C32" s="351">
        <v>90016200</v>
      </c>
      <c r="D32" s="8" t="s">
        <v>247</v>
      </c>
      <c r="L32" s="79" t="s">
        <v>187</v>
      </c>
      <c r="M32" s="359">
        <v>27261102</v>
      </c>
      <c r="N32" s="71" t="s">
        <v>352</v>
      </c>
      <c r="O32" s="8" t="s">
        <v>387</v>
      </c>
      <c r="P32" s="8" t="s">
        <v>388</v>
      </c>
      <c r="Q32" s="59" t="s">
        <v>389</v>
      </c>
      <c r="W32" s="8" t="s">
        <v>172</v>
      </c>
    </row>
    <row r="33" spans="1:23">
      <c r="A33" s="71" t="s">
        <v>390</v>
      </c>
      <c r="B33" s="98" t="s">
        <v>391</v>
      </c>
      <c r="C33" s="351">
        <v>90101300</v>
      </c>
      <c r="D33" s="8" t="s">
        <v>392</v>
      </c>
      <c r="L33" s="75" t="s">
        <v>291</v>
      </c>
      <c r="M33" s="363">
        <v>90016100</v>
      </c>
      <c r="N33" s="71" t="s">
        <v>352</v>
      </c>
      <c r="O33" s="8" t="s">
        <v>271</v>
      </c>
      <c r="P33" s="8" t="s">
        <v>393</v>
      </c>
      <c r="Q33" s="59" t="s">
        <v>273</v>
      </c>
      <c r="W33" s="91" t="s">
        <v>177</v>
      </c>
    </row>
    <row r="34" spans="1:23">
      <c r="A34" s="71" t="s">
        <v>231</v>
      </c>
      <c r="B34" s="99" t="s">
        <v>394</v>
      </c>
      <c r="C34" s="351">
        <v>90010700</v>
      </c>
      <c r="D34" s="8" t="s">
        <v>362</v>
      </c>
      <c r="L34" s="71" t="s">
        <v>395</v>
      </c>
      <c r="M34" s="360">
        <v>487230</v>
      </c>
      <c r="N34" s="71" t="s">
        <v>352</v>
      </c>
      <c r="O34" s="8" t="s">
        <v>396</v>
      </c>
      <c r="P34" s="8" t="s">
        <v>221</v>
      </c>
      <c r="Q34" s="59" t="s">
        <v>273</v>
      </c>
      <c r="W34" s="8" t="s">
        <v>179</v>
      </c>
    </row>
    <row r="35" spans="1:23">
      <c r="A35" s="71" t="s">
        <v>63</v>
      </c>
      <c r="B35" s="99" t="s">
        <v>397</v>
      </c>
      <c r="C35" s="351">
        <v>91017700</v>
      </c>
      <c r="D35" s="8" t="s">
        <v>269</v>
      </c>
      <c r="L35" s="75" t="s">
        <v>156</v>
      </c>
      <c r="M35" s="363">
        <v>91017500</v>
      </c>
      <c r="N35" s="71" t="s">
        <v>352</v>
      </c>
      <c r="O35" s="8" t="s">
        <v>398</v>
      </c>
      <c r="P35" s="8" t="s">
        <v>399</v>
      </c>
      <c r="Q35" s="59" t="s">
        <v>400</v>
      </c>
      <c r="W35" s="91" t="s">
        <v>154</v>
      </c>
    </row>
    <row r="36" spans="1:23">
      <c r="A36" s="71" t="s">
        <v>233</v>
      </c>
      <c r="B36" s="98" t="s">
        <v>401</v>
      </c>
      <c r="C36" s="351">
        <v>25079500</v>
      </c>
      <c r="D36" s="8" t="s">
        <v>402</v>
      </c>
      <c r="L36" s="75" t="s">
        <v>403</v>
      </c>
      <c r="M36" s="402">
        <v>900106</v>
      </c>
      <c r="N36" s="71" t="s">
        <v>352</v>
      </c>
      <c r="O36" s="8" t="s">
        <v>404</v>
      </c>
      <c r="P36" s="8" t="s">
        <v>405</v>
      </c>
      <c r="Q36" s="59" t="s">
        <v>265</v>
      </c>
      <c r="W36" s="8" t="s">
        <v>219</v>
      </c>
    </row>
    <row r="37" spans="1:23">
      <c r="A37" s="72" t="s">
        <v>215</v>
      </c>
      <c r="B37" s="98" t="s">
        <v>406</v>
      </c>
      <c r="C37" s="351">
        <v>28750500</v>
      </c>
      <c r="D37" s="8" t="s">
        <v>309</v>
      </c>
      <c r="L37" s="75" t="s">
        <v>146</v>
      </c>
      <c r="M37" s="400">
        <v>0</v>
      </c>
      <c r="N37" s="71" t="s">
        <v>352</v>
      </c>
      <c r="O37" s="8" t="s">
        <v>407</v>
      </c>
      <c r="P37" s="8" t="s">
        <v>408</v>
      </c>
      <c r="Q37" s="59" t="s">
        <v>265</v>
      </c>
      <c r="W37" s="91" t="s">
        <v>180</v>
      </c>
    </row>
    <row r="38" spans="1:23">
      <c r="A38" s="71" t="s">
        <v>217</v>
      </c>
      <c r="B38" s="98"/>
      <c r="C38" s="352"/>
      <c r="D38" s="8" t="s">
        <v>409</v>
      </c>
      <c r="L38" s="97" t="s">
        <v>219</v>
      </c>
      <c r="M38" s="400">
        <v>90018400</v>
      </c>
      <c r="N38" s="71" t="s">
        <v>352</v>
      </c>
      <c r="O38" s="8" t="s">
        <v>410</v>
      </c>
      <c r="P38" s="8" t="s">
        <v>232</v>
      </c>
      <c r="Q38" s="59" t="s">
        <v>265</v>
      </c>
      <c r="W38" s="8" t="s">
        <v>175</v>
      </c>
    </row>
    <row r="39" spans="1:23">
      <c r="A39" s="71" t="s">
        <v>411</v>
      </c>
      <c r="B39" s="98" t="s">
        <v>401</v>
      </c>
      <c r="C39" s="351">
        <v>25079500</v>
      </c>
      <c r="D39" s="8" t="s">
        <v>402</v>
      </c>
      <c r="L39" s="75" t="s">
        <v>412</v>
      </c>
      <c r="M39" s="363">
        <v>22107002</v>
      </c>
      <c r="N39" s="75" t="s">
        <v>352</v>
      </c>
      <c r="O39" s="9" t="s">
        <v>413</v>
      </c>
      <c r="P39" s="9" t="s">
        <v>35</v>
      </c>
      <c r="Q39" s="76" t="s">
        <v>414</v>
      </c>
      <c r="W39" s="91" t="s">
        <v>415</v>
      </c>
    </row>
    <row r="40" spans="1:23">
      <c r="A40" s="71" t="s">
        <v>234</v>
      </c>
      <c r="B40" s="98" t="s">
        <v>416</v>
      </c>
      <c r="C40" s="351">
        <v>25048500</v>
      </c>
      <c r="D40" s="8" t="s">
        <v>417</v>
      </c>
      <c r="L40" s="398" t="s">
        <v>418</v>
      </c>
      <c r="M40" s="362">
        <v>42619903</v>
      </c>
      <c r="N40" s="71" t="s">
        <v>419</v>
      </c>
      <c r="O40" s="8" t="s">
        <v>358</v>
      </c>
      <c r="P40" s="8" t="s">
        <v>420</v>
      </c>
      <c r="Q40" s="59" t="s">
        <v>360</v>
      </c>
      <c r="W40" s="8" t="s">
        <v>421</v>
      </c>
    </row>
    <row r="41" spans="1:23">
      <c r="A41" s="71" t="s">
        <v>198</v>
      </c>
      <c r="B41" s="99" t="s">
        <v>422</v>
      </c>
      <c r="C41" s="351">
        <v>90021000</v>
      </c>
      <c r="D41" s="8" t="s">
        <v>423</v>
      </c>
      <c r="L41" s="399" t="s">
        <v>424</v>
      </c>
      <c r="M41" s="400">
        <v>131</v>
      </c>
      <c r="N41" s="71" t="s">
        <v>419</v>
      </c>
      <c r="O41" s="8" t="s">
        <v>425</v>
      </c>
      <c r="P41" s="8" t="s">
        <v>426</v>
      </c>
      <c r="Q41" s="59" t="s">
        <v>360</v>
      </c>
    </row>
    <row r="42" spans="1:23">
      <c r="A42" s="71" t="s">
        <v>165</v>
      </c>
      <c r="B42" s="99" t="s">
        <v>427</v>
      </c>
      <c r="C42" s="351">
        <v>90014400</v>
      </c>
      <c r="D42" s="8" t="s">
        <v>378</v>
      </c>
      <c r="L42" s="75" t="s">
        <v>428</v>
      </c>
      <c r="M42" s="362">
        <v>27084300</v>
      </c>
      <c r="N42" s="71" t="s">
        <v>419</v>
      </c>
      <c r="O42" s="8" t="s">
        <v>387</v>
      </c>
      <c r="P42" s="8" t="s">
        <v>429</v>
      </c>
      <c r="Q42" s="59" t="s">
        <v>389</v>
      </c>
    </row>
    <row r="43" spans="1:23">
      <c r="A43" s="71" t="s">
        <v>173</v>
      </c>
      <c r="B43" s="99" t="s">
        <v>430</v>
      </c>
      <c r="C43" s="351">
        <v>90017000</v>
      </c>
      <c r="D43" s="8" t="s">
        <v>378</v>
      </c>
      <c r="L43" s="79" t="s">
        <v>431</v>
      </c>
      <c r="M43" s="362">
        <v>1111111111</v>
      </c>
      <c r="N43" s="71" t="s">
        <v>419</v>
      </c>
      <c r="O43" s="8" t="s">
        <v>372</v>
      </c>
      <c r="P43" s="8" t="s">
        <v>432</v>
      </c>
      <c r="Q43" s="59" t="s">
        <v>313</v>
      </c>
    </row>
    <row r="44" spans="1:23">
      <c r="A44" s="71" t="s">
        <v>184</v>
      </c>
      <c r="B44" s="99" t="s">
        <v>433</v>
      </c>
      <c r="C44" s="351">
        <v>91017200</v>
      </c>
      <c r="D44" s="8" t="s">
        <v>269</v>
      </c>
      <c r="L44" s="75" t="s">
        <v>434</v>
      </c>
      <c r="M44" s="362">
        <v>43763900</v>
      </c>
      <c r="N44" s="71" t="s">
        <v>419</v>
      </c>
      <c r="O44" s="8" t="s">
        <v>435</v>
      </c>
      <c r="P44" s="8" t="s">
        <v>436</v>
      </c>
      <c r="Q44" s="59" t="s">
        <v>319</v>
      </c>
    </row>
    <row r="45" spans="1:23">
      <c r="A45" s="71" t="s">
        <v>35</v>
      </c>
      <c r="B45" s="99" t="s">
        <v>437</v>
      </c>
      <c r="C45" s="351">
        <v>90016700</v>
      </c>
      <c r="D45" s="8" t="s">
        <v>438</v>
      </c>
      <c r="L45" s="75" t="s">
        <v>439</v>
      </c>
      <c r="M45" s="362">
        <v>25566103</v>
      </c>
      <c r="N45" s="71" t="s">
        <v>419</v>
      </c>
      <c r="O45" s="8" t="s">
        <v>440</v>
      </c>
      <c r="P45" s="8" t="s">
        <v>441</v>
      </c>
      <c r="Q45" s="59" t="s">
        <v>289</v>
      </c>
    </row>
    <row r="46" spans="1:23">
      <c r="A46" s="71" t="s">
        <v>145</v>
      </c>
      <c r="B46" s="99" t="s">
        <v>442</v>
      </c>
      <c r="C46" s="351">
        <v>92002200</v>
      </c>
      <c r="D46" s="8" t="s">
        <v>443</v>
      </c>
      <c r="L46" s="79" t="s">
        <v>350</v>
      </c>
      <c r="M46" s="362" t="s">
        <v>351</v>
      </c>
      <c r="N46" s="71" t="s">
        <v>419</v>
      </c>
      <c r="O46" s="8" t="s">
        <v>444</v>
      </c>
      <c r="P46" s="8" t="s">
        <v>445</v>
      </c>
      <c r="Q46" s="59" t="s">
        <v>344</v>
      </c>
    </row>
    <row r="47" spans="1:23">
      <c r="A47" s="71" t="s">
        <v>212</v>
      </c>
      <c r="B47" s="99" t="s">
        <v>446</v>
      </c>
      <c r="C47" s="351">
        <v>90012300</v>
      </c>
      <c r="D47" s="8" t="s">
        <v>327</v>
      </c>
      <c r="L47" s="79" t="s">
        <v>447</v>
      </c>
      <c r="M47" s="362" t="s">
        <v>448</v>
      </c>
      <c r="N47" s="71" t="s">
        <v>419</v>
      </c>
      <c r="O47" s="8" t="s">
        <v>449</v>
      </c>
      <c r="P47" s="8" t="s">
        <v>450</v>
      </c>
      <c r="Q47" s="59" t="s">
        <v>273</v>
      </c>
    </row>
    <row r="48" spans="1:23">
      <c r="A48" s="71" t="s">
        <v>196</v>
      </c>
      <c r="B48" s="99" t="s">
        <v>451</v>
      </c>
      <c r="C48" s="351">
        <v>90017100</v>
      </c>
      <c r="D48" s="8" t="s">
        <v>247</v>
      </c>
      <c r="L48" s="75" t="s">
        <v>452</v>
      </c>
      <c r="M48" s="362">
        <v>42524701</v>
      </c>
      <c r="N48" s="75" t="s">
        <v>419</v>
      </c>
      <c r="O48" s="9" t="s">
        <v>363</v>
      </c>
      <c r="P48" s="9" t="s">
        <v>453</v>
      </c>
      <c r="Q48" s="76" t="s">
        <v>325</v>
      </c>
    </row>
    <row r="49" spans="1:13">
      <c r="A49" s="71" t="s">
        <v>172</v>
      </c>
      <c r="B49" s="99" t="s">
        <v>156</v>
      </c>
      <c r="C49" s="351">
        <v>91017500</v>
      </c>
      <c r="D49" s="8" t="s">
        <v>269</v>
      </c>
      <c r="L49" s="75" t="s">
        <v>454</v>
      </c>
      <c r="M49" s="362">
        <v>41447500</v>
      </c>
    </row>
    <row r="50" spans="1:13">
      <c r="A50" s="71" t="s">
        <v>177</v>
      </c>
      <c r="B50" s="99" t="s">
        <v>318</v>
      </c>
      <c r="C50" s="351">
        <v>9510600</v>
      </c>
      <c r="D50" s="8" t="s">
        <v>455</v>
      </c>
      <c r="L50" s="75" t="s">
        <v>178</v>
      </c>
      <c r="M50" s="362">
        <v>119640</v>
      </c>
    </row>
    <row r="51" spans="1:13">
      <c r="A51" s="71" t="s">
        <v>179</v>
      </c>
      <c r="B51" s="99" t="s">
        <v>179</v>
      </c>
      <c r="C51" s="351">
        <v>90038200</v>
      </c>
      <c r="D51" s="8" t="s">
        <v>456</v>
      </c>
      <c r="L51" s="75" t="s">
        <v>176</v>
      </c>
      <c r="M51" s="362">
        <v>261427</v>
      </c>
    </row>
    <row r="52" spans="1:13">
      <c r="A52" s="71" t="s">
        <v>154</v>
      </c>
      <c r="B52" s="99" t="s">
        <v>457</v>
      </c>
      <c r="C52" s="351">
        <v>90016900</v>
      </c>
      <c r="D52" s="8" t="s">
        <v>247</v>
      </c>
      <c r="L52" s="75" t="s">
        <v>458</v>
      </c>
      <c r="M52" s="362">
        <v>11274100</v>
      </c>
    </row>
    <row r="53" spans="1:13">
      <c r="A53" s="71" t="s">
        <v>219</v>
      </c>
      <c r="B53" s="99" t="s">
        <v>459</v>
      </c>
      <c r="C53" s="351">
        <v>90018400</v>
      </c>
      <c r="D53" s="8" t="s">
        <v>247</v>
      </c>
      <c r="L53" s="75" t="s">
        <v>460</v>
      </c>
      <c r="M53" s="362">
        <v>2915910</v>
      </c>
    </row>
    <row r="54" spans="1:13">
      <c r="A54" s="71" t="s">
        <v>180</v>
      </c>
      <c r="B54" s="99" t="s">
        <v>461</v>
      </c>
      <c r="C54" s="423">
        <v>900383</v>
      </c>
      <c r="D54" s="8" t="s">
        <v>456</v>
      </c>
      <c r="L54" s="75" t="s">
        <v>1</v>
      </c>
      <c r="M54" s="356">
        <v>424479</v>
      </c>
    </row>
    <row r="55" spans="1:13">
      <c r="A55" s="71" t="s">
        <v>175</v>
      </c>
      <c r="B55" s="99" t="s">
        <v>462</v>
      </c>
      <c r="C55" s="351">
        <v>91017300</v>
      </c>
      <c r="D55" s="8" t="s">
        <v>269</v>
      </c>
      <c r="L55" s="75" t="s">
        <v>186</v>
      </c>
      <c r="M55" s="362">
        <v>333333</v>
      </c>
    </row>
    <row r="56" spans="1:13" ht="17.850000000000001" customHeight="1">
      <c r="A56" s="71" t="s">
        <v>415</v>
      </c>
      <c r="B56" s="99" t="s">
        <v>374</v>
      </c>
      <c r="C56" s="351">
        <v>90030100</v>
      </c>
      <c r="D56" s="8" t="s">
        <v>362</v>
      </c>
      <c r="L56" s="75" t="s">
        <v>182</v>
      </c>
      <c r="M56" s="362">
        <v>29770601</v>
      </c>
    </row>
    <row r="57" spans="1:13">
      <c r="A57" s="75" t="s">
        <v>421</v>
      </c>
      <c r="B57" s="404" t="s">
        <v>463</v>
      </c>
      <c r="C57" s="405">
        <v>90030000</v>
      </c>
      <c r="D57" s="8" t="s">
        <v>362</v>
      </c>
      <c r="L57" s="75" t="s">
        <v>464</v>
      </c>
      <c r="M57" s="362">
        <v>5915200</v>
      </c>
    </row>
    <row r="58" spans="1:13">
      <c r="A58" s="75" t="s">
        <v>234</v>
      </c>
      <c r="B58" s="420" t="s">
        <v>465</v>
      </c>
      <c r="C58" s="405">
        <v>25048500</v>
      </c>
      <c r="D58" s="76" t="s">
        <v>417</v>
      </c>
      <c r="L58" s="75" t="s">
        <v>466</v>
      </c>
      <c r="M58" s="362">
        <v>28265100</v>
      </c>
    </row>
    <row r="59" spans="1:13">
      <c r="A59" s="75" t="s">
        <v>467</v>
      </c>
      <c r="B59" s="420" t="s">
        <v>468</v>
      </c>
      <c r="C59" s="405">
        <v>90101300</v>
      </c>
      <c r="D59" s="76" t="s">
        <v>392</v>
      </c>
      <c r="L59" s="75" t="s">
        <v>469</v>
      </c>
      <c r="M59" s="362">
        <v>43919900</v>
      </c>
    </row>
    <row r="60" spans="1:13">
      <c r="A60" s="75" t="s">
        <v>236</v>
      </c>
      <c r="B60" s="9" t="s">
        <v>236</v>
      </c>
      <c r="C60" s="351">
        <v>90016102</v>
      </c>
      <c r="D60" s="76" t="s">
        <v>247</v>
      </c>
      <c r="L60" s="75" t="s">
        <v>154</v>
      </c>
      <c r="M60" s="362">
        <v>90016900</v>
      </c>
    </row>
    <row r="61" spans="1:13">
      <c r="A61" s="75" t="s">
        <v>237</v>
      </c>
      <c r="B61" s="9" t="s">
        <v>237</v>
      </c>
      <c r="C61" s="351">
        <v>90016100</v>
      </c>
      <c r="D61" s="76" t="s">
        <v>247</v>
      </c>
      <c r="L61" t="s">
        <v>470</v>
      </c>
      <c r="M61" s="362">
        <v>27666003</v>
      </c>
    </row>
    <row r="62" spans="1:13">
      <c r="L62" s="75" t="s">
        <v>471</v>
      </c>
      <c r="M62" s="362">
        <v>43473200</v>
      </c>
    </row>
    <row r="106" spans="6:6">
      <c r="F106" s="47"/>
    </row>
    <row r="107" spans="6:6">
      <c r="F107" s="47"/>
    </row>
    <row r="108" spans="6:6">
      <c r="F108" s="47"/>
    </row>
    <row r="109" spans="6:6">
      <c r="F109" s="47"/>
    </row>
    <row r="110" spans="6:6">
      <c r="F110" s="47"/>
    </row>
    <row r="111" spans="6:6">
      <c r="F111" s="47"/>
    </row>
  </sheetData>
  <sortState xmlns:xlrd2="http://schemas.microsoft.com/office/spreadsheetml/2017/richdata2" ref="L2:M31">
    <sortCondition ref="L2:L31"/>
  </sortState>
  <phoneticPr fontId="2" type="noConversion"/>
  <dataValidations count="2">
    <dataValidation type="list" allowBlank="1" showInputMessage="1" showErrorMessage="1" sqref="L41" xr:uid="{A3B569DC-8C33-4FBF-8443-1BDC66E3C3BF}">
      <formula1>AILNname</formula1>
    </dataValidation>
    <dataValidation type="list" allowBlank="1" showInputMessage="1" showErrorMessage="1" sqref="L43 L49" xr:uid="{335B9847-BDC1-4145-9981-0ED547C68B81}">
      <formula1>shippername</formula1>
    </dataValidation>
  </dataValidations>
  <pageMargins left="0.7" right="0.7" top="0.75" bottom="0.75" header="0.3" footer="0.3"/>
  <pageSetup paperSize="9" orientation="portrait" r:id="rId1"/>
  <headerFooter>
    <oddFooter>&amp;R&amp;"Calibri"&amp;11&amp;K000000</oddFooter>
  </headerFooter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4A66C-23DF-4304-89B5-587F0162F737}">
  <sheetPr codeName="Feuil13">
    <tabColor rgb="FF0070C0"/>
  </sheetPr>
  <dimension ref="A1:T1140"/>
  <sheetViews>
    <sheetView zoomScale="70" zoomScaleNormal="70" workbookViewId="0">
      <selection activeCell="R232" sqref="R232"/>
    </sheetView>
  </sheetViews>
  <sheetFormatPr baseColWidth="10" defaultColWidth="9.42578125" defaultRowHeight="21" customHeight="1"/>
  <cols>
    <col min="1" max="1" width="18.42578125" style="1" customWidth="1"/>
    <col min="2" max="2" width="17.28515625" style="1" customWidth="1"/>
    <col min="3" max="3" width="14.42578125" style="208" customWidth="1"/>
    <col min="4" max="4" width="15.42578125" style="208" customWidth="1"/>
    <col min="5" max="5" width="14.42578125" style="1" customWidth="1"/>
    <col min="6" max="6" width="20.42578125" style="1" bestFit="1" customWidth="1"/>
    <col min="7" max="7" width="8.42578125" style="1" customWidth="1"/>
    <col min="8" max="8" width="9.42578125" style="1" customWidth="1"/>
    <col min="9" max="9" width="13.42578125" style="1" customWidth="1"/>
    <col min="10" max="10" width="11.42578125" style="1" customWidth="1"/>
    <col min="11" max="12" width="10.42578125" style="1" customWidth="1"/>
    <col min="13" max="13" width="9.42578125" style="1" customWidth="1"/>
    <col min="14" max="14" width="13.42578125" style="1" bestFit="1" customWidth="1"/>
    <col min="15" max="15" width="77.42578125" style="1" customWidth="1"/>
    <col min="16" max="16" width="23.42578125" style="1" customWidth="1"/>
    <col min="17" max="17" width="21.42578125" style="208" bestFit="1" customWidth="1"/>
    <col min="18" max="18" width="36.42578125" style="208" bestFit="1" customWidth="1"/>
    <col min="19" max="19" width="33.5703125" style="1" bestFit="1" customWidth="1"/>
    <col min="20" max="20" width="14.42578125" style="1" bestFit="1" customWidth="1"/>
    <col min="21" max="16384" width="9.42578125" style="1"/>
  </cols>
  <sheetData>
    <row r="1" spans="1:20" s="205" customFormat="1" ht="60.75" customHeight="1">
      <c r="A1" s="511" t="s">
        <v>472</v>
      </c>
      <c r="B1" s="203" t="s">
        <v>473</v>
      </c>
      <c r="C1" s="203" t="s">
        <v>474</v>
      </c>
      <c r="D1" s="203" t="s">
        <v>475</v>
      </c>
      <c r="E1" s="203" t="s">
        <v>114</v>
      </c>
      <c r="F1" s="203" t="s">
        <v>115</v>
      </c>
      <c r="G1" s="203" t="s">
        <v>476</v>
      </c>
      <c r="H1" s="203" t="s">
        <v>117</v>
      </c>
      <c r="I1" s="203" t="s">
        <v>119</v>
      </c>
      <c r="J1" s="203" t="s">
        <v>120</v>
      </c>
      <c r="K1" s="203" t="s">
        <v>121</v>
      </c>
      <c r="L1" s="203" t="s">
        <v>477</v>
      </c>
      <c r="M1" s="203" t="s">
        <v>478</v>
      </c>
      <c r="N1" s="203" t="s">
        <v>123</v>
      </c>
      <c r="O1" s="203" t="s">
        <v>191</v>
      </c>
      <c r="P1" s="512" t="s">
        <v>134</v>
      </c>
      <c r="Q1" s="512" t="s">
        <v>479</v>
      </c>
      <c r="R1" s="513" t="s">
        <v>480</v>
      </c>
      <c r="S1" s="514" t="s">
        <v>481</v>
      </c>
      <c r="T1" s="515" t="s">
        <v>482</v>
      </c>
    </row>
    <row r="2" spans="1:20" s="205" customFormat="1" ht="21" customHeight="1">
      <c r="A2" s="516" t="str">
        <f t="shared" ref="A2:A65" ca="1" si="0">_xlfn.CONCAT(B2,"-",M2)</f>
        <v>60-Inactif</v>
      </c>
      <c r="B2" s="206">
        <v>60</v>
      </c>
      <c r="C2" s="453">
        <v>45778</v>
      </c>
      <c r="D2" s="453">
        <v>46075</v>
      </c>
      <c r="E2" s="206" t="s">
        <v>483</v>
      </c>
      <c r="F2" s="206" t="s">
        <v>484</v>
      </c>
      <c r="G2" s="206">
        <v>5</v>
      </c>
      <c r="H2" s="206">
        <v>7</v>
      </c>
      <c r="I2" s="206">
        <v>30</v>
      </c>
      <c r="J2" s="206" t="s">
        <v>485</v>
      </c>
      <c r="K2" s="206">
        <v>3</v>
      </c>
      <c r="L2" s="206"/>
      <c r="M2" s="3" t="str">
        <f t="shared" ref="M2:M65" ca="1" si="1">IF(AND(C2&lt;TODAY(),D2&gt;TODAY()),"Actif",IF(C2&gt;TODAY(),"Next","Inactif"))</f>
        <v>Inactif</v>
      </c>
      <c r="N2" s="206" t="s">
        <v>275</v>
      </c>
      <c r="O2" s="421" t="s">
        <v>486</v>
      </c>
      <c r="P2" s="421" t="s">
        <v>144</v>
      </c>
      <c r="Q2" s="206">
        <v>7</v>
      </c>
      <c r="R2" s="206"/>
      <c r="S2" s="421" t="str">
        <f>_xlfn.CONCAT(B2,"-",Tableau8[[#This Row],[To]])</f>
        <v>60-46075</v>
      </c>
      <c r="T2" s="517">
        <v>46049</v>
      </c>
    </row>
    <row r="3" spans="1:20" ht="21" customHeight="1">
      <c r="A3" s="516" t="str">
        <f t="shared" ca="1" si="0"/>
        <v>60-Inactif</v>
      </c>
      <c r="B3" s="206">
        <v>60</v>
      </c>
      <c r="C3" s="453">
        <v>46076</v>
      </c>
      <c r="D3" s="453">
        <v>46142</v>
      </c>
      <c r="E3" s="206" t="s">
        <v>483</v>
      </c>
      <c r="F3" s="206" t="s">
        <v>259</v>
      </c>
      <c r="G3" s="206">
        <v>3</v>
      </c>
      <c r="H3" s="206">
        <v>5</v>
      </c>
      <c r="I3" s="206">
        <v>46</v>
      </c>
      <c r="J3" s="206" t="s">
        <v>485</v>
      </c>
      <c r="K3" s="206">
        <v>3</v>
      </c>
      <c r="L3" s="206"/>
      <c r="M3" s="3" t="str">
        <f t="shared" ca="1" si="1"/>
        <v>Inactif</v>
      </c>
      <c r="N3" s="206" t="s">
        <v>275</v>
      </c>
      <c r="O3" s="421" t="s">
        <v>486</v>
      </c>
      <c r="P3" s="421" t="s">
        <v>144</v>
      </c>
      <c r="Q3" s="206">
        <v>7</v>
      </c>
      <c r="R3" s="206"/>
      <c r="S3" s="421" t="str">
        <f>_xlfn.CONCAT(B3,"-",Tableau8[[#This Row],[To]])</f>
        <v>60-46142</v>
      </c>
      <c r="T3" s="517">
        <v>46049</v>
      </c>
    </row>
    <row r="4" spans="1:20" ht="21" customHeight="1">
      <c r="A4" s="516" t="str">
        <f t="shared" ca="1" si="0"/>
        <v>60-Inactif</v>
      </c>
      <c r="B4" s="206">
        <v>60</v>
      </c>
      <c r="C4" s="453">
        <v>45778</v>
      </c>
      <c r="D4" s="453">
        <v>45778</v>
      </c>
      <c r="E4" s="206" t="s">
        <v>483</v>
      </c>
      <c r="F4" s="206" t="s">
        <v>259</v>
      </c>
      <c r="G4" s="206">
        <v>5</v>
      </c>
      <c r="H4" s="206">
        <v>7</v>
      </c>
      <c r="I4" s="206">
        <v>31</v>
      </c>
      <c r="J4" s="206" t="s">
        <v>485</v>
      </c>
      <c r="K4" s="206">
        <v>3</v>
      </c>
      <c r="L4" s="206"/>
      <c r="M4" s="3" t="str">
        <f t="shared" ca="1" si="1"/>
        <v>Inactif</v>
      </c>
      <c r="N4" s="206" t="s">
        <v>275</v>
      </c>
      <c r="O4" s="421" t="s">
        <v>486</v>
      </c>
      <c r="P4" s="421" t="s">
        <v>144</v>
      </c>
      <c r="Q4" s="206">
        <v>7</v>
      </c>
      <c r="R4" s="206" t="s">
        <v>487</v>
      </c>
      <c r="S4" s="421" t="str">
        <f>_xlfn.CONCAT(B4,"-",Tableau8[[#This Row],[To]])</f>
        <v>60-45778</v>
      </c>
      <c r="T4" s="517">
        <v>46049</v>
      </c>
    </row>
    <row r="5" spans="1:20" ht="21" customHeight="1">
      <c r="A5" s="516" t="str">
        <f t="shared" ca="1" si="0"/>
        <v>60-Inactif</v>
      </c>
      <c r="B5" s="206">
        <v>60</v>
      </c>
      <c r="C5" s="453">
        <v>45413</v>
      </c>
      <c r="D5" s="453">
        <v>45777</v>
      </c>
      <c r="E5" s="206" t="s">
        <v>483</v>
      </c>
      <c r="F5" s="206" t="s">
        <v>484</v>
      </c>
      <c r="G5" s="206">
        <v>5</v>
      </c>
      <c r="H5" s="206">
        <v>7</v>
      </c>
      <c r="I5" s="206">
        <v>30</v>
      </c>
      <c r="J5" s="206" t="s">
        <v>485</v>
      </c>
      <c r="K5" s="206">
        <v>3</v>
      </c>
      <c r="L5" s="206">
        <v>0</v>
      </c>
      <c r="M5" s="3" t="str">
        <f t="shared" ca="1" si="1"/>
        <v>Inactif</v>
      </c>
      <c r="N5" s="206" t="s">
        <v>275</v>
      </c>
      <c r="O5" s="421" t="s">
        <v>488</v>
      </c>
      <c r="P5" s="421" t="s">
        <v>144</v>
      </c>
      <c r="Q5" s="206">
        <v>7</v>
      </c>
      <c r="R5" s="421"/>
      <c r="S5" s="421" t="str">
        <f>_xlfn.CONCAT(B5,"-",Tableau8[[#This Row],[To]])</f>
        <v>60-45777</v>
      </c>
      <c r="T5" s="517">
        <v>46049</v>
      </c>
    </row>
    <row r="6" spans="1:20" ht="21" customHeight="1">
      <c r="A6" s="516" t="str">
        <f t="shared" ca="1" si="0"/>
        <v>60-Inactif</v>
      </c>
      <c r="B6" s="206">
        <v>60</v>
      </c>
      <c r="C6" s="453">
        <v>45180</v>
      </c>
      <c r="D6" s="453">
        <v>45412</v>
      </c>
      <c r="E6" s="206" t="s">
        <v>483</v>
      </c>
      <c r="F6" s="206" t="s">
        <v>274</v>
      </c>
      <c r="G6" s="206">
        <v>5</v>
      </c>
      <c r="H6" s="206">
        <v>7</v>
      </c>
      <c r="I6" s="206">
        <v>30</v>
      </c>
      <c r="J6" s="206" t="s">
        <v>485</v>
      </c>
      <c r="K6" s="206">
        <v>3</v>
      </c>
      <c r="L6" s="206">
        <v>0</v>
      </c>
      <c r="M6" s="3" t="str">
        <f t="shared" ca="1" si="1"/>
        <v>Inactif</v>
      </c>
      <c r="N6" s="206" t="s">
        <v>275</v>
      </c>
      <c r="O6" s="421" t="s">
        <v>489</v>
      </c>
      <c r="P6" s="421" t="s">
        <v>144</v>
      </c>
      <c r="Q6" s="206"/>
      <c r="R6" s="421"/>
      <c r="S6" s="421" t="str">
        <f>_xlfn.CONCAT(B6,"-",Tableau8[[#This Row],[To]])</f>
        <v>60-45412</v>
      </c>
      <c r="T6" s="517">
        <v>46049</v>
      </c>
    </row>
    <row r="7" spans="1:20" ht="21" customHeight="1">
      <c r="A7" s="516" t="str">
        <f t="shared" ca="1" si="0"/>
        <v>60-Inactif</v>
      </c>
      <c r="B7" s="206">
        <v>60</v>
      </c>
      <c r="C7" s="453">
        <v>45047</v>
      </c>
      <c r="D7" s="453">
        <v>45179</v>
      </c>
      <c r="E7" s="206" t="s">
        <v>490</v>
      </c>
      <c r="F7" s="206" t="s">
        <v>274</v>
      </c>
      <c r="G7" s="206">
        <v>6</v>
      </c>
      <c r="H7" s="206">
        <v>10</v>
      </c>
      <c r="I7" s="206">
        <v>27</v>
      </c>
      <c r="J7" s="206" t="s">
        <v>485</v>
      </c>
      <c r="K7" s="206">
        <v>3</v>
      </c>
      <c r="L7" s="206">
        <v>0</v>
      </c>
      <c r="M7" s="3" t="str">
        <f t="shared" ca="1" si="1"/>
        <v>Inactif</v>
      </c>
      <c r="N7" s="206" t="s">
        <v>275</v>
      </c>
      <c r="O7" s="421" t="s">
        <v>491</v>
      </c>
      <c r="P7" s="421" t="s">
        <v>144</v>
      </c>
      <c r="Q7" s="206"/>
      <c r="R7" s="421"/>
      <c r="S7" s="421" t="str">
        <f>_xlfn.CONCAT(B7,"-",Tableau8[[#This Row],[To]])</f>
        <v>60-45179</v>
      </c>
      <c r="T7" s="517">
        <v>46049</v>
      </c>
    </row>
    <row r="8" spans="1:20" ht="21" customHeight="1">
      <c r="A8" s="516" t="str">
        <f t="shared" ca="1" si="0"/>
        <v>60-Actif</v>
      </c>
      <c r="B8" s="206">
        <v>60</v>
      </c>
      <c r="C8" s="453">
        <v>46143</v>
      </c>
      <c r="D8" s="453">
        <v>46507</v>
      </c>
      <c r="E8" s="206" t="s">
        <v>483</v>
      </c>
      <c r="F8" s="206" t="s">
        <v>484</v>
      </c>
      <c r="G8" s="206">
        <v>4</v>
      </c>
      <c r="H8" s="206">
        <v>6</v>
      </c>
      <c r="I8" s="206">
        <v>46</v>
      </c>
      <c r="J8" s="206" t="s">
        <v>485</v>
      </c>
      <c r="K8" s="206">
        <v>3</v>
      </c>
      <c r="L8" s="206">
        <v>0</v>
      </c>
      <c r="M8" s="3" t="str">
        <f t="shared" ca="1" si="1"/>
        <v>Actif</v>
      </c>
      <c r="N8" s="206" t="s">
        <v>492</v>
      </c>
      <c r="O8" s="421" t="s">
        <v>493</v>
      </c>
      <c r="P8" s="421" t="s">
        <v>144</v>
      </c>
      <c r="Q8" s="206">
        <v>7</v>
      </c>
      <c r="R8" s="535" t="s">
        <v>494</v>
      </c>
      <c r="S8" s="421" t="str">
        <f>_xlfn.CONCAT(B8,"-",Tableau8[[#This Row],[To]])</f>
        <v>60-46507</v>
      </c>
      <c r="T8" s="527">
        <v>46100</v>
      </c>
    </row>
    <row r="9" spans="1:20" ht="21" customHeight="1">
      <c r="A9" s="516" t="str">
        <f t="shared" ca="1" si="0"/>
        <v>63-Inactif</v>
      </c>
      <c r="B9" s="206">
        <v>63</v>
      </c>
      <c r="C9" s="453">
        <v>45778</v>
      </c>
      <c r="D9" s="453">
        <v>46142</v>
      </c>
      <c r="E9" s="206" t="s">
        <v>495</v>
      </c>
      <c r="F9" s="206" t="s">
        <v>295</v>
      </c>
      <c r="G9" s="206">
        <v>7</v>
      </c>
      <c r="H9" s="206">
        <v>9</v>
      </c>
      <c r="I9" s="206">
        <v>55</v>
      </c>
      <c r="J9" s="206" t="s">
        <v>496</v>
      </c>
      <c r="K9" s="206">
        <v>3</v>
      </c>
      <c r="L9" s="206">
        <v>7</v>
      </c>
      <c r="M9" s="3" t="str">
        <f t="shared" ca="1" si="1"/>
        <v>Inactif</v>
      </c>
      <c r="N9" s="206" t="s">
        <v>275</v>
      </c>
      <c r="O9" s="421" t="s">
        <v>486</v>
      </c>
      <c r="P9" s="421" t="s">
        <v>148</v>
      </c>
      <c r="Q9" s="206">
        <v>14</v>
      </c>
      <c r="R9" s="206" t="s">
        <v>487</v>
      </c>
      <c r="S9" s="421" t="str">
        <f>_xlfn.CONCAT(B9,"-",Tableau8[[#This Row],[To]])</f>
        <v>63-46142</v>
      </c>
      <c r="T9" s="517">
        <v>46049</v>
      </c>
    </row>
    <row r="10" spans="1:20" ht="21" customHeight="1">
      <c r="A10" s="516" t="str">
        <f t="shared" ca="1" si="0"/>
        <v>63-Inactif</v>
      </c>
      <c r="B10" s="206">
        <v>63</v>
      </c>
      <c r="C10" s="453">
        <v>45474</v>
      </c>
      <c r="D10" s="453">
        <v>45777</v>
      </c>
      <c r="E10" s="206" t="s">
        <v>497</v>
      </c>
      <c r="F10" s="206" t="s">
        <v>290</v>
      </c>
      <c r="G10" s="206">
        <v>4</v>
      </c>
      <c r="H10" s="206">
        <v>9</v>
      </c>
      <c r="I10" s="206">
        <v>47</v>
      </c>
      <c r="J10" s="206" t="s">
        <v>496</v>
      </c>
      <c r="K10" s="206">
        <v>3</v>
      </c>
      <c r="L10" s="206">
        <v>14</v>
      </c>
      <c r="M10" s="3" t="str">
        <f t="shared" ca="1" si="1"/>
        <v>Inactif</v>
      </c>
      <c r="N10" s="206" t="s">
        <v>275</v>
      </c>
      <c r="O10" s="421" t="s">
        <v>498</v>
      </c>
      <c r="P10" s="421" t="s">
        <v>148</v>
      </c>
      <c r="Q10" s="206">
        <v>14</v>
      </c>
      <c r="R10" s="421"/>
      <c r="S10" s="421" t="str">
        <f>_xlfn.CONCAT(B10,"-",Tableau8[[#This Row],[To]])</f>
        <v>63-45777</v>
      </c>
      <c r="T10" s="517">
        <v>46049</v>
      </c>
    </row>
    <row r="11" spans="1:20" ht="21" customHeight="1">
      <c r="A11" s="516" t="str">
        <f t="shared" ca="1" si="0"/>
        <v>63-Inactif</v>
      </c>
      <c r="B11" s="206">
        <v>63</v>
      </c>
      <c r="C11" s="453">
        <v>45413</v>
      </c>
      <c r="D11" s="453">
        <v>45473</v>
      </c>
      <c r="E11" s="206" t="s">
        <v>497</v>
      </c>
      <c r="F11" s="206" t="s">
        <v>290</v>
      </c>
      <c r="G11" s="206">
        <v>4</v>
      </c>
      <c r="H11" s="206">
        <v>9</v>
      </c>
      <c r="I11" s="206">
        <v>47</v>
      </c>
      <c r="J11" s="206" t="s">
        <v>496</v>
      </c>
      <c r="K11" s="206">
        <v>3</v>
      </c>
      <c r="L11" s="206">
        <v>7</v>
      </c>
      <c r="M11" s="3" t="str">
        <f t="shared" ca="1" si="1"/>
        <v>Inactif</v>
      </c>
      <c r="N11" s="206" t="s">
        <v>275</v>
      </c>
      <c r="O11" s="421" t="s">
        <v>499</v>
      </c>
      <c r="P11" s="421" t="s">
        <v>148</v>
      </c>
      <c r="Q11" s="460">
        <v>32</v>
      </c>
      <c r="R11" s="421"/>
      <c r="S11" s="421" t="str">
        <f>_xlfn.CONCAT(B11,"-",Tableau8[[#This Row],[To]])</f>
        <v>63-45473</v>
      </c>
      <c r="T11" s="517">
        <v>46049</v>
      </c>
    </row>
    <row r="12" spans="1:20" ht="21" customHeight="1">
      <c r="A12" s="516" t="str">
        <f t="shared" ca="1" si="0"/>
        <v>63-Inactif</v>
      </c>
      <c r="B12" s="206">
        <v>63</v>
      </c>
      <c r="C12" s="453">
        <v>45047</v>
      </c>
      <c r="D12" s="453">
        <v>45412</v>
      </c>
      <c r="E12" s="206" t="s">
        <v>497</v>
      </c>
      <c r="F12" s="206" t="s">
        <v>290</v>
      </c>
      <c r="G12" s="206">
        <v>4</v>
      </c>
      <c r="H12" s="206">
        <v>10</v>
      </c>
      <c r="I12" s="206">
        <v>43</v>
      </c>
      <c r="J12" s="206" t="s">
        <v>496</v>
      </c>
      <c r="K12" s="206">
        <v>3</v>
      </c>
      <c r="L12" s="206">
        <v>7</v>
      </c>
      <c r="M12" s="3" t="str">
        <f t="shared" ca="1" si="1"/>
        <v>Inactif</v>
      </c>
      <c r="N12" s="206" t="s">
        <v>275</v>
      </c>
      <c r="O12" s="421"/>
      <c r="P12" s="421" t="s">
        <v>148</v>
      </c>
      <c r="Q12" s="206"/>
      <c r="R12" s="421"/>
      <c r="S12" s="421" t="str">
        <f>_xlfn.CONCAT(B12,"-",Tableau8[[#This Row],[To]])</f>
        <v>63-45412</v>
      </c>
      <c r="T12" s="517">
        <v>46049</v>
      </c>
    </row>
    <row r="13" spans="1:20" ht="21" customHeight="1">
      <c r="A13" s="516" t="str">
        <f t="shared" ca="1" si="0"/>
        <v>63-Actif</v>
      </c>
      <c r="B13" s="206">
        <v>63</v>
      </c>
      <c r="C13" s="453">
        <v>46143</v>
      </c>
      <c r="D13" s="453">
        <v>46507</v>
      </c>
      <c r="E13" s="206" t="s">
        <v>500</v>
      </c>
      <c r="F13" s="206" t="s">
        <v>290</v>
      </c>
      <c r="G13" s="206">
        <v>4</v>
      </c>
      <c r="H13" s="206">
        <v>6</v>
      </c>
      <c r="I13" s="206">
        <v>54</v>
      </c>
      <c r="J13" s="206" t="s">
        <v>496</v>
      </c>
      <c r="K13" s="206">
        <v>3</v>
      </c>
      <c r="L13" s="206">
        <v>7</v>
      </c>
      <c r="M13" s="3" t="str">
        <f t="shared" ca="1" si="1"/>
        <v>Actif</v>
      </c>
      <c r="N13" s="206" t="s">
        <v>275</v>
      </c>
      <c r="O13" s="421" t="s">
        <v>501</v>
      </c>
      <c r="P13" s="421" t="s">
        <v>148</v>
      </c>
      <c r="Q13" s="206"/>
      <c r="R13" s="206"/>
      <c r="S13" s="421" t="str">
        <f>_xlfn.CONCAT(B13,"-",Tableau8[[#This Row],[To]])</f>
        <v>63-46507</v>
      </c>
      <c r="T13" s="527">
        <v>46091</v>
      </c>
    </row>
    <row r="14" spans="1:20" ht="21" customHeight="1">
      <c r="A14" s="516" t="str">
        <f t="shared" ca="1" si="0"/>
        <v>120-Inactif</v>
      </c>
      <c r="B14" s="206">
        <v>120</v>
      </c>
      <c r="C14" s="453">
        <v>45474</v>
      </c>
      <c r="D14" s="453">
        <v>45777</v>
      </c>
      <c r="E14" s="206" t="s">
        <v>502</v>
      </c>
      <c r="F14" s="206" t="s">
        <v>290</v>
      </c>
      <c r="G14" s="206">
        <v>1</v>
      </c>
      <c r="H14" s="206">
        <v>2</v>
      </c>
      <c r="I14" s="206">
        <v>71</v>
      </c>
      <c r="J14" s="206" t="s">
        <v>503</v>
      </c>
      <c r="K14" s="206">
        <v>3</v>
      </c>
      <c r="L14" s="206">
        <v>0</v>
      </c>
      <c r="M14" s="3" t="str">
        <f t="shared" ca="1" si="1"/>
        <v>Inactif</v>
      </c>
      <c r="N14" s="206" t="s">
        <v>267</v>
      </c>
      <c r="O14" s="421" t="s">
        <v>504</v>
      </c>
      <c r="P14" s="421" t="s">
        <v>144</v>
      </c>
      <c r="Q14" s="206">
        <v>10</v>
      </c>
      <c r="R14" s="206"/>
      <c r="S14" s="421" t="str">
        <f>_xlfn.CONCAT(B14,"-",Tableau8[[#This Row],[To]])</f>
        <v>120-45777</v>
      </c>
      <c r="T14" s="517">
        <v>46049</v>
      </c>
    </row>
    <row r="15" spans="1:20" ht="21" customHeight="1">
      <c r="A15" s="516" t="str">
        <f t="shared" ca="1" si="0"/>
        <v>120-Inactif</v>
      </c>
      <c r="B15" s="206">
        <v>120</v>
      </c>
      <c r="C15" s="453">
        <v>45413</v>
      </c>
      <c r="D15" s="453">
        <v>45473</v>
      </c>
      <c r="E15" s="206" t="s">
        <v>502</v>
      </c>
      <c r="F15" s="206" t="s">
        <v>290</v>
      </c>
      <c r="G15" s="206">
        <v>1</v>
      </c>
      <c r="H15" s="206">
        <v>2</v>
      </c>
      <c r="I15" s="206">
        <v>71</v>
      </c>
      <c r="J15" s="206" t="s">
        <v>503</v>
      </c>
      <c r="K15" s="206">
        <v>3</v>
      </c>
      <c r="L15" s="206">
        <v>0</v>
      </c>
      <c r="M15" s="3" t="str">
        <f t="shared" ca="1" si="1"/>
        <v>Inactif</v>
      </c>
      <c r="N15" s="206" t="s">
        <v>267</v>
      </c>
      <c r="O15" s="421" t="s">
        <v>505</v>
      </c>
      <c r="P15" s="421" t="s">
        <v>144</v>
      </c>
      <c r="Q15" s="206">
        <v>7</v>
      </c>
      <c r="R15" s="421"/>
      <c r="S15" s="421" t="str">
        <f>_xlfn.CONCAT(B15,"-",Tableau8[[#This Row],[To]])</f>
        <v>120-45473</v>
      </c>
      <c r="T15" s="517">
        <v>46049</v>
      </c>
    </row>
    <row r="16" spans="1:20" ht="21" customHeight="1">
      <c r="A16" s="516" t="str">
        <f t="shared" ca="1" si="0"/>
        <v>120-Inactif</v>
      </c>
      <c r="B16" s="206">
        <v>120</v>
      </c>
      <c r="C16" s="453">
        <v>45047</v>
      </c>
      <c r="D16" s="453">
        <v>45412</v>
      </c>
      <c r="E16" s="206" t="s">
        <v>502</v>
      </c>
      <c r="F16" s="206" t="s">
        <v>290</v>
      </c>
      <c r="G16" s="206">
        <v>3</v>
      </c>
      <c r="H16" s="206">
        <v>5</v>
      </c>
      <c r="I16" s="206">
        <v>56</v>
      </c>
      <c r="J16" s="206" t="s">
        <v>503</v>
      </c>
      <c r="K16" s="206">
        <v>3</v>
      </c>
      <c r="L16" s="206">
        <v>7</v>
      </c>
      <c r="M16" s="3" t="str">
        <f t="shared" ca="1" si="1"/>
        <v>Inactif</v>
      </c>
      <c r="N16" s="206" t="s">
        <v>267</v>
      </c>
      <c r="O16" s="421" t="s">
        <v>506</v>
      </c>
      <c r="P16" s="421" t="s">
        <v>144</v>
      </c>
      <c r="Q16" s="206"/>
      <c r="R16" s="421"/>
      <c r="S16" s="421" t="str">
        <f>_xlfn.CONCAT(B16,"-",Tableau8[[#This Row],[To]])</f>
        <v>120-45412</v>
      </c>
      <c r="T16" s="517">
        <v>46049</v>
      </c>
    </row>
    <row r="17" spans="1:20" ht="21" customHeight="1">
      <c r="A17" s="516" t="str">
        <f t="shared" ca="1" si="0"/>
        <v>120-Inactif</v>
      </c>
      <c r="B17" s="206">
        <v>120</v>
      </c>
      <c r="C17" s="453">
        <v>45900</v>
      </c>
      <c r="D17" s="453">
        <v>46142</v>
      </c>
      <c r="E17" s="206" t="s">
        <v>502</v>
      </c>
      <c r="F17" s="206" t="s">
        <v>295</v>
      </c>
      <c r="G17" s="206">
        <v>5</v>
      </c>
      <c r="H17" s="206">
        <v>7</v>
      </c>
      <c r="I17" s="206">
        <v>70</v>
      </c>
      <c r="J17" s="206" t="s">
        <v>485</v>
      </c>
      <c r="K17" s="206">
        <v>3</v>
      </c>
      <c r="L17" s="206">
        <v>7</v>
      </c>
      <c r="M17" s="3" t="str">
        <f t="shared" ca="1" si="1"/>
        <v>Inactif</v>
      </c>
      <c r="N17" s="206" t="s">
        <v>507</v>
      </c>
      <c r="O17" s="421" t="s">
        <v>508</v>
      </c>
      <c r="P17" s="421" t="s">
        <v>144</v>
      </c>
      <c r="Q17" s="206">
        <v>10</v>
      </c>
      <c r="R17" s="206" t="s">
        <v>509</v>
      </c>
      <c r="S17" s="421" t="str">
        <f>_xlfn.CONCAT(B17,"-",Tableau8[[#This Row],[To]])</f>
        <v>120-46142</v>
      </c>
      <c r="T17" s="517">
        <v>46049</v>
      </c>
    </row>
    <row r="18" spans="1:20" ht="21" customHeight="1">
      <c r="A18" s="516" t="str">
        <f t="shared" ca="1" si="0"/>
        <v>120-Inactif</v>
      </c>
      <c r="B18" s="206">
        <v>120</v>
      </c>
      <c r="C18" s="453">
        <v>45778</v>
      </c>
      <c r="D18" s="453">
        <v>45899</v>
      </c>
      <c r="E18" s="206" t="s">
        <v>502</v>
      </c>
      <c r="F18" s="206" t="s">
        <v>295</v>
      </c>
      <c r="G18" s="206">
        <v>5</v>
      </c>
      <c r="H18" s="206">
        <v>7</v>
      </c>
      <c r="I18" s="206">
        <v>66</v>
      </c>
      <c r="J18" s="206" t="s">
        <v>485</v>
      </c>
      <c r="K18" s="206">
        <v>3</v>
      </c>
      <c r="L18" s="206">
        <v>7</v>
      </c>
      <c r="M18" s="3" t="str">
        <f t="shared" ca="1" si="1"/>
        <v>Inactif</v>
      </c>
      <c r="N18" s="206" t="s">
        <v>507</v>
      </c>
      <c r="O18" s="421" t="s">
        <v>510</v>
      </c>
      <c r="P18" s="421" t="s">
        <v>144</v>
      </c>
      <c r="Q18" s="206">
        <v>10</v>
      </c>
      <c r="R18" s="206" t="s">
        <v>509</v>
      </c>
      <c r="S18" s="421" t="str">
        <f>_xlfn.CONCAT(B18,"-",Tableau8[[#This Row],[To]])</f>
        <v>120-45899</v>
      </c>
      <c r="T18" s="517">
        <v>46049</v>
      </c>
    </row>
    <row r="19" spans="1:20" ht="21" customHeight="1">
      <c r="A19" s="516" t="str">
        <f t="shared" ca="1" si="0"/>
        <v>120-Actif</v>
      </c>
      <c r="B19" s="206">
        <v>120</v>
      </c>
      <c r="C19" s="453">
        <v>46143</v>
      </c>
      <c r="D19" s="453">
        <v>46507</v>
      </c>
      <c r="E19" s="206" t="s">
        <v>502</v>
      </c>
      <c r="F19" s="206" t="s">
        <v>301</v>
      </c>
      <c r="G19" s="206">
        <v>5</v>
      </c>
      <c r="H19" s="206">
        <v>7</v>
      </c>
      <c r="I19" s="206">
        <v>68</v>
      </c>
      <c r="J19" s="206" t="s">
        <v>485</v>
      </c>
      <c r="K19" s="206">
        <v>3</v>
      </c>
      <c r="L19" s="206">
        <v>7</v>
      </c>
      <c r="M19" s="3" t="str">
        <f t="shared" ca="1" si="1"/>
        <v>Actif</v>
      </c>
      <c r="N19" s="206" t="s">
        <v>507</v>
      </c>
      <c r="O19" s="421" t="s">
        <v>493</v>
      </c>
      <c r="P19" s="421" t="s">
        <v>144</v>
      </c>
      <c r="Q19" s="206">
        <v>10</v>
      </c>
      <c r="R19" s="206" t="s">
        <v>494</v>
      </c>
      <c r="S19" s="421" t="str">
        <f>_xlfn.CONCAT(B19,"-",Tableau8[[#This Row],[To]])</f>
        <v>120-46507</v>
      </c>
      <c r="T19" s="527">
        <v>46100</v>
      </c>
    </row>
    <row r="20" spans="1:20" ht="21" customHeight="1">
      <c r="A20" s="516" t="str">
        <f t="shared" ca="1" si="0"/>
        <v>121-Inactif</v>
      </c>
      <c r="B20" s="206">
        <v>121</v>
      </c>
      <c r="C20" s="453">
        <v>45677</v>
      </c>
      <c r="D20" s="453">
        <v>45777</v>
      </c>
      <c r="E20" s="206" t="s">
        <v>511</v>
      </c>
      <c r="F20" s="206" t="s">
        <v>274</v>
      </c>
      <c r="G20" s="206">
        <v>2</v>
      </c>
      <c r="H20" s="206">
        <v>4</v>
      </c>
      <c r="I20" s="206">
        <v>63</v>
      </c>
      <c r="J20" s="206" t="s">
        <v>485</v>
      </c>
      <c r="K20" s="206">
        <v>3</v>
      </c>
      <c r="L20" s="206">
        <v>7</v>
      </c>
      <c r="M20" s="3" t="str">
        <f t="shared" ca="1" si="1"/>
        <v>Inactif</v>
      </c>
      <c r="N20" s="206" t="s">
        <v>267</v>
      </c>
      <c r="O20" s="422" t="s">
        <v>512</v>
      </c>
      <c r="P20" s="421" t="s">
        <v>144</v>
      </c>
      <c r="Q20" s="206">
        <v>10</v>
      </c>
      <c r="R20" s="206"/>
      <c r="S20" s="421" t="str">
        <f>_xlfn.CONCAT(B20,"-",Tableau8[[#This Row],[To]])</f>
        <v>121-45777</v>
      </c>
      <c r="T20" s="517">
        <v>46049</v>
      </c>
    </row>
    <row r="21" spans="1:20" ht="21" customHeight="1">
      <c r="A21" s="516" t="str">
        <f t="shared" ca="1" si="0"/>
        <v>121-Inactif</v>
      </c>
      <c r="B21" s="206">
        <v>121</v>
      </c>
      <c r="C21" s="453">
        <v>45474</v>
      </c>
      <c r="D21" s="453">
        <v>45676</v>
      </c>
      <c r="E21" s="206" t="s">
        <v>511</v>
      </c>
      <c r="F21" s="206" t="s">
        <v>274</v>
      </c>
      <c r="G21" s="206">
        <v>2</v>
      </c>
      <c r="H21" s="206">
        <v>4</v>
      </c>
      <c r="I21" s="206">
        <v>63</v>
      </c>
      <c r="J21" s="206" t="s">
        <v>485</v>
      </c>
      <c r="K21" s="206">
        <v>3</v>
      </c>
      <c r="L21" s="206">
        <v>0</v>
      </c>
      <c r="M21" s="3" t="str">
        <f t="shared" ca="1" si="1"/>
        <v>Inactif</v>
      </c>
      <c r="N21" s="206" t="s">
        <v>267</v>
      </c>
      <c r="O21" s="421" t="s">
        <v>513</v>
      </c>
      <c r="P21" s="421" t="s">
        <v>144</v>
      </c>
      <c r="Q21" s="206">
        <v>10</v>
      </c>
      <c r="R21" s="206"/>
      <c r="S21" s="421" t="str">
        <f>_xlfn.CONCAT(B21,"-",Tableau8[[#This Row],[To]])</f>
        <v>121-45676</v>
      </c>
      <c r="T21" s="517">
        <v>46049</v>
      </c>
    </row>
    <row r="22" spans="1:20" ht="21" customHeight="1">
      <c r="A22" s="516" t="str">
        <f t="shared" ca="1" si="0"/>
        <v>121-Inactif</v>
      </c>
      <c r="B22" s="206">
        <v>121</v>
      </c>
      <c r="C22" s="453">
        <v>45413</v>
      </c>
      <c r="D22" s="453">
        <v>45473</v>
      </c>
      <c r="E22" s="206" t="s">
        <v>511</v>
      </c>
      <c r="F22" s="206" t="s">
        <v>274</v>
      </c>
      <c r="G22" s="206">
        <v>2</v>
      </c>
      <c r="H22" s="206">
        <v>4</v>
      </c>
      <c r="I22" s="206">
        <v>63</v>
      </c>
      <c r="J22" s="206" t="s">
        <v>503</v>
      </c>
      <c r="K22" s="206">
        <v>3</v>
      </c>
      <c r="L22" s="206">
        <v>0</v>
      </c>
      <c r="M22" s="3" t="str">
        <f t="shared" ca="1" si="1"/>
        <v>Inactif</v>
      </c>
      <c r="N22" s="206" t="s">
        <v>267</v>
      </c>
      <c r="O22" s="421" t="s">
        <v>505</v>
      </c>
      <c r="P22" s="421" t="s">
        <v>144</v>
      </c>
      <c r="Q22" s="206">
        <v>7</v>
      </c>
      <c r="R22" s="421"/>
      <c r="S22" s="421" t="str">
        <f>_xlfn.CONCAT(B22,"-",Tableau8[[#This Row],[To]])</f>
        <v>121-45473</v>
      </c>
      <c r="T22" s="517">
        <v>46049</v>
      </c>
    </row>
    <row r="23" spans="1:20" ht="21" customHeight="1">
      <c r="A23" s="516" t="str">
        <f t="shared" ca="1" si="0"/>
        <v>121-Inactif</v>
      </c>
      <c r="B23" s="206">
        <v>121</v>
      </c>
      <c r="C23" s="453">
        <v>45047</v>
      </c>
      <c r="D23" s="453">
        <v>45412</v>
      </c>
      <c r="E23" s="206" t="s">
        <v>511</v>
      </c>
      <c r="F23" s="206" t="s">
        <v>290</v>
      </c>
      <c r="G23" s="206">
        <v>3</v>
      </c>
      <c r="H23" s="206">
        <v>5</v>
      </c>
      <c r="I23" s="206">
        <v>54</v>
      </c>
      <c r="J23" s="206" t="s">
        <v>503</v>
      </c>
      <c r="K23" s="206">
        <v>3</v>
      </c>
      <c r="L23" s="206">
        <v>0</v>
      </c>
      <c r="M23" s="3" t="str">
        <f t="shared" ca="1" si="1"/>
        <v>Inactif</v>
      </c>
      <c r="N23" s="206" t="s">
        <v>267</v>
      </c>
      <c r="O23" s="421"/>
      <c r="P23" s="421" t="s">
        <v>144</v>
      </c>
      <c r="Q23" s="206"/>
      <c r="R23" s="421"/>
      <c r="S23" s="421" t="str">
        <f>_xlfn.CONCAT(B23,"-",Tableau8[[#This Row],[To]])</f>
        <v>121-45412</v>
      </c>
      <c r="T23" s="517">
        <v>46049</v>
      </c>
    </row>
    <row r="24" spans="1:20" ht="21" customHeight="1">
      <c r="A24" s="516" t="str">
        <f t="shared" ca="1" si="0"/>
        <v>121-Inactif</v>
      </c>
      <c r="B24" s="206">
        <v>121</v>
      </c>
      <c r="C24" s="453">
        <v>45962</v>
      </c>
      <c r="D24" s="453">
        <v>46142</v>
      </c>
      <c r="E24" s="206" t="s">
        <v>511</v>
      </c>
      <c r="F24" s="206" t="s">
        <v>295</v>
      </c>
      <c r="G24" s="206">
        <v>2</v>
      </c>
      <c r="H24" s="206">
        <v>4</v>
      </c>
      <c r="I24" s="206">
        <v>81</v>
      </c>
      <c r="J24" s="206" t="s">
        <v>485</v>
      </c>
      <c r="K24" s="206">
        <v>3</v>
      </c>
      <c r="L24" s="206">
        <v>0</v>
      </c>
      <c r="M24" s="3" t="str">
        <f t="shared" ca="1" si="1"/>
        <v>Inactif</v>
      </c>
      <c r="N24" s="206" t="s">
        <v>507</v>
      </c>
      <c r="O24" s="421" t="s">
        <v>514</v>
      </c>
      <c r="P24" s="421" t="s">
        <v>144</v>
      </c>
      <c r="Q24" s="206">
        <v>10</v>
      </c>
      <c r="R24" s="206" t="s">
        <v>509</v>
      </c>
      <c r="S24" s="8" t="str">
        <f>_xlfn.CONCAT(B24,"-",Tableau8[[#This Row],[To]])</f>
        <v>121-46142</v>
      </c>
      <c r="T24" s="517">
        <v>46049</v>
      </c>
    </row>
    <row r="25" spans="1:20" ht="21" customHeight="1">
      <c r="A25" s="516" t="str">
        <f t="shared" ca="1" si="0"/>
        <v>121-Inactif</v>
      </c>
      <c r="B25" s="206">
        <v>121</v>
      </c>
      <c r="C25" s="453">
        <v>45778</v>
      </c>
      <c r="D25" s="453">
        <v>45961</v>
      </c>
      <c r="E25" s="206" t="s">
        <v>511</v>
      </c>
      <c r="F25" s="206" t="s">
        <v>295</v>
      </c>
      <c r="G25" s="206">
        <v>2</v>
      </c>
      <c r="H25" s="206">
        <v>4</v>
      </c>
      <c r="I25" s="206">
        <v>61</v>
      </c>
      <c r="J25" s="206" t="s">
        <v>485</v>
      </c>
      <c r="K25" s="206">
        <v>3</v>
      </c>
      <c r="L25" s="206">
        <v>7</v>
      </c>
      <c r="M25" s="3" t="str">
        <f t="shared" ca="1" si="1"/>
        <v>Inactif</v>
      </c>
      <c r="N25" s="206" t="s">
        <v>507</v>
      </c>
      <c r="O25" s="421" t="s">
        <v>515</v>
      </c>
      <c r="P25" s="421" t="s">
        <v>144</v>
      </c>
      <c r="Q25" s="206">
        <v>10</v>
      </c>
      <c r="R25" s="206" t="s">
        <v>509</v>
      </c>
      <c r="S25" s="421" t="str">
        <f>_xlfn.CONCAT(B25,"-",Tableau8[[#This Row],[To]])</f>
        <v>121-45961</v>
      </c>
      <c r="T25" s="517">
        <v>46049</v>
      </c>
    </row>
    <row r="26" spans="1:20" ht="21" customHeight="1">
      <c r="A26" s="516" t="str">
        <f t="shared" ca="1" si="0"/>
        <v>121-Actif</v>
      </c>
      <c r="B26" s="206">
        <v>121</v>
      </c>
      <c r="C26" s="453">
        <v>46143</v>
      </c>
      <c r="D26" s="453">
        <v>46507</v>
      </c>
      <c r="E26" s="206" t="s">
        <v>511</v>
      </c>
      <c r="F26" s="206" t="s">
        <v>301</v>
      </c>
      <c r="G26" s="206">
        <v>5</v>
      </c>
      <c r="H26" s="206">
        <v>7</v>
      </c>
      <c r="I26" s="206">
        <v>75</v>
      </c>
      <c r="J26" s="206" t="s">
        <v>485</v>
      </c>
      <c r="K26" s="206">
        <v>3</v>
      </c>
      <c r="L26" s="206">
        <v>7</v>
      </c>
      <c r="M26" s="3" t="str">
        <f t="shared" ca="1" si="1"/>
        <v>Actif</v>
      </c>
      <c r="N26" s="206" t="s">
        <v>507</v>
      </c>
      <c r="O26" s="421" t="s">
        <v>493</v>
      </c>
      <c r="P26" s="421" t="s">
        <v>144</v>
      </c>
      <c r="Q26" s="206">
        <v>10</v>
      </c>
      <c r="R26" s="206" t="s">
        <v>494</v>
      </c>
      <c r="S26" s="421" t="str">
        <f>_xlfn.CONCAT(B26,"-",Tableau8[[#This Row],[To]])</f>
        <v>121-46507</v>
      </c>
      <c r="T26" s="527">
        <v>46100</v>
      </c>
    </row>
    <row r="27" spans="1:20" ht="21" customHeight="1">
      <c r="A27" s="516" t="str">
        <f t="shared" ca="1" si="0"/>
        <v>131-Inactif</v>
      </c>
      <c r="B27" s="472">
        <v>131</v>
      </c>
      <c r="C27" s="481">
        <v>45778</v>
      </c>
      <c r="D27" s="481">
        <v>46142</v>
      </c>
      <c r="E27" s="472" t="s">
        <v>485</v>
      </c>
      <c r="F27" s="472" t="s">
        <v>484</v>
      </c>
      <c r="G27" s="472">
        <v>3</v>
      </c>
      <c r="H27" s="472">
        <v>5</v>
      </c>
      <c r="I27" s="472">
        <v>12</v>
      </c>
      <c r="J27" s="472" t="s">
        <v>516</v>
      </c>
      <c r="K27" s="472">
        <v>3</v>
      </c>
      <c r="L27" s="206"/>
      <c r="M27" s="3" t="str">
        <f t="shared" ca="1" si="1"/>
        <v>Inactif</v>
      </c>
      <c r="N27" s="206" t="s">
        <v>517</v>
      </c>
      <c r="O27" s="421" t="s">
        <v>486</v>
      </c>
      <c r="P27" s="421" t="s">
        <v>157</v>
      </c>
      <c r="Q27" s="206"/>
      <c r="R27" s="206" t="s">
        <v>518</v>
      </c>
      <c r="S27" s="421" t="str">
        <f>_xlfn.CONCAT(B27,"-",Tableau8[[#This Row],[To]])</f>
        <v>131-46142</v>
      </c>
      <c r="T27" s="517">
        <v>46049</v>
      </c>
    </row>
    <row r="28" spans="1:20" ht="21" customHeight="1">
      <c r="A28" s="516" t="str">
        <f t="shared" ca="1" si="0"/>
        <v>233-Inactif</v>
      </c>
      <c r="B28" s="206">
        <v>233</v>
      </c>
      <c r="C28" s="453">
        <v>45778</v>
      </c>
      <c r="D28" s="453">
        <v>46142</v>
      </c>
      <c r="E28" s="206" t="s">
        <v>519</v>
      </c>
      <c r="F28" s="206" t="s">
        <v>259</v>
      </c>
      <c r="G28" s="206">
        <v>5</v>
      </c>
      <c r="H28" s="206">
        <v>10</v>
      </c>
      <c r="I28" s="206">
        <v>43</v>
      </c>
      <c r="J28" s="206" t="s">
        <v>485</v>
      </c>
      <c r="K28" s="206">
        <v>3</v>
      </c>
      <c r="L28" s="206"/>
      <c r="M28" s="3" t="str">
        <f t="shared" ca="1" si="1"/>
        <v>Inactif</v>
      </c>
      <c r="N28" s="206" t="s">
        <v>275</v>
      </c>
      <c r="O28" s="421" t="s">
        <v>520</v>
      </c>
      <c r="P28" s="421" t="s">
        <v>144</v>
      </c>
      <c r="Q28" s="206">
        <v>6</v>
      </c>
      <c r="R28" s="206" t="s">
        <v>521</v>
      </c>
      <c r="S28" s="421" t="str">
        <f>_xlfn.CONCAT(B28,"-",Tableau8[[#This Row],[To]])</f>
        <v>233-46142</v>
      </c>
      <c r="T28" s="517">
        <v>46049</v>
      </c>
    </row>
    <row r="29" spans="1:20" ht="21" customHeight="1">
      <c r="A29" s="516" t="str">
        <f t="shared" ca="1" si="0"/>
        <v>233-Inactif</v>
      </c>
      <c r="B29" s="206">
        <v>233</v>
      </c>
      <c r="C29" s="453">
        <v>45413</v>
      </c>
      <c r="D29" s="453">
        <v>45777</v>
      </c>
      <c r="E29" s="206" t="s">
        <v>519</v>
      </c>
      <c r="F29" s="206" t="s">
        <v>259</v>
      </c>
      <c r="G29" s="206">
        <v>5</v>
      </c>
      <c r="H29" s="206">
        <v>8</v>
      </c>
      <c r="I29" s="206">
        <v>38</v>
      </c>
      <c r="J29" s="206" t="s">
        <v>485</v>
      </c>
      <c r="K29" s="206">
        <v>3</v>
      </c>
      <c r="L29" s="206">
        <v>0</v>
      </c>
      <c r="M29" s="3" t="str">
        <f t="shared" ca="1" si="1"/>
        <v>Inactif</v>
      </c>
      <c r="N29" s="206" t="s">
        <v>275</v>
      </c>
      <c r="O29" s="421" t="s">
        <v>488</v>
      </c>
      <c r="P29" s="421" t="s">
        <v>144</v>
      </c>
      <c r="Q29" s="206">
        <v>6</v>
      </c>
      <c r="R29" s="421"/>
      <c r="S29" s="421" t="str">
        <f>_xlfn.CONCAT(B29,"-",Tableau8[[#This Row],[To]])</f>
        <v>233-45777</v>
      </c>
      <c r="T29" s="517">
        <v>46049</v>
      </c>
    </row>
    <row r="30" spans="1:20" ht="21" customHeight="1">
      <c r="A30" s="516" t="str">
        <f t="shared" ca="1" si="0"/>
        <v>233-Inactif</v>
      </c>
      <c r="B30" s="206">
        <v>233</v>
      </c>
      <c r="C30" s="453">
        <v>45200</v>
      </c>
      <c r="D30" s="453">
        <v>45412</v>
      </c>
      <c r="E30" s="206" t="s">
        <v>519</v>
      </c>
      <c r="F30" s="206" t="s">
        <v>259</v>
      </c>
      <c r="G30" s="206">
        <v>5</v>
      </c>
      <c r="H30" s="206">
        <v>8</v>
      </c>
      <c r="I30" s="206">
        <v>32</v>
      </c>
      <c r="J30" s="206" t="s">
        <v>485</v>
      </c>
      <c r="K30" s="206">
        <v>3</v>
      </c>
      <c r="L30" s="206">
        <v>0</v>
      </c>
      <c r="M30" s="3" t="str">
        <f t="shared" ca="1" si="1"/>
        <v>Inactif</v>
      </c>
      <c r="N30" s="206" t="s">
        <v>275</v>
      </c>
      <c r="O30" s="421" t="s">
        <v>522</v>
      </c>
      <c r="P30" s="421" t="s">
        <v>144</v>
      </c>
      <c r="Q30" s="206"/>
      <c r="R30" s="421"/>
      <c r="S30" s="421" t="str">
        <f>_xlfn.CONCAT(B30,"-",Tableau8[[#This Row],[To]])</f>
        <v>233-45412</v>
      </c>
      <c r="T30" s="517">
        <v>46049</v>
      </c>
    </row>
    <row r="31" spans="1:20" ht="21" customHeight="1">
      <c r="A31" s="516" t="str">
        <f t="shared" ca="1" si="0"/>
        <v>233-Inactif</v>
      </c>
      <c r="B31" s="206">
        <v>233</v>
      </c>
      <c r="C31" s="453">
        <v>45047</v>
      </c>
      <c r="D31" s="453">
        <v>45199</v>
      </c>
      <c r="E31" s="206" t="s">
        <v>519</v>
      </c>
      <c r="F31" s="206" t="s">
        <v>259</v>
      </c>
      <c r="G31" s="206">
        <v>5</v>
      </c>
      <c r="H31" s="206">
        <v>8</v>
      </c>
      <c r="I31" s="206">
        <v>32</v>
      </c>
      <c r="J31" s="206" t="s">
        <v>485</v>
      </c>
      <c r="K31" s="206">
        <v>3</v>
      </c>
      <c r="L31" s="206">
        <v>7</v>
      </c>
      <c r="M31" s="3" t="str">
        <f t="shared" ca="1" si="1"/>
        <v>Inactif</v>
      </c>
      <c r="N31" s="206" t="s">
        <v>275</v>
      </c>
      <c r="O31" s="421" t="s">
        <v>523</v>
      </c>
      <c r="P31" s="421" t="s">
        <v>144</v>
      </c>
      <c r="Q31" s="206"/>
      <c r="R31" s="421"/>
      <c r="S31" s="421" t="str">
        <f>_xlfn.CONCAT(B31,"-",Tableau8[[#This Row],[To]])</f>
        <v>233-45199</v>
      </c>
      <c r="T31" s="517">
        <v>46049</v>
      </c>
    </row>
    <row r="32" spans="1:20" ht="21" customHeight="1">
      <c r="A32" s="516" t="str">
        <f t="shared" ca="1" si="0"/>
        <v>233-Actif</v>
      </c>
      <c r="B32" s="206">
        <v>233</v>
      </c>
      <c r="C32" s="453">
        <v>46143</v>
      </c>
      <c r="D32" s="453">
        <v>46507</v>
      </c>
      <c r="E32" s="206" t="s">
        <v>519</v>
      </c>
      <c r="F32" s="206" t="s">
        <v>259</v>
      </c>
      <c r="G32" s="206">
        <v>3</v>
      </c>
      <c r="H32" s="206">
        <v>5</v>
      </c>
      <c r="I32" s="206">
        <v>41</v>
      </c>
      <c r="J32" s="206" t="s">
        <v>485</v>
      </c>
      <c r="K32" s="206">
        <v>3</v>
      </c>
      <c r="L32" s="206"/>
      <c r="M32" s="3" t="str">
        <f t="shared" ca="1" si="1"/>
        <v>Actif</v>
      </c>
      <c r="N32" s="206" t="s">
        <v>492</v>
      </c>
      <c r="O32" s="421" t="s">
        <v>493</v>
      </c>
      <c r="P32" s="421" t="s">
        <v>144</v>
      </c>
      <c r="Q32" s="206">
        <v>6</v>
      </c>
      <c r="R32" s="206" t="s">
        <v>494</v>
      </c>
      <c r="S32" s="421" t="str">
        <f>_xlfn.CONCAT(B32,"-",Tableau8[[#This Row],[To]])</f>
        <v>233-46507</v>
      </c>
      <c r="T32" s="527">
        <v>46100</v>
      </c>
    </row>
    <row r="33" spans="1:20" ht="21" customHeight="1">
      <c r="A33" s="516" t="str">
        <f t="shared" ca="1" si="0"/>
        <v>752-Inactif</v>
      </c>
      <c r="B33" s="206">
        <v>752</v>
      </c>
      <c r="C33" s="453">
        <v>45992</v>
      </c>
      <c r="D33" s="453">
        <v>46142</v>
      </c>
      <c r="E33" s="206" t="s">
        <v>524</v>
      </c>
      <c r="F33" s="206" t="s">
        <v>259</v>
      </c>
      <c r="G33" s="206">
        <v>3</v>
      </c>
      <c r="H33" s="206">
        <v>5</v>
      </c>
      <c r="I33" s="206">
        <v>45</v>
      </c>
      <c r="J33" s="206" t="s">
        <v>525</v>
      </c>
      <c r="K33" s="206">
        <v>3</v>
      </c>
      <c r="L33" s="206"/>
      <c r="M33" s="3" t="str">
        <f t="shared" ca="1" si="1"/>
        <v>Inactif</v>
      </c>
      <c r="N33" s="206" t="s">
        <v>275</v>
      </c>
      <c r="O33" s="421" t="s">
        <v>526</v>
      </c>
      <c r="P33" s="421" t="s">
        <v>148</v>
      </c>
      <c r="Q33" s="206">
        <v>14</v>
      </c>
      <c r="R33" s="206" t="s">
        <v>487</v>
      </c>
      <c r="S33" s="421" t="str">
        <f>_xlfn.CONCAT(B33,"-",Tableau8[[#This Row],[To]])</f>
        <v>752-46142</v>
      </c>
      <c r="T33" s="517">
        <v>46049</v>
      </c>
    </row>
    <row r="34" spans="1:20" ht="21" customHeight="1">
      <c r="A34" s="516" t="str">
        <f t="shared" ca="1" si="0"/>
        <v>752-Actif</v>
      </c>
      <c r="B34" s="206">
        <v>752</v>
      </c>
      <c r="C34" s="453">
        <v>46143</v>
      </c>
      <c r="D34" s="453">
        <v>46507</v>
      </c>
      <c r="E34" s="206" t="s">
        <v>524</v>
      </c>
      <c r="F34" s="206" t="s">
        <v>301</v>
      </c>
      <c r="G34" s="206">
        <v>5</v>
      </c>
      <c r="H34" s="206">
        <v>7</v>
      </c>
      <c r="I34" s="206">
        <v>43</v>
      </c>
      <c r="J34" s="206" t="s">
        <v>525</v>
      </c>
      <c r="K34" s="206">
        <v>3</v>
      </c>
      <c r="L34" s="206">
        <v>0</v>
      </c>
      <c r="M34" s="3" t="str">
        <f t="shared" ca="1" si="1"/>
        <v>Actif</v>
      </c>
      <c r="N34" s="206" t="s">
        <v>275</v>
      </c>
      <c r="O34" s="421" t="s">
        <v>501</v>
      </c>
      <c r="P34" s="421" t="s">
        <v>148</v>
      </c>
      <c r="Q34" s="206"/>
      <c r="R34" s="206"/>
      <c r="S34" s="421" t="str">
        <f>_xlfn.CONCAT(B34,"-",Tableau8[[#This Row],[To]])</f>
        <v>752-46507</v>
      </c>
      <c r="T34" s="527">
        <v>46091</v>
      </c>
    </row>
    <row r="35" spans="1:20" ht="21" customHeight="1">
      <c r="A35" s="516" t="str">
        <f t="shared" ca="1" si="0"/>
        <v>752-Inactif</v>
      </c>
      <c r="B35" s="206">
        <v>752</v>
      </c>
      <c r="C35" s="453">
        <v>45778</v>
      </c>
      <c r="D35" s="453">
        <v>45991</v>
      </c>
      <c r="E35" s="206" t="s">
        <v>524</v>
      </c>
      <c r="F35" s="206" t="s">
        <v>259</v>
      </c>
      <c r="G35" s="206">
        <v>3</v>
      </c>
      <c r="H35" s="206">
        <v>5</v>
      </c>
      <c r="I35" s="206">
        <v>39</v>
      </c>
      <c r="J35" s="206" t="s">
        <v>525</v>
      </c>
      <c r="K35" s="206">
        <v>3</v>
      </c>
      <c r="L35" s="206"/>
      <c r="M35" s="3" t="str">
        <f t="shared" ca="1" si="1"/>
        <v>Inactif</v>
      </c>
      <c r="N35" s="206" t="s">
        <v>275</v>
      </c>
      <c r="O35" s="421" t="s">
        <v>486</v>
      </c>
      <c r="P35" s="421" t="s">
        <v>148</v>
      </c>
      <c r="Q35" s="206"/>
      <c r="R35" s="206"/>
      <c r="S35" s="421" t="str">
        <f>_xlfn.CONCAT(B35,"-",Tableau8[[#This Row],[To]])</f>
        <v>752-45991</v>
      </c>
      <c r="T35" s="517">
        <v>46049</v>
      </c>
    </row>
    <row r="36" spans="1:20" ht="21" customHeight="1">
      <c r="A36" s="516" t="str">
        <f t="shared" ca="1" si="0"/>
        <v>752-Inactif</v>
      </c>
      <c r="B36" s="206">
        <v>752</v>
      </c>
      <c r="C36" s="453">
        <v>44958</v>
      </c>
      <c r="D36" s="453">
        <v>45777</v>
      </c>
      <c r="E36" s="206" t="s">
        <v>524</v>
      </c>
      <c r="F36" s="206" t="s">
        <v>259</v>
      </c>
      <c r="G36" s="206">
        <v>5</v>
      </c>
      <c r="H36" s="206">
        <v>7</v>
      </c>
      <c r="I36" s="206">
        <v>37</v>
      </c>
      <c r="J36" s="206" t="s">
        <v>525</v>
      </c>
      <c r="K36" s="206">
        <v>3</v>
      </c>
      <c r="L36" s="206">
        <v>0</v>
      </c>
      <c r="M36" s="3" t="str">
        <f t="shared" ca="1" si="1"/>
        <v>Inactif</v>
      </c>
      <c r="N36" s="206" t="s">
        <v>275</v>
      </c>
      <c r="O36" s="421" t="s">
        <v>527</v>
      </c>
      <c r="P36" s="421" t="s">
        <v>148</v>
      </c>
      <c r="Q36" s="206">
        <v>7</v>
      </c>
      <c r="R36" s="421"/>
      <c r="S36" s="421" t="str">
        <f>_xlfn.CONCAT(B36,"-",Tableau8[[#This Row],[To]])</f>
        <v>752-45777</v>
      </c>
      <c r="T36" s="517">
        <v>46049</v>
      </c>
    </row>
    <row r="37" spans="1:20" ht="21" customHeight="1">
      <c r="A37" s="516" t="str">
        <f t="shared" ca="1" si="0"/>
        <v>761-Inactif</v>
      </c>
      <c r="B37" s="206">
        <v>761</v>
      </c>
      <c r="C37" s="453">
        <v>45658</v>
      </c>
      <c r="D37" s="453">
        <v>45777</v>
      </c>
      <c r="E37" s="206" t="s">
        <v>524</v>
      </c>
      <c r="F37" s="206" t="s">
        <v>484</v>
      </c>
      <c r="G37" s="206">
        <v>5</v>
      </c>
      <c r="H37" s="206">
        <v>7</v>
      </c>
      <c r="I37" s="206">
        <v>46</v>
      </c>
      <c r="J37" s="206" t="s">
        <v>483</v>
      </c>
      <c r="K37" s="206">
        <v>3</v>
      </c>
      <c r="L37" s="206"/>
      <c r="M37" s="3" t="str">
        <f t="shared" ca="1" si="1"/>
        <v>Inactif</v>
      </c>
      <c r="N37" s="206" t="s">
        <v>275</v>
      </c>
      <c r="O37" s="421" t="s">
        <v>528</v>
      </c>
      <c r="P37" s="421" t="s">
        <v>148</v>
      </c>
      <c r="Q37" s="206"/>
      <c r="R37" s="206"/>
      <c r="S37" s="421" t="str">
        <f>_xlfn.CONCAT(B37,"-",Tableau8[[#This Row],[To]])</f>
        <v>761-45777</v>
      </c>
      <c r="T37" s="517">
        <v>46049</v>
      </c>
    </row>
    <row r="38" spans="1:20" ht="21" customHeight="1">
      <c r="A38" s="516" t="str">
        <f t="shared" ca="1" si="0"/>
        <v>761-Inactif</v>
      </c>
      <c r="B38" s="206">
        <v>761</v>
      </c>
      <c r="C38" s="459">
        <v>45413</v>
      </c>
      <c r="D38" s="459">
        <v>45657</v>
      </c>
      <c r="E38" s="206" t="s">
        <v>524</v>
      </c>
      <c r="F38" s="206" t="s">
        <v>290</v>
      </c>
      <c r="G38" s="206">
        <v>5</v>
      </c>
      <c r="H38" s="206">
        <v>10</v>
      </c>
      <c r="I38" s="206">
        <v>51</v>
      </c>
      <c r="J38" s="206" t="s">
        <v>483</v>
      </c>
      <c r="K38" s="206">
        <v>3</v>
      </c>
      <c r="L38" s="206"/>
      <c r="M38" s="3" t="str">
        <f t="shared" ca="1" si="1"/>
        <v>Inactif</v>
      </c>
      <c r="N38" s="206" t="s">
        <v>529</v>
      </c>
      <c r="O38" s="421" t="s">
        <v>530</v>
      </c>
      <c r="P38" s="421" t="s">
        <v>148</v>
      </c>
      <c r="Q38" s="206"/>
      <c r="R38" s="421"/>
      <c r="S38" s="421" t="str">
        <f>_xlfn.CONCAT(B38,"-",Tableau8[[#This Row],[To]])</f>
        <v>761-45657</v>
      </c>
      <c r="T38" s="517">
        <v>46049</v>
      </c>
    </row>
    <row r="39" spans="1:20" ht="21" customHeight="1">
      <c r="A39" s="516" t="str">
        <f t="shared" ca="1" si="0"/>
        <v>761-Inactif</v>
      </c>
      <c r="B39" s="206">
        <v>761</v>
      </c>
      <c r="C39" s="459">
        <v>45139</v>
      </c>
      <c r="D39" s="459">
        <v>45412</v>
      </c>
      <c r="E39" s="206" t="s">
        <v>524</v>
      </c>
      <c r="F39" s="206" t="s">
        <v>290</v>
      </c>
      <c r="G39" s="206">
        <v>5</v>
      </c>
      <c r="H39" s="206">
        <v>10</v>
      </c>
      <c r="I39" s="206">
        <v>60</v>
      </c>
      <c r="J39" s="206" t="s">
        <v>483</v>
      </c>
      <c r="K39" s="206"/>
      <c r="L39" s="206"/>
      <c r="M39" s="3" t="str">
        <f t="shared" ca="1" si="1"/>
        <v>Inactif</v>
      </c>
      <c r="N39" s="206" t="s">
        <v>529</v>
      </c>
      <c r="O39" s="421" t="s">
        <v>530</v>
      </c>
      <c r="P39" s="421" t="s">
        <v>148</v>
      </c>
      <c r="Q39" s="206"/>
      <c r="R39" s="421"/>
      <c r="S39" s="421" t="str">
        <f>_xlfn.CONCAT(B39,"-",Tableau8[[#This Row],[To]])</f>
        <v>761-45412</v>
      </c>
      <c r="T39" s="517">
        <v>46049</v>
      </c>
    </row>
    <row r="40" spans="1:20" ht="21" customHeight="1">
      <c r="A40" s="516" t="str">
        <f t="shared" ca="1" si="0"/>
        <v>761-Inactif</v>
      </c>
      <c r="B40" s="206">
        <v>761</v>
      </c>
      <c r="C40" s="453">
        <v>45778</v>
      </c>
      <c r="D40" s="453">
        <v>46142</v>
      </c>
      <c r="E40" s="206" t="s">
        <v>524</v>
      </c>
      <c r="F40" s="206" t="s">
        <v>320</v>
      </c>
      <c r="G40" s="206">
        <v>4</v>
      </c>
      <c r="H40" s="206">
        <v>6</v>
      </c>
      <c r="I40" s="206">
        <v>37</v>
      </c>
      <c r="J40" s="206" t="s">
        <v>483</v>
      </c>
      <c r="K40" s="206">
        <v>3</v>
      </c>
      <c r="L40" s="206">
        <v>7</v>
      </c>
      <c r="M40" s="3" t="str">
        <f t="shared" ca="1" si="1"/>
        <v>Inactif</v>
      </c>
      <c r="N40" s="206" t="s">
        <v>275</v>
      </c>
      <c r="O40" s="421" t="s">
        <v>486</v>
      </c>
      <c r="P40" s="421" t="s">
        <v>148</v>
      </c>
      <c r="Q40" s="206">
        <v>14</v>
      </c>
      <c r="R40" s="206" t="s">
        <v>487</v>
      </c>
      <c r="S40" s="421" t="str">
        <f>_xlfn.CONCAT(B40,"-",Tableau8[[#This Row],[To]])</f>
        <v>761-46142</v>
      </c>
      <c r="T40" s="517">
        <v>46049</v>
      </c>
    </row>
    <row r="41" spans="1:20" ht="21" customHeight="1">
      <c r="A41" s="516" t="str">
        <f t="shared" ca="1" si="0"/>
        <v>761-Actif</v>
      </c>
      <c r="B41" s="206">
        <v>761</v>
      </c>
      <c r="C41" s="453">
        <v>46143</v>
      </c>
      <c r="D41" s="453">
        <v>46507</v>
      </c>
      <c r="E41" s="206" t="s">
        <v>524</v>
      </c>
      <c r="F41" s="206" t="s">
        <v>259</v>
      </c>
      <c r="G41" s="206">
        <v>5</v>
      </c>
      <c r="H41" s="206">
        <v>7</v>
      </c>
      <c r="I41" s="206">
        <v>38</v>
      </c>
      <c r="J41" s="206" t="s">
        <v>483</v>
      </c>
      <c r="K41" s="206">
        <v>3</v>
      </c>
      <c r="L41" s="206">
        <v>7</v>
      </c>
      <c r="M41" s="3" t="str">
        <f t="shared" ca="1" si="1"/>
        <v>Actif</v>
      </c>
      <c r="N41" s="206" t="s">
        <v>275</v>
      </c>
      <c r="O41" s="421" t="s">
        <v>501</v>
      </c>
      <c r="P41" s="421" t="s">
        <v>148</v>
      </c>
      <c r="Q41" s="206"/>
      <c r="R41" s="206"/>
      <c r="S41" s="421" t="str">
        <f>_xlfn.CONCAT(B41,"-",Tableau8[[#This Row],[To]])</f>
        <v>761-46507</v>
      </c>
      <c r="T41" s="527">
        <v>46091</v>
      </c>
    </row>
    <row r="42" spans="1:20" ht="21" customHeight="1">
      <c r="A42" s="516" t="str">
        <f t="shared" ca="1" si="0"/>
        <v>801-Inactif</v>
      </c>
      <c r="B42" s="206">
        <v>801</v>
      </c>
      <c r="C42" s="453">
        <v>46006</v>
      </c>
      <c r="D42" s="453">
        <v>46142</v>
      </c>
      <c r="E42" s="206" t="s">
        <v>531</v>
      </c>
      <c r="F42" s="206" t="s">
        <v>484</v>
      </c>
      <c r="G42" s="206">
        <v>4</v>
      </c>
      <c r="H42" s="206">
        <v>6</v>
      </c>
      <c r="I42" s="206">
        <v>41</v>
      </c>
      <c r="J42" s="206" t="s">
        <v>496</v>
      </c>
      <c r="K42" s="206">
        <v>3</v>
      </c>
      <c r="L42" s="206">
        <v>7</v>
      </c>
      <c r="M42" s="3" t="str">
        <f t="shared" ca="1" si="1"/>
        <v>Inactif</v>
      </c>
      <c r="N42" s="206" t="s">
        <v>275</v>
      </c>
      <c r="O42" s="421" t="s">
        <v>486</v>
      </c>
      <c r="P42" s="421" t="s">
        <v>157</v>
      </c>
      <c r="Q42" s="206">
        <v>14</v>
      </c>
      <c r="R42" s="206" t="s">
        <v>487</v>
      </c>
      <c r="S42" s="421" t="str">
        <f>_xlfn.CONCAT(B42,"-",Tableau8[[#This Row],[To]])</f>
        <v>801-46142</v>
      </c>
      <c r="T42" s="517">
        <v>46049</v>
      </c>
    </row>
    <row r="43" spans="1:20" ht="21" customHeight="1">
      <c r="A43" s="516" t="str">
        <f t="shared" ca="1" si="0"/>
        <v>801-Inactif</v>
      </c>
      <c r="B43" s="206">
        <v>801</v>
      </c>
      <c r="C43" s="453">
        <v>45778</v>
      </c>
      <c r="D43" s="453">
        <v>46005</v>
      </c>
      <c r="E43" s="206" t="s">
        <v>531</v>
      </c>
      <c r="F43" s="208" t="s">
        <v>484</v>
      </c>
      <c r="G43" s="206">
        <v>4</v>
      </c>
      <c r="H43" s="206">
        <v>6</v>
      </c>
      <c r="I43" s="206">
        <v>41</v>
      </c>
      <c r="J43" s="206" t="s">
        <v>496</v>
      </c>
      <c r="K43" s="206">
        <v>3</v>
      </c>
      <c r="L43" s="206">
        <v>14</v>
      </c>
      <c r="M43" s="3" t="str">
        <f t="shared" ca="1" si="1"/>
        <v>Inactif</v>
      </c>
      <c r="N43" s="206" t="s">
        <v>275</v>
      </c>
      <c r="O43" s="421" t="s">
        <v>486</v>
      </c>
      <c r="P43" s="421" t="s">
        <v>157</v>
      </c>
      <c r="Q43" s="206">
        <v>14</v>
      </c>
      <c r="R43" s="206" t="s">
        <v>487</v>
      </c>
      <c r="S43" s="421" t="str">
        <f>_xlfn.CONCAT(B43,"-",Tableau8[[#This Row],[To]])</f>
        <v>801-46005</v>
      </c>
      <c r="T43" s="517">
        <v>46049</v>
      </c>
    </row>
    <row r="44" spans="1:20" ht="21" customHeight="1">
      <c r="A44" s="516" t="str">
        <f t="shared" ca="1" si="0"/>
        <v>801-Inactif</v>
      </c>
      <c r="B44" s="206">
        <v>801</v>
      </c>
      <c r="C44" s="453">
        <v>45566</v>
      </c>
      <c r="D44" s="453">
        <v>45777</v>
      </c>
      <c r="E44" s="206" t="s">
        <v>531</v>
      </c>
      <c r="F44" s="206" t="s">
        <v>259</v>
      </c>
      <c r="G44" s="206">
        <v>2</v>
      </c>
      <c r="H44" s="206">
        <v>4</v>
      </c>
      <c r="I44" s="206">
        <v>50</v>
      </c>
      <c r="J44" s="206" t="s">
        <v>496</v>
      </c>
      <c r="K44" s="206">
        <v>3</v>
      </c>
      <c r="L44" s="206">
        <v>0</v>
      </c>
      <c r="M44" s="3" t="str">
        <f t="shared" ca="1" si="1"/>
        <v>Inactif</v>
      </c>
      <c r="N44" s="206" t="s">
        <v>275</v>
      </c>
      <c r="O44" s="421" t="s">
        <v>532</v>
      </c>
      <c r="P44" s="421" t="s">
        <v>157</v>
      </c>
      <c r="Q44" s="206">
        <v>14</v>
      </c>
      <c r="R44" s="421"/>
      <c r="S44" s="421" t="str">
        <f>_xlfn.CONCAT(B44,"-",Tableau8[[#This Row],[To]])</f>
        <v>801-45777</v>
      </c>
      <c r="T44" s="517">
        <v>46049</v>
      </c>
    </row>
    <row r="45" spans="1:20" ht="21" customHeight="1">
      <c r="A45" s="516" t="str">
        <f t="shared" ca="1" si="0"/>
        <v>801-Inactif</v>
      </c>
      <c r="B45" s="206">
        <v>801</v>
      </c>
      <c r="C45" s="453">
        <v>45474</v>
      </c>
      <c r="D45" s="453">
        <v>45565</v>
      </c>
      <c r="E45" s="206" t="s">
        <v>531</v>
      </c>
      <c r="F45" s="206" t="s">
        <v>259</v>
      </c>
      <c r="G45" s="206">
        <v>1</v>
      </c>
      <c r="H45" s="206">
        <v>3</v>
      </c>
      <c r="I45" s="206">
        <v>41</v>
      </c>
      <c r="J45" s="206" t="s">
        <v>496</v>
      </c>
      <c r="K45" s="206">
        <v>3</v>
      </c>
      <c r="L45" s="206">
        <v>7</v>
      </c>
      <c r="M45" s="3" t="str">
        <f t="shared" ca="1" si="1"/>
        <v>Inactif</v>
      </c>
      <c r="N45" s="206" t="s">
        <v>275</v>
      </c>
      <c r="O45" s="421" t="s">
        <v>499</v>
      </c>
      <c r="P45" s="421" t="s">
        <v>157</v>
      </c>
      <c r="Q45" s="206">
        <v>14</v>
      </c>
      <c r="R45" s="421"/>
      <c r="S45" s="421" t="str">
        <f>_xlfn.CONCAT(B45,"-",Tableau8[[#This Row],[To]])</f>
        <v>801-45565</v>
      </c>
      <c r="T45" s="517">
        <v>46049</v>
      </c>
    </row>
    <row r="46" spans="1:20" ht="21" customHeight="1">
      <c r="A46" s="516" t="str">
        <f t="shared" ca="1" si="0"/>
        <v>801-Inactif</v>
      </c>
      <c r="B46" s="206">
        <v>801</v>
      </c>
      <c r="C46" s="453">
        <v>44949</v>
      </c>
      <c r="D46" s="453">
        <v>45473</v>
      </c>
      <c r="E46" s="206" t="s">
        <v>531</v>
      </c>
      <c r="F46" s="206" t="s">
        <v>259</v>
      </c>
      <c r="G46" s="206">
        <v>3</v>
      </c>
      <c r="H46" s="206">
        <v>5</v>
      </c>
      <c r="I46" s="206">
        <v>38</v>
      </c>
      <c r="J46" s="206" t="s">
        <v>496</v>
      </c>
      <c r="K46" s="206">
        <v>3</v>
      </c>
      <c r="L46" s="206">
        <v>0</v>
      </c>
      <c r="M46" s="3" t="str">
        <f t="shared" ca="1" si="1"/>
        <v>Inactif</v>
      </c>
      <c r="N46" s="206" t="s">
        <v>275</v>
      </c>
      <c r="O46" s="421" t="s">
        <v>533</v>
      </c>
      <c r="P46" s="421" t="s">
        <v>157</v>
      </c>
      <c r="Q46" s="460">
        <v>32</v>
      </c>
      <c r="R46" s="421"/>
      <c r="S46" s="421" t="str">
        <f>_xlfn.CONCAT(B46,"-",Tableau8[[#This Row],[To]])</f>
        <v>801-45473</v>
      </c>
      <c r="T46" s="517">
        <v>46049</v>
      </c>
    </row>
    <row r="47" spans="1:20" ht="21" customHeight="1">
      <c r="A47" s="516" t="str">
        <f t="shared" ca="1" si="0"/>
        <v>801-Actif</v>
      </c>
      <c r="B47" s="206">
        <v>801</v>
      </c>
      <c r="C47" s="453">
        <v>46143</v>
      </c>
      <c r="D47" s="453">
        <v>46507</v>
      </c>
      <c r="E47" s="206" t="s">
        <v>531</v>
      </c>
      <c r="F47" s="206" t="s">
        <v>290</v>
      </c>
      <c r="G47" s="206">
        <v>4</v>
      </c>
      <c r="H47" s="206">
        <v>6</v>
      </c>
      <c r="I47" s="206">
        <v>43</v>
      </c>
      <c r="J47" s="206" t="s">
        <v>496</v>
      </c>
      <c r="K47" s="206">
        <v>3</v>
      </c>
      <c r="L47" s="206">
        <v>7</v>
      </c>
      <c r="M47" s="3" t="str">
        <f t="shared" ca="1" si="1"/>
        <v>Actif</v>
      </c>
      <c r="N47" s="206" t="s">
        <v>492</v>
      </c>
      <c r="O47" s="421" t="s">
        <v>493</v>
      </c>
      <c r="P47" s="421" t="s">
        <v>157</v>
      </c>
      <c r="Q47" s="206">
        <v>14</v>
      </c>
      <c r="R47" s="206" t="s">
        <v>494</v>
      </c>
      <c r="S47" s="421" t="str">
        <f>_xlfn.CONCAT(B47,"-",Tableau8[[#This Row],[To]])</f>
        <v>801-46507</v>
      </c>
      <c r="T47" s="527">
        <v>46100</v>
      </c>
    </row>
    <row r="48" spans="1:20" ht="21" customHeight="1">
      <c r="A48" s="516" t="str">
        <f t="shared" ca="1" si="0"/>
        <v>866-Inactif</v>
      </c>
      <c r="B48" s="206">
        <v>866</v>
      </c>
      <c r="C48" s="453">
        <v>45748</v>
      </c>
      <c r="D48" s="453">
        <v>46142</v>
      </c>
      <c r="E48" s="206" t="s">
        <v>524</v>
      </c>
      <c r="F48" s="206" t="s">
        <v>259</v>
      </c>
      <c r="G48" s="206">
        <v>3</v>
      </c>
      <c r="H48" s="206">
        <v>6</v>
      </c>
      <c r="I48" s="206">
        <v>43</v>
      </c>
      <c r="J48" s="206" t="s">
        <v>534</v>
      </c>
      <c r="K48" s="206">
        <v>3</v>
      </c>
      <c r="L48" s="206">
        <v>1</v>
      </c>
      <c r="M48" s="3" t="str">
        <f t="shared" ca="1" si="1"/>
        <v>Inactif</v>
      </c>
      <c r="N48" s="206" t="s">
        <v>275</v>
      </c>
      <c r="O48" s="421" t="s">
        <v>535</v>
      </c>
      <c r="P48" s="421" t="s">
        <v>148</v>
      </c>
      <c r="Q48" s="206"/>
      <c r="R48" s="206"/>
      <c r="S48" s="421" t="str">
        <f>_xlfn.CONCAT(B48,"-",Tableau8[[#This Row],[To]])</f>
        <v>866-46142</v>
      </c>
      <c r="T48" s="517">
        <v>46049</v>
      </c>
    </row>
    <row r="49" spans="1:20" ht="21" customHeight="1">
      <c r="A49" s="516" t="str">
        <f t="shared" ca="1" si="0"/>
        <v>866-Actif</v>
      </c>
      <c r="B49" s="206">
        <v>866</v>
      </c>
      <c r="C49" s="453">
        <v>46143</v>
      </c>
      <c r="D49" s="453">
        <v>46507</v>
      </c>
      <c r="E49" s="206" t="s">
        <v>524</v>
      </c>
      <c r="F49" s="206" t="s">
        <v>301</v>
      </c>
      <c r="G49" s="206">
        <v>5</v>
      </c>
      <c r="H49" s="206">
        <v>7</v>
      </c>
      <c r="I49" s="206">
        <v>41</v>
      </c>
      <c r="J49" s="206" t="s">
        <v>536</v>
      </c>
      <c r="K49" s="206">
        <v>3</v>
      </c>
      <c r="L49" s="206">
        <v>7</v>
      </c>
      <c r="M49" s="3" t="str">
        <f t="shared" ca="1" si="1"/>
        <v>Actif</v>
      </c>
      <c r="N49" s="206" t="s">
        <v>275</v>
      </c>
      <c r="O49" s="421" t="s">
        <v>501</v>
      </c>
      <c r="P49" s="421" t="s">
        <v>148</v>
      </c>
      <c r="Q49" s="206"/>
      <c r="R49" s="206"/>
      <c r="S49" s="421" t="str">
        <f>_xlfn.CONCAT(B49,"-",Tableau8[[#This Row],[To]])</f>
        <v>866-46507</v>
      </c>
      <c r="T49" s="527">
        <v>46091</v>
      </c>
    </row>
    <row r="50" spans="1:20" ht="21" customHeight="1">
      <c r="A50" s="516" t="str">
        <f t="shared" ca="1" si="0"/>
        <v>888-Inactif</v>
      </c>
      <c r="B50" s="206">
        <v>888</v>
      </c>
      <c r="C50" s="453">
        <v>45778</v>
      </c>
      <c r="D50" s="453">
        <v>46142</v>
      </c>
      <c r="E50" s="206" t="s">
        <v>524</v>
      </c>
      <c r="F50" s="206" t="s">
        <v>259</v>
      </c>
      <c r="G50" s="206">
        <v>1</v>
      </c>
      <c r="H50" s="206">
        <v>4</v>
      </c>
      <c r="I50" s="206">
        <v>17</v>
      </c>
      <c r="J50" s="206" t="s">
        <v>537</v>
      </c>
      <c r="K50" s="206">
        <v>3</v>
      </c>
      <c r="L50" s="206">
        <v>7</v>
      </c>
      <c r="M50" s="3" t="str">
        <f t="shared" ca="1" si="1"/>
        <v>Inactif</v>
      </c>
      <c r="N50" s="206" t="s">
        <v>275</v>
      </c>
      <c r="O50" s="421" t="s">
        <v>538</v>
      </c>
      <c r="P50" s="421" t="s">
        <v>148</v>
      </c>
      <c r="Q50" s="206">
        <v>14</v>
      </c>
      <c r="R50" s="206"/>
      <c r="S50" s="421" t="str">
        <f>_xlfn.CONCAT(B50,"-",Tableau8[[#This Row],[To]])</f>
        <v>888-46142</v>
      </c>
      <c r="T50" s="517">
        <v>46049</v>
      </c>
    </row>
    <row r="51" spans="1:20" ht="21" customHeight="1">
      <c r="A51" s="516" t="str">
        <f t="shared" ca="1" si="0"/>
        <v>888-Actif</v>
      </c>
      <c r="B51" s="206">
        <v>888</v>
      </c>
      <c r="C51" s="453">
        <v>46143</v>
      </c>
      <c r="D51" s="453">
        <v>46507</v>
      </c>
      <c r="E51" s="206" t="s">
        <v>524</v>
      </c>
      <c r="F51" s="206" t="s">
        <v>301</v>
      </c>
      <c r="G51" s="206">
        <v>1</v>
      </c>
      <c r="H51" s="206">
        <v>3</v>
      </c>
      <c r="I51" s="206">
        <v>16</v>
      </c>
      <c r="J51" s="206" t="s">
        <v>537</v>
      </c>
      <c r="K51" s="206">
        <v>3</v>
      </c>
      <c r="L51" s="206">
        <v>7</v>
      </c>
      <c r="M51" s="3" t="str">
        <f t="shared" ca="1" si="1"/>
        <v>Actif</v>
      </c>
      <c r="N51" s="206" t="s">
        <v>275</v>
      </c>
      <c r="O51" s="421" t="s">
        <v>501</v>
      </c>
      <c r="P51" s="421" t="s">
        <v>148</v>
      </c>
      <c r="Q51" s="206"/>
      <c r="R51" s="206"/>
      <c r="S51" s="421" t="str">
        <f>_xlfn.CONCAT(B51,"-",Tableau8[[#This Row],[To]])</f>
        <v>888-46507</v>
      </c>
      <c r="T51" s="527">
        <v>46091</v>
      </c>
    </row>
    <row r="52" spans="1:20" ht="21" customHeight="1">
      <c r="A52" s="516" t="str">
        <f t="shared" ca="1" si="0"/>
        <v>900-Actif</v>
      </c>
      <c r="B52" s="206">
        <v>900</v>
      </c>
      <c r="C52" s="453">
        <v>46143</v>
      </c>
      <c r="D52" s="453">
        <v>46507</v>
      </c>
      <c r="E52" s="206" t="s">
        <v>539</v>
      </c>
      <c r="F52" s="206" t="s">
        <v>259</v>
      </c>
      <c r="G52" s="206">
        <v>6</v>
      </c>
      <c r="H52" s="206">
        <v>9</v>
      </c>
      <c r="I52" s="206">
        <v>17</v>
      </c>
      <c r="J52" s="206" t="s">
        <v>525</v>
      </c>
      <c r="K52" s="206">
        <v>3</v>
      </c>
      <c r="L52" s="206">
        <v>7</v>
      </c>
      <c r="M52" s="3" t="str">
        <f t="shared" ca="1" si="1"/>
        <v>Actif</v>
      </c>
      <c r="N52" s="206" t="s">
        <v>540</v>
      </c>
      <c r="O52" s="421" t="s">
        <v>541</v>
      </c>
      <c r="P52" s="421" t="s">
        <v>144</v>
      </c>
      <c r="Q52" s="206">
        <v>3</v>
      </c>
      <c r="R52" s="538" t="s">
        <v>487</v>
      </c>
      <c r="S52" s="421" t="str">
        <f>_xlfn.CONCAT(B52,"-",Tableau8[[#This Row],[To]])</f>
        <v>900-46507</v>
      </c>
      <c r="T52" s="517">
        <v>46111</v>
      </c>
    </row>
    <row r="53" spans="1:20" ht="21" customHeight="1">
      <c r="A53" s="516" t="str">
        <f t="shared" ca="1" si="0"/>
        <v>900-Inactif</v>
      </c>
      <c r="B53" s="206">
        <v>900</v>
      </c>
      <c r="C53" s="453">
        <v>46082</v>
      </c>
      <c r="D53" s="453">
        <v>46142</v>
      </c>
      <c r="E53" s="206" t="s">
        <v>539</v>
      </c>
      <c r="F53" s="206" t="s">
        <v>259</v>
      </c>
      <c r="G53" s="206">
        <v>4</v>
      </c>
      <c r="H53" s="206">
        <v>6</v>
      </c>
      <c r="I53" s="206">
        <v>23</v>
      </c>
      <c r="J53" s="206" t="s">
        <v>525</v>
      </c>
      <c r="K53" s="206">
        <v>3</v>
      </c>
      <c r="L53" s="206">
        <v>7</v>
      </c>
      <c r="M53" s="3" t="str">
        <f t="shared" ca="1" si="1"/>
        <v>Inactif</v>
      </c>
      <c r="N53" s="206" t="s">
        <v>540</v>
      </c>
      <c r="O53" s="421" t="s">
        <v>542</v>
      </c>
      <c r="P53" s="421" t="s">
        <v>144</v>
      </c>
      <c r="Q53" s="206">
        <v>3</v>
      </c>
      <c r="R53" s="206" t="s">
        <v>487</v>
      </c>
      <c r="S53" s="421" t="str">
        <f>_xlfn.CONCAT(B53,"-",Tableau8[[#This Row],[To]])</f>
        <v>900-46142</v>
      </c>
      <c r="T53" s="517">
        <v>46079</v>
      </c>
    </row>
    <row r="54" spans="1:20" ht="21" customHeight="1">
      <c r="A54" s="516" t="str">
        <f t="shared" ca="1" si="0"/>
        <v>900-Inactif</v>
      </c>
      <c r="B54" s="206">
        <v>900</v>
      </c>
      <c r="C54" s="453">
        <v>45778</v>
      </c>
      <c r="D54" s="453">
        <v>46081</v>
      </c>
      <c r="E54" s="206" t="s">
        <v>539</v>
      </c>
      <c r="F54" s="206" t="s">
        <v>259</v>
      </c>
      <c r="G54" s="206">
        <v>4</v>
      </c>
      <c r="H54" s="206">
        <v>6</v>
      </c>
      <c r="I54" s="206">
        <v>23</v>
      </c>
      <c r="J54" s="206" t="s">
        <v>525</v>
      </c>
      <c r="K54" s="206">
        <v>3</v>
      </c>
      <c r="L54" s="206"/>
      <c r="M54" s="3" t="str">
        <f t="shared" ca="1" si="1"/>
        <v>Inactif</v>
      </c>
      <c r="N54" s="206" t="s">
        <v>260</v>
      </c>
      <c r="O54" s="421" t="s">
        <v>486</v>
      </c>
      <c r="P54" s="421" t="s">
        <v>144</v>
      </c>
      <c r="Q54" s="206">
        <v>3</v>
      </c>
      <c r="R54" s="206" t="s">
        <v>487</v>
      </c>
      <c r="S54" s="421" t="str">
        <f>_xlfn.CONCAT(B54,"-",Tableau8[[#This Row],[To]])</f>
        <v>900-46081</v>
      </c>
      <c r="T54" s="517">
        <v>46049</v>
      </c>
    </row>
    <row r="55" spans="1:20" ht="21" customHeight="1">
      <c r="A55" s="516" t="str">
        <f t="shared" ca="1" si="0"/>
        <v>900-Inactif</v>
      </c>
      <c r="B55" s="206">
        <v>900</v>
      </c>
      <c r="C55" s="453">
        <v>45474</v>
      </c>
      <c r="D55" s="453">
        <v>45777</v>
      </c>
      <c r="E55" s="206" t="s">
        <v>539</v>
      </c>
      <c r="F55" s="206" t="s">
        <v>543</v>
      </c>
      <c r="G55" s="206">
        <v>4</v>
      </c>
      <c r="H55" s="206">
        <v>6</v>
      </c>
      <c r="I55" s="206">
        <v>18</v>
      </c>
      <c r="J55" s="206" t="s">
        <v>525</v>
      </c>
      <c r="K55" s="206">
        <v>3</v>
      </c>
      <c r="L55" s="206">
        <v>0</v>
      </c>
      <c r="M55" s="3" t="str">
        <f t="shared" ca="1" si="1"/>
        <v>Inactif</v>
      </c>
      <c r="N55" s="206" t="s">
        <v>260</v>
      </c>
      <c r="O55" s="421" t="s">
        <v>544</v>
      </c>
      <c r="P55" s="421" t="s">
        <v>144</v>
      </c>
      <c r="Q55" s="206">
        <v>3</v>
      </c>
      <c r="R55" s="421"/>
      <c r="S55" s="421" t="str">
        <f>_xlfn.CONCAT(B55,"-",Tableau8[[#This Row],[To]])</f>
        <v>900-45777</v>
      </c>
      <c r="T55" s="517">
        <v>46049</v>
      </c>
    </row>
    <row r="56" spans="1:20" ht="21" customHeight="1">
      <c r="A56" s="516" t="str">
        <f t="shared" ca="1" si="0"/>
        <v>900-Inactif</v>
      </c>
      <c r="B56" s="206">
        <v>900</v>
      </c>
      <c r="C56" s="453">
        <v>45413</v>
      </c>
      <c r="D56" s="453">
        <v>45473</v>
      </c>
      <c r="E56" s="206" t="s">
        <v>539</v>
      </c>
      <c r="F56" s="206" t="s">
        <v>543</v>
      </c>
      <c r="G56" s="206">
        <v>4</v>
      </c>
      <c r="H56" s="206">
        <v>6</v>
      </c>
      <c r="I56" s="206">
        <v>18</v>
      </c>
      <c r="J56" s="206" t="s">
        <v>525</v>
      </c>
      <c r="K56" s="206">
        <v>3</v>
      </c>
      <c r="L56" s="206">
        <v>7</v>
      </c>
      <c r="M56" s="3" t="str">
        <f t="shared" ca="1" si="1"/>
        <v>Inactif</v>
      </c>
      <c r="N56" s="206" t="s">
        <v>260</v>
      </c>
      <c r="O56" s="421" t="s">
        <v>545</v>
      </c>
      <c r="P56" s="421" t="s">
        <v>144</v>
      </c>
      <c r="Q56" s="206"/>
      <c r="R56" s="421"/>
      <c r="S56" s="421" t="str">
        <f>_xlfn.CONCAT(B56,"-",Tableau8[[#This Row],[To]])</f>
        <v>900-45473</v>
      </c>
      <c r="T56" s="517">
        <v>46049</v>
      </c>
    </row>
    <row r="57" spans="1:20" ht="21" customHeight="1">
      <c r="A57" s="516" t="str">
        <f t="shared" ca="1" si="0"/>
        <v>900-Inactif</v>
      </c>
      <c r="B57" s="206">
        <v>900</v>
      </c>
      <c r="C57" s="453">
        <v>45046</v>
      </c>
      <c r="D57" s="453">
        <v>45412</v>
      </c>
      <c r="E57" s="206" t="s">
        <v>539</v>
      </c>
      <c r="F57" s="206" t="s">
        <v>290</v>
      </c>
      <c r="G57" s="206">
        <v>3</v>
      </c>
      <c r="H57" s="206">
        <v>6</v>
      </c>
      <c r="I57" s="206">
        <v>19</v>
      </c>
      <c r="J57" s="206" t="s">
        <v>525</v>
      </c>
      <c r="K57" s="206">
        <v>3</v>
      </c>
      <c r="L57" s="206">
        <v>0</v>
      </c>
      <c r="M57" s="3" t="str">
        <f t="shared" ca="1" si="1"/>
        <v>Inactif</v>
      </c>
      <c r="N57" s="206" t="s">
        <v>260</v>
      </c>
      <c r="O57" s="421" t="s">
        <v>546</v>
      </c>
      <c r="P57" s="421" t="s">
        <v>144</v>
      </c>
      <c r="Q57" s="206"/>
      <c r="R57" s="421"/>
      <c r="S57" s="421" t="str">
        <f>_xlfn.CONCAT(B57,"-",Tableau8[[#This Row],[To]])</f>
        <v>900-45412</v>
      </c>
      <c r="T57" s="517">
        <v>46049</v>
      </c>
    </row>
    <row r="58" spans="1:20" ht="21" customHeight="1">
      <c r="A58" s="516" t="str">
        <f t="shared" ca="1" si="0"/>
        <v>901-Inactif</v>
      </c>
      <c r="B58" s="206">
        <v>901</v>
      </c>
      <c r="C58" s="453">
        <v>45046</v>
      </c>
      <c r="D58" s="453">
        <v>45412</v>
      </c>
      <c r="E58" s="206" t="s">
        <v>525</v>
      </c>
      <c r="F58" s="206" t="s">
        <v>259</v>
      </c>
      <c r="G58" s="206">
        <v>2</v>
      </c>
      <c r="H58" s="206">
        <v>4</v>
      </c>
      <c r="I58" s="206">
        <v>43</v>
      </c>
      <c r="J58" s="206" t="s">
        <v>547</v>
      </c>
      <c r="K58" s="206">
        <v>3</v>
      </c>
      <c r="L58" s="206">
        <v>0</v>
      </c>
      <c r="M58" s="3" t="str">
        <f t="shared" ca="1" si="1"/>
        <v>Inactif</v>
      </c>
      <c r="N58" s="206" t="s">
        <v>275</v>
      </c>
      <c r="O58" s="421" t="s">
        <v>546</v>
      </c>
      <c r="P58" s="421" t="s">
        <v>144</v>
      </c>
      <c r="Q58" s="206"/>
      <c r="R58" s="421"/>
      <c r="S58" s="421" t="str">
        <f>_xlfn.CONCAT(B58,"-",Tableau8[[#This Row],[To]])</f>
        <v>901-45412</v>
      </c>
      <c r="T58" s="517">
        <v>46049</v>
      </c>
    </row>
    <row r="59" spans="1:20" ht="21" customHeight="1">
      <c r="A59" s="516" t="str">
        <f t="shared" ca="1" si="0"/>
        <v>901-Inactif</v>
      </c>
      <c r="B59" s="206">
        <v>901</v>
      </c>
      <c r="C59" s="453">
        <v>45778</v>
      </c>
      <c r="D59" s="453">
        <v>46142</v>
      </c>
      <c r="E59" s="206" t="s">
        <v>525</v>
      </c>
      <c r="F59" s="206" t="s">
        <v>259</v>
      </c>
      <c r="G59" s="206">
        <v>4</v>
      </c>
      <c r="H59" s="206">
        <v>6</v>
      </c>
      <c r="I59" s="206">
        <v>43</v>
      </c>
      <c r="J59" s="206" t="s">
        <v>547</v>
      </c>
      <c r="K59" s="206">
        <v>3</v>
      </c>
      <c r="L59" s="206"/>
      <c r="M59" s="3" t="str">
        <f t="shared" ca="1" si="1"/>
        <v>Inactif</v>
      </c>
      <c r="N59" s="206" t="s">
        <v>517</v>
      </c>
      <c r="O59" s="421" t="s">
        <v>486</v>
      </c>
      <c r="P59" s="421" t="s">
        <v>144</v>
      </c>
      <c r="Q59" s="206">
        <v>7</v>
      </c>
      <c r="R59" s="206" t="s">
        <v>487</v>
      </c>
      <c r="S59" s="421" t="str">
        <f>_xlfn.CONCAT(B59,"-",Tableau8[[#This Row],[To]])</f>
        <v>901-46142</v>
      </c>
      <c r="T59" s="517">
        <v>46049</v>
      </c>
    </row>
    <row r="60" spans="1:20" ht="21" customHeight="1">
      <c r="A60" s="516" t="str">
        <f t="shared" ca="1" si="0"/>
        <v>901-Inactif</v>
      </c>
      <c r="B60" s="206">
        <v>901</v>
      </c>
      <c r="C60" s="453">
        <v>45474</v>
      </c>
      <c r="D60" s="453">
        <v>45777</v>
      </c>
      <c r="E60" s="206" t="s">
        <v>525</v>
      </c>
      <c r="F60" s="206" t="s">
        <v>259</v>
      </c>
      <c r="G60" s="206">
        <v>4</v>
      </c>
      <c r="H60" s="206">
        <v>6</v>
      </c>
      <c r="I60" s="206">
        <v>43</v>
      </c>
      <c r="J60" s="206" t="s">
        <v>547</v>
      </c>
      <c r="K60" s="206">
        <v>3</v>
      </c>
      <c r="L60" s="206">
        <v>0</v>
      </c>
      <c r="M60" s="3" t="str">
        <f t="shared" ca="1" si="1"/>
        <v>Inactif</v>
      </c>
      <c r="N60" s="206" t="s">
        <v>517</v>
      </c>
      <c r="O60" s="421" t="s">
        <v>548</v>
      </c>
      <c r="P60" s="421" t="s">
        <v>144</v>
      </c>
      <c r="Q60" s="206">
        <v>7</v>
      </c>
      <c r="R60" s="421"/>
      <c r="S60" s="421" t="str">
        <f>_xlfn.CONCAT(B60,"-",Tableau8[[#This Row],[To]])</f>
        <v>901-45777</v>
      </c>
      <c r="T60" s="517">
        <v>46049</v>
      </c>
    </row>
    <row r="61" spans="1:20" ht="21" customHeight="1">
      <c r="A61" s="516" t="str">
        <f t="shared" ca="1" si="0"/>
        <v>901-Inactif</v>
      </c>
      <c r="B61" s="206">
        <v>901</v>
      </c>
      <c r="C61" s="453">
        <v>45413</v>
      </c>
      <c r="D61" s="453">
        <v>45473</v>
      </c>
      <c r="E61" s="206" t="s">
        <v>525</v>
      </c>
      <c r="F61" s="206" t="s">
        <v>259</v>
      </c>
      <c r="G61" s="206">
        <v>4</v>
      </c>
      <c r="H61" s="206">
        <v>6</v>
      </c>
      <c r="I61" s="206">
        <v>31</v>
      </c>
      <c r="J61" s="206" t="s">
        <v>547</v>
      </c>
      <c r="K61" s="206">
        <v>3</v>
      </c>
      <c r="L61" s="206">
        <v>0</v>
      </c>
      <c r="M61" s="3" t="str">
        <f t="shared" ca="1" si="1"/>
        <v>Inactif</v>
      </c>
      <c r="N61" s="206" t="s">
        <v>517</v>
      </c>
      <c r="O61" s="421"/>
      <c r="P61" s="421" t="s">
        <v>144</v>
      </c>
      <c r="Q61" s="206">
        <v>0</v>
      </c>
      <c r="R61" s="421"/>
      <c r="S61" s="421" t="str">
        <f>_xlfn.CONCAT(B61,"-",Tableau8[[#This Row],[To]])</f>
        <v>901-45473</v>
      </c>
      <c r="T61" s="517">
        <v>46049</v>
      </c>
    </row>
    <row r="62" spans="1:20" ht="21" customHeight="1">
      <c r="A62" s="516" t="str">
        <f t="shared" ca="1" si="0"/>
        <v>901-Actif</v>
      </c>
      <c r="B62" s="206">
        <v>901</v>
      </c>
      <c r="C62" s="453">
        <v>46143</v>
      </c>
      <c r="D62" s="453">
        <v>46507</v>
      </c>
      <c r="E62" s="206" t="s">
        <v>525</v>
      </c>
      <c r="F62" s="206" t="s">
        <v>259</v>
      </c>
      <c r="G62" s="206">
        <v>2</v>
      </c>
      <c r="H62" s="206">
        <v>4</v>
      </c>
      <c r="I62" s="206">
        <v>49</v>
      </c>
      <c r="J62" s="206" t="s">
        <v>547</v>
      </c>
      <c r="K62" s="206">
        <v>3</v>
      </c>
      <c r="L62" s="206"/>
      <c r="M62" s="3" t="str">
        <f t="shared" ca="1" si="1"/>
        <v>Actif</v>
      </c>
      <c r="N62" s="206" t="s">
        <v>517</v>
      </c>
      <c r="O62" s="421" t="s">
        <v>549</v>
      </c>
      <c r="P62" s="421" t="s">
        <v>144</v>
      </c>
      <c r="Q62" s="206">
        <v>7</v>
      </c>
      <c r="R62" s="525" t="s">
        <v>550</v>
      </c>
      <c r="S62" s="421" t="str">
        <f>_xlfn.CONCAT(B62,"-",Tableau8[[#This Row],[To]])</f>
        <v>901-46507</v>
      </c>
      <c r="T62" s="527">
        <v>46100</v>
      </c>
    </row>
    <row r="63" spans="1:20" ht="21" customHeight="1">
      <c r="A63" s="516" t="str">
        <f t="shared" ca="1" si="0"/>
        <v>904-Inactif</v>
      </c>
      <c r="B63" s="206">
        <v>904</v>
      </c>
      <c r="C63" s="453">
        <v>45474</v>
      </c>
      <c r="D63" s="453">
        <v>45777</v>
      </c>
      <c r="E63" s="206" t="s">
        <v>496</v>
      </c>
      <c r="F63" s="206" t="s">
        <v>259</v>
      </c>
      <c r="G63" s="206">
        <v>4</v>
      </c>
      <c r="H63" s="206">
        <v>7</v>
      </c>
      <c r="I63" s="206">
        <v>53</v>
      </c>
      <c r="J63" s="206" t="s">
        <v>551</v>
      </c>
      <c r="K63" s="206">
        <v>3</v>
      </c>
      <c r="L63" s="206"/>
      <c r="M63" s="3" t="str">
        <f t="shared" ca="1" si="1"/>
        <v>Inactif</v>
      </c>
      <c r="N63" s="206" t="s">
        <v>267</v>
      </c>
      <c r="O63" s="421" t="s">
        <v>552</v>
      </c>
      <c r="P63" s="421" t="s">
        <v>144</v>
      </c>
      <c r="Q63" s="206">
        <v>9</v>
      </c>
      <c r="R63" s="206"/>
      <c r="S63" s="421" t="str">
        <f>_xlfn.CONCAT(B63,"-",Tableau8[[#This Row],[To]])</f>
        <v>904-45777</v>
      </c>
      <c r="T63" s="517">
        <v>46049</v>
      </c>
    </row>
    <row r="64" spans="1:20" ht="21" customHeight="1">
      <c r="A64" s="516" t="str">
        <f t="shared" ca="1" si="0"/>
        <v>904-Inactif</v>
      </c>
      <c r="B64" s="206">
        <v>904</v>
      </c>
      <c r="C64" s="453">
        <v>44681</v>
      </c>
      <c r="D64" s="453">
        <v>45473</v>
      </c>
      <c r="E64" s="206" t="s">
        <v>496</v>
      </c>
      <c r="F64" s="206" t="s">
        <v>259</v>
      </c>
      <c r="G64" s="206">
        <v>5</v>
      </c>
      <c r="H64" s="206">
        <v>7</v>
      </c>
      <c r="I64" s="206">
        <v>34</v>
      </c>
      <c r="J64" s="206" t="s">
        <v>551</v>
      </c>
      <c r="K64" s="206">
        <v>3</v>
      </c>
      <c r="L64" s="206">
        <v>7</v>
      </c>
      <c r="M64" s="3" t="str">
        <f t="shared" ca="1" si="1"/>
        <v>Inactif</v>
      </c>
      <c r="N64" s="206" t="s">
        <v>267</v>
      </c>
      <c r="O64" s="421" t="s">
        <v>546</v>
      </c>
      <c r="P64" s="421" t="s">
        <v>144</v>
      </c>
      <c r="Q64" s="206">
        <v>22</v>
      </c>
      <c r="R64" s="421"/>
      <c r="S64" s="421" t="str">
        <f>_xlfn.CONCAT(B64,"-",Tableau8[[#This Row],[To]])</f>
        <v>904-45473</v>
      </c>
      <c r="T64" s="517">
        <v>46049</v>
      </c>
    </row>
    <row r="65" spans="1:20" ht="21" customHeight="1">
      <c r="A65" s="516" t="str">
        <f t="shared" ca="1" si="0"/>
        <v>904-Inactif</v>
      </c>
      <c r="B65" s="206">
        <v>904</v>
      </c>
      <c r="C65" s="453">
        <v>45962</v>
      </c>
      <c r="D65" s="453">
        <v>46142</v>
      </c>
      <c r="E65" s="206" t="s">
        <v>496</v>
      </c>
      <c r="F65" s="206" t="s">
        <v>259</v>
      </c>
      <c r="G65" s="206">
        <v>5</v>
      </c>
      <c r="H65" s="206">
        <v>7</v>
      </c>
      <c r="I65" s="206">
        <v>53</v>
      </c>
      <c r="J65" s="206" t="s">
        <v>551</v>
      </c>
      <c r="K65" s="206">
        <v>3</v>
      </c>
      <c r="L65" s="206">
        <v>14</v>
      </c>
      <c r="M65" s="3" t="str">
        <f t="shared" ca="1" si="1"/>
        <v>Inactif</v>
      </c>
      <c r="N65" s="206" t="s">
        <v>507</v>
      </c>
      <c r="O65" s="421" t="s">
        <v>553</v>
      </c>
      <c r="P65" s="421" t="s">
        <v>144</v>
      </c>
      <c r="Q65" s="206">
        <v>14</v>
      </c>
      <c r="R65" s="206"/>
      <c r="S65" s="421" t="str">
        <f>_xlfn.CONCAT(B65,"-",Tableau8[[#This Row],[To]])</f>
        <v>904-46142</v>
      </c>
      <c r="T65" s="517">
        <v>46049</v>
      </c>
    </row>
    <row r="66" spans="1:20" ht="21" customHeight="1">
      <c r="A66" s="516" t="str">
        <f t="shared" ref="A66:A129" ca="1" si="2">_xlfn.CONCAT(B66,"-",M66)</f>
        <v>904-Inactif</v>
      </c>
      <c r="B66" s="206">
        <v>904</v>
      </c>
      <c r="C66" s="453">
        <v>45778</v>
      </c>
      <c r="D66" s="453">
        <v>45961</v>
      </c>
      <c r="E66" s="206" t="s">
        <v>496</v>
      </c>
      <c r="F66" s="206" t="s">
        <v>259</v>
      </c>
      <c r="G66" s="206">
        <v>4</v>
      </c>
      <c r="H66" s="206">
        <v>7</v>
      </c>
      <c r="I66" s="206">
        <v>53</v>
      </c>
      <c r="J66" s="206" t="s">
        <v>551</v>
      </c>
      <c r="K66" s="206">
        <v>3</v>
      </c>
      <c r="L66" s="206"/>
      <c r="M66" s="3" t="str">
        <f t="shared" ref="M66:M129" ca="1" si="3">IF(AND(C66&lt;TODAY(),D66&gt;TODAY()),"Actif",IF(C66&gt;TODAY(),"Next","Inactif"))</f>
        <v>Inactif</v>
      </c>
      <c r="N66" s="206" t="s">
        <v>507</v>
      </c>
      <c r="O66" s="421" t="s">
        <v>554</v>
      </c>
      <c r="P66" s="421" t="s">
        <v>144</v>
      </c>
      <c r="Q66" s="206">
        <v>9</v>
      </c>
      <c r="R66" s="206" t="s">
        <v>555</v>
      </c>
      <c r="S66" s="421" t="str">
        <f>_xlfn.CONCAT(B66,"-",Tableau8[[#This Row],[To]])</f>
        <v>904-45961</v>
      </c>
      <c r="T66" s="517">
        <v>46049</v>
      </c>
    </row>
    <row r="67" spans="1:20" ht="21" customHeight="1">
      <c r="A67" s="516" t="str">
        <f t="shared" ca="1" si="2"/>
        <v>904-Actif</v>
      </c>
      <c r="B67" s="206">
        <v>904</v>
      </c>
      <c r="C67" s="453">
        <v>46143</v>
      </c>
      <c r="D67" s="453">
        <v>46507</v>
      </c>
      <c r="E67" s="206" t="s">
        <v>496</v>
      </c>
      <c r="F67" s="206" t="s">
        <v>282</v>
      </c>
      <c r="G67" s="206">
        <v>2</v>
      </c>
      <c r="H67" s="206">
        <v>4</v>
      </c>
      <c r="I67" s="206">
        <v>57</v>
      </c>
      <c r="J67" s="206" t="s">
        <v>551</v>
      </c>
      <c r="K67" s="206">
        <v>3</v>
      </c>
      <c r="L67" s="206">
        <v>7</v>
      </c>
      <c r="M67" s="3" t="str">
        <f t="shared" ca="1" si="3"/>
        <v>Actif</v>
      </c>
      <c r="N67" s="206" t="s">
        <v>507</v>
      </c>
      <c r="O67" s="421" t="s">
        <v>493</v>
      </c>
      <c r="P67" s="421" t="s">
        <v>144</v>
      </c>
      <c r="Q67" s="206">
        <v>14</v>
      </c>
      <c r="R67" s="206" t="s">
        <v>494</v>
      </c>
      <c r="S67" s="421" t="str">
        <f>_xlfn.CONCAT(B67,"-",Tableau8[[#This Row],[To]])</f>
        <v>904-46507</v>
      </c>
      <c r="T67" s="527">
        <v>46100</v>
      </c>
    </row>
    <row r="68" spans="1:20" ht="21" customHeight="1">
      <c r="A68" s="516" t="str">
        <f t="shared" ca="1" si="2"/>
        <v>906-Inactif</v>
      </c>
      <c r="B68" s="206">
        <v>906</v>
      </c>
      <c r="C68" s="453">
        <v>45474</v>
      </c>
      <c r="D68" s="453">
        <v>45777</v>
      </c>
      <c r="E68" s="206" t="s">
        <v>496</v>
      </c>
      <c r="F68" s="206" t="s">
        <v>301</v>
      </c>
      <c r="G68" s="206">
        <v>4</v>
      </c>
      <c r="H68" s="206">
        <v>6</v>
      </c>
      <c r="I68" s="206">
        <v>40</v>
      </c>
      <c r="J68" s="206" t="s">
        <v>525</v>
      </c>
      <c r="K68" s="206">
        <v>3</v>
      </c>
      <c r="L68" s="206">
        <v>7</v>
      </c>
      <c r="M68" s="3" t="str">
        <f t="shared" ca="1" si="3"/>
        <v>Inactif</v>
      </c>
      <c r="N68" s="206" t="s">
        <v>267</v>
      </c>
      <c r="O68" s="421" t="s">
        <v>556</v>
      </c>
      <c r="P68" s="421" t="s">
        <v>144</v>
      </c>
      <c r="Q68" s="206">
        <v>15</v>
      </c>
      <c r="R68" s="206" t="s">
        <v>555</v>
      </c>
      <c r="S68" s="421" t="str">
        <f>_xlfn.CONCAT(B68,"-",Tableau8[[#This Row],[To]])</f>
        <v>906-45777</v>
      </c>
      <c r="T68" s="517">
        <v>46049</v>
      </c>
    </row>
    <row r="69" spans="1:20" ht="21" customHeight="1">
      <c r="A69" s="516" t="str">
        <f t="shared" ca="1" si="2"/>
        <v>906-Inactif</v>
      </c>
      <c r="B69" s="206">
        <v>906</v>
      </c>
      <c r="C69" s="453">
        <v>45413</v>
      </c>
      <c r="D69" s="453">
        <v>45473</v>
      </c>
      <c r="E69" s="206" t="s">
        <v>496</v>
      </c>
      <c r="F69" s="206" t="s">
        <v>301</v>
      </c>
      <c r="G69" s="206">
        <v>4</v>
      </c>
      <c r="H69" s="206">
        <v>6</v>
      </c>
      <c r="I69" s="206">
        <v>40</v>
      </c>
      <c r="J69" s="206" t="s">
        <v>525</v>
      </c>
      <c r="K69" s="206">
        <v>3</v>
      </c>
      <c r="L69" s="206">
        <v>7</v>
      </c>
      <c r="M69" s="3" t="str">
        <f t="shared" ca="1" si="3"/>
        <v>Inactif</v>
      </c>
      <c r="N69" s="206" t="s">
        <v>267</v>
      </c>
      <c r="O69" s="421" t="s">
        <v>505</v>
      </c>
      <c r="P69" s="421" t="s">
        <v>144</v>
      </c>
      <c r="Q69" s="206">
        <v>23</v>
      </c>
      <c r="R69" s="421"/>
      <c r="S69" s="421" t="str">
        <f>_xlfn.CONCAT(B69,"-",Tableau8[[#This Row],[To]])</f>
        <v>906-45473</v>
      </c>
      <c r="T69" s="517">
        <v>46049</v>
      </c>
    </row>
    <row r="70" spans="1:20" ht="21" customHeight="1">
      <c r="A70" s="516" t="str">
        <f t="shared" ca="1" si="2"/>
        <v>906-Inactif</v>
      </c>
      <c r="B70" s="206">
        <v>906</v>
      </c>
      <c r="C70" s="453">
        <v>45046</v>
      </c>
      <c r="D70" s="453">
        <v>45412</v>
      </c>
      <c r="E70" s="206" t="s">
        <v>496</v>
      </c>
      <c r="F70" s="206" t="s">
        <v>259</v>
      </c>
      <c r="G70" s="206">
        <v>6</v>
      </c>
      <c r="H70" s="206">
        <v>8</v>
      </c>
      <c r="I70" s="206">
        <v>41</v>
      </c>
      <c r="J70" s="206" t="s">
        <v>525</v>
      </c>
      <c r="K70" s="206">
        <v>3</v>
      </c>
      <c r="L70" s="206">
        <v>7</v>
      </c>
      <c r="M70" s="3" t="str">
        <f t="shared" ca="1" si="3"/>
        <v>Inactif</v>
      </c>
      <c r="N70" s="206" t="s">
        <v>267</v>
      </c>
      <c r="O70" s="421" t="s">
        <v>546</v>
      </c>
      <c r="P70" s="421" t="s">
        <v>144</v>
      </c>
      <c r="Q70" s="206"/>
      <c r="R70" s="421"/>
      <c r="S70" s="421" t="str">
        <f>_xlfn.CONCAT(B70,"-",Tableau8[[#This Row],[To]])</f>
        <v>906-45412</v>
      </c>
      <c r="T70" s="517">
        <v>46049</v>
      </c>
    </row>
    <row r="71" spans="1:20" ht="21" customHeight="1">
      <c r="A71" s="516" t="str">
        <f t="shared" ca="1" si="2"/>
        <v>906-Inactif</v>
      </c>
      <c r="B71" s="206">
        <v>906</v>
      </c>
      <c r="C71" s="453">
        <v>46048</v>
      </c>
      <c r="D71" s="453">
        <v>46142</v>
      </c>
      <c r="E71" s="206" t="s">
        <v>496</v>
      </c>
      <c r="F71" s="206" t="s">
        <v>259</v>
      </c>
      <c r="G71" s="206">
        <v>5</v>
      </c>
      <c r="H71" s="206">
        <v>7</v>
      </c>
      <c r="I71" s="206">
        <v>43</v>
      </c>
      <c r="J71" s="206" t="s">
        <v>525</v>
      </c>
      <c r="K71" s="206">
        <v>3</v>
      </c>
      <c r="L71" s="206">
        <v>21</v>
      </c>
      <c r="M71" s="3" t="str">
        <f t="shared" ca="1" si="3"/>
        <v>Inactif</v>
      </c>
      <c r="N71" s="206" t="s">
        <v>507</v>
      </c>
      <c r="O71" s="422" t="s">
        <v>557</v>
      </c>
      <c r="P71" s="421" t="s">
        <v>144</v>
      </c>
      <c r="Q71" s="206">
        <v>15</v>
      </c>
      <c r="R71" s="206"/>
      <c r="S71" s="8" t="str">
        <f>_xlfn.CONCAT(B71,"-",Tableau8[[#This Row],[To]])</f>
        <v>906-46142</v>
      </c>
      <c r="T71" s="517">
        <v>46049</v>
      </c>
    </row>
    <row r="72" spans="1:20" ht="21" customHeight="1">
      <c r="A72" s="516" t="str">
        <f t="shared" ca="1" si="2"/>
        <v>906-Inactif</v>
      </c>
      <c r="B72" s="206">
        <v>906</v>
      </c>
      <c r="C72" s="453">
        <v>45778</v>
      </c>
      <c r="D72" s="453">
        <v>46047</v>
      </c>
      <c r="E72" s="206" t="s">
        <v>496</v>
      </c>
      <c r="F72" s="206" t="s">
        <v>259</v>
      </c>
      <c r="G72" s="206">
        <v>5</v>
      </c>
      <c r="H72" s="206">
        <v>7</v>
      </c>
      <c r="I72" s="206">
        <v>43</v>
      </c>
      <c r="J72" s="206" t="s">
        <v>525</v>
      </c>
      <c r="K72" s="206">
        <v>3</v>
      </c>
      <c r="L72" s="206">
        <v>14</v>
      </c>
      <c r="M72" s="3" t="str">
        <f t="shared" ca="1" si="3"/>
        <v>Inactif</v>
      </c>
      <c r="N72" s="206" t="s">
        <v>507</v>
      </c>
      <c r="O72" s="421" t="s">
        <v>554</v>
      </c>
      <c r="P72" s="421" t="s">
        <v>144</v>
      </c>
      <c r="Q72" s="206">
        <v>15</v>
      </c>
      <c r="R72" s="206"/>
      <c r="S72" s="421" t="str">
        <f>_xlfn.CONCAT(B72,"-",Tableau8[[#This Row],[To]])</f>
        <v>906-46047</v>
      </c>
      <c r="T72" s="517">
        <v>46049</v>
      </c>
    </row>
    <row r="73" spans="1:20" ht="21" customHeight="1">
      <c r="A73" s="516" t="str">
        <f t="shared" ca="1" si="2"/>
        <v>906-Actif</v>
      </c>
      <c r="B73" s="206">
        <v>906</v>
      </c>
      <c r="C73" s="453">
        <v>46143</v>
      </c>
      <c r="D73" s="453">
        <v>46507</v>
      </c>
      <c r="E73" s="206" t="s">
        <v>496</v>
      </c>
      <c r="F73" s="206" t="s">
        <v>282</v>
      </c>
      <c r="G73" s="206">
        <v>2</v>
      </c>
      <c r="H73" s="206">
        <v>3</v>
      </c>
      <c r="I73" s="206">
        <v>47</v>
      </c>
      <c r="J73" s="206" t="s">
        <v>525</v>
      </c>
      <c r="K73" s="206">
        <v>3</v>
      </c>
      <c r="L73" s="206">
        <v>14</v>
      </c>
      <c r="M73" s="3" t="str">
        <f t="shared" ca="1" si="3"/>
        <v>Actif</v>
      </c>
      <c r="N73" s="206" t="s">
        <v>507</v>
      </c>
      <c r="O73" s="421" t="s">
        <v>493</v>
      </c>
      <c r="P73" s="421" t="s">
        <v>144</v>
      </c>
      <c r="Q73" s="206">
        <v>15</v>
      </c>
      <c r="R73" s="519" t="s">
        <v>494</v>
      </c>
      <c r="S73" s="421" t="str">
        <f>_xlfn.CONCAT(B73,"-",Tableau8[[#This Row],[To]])</f>
        <v>906-46507</v>
      </c>
      <c r="T73" s="527">
        <v>46100</v>
      </c>
    </row>
    <row r="74" spans="1:20" ht="21" customHeight="1">
      <c r="A74" s="516" t="str">
        <f t="shared" ca="1" si="2"/>
        <v>907-Inactif</v>
      </c>
      <c r="B74" s="206">
        <v>907</v>
      </c>
      <c r="C74" s="453">
        <v>45778</v>
      </c>
      <c r="D74" s="453">
        <v>46142</v>
      </c>
      <c r="E74" s="206" t="s">
        <v>558</v>
      </c>
      <c r="F74" s="206" t="s">
        <v>259</v>
      </c>
      <c r="G74" s="206">
        <v>3</v>
      </c>
      <c r="H74" s="206">
        <v>5</v>
      </c>
      <c r="I74" s="206">
        <v>32</v>
      </c>
      <c r="J74" s="206" t="s">
        <v>525</v>
      </c>
      <c r="K74" s="206">
        <v>3</v>
      </c>
      <c r="L74" s="206"/>
      <c r="M74" s="3" t="str">
        <f t="shared" ca="1" si="3"/>
        <v>Inactif</v>
      </c>
      <c r="N74" s="206" t="s">
        <v>275</v>
      </c>
      <c r="O74" s="421" t="s">
        <v>559</v>
      </c>
      <c r="P74" s="421" t="s">
        <v>144</v>
      </c>
      <c r="Q74" s="206">
        <v>14</v>
      </c>
      <c r="R74" s="206" t="s">
        <v>487</v>
      </c>
      <c r="S74" s="421" t="str">
        <f>_xlfn.CONCAT(B74,"-",Tableau8[[#This Row],[To]])</f>
        <v>907-46142</v>
      </c>
      <c r="T74" s="517">
        <v>46049</v>
      </c>
    </row>
    <row r="75" spans="1:20" ht="21" customHeight="1">
      <c r="A75" s="516" t="str">
        <f t="shared" ca="1" si="2"/>
        <v>907-Inactif</v>
      </c>
      <c r="B75" s="206">
        <v>907</v>
      </c>
      <c r="C75" s="453">
        <v>45536</v>
      </c>
      <c r="D75" s="453">
        <v>45777</v>
      </c>
      <c r="E75" s="206" t="s">
        <v>558</v>
      </c>
      <c r="F75" s="206" t="s">
        <v>259</v>
      </c>
      <c r="G75" s="206">
        <v>4</v>
      </c>
      <c r="H75" s="206">
        <v>6</v>
      </c>
      <c r="I75" s="206">
        <v>34</v>
      </c>
      <c r="J75" s="206" t="s">
        <v>525</v>
      </c>
      <c r="K75" s="206">
        <v>3</v>
      </c>
      <c r="L75" s="206">
        <v>0</v>
      </c>
      <c r="M75" s="3" t="str">
        <f t="shared" ca="1" si="3"/>
        <v>Inactif</v>
      </c>
      <c r="N75" s="206" t="s">
        <v>275</v>
      </c>
      <c r="O75" s="421" t="s">
        <v>560</v>
      </c>
      <c r="P75" s="421" t="s">
        <v>144</v>
      </c>
      <c r="Q75" s="206">
        <v>6</v>
      </c>
      <c r="R75" s="421"/>
      <c r="S75" s="421" t="str">
        <f>_xlfn.CONCAT(B75,"-",Tableau8[[#This Row],[To]])</f>
        <v>907-45777</v>
      </c>
      <c r="T75" s="517">
        <v>46049</v>
      </c>
    </row>
    <row r="76" spans="1:20" ht="21" customHeight="1">
      <c r="A76" s="516" t="str">
        <f t="shared" ca="1" si="2"/>
        <v>907-Inactif</v>
      </c>
      <c r="B76" s="206">
        <v>907</v>
      </c>
      <c r="C76" s="453">
        <v>45474</v>
      </c>
      <c r="D76" s="453">
        <v>45535</v>
      </c>
      <c r="E76" s="206" t="s">
        <v>558</v>
      </c>
      <c r="F76" s="206" t="s">
        <v>259</v>
      </c>
      <c r="G76" s="206">
        <v>6</v>
      </c>
      <c r="H76" s="206">
        <v>12</v>
      </c>
      <c r="I76" s="206">
        <v>34</v>
      </c>
      <c r="J76" s="206" t="s">
        <v>525</v>
      </c>
      <c r="K76" s="206">
        <v>3</v>
      </c>
      <c r="L76" s="206">
        <v>0</v>
      </c>
      <c r="M76" s="3" t="str">
        <f t="shared" ca="1" si="3"/>
        <v>Inactif</v>
      </c>
      <c r="N76" s="206" t="s">
        <v>275</v>
      </c>
      <c r="O76" s="421" t="s">
        <v>499</v>
      </c>
      <c r="P76" s="421" t="s">
        <v>144</v>
      </c>
      <c r="Q76" s="206">
        <v>6</v>
      </c>
      <c r="R76" s="421"/>
      <c r="S76" s="421" t="str">
        <f>_xlfn.CONCAT(B76,"-",Tableau8[[#This Row],[To]])</f>
        <v>907-45535</v>
      </c>
      <c r="T76" s="517">
        <v>46049</v>
      </c>
    </row>
    <row r="77" spans="1:20" ht="21" customHeight="1">
      <c r="A77" s="516" t="str">
        <f t="shared" ca="1" si="2"/>
        <v>907-Inactif</v>
      </c>
      <c r="B77" s="206">
        <v>907</v>
      </c>
      <c r="C77" s="453">
        <v>45046</v>
      </c>
      <c r="D77" s="453">
        <v>45473</v>
      </c>
      <c r="E77" s="206" t="s">
        <v>558</v>
      </c>
      <c r="F77" s="206" t="s">
        <v>259</v>
      </c>
      <c r="G77" s="206">
        <v>5</v>
      </c>
      <c r="H77" s="206">
        <v>8</v>
      </c>
      <c r="I77" s="206">
        <v>31</v>
      </c>
      <c r="J77" s="206" t="s">
        <v>525</v>
      </c>
      <c r="K77" s="206">
        <v>3</v>
      </c>
      <c r="L77" s="206">
        <v>0</v>
      </c>
      <c r="M77" s="3" t="str">
        <f t="shared" ca="1" si="3"/>
        <v>Inactif</v>
      </c>
      <c r="N77" s="206" t="s">
        <v>275</v>
      </c>
      <c r="O77" s="421" t="s">
        <v>546</v>
      </c>
      <c r="P77" s="421" t="s">
        <v>144</v>
      </c>
      <c r="Q77" s="206">
        <v>12</v>
      </c>
      <c r="R77" s="421"/>
      <c r="S77" s="421" t="str">
        <f>_xlfn.CONCAT(B77,"-",Tableau8[[#This Row],[To]])</f>
        <v>907-45473</v>
      </c>
      <c r="T77" s="517">
        <v>46049</v>
      </c>
    </row>
    <row r="78" spans="1:20" ht="21" customHeight="1">
      <c r="A78" s="516" t="str">
        <f t="shared" ca="1" si="2"/>
        <v>907-Actif</v>
      </c>
      <c r="B78" s="206">
        <v>907</v>
      </c>
      <c r="C78" s="453">
        <v>46143</v>
      </c>
      <c r="D78" s="453">
        <v>46507</v>
      </c>
      <c r="E78" s="206" t="s">
        <v>558</v>
      </c>
      <c r="F78" s="206" t="s">
        <v>259</v>
      </c>
      <c r="G78" s="206">
        <v>3</v>
      </c>
      <c r="H78" s="206">
        <v>6</v>
      </c>
      <c r="I78" s="206">
        <v>40</v>
      </c>
      <c r="J78" s="206" t="s">
        <v>525</v>
      </c>
      <c r="K78" s="206">
        <v>3</v>
      </c>
      <c r="L78" s="206"/>
      <c r="M78" s="3" t="str">
        <f t="shared" ca="1" si="3"/>
        <v>Actif</v>
      </c>
      <c r="N78" s="206" t="s">
        <v>492</v>
      </c>
      <c r="O78" s="421" t="s">
        <v>493</v>
      </c>
      <c r="P78" s="421" t="s">
        <v>144</v>
      </c>
      <c r="Q78" s="206">
        <v>14</v>
      </c>
      <c r="R78" s="519" t="s">
        <v>550</v>
      </c>
      <c r="S78" s="421" t="str">
        <f>_xlfn.CONCAT(B78,"-",Tableau8[[#This Row],[To]])</f>
        <v>907-46507</v>
      </c>
      <c r="T78" s="527">
        <v>46100</v>
      </c>
    </row>
    <row r="79" spans="1:20" ht="21" customHeight="1">
      <c r="A79" s="516" t="str">
        <f t="shared" ca="1" si="2"/>
        <v>908-Actif</v>
      </c>
      <c r="B79" s="206">
        <v>908</v>
      </c>
      <c r="C79" s="453">
        <v>46143</v>
      </c>
      <c r="D79" s="453">
        <v>46507</v>
      </c>
      <c r="E79" s="206" t="s">
        <v>547</v>
      </c>
      <c r="F79" s="206" t="s">
        <v>290</v>
      </c>
      <c r="G79" s="206">
        <v>5</v>
      </c>
      <c r="H79" s="206">
        <v>9</v>
      </c>
      <c r="I79" s="206">
        <v>34</v>
      </c>
      <c r="J79" s="206" t="s">
        <v>525</v>
      </c>
      <c r="K79" s="206">
        <v>3</v>
      </c>
      <c r="L79" s="206">
        <v>14</v>
      </c>
      <c r="M79" s="3" t="str">
        <f t="shared" ca="1" si="3"/>
        <v>Actif</v>
      </c>
      <c r="N79" s="206" t="s">
        <v>540</v>
      </c>
      <c r="O79" s="421" t="s">
        <v>561</v>
      </c>
      <c r="P79" s="421" t="s">
        <v>144</v>
      </c>
      <c r="Q79" s="206">
        <v>16</v>
      </c>
      <c r="R79" s="538" t="s">
        <v>562</v>
      </c>
      <c r="S79" s="421" t="str">
        <f>_xlfn.CONCAT(B79,"-",Tableau8[[#This Row],[To]])</f>
        <v>908-46507</v>
      </c>
      <c r="T79" s="517">
        <v>46111</v>
      </c>
    </row>
    <row r="80" spans="1:20" ht="21" customHeight="1">
      <c r="A80" s="516" t="str">
        <f t="shared" ca="1" si="2"/>
        <v>908-Inactif</v>
      </c>
      <c r="B80" s="206">
        <v>908</v>
      </c>
      <c r="C80" s="453">
        <v>46082</v>
      </c>
      <c r="D80" s="453">
        <v>46142</v>
      </c>
      <c r="E80" s="206" t="s">
        <v>547</v>
      </c>
      <c r="F80" s="206" t="s">
        <v>290</v>
      </c>
      <c r="G80" s="206">
        <v>5</v>
      </c>
      <c r="H80" s="206">
        <v>9</v>
      </c>
      <c r="I80" s="206">
        <v>41</v>
      </c>
      <c r="J80" s="206" t="s">
        <v>525</v>
      </c>
      <c r="K80" s="206">
        <v>3</v>
      </c>
      <c r="L80" s="206">
        <v>7</v>
      </c>
      <c r="M80" s="3" t="str">
        <f t="shared" ca="1" si="3"/>
        <v>Inactif</v>
      </c>
      <c r="N80" s="206" t="s">
        <v>540</v>
      </c>
      <c r="O80" s="421" t="s">
        <v>563</v>
      </c>
      <c r="P80" s="421" t="s">
        <v>144</v>
      </c>
      <c r="Q80" s="206">
        <v>16</v>
      </c>
      <c r="R80" s="206" t="s">
        <v>564</v>
      </c>
      <c r="S80" s="421" t="str">
        <f>_xlfn.CONCAT(B80,"-",Tableau8[[#This Row],[To]])</f>
        <v>908-46142</v>
      </c>
      <c r="T80" s="517">
        <v>46070</v>
      </c>
    </row>
    <row r="81" spans="1:20" ht="21" customHeight="1">
      <c r="A81" s="516" t="str">
        <f t="shared" ca="1" si="2"/>
        <v>908-Inactif</v>
      </c>
      <c r="B81" s="206">
        <v>908</v>
      </c>
      <c r="C81" s="453">
        <v>45778</v>
      </c>
      <c r="D81" s="526">
        <v>46081</v>
      </c>
      <c r="E81" s="206" t="s">
        <v>547</v>
      </c>
      <c r="F81" s="206" t="s">
        <v>290</v>
      </c>
      <c r="G81" s="206">
        <v>5</v>
      </c>
      <c r="H81" s="206">
        <v>7</v>
      </c>
      <c r="I81" s="206">
        <v>43</v>
      </c>
      <c r="J81" s="206" t="s">
        <v>525</v>
      </c>
      <c r="K81" s="206">
        <v>3</v>
      </c>
      <c r="L81" s="206">
        <v>7</v>
      </c>
      <c r="M81" s="3" t="str">
        <f t="shared" ca="1" si="3"/>
        <v>Inactif</v>
      </c>
      <c r="N81" s="206" t="s">
        <v>540</v>
      </c>
      <c r="O81" s="421" t="s">
        <v>486</v>
      </c>
      <c r="P81" s="421" t="s">
        <v>144</v>
      </c>
      <c r="Q81" s="206">
        <v>16</v>
      </c>
      <c r="R81" s="206" t="s">
        <v>564</v>
      </c>
      <c r="S81" s="421" t="str">
        <f>_xlfn.CONCAT(B81,"-",Tableau8[[#This Row],[To]])</f>
        <v>908-46081</v>
      </c>
      <c r="T81" s="517">
        <v>46049</v>
      </c>
    </row>
    <row r="82" spans="1:20" ht="21" customHeight="1">
      <c r="A82" s="516" t="str">
        <f t="shared" ca="1" si="2"/>
        <v>908-Inactif</v>
      </c>
      <c r="B82" s="206">
        <v>908</v>
      </c>
      <c r="C82" s="453">
        <v>45474</v>
      </c>
      <c r="D82" s="453">
        <v>45777</v>
      </c>
      <c r="E82" s="206" t="s">
        <v>547</v>
      </c>
      <c r="F82" s="206" t="s">
        <v>259</v>
      </c>
      <c r="G82" s="206">
        <v>5</v>
      </c>
      <c r="H82" s="206">
        <v>9</v>
      </c>
      <c r="I82" s="206">
        <v>43</v>
      </c>
      <c r="J82" s="206" t="s">
        <v>525</v>
      </c>
      <c r="K82" s="206">
        <v>3</v>
      </c>
      <c r="L82" s="206">
        <v>0</v>
      </c>
      <c r="M82" s="3" t="str">
        <f t="shared" ca="1" si="3"/>
        <v>Inactif</v>
      </c>
      <c r="N82" s="206" t="s">
        <v>260</v>
      </c>
      <c r="O82" s="421" t="s">
        <v>544</v>
      </c>
      <c r="P82" s="421" t="s">
        <v>144</v>
      </c>
      <c r="Q82" s="206">
        <v>16</v>
      </c>
      <c r="R82" s="421"/>
      <c r="S82" s="421" t="str">
        <f>_xlfn.CONCAT(B82,"-",Tableau8[[#This Row],[To]])</f>
        <v>908-45777</v>
      </c>
      <c r="T82" s="517">
        <v>46049</v>
      </c>
    </row>
    <row r="83" spans="1:20" ht="21" customHeight="1">
      <c r="A83" s="516" t="str">
        <f t="shared" ca="1" si="2"/>
        <v>908-Inactif</v>
      </c>
      <c r="B83" s="206">
        <v>908</v>
      </c>
      <c r="C83" s="453">
        <v>45393</v>
      </c>
      <c r="D83" s="453">
        <v>45473</v>
      </c>
      <c r="E83" s="206" t="s">
        <v>547</v>
      </c>
      <c r="F83" s="206" t="s">
        <v>259</v>
      </c>
      <c r="G83" s="206">
        <v>5</v>
      </c>
      <c r="H83" s="206">
        <v>9</v>
      </c>
      <c r="I83" s="206">
        <v>43</v>
      </c>
      <c r="J83" s="206" t="s">
        <v>525</v>
      </c>
      <c r="K83" s="206">
        <v>3</v>
      </c>
      <c r="L83" s="206">
        <v>0</v>
      </c>
      <c r="M83" s="3" t="str">
        <f t="shared" ca="1" si="3"/>
        <v>Inactif</v>
      </c>
      <c r="N83" s="206" t="s">
        <v>260</v>
      </c>
      <c r="O83" s="421" t="s">
        <v>565</v>
      </c>
      <c r="P83" s="421" t="s">
        <v>144</v>
      </c>
      <c r="Q83" s="206">
        <v>14</v>
      </c>
      <c r="R83" s="421"/>
      <c r="S83" s="421" t="str">
        <f>_xlfn.CONCAT(B83,"-",Tableau8[[#This Row],[To]])</f>
        <v>908-45473</v>
      </c>
      <c r="T83" s="517">
        <v>46049</v>
      </c>
    </row>
    <row r="84" spans="1:20" ht="21" customHeight="1">
      <c r="A84" s="516" t="str">
        <f t="shared" ca="1" si="2"/>
        <v>908-Inactif</v>
      </c>
      <c r="B84" s="206">
        <v>908</v>
      </c>
      <c r="C84" s="453">
        <v>45046</v>
      </c>
      <c r="D84" s="453">
        <v>45392</v>
      </c>
      <c r="E84" s="206" t="s">
        <v>547</v>
      </c>
      <c r="F84" s="206" t="s">
        <v>259</v>
      </c>
      <c r="G84" s="206">
        <v>1</v>
      </c>
      <c r="H84" s="206">
        <v>3</v>
      </c>
      <c r="I84" s="206">
        <v>36</v>
      </c>
      <c r="J84" s="206" t="s">
        <v>525</v>
      </c>
      <c r="K84" s="206">
        <v>3</v>
      </c>
      <c r="L84" s="206">
        <v>0</v>
      </c>
      <c r="M84" s="3" t="str">
        <f t="shared" ca="1" si="3"/>
        <v>Inactif</v>
      </c>
      <c r="N84" s="206" t="s">
        <v>260</v>
      </c>
      <c r="O84" s="421" t="s">
        <v>546</v>
      </c>
      <c r="P84" s="421" t="s">
        <v>144</v>
      </c>
      <c r="Q84" s="206"/>
      <c r="R84" s="421"/>
      <c r="S84" s="421" t="str">
        <f>_xlfn.CONCAT(B84,"-",Tableau8[[#This Row],[To]])</f>
        <v>908-45392</v>
      </c>
      <c r="T84" s="517">
        <v>46049</v>
      </c>
    </row>
    <row r="85" spans="1:20" ht="21" customHeight="1">
      <c r="A85" s="516" t="str">
        <f t="shared" ca="1" si="2"/>
        <v>910-Inactif</v>
      </c>
      <c r="B85" s="206">
        <v>910</v>
      </c>
      <c r="C85" s="453">
        <v>45778</v>
      </c>
      <c r="D85" s="453">
        <v>46142</v>
      </c>
      <c r="E85" s="206" t="s">
        <v>483</v>
      </c>
      <c r="F85" s="206" t="s">
        <v>259</v>
      </c>
      <c r="G85" s="206">
        <v>5</v>
      </c>
      <c r="H85" s="206">
        <v>8</v>
      </c>
      <c r="I85" s="206">
        <v>35</v>
      </c>
      <c r="J85" s="206" t="s">
        <v>525</v>
      </c>
      <c r="K85" s="206">
        <v>3</v>
      </c>
      <c r="L85" s="206">
        <v>0</v>
      </c>
      <c r="M85" s="3" t="str">
        <f t="shared" ca="1" si="3"/>
        <v>Inactif</v>
      </c>
      <c r="N85" s="206" t="s">
        <v>275</v>
      </c>
      <c r="O85" s="421" t="s">
        <v>486</v>
      </c>
      <c r="P85" s="421" t="s">
        <v>144</v>
      </c>
      <c r="Q85" s="206">
        <v>14</v>
      </c>
      <c r="R85" s="206" t="s">
        <v>487</v>
      </c>
      <c r="S85" s="421" t="str">
        <f>_xlfn.CONCAT(B85,"-",Tableau8[[#This Row],[To]])</f>
        <v>910-46142</v>
      </c>
      <c r="T85" s="517">
        <v>46049</v>
      </c>
    </row>
    <row r="86" spans="1:20" ht="21" customHeight="1">
      <c r="A86" s="516" t="str">
        <f t="shared" ca="1" si="2"/>
        <v>910-Inactif</v>
      </c>
      <c r="B86" s="206">
        <v>910</v>
      </c>
      <c r="C86" s="453">
        <v>45580</v>
      </c>
      <c r="D86" s="453">
        <v>45777</v>
      </c>
      <c r="E86" s="206" t="s">
        <v>483</v>
      </c>
      <c r="F86" s="206" t="s">
        <v>259</v>
      </c>
      <c r="G86" s="206">
        <v>4</v>
      </c>
      <c r="H86" s="206">
        <v>6</v>
      </c>
      <c r="I86" s="206">
        <v>35</v>
      </c>
      <c r="J86" s="206" t="s">
        <v>525</v>
      </c>
      <c r="K86" s="206">
        <v>3</v>
      </c>
      <c r="L86" s="206">
        <v>0</v>
      </c>
      <c r="M86" s="3" t="str">
        <f t="shared" ca="1" si="3"/>
        <v>Inactif</v>
      </c>
      <c r="N86" s="206" t="s">
        <v>275</v>
      </c>
      <c r="O86" s="421" t="s">
        <v>566</v>
      </c>
      <c r="P86" s="421" t="s">
        <v>144</v>
      </c>
      <c r="Q86" s="206">
        <v>10</v>
      </c>
      <c r="R86" s="206"/>
      <c r="S86" s="421" t="str">
        <f>_xlfn.CONCAT(B86,"-",Tableau8[[#This Row],[To]])</f>
        <v>910-45777</v>
      </c>
      <c r="T86" s="517">
        <v>46049</v>
      </c>
    </row>
    <row r="87" spans="1:20" ht="21" customHeight="1">
      <c r="A87" s="516" t="str">
        <f t="shared" ca="1" si="2"/>
        <v>910-Inactif</v>
      </c>
      <c r="B87" s="206">
        <v>910</v>
      </c>
      <c r="C87" s="453">
        <v>45474</v>
      </c>
      <c r="D87" s="453">
        <v>45580</v>
      </c>
      <c r="E87" s="206" t="s">
        <v>483</v>
      </c>
      <c r="F87" s="206" t="s">
        <v>259</v>
      </c>
      <c r="G87" s="206">
        <v>1</v>
      </c>
      <c r="H87" s="206">
        <v>3</v>
      </c>
      <c r="I87" s="206">
        <v>31</v>
      </c>
      <c r="J87" s="206" t="s">
        <v>525</v>
      </c>
      <c r="K87" s="206">
        <v>3</v>
      </c>
      <c r="L87" s="206">
        <v>0</v>
      </c>
      <c r="M87" s="3" t="str">
        <f t="shared" ca="1" si="3"/>
        <v>Inactif</v>
      </c>
      <c r="N87" s="206" t="s">
        <v>275</v>
      </c>
      <c r="O87" s="421" t="s">
        <v>567</v>
      </c>
      <c r="P87" s="421" t="s">
        <v>144</v>
      </c>
      <c r="Q87" s="206">
        <v>10</v>
      </c>
      <c r="R87" s="421"/>
      <c r="S87" s="421" t="str">
        <f>_xlfn.CONCAT(B87,"-",Tableau8[[#This Row],[To]])</f>
        <v>910-45580</v>
      </c>
      <c r="T87" s="517">
        <v>46049</v>
      </c>
    </row>
    <row r="88" spans="1:20" ht="21" customHeight="1">
      <c r="A88" s="516" t="str">
        <f t="shared" ca="1" si="2"/>
        <v>910-Inactif</v>
      </c>
      <c r="B88" s="206">
        <v>910</v>
      </c>
      <c r="C88" s="453">
        <v>45046</v>
      </c>
      <c r="D88" s="453">
        <v>45473</v>
      </c>
      <c r="E88" s="206" t="s">
        <v>483</v>
      </c>
      <c r="F88" s="206" t="s">
        <v>259</v>
      </c>
      <c r="G88" s="206">
        <v>1</v>
      </c>
      <c r="H88" s="206">
        <v>3</v>
      </c>
      <c r="I88" s="206">
        <v>31</v>
      </c>
      <c r="J88" s="206" t="s">
        <v>525</v>
      </c>
      <c r="K88" s="206">
        <v>3</v>
      </c>
      <c r="L88" s="206">
        <v>0</v>
      </c>
      <c r="M88" s="3" t="str">
        <f t="shared" ca="1" si="3"/>
        <v>Inactif</v>
      </c>
      <c r="N88" s="206" t="s">
        <v>275</v>
      </c>
      <c r="O88" s="421" t="s">
        <v>546</v>
      </c>
      <c r="P88" s="421" t="s">
        <v>144</v>
      </c>
      <c r="Q88" s="206">
        <v>19</v>
      </c>
      <c r="R88" s="421"/>
      <c r="S88" s="421" t="str">
        <f>_xlfn.CONCAT(B88,"-",Tableau8[[#This Row],[To]])</f>
        <v>910-45473</v>
      </c>
      <c r="T88" s="517">
        <v>46049</v>
      </c>
    </row>
    <row r="89" spans="1:20" ht="21" customHeight="1">
      <c r="A89" s="516" t="str">
        <f t="shared" ca="1" si="2"/>
        <v>910-Actif</v>
      </c>
      <c r="B89" s="206">
        <v>910</v>
      </c>
      <c r="C89" s="453">
        <v>46143</v>
      </c>
      <c r="D89" s="453">
        <v>46507</v>
      </c>
      <c r="E89" s="206" t="s">
        <v>483</v>
      </c>
      <c r="F89" s="206" t="s">
        <v>290</v>
      </c>
      <c r="G89" s="206">
        <v>2</v>
      </c>
      <c r="H89" s="206">
        <v>4</v>
      </c>
      <c r="I89" s="206">
        <v>26</v>
      </c>
      <c r="J89" s="206" t="s">
        <v>525</v>
      </c>
      <c r="K89" s="206">
        <v>3</v>
      </c>
      <c r="L89" s="206">
        <v>7</v>
      </c>
      <c r="M89" s="3" t="str">
        <f t="shared" ca="1" si="3"/>
        <v>Actif</v>
      </c>
      <c r="N89" s="206" t="s">
        <v>492</v>
      </c>
      <c r="O89" s="421" t="s">
        <v>493</v>
      </c>
      <c r="P89" s="421" t="s">
        <v>144</v>
      </c>
      <c r="Q89" s="206">
        <v>14</v>
      </c>
      <c r="R89" s="206" t="s">
        <v>494</v>
      </c>
      <c r="S89" s="421" t="str">
        <f>_xlfn.CONCAT(B89,"-",Tableau8[[#This Row],[To]])</f>
        <v>910-46507</v>
      </c>
      <c r="T89" s="527">
        <v>46100</v>
      </c>
    </row>
    <row r="90" spans="1:20" ht="21" customHeight="1">
      <c r="A90" s="516" t="str">
        <f t="shared" ca="1" si="2"/>
        <v>912-Inactif</v>
      </c>
      <c r="B90" s="206">
        <v>912</v>
      </c>
      <c r="C90" s="453">
        <v>45474</v>
      </c>
      <c r="D90" s="453">
        <v>45777</v>
      </c>
      <c r="E90" s="206" t="s">
        <v>511</v>
      </c>
      <c r="F90" s="206" t="s">
        <v>259</v>
      </c>
      <c r="G90" s="206">
        <v>2</v>
      </c>
      <c r="H90" s="206">
        <v>10</v>
      </c>
      <c r="I90" s="206">
        <v>50</v>
      </c>
      <c r="J90" s="206" t="s">
        <v>525</v>
      </c>
      <c r="K90" s="206">
        <v>3</v>
      </c>
      <c r="L90" s="206">
        <v>0</v>
      </c>
      <c r="M90" s="3" t="str">
        <f t="shared" ca="1" si="3"/>
        <v>Inactif</v>
      </c>
      <c r="N90" s="206" t="s">
        <v>267</v>
      </c>
      <c r="O90" s="421" t="s">
        <v>568</v>
      </c>
      <c r="P90" s="421" t="s">
        <v>144</v>
      </c>
      <c r="Q90" s="206">
        <v>9</v>
      </c>
      <c r="R90" s="206"/>
      <c r="S90" s="421" t="str">
        <f>_xlfn.CONCAT(B90,"-",Tableau8[[#This Row],[To]])</f>
        <v>912-45777</v>
      </c>
      <c r="T90" s="517">
        <v>46049</v>
      </c>
    </row>
    <row r="91" spans="1:20" ht="21" customHeight="1">
      <c r="A91" s="516" t="str">
        <f t="shared" ca="1" si="2"/>
        <v>912-Inactif</v>
      </c>
      <c r="B91" s="206">
        <v>912</v>
      </c>
      <c r="C91" s="453">
        <v>44681</v>
      </c>
      <c r="D91" s="453">
        <v>45473</v>
      </c>
      <c r="E91" s="206" t="s">
        <v>511</v>
      </c>
      <c r="F91" s="206" t="s">
        <v>259</v>
      </c>
      <c r="G91" s="206">
        <v>2</v>
      </c>
      <c r="H91" s="206">
        <v>4</v>
      </c>
      <c r="I91" s="206">
        <v>42</v>
      </c>
      <c r="J91" s="206" t="s">
        <v>525</v>
      </c>
      <c r="K91" s="206">
        <v>3</v>
      </c>
      <c r="L91" s="206">
        <v>0</v>
      </c>
      <c r="M91" s="3" t="str">
        <f t="shared" ca="1" si="3"/>
        <v>Inactif</v>
      </c>
      <c r="N91" s="206" t="s">
        <v>267</v>
      </c>
      <c r="O91" s="421" t="s">
        <v>546</v>
      </c>
      <c r="P91" s="421" t="s">
        <v>144</v>
      </c>
      <c r="Q91" s="206">
        <v>22</v>
      </c>
      <c r="R91" s="421"/>
      <c r="S91" s="421" t="str">
        <f>_xlfn.CONCAT(B91,"-",Tableau8[[#This Row],[To]])</f>
        <v>912-45473</v>
      </c>
      <c r="T91" s="517">
        <v>46049</v>
      </c>
    </row>
    <row r="92" spans="1:20" ht="21" customHeight="1">
      <c r="A92" s="516" t="str">
        <f t="shared" ca="1" si="2"/>
        <v>912-Inactif</v>
      </c>
      <c r="B92" s="206">
        <v>912</v>
      </c>
      <c r="C92" s="453">
        <v>45992</v>
      </c>
      <c r="D92" s="453">
        <v>46142</v>
      </c>
      <c r="E92" s="206" t="s">
        <v>511</v>
      </c>
      <c r="F92" s="206" t="s">
        <v>295</v>
      </c>
      <c r="G92" s="206">
        <v>2</v>
      </c>
      <c r="H92" s="206">
        <v>4</v>
      </c>
      <c r="I92" s="206">
        <v>45</v>
      </c>
      <c r="J92" s="206" t="s">
        <v>525</v>
      </c>
      <c r="K92" s="206">
        <v>3</v>
      </c>
      <c r="L92" s="206">
        <v>7</v>
      </c>
      <c r="M92" s="3" t="str">
        <f t="shared" ca="1" si="3"/>
        <v>Inactif</v>
      </c>
      <c r="N92" s="206" t="s">
        <v>507</v>
      </c>
      <c r="O92" s="421" t="s">
        <v>569</v>
      </c>
      <c r="P92" s="421" t="s">
        <v>144</v>
      </c>
      <c r="Q92" s="206">
        <v>9</v>
      </c>
      <c r="R92" s="206" t="s">
        <v>509</v>
      </c>
      <c r="S92" s="421" t="str">
        <f>_xlfn.CONCAT(B92,"-",Tableau8[[#This Row],[To]])</f>
        <v>912-46142</v>
      </c>
      <c r="T92" s="517">
        <v>46049</v>
      </c>
    </row>
    <row r="93" spans="1:20" ht="21" customHeight="1">
      <c r="A93" s="516" t="str">
        <f t="shared" ca="1" si="2"/>
        <v>912-Inactif</v>
      </c>
      <c r="B93" s="206">
        <v>912</v>
      </c>
      <c r="C93" s="453">
        <v>45778</v>
      </c>
      <c r="D93" s="453">
        <v>45991</v>
      </c>
      <c r="E93" s="206" t="s">
        <v>511</v>
      </c>
      <c r="F93" s="206" t="s">
        <v>295</v>
      </c>
      <c r="G93" s="206">
        <v>2</v>
      </c>
      <c r="H93" s="206">
        <v>4</v>
      </c>
      <c r="I93" s="206">
        <v>36</v>
      </c>
      <c r="J93" s="206" t="s">
        <v>525</v>
      </c>
      <c r="K93" s="206">
        <v>3</v>
      </c>
      <c r="L93" s="206">
        <v>14</v>
      </c>
      <c r="M93" s="3" t="str">
        <f t="shared" ca="1" si="3"/>
        <v>Inactif</v>
      </c>
      <c r="N93" s="206" t="s">
        <v>507</v>
      </c>
      <c r="O93" s="421" t="s">
        <v>554</v>
      </c>
      <c r="P93" s="421" t="s">
        <v>144</v>
      </c>
      <c r="Q93" s="206">
        <v>9</v>
      </c>
      <c r="R93" s="206" t="s">
        <v>509</v>
      </c>
      <c r="S93" s="421" t="str">
        <f>_xlfn.CONCAT(B93,"-",Tableau8[[#This Row],[To]])</f>
        <v>912-45991</v>
      </c>
      <c r="T93" s="517">
        <v>46049</v>
      </c>
    </row>
    <row r="94" spans="1:20" ht="21" customHeight="1">
      <c r="A94" s="516" t="str">
        <f t="shared" ca="1" si="2"/>
        <v>912-Actif</v>
      </c>
      <c r="B94" s="206">
        <v>912</v>
      </c>
      <c r="C94" s="453">
        <v>46143</v>
      </c>
      <c r="D94" s="453">
        <v>46507</v>
      </c>
      <c r="E94" s="206" t="s">
        <v>511</v>
      </c>
      <c r="F94" s="206" t="s">
        <v>301</v>
      </c>
      <c r="G94" s="206">
        <v>5</v>
      </c>
      <c r="H94" s="206">
        <v>7</v>
      </c>
      <c r="I94" s="206">
        <v>44</v>
      </c>
      <c r="J94" s="206" t="s">
        <v>525</v>
      </c>
      <c r="K94" s="206">
        <v>3</v>
      </c>
      <c r="L94" s="206">
        <v>7</v>
      </c>
      <c r="M94" s="3" t="str">
        <f t="shared" ca="1" si="3"/>
        <v>Actif</v>
      </c>
      <c r="N94" s="206" t="s">
        <v>507</v>
      </c>
      <c r="O94" s="421" t="s">
        <v>493</v>
      </c>
      <c r="P94" s="421" t="s">
        <v>144</v>
      </c>
      <c r="Q94" s="206">
        <v>9</v>
      </c>
      <c r="R94" s="206" t="s">
        <v>494</v>
      </c>
      <c r="S94" s="421" t="str">
        <f>_xlfn.CONCAT(B94,"-",Tableau8[[#This Row],[To]])</f>
        <v>912-46507</v>
      </c>
      <c r="T94" s="527">
        <v>46100</v>
      </c>
    </row>
    <row r="95" spans="1:20" ht="21" customHeight="1">
      <c r="A95" s="516" t="str">
        <f t="shared" ca="1" si="2"/>
        <v>915-Inactif</v>
      </c>
      <c r="B95" s="206">
        <v>915</v>
      </c>
      <c r="C95" s="453">
        <v>45583</v>
      </c>
      <c r="D95" s="453">
        <v>45777</v>
      </c>
      <c r="E95" s="206" t="s">
        <v>537</v>
      </c>
      <c r="F95" s="206" t="s">
        <v>543</v>
      </c>
      <c r="G95" s="206">
        <v>7</v>
      </c>
      <c r="H95" s="206">
        <v>9</v>
      </c>
      <c r="I95" s="206">
        <v>54</v>
      </c>
      <c r="J95" s="206" t="s">
        <v>547</v>
      </c>
      <c r="K95" s="206">
        <v>3</v>
      </c>
      <c r="L95" s="206">
        <v>7</v>
      </c>
      <c r="M95" s="3" t="str">
        <f t="shared" ca="1" si="3"/>
        <v>Inactif</v>
      </c>
      <c r="N95" s="206" t="s">
        <v>267</v>
      </c>
      <c r="O95" s="421" t="s">
        <v>570</v>
      </c>
      <c r="P95" s="421" t="s">
        <v>144</v>
      </c>
      <c r="Q95" s="206">
        <v>13</v>
      </c>
      <c r="R95" s="421"/>
      <c r="S95" s="421" t="str">
        <f>_xlfn.CONCAT(B95,"-",Tableau8[[#This Row],[To]])</f>
        <v>915-45777</v>
      </c>
      <c r="T95" s="517">
        <v>46049</v>
      </c>
    </row>
    <row r="96" spans="1:20" ht="21" customHeight="1">
      <c r="A96" s="516" t="str">
        <f t="shared" ca="1" si="2"/>
        <v>915-Inactif</v>
      </c>
      <c r="B96" s="206">
        <v>915</v>
      </c>
      <c r="C96" s="453">
        <v>45474</v>
      </c>
      <c r="D96" s="453">
        <v>45582</v>
      </c>
      <c r="E96" s="206" t="s">
        <v>571</v>
      </c>
      <c r="F96" s="206" t="s">
        <v>484</v>
      </c>
      <c r="G96" s="206">
        <v>7</v>
      </c>
      <c r="H96" s="206">
        <v>9</v>
      </c>
      <c r="I96" s="206">
        <v>54</v>
      </c>
      <c r="J96" s="206" t="s">
        <v>547</v>
      </c>
      <c r="K96" s="206">
        <v>3</v>
      </c>
      <c r="L96" s="206">
        <v>0</v>
      </c>
      <c r="M96" s="3" t="str">
        <f t="shared" ca="1" si="3"/>
        <v>Inactif</v>
      </c>
      <c r="N96" s="206" t="s">
        <v>267</v>
      </c>
      <c r="O96" s="421" t="s">
        <v>572</v>
      </c>
      <c r="P96" s="421" t="s">
        <v>144</v>
      </c>
      <c r="Q96" s="206">
        <v>13</v>
      </c>
      <c r="R96" s="206"/>
      <c r="S96" s="421" t="str">
        <f>_xlfn.CONCAT(B96,"-",Tableau8[[#This Row],[To]])</f>
        <v>915-45582</v>
      </c>
      <c r="T96" s="517">
        <v>46049</v>
      </c>
    </row>
    <row r="97" spans="1:20" ht="21" customHeight="1">
      <c r="A97" s="516" t="str">
        <f t="shared" ca="1" si="2"/>
        <v>915-Inactif</v>
      </c>
      <c r="B97" s="206">
        <v>915</v>
      </c>
      <c r="C97" s="453">
        <v>45413</v>
      </c>
      <c r="D97" s="453">
        <v>45473</v>
      </c>
      <c r="E97" s="206" t="s">
        <v>571</v>
      </c>
      <c r="F97" s="206" t="s">
        <v>484</v>
      </c>
      <c r="G97" s="206">
        <v>7</v>
      </c>
      <c r="H97" s="206">
        <v>9</v>
      </c>
      <c r="I97" s="206">
        <v>32</v>
      </c>
      <c r="J97" s="206" t="s">
        <v>547</v>
      </c>
      <c r="K97" s="206">
        <v>3</v>
      </c>
      <c r="L97" s="206">
        <v>0</v>
      </c>
      <c r="M97" s="3" t="str">
        <f t="shared" ca="1" si="3"/>
        <v>Inactif</v>
      </c>
      <c r="N97" s="206" t="s">
        <v>267</v>
      </c>
      <c r="O97" s="421" t="s">
        <v>505</v>
      </c>
      <c r="P97" s="421" t="s">
        <v>144</v>
      </c>
      <c r="Q97" s="206">
        <v>38</v>
      </c>
      <c r="R97" s="421"/>
      <c r="S97" s="421" t="str">
        <f>_xlfn.CONCAT(B97,"-",Tableau8[[#This Row],[To]])</f>
        <v>915-45473</v>
      </c>
      <c r="T97" s="517">
        <v>46049</v>
      </c>
    </row>
    <row r="98" spans="1:20" ht="21" customHeight="1">
      <c r="A98" s="516" t="str">
        <f t="shared" ca="1" si="2"/>
        <v>915-Inactif</v>
      </c>
      <c r="B98" s="206">
        <v>915</v>
      </c>
      <c r="C98" s="453">
        <v>45046</v>
      </c>
      <c r="D98" s="453">
        <v>45412</v>
      </c>
      <c r="E98" s="206" t="s">
        <v>502</v>
      </c>
      <c r="F98" s="206" t="s">
        <v>290</v>
      </c>
      <c r="G98" s="206">
        <v>1</v>
      </c>
      <c r="H98" s="206">
        <v>3</v>
      </c>
      <c r="I98" s="206">
        <v>31</v>
      </c>
      <c r="J98" s="206" t="s">
        <v>547</v>
      </c>
      <c r="K98" s="206">
        <v>3</v>
      </c>
      <c r="L98" s="206">
        <v>0</v>
      </c>
      <c r="M98" s="3" t="str">
        <f t="shared" ca="1" si="3"/>
        <v>Inactif</v>
      </c>
      <c r="N98" s="206" t="s">
        <v>267</v>
      </c>
      <c r="O98" s="421" t="s">
        <v>546</v>
      </c>
      <c r="P98" s="421" t="s">
        <v>144</v>
      </c>
      <c r="Q98" s="206"/>
      <c r="R98" s="421"/>
      <c r="S98" s="421" t="str">
        <f>_xlfn.CONCAT(B98,"-",Tableau8[[#This Row],[To]])</f>
        <v>915-45412</v>
      </c>
      <c r="T98" s="517">
        <v>46049</v>
      </c>
    </row>
    <row r="99" spans="1:20" ht="21" customHeight="1">
      <c r="A99" s="516" t="str">
        <f t="shared" ca="1" si="2"/>
        <v>915-Inactif</v>
      </c>
      <c r="B99" s="206">
        <v>915</v>
      </c>
      <c r="C99" s="453">
        <v>45992</v>
      </c>
      <c r="D99" s="453">
        <v>46142</v>
      </c>
      <c r="E99" s="206" t="s">
        <v>571</v>
      </c>
      <c r="F99" s="206" t="s">
        <v>295</v>
      </c>
      <c r="G99" s="206">
        <v>2</v>
      </c>
      <c r="H99" s="206">
        <v>4</v>
      </c>
      <c r="I99" s="206">
        <v>49</v>
      </c>
      <c r="J99" s="206" t="s">
        <v>547</v>
      </c>
      <c r="K99" s="206">
        <v>3</v>
      </c>
      <c r="L99" s="206">
        <v>14</v>
      </c>
      <c r="M99" s="3" t="str">
        <f t="shared" ca="1" si="3"/>
        <v>Inactif</v>
      </c>
      <c r="N99" s="206" t="s">
        <v>507</v>
      </c>
      <c r="O99" s="421" t="s">
        <v>573</v>
      </c>
      <c r="P99" s="421" t="s">
        <v>144</v>
      </c>
      <c r="Q99" s="206">
        <v>13</v>
      </c>
      <c r="R99" s="206" t="s">
        <v>555</v>
      </c>
      <c r="S99" s="421" t="str">
        <f>_xlfn.CONCAT(B99,"-",Tableau8[[#This Row],[To]])</f>
        <v>915-46142</v>
      </c>
      <c r="T99" s="517">
        <v>46049</v>
      </c>
    </row>
    <row r="100" spans="1:20" ht="21" customHeight="1">
      <c r="A100" s="516" t="str">
        <f t="shared" ca="1" si="2"/>
        <v>915-Inactif</v>
      </c>
      <c r="B100" s="206">
        <v>915</v>
      </c>
      <c r="C100" s="453">
        <v>45951</v>
      </c>
      <c r="D100" s="453">
        <v>45991</v>
      </c>
      <c r="E100" s="206" t="s">
        <v>571</v>
      </c>
      <c r="F100" s="206" t="s">
        <v>295</v>
      </c>
      <c r="G100" s="206">
        <v>2</v>
      </c>
      <c r="H100" s="206">
        <v>4</v>
      </c>
      <c r="I100" s="206">
        <v>49</v>
      </c>
      <c r="J100" s="206" t="s">
        <v>547</v>
      </c>
      <c r="K100" s="206">
        <v>3</v>
      </c>
      <c r="L100" s="206">
        <v>7</v>
      </c>
      <c r="M100" s="3" t="str">
        <f t="shared" ca="1" si="3"/>
        <v>Inactif</v>
      </c>
      <c r="N100" s="206" t="s">
        <v>507</v>
      </c>
      <c r="O100" s="421" t="s">
        <v>574</v>
      </c>
      <c r="P100" s="421" t="s">
        <v>144</v>
      </c>
      <c r="Q100" s="206">
        <v>13</v>
      </c>
      <c r="R100" s="206" t="s">
        <v>555</v>
      </c>
      <c r="S100" s="421" t="str">
        <f>_xlfn.CONCAT(B100,"-",Tableau8[[#This Row],[To]])</f>
        <v>915-45991</v>
      </c>
      <c r="T100" s="517">
        <v>46049</v>
      </c>
    </row>
    <row r="101" spans="1:20" ht="21" customHeight="1">
      <c r="A101" s="516" t="str">
        <f t="shared" ca="1" si="2"/>
        <v>915-Inactif</v>
      </c>
      <c r="B101" s="206">
        <v>915</v>
      </c>
      <c r="C101" s="453">
        <v>45778</v>
      </c>
      <c r="D101" s="453">
        <v>45950</v>
      </c>
      <c r="E101" s="206" t="s">
        <v>502</v>
      </c>
      <c r="F101" s="206" t="s">
        <v>295</v>
      </c>
      <c r="G101" s="206">
        <v>2</v>
      </c>
      <c r="H101" s="206">
        <v>4</v>
      </c>
      <c r="I101" s="206">
        <v>49</v>
      </c>
      <c r="J101" s="206" t="s">
        <v>547</v>
      </c>
      <c r="K101" s="206">
        <v>3</v>
      </c>
      <c r="L101" s="206">
        <v>7</v>
      </c>
      <c r="M101" s="3" t="str">
        <f t="shared" ca="1" si="3"/>
        <v>Inactif</v>
      </c>
      <c r="N101" s="206" t="s">
        <v>507</v>
      </c>
      <c r="O101" s="421" t="s">
        <v>554</v>
      </c>
      <c r="P101" s="421" t="s">
        <v>144</v>
      </c>
      <c r="Q101" s="206">
        <v>13</v>
      </c>
      <c r="R101" s="206" t="s">
        <v>555</v>
      </c>
      <c r="S101" s="421" t="str">
        <f>_xlfn.CONCAT(B101,"-",Tableau8[[#This Row],[To]])</f>
        <v>915-45950</v>
      </c>
      <c r="T101" s="517">
        <v>46049</v>
      </c>
    </row>
    <row r="102" spans="1:20" ht="21" customHeight="1">
      <c r="A102" s="516" t="str">
        <f t="shared" ca="1" si="2"/>
        <v>915-Actif</v>
      </c>
      <c r="B102" s="206">
        <v>915</v>
      </c>
      <c r="C102" s="453">
        <v>46143</v>
      </c>
      <c r="D102" s="453">
        <v>46507</v>
      </c>
      <c r="E102" s="206" t="s">
        <v>502</v>
      </c>
      <c r="F102" s="206" t="s">
        <v>259</v>
      </c>
      <c r="G102" s="206">
        <v>7</v>
      </c>
      <c r="H102" s="206">
        <v>10</v>
      </c>
      <c r="I102" s="206">
        <v>43</v>
      </c>
      <c r="J102" s="206" t="s">
        <v>547</v>
      </c>
      <c r="K102" s="206">
        <v>3</v>
      </c>
      <c r="L102" s="206">
        <v>14</v>
      </c>
      <c r="M102" s="3" t="str">
        <f t="shared" ca="1" si="3"/>
        <v>Actif</v>
      </c>
      <c r="N102" s="206" t="s">
        <v>507</v>
      </c>
      <c r="O102" s="421" t="s">
        <v>493</v>
      </c>
      <c r="P102" s="421" t="s">
        <v>144</v>
      </c>
      <c r="Q102" s="206">
        <v>13</v>
      </c>
      <c r="R102" s="519" t="s">
        <v>575</v>
      </c>
      <c r="S102" s="421" t="str">
        <f>_xlfn.CONCAT(B102,"-",Tableau8[[#This Row],[To]])</f>
        <v>915-46507</v>
      </c>
      <c r="T102" s="527">
        <v>46100</v>
      </c>
    </row>
    <row r="103" spans="1:20" ht="21" customHeight="1">
      <c r="A103" s="516" t="str">
        <f t="shared" ca="1" si="2"/>
        <v>916-Inactif</v>
      </c>
      <c r="B103" s="206">
        <v>916</v>
      </c>
      <c r="C103" s="453">
        <v>45046</v>
      </c>
      <c r="D103" s="453">
        <v>45412</v>
      </c>
      <c r="E103" s="206" t="s">
        <v>525</v>
      </c>
      <c r="F103" s="206" t="s">
        <v>259</v>
      </c>
      <c r="G103" s="206">
        <v>2</v>
      </c>
      <c r="H103" s="206">
        <v>4</v>
      </c>
      <c r="I103" s="206">
        <v>37</v>
      </c>
      <c r="J103" s="206" t="s">
        <v>519</v>
      </c>
      <c r="K103" s="206">
        <v>3</v>
      </c>
      <c r="L103" s="206">
        <v>0</v>
      </c>
      <c r="M103" s="3" t="str">
        <f t="shared" ca="1" si="3"/>
        <v>Inactif</v>
      </c>
      <c r="N103" s="206" t="s">
        <v>275</v>
      </c>
      <c r="O103" s="421" t="s">
        <v>546</v>
      </c>
      <c r="P103" s="421" t="s">
        <v>144</v>
      </c>
      <c r="Q103" s="206"/>
      <c r="R103" s="421"/>
      <c r="S103" s="421" t="str">
        <f>_xlfn.CONCAT(B103,"-",Tableau8[[#This Row],[To]])</f>
        <v>916-45412</v>
      </c>
      <c r="T103" s="517">
        <v>46049</v>
      </c>
    </row>
    <row r="104" spans="1:20" ht="21" customHeight="1">
      <c r="A104" s="516" t="str">
        <f t="shared" ca="1" si="2"/>
        <v>916-Inactif</v>
      </c>
      <c r="B104" s="206">
        <v>916</v>
      </c>
      <c r="C104" s="453">
        <v>45778</v>
      </c>
      <c r="D104" s="453">
        <v>46142</v>
      </c>
      <c r="E104" s="206" t="s">
        <v>525</v>
      </c>
      <c r="F104" s="206" t="s">
        <v>484</v>
      </c>
      <c r="G104" s="206">
        <v>3</v>
      </c>
      <c r="H104" s="206">
        <v>5</v>
      </c>
      <c r="I104" s="206">
        <v>31</v>
      </c>
      <c r="J104" s="206" t="s">
        <v>519</v>
      </c>
      <c r="K104" s="206">
        <v>3</v>
      </c>
      <c r="L104" s="206">
        <v>7</v>
      </c>
      <c r="M104" s="3" t="str">
        <f t="shared" ca="1" si="3"/>
        <v>Inactif</v>
      </c>
      <c r="N104" s="206" t="s">
        <v>517</v>
      </c>
      <c r="O104" s="421" t="s">
        <v>486</v>
      </c>
      <c r="P104" s="421" t="s">
        <v>144</v>
      </c>
      <c r="Q104" s="206">
        <v>13</v>
      </c>
      <c r="R104" s="206" t="s">
        <v>487</v>
      </c>
      <c r="S104" s="421" t="str">
        <f>_xlfn.CONCAT(B104,"-",Tableau8[[#This Row],[To]])</f>
        <v>916-46142</v>
      </c>
      <c r="T104" s="517">
        <v>46049</v>
      </c>
    </row>
    <row r="105" spans="1:20" ht="21" customHeight="1">
      <c r="A105" s="516" t="str">
        <f t="shared" ca="1" si="2"/>
        <v>916-Inactif</v>
      </c>
      <c r="B105" s="206">
        <v>916</v>
      </c>
      <c r="C105" s="453">
        <v>45474</v>
      </c>
      <c r="D105" s="453">
        <v>45777</v>
      </c>
      <c r="E105" s="206" t="s">
        <v>525</v>
      </c>
      <c r="F105" s="206" t="s">
        <v>259</v>
      </c>
      <c r="G105" s="206">
        <v>2</v>
      </c>
      <c r="H105" s="206">
        <v>4</v>
      </c>
      <c r="I105" s="206">
        <v>36</v>
      </c>
      <c r="J105" s="206" t="s">
        <v>519</v>
      </c>
      <c r="K105" s="206">
        <v>3</v>
      </c>
      <c r="L105" s="206">
        <v>0</v>
      </c>
      <c r="M105" s="3" t="str">
        <f t="shared" ca="1" si="3"/>
        <v>Inactif</v>
      </c>
      <c r="N105" s="206" t="s">
        <v>517</v>
      </c>
      <c r="O105" s="421"/>
      <c r="P105" s="421" t="s">
        <v>144</v>
      </c>
      <c r="Q105" s="206">
        <v>13</v>
      </c>
      <c r="R105" s="421"/>
      <c r="S105" s="421" t="str">
        <f>_xlfn.CONCAT(B105,"-",Tableau8[[#This Row],[To]])</f>
        <v>916-45777</v>
      </c>
      <c r="T105" s="517">
        <v>46049</v>
      </c>
    </row>
    <row r="106" spans="1:20" ht="21" customHeight="1">
      <c r="A106" s="516" t="str">
        <f t="shared" ca="1" si="2"/>
        <v>916-Inactif</v>
      </c>
      <c r="B106" s="206">
        <v>916</v>
      </c>
      <c r="C106" s="453">
        <v>45413</v>
      </c>
      <c r="D106" s="453">
        <v>45473</v>
      </c>
      <c r="E106" s="206" t="s">
        <v>525</v>
      </c>
      <c r="F106" s="206" t="s">
        <v>259</v>
      </c>
      <c r="G106" s="206">
        <v>2</v>
      </c>
      <c r="H106" s="206">
        <v>4</v>
      </c>
      <c r="I106" s="206">
        <v>36</v>
      </c>
      <c r="J106" s="206" t="s">
        <v>519</v>
      </c>
      <c r="K106" s="206">
        <v>3</v>
      </c>
      <c r="L106" s="206">
        <v>0</v>
      </c>
      <c r="M106" s="3" t="str">
        <f t="shared" ca="1" si="3"/>
        <v>Inactif</v>
      </c>
      <c r="N106" s="206" t="s">
        <v>517</v>
      </c>
      <c r="O106" s="421"/>
      <c r="P106" s="421" t="s">
        <v>144</v>
      </c>
      <c r="Q106" s="206">
        <v>10</v>
      </c>
      <c r="R106" s="421"/>
      <c r="S106" s="421" t="str">
        <f>_xlfn.CONCAT(B106,"-",Tableau8[[#This Row],[To]])</f>
        <v>916-45473</v>
      </c>
      <c r="T106" s="517">
        <v>46049</v>
      </c>
    </row>
    <row r="107" spans="1:20" ht="21" customHeight="1">
      <c r="A107" s="516" t="str">
        <f t="shared" ca="1" si="2"/>
        <v>916-Actif</v>
      </c>
      <c r="B107" s="206">
        <v>916</v>
      </c>
      <c r="C107" s="453">
        <v>46143</v>
      </c>
      <c r="D107" s="453">
        <v>46507</v>
      </c>
      <c r="E107" s="206" t="s">
        <v>525</v>
      </c>
      <c r="F107" s="206" t="s">
        <v>484</v>
      </c>
      <c r="G107" s="206">
        <v>3</v>
      </c>
      <c r="H107" s="206">
        <v>5</v>
      </c>
      <c r="I107" s="206">
        <v>31</v>
      </c>
      <c r="J107" s="206" t="s">
        <v>519</v>
      </c>
      <c r="K107" s="206">
        <v>3</v>
      </c>
      <c r="L107" s="206">
        <v>7</v>
      </c>
      <c r="M107" s="3" t="str">
        <f t="shared" ca="1" si="3"/>
        <v>Actif</v>
      </c>
      <c r="N107" s="206" t="s">
        <v>517</v>
      </c>
      <c r="O107" s="421" t="s">
        <v>549</v>
      </c>
      <c r="P107" s="421" t="s">
        <v>144</v>
      </c>
      <c r="Q107" s="206">
        <v>13</v>
      </c>
      <c r="R107" s="206" t="s">
        <v>494</v>
      </c>
      <c r="S107" s="421" t="str">
        <f>_xlfn.CONCAT(B107,"-",Tableau8[[#This Row],[To]])</f>
        <v>916-46507</v>
      </c>
      <c r="T107" s="527">
        <v>46100</v>
      </c>
    </row>
    <row r="108" spans="1:20" ht="21" customHeight="1">
      <c r="A108" s="516" t="str">
        <f t="shared" ca="1" si="2"/>
        <v>917-Inactif</v>
      </c>
      <c r="B108" s="206">
        <v>917</v>
      </c>
      <c r="C108" s="453">
        <v>45474</v>
      </c>
      <c r="D108" s="453">
        <v>45777</v>
      </c>
      <c r="E108" s="206" t="s">
        <v>571</v>
      </c>
      <c r="F108" s="206" t="s">
        <v>484</v>
      </c>
      <c r="G108" s="206">
        <v>7</v>
      </c>
      <c r="H108" s="206">
        <v>9</v>
      </c>
      <c r="I108" s="206">
        <v>56</v>
      </c>
      <c r="J108" s="206" t="s">
        <v>558</v>
      </c>
      <c r="K108" s="206">
        <v>3</v>
      </c>
      <c r="L108" s="206">
        <v>7</v>
      </c>
      <c r="M108" s="3" t="str">
        <f t="shared" ca="1" si="3"/>
        <v>Inactif</v>
      </c>
      <c r="N108" s="206" t="s">
        <v>267</v>
      </c>
      <c r="O108" s="421" t="s">
        <v>576</v>
      </c>
      <c r="P108" s="421" t="s">
        <v>144</v>
      </c>
      <c r="Q108" s="206">
        <v>14</v>
      </c>
      <c r="R108" s="206"/>
      <c r="S108" s="421" t="str">
        <f>_xlfn.CONCAT(B108,"-",Tableau8[[#This Row],[To]])</f>
        <v>917-45777</v>
      </c>
      <c r="T108" s="517">
        <v>46049</v>
      </c>
    </row>
    <row r="109" spans="1:20" ht="21" customHeight="1">
      <c r="A109" s="516" t="str">
        <f t="shared" ca="1" si="2"/>
        <v>917-Inactif</v>
      </c>
      <c r="B109" s="206">
        <v>917</v>
      </c>
      <c r="C109" s="453">
        <v>45413</v>
      </c>
      <c r="D109" s="453">
        <v>45473</v>
      </c>
      <c r="E109" s="206" t="s">
        <v>571</v>
      </c>
      <c r="F109" s="206" t="s">
        <v>484</v>
      </c>
      <c r="G109" s="206">
        <v>7</v>
      </c>
      <c r="H109" s="206">
        <v>9</v>
      </c>
      <c r="I109" s="206">
        <v>29</v>
      </c>
      <c r="J109" s="206" t="s">
        <v>558</v>
      </c>
      <c r="K109" s="206">
        <v>3</v>
      </c>
      <c r="L109" s="206">
        <v>0</v>
      </c>
      <c r="M109" s="3" t="str">
        <f t="shared" ca="1" si="3"/>
        <v>Inactif</v>
      </c>
      <c r="N109" s="206" t="s">
        <v>267</v>
      </c>
      <c r="O109" s="421" t="s">
        <v>505</v>
      </c>
      <c r="P109" s="421" t="s">
        <v>144</v>
      </c>
      <c r="Q109" s="206">
        <v>47</v>
      </c>
      <c r="R109" s="421"/>
      <c r="S109" s="421" t="str">
        <f>_xlfn.CONCAT(B109,"-",Tableau8[[#This Row],[To]])</f>
        <v>917-45473</v>
      </c>
      <c r="T109" s="517">
        <v>46049</v>
      </c>
    </row>
    <row r="110" spans="1:20" ht="21" customHeight="1">
      <c r="A110" s="516" t="str">
        <f t="shared" ca="1" si="2"/>
        <v>917-Inactif</v>
      </c>
      <c r="B110" s="206">
        <v>917</v>
      </c>
      <c r="C110" s="453">
        <v>45046</v>
      </c>
      <c r="D110" s="453">
        <v>45412</v>
      </c>
      <c r="E110" s="206" t="s">
        <v>502</v>
      </c>
      <c r="F110" s="206" t="s">
        <v>290</v>
      </c>
      <c r="G110" s="206">
        <v>1</v>
      </c>
      <c r="H110" s="206">
        <v>3</v>
      </c>
      <c r="I110" s="206">
        <v>29</v>
      </c>
      <c r="J110" s="206" t="s">
        <v>551</v>
      </c>
      <c r="K110" s="206">
        <v>3</v>
      </c>
      <c r="L110" s="206">
        <v>0</v>
      </c>
      <c r="M110" s="3" t="str">
        <f t="shared" ca="1" si="3"/>
        <v>Inactif</v>
      </c>
      <c r="N110" s="206" t="s">
        <v>267</v>
      </c>
      <c r="O110" s="421" t="s">
        <v>546</v>
      </c>
      <c r="P110" s="421" t="s">
        <v>144</v>
      </c>
      <c r="Q110" s="206">
        <v>14</v>
      </c>
      <c r="R110" s="421"/>
      <c r="S110" s="421" t="str">
        <f>_xlfn.CONCAT(B110,"-",Tableau8[[#This Row],[To]])</f>
        <v>917-45412</v>
      </c>
      <c r="T110" s="517">
        <v>46049</v>
      </c>
    </row>
    <row r="111" spans="1:20" ht="21" customHeight="1">
      <c r="A111" s="516" t="str">
        <f t="shared" ca="1" si="2"/>
        <v>917-Inactif</v>
      </c>
      <c r="B111" s="206">
        <v>917</v>
      </c>
      <c r="C111" s="453">
        <v>45962</v>
      </c>
      <c r="D111" s="453">
        <v>46142</v>
      </c>
      <c r="E111" s="206" t="s">
        <v>502</v>
      </c>
      <c r="F111" s="206" t="s">
        <v>484</v>
      </c>
      <c r="G111" s="206">
        <v>7</v>
      </c>
      <c r="H111" s="206">
        <v>9</v>
      </c>
      <c r="I111" s="206">
        <v>49</v>
      </c>
      <c r="J111" s="206" t="s">
        <v>558</v>
      </c>
      <c r="K111" s="206">
        <v>3</v>
      </c>
      <c r="L111" s="206">
        <v>7</v>
      </c>
      <c r="M111" s="3" t="str">
        <f t="shared" ca="1" si="3"/>
        <v>Inactif</v>
      </c>
      <c r="N111" s="206" t="s">
        <v>507</v>
      </c>
      <c r="O111" s="421" t="s">
        <v>577</v>
      </c>
      <c r="P111" s="421" t="s">
        <v>144</v>
      </c>
      <c r="Q111" s="206">
        <v>14</v>
      </c>
      <c r="R111" s="206" t="s">
        <v>578</v>
      </c>
      <c r="S111" s="421" t="str">
        <f>_xlfn.CONCAT(B111,"-",Tableau8[[#This Row],[To]])</f>
        <v>917-46142</v>
      </c>
      <c r="T111" s="517">
        <v>46049</v>
      </c>
    </row>
    <row r="112" spans="1:20" ht="21" customHeight="1">
      <c r="A112" s="516" t="str">
        <f t="shared" ca="1" si="2"/>
        <v>917-Inactif</v>
      </c>
      <c r="B112" s="206">
        <v>917</v>
      </c>
      <c r="C112" s="453">
        <v>45794</v>
      </c>
      <c r="D112" s="453">
        <v>45961</v>
      </c>
      <c r="E112" s="206" t="s">
        <v>502</v>
      </c>
      <c r="F112" s="206" t="s">
        <v>484</v>
      </c>
      <c r="G112" s="206">
        <v>7</v>
      </c>
      <c r="H112" s="206">
        <v>9</v>
      </c>
      <c r="I112" s="206">
        <v>49</v>
      </c>
      <c r="J112" s="206" t="s">
        <v>558</v>
      </c>
      <c r="K112" s="206">
        <v>3</v>
      </c>
      <c r="L112" s="206">
        <v>7</v>
      </c>
      <c r="M112" s="3" t="str">
        <f t="shared" ca="1" si="3"/>
        <v>Inactif</v>
      </c>
      <c r="N112" s="206" t="s">
        <v>507</v>
      </c>
      <c r="O112" s="421" t="s">
        <v>577</v>
      </c>
      <c r="P112" s="421" t="s">
        <v>144</v>
      </c>
      <c r="Q112" s="206">
        <v>14</v>
      </c>
      <c r="R112" s="206" t="s">
        <v>578</v>
      </c>
      <c r="S112" s="421" t="str">
        <f>_xlfn.CONCAT(B112,"-",Tableau8[[#This Row],[To]])</f>
        <v>917-45961</v>
      </c>
      <c r="T112" s="517">
        <v>46049</v>
      </c>
    </row>
    <row r="113" spans="1:20" ht="21" customHeight="1">
      <c r="A113" s="516" t="str">
        <f t="shared" ca="1" si="2"/>
        <v>917-Inactif</v>
      </c>
      <c r="B113" s="206">
        <v>917</v>
      </c>
      <c r="C113" s="453">
        <v>45778</v>
      </c>
      <c r="D113" s="453">
        <v>45793</v>
      </c>
      <c r="E113" s="206" t="s">
        <v>502</v>
      </c>
      <c r="F113" s="206" t="s">
        <v>484</v>
      </c>
      <c r="G113" s="206">
        <v>7</v>
      </c>
      <c r="H113" s="206">
        <v>9</v>
      </c>
      <c r="I113" s="206">
        <v>42</v>
      </c>
      <c r="J113" s="206" t="s">
        <v>558</v>
      </c>
      <c r="K113" s="206">
        <v>3</v>
      </c>
      <c r="L113" s="206">
        <v>14</v>
      </c>
      <c r="M113" s="3" t="str">
        <f t="shared" ca="1" si="3"/>
        <v>Inactif</v>
      </c>
      <c r="N113" s="206" t="s">
        <v>507</v>
      </c>
      <c r="O113" s="421" t="s">
        <v>554</v>
      </c>
      <c r="P113" s="421" t="s">
        <v>144</v>
      </c>
      <c r="Q113" s="206">
        <v>14</v>
      </c>
      <c r="R113" s="206" t="s">
        <v>578</v>
      </c>
      <c r="S113" s="421" t="str">
        <f>_xlfn.CONCAT(B113,"-",Tableau8[[#This Row],[To]])</f>
        <v>917-45793</v>
      </c>
      <c r="T113" s="517">
        <v>46049</v>
      </c>
    </row>
    <row r="114" spans="1:20" ht="21" customHeight="1">
      <c r="A114" s="516" t="str">
        <f t="shared" ca="1" si="2"/>
        <v>917-Actif</v>
      </c>
      <c r="B114" s="206">
        <v>917</v>
      </c>
      <c r="C114" s="453">
        <v>46143</v>
      </c>
      <c r="D114" s="453">
        <v>46507</v>
      </c>
      <c r="E114" s="206" t="s">
        <v>502</v>
      </c>
      <c r="F114" s="206" t="s">
        <v>290</v>
      </c>
      <c r="G114" s="206">
        <v>1</v>
      </c>
      <c r="H114" s="206">
        <v>2</v>
      </c>
      <c r="I114" s="206">
        <v>37</v>
      </c>
      <c r="J114" s="206" t="s">
        <v>551</v>
      </c>
      <c r="K114" s="206">
        <v>3</v>
      </c>
      <c r="L114" s="206">
        <v>14</v>
      </c>
      <c r="M114" s="3" t="str">
        <f t="shared" ca="1" si="3"/>
        <v>Actif</v>
      </c>
      <c r="N114" s="206" t="s">
        <v>507</v>
      </c>
      <c r="O114" s="421" t="s">
        <v>493</v>
      </c>
      <c r="P114" s="421" t="s">
        <v>144</v>
      </c>
      <c r="Q114" s="206">
        <v>14</v>
      </c>
      <c r="R114" s="206" t="s">
        <v>575</v>
      </c>
      <c r="S114" s="421" t="str">
        <f>_xlfn.CONCAT(B114,"-",Tableau8[[#This Row],[To]])</f>
        <v>917-46507</v>
      </c>
      <c r="T114" s="527">
        <v>46100</v>
      </c>
    </row>
    <row r="115" spans="1:20" ht="21" customHeight="1">
      <c r="A115" s="516" t="str">
        <f t="shared" ca="1" si="2"/>
        <v>918-Inactif</v>
      </c>
      <c r="B115" s="206">
        <v>918</v>
      </c>
      <c r="C115" s="453">
        <v>45474</v>
      </c>
      <c r="D115" s="453">
        <v>45777</v>
      </c>
      <c r="E115" s="206" t="s">
        <v>537</v>
      </c>
      <c r="F115" s="206" t="s">
        <v>259</v>
      </c>
      <c r="G115" s="206">
        <v>5</v>
      </c>
      <c r="H115" s="206">
        <v>7</v>
      </c>
      <c r="I115" s="206">
        <v>45</v>
      </c>
      <c r="J115" s="206" t="s">
        <v>519</v>
      </c>
      <c r="K115" s="206">
        <v>3</v>
      </c>
      <c r="L115" s="206">
        <v>0</v>
      </c>
      <c r="M115" s="3" t="str">
        <f t="shared" ca="1" si="3"/>
        <v>Inactif</v>
      </c>
      <c r="N115" s="206" t="s">
        <v>267</v>
      </c>
      <c r="O115" s="421" t="s">
        <v>579</v>
      </c>
      <c r="P115" s="421" t="s">
        <v>144</v>
      </c>
      <c r="Q115" s="206">
        <v>14</v>
      </c>
      <c r="R115" s="206"/>
      <c r="S115" s="421" t="str">
        <f>_xlfn.CONCAT(B115,"-",Tableau8[[#This Row],[To]])</f>
        <v>918-45777</v>
      </c>
      <c r="T115" s="517">
        <v>46049</v>
      </c>
    </row>
    <row r="116" spans="1:20" ht="15">
      <c r="A116" s="516" t="str">
        <f t="shared" ca="1" si="2"/>
        <v>918-Inactif</v>
      </c>
      <c r="B116" s="206">
        <v>918</v>
      </c>
      <c r="C116" s="453">
        <v>45046</v>
      </c>
      <c r="D116" s="453">
        <v>45473</v>
      </c>
      <c r="E116" s="206" t="s">
        <v>502</v>
      </c>
      <c r="F116" s="206" t="s">
        <v>259</v>
      </c>
      <c r="G116" s="206">
        <v>5</v>
      </c>
      <c r="H116" s="206">
        <v>8</v>
      </c>
      <c r="I116" s="206">
        <v>28</v>
      </c>
      <c r="J116" s="206" t="s">
        <v>519</v>
      </c>
      <c r="K116" s="206">
        <v>3</v>
      </c>
      <c r="L116" s="206">
        <v>0</v>
      </c>
      <c r="M116" s="3" t="str">
        <f t="shared" ca="1" si="3"/>
        <v>Inactif</v>
      </c>
      <c r="N116" s="206" t="s">
        <v>267</v>
      </c>
      <c r="O116" s="421" t="s">
        <v>546</v>
      </c>
      <c r="P116" s="421" t="s">
        <v>144</v>
      </c>
      <c r="Q116" s="206">
        <v>15</v>
      </c>
      <c r="R116" s="421"/>
      <c r="S116" s="421" t="str">
        <f>_xlfn.CONCAT(B116,"-",Tableau8[[#This Row],[To]])</f>
        <v>918-45473</v>
      </c>
      <c r="T116" s="517">
        <v>46049</v>
      </c>
    </row>
    <row r="117" spans="1:20" ht="21" customHeight="1">
      <c r="A117" s="516" t="str">
        <f t="shared" ca="1" si="2"/>
        <v>918-Inactif</v>
      </c>
      <c r="B117" s="206">
        <v>918</v>
      </c>
      <c r="C117" s="453">
        <v>45992</v>
      </c>
      <c r="D117" s="453">
        <v>46142</v>
      </c>
      <c r="E117" s="206" t="s">
        <v>502</v>
      </c>
      <c r="F117" s="206" t="s">
        <v>259</v>
      </c>
      <c r="G117" s="206">
        <v>5</v>
      </c>
      <c r="H117" s="206">
        <v>7</v>
      </c>
      <c r="I117" s="206">
        <v>45</v>
      </c>
      <c r="J117" s="206" t="s">
        <v>519</v>
      </c>
      <c r="K117" s="206">
        <v>3</v>
      </c>
      <c r="L117" s="206">
        <v>7</v>
      </c>
      <c r="M117" s="3" t="str">
        <f t="shared" ca="1" si="3"/>
        <v>Inactif</v>
      </c>
      <c r="N117" s="206" t="s">
        <v>507</v>
      </c>
      <c r="O117" s="421" t="s">
        <v>573</v>
      </c>
      <c r="P117" s="421" t="s">
        <v>144</v>
      </c>
      <c r="Q117" s="206">
        <v>14</v>
      </c>
      <c r="R117" s="206"/>
      <c r="S117" s="421" t="str">
        <f>_xlfn.CONCAT(B117,"-",Tableau8[[#This Row],[To]])</f>
        <v>918-46142</v>
      </c>
      <c r="T117" s="517">
        <v>46049</v>
      </c>
    </row>
    <row r="118" spans="1:20" ht="21" customHeight="1">
      <c r="A118" s="516" t="str">
        <f t="shared" ca="1" si="2"/>
        <v>918-Inactif</v>
      </c>
      <c r="B118" s="206">
        <v>918</v>
      </c>
      <c r="C118" s="453">
        <v>45977</v>
      </c>
      <c r="D118" s="453">
        <v>45991</v>
      </c>
      <c r="E118" s="206" t="s">
        <v>502</v>
      </c>
      <c r="F118" s="206" t="s">
        <v>259</v>
      </c>
      <c r="G118" s="206">
        <v>5</v>
      </c>
      <c r="H118" s="206">
        <v>7</v>
      </c>
      <c r="I118" s="206">
        <v>45</v>
      </c>
      <c r="J118" s="206" t="s">
        <v>519</v>
      </c>
      <c r="K118" s="206">
        <v>3</v>
      </c>
      <c r="L118" s="206">
        <v>0</v>
      </c>
      <c r="M118" s="3" t="str">
        <f t="shared" ca="1" si="3"/>
        <v>Inactif</v>
      </c>
      <c r="N118" s="206" t="s">
        <v>507</v>
      </c>
      <c r="O118" s="421" t="s">
        <v>580</v>
      </c>
      <c r="P118" s="421" t="s">
        <v>144</v>
      </c>
      <c r="Q118" s="206">
        <v>14</v>
      </c>
      <c r="R118" s="206"/>
      <c r="S118" s="421" t="str">
        <f>_xlfn.CONCAT(B118,"-",Tableau8[[#This Row],[To]])</f>
        <v>918-45991</v>
      </c>
      <c r="T118" s="517">
        <v>46049</v>
      </c>
    </row>
    <row r="119" spans="1:20" ht="21" customHeight="1">
      <c r="A119" s="516" t="str">
        <f t="shared" ca="1" si="2"/>
        <v>918-Inactif</v>
      </c>
      <c r="B119" s="206">
        <v>918</v>
      </c>
      <c r="C119" s="453">
        <v>45778</v>
      </c>
      <c r="D119" s="453">
        <v>45976</v>
      </c>
      <c r="E119" s="206" t="s">
        <v>502</v>
      </c>
      <c r="F119" s="206" t="s">
        <v>259</v>
      </c>
      <c r="G119" s="206">
        <v>4</v>
      </c>
      <c r="H119" s="206">
        <v>6</v>
      </c>
      <c r="I119" s="206">
        <v>45</v>
      </c>
      <c r="J119" s="206" t="s">
        <v>519</v>
      </c>
      <c r="K119" s="206">
        <v>3</v>
      </c>
      <c r="L119" s="206">
        <v>7</v>
      </c>
      <c r="M119" s="3" t="str">
        <f t="shared" ca="1" si="3"/>
        <v>Inactif</v>
      </c>
      <c r="N119" s="206" t="s">
        <v>507</v>
      </c>
      <c r="O119" s="421" t="s">
        <v>554</v>
      </c>
      <c r="P119" s="421" t="s">
        <v>144</v>
      </c>
      <c r="Q119" s="206">
        <v>14</v>
      </c>
      <c r="R119" s="206"/>
      <c r="S119" s="8" t="str">
        <f>_xlfn.CONCAT(B119,"-",Tableau8[[#This Row],[To]])</f>
        <v>918-45976</v>
      </c>
      <c r="T119" s="517">
        <v>46049</v>
      </c>
    </row>
    <row r="120" spans="1:20" ht="21" customHeight="1">
      <c r="A120" s="516" t="str">
        <f t="shared" ca="1" si="2"/>
        <v>918-Actif</v>
      </c>
      <c r="B120" s="206">
        <v>918</v>
      </c>
      <c r="C120" s="453">
        <v>46143</v>
      </c>
      <c r="D120" s="453">
        <v>46507</v>
      </c>
      <c r="E120" s="206" t="s">
        <v>502</v>
      </c>
      <c r="F120" s="206" t="s">
        <v>484</v>
      </c>
      <c r="G120" s="206">
        <v>7</v>
      </c>
      <c r="H120" s="206">
        <v>9</v>
      </c>
      <c r="I120" s="206">
        <v>36</v>
      </c>
      <c r="J120" s="206" t="s">
        <v>519</v>
      </c>
      <c r="K120" s="206">
        <v>3</v>
      </c>
      <c r="L120" s="206">
        <v>14</v>
      </c>
      <c r="M120" s="3" t="str">
        <f t="shared" ca="1" si="3"/>
        <v>Actif</v>
      </c>
      <c r="N120" s="206" t="s">
        <v>507</v>
      </c>
      <c r="O120" s="421" t="s">
        <v>493</v>
      </c>
      <c r="P120" s="421" t="s">
        <v>144</v>
      </c>
      <c r="Q120" s="206">
        <v>14</v>
      </c>
      <c r="R120" s="206" t="s">
        <v>494</v>
      </c>
      <c r="S120" s="421" t="str">
        <f>_xlfn.CONCAT(B120,"-",Tableau8[[#This Row],[To]])</f>
        <v>918-46507</v>
      </c>
      <c r="T120" s="527">
        <v>46100</v>
      </c>
    </row>
    <row r="121" spans="1:20" ht="21" customHeight="1">
      <c r="A121" s="516" t="str">
        <f t="shared" ca="1" si="2"/>
        <v>920-Inactif</v>
      </c>
      <c r="B121" s="206">
        <v>920</v>
      </c>
      <c r="C121" s="453">
        <v>45046</v>
      </c>
      <c r="D121" s="453">
        <v>45657</v>
      </c>
      <c r="E121" s="206" t="s">
        <v>511</v>
      </c>
      <c r="F121" s="206" t="s">
        <v>259</v>
      </c>
      <c r="G121" s="206">
        <v>1</v>
      </c>
      <c r="H121" s="206">
        <v>3</v>
      </c>
      <c r="I121" s="206">
        <v>22</v>
      </c>
      <c r="J121" s="206" t="s">
        <v>519</v>
      </c>
      <c r="K121" s="206">
        <v>3</v>
      </c>
      <c r="L121" s="206">
        <v>0</v>
      </c>
      <c r="M121" s="3" t="str">
        <f t="shared" ca="1" si="3"/>
        <v>Inactif</v>
      </c>
      <c r="N121" s="206" t="s">
        <v>267</v>
      </c>
      <c r="O121" s="421" t="s">
        <v>581</v>
      </c>
      <c r="P121" s="421" t="s">
        <v>144</v>
      </c>
      <c r="Q121" s="206"/>
      <c r="R121" s="421"/>
      <c r="S121" s="421" t="str">
        <f>_xlfn.CONCAT(B121,"-",Tableau8[[#This Row],[To]])</f>
        <v>920-45657</v>
      </c>
      <c r="T121" s="517">
        <v>46049</v>
      </c>
    </row>
    <row r="122" spans="1:20" ht="21" customHeight="1">
      <c r="A122" s="516" t="str">
        <f t="shared" ca="1" si="2"/>
        <v>920-Inactif</v>
      </c>
      <c r="B122" s="206">
        <v>920</v>
      </c>
      <c r="C122" s="453">
        <v>45778</v>
      </c>
      <c r="D122" s="453">
        <v>46142</v>
      </c>
      <c r="E122" s="206" t="s">
        <v>511</v>
      </c>
      <c r="F122" s="206" t="s">
        <v>259</v>
      </c>
      <c r="G122" s="206">
        <v>4</v>
      </c>
      <c r="H122" s="206">
        <v>6</v>
      </c>
      <c r="I122" s="206">
        <v>30</v>
      </c>
      <c r="J122" s="206" t="s">
        <v>519</v>
      </c>
      <c r="K122" s="206">
        <v>3</v>
      </c>
      <c r="L122" s="206">
        <v>0</v>
      </c>
      <c r="M122" s="3" t="str">
        <f t="shared" ca="1" si="3"/>
        <v>Inactif</v>
      </c>
      <c r="N122" s="206" t="s">
        <v>507</v>
      </c>
      <c r="O122" s="421"/>
      <c r="P122" s="421" t="s">
        <v>144</v>
      </c>
      <c r="Q122" s="206">
        <v>14</v>
      </c>
      <c r="R122" s="206"/>
      <c r="S122" s="421" t="str">
        <f>_xlfn.CONCAT(B122,"-",Tableau8[[#This Row],[To]])</f>
        <v>920-46142</v>
      </c>
      <c r="T122" s="517">
        <v>46049</v>
      </c>
    </row>
    <row r="123" spans="1:20" ht="21" customHeight="1">
      <c r="A123" s="516" t="str">
        <f t="shared" ca="1" si="2"/>
        <v>920-Inactif</v>
      </c>
      <c r="B123" s="206">
        <v>920</v>
      </c>
      <c r="C123" s="453">
        <v>45658</v>
      </c>
      <c r="D123" s="453">
        <v>45777</v>
      </c>
      <c r="E123" s="206" t="s">
        <v>511</v>
      </c>
      <c r="F123" s="206" t="s">
        <v>259</v>
      </c>
      <c r="G123" s="206">
        <v>4</v>
      </c>
      <c r="H123" s="206">
        <v>6</v>
      </c>
      <c r="I123" s="206">
        <v>30</v>
      </c>
      <c r="J123" s="206" t="s">
        <v>519</v>
      </c>
      <c r="K123" s="206">
        <v>3</v>
      </c>
      <c r="L123" s="206">
        <v>0</v>
      </c>
      <c r="M123" s="3" t="str">
        <f t="shared" ca="1" si="3"/>
        <v>Inactif</v>
      </c>
      <c r="N123" s="206" t="s">
        <v>507</v>
      </c>
      <c r="O123" s="421" t="s">
        <v>582</v>
      </c>
      <c r="P123" s="421" t="s">
        <v>144</v>
      </c>
      <c r="Q123" s="206">
        <v>14</v>
      </c>
      <c r="R123" s="206" t="s">
        <v>583</v>
      </c>
      <c r="S123" s="421" t="str">
        <f>_xlfn.CONCAT(B123,"-",Tableau8[[#This Row],[To]])</f>
        <v>920-45777</v>
      </c>
      <c r="T123" s="517">
        <v>46049</v>
      </c>
    </row>
    <row r="124" spans="1:20" ht="21" customHeight="1">
      <c r="A124" s="516" t="str">
        <f t="shared" ca="1" si="2"/>
        <v>920-Actif</v>
      </c>
      <c r="B124" s="206">
        <v>920</v>
      </c>
      <c r="C124" s="453">
        <v>46143</v>
      </c>
      <c r="D124" s="453">
        <v>46507</v>
      </c>
      <c r="E124" s="206" t="s">
        <v>511</v>
      </c>
      <c r="F124" s="206" t="s">
        <v>484</v>
      </c>
      <c r="G124" s="206">
        <v>2</v>
      </c>
      <c r="H124" s="206">
        <v>4</v>
      </c>
      <c r="I124" s="206">
        <v>39</v>
      </c>
      <c r="J124" s="206" t="s">
        <v>519</v>
      </c>
      <c r="K124" s="206">
        <v>3</v>
      </c>
      <c r="L124" s="206">
        <v>0</v>
      </c>
      <c r="M124" s="3" t="str">
        <f t="shared" ca="1" si="3"/>
        <v>Actif</v>
      </c>
      <c r="N124" s="206" t="s">
        <v>507</v>
      </c>
      <c r="O124" s="421" t="s">
        <v>493</v>
      </c>
      <c r="P124" s="421" t="s">
        <v>144</v>
      </c>
      <c r="Q124" s="206">
        <v>14</v>
      </c>
      <c r="R124" s="519" t="s">
        <v>550</v>
      </c>
      <c r="S124" s="421" t="str">
        <f>_xlfn.CONCAT(B124,"-",Tableau8[[#This Row],[To]])</f>
        <v>920-46507</v>
      </c>
      <c r="T124" s="527">
        <v>46100</v>
      </c>
    </row>
    <row r="125" spans="1:20" ht="21" customHeight="1">
      <c r="A125" s="516" t="str">
        <f t="shared" ca="1" si="2"/>
        <v>921-Inactif</v>
      </c>
      <c r="B125" s="206">
        <v>921</v>
      </c>
      <c r="C125" s="453">
        <v>45474</v>
      </c>
      <c r="D125" s="453">
        <v>45777</v>
      </c>
      <c r="E125" s="206" t="s">
        <v>511</v>
      </c>
      <c r="F125" s="206" t="s">
        <v>259</v>
      </c>
      <c r="G125" s="206">
        <v>1</v>
      </c>
      <c r="H125" s="206">
        <v>3</v>
      </c>
      <c r="I125" s="206">
        <v>26</v>
      </c>
      <c r="J125" s="206" t="s">
        <v>558</v>
      </c>
      <c r="K125" s="206">
        <v>3</v>
      </c>
      <c r="L125" s="206">
        <v>14</v>
      </c>
      <c r="M125" s="3" t="str">
        <f t="shared" ca="1" si="3"/>
        <v>Inactif</v>
      </c>
      <c r="N125" s="206" t="s">
        <v>267</v>
      </c>
      <c r="O125" s="421" t="s">
        <v>584</v>
      </c>
      <c r="P125" s="421" t="s">
        <v>144</v>
      </c>
      <c r="Q125" s="206">
        <v>14</v>
      </c>
      <c r="R125" s="206" t="s">
        <v>583</v>
      </c>
      <c r="S125" s="421" t="str">
        <f>_xlfn.CONCAT(B125,"-",Tableau8[[#This Row],[To]])</f>
        <v>921-45777</v>
      </c>
      <c r="T125" s="517">
        <v>46049</v>
      </c>
    </row>
    <row r="126" spans="1:20" ht="21" customHeight="1">
      <c r="A126" s="516" t="str">
        <f t="shared" ca="1" si="2"/>
        <v>921-Inactif</v>
      </c>
      <c r="B126" s="206">
        <v>921</v>
      </c>
      <c r="C126" s="453">
        <v>45046</v>
      </c>
      <c r="D126" s="453">
        <v>45473</v>
      </c>
      <c r="E126" s="206" t="s">
        <v>511</v>
      </c>
      <c r="F126" s="206" t="s">
        <v>259</v>
      </c>
      <c r="G126" s="206">
        <v>1</v>
      </c>
      <c r="H126" s="206">
        <v>3</v>
      </c>
      <c r="I126" s="206">
        <v>26</v>
      </c>
      <c r="J126" s="206" t="s">
        <v>558</v>
      </c>
      <c r="K126" s="206">
        <v>3</v>
      </c>
      <c r="L126" s="206">
        <v>0</v>
      </c>
      <c r="M126" s="3" t="str">
        <f t="shared" ca="1" si="3"/>
        <v>Inactif</v>
      </c>
      <c r="N126" s="206" t="s">
        <v>267</v>
      </c>
      <c r="O126" s="421" t="s">
        <v>546</v>
      </c>
      <c r="P126" s="421" t="s">
        <v>144</v>
      </c>
      <c r="Q126" s="206">
        <v>42</v>
      </c>
      <c r="R126" s="421"/>
      <c r="S126" s="421" t="str">
        <f>_xlfn.CONCAT(B126,"-",Tableau8[[#This Row],[To]])</f>
        <v>921-45473</v>
      </c>
      <c r="T126" s="517">
        <v>46049</v>
      </c>
    </row>
    <row r="127" spans="1:20" ht="21" customHeight="1">
      <c r="A127" s="516" t="str">
        <f t="shared" ca="1" si="2"/>
        <v>921-Inactif</v>
      </c>
      <c r="B127" s="206">
        <v>921</v>
      </c>
      <c r="C127" s="453">
        <v>45778</v>
      </c>
      <c r="D127" s="453">
        <v>46142</v>
      </c>
      <c r="E127" s="206" t="s">
        <v>511</v>
      </c>
      <c r="F127" s="206" t="s">
        <v>259</v>
      </c>
      <c r="G127" s="206">
        <v>4</v>
      </c>
      <c r="H127" s="206">
        <v>6</v>
      </c>
      <c r="I127" s="206">
        <v>48</v>
      </c>
      <c r="J127" s="206" t="s">
        <v>558</v>
      </c>
      <c r="K127" s="206">
        <v>3</v>
      </c>
      <c r="L127" s="206">
        <v>0</v>
      </c>
      <c r="M127" s="3" t="str">
        <f t="shared" ca="1" si="3"/>
        <v>Inactif</v>
      </c>
      <c r="N127" s="206" t="s">
        <v>507</v>
      </c>
      <c r="O127" s="421"/>
      <c r="P127" s="421" t="s">
        <v>144</v>
      </c>
      <c r="Q127" s="206">
        <v>14</v>
      </c>
      <c r="R127" s="206" t="s">
        <v>583</v>
      </c>
      <c r="S127" s="421" t="str">
        <f>_xlfn.CONCAT(B127,"-",Tableau8[[#This Row],[To]])</f>
        <v>921-46142</v>
      </c>
      <c r="T127" s="517">
        <v>46049</v>
      </c>
    </row>
    <row r="128" spans="1:20" ht="21" customHeight="1">
      <c r="A128" s="516" t="str">
        <f t="shared" ca="1" si="2"/>
        <v>921-Actif</v>
      </c>
      <c r="B128" s="206">
        <v>921</v>
      </c>
      <c r="C128" s="453">
        <v>46143</v>
      </c>
      <c r="D128" s="453">
        <v>46507</v>
      </c>
      <c r="E128" s="206" t="s">
        <v>511</v>
      </c>
      <c r="F128" s="206" t="s">
        <v>484</v>
      </c>
      <c r="G128" s="206">
        <v>2</v>
      </c>
      <c r="H128" s="206">
        <v>4</v>
      </c>
      <c r="I128" s="206">
        <v>46</v>
      </c>
      <c r="J128" s="206" t="s">
        <v>551</v>
      </c>
      <c r="K128" s="206">
        <v>3</v>
      </c>
      <c r="L128" s="206">
        <v>7</v>
      </c>
      <c r="M128" s="3" t="str">
        <f t="shared" ca="1" si="3"/>
        <v>Actif</v>
      </c>
      <c r="N128" s="206" t="s">
        <v>507</v>
      </c>
      <c r="O128" s="421" t="s">
        <v>493</v>
      </c>
      <c r="P128" s="421" t="s">
        <v>144</v>
      </c>
      <c r="Q128" s="206">
        <v>14</v>
      </c>
      <c r="R128" s="206" t="s">
        <v>494</v>
      </c>
      <c r="S128" s="421" t="str">
        <f>_xlfn.CONCAT(B128,"-",Tableau8[[#This Row],[To]])</f>
        <v>921-46507</v>
      </c>
      <c r="T128" s="527">
        <v>46100</v>
      </c>
    </row>
    <row r="129" spans="1:20" ht="21" customHeight="1">
      <c r="A129" s="516" t="str">
        <f t="shared" ca="1" si="2"/>
        <v>924-Actif</v>
      </c>
      <c r="B129" s="206">
        <v>924</v>
      </c>
      <c r="C129" s="453">
        <v>46143</v>
      </c>
      <c r="D129" s="453">
        <v>46507</v>
      </c>
      <c r="E129" s="206" t="s">
        <v>539</v>
      </c>
      <c r="F129" s="206" t="s">
        <v>290</v>
      </c>
      <c r="G129" s="206">
        <v>2</v>
      </c>
      <c r="H129" s="206">
        <v>4</v>
      </c>
      <c r="I129" s="206">
        <v>17</v>
      </c>
      <c r="J129" s="206" t="s">
        <v>547</v>
      </c>
      <c r="K129" s="206">
        <v>3</v>
      </c>
      <c r="L129" s="206">
        <v>7</v>
      </c>
      <c r="M129" s="3" t="str">
        <f t="shared" ca="1" si="3"/>
        <v>Actif</v>
      </c>
      <c r="N129" s="206" t="s">
        <v>540</v>
      </c>
      <c r="O129" s="422" t="s">
        <v>585</v>
      </c>
      <c r="P129" s="421" t="s">
        <v>144</v>
      </c>
      <c r="Q129" s="206"/>
      <c r="R129" s="538" t="s">
        <v>586</v>
      </c>
      <c r="S129" s="421" t="str">
        <f>_xlfn.CONCAT(B129,"-",Tableau8[[#This Row],[To]])</f>
        <v>924-46507</v>
      </c>
      <c r="T129" s="517">
        <v>46111</v>
      </c>
    </row>
    <row r="130" spans="1:20" ht="21" customHeight="1">
      <c r="A130" s="516" t="str">
        <f t="shared" ref="A130:A193" ca="1" si="4">_xlfn.CONCAT(B130,"-",M130)</f>
        <v>924-Inactif</v>
      </c>
      <c r="B130" s="206">
        <v>924</v>
      </c>
      <c r="C130" s="453">
        <v>45789</v>
      </c>
      <c r="D130" s="453">
        <v>46142</v>
      </c>
      <c r="E130" s="206" t="s">
        <v>539</v>
      </c>
      <c r="F130" s="206" t="s">
        <v>253</v>
      </c>
      <c r="G130" s="206">
        <v>4</v>
      </c>
      <c r="H130" s="206">
        <v>6</v>
      </c>
      <c r="I130" s="206">
        <v>21</v>
      </c>
      <c r="J130" s="206" t="s">
        <v>547</v>
      </c>
      <c r="K130" s="206">
        <v>3</v>
      </c>
      <c r="L130" s="206">
        <v>7</v>
      </c>
      <c r="M130" s="3" t="str">
        <f t="shared" ref="M130:M193" ca="1" si="5">IF(AND(C130&lt;TODAY(),D130&gt;TODAY()),"Actif",IF(C130&gt;TODAY(),"Next","Inactif"))</f>
        <v>Inactif</v>
      </c>
      <c r="N130" s="206" t="s">
        <v>540</v>
      </c>
      <c r="O130" s="421" t="s">
        <v>587</v>
      </c>
      <c r="P130" s="421" t="s">
        <v>144</v>
      </c>
      <c r="Q130" s="206"/>
      <c r="R130" s="421"/>
      <c r="S130" s="421" t="str">
        <f>_xlfn.CONCAT(B130,"-",Tableau8[[#This Row],[To]])</f>
        <v>924-46142</v>
      </c>
      <c r="T130" s="517">
        <v>46049</v>
      </c>
    </row>
    <row r="131" spans="1:20" ht="21" customHeight="1">
      <c r="A131" s="516" t="str">
        <f t="shared" ca="1" si="4"/>
        <v>924-Inactif</v>
      </c>
      <c r="B131" s="206">
        <v>924</v>
      </c>
      <c r="C131" s="453">
        <v>45748</v>
      </c>
      <c r="D131" s="453">
        <v>45788</v>
      </c>
      <c r="E131" s="206" t="s">
        <v>539</v>
      </c>
      <c r="F131" s="206" t="s">
        <v>253</v>
      </c>
      <c r="G131" s="206">
        <v>1</v>
      </c>
      <c r="H131" s="206">
        <v>3</v>
      </c>
      <c r="I131" s="206">
        <v>25</v>
      </c>
      <c r="J131" s="206" t="s">
        <v>547</v>
      </c>
      <c r="K131" s="206">
        <v>3</v>
      </c>
      <c r="L131" s="206">
        <v>0</v>
      </c>
      <c r="M131" s="3" t="str">
        <f t="shared" ca="1" si="5"/>
        <v>Inactif</v>
      </c>
      <c r="N131" s="206" t="s">
        <v>260</v>
      </c>
      <c r="O131" s="421" t="s">
        <v>546</v>
      </c>
      <c r="P131" s="421" t="s">
        <v>144</v>
      </c>
      <c r="Q131" s="206"/>
      <c r="R131" s="421"/>
      <c r="S131" s="421" t="str">
        <f>_xlfn.CONCAT(B131,"-",Tableau8[[#This Row],[To]])</f>
        <v>924-45788</v>
      </c>
      <c r="T131" s="517">
        <v>46049</v>
      </c>
    </row>
    <row r="132" spans="1:20" ht="21" customHeight="1">
      <c r="A132" s="516" t="str">
        <f t="shared" ca="1" si="4"/>
        <v>924-Inactif</v>
      </c>
      <c r="B132" s="206">
        <v>924</v>
      </c>
      <c r="C132" s="453">
        <v>45046</v>
      </c>
      <c r="D132" s="453">
        <v>45747</v>
      </c>
      <c r="E132" s="206" t="s">
        <v>539</v>
      </c>
      <c r="F132" s="206" t="s">
        <v>253</v>
      </c>
      <c r="G132" s="206">
        <v>1</v>
      </c>
      <c r="H132" s="206">
        <v>3</v>
      </c>
      <c r="I132" s="206">
        <v>25</v>
      </c>
      <c r="J132" s="206" t="s">
        <v>547</v>
      </c>
      <c r="K132" s="206">
        <v>3</v>
      </c>
      <c r="L132" s="206">
        <v>0</v>
      </c>
      <c r="M132" s="3" t="str">
        <f t="shared" ca="1" si="5"/>
        <v>Inactif</v>
      </c>
      <c r="N132" s="206" t="s">
        <v>260</v>
      </c>
      <c r="O132" s="421" t="s">
        <v>546</v>
      </c>
      <c r="P132" s="421" t="s">
        <v>144</v>
      </c>
      <c r="Q132" s="206"/>
      <c r="R132" s="421"/>
      <c r="S132" s="421" t="str">
        <f>_xlfn.CONCAT(B132,"-",Tableau8[[#This Row],[To]])</f>
        <v>924-45747</v>
      </c>
      <c r="T132" s="517">
        <v>46049</v>
      </c>
    </row>
    <row r="133" spans="1:20" ht="21" customHeight="1">
      <c r="A133" s="516" t="str">
        <f t="shared" ca="1" si="4"/>
        <v>925-Inactif</v>
      </c>
      <c r="B133" s="206">
        <v>925</v>
      </c>
      <c r="C133" s="453">
        <v>45474</v>
      </c>
      <c r="D133" s="453">
        <v>45777</v>
      </c>
      <c r="E133" s="206" t="s">
        <v>537</v>
      </c>
      <c r="F133" s="206" t="s">
        <v>259</v>
      </c>
      <c r="G133" s="206">
        <v>5</v>
      </c>
      <c r="H133" s="206">
        <v>8</v>
      </c>
      <c r="I133" s="206">
        <v>43</v>
      </c>
      <c r="J133" s="206" t="s">
        <v>525</v>
      </c>
      <c r="K133" s="206">
        <v>3</v>
      </c>
      <c r="L133" s="206">
        <v>0</v>
      </c>
      <c r="M133" s="3" t="str">
        <f t="shared" ca="1" si="5"/>
        <v>Inactif</v>
      </c>
      <c r="N133" s="206" t="s">
        <v>267</v>
      </c>
      <c r="O133" s="421" t="s">
        <v>588</v>
      </c>
      <c r="P133" s="421" t="s">
        <v>144</v>
      </c>
      <c r="Q133" s="206">
        <v>14</v>
      </c>
      <c r="R133" s="206"/>
      <c r="S133" s="421" t="str">
        <f>_xlfn.CONCAT(B133,"-",Tableau8[[#This Row],[To]])</f>
        <v>925-45777</v>
      </c>
      <c r="T133" s="517">
        <v>46049</v>
      </c>
    </row>
    <row r="134" spans="1:20" ht="21" customHeight="1">
      <c r="A134" s="516" t="str">
        <f t="shared" ca="1" si="4"/>
        <v>925-Inactif</v>
      </c>
      <c r="B134" s="206">
        <v>925</v>
      </c>
      <c r="C134" s="453">
        <v>45413</v>
      </c>
      <c r="D134" s="453">
        <v>45473</v>
      </c>
      <c r="E134" s="206" t="s">
        <v>502</v>
      </c>
      <c r="F134" s="206" t="s">
        <v>259</v>
      </c>
      <c r="G134" s="206">
        <v>5</v>
      </c>
      <c r="H134" s="206">
        <v>8</v>
      </c>
      <c r="I134" s="206">
        <v>43</v>
      </c>
      <c r="J134" s="206" t="s">
        <v>525</v>
      </c>
      <c r="K134" s="206">
        <v>3</v>
      </c>
      <c r="L134" s="206">
        <v>0</v>
      </c>
      <c r="M134" s="3" t="str">
        <f t="shared" ca="1" si="5"/>
        <v>Inactif</v>
      </c>
      <c r="N134" s="206" t="s">
        <v>267</v>
      </c>
      <c r="O134" s="421" t="s">
        <v>589</v>
      </c>
      <c r="P134" s="421" t="s">
        <v>144</v>
      </c>
      <c r="Q134" s="206">
        <v>22</v>
      </c>
      <c r="R134" s="421"/>
      <c r="S134" s="421" t="str">
        <f>_xlfn.CONCAT(B134,"-",Tableau8[[#This Row],[To]])</f>
        <v>925-45473</v>
      </c>
      <c r="T134" s="517">
        <v>46049</v>
      </c>
    </row>
    <row r="135" spans="1:20" ht="21" customHeight="1">
      <c r="A135" s="516" t="str">
        <f t="shared" ca="1" si="4"/>
        <v>925-Inactif</v>
      </c>
      <c r="B135" s="206">
        <v>925</v>
      </c>
      <c r="C135" s="453">
        <v>45047</v>
      </c>
      <c r="D135" s="453">
        <v>45412</v>
      </c>
      <c r="E135" s="206" t="s">
        <v>502</v>
      </c>
      <c r="F135" s="206" t="s">
        <v>259</v>
      </c>
      <c r="G135" s="206">
        <v>5</v>
      </c>
      <c r="H135" s="206">
        <v>8</v>
      </c>
      <c r="I135" s="206">
        <v>43</v>
      </c>
      <c r="J135" s="206" t="s">
        <v>525</v>
      </c>
      <c r="K135" s="206">
        <v>3</v>
      </c>
      <c r="L135" s="206">
        <v>0</v>
      </c>
      <c r="M135" s="3" t="str">
        <f t="shared" ca="1" si="5"/>
        <v>Inactif</v>
      </c>
      <c r="N135" s="206" t="s">
        <v>267</v>
      </c>
      <c r="O135" s="421"/>
      <c r="P135" s="421" t="s">
        <v>144</v>
      </c>
      <c r="Q135" s="206"/>
      <c r="R135" s="421"/>
      <c r="S135" s="421" t="str">
        <f>_xlfn.CONCAT(B135,"-",Tableau8[[#This Row],[To]])</f>
        <v>925-45412</v>
      </c>
      <c r="T135" s="517">
        <v>46049</v>
      </c>
    </row>
    <row r="136" spans="1:20" ht="21" customHeight="1">
      <c r="A136" s="516" t="str">
        <f t="shared" ca="1" si="4"/>
        <v>925-Inactif</v>
      </c>
      <c r="B136" s="206">
        <v>925</v>
      </c>
      <c r="C136" s="453">
        <v>45992</v>
      </c>
      <c r="D136" s="453">
        <v>46142</v>
      </c>
      <c r="E136" s="206" t="s">
        <v>571</v>
      </c>
      <c r="F136" s="206" t="s">
        <v>295</v>
      </c>
      <c r="G136" s="206">
        <v>12</v>
      </c>
      <c r="H136" s="206">
        <v>14</v>
      </c>
      <c r="I136" s="206">
        <v>45</v>
      </c>
      <c r="J136" s="206" t="s">
        <v>525</v>
      </c>
      <c r="K136" s="206">
        <v>3</v>
      </c>
      <c r="L136" s="206">
        <v>7</v>
      </c>
      <c r="M136" s="3" t="str">
        <f t="shared" ca="1" si="5"/>
        <v>Inactif</v>
      </c>
      <c r="N136" s="206" t="s">
        <v>507</v>
      </c>
      <c r="O136" s="421" t="s">
        <v>590</v>
      </c>
      <c r="P136" s="421" t="s">
        <v>144</v>
      </c>
      <c r="Q136" s="206">
        <v>14</v>
      </c>
      <c r="R136" s="206"/>
      <c r="S136" s="421" t="str">
        <f>_xlfn.CONCAT(B136,"-",Tableau8[[#This Row],[To]])</f>
        <v>925-46142</v>
      </c>
      <c r="T136" s="517">
        <v>46049</v>
      </c>
    </row>
    <row r="137" spans="1:20" ht="21" customHeight="1">
      <c r="A137" s="516" t="str">
        <f t="shared" ca="1" si="4"/>
        <v>925-Inactif</v>
      </c>
      <c r="B137" s="206">
        <v>925</v>
      </c>
      <c r="C137" s="453">
        <v>45931</v>
      </c>
      <c r="D137" s="453">
        <v>45991</v>
      </c>
      <c r="E137" s="206" t="s">
        <v>502</v>
      </c>
      <c r="F137" s="206" t="s">
        <v>295</v>
      </c>
      <c r="G137" s="206">
        <v>12</v>
      </c>
      <c r="H137" s="206">
        <v>14</v>
      </c>
      <c r="I137" s="206">
        <v>45</v>
      </c>
      <c r="J137" s="206" t="s">
        <v>525</v>
      </c>
      <c r="K137" s="206">
        <v>3</v>
      </c>
      <c r="L137" s="206"/>
      <c r="M137" s="3" t="str">
        <f t="shared" ca="1" si="5"/>
        <v>Inactif</v>
      </c>
      <c r="N137" s="206" t="s">
        <v>507</v>
      </c>
      <c r="O137" s="421" t="s">
        <v>591</v>
      </c>
      <c r="P137" s="421" t="s">
        <v>144</v>
      </c>
      <c r="Q137" s="206">
        <v>14</v>
      </c>
      <c r="R137" s="206"/>
      <c r="S137" s="421" t="str">
        <f>_xlfn.CONCAT(B137,"-",Tableau8[[#This Row],[To]])</f>
        <v>925-45991</v>
      </c>
      <c r="T137" s="517">
        <v>46049</v>
      </c>
    </row>
    <row r="138" spans="1:20" ht="21" customHeight="1">
      <c r="A138" s="516" t="str">
        <f t="shared" ca="1" si="4"/>
        <v>925-Inactif</v>
      </c>
      <c r="B138" s="206">
        <v>925</v>
      </c>
      <c r="C138" s="453">
        <v>45870</v>
      </c>
      <c r="D138" s="453">
        <v>45930</v>
      </c>
      <c r="E138" s="206" t="s">
        <v>502</v>
      </c>
      <c r="F138" s="206" t="s">
        <v>295</v>
      </c>
      <c r="G138" s="206">
        <v>5</v>
      </c>
      <c r="H138" s="206">
        <v>7</v>
      </c>
      <c r="I138" s="206">
        <v>38</v>
      </c>
      <c r="J138" s="206" t="s">
        <v>525</v>
      </c>
      <c r="K138" s="206">
        <v>3</v>
      </c>
      <c r="L138" s="206">
        <v>7</v>
      </c>
      <c r="M138" s="3" t="str">
        <f t="shared" ca="1" si="5"/>
        <v>Inactif</v>
      </c>
      <c r="N138" s="206" t="s">
        <v>507</v>
      </c>
      <c r="O138" s="421" t="s">
        <v>510</v>
      </c>
      <c r="P138" s="421" t="s">
        <v>144</v>
      </c>
      <c r="Q138" s="206">
        <v>14</v>
      </c>
      <c r="R138" s="206" t="s">
        <v>509</v>
      </c>
      <c r="S138" s="421" t="str">
        <f>_xlfn.CONCAT(B138,"-",Tableau8[[#This Row],[To]])</f>
        <v>925-45930</v>
      </c>
      <c r="T138" s="517">
        <v>46049</v>
      </c>
    </row>
    <row r="139" spans="1:20" ht="21" customHeight="1">
      <c r="A139" s="516" t="str">
        <f t="shared" ca="1" si="4"/>
        <v>925-Inactif</v>
      </c>
      <c r="B139" s="206">
        <v>925</v>
      </c>
      <c r="C139" s="453">
        <v>45778</v>
      </c>
      <c r="D139" s="453">
        <v>45869</v>
      </c>
      <c r="E139" s="206" t="s">
        <v>502</v>
      </c>
      <c r="F139" s="206" t="s">
        <v>295</v>
      </c>
      <c r="G139" s="206">
        <v>5</v>
      </c>
      <c r="H139" s="206">
        <v>7</v>
      </c>
      <c r="I139" s="206">
        <v>33</v>
      </c>
      <c r="J139" s="206" t="s">
        <v>525</v>
      </c>
      <c r="K139" s="206">
        <v>3</v>
      </c>
      <c r="L139" s="206">
        <v>14</v>
      </c>
      <c r="M139" s="3" t="str">
        <f t="shared" ca="1" si="5"/>
        <v>Inactif</v>
      </c>
      <c r="N139" s="206" t="s">
        <v>507</v>
      </c>
      <c r="O139" s="421" t="s">
        <v>510</v>
      </c>
      <c r="P139" s="421" t="s">
        <v>144</v>
      </c>
      <c r="Q139" s="206">
        <v>14</v>
      </c>
      <c r="R139" s="206" t="s">
        <v>509</v>
      </c>
      <c r="S139" s="421" t="str">
        <f>_xlfn.CONCAT(B139,"-",Tableau8[[#This Row],[To]])</f>
        <v>925-45869</v>
      </c>
      <c r="T139" s="517">
        <v>46049</v>
      </c>
    </row>
    <row r="140" spans="1:20" ht="21" customHeight="1">
      <c r="A140" s="516" t="str">
        <f t="shared" ca="1" si="4"/>
        <v>925-Actif</v>
      </c>
      <c r="B140" s="206">
        <v>925</v>
      </c>
      <c r="C140" s="453">
        <v>46143</v>
      </c>
      <c r="D140" s="453">
        <v>46507</v>
      </c>
      <c r="E140" s="206" t="s">
        <v>571</v>
      </c>
      <c r="F140" s="206" t="s">
        <v>301</v>
      </c>
      <c r="G140" s="206">
        <v>5</v>
      </c>
      <c r="H140" s="206">
        <v>7</v>
      </c>
      <c r="I140" s="206">
        <v>40</v>
      </c>
      <c r="J140" s="206" t="s">
        <v>525</v>
      </c>
      <c r="K140" s="206">
        <v>3</v>
      </c>
      <c r="L140" s="206">
        <v>14</v>
      </c>
      <c r="M140" s="3" t="str">
        <f t="shared" ca="1" si="5"/>
        <v>Actif</v>
      </c>
      <c r="N140" s="206" t="s">
        <v>507</v>
      </c>
      <c r="O140" s="421" t="s">
        <v>493</v>
      </c>
      <c r="P140" s="421" t="s">
        <v>144</v>
      </c>
      <c r="Q140" s="206">
        <v>14</v>
      </c>
      <c r="R140" s="206" t="s">
        <v>575</v>
      </c>
      <c r="S140" s="421" t="str">
        <f>_xlfn.CONCAT(B140,"-",Tableau8[[#This Row],[To]])</f>
        <v>925-46507</v>
      </c>
      <c r="T140" s="527">
        <v>46100</v>
      </c>
    </row>
    <row r="141" spans="1:20" ht="21" customHeight="1">
      <c r="A141" s="516" t="str">
        <f t="shared" ca="1" si="4"/>
        <v>927-Inactif</v>
      </c>
      <c r="B141" s="206">
        <v>927</v>
      </c>
      <c r="C141" s="453">
        <v>45474</v>
      </c>
      <c r="D141" s="453">
        <v>45777</v>
      </c>
      <c r="E141" s="206" t="s">
        <v>524</v>
      </c>
      <c r="F141" s="206" t="s">
        <v>259</v>
      </c>
      <c r="G141" s="206">
        <v>5</v>
      </c>
      <c r="H141" s="206">
        <v>9</v>
      </c>
      <c r="I141" s="206">
        <v>52</v>
      </c>
      <c r="J141" s="206" t="s">
        <v>551</v>
      </c>
      <c r="K141" s="206">
        <v>3</v>
      </c>
      <c r="L141" s="206">
        <v>0</v>
      </c>
      <c r="M141" s="3" t="str">
        <f t="shared" ca="1" si="5"/>
        <v>Inactif</v>
      </c>
      <c r="N141" s="206" t="s">
        <v>267</v>
      </c>
      <c r="O141" s="421" t="s">
        <v>568</v>
      </c>
      <c r="P141" s="421" t="s">
        <v>144</v>
      </c>
      <c r="Q141" s="206">
        <v>10</v>
      </c>
      <c r="R141" s="206"/>
      <c r="S141" s="421" t="str">
        <f>_xlfn.CONCAT(B141,"-",Tableau8[[#This Row],[To]])</f>
        <v>927-45777</v>
      </c>
      <c r="T141" s="517">
        <v>46049</v>
      </c>
    </row>
    <row r="142" spans="1:20" ht="21" customHeight="1">
      <c r="A142" s="516" t="str">
        <f t="shared" ca="1" si="4"/>
        <v>927-Inactif</v>
      </c>
      <c r="B142" s="206">
        <v>927</v>
      </c>
      <c r="C142" s="453">
        <v>44682</v>
      </c>
      <c r="D142" s="453">
        <v>45473</v>
      </c>
      <c r="E142" s="206" t="s">
        <v>524</v>
      </c>
      <c r="F142" s="206" t="s">
        <v>259</v>
      </c>
      <c r="G142" s="206">
        <v>1</v>
      </c>
      <c r="H142" s="206">
        <v>3</v>
      </c>
      <c r="I142" s="206">
        <v>31</v>
      </c>
      <c r="J142" s="206" t="s">
        <v>551</v>
      </c>
      <c r="K142" s="206">
        <v>3</v>
      </c>
      <c r="L142" s="206">
        <v>7</v>
      </c>
      <c r="M142" s="3" t="str">
        <f t="shared" ca="1" si="5"/>
        <v>Inactif</v>
      </c>
      <c r="N142" s="206" t="s">
        <v>267</v>
      </c>
      <c r="O142" s="422" t="s">
        <v>592</v>
      </c>
      <c r="P142" s="421" t="s">
        <v>144</v>
      </c>
      <c r="Q142" s="206">
        <v>22</v>
      </c>
      <c r="R142" s="421"/>
      <c r="S142" s="421" t="str">
        <f>_xlfn.CONCAT(B142,"-",Tableau8[[#This Row],[To]])</f>
        <v>927-45473</v>
      </c>
      <c r="T142" s="517">
        <v>46049</v>
      </c>
    </row>
    <row r="143" spans="1:20" ht="21" customHeight="1">
      <c r="A143" s="516" t="str">
        <f t="shared" ca="1" si="4"/>
        <v>927-Inactif</v>
      </c>
      <c r="B143" s="206">
        <v>927</v>
      </c>
      <c r="C143" s="453">
        <v>45778</v>
      </c>
      <c r="D143" s="453">
        <v>45961</v>
      </c>
      <c r="E143" s="206" t="s">
        <v>524</v>
      </c>
      <c r="F143" s="206" t="s">
        <v>259</v>
      </c>
      <c r="G143" s="206">
        <v>5</v>
      </c>
      <c r="H143" s="206">
        <v>9</v>
      </c>
      <c r="I143" s="206">
        <v>52</v>
      </c>
      <c r="J143" s="206" t="s">
        <v>551</v>
      </c>
      <c r="K143" s="206">
        <v>3</v>
      </c>
      <c r="L143" s="206">
        <v>0</v>
      </c>
      <c r="M143" s="3" t="str">
        <f t="shared" ca="1" si="5"/>
        <v>Inactif</v>
      </c>
      <c r="N143" s="206" t="s">
        <v>507</v>
      </c>
      <c r="O143" s="421" t="s">
        <v>554</v>
      </c>
      <c r="P143" s="421" t="s">
        <v>144</v>
      </c>
      <c r="Q143" s="206">
        <v>10</v>
      </c>
      <c r="R143" s="206" t="s">
        <v>509</v>
      </c>
      <c r="S143" s="421" t="str">
        <f>_xlfn.CONCAT(B143,"-",Tableau8[[#This Row],[To]])</f>
        <v>927-45961</v>
      </c>
      <c r="T143" s="517">
        <v>46049</v>
      </c>
    </row>
    <row r="144" spans="1:20" ht="21" customHeight="1">
      <c r="A144" s="516" t="str">
        <f t="shared" ca="1" si="4"/>
        <v>927-Actif</v>
      </c>
      <c r="B144" s="206">
        <v>927</v>
      </c>
      <c r="C144" s="453">
        <v>46143</v>
      </c>
      <c r="D144" s="453">
        <v>46507</v>
      </c>
      <c r="E144" s="206" t="s">
        <v>524</v>
      </c>
      <c r="F144" s="206" t="s">
        <v>484</v>
      </c>
      <c r="G144" s="206">
        <v>2</v>
      </c>
      <c r="H144" s="206">
        <v>4</v>
      </c>
      <c r="I144" s="206">
        <v>46</v>
      </c>
      <c r="J144" s="206" t="s">
        <v>551</v>
      </c>
      <c r="K144" s="206">
        <v>3</v>
      </c>
      <c r="L144" s="206">
        <v>14</v>
      </c>
      <c r="M144" s="3" t="str">
        <f t="shared" ca="1" si="5"/>
        <v>Actif</v>
      </c>
      <c r="N144" s="206" t="s">
        <v>507</v>
      </c>
      <c r="O144" s="421" t="s">
        <v>493</v>
      </c>
      <c r="P144" s="421" t="s">
        <v>144</v>
      </c>
      <c r="Q144" s="206">
        <v>14</v>
      </c>
      <c r="R144" s="206" t="s">
        <v>494</v>
      </c>
      <c r="S144" s="421" t="str">
        <f>_xlfn.CONCAT(B144,"-",Tableau8[[#This Row],[To]])</f>
        <v>927-46507</v>
      </c>
      <c r="T144" s="527">
        <v>46100</v>
      </c>
    </row>
    <row r="145" spans="1:20" ht="21" customHeight="1">
      <c r="A145" s="516" t="str">
        <f t="shared" ca="1" si="4"/>
        <v>927-Inactif</v>
      </c>
      <c r="B145" s="206">
        <v>927</v>
      </c>
      <c r="C145" s="453">
        <v>45962</v>
      </c>
      <c r="D145" s="453">
        <v>46142</v>
      </c>
      <c r="E145" s="206" t="s">
        <v>524</v>
      </c>
      <c r="F145" s="206" t="s">
        <v>259</v>
      </c>
      <c r="G145" s="206">
        <v>5</v>
      </c>
      <c r="H145" s="206">
        <v>9</v>
      </c>
      <c r="I145" s="206">
        <v>52</v>
      </c>
      <c r="J145" s="206" t="s">
        <v>551</v>
      </c>
      <c r="K145" s="206">
        <v>3</v>
      </c>
      <c r="L145" s="206">
        <v>7</v>
      </c>
      <c r="M145" s="3" t="str">
        <f t="shared" ca="1" si="5"/>
        <v>Inactif</v>
      </c>
      <c r="N145" s="206" t="s">
        <v>507</v>
      </c>
      <c r="O145" s="421" t="s">
        <v>593</v>
      </c>
      <c r="P145" s="421" t="s">
        <v>144</v>
      </c>
      <c r="Q145" s="206">
        <v>14</v>
      </c>
      <c r="R145" s="206" t="s">
        <v>555</v>
      </c>
      <c r="S145" s="421" t="str">
        <f>_xlfn.CONCAT(B145,"-",Tableau8[[#This Row],[To]])</f>
        <v>927-46142</v>
      </c>
      <c r="T145" s="517">
        <v>46049</v>
      </c>
    </row>
    <row r="146" spans="1:20" ht="21" customHeight="1">
      <c r="A146" s="516" t="str">
        <f t="shared" ca="1" si="4"/>
        <v>928-Inactif</v>
      </c>
      <c r="B146" s="206">
        <v>928</v>
      </c>
      <c r="C146" s="453">
        <v>45778</v>
      </c>
      <c r="D146" s="453">
        <v>46142</v>
      </c>
      <c r="E146" s="206" t="s">
        <v>519</v>
      </c>
      <c r="F146" s="206" t="s">
        <v>259</v>
      </c>
      <c r="G146" s="206">
        <v>5</v>
      </c>
      <c r="H146" s="206">
        <v>9</v>
      </c>
      <c r="I146" s="206">
        <v>27</v>
      </c>
      <c r="J146" s="206" t="s">
        <v>525</v>
      </c>
      <c r="K146" s="206">
        <v>3</v>
      </c>
      <c r="L146" s="206">
        <v>7</v>
      </c>
      <c r="M146" s="3" t="str">
        <f t="shared" ca="1" si="5"/>
        <v>Inactif</v>
      </c>
      <c r="N146" s="206" t="s">
        <v>275</v>
      </c>
      <c r="O146" s="421" t="s">
        <v>486</v>
      </c>
      <c r="P146" s="421" t="s">
        <v>144</v>
      </c>
      <c r="Q146" s="206">
        <v>14</v>
      </c>
      <c r="R146" s="206" t="s">
        <v>487</v>
      </c>
      <c r="S146" s="421" t="str">
        <f>_xlfn.CONCAT(B146,"-",Tableau8[[#This Row],[To]])</f>
        <v>928-46142</v>
      </c>
      <c r="T146" s="517">
        <v>46049</v>
      </c>
    </row>
    <row r="147" spans="1:20" ht="21" customHeight="1">
      <c r="A147" s="516" t="str">
        <f t="shared" ca="1" si="4"/>
        <v>928-Inactif</v>
      </c>
      <c r="B147" s="206">
        <v>928</v>
      </c>
      <c r="C147" s="453">
        <v>45474</v>
      </c>
      <c r="D147" s="453">
        <v>45777</v>
      </c>
      <c r="E147" s="206" t="s">
        <v>519</v>
      </c>
      <c r="F147" s="206" t="s">
        <v>259</v>
      </c>
      <c r="G147" s="206">
        <v>2</v>
      </c>
      <c r="H147" s="206">
        <v>4</v>
      </c>
      <c r="I147" s="206">
        <v>30</v>
      </c>
      <c r="J147" s="206" t="s">
        <v>525</v>
      </c>
      <c r="K147" s="206">
        <v>3</v>
      </c>
      <c r="L147" s="206">
        <v>0</v>
      </c>
      <c r="M147" s="3" t="str">
        <f t="shared" ca="1" si="5"/>
        <v>Inactif</v>
      </c>
      <c r="N147" s="206" t="s">
        <v>275</v>
      </c>
      <c r="O147" s="421" t="s">
        <v>567</v>
      </c>
      <c r="P147" s="421" t="s">
        <v>144</v>
      </c>
      <c r="Q147" s="206">
        <v>4</v>
      </c>
      <c r="R147" s="421"/>
      <c r="S147" s="421" t="str">
        <f>_xlfn.CONCAT(B147,"-",Tableau8[[#This Row],[To]])</f>
        <v>928-45777</v>
      </c>
      <c r="T147" s="517">
        <v>46049</v>
      </c>
    </row>
    <row r="148" spans="1:20" ht="21" customHeight="1">
      <c r="A148" s="516" t="str">
        <f t="shared" ca="1" si="4"/>
        <v>928-Inactif</v>
      </c>
      <c r="B148" s="206">
        <v>928</v>
      </c>
      <c r="C148" s="453">
        <v>45046</v>
      </c>
      <c r="D148" s="453">
        <v>45473</v>
      </c>
      <c r="E148" s="206" t="s">
        <v>519</v>
      </c>
      <c r="F148" s="206" t="s">
        <v>259</v>
      </c>
      <c r="G148" s="206">
        <v>2</v>
      </c>
      <c r="H148" s="206">
        <v>4</v>
      </c>
      <c r="I148" s="206">
        <v>30</v>
      </c>
      <c r="J148" s="206" t="s">
        <v>525</v>
      </c>
      <c r="K148" s="206">
        <v>3</v>
      </c>
      <c r="L148" s="206">
        <v>0</v>
      </c>
      <c r="M148" s="3" t="str">
        <f t="shared" ca="1" si="5"/>
        <v>Inactif</v>
      </c>
      <c r="N148" s="206" t="s">
        <v>275</v>
      </c>
      <c r="O148" s="421" t="s">
        <v>546</v>
      </c>
      <c r="P148" s="421" t="s">
        <v>144</v>
      </c>
      <c r="Q148" s="206">
        <v>10</v>
      </c>
      <c r="R148" s="421"/>
      <c r="S148" s="421" t="str">
        <f>_xlfn.CONCAT(B148,"-",Tableau8[[#This Row],[To]])</f>
        <v>928-45473</v>
      </c>
      <c r="T148" s="517">
        <v>46049</v>
      </c>
    </row>
    <row r="149" spans="1:20" ht="21" customHeight="1">
      <c r="A149" s="516" t="str">
        <f t="shared" ca="1" si="4"/>
        <v>928-Actif</v>
      </c>
      <c r="B149" s="206">
        <v>928</v>
      </c>
      <c r="C149" s="453">
        <v>46143</v>
      </c>
      <c r="D149" s="453">
        <v>46507</v>
      </c>
      <c r="E149" s="206" t="s">
        <v>519</v>
      </c>
      <c r="F149" s="206" t="s">
        <v>484</v>
      </c>
      <c r="G149" s="206">
        <v>3</v>
      </c>
      <c r="H149" s="206">
        <v>5</v>
      </c>
      <c r="I149" s="206">
        <v>21</v>
      </c>
      <c r="J149" s="206" t="s">
        <v>525</v>
      </c>
      <c r="K149" s="206">
        <v>3</v>
      </c>
      <c r="L149" s="206">
        <v>7</v>
      </c>
      <c r="M149" s="3" t="str">
        <f t="shared" ca="1" si="5"/>
        <v>Actif</v>
      </c>
      <c r="N149" s="206" t="s">
        <v>492</v>
      </c>
      <c r="O149" s="421" t="s">
        <v>493</v>
      </c>
      <c r="P149" s="421" t="s">
        <v>144</v>
      </c>
      <c r="Q149" s="206">
        <v>14</v>
      </c>
      <c r="R149" s="206" t="s">
        <v>494</v>
      </c>
      <c r="S149" s="421" t="str">
        <f>_xlfn.CONCAT(B149,"-",Tableau8[[#This Row],[To]])</f>
        <v>928-46507</v>
      </c>
      <c r="T149" s="527">
        <v>46100</v>
      </c>
    </row>
    <row r="150" spans="1:20" ht="21" customHeight="1">
      <c r="A150" s="516" t="str">
        <f t="shared" ca="1" si="4"/>
        <v>930-Inactif</v>
      </c>
      <c r="B150" s="206">
        <v>930</v>
      </c>
      <c r="C150" s="453">
        <v>45476</v>
      </c>
      <c r="D150" s="453">
        <v>45777</v>
      </c>
      <c r="E150" s="206" t="s">
        <v>524</v>
      </c>
      <c r="F150" s="206" t="s">
        <v>259</v>
      </c>
      <c r="G150" s="206">
        <v>2</v>
      </c>
      <c r="H150" s="206">
        <v>4</v>
      </c>
      <c r="I150" s="206">
        <v>38</v>
      </c>
      <c r="J150" s="206" t="s">
        <v>519</v>
      </c>
      <c r="K150" s="206">
        <v>3</v>
      </c>
      <c r="L150" s="206">
        <v>0</v>
      </c>
      <c r="M150" s="3" t="str">
        <f t="shared" ca="1" si="5"/>
        <v>Inactif</v>
      </c>
      <c r="N150" s="206" t="s">
        <v>267</v>
      </c>
      <c r="O150" s="421" t="s">
        <v>594</v>
      </c>
      <c r="P150" s="421" t="s">
        <v>144</v>
      </c>
      <c r="Q150" s="206">
        <v>17</v>
      </c>
      <c r="R150" s="206"/>
      <c r="S150" s="421" t="str">
        <f>_xlfn.CONCAT(B150,"-",Tableau8[[#This Row],[To]])</f>
        <v>930-45777</v>
      </c>
      <c r="T150" s="517">
        <v>46049</v>
      </c>
    </row>
    <row r="151" spans="1:20" ht="21" customHeight="1">
      <c r="A151" s="516" t="str">
        <f t="shared" ca="1" si="4"/>
        <v>930-Inactif</v>
      </c>
      <c r="B151" s="206">
        <v>930</v>
      </c>
      <c r="C151" s="453">
        <v>44682</v>
      </c>
      <c r="D151" s="453">
        <v>45475</v>
      </c>
      <c r="E151" s="206" t="s">
        <v>524</v>
      </c>
      <c r="F151" s="206" t="s">
        <v>259</v>
      </c>
      <c r="G151" s="206">
        <v>4</v>
      </c>
      <c r="H151" s="206">
        <v>6</v>
      </c>
      <c r="I151" s="206">
        <v>32</v>
      </c>
      <c r="J151" s="206" t="s">
        <v>519</v>
      </c>
      <c r="K151" s="206">
        <v>3</v>
      </c>
      <c r="L151" s="206">
        <v>0</v>
      </c>
      <c r="M151" s="3" t="str">
        <f t="shared" ca="1" si="5"/>
        <v>Inactif</v>
      </c>
      <c r="N151" s="206" t="s">
        <v>267</v>
      </c>
      <c r="O151" s="421" t="s">
        <v>595</v>
      </c>
      <c r="P151" s="421" t="s">
        <v>144</v>
      </c>
      <c r="Q151" s="206">
        <v>22</v>
      </c>
      <c r="R151" s="421"/>
      <c r="S151" s="421" t="str">
        <f>_xlfn.CONCAT(B151,"-",Tableau8[[#This Row],[To]])</f>
        <v>930-45475</v>
      </c>
      <c r="T151" s="517">
        <v>46049</v>
      </c>
    </row>
    <row r="152" spans="1:20" ht="21" customHeight="1">
      <c r="A152" s="516" t="str">
        <f t="shared" ca="1" si="4"/>
        <v>930-Actif</v>
      </c>
      <c r="B152" s="206">
        <v>930</v>
      </c>
      <c r="C152" s="453">
        <v>46143</v>
      </c>
      <c r="D152" s="453">
        <v>46507</v>
      </c>
      <c r="E152" s="206" t="s">
        <v>524</v>
      </c>
      <c r="F152" s="206" t="s">
        <v>484</v>
      </c>
      <c r="G152" s="206">
        <v>7</v>
      </c>
      <c r="H152" s="206">
        <v>9</v>
      </c>
      <c r="I152" s="206">
        <v>40</v>
      </c>
      <c r="J152" s="206" t="s">
        <v>519</v>
      </c>
      <c r="K152" s="206">
        <v>3</v>
      </c>
      <c r="L152" s="206">
        <v>7</v>
      </c>
      <c r="M152" s="3" t="str">
        <f t="shared" ca="1" si="5"/>
        <v>Actif</v>
      </c>
      <c r="N152" s="206" t="s">
        <v>507</v>
      </c>
      <c r="O152" s="421" t="s">
        <v>493</v>
      </c>
      <c r="P152" s="421" t="s">
        <v>144</v>
      </c>
      <c r="Q152" s="206">
        <v>17</v>
      </c>
      <c r="R152" s="206" t="s">
        <v>494</v>
      </c>
      <c r="S152" s="421" t="str">
        <f>_xlfn.CONCAT(B152,"-",Tableau8[[#This Row],[To]])</f>
        <v>930-46507</v>
      </c>
      <c r="T152" s="527">
        <v>46100</v>
      </c>
    </row>
    <row r="153" spans="1:20" ht="21" customHeight="1">
      <c r="A153" s="516" t="str">
        <f t="shared" ca="1" si="4"/>
        <v>930-Inactif</v>
      </c>
      <c r="B153" s="206">
        <v>930</v>
      </c>
      <c r="C153" s="453">
        <v>46054</v>
      </c>
      <c r="D153" s="453">
        <v>46142</v>
      </c>
      <c r="E153" s="206" t="s">
        <v>524</v>
      </c>
      <c r="F153" s="206" t="s">
        <v>484</v>
      </c>
      <c r="G153" s="206">
        <v>5</v>
      </c>
      <c r="H153" s="206">
        <v>8</v>
      </c>
      <c r="I153" s="206">
        <v>40</v>
      </c>
      <c r="J153" s="206" t="s">
        <v>519</v>
      </c>
      <c r="K153" s="206">
        <v>3</v>
      </c>
      <c r="L153" s="206">
        <v>7</v>
      </c>
      <c r="M153" s="3" t="str">
        <f t="shared" ca="1" si="5"/>
        <v>Inactif</v>
      </c>
      <c r="N153" s="206" t="s">
        <v>507</v>
      </c>
      <c r="O153" s="422" t="s">
        <v>596</v>
      </c>
      <c r="P153" s="421" t="s">
        <v>144</v>
      </c>
      <c r="Q153" s="206">
        <v>17</v>
      </c>
      <c r="R153" s="519" t="s">
        <v>597</v>
      </c>
      <c r="S153" s="421" t="str">
        <f>_xlfn.CONCAT(B153,"-",Tableau8[[#This Row],[To]])</f>
        <v>930-46142</v>
      </c>
      <c r="T153" s="517">
        <v>46049</v>
      </c>
    </row>
    <row r="154" spans="1:20" ht="21" customHeight="1">
      <c r="A154" s="516" t="str">
        <f t="shared" ca="1" si="4"/>
        <v>930-Inactif</v>
      </c>
      <c r="B154" s="206">
        <v>930</v>
      </c>
      <c r="C154" s="453">
        <v>45778</v>
      </c>
      <c r="D154" s="453">
        <v>46053</v>
      </c>
      <c r="E154" s="206" t="s">
        <v>524</v>
      </c>
      <c r="F154" s="206" t="s">
        <v>484</v>
      </c>
      <c r="G154" s="206">
        <v>5</v>
      </c>
      <c r="H154" s="206">
        <v>8</v>
      </c>
      <c r="I154" s="206">
        <v>40</v>
      </c>
      <c r="J154" s="206" t="s">
        <v>519</v>
      </c>
      <c r="K154" s="206">
        <v>3</v>
      </c>
      <c r="L154" s="206">
        <v>0</v>
      </c>
      <c r="M154" s="3" t="str">
        <f t="shared" ca="1" si="5"/>
        <v>Inactif</v>
      </c>
      <c r="N154" s="206" t="s">
        <v>507</v>
      </c>
      <c r="O154" s="421" t="s">
        <v>554</v>
      </c>
      <c r="P154" s="421" t="s">
        <v>144</v>
      </c>
      <c r="Q154" s="206">
        <v>17</v>
      </c>
      <c r="R154" s="519" t="s">
        <v>597</v>
      </c>
      <c r="S154" s="421" t="str">
        <f>_xlfn.CONCAT(B154,"-",Tableau8[[#This Row],[To]])</f>
        <v>930-46053</v>
      </c>
      <c r="T154" s="517">
        <v>46049</v>
      </c>
    </row>
    <row r="155" spans="1:20" ht="21" customHeight="1">
      <c r="A155" s="516" t="str">
        <f t="shared" ca="1" si="4"/>
        <v>931-Actif</v>
      </c>
      <c r="B155" s="528">
        <v>931</v>
      </c>
      <c r="C155" s="453">
        <v>46143</v>
      </c>
      <c r="D155" s="453">
        <v>46507</v>
      </c>
      <c r="E155" s="206" t="s">
        <v>524</v>
      </c>
      <c r="F155" s="206" t="s">
        <v>301</v>
      </c>
      <c r="G155" s="206">
        <v>5</v>
      </c>
      <c r="H155" s="206">
        <v>7</v>
      </c>
      <c r="I155" s="206">
        <v>43</v>
      </c>
      <c r="J155" s="206" t="s">
        <v>525</v>
      </c>
      <c r="K155" s="206">
        <v>3</v>
      </c>
      <c r="L155" s="206">
        <v>7</v>
      </c>
      <c r="M155" s="3" t="str">
        <f t="shared" ca="1" si="5"/>
        <v>Actif</v>
      </c>
      <c r="N155" s="206" t="s">
        <v>507</v>
      </c>
      <c r="O155" s="421" t="s">
        <v>493</v>
      </c>
      <c r="P155" s="421" t="s">
        <v>144</v>
      </c>
      <c r="Q155" s="206">
        <v>17</v>
      </c>
      <c r="R155" s="206" t="s">
        <v>550</v>
      </c>
      <c r="S155" s="421" t="str">
        <f>_xlfn.CONCAT(B155,"-",Tableau8[[#This Row],[To]])</f>
        <v>931-46507</v>
      </c>
      <c r="T155" s="527">
        <v>46100</v>
      </c>
    </row>
    <row r="156" spans="1:20" ht="21" customHeight="1">
      <c r="A156" s="516" t="str">
        <f t="shared" ca="1" si="4"/>
        <v>931-Inactif</v>
      </c>
      <c r="B156" s="206">
        <v>931</v>
      </c>
      <c r="C156" s="453">
        <v>46054</v>
      </c>
      <c r="D156" s="453">
        <v>46142</v>
      </c>
      <c r="E156" s="206" t="s">
        <v>524</v>
      </c>
      <c r="F156" s="206" t="s">
        <v>301</v>
      </c>
      <c r="G156" s="206">
        <v>7</v>
      </c>
      <c r="H156" s="206">
        <v>9</v>
      </c>
      <c r="I156" s="206">
        <v>34</v>
      </c>
      <c r="J156" s="206" t="s">
        <v>525</v>
      </c>
      <c r="K156" s="206">
        <v>3</v>
      </c>
      <c r="L156" s="206">
        <v>7</v>
      </c>
      <c r="M156" s="3" t="str">
        <f t="shared" ca="1" si="5"/>
        <v>Inactif</v>
      </c>
      <c r="N156" s="456" t="s">
        <v>507</v>
      </c>
      <c r="O156" s="422" t="s">
        <v>557</v>
      </c>
      <c r="P156" s="421" t="s">
        <v>144</v>
      </c>
      <c r="Q156" s="206">
        <v>17</v>
      </c>
      <c r="R156" s="206" t="s">
        <v>583</v>
      </c>
      <c r="S156" s="421" t="str">
        <f>_xlfn.CONCAT(B156,"-",Tableau8[[#This Row],[To]])</f>
        <v>931-46142</v>
      </c>
      <c r="T156" s="517">
        <v>46049</v>
      </c>
    </row>
    <row r="157" spans="1:20" ht="21" customHeight="1">
      <c r="A157" s="516" t="str">
        <f t="shared" ca="1" si="4"/>
        <v>931-Inactif</v>
      </c>
      <c r="B157" s="206">
        <v>931</v>
      </c>
      <c r="C157" s="453">
        <v>45778</v>
      </c>
      <c r="D157" s="453">
        <v>46053</v>
      </c>
      <c r="E157" s="206" t="s">
        <v>524</v>
      </c>
      <c r="F157" s="206" t="s">
        <v>301</v>
      </c>
      <c r="G157" s="206">
        <v>7</v>
      </c>
      <c r="H157" s="206">
        <v>9</v>
      </c>
      <c r="I157" s="206">
        <v>34</v>
      </c>
      <c r="J157" s="206" t="s">
        <v>525</v>
      </c>
      <c r="K157" s="206">
        <v>3</v>
      </c>
      <c r="L157" s="206">
        <v>0</v>
      </c>
      <c r="M157" s="3" t="str">
        <f t="shared" ca="1" si="5"/>
        <v>Inactif</v>
      </c>
      <c r="N157" s="456" t="s">
        <v>507</v>
      </c>
      <c r="O157" s="421" t="s">
        <v>554</v>
      </c>
      <c r="P157" s="421" t="s">
        <v>144</v>
      </c>
      <c r="Q157" s="206">
        <v>17</v>
      </c>
      <c r="R157" s="206" t="s">
        <v>583</v>
      </c>
      <c r="S157" s="421" t="str">
        <f>_xlfn.CONCAT(B157,"-",Tableau8[[#This Row],[To]])</f>
        <v>931-46053</v>
      </c>
      <c r="T157" s="517">
        <v>46049</v>
      </c>
    </row>
    <row r="158" spans="1:20" ht="21" customHeight="1">
      <c r="A158" s="516" t="str">
        <f t="shared" ca="1" si="4"/>
        <v>932-Inactif</v>
      </c>
      <c r="B158" s="206">
        <v>932</v>
      </c>
      <c r="C158" s="453">
        <v>45691</v>
      </c>
      <c r="D158" s="453">
        <v>45777</v>
      </c>
      <c r="E158" s="206" t="s">
        <v>524</v>
      </c>
      <c r="F158" s="206" t="s">
        <v>259</v>
      </c>
      <c r="G158" s="206">
        <v>1</v>
      </c>
      <c r="H158" s="206">
        <v>3</v>
      </c>
      <c r="I158" s="206">
        <v>60</v>
      </c>
      <c r="J158" s="206" t="s">
        <v>547</v>
      </c>
      <c r="K158" s="206">
        <v>3</v>
      </c>
      <c r="L158" s="206">
        <v>0</v>
      </c>
      <c r="M158" s="3" t="str">
        <f t="shared" ca="1" si="5"/>
        <v>Inactif</v>
      </c>
      <c r="N158" s="206" t="s">
        <v>267</v>
      </c>
      <c r="O158" s="421" t="s">
        <v>598</v>
      </c>
      <c r="P158" s="421" t="s">
        <v>144</v>
      </c>
      <c r="Q158" s="206">
        <v>14</v>
      </c>
      <c r="R158" s="421"/>
      <c r="S158" s="421" t="str">
        <f>_xlfn.CONCAT(B158,"-",Tableau8[[#This Row],[To]])</f>
        <v>932-45777</v>
      </c>
      <c r="T158" s="517">
        <v>46049</v>
      </c>
    </row>
    <row r="159" spans="1:20" ht="21" customHeight="1">
      <c r="A159" s="516" t="str">
        <f t="shared" ca="1" si="4"/>
        <v>932-Inactif</v>
      </c>
      <c r="B159" s="206">
        <v>932</v>
      </c>
      <c r="C159" s="453">
        <v>45476</v>
      </c>
      <c r="D159" s="453">
        <v>45690</v>
      </c>
      <c r="E159" s="206" t="s">
        <v>524</v>
      </c>
      <c r="F159" s="206" t="s">
        <v>259</v>
      </c>
      <c r="G159" s="206">
        <v>1</v>
      </c>
      <c r="H159" s="206">
        <v>3</v>
      </c>
      <c r="I159" s="206">
        <v>53</v>
      </c>
      <c r="J159" s="206" t="s">
        <v>547</v>
      </c>
      <c r="K159" s="206">
        <v>3</v>
      </c>
      <c r="L159" s="206">
        <v>0</v>
      </c>
      <c r="M159" s="3" t="str">
        <f t="shared" ca="1" si="5"/>
        <v>Inactif</v>
      </c>
      <c r="N159" s="206" t="s">
        <v>267</v>
      </c>
      <c r="O159" s="421" t="s">
        <v>598</v>
      </c>
      <c r="P159" s="421" t="s">
        <v>144</v>
      </c>
      <c r="Q159" s="206">
        <v>14</v>
      </c>
      <c r="R159" s="421"/>
      <c r="S159" s="421" t="str">
        <f>_xlfn.CONCAT(B159,"-",Tableau8[[#This Row],[To]])</f>
        <v>932-45690</v>
      </c>
      <c r="T159" s="517">
        <v>46049</v>
      </c>
    </row>
    <row r="160" spans="1:20" ht="21" customHeight="1">
      <c r="A160" s="516" t="str">
        <f t="shared" ca="1" si="4"/>
        <v>932-Inactif</v>
      </c>
      <c r="B160" s="206">
        <v>932</v>
      </c>
      <c r="C160" s="453">
        <v>45901</v>
      </c>
      <c r="D160" s="453">
        <v>46053</v>
      </c>
      <c r="E160" s="206" t="s">
        <v>524</v>
      </c>
      <c r="F160" s="206" t="s">
        <v>295</v>
      </c>
      <c r="G160" s="206">
        <v>3</v>
      </c>
      <c r="H160" s="206">
        <v>7</v>
      </c>
      <c r="I160" s="206">
        <v>52</v>
      </c>
      <c r="J160" s="206" t="s">
        <v>547</v>
      </c>
      <c r="K160" s="206">
        <v>3</v>
      </c>
      <c r="L160" s="206">
        <v>14</v>
      </c>
      <c r="M160" s="3" t="str">
        <f t="shared" ca="1" si="5"/>
        <v>Inactif</v>
      </c>
      <c r="N160" s="206" t="s">
        <v>507</v>
      </c>
      <c r="O160" s="421" t="s">
        <v>599</v>
      </c>
      <c r="P160" s="421" t="s">
        <v>144</v>
      </c>
      <c r="Q160" s="206">
        <v>14</v>
      </c>
      <c r="R160" s="518" t="s">
        <v>600</v>
      </c>
      <c r="S160" s="421" t="str">
        <f>_xlfn.CONCAT(B160,"-",Tableau8[[#This Row],[To]])</f>
        <v>932-46053</v>
      </c>
      <c r="T160" s="517">
        <v>46049</v>
      </c>
    </row>
    <row r="161" spans="1:20" ht="21" customHeight="1">
      <c r="A161" s="516" t="str">
        <f t="shared" ca="1" si="4"/>
        <v>932-Inactif</v>
      </c>
      <c r="B161" s="206">
        <v>932</v>
      </c>
      <c r="C161" s="453">
        <v>45778</v>
      </c>
      <c r="D161" s="453">
        <v>45900</v>
      </c>
      <c r="E161" s="206" t="s">
        <v>524</v>
      </c>
      <c r="F161" s="206" t="s">
        <v>295</v>
      </c>
      <c r="G161" s="206">
        <v>3</v>
      </c>
      <c r="H161" s="206">
        <v>5</v>
      </c>
      <c r="I161" s="206">
        <v>50</v>
      </c>
      <c r="J161" s="206" t="s">
        <v>547</v>
      </c>
      <c r="K161" s="206">
        <v>3</v>
      </c>
      <c r="L161" s="206">
        <v>14</v>
      </c>
      <c r="M161" s="3" t="str">
        <f t="shared" ca="1" si="5"/>
        <v>Inactif</v>
      </c>
      <c r="N161" s="206" t="s">
        <v>507</v>
      </c>
      <c r="O161" s="421" t="s">
        <v>554</v>
      </c>
      <c r="P161" s="421" t="s">
        <v>144</v>
      </c>
      <c r="Q161" s="206">
        <v>14</v>
      </c>
      <c r="R161" s="518" t="s">
        <v>600</v>
      </c>
      <c r="S161" s="421" t="str">
        <f>_xlfn.CONCAT(B161,"-",Tableau8[[#This Row],[To]])</f>
        <v>932-45900</v>
      </c>
      <c r="T161" s="517">
        <v>46049</v>
      </c>
    </row>
    <row r="162" spans="1:20" ht="21" customHeight="1">
      <c r="A162" s="516" t="str">
        <f t="shared" ca="1" si="4"/>
        <v>932-Actif</v>
      </c>
      <c r="B162" s="206">
        <v>932</v>
      </c>
      <c r="C162" s="453">
        <v>46143</v>
      </c>
      <c r="D162" s="453">
        <v>46507</v>
      </c>
      <c r="E162" s="206" t="s">
        <v>524</v>
      </c>
      <c r="F162" s="206" t="s">
        <v>259</v>
      </c>
      <c r="G162" s="206">
        <v>7</v>
      </c>
      <c r="H162" s="206">
        <v>9</v>
      </c>
      <c r="I162" s="206">
        <v>58</v>
      </c>
      <c r="J162" s="206" t="s">
        <v>547</v>
      </c>
      <c r="K162" s="206">
        <v>3</v>
      </c>
      <c r="L162" s="206">
        <v>7</v>
      </c>
      <c r="M162" s="3" t="str">
        <f t="shared" ca="1" si="5"/>
        <v>Actif</v>
      </c>
      <c r="N162" s="206" t="s">
        <v>507</v>
      </c>
      <c r="O162" s="421" t="s">
        <v>493</v>
      </c>
      <c r="P162" s="421" t="s">
        <v>144</v>
      </c>
      <c r="Q162" s="206">
        <v>14</v>
      </c>
      <c r="R162" s="206" t="s">
        <v>494</v>
      </c>
      <c r="S162" s="421" t="str">
        <f>_xlfn.CONCAT(B162,"-",Tableau8[[#This Row],[To]])</f>
        <v>932-46507</v>
      </c>
      <c r="T162" s="527">
        <v>46100</v>
      </c>
    </row>
    <row r="163" spans="1:20" ht="21" customHeight="1">
      <c r="A163" s="516" t="str">
        <f t="shared" ca="1" si="4"/>
        <v>932-Inactif</v>
      </c>
      <c r="B163" s="206">
        <v>932</v>
      </c>
      <c r="C163" s="453">
        <v>46054</v>
      </c>
      <c r="D163" s="453">
        <v>46142</v>
      </c>
      <c r="E163" s="206" t="s">
        <v>524</v>
      </c>
      <c r="F163" s="206" t="s">
        <v>295</v>
      </c>
      <c r="G163" s="206">
        <v>3</v>
      </c>
      <c r="H163" s="206">
        <v>7</v>
      </c>
      <c r="I163" s="206">
        <v>52</v>
      </c>
      <c r="J163" s="206" t="s">
        <v>547</v>
      </c>
      <c r="K163" s="206">
        <v>3</v>
      </c>
      <c r="L163" s="206">
        <v>21</v>
      </c>
      <c r="M163" s="3" t="str">
        <f t="shared" ca="1" si="5"/>
        <v>Inactif</v>
      </c>
      <c r="N163" s="206" t="s">
        <v>507</v>
      </c>
      <c r="O163" s="422" t="s">
        <v>601</v>
      </c>
      <c r="P163" s="421" t="s">
        <v>144</v>
      </c>
      <c r="Q163" s="206">
        <v>14</v>
      </c>
      <c r="R163" s="518" t="s">
        <v>600</v>
      </c>
      <c r="S163" s="421" t="str">
        <f>_xlfn.CONCAT(B163,"-",Tableau8[[#This Row],[To]])</f>
        <v>932-46142</v>
      </c>
      <c r="T163" s="517">
        <v>46049</v>
      </c>
    </row>
    <row r="164" spans="1:20" ht="21" customHeight="1">
      <c r="A164" s="516" t="str">
        <f t="shared" ca="1" si="4"/>
        <v>1000-Inactif</v>
      </c>
      <c r="B164" s="206">
        <v>1000</v>
      </c>
      <c r="C164" s="453">
        <v>45717</v>
      </c>
      <c r="D164" s="453">
        <v>46142</v>
      </c>
      <c r="E164" s="206" t="s">
        <v>602</v>
      </c>
      <c r="F164" s="206" t="s">
        <v>484</v>
      </c>
      <c r="G164" s="206">
        <v>5</v>
      </c>
      <c r="H164" s="206">
        <v>7</v>
      </c>
      <c r="I164" s="206">
        <v>22</v>
      </c>
      <c r="J164" s="206" t="s">
        <v>496</v>
      </c>
      <c r="K164" s="206">
        <v>3</v>
      </c>
      <c r="L164" s="206">
        <v>0</v>
      </c>
      <c r="M164" s="3" t="str">
        <f t="shared" ca="1" si="5"/>
        <v>Inactif</v>
      </c>
      <c r="N164" s="206" t="s">
        <v>275</v>
      </c>
      <c r="O164" s="421" t="s">
        <v>603</v>
      </c>
      <c r="P164" s="421" t="s">
        <v>148</v>
      </c>
      <c r="Q164" s="206"/>
      <c r="R164" s="206"/>
      <c r="S164" s="421" t="str">
        <f>_xlfn.CONCAT(B164,"-",Tableau8[[#This Row],[To]])</f>
        <v>1000-46142</v>
      </c>
      <c r="T164" s="517">
        <v>46049</v>
      </c>
    </row>
    <row r="165" spans="1:20" ht="21" customHeight="1">
      <c r="A165" s="516" t="str">
        <f t="shared" ca="1" si="4"/>
        <v>1000-Actif</v>
      </c>
      <c r="B165" s="206">
        <v>1000</v>
      </c>
      <c r="C165" s="453">
        <v>46143</v>
      </c>
      <c r="D165" s="453">
        <v>46507</v>
      </c>
      <c r="E165" s="206" t="s">
        <v>604</v>
      </c>
      <c r="F165" s="206" t="s">
        <v>484</v>
      </c>
      <c r="G165" s="206">
        <v>1</v>
      </c>
      <c r="H165" s="206">
        <v>3</v>
      </c>
      <c r="I165" s="206">
        <v>21</v>
      </c>
      <c r="J165" s="206" t="s">
        <v>496</v>
      </c>
      <c r="K165" s="206">
        <v>3</v>
      </c>
      <c r="L165" s="206">
        <v>0</v>
      </c>
      <c r="M165" s="3" t="str">
        <f t="shared" ca="1" si="5"/>
        <v>Actif</v>
      </c>
      <c r="N165" s="206" t="s">
        <v>275</v>
      </c>
      <c r="O165" s="421" t="s">
        <v>501</v>
      </c>
      <c r="P165" s="421" t="s">
        <v>148</v>
      </c>
      <c r="Q165" s="206"/>
      <c r="R165" s="206"/>
      <c r="S165" s="421" t="str">
        <f>_xlfn.CONCAT(B165,"-",Tableau8[[#This Row],[To]])</f>
        <v>1000-46507</v>
      </c>
      <c r="T165" s="527">
        <v>46091</v>
      </c>
    </row>
    <row r="166" spans="1:20" ht="21" customHeight="1">
      <c r="A166" s="516" t="str">
        <f t="shared" ca="1" si="4"/>
        <v>1005-Inactif</v>
      </c>
      <c r="B166" s="206">
        <v>1005</v>
      </c>
      <c r="C166" s="453">
        <v>45717</v>
      </c>
      <c r="D166" s="453">
        <v>46142</v>
      </c>
      <c r="E166" s="206" t="s">
        <v>605</v>
      </c>
      <c r="F166" s="206" t="s">
        <v>259</v>
      </c>
      <c r="G166" s="206">
        <v>2</v>
      </c>
      <c r="H166" s="206">
        <v>4</v>
      </c>
      <c r="I166" s="206">
        <v>35</v>
      </c>
      <c r="J166" s="206" t="s">
        <v>606</v>
      </c>
      <c r="K166" s="206">
        <v>3</v>
      </c>
      <c r="L166" s="206">
        <v>7</v>
      </c>
      <c r="M166" s="3" t="str">
        <f t="shared" ca="1" si="5"/>
        <v>Inactif</v>
      </c>
      <c r="N166" s="206" t="s">
        <v>275</v>
      </c>
      <c r="O166" s="421" t="s">
        <v>607</v>
      </c>
      <c r="P166" s="421" t="s">
        <v>148</v>
      </c>
      <c r="Q166" s="206"/>
      <c r="R166" s="206"/>
      <c r="S166" s="421" t="str">
        <f>_xlfn.CONCAT(B166,"-",Tableau8[[#This Row],[To]])</f>
        <v>1005-46142</v>
      </c>
      <c r="T166" s="517">
        <v>46049</v>
      </c>
    </row>
    <row r="167" spans="1:20" ht="21" customHeight="1">
      <c r="A167" s="516" t="str">
        <f t="shared" ca="1" si="4"/>
        <v>1005-Actif</v>
      </c>
      <c r="B167" s="206">
        <v>1005</v>
      </c>
      <c r="C167" s="453">
        <v>46143</v>
      </c>
      <c r="D167" s="453">
        <v>46507</v>
      </c>
      <c r="E167" s="206" t="s">
        <v>605</v>
      </c>
      <c r="F167" s="206" t="s">
        <v>301</v>
      </c>
      <c r="G167" s="206">
        <v>3</v>
      </c>
      <c r="H167" s="206">
        <v>5</v>
      </c>
      <c r="I167" s="206">
        <v>34</v>
      </c>
      <c r="J167" s="206" t="s">
        <v>606</v>
      </c>
      <c r="K167" s="206">
        <v>3</v>
      </c>
      <c r="L167" s="206">
        <v>14</v>
      </c>
      <c r="M167" s="3" t="str">
        <f t="shared" ca="1" si="5"/>
        <v>Actif</v>
      </c>
      <c r="N167" s="206" t="s">
        <v>275</v>
      </c>
      <c r="O167" s="421" t="s">
        <v>501</v>
      </c>
      <c r="P167" s="421" t="s">
        <v>148</v>
      </c>
      <c r="Q167" s="206"/>
      <c r="R167" s="206"/>
      <c r="S167" s="421" t="str">
        <f>_xlfn.CONCAT(B167,"-",Tableau8[[#This Row],[To]])</f>
        <v>1005-46507</v>
      </c>
      <c r="T167" s="527">
        <v>46091</v>
      </c>
    </row>
    <row r="168" spans="1:20" ht="21" customHeight="1">
      <c r="A168" s="516" t="str">
        <f t="shared" ca="1" si="4"/>
        <v>1006-Inactif</v>
      </c>
      <c r="B168" s="206">
        <v>1006</v>
      </c>
      <c r="C168" s="453">
        <v>45717</v>
      </c>
      <c r="D168" s="453">
        <v>46142</v>
      </c>
      <c r="E168" s="206" t="s">
        <v>605</v>
      </c>
      <c r="F168" s="206" t="s">
        <v>259</v>
      </c>
      <c r="G168" s="206">
        <v>2</v>
      </c>
      <c r="H168" s="206">
        <v>4</v>
      </c>
      <c r="I168" s="206">
        <v>57</v>
      </c>
      <c r="J168" s="206" t="s">
        <v>608</v>
      </c>
      <c r="K168" s="206">
        <v>3</v>
      </c>
      <c r="L168" s="206">
        <v>0</v>
      </c>
      <c r="M168" s="3" t="str">
        <f t="shared" ca="1" si="5"/>
        <v>Inactif</v>
      </c>
      <c r="N168" s="206" t="s">
        <v>275</v>
      </c>
      <c r="O168" s="421" t="s">
        <v>607</v>
      </c>
      <c r="P168" s="421" t="s">
        <v>148</v>
      </c>
      <c r="Q168" s="206">
        <v>16</v>
      </c>
      <c r="R168" s="206"/>
      <c r="S168" s="421" t="str">
        <f>_xlfn.CONCAT(B168,"-",Tableau8[[#This Row],[To]])</f>
        <v>1006-46142</v>
      </c>
      <c r="T168" s="517">
        <v>46049</v>
      </c>
    </row>
    <row r="169" spans="1:20" ht="21" customHeight="1">
      <c r="A169" s="516" t="str">
        <f t="shared" ca="1" si="4"/>
        <v>1006-Actif</v>
      </c>
      <c r="B169" s="206">
        <v>1006</v>
      </c>
      <c r="C169" s="453">
        <v>46143</v>
      </c>
      <c r="D169" s="453">
        <v>46507</v>
      </c>
      <c r="E169" s="206" t="s">
        <v>605</v>
      </c>
      <c r="F169" s="206" t="s">
        <v>282</v>
      </c>
      <c r="G169" s="206">
        <v>3</v>
      </c>
      <c r="H169" s="206">
        <v>6</v>
      </c>
      <c r="I169" s="206">
        <v>58</v>
      </c>
      <c r="J169" s="206" t="s">
        <v>608</v>
      </c>
      <c r="K169" s="206">
        <v>3</v>
      </c>
      <c r="L169" s="206">
        <v>0</v>
      </c>
      <c r="M169" s="3" t="str">
        <f t="shared" ca="1" si="5"/>
        <v>Actif</v>
      </c>
      <c r="N169" s="206" t="s">
        <v>275</v>
      </c>
      <c r="O169" s="421" t="s">
        <v>501</v>
      </c>
      <c r="P169" s="421" t="s">
        <v>148</v>
      </c>
      <c r="Q169" s="206"/>
      <c r="R169" s="206"/>
      <c r="S169" s="421" t="str">
        <f>_xlfn.CONCAT(B169,"-",Tableau8[[#This Row],[To]])</f>
        <v>1006-46507</v>
      </c>
      <c r="T169" s="527">
        <v>46091</v>
      </c>
    </row>
    <row r="170" spans="1:20" ht="21" customHeight="1">
      <c r="A170" s="516" t="str">
        <f t="shared" ca="1" si="4"/>
        <v>1007-Inactif</v>
      </c>
      <c r="B170" s="206">
        <v>1007</v>
      </c>
      <c r="C170" s="453">
        <v>45717</v>
      </c>
      <c r="D170" s="453">
        <v>46142</v>
      </c>
      <c r="E170" s="206" t="s">
        <v>605</v>
      </c>
      <c r="F170" s="206" t="s">
        <v>301</v>
      </c>
      <c r="G170" s="206">
        <v>6</v>
      </c>
      <c r="H170" s="206">
        <v>7</v>
      </c>
      <c r="I170" s="206">
        <v>44</v>
      </c>
      <c r="J170" s="206" t="s">
        <v>539</v>
      </c>
      <c r="K170" s="206">
        <v>3</v>
      </c>
      <c r="L170" s="206">
        <v>7</v>
      </c>
      <c r="M170" s="3" t="str">
        <f t="shared" ca="1" si="5"/>
        <v>Inactif</v>
      </c>
      <c r="N170" s="206" t="s">
        <v>275</v>
      </c>
      <c r="O170" s="421" t="s">
        <v>607</v>
      </c>
      <c r="P170" s="421" t="s">
        <v>148</v>
      </c>
      <c r="Q170" s="206">
        <v>17</v>
      </c>
      <c r="R170" s="206"/>
      <c r="S170" s="421" t="str">
        <f>_xlfn.CONCAT(B170,"-",Tableau8[[#This Row],[To]])</f>
        <v>1007-46142</v>
      </c>
      <c r="T170" s="517">
        <v>46049</v>
      </c>
    </row>
    <row r="171" spans="1:20" ht="21" customHeight="1">
      <c r="A171" s="516" t="str">
        <f t="shared" ca="1" si="4"/>
        <v>1007-Actif</v>
      </c>
      <c r="B171" s="206">
        <v>1007</v>
      </c>
      <c r="C171" s="453">
        <v>46143</v>
      </c>
      <c r="D171" s="453">
        <v>46507</v>
      </c>
      <c r="E171" s="206" t="s">
        <v>605</v>
      </c>
      <c r="F171" s="206" t="s">
        <v>301</v>
      </c>
      <c r="G171" s="206">
        <v>5</v>
      </c>
      <c r="H171" s="206">
        <v>7</v>
      </c>
      <c r="I171" s="206">
        <v>49</v>
      </c>
      <c r="J171" s="206" t="s">
        <v>539</v>
      </c>
      <c r="K171" s="206">
        <v>3</v>
      </c>
      <c r="L171" s="206">
        <v>7</v>
      </c>
      <c r="M171" s="3" t="str">
        <f t="shared" ca="1" si="5"/>
        <v>Actif</v>
      </c>
      <c r="N171" s="206" t="s">
        <v>275</v>
      </c>
      <c r="O171" s="421" t="s">
        <v>501</v>
      </c>
      <c r="P171" s="421" t="s">
        <v>148</v>
      </c>
      <c r="Q171" s="206"/>
      <c r="R171" s="206"/>
      <c r="S171" s="421" t="str">
        <f>_xlfn.CONCAT(B171,"-",Tableau8[[#This Row],[To]])</f>
        <v>1007-46507</v>
      </c>
      <c r="T171" s="527">
        <v>46091</v>
      </c>
    </row>
    <row r="172" spans="1:20" ht="21" customHeight="1">
      <c r="A172" s="516" t="str">
        <f t="shared" ca="1" si="4"/>
        <v>1009-Inactif</v>
      </c>
      <c r="B172" s="206">
        <v>1009</v>
      </c>
      <c r="C172" s="453">
        <v>45778</v>
      </c>
      <c r="D172" s="453">
        <v>46142</v>
      </c>
      <c r="E172" s="206" t="s">
        <v>605</v>
      </c>
      <c r="F172" s="206" t="s">
        <v>259</v>
      </c>
      <c r="G172" s="206">
        <v>2</v>
      </c>
      <c r="H172" s="206">
        <v>4</v>
      </c>
      <c r="I172" s="206">
        <v>60</v>
      </c>
      <c r="J172" s="206" t="s">
        <v>609</v>
      </c>
      <c r="K172" s="206">
        <v>3</v>
      </c>
      <c r="L172" s="206">
        <v>0</v>
      </c>
      <c r="M172" s="3" t="str">
        <f t="shared" ca="1" si="5"/>
        <v>Inactif</v>
      </c>
      <c r="N172" s="206" t="s">
        <v>275</v>
      </c>
      <c r="O172" s="421" t="s">
        <v>610</v>
      </c>
      <c r="P172" s="421" t="s">
        <v>148</v>
      </c>
      <c r="Q172" s="206">
        <v>13</v>
      </c>
      <c r="R172" s="206"/>
      <c r="S172" s="421" t="str">
        <f>_xlfn.CONCAT(B172,"-",Tableau8[[#This Row],[To]])</f>
        <v>1009-46142</v>
      </c>
      <c r="T172" s="517">
        <v>46049</v>
      </c>
    </row>
    <row r="173" spans="1:20" ht="21" customHeight="1">
      <c r="A173" s="516" t="str">
        <f t="shared" ca="1" si="4"/>
        <v>1009-Inactif</v>
      </c>
      <c r="B173" s="206">
        <v>1009</v>
      </c>
      <c r="C173" s="453">
        <v>45717</v>
      </c>
      <c r="D173" s="453">
        <v>45777</v>
      </c>
      <c r="E173" s="206" t="s">
        <v>605</v>
      </c>
      <c r="F173" s="206" t="s">
        <v>259</v>
      </c>
      <c r="G173" s="206">
        <v>2</v>
      </c>
      <c r="H173" s="206">
        <v>4</v>
      </c>
      <c r="I173" s="206">
        <v>45</v>
      </c>
      <c r="J173" s="206" t="s">
        <v>609</v>
      </c>
      <c r="K173" s="206">
        <v>3</v>
      </c>
      <c r="L173" s="206">
        <v>0</v>
      </c>
      <c r="M173" s="3" t="str">
        <f t="shared" ca="1" si="5"/>
        <v>Inactif</v>
      </c>
      <c r="N173" s="206" t="s">
        <v>275</v>
      </c>
      <c r="O173" s="421" t="s">
        <v>607</v>
      </c>
      <c r="P173" s="421" t="s">
        <v>148</v>
      </c>
      <c r="Q173" s="206">
        <v>13</v>
      </c>
      <c r="R173" s="206"/>
      <c r="S173" s="421" t="str">
        <f>_xlfn.CONCAT(B173,"-",Tableau8[[#This Row],[To]])</f>
        <v>1009-45777</v>
      </c>
      <c r="T173" s="517">
        <v>46049</v>
      </c>
    </row>
    <row r="174" spans="1:20" ht="21" customHeight="1">
      <c r="A174" s="516" t="str">
        <f t="shared" ca="1" si="4"/>
        <v>1009-Actif</v>
      </c>
      <c r="B174" s="206">
        <v>1009</v>
      </c>
      <c r="C174" s="453">
        <v>46143</v>
      </c>
      <c r="D174" s="453">
        <v>46507</v>
      </c>
      <c r="E174" s="206" t="s">
        <v>605</v>
      </c>
      <c r="F174" s="206" t="s">
        <v>290</v>
      </c>
      <c r="G174" s="206">
        <v>1</v>
      </c>
      <c r="H174" s="206">
        <v>2</v>
      </c>
      <c r="I174" s="206">
        <v>53</v>
      </c>
      <c r="J174" s="206" t="s">
        <v>609</v>
      </c>
      <c r="K174" s="206">
        <v>3</v>
      </c>
      <c r="L174" s="206">
        <v>0</v>
      </c>
      <c r="M174" s="3" t="str">
        <f t="shared" ca="1" si="5"/>
        <v>Actif</v>
      </c>
      <c r="N174" s="206" t="s">
        <v>275</v>
      </c>
      <c r="O174" s="421" t="s">
        <v>501</v>
      </c>
      <c r="P174" s="421" t="s">
        <v>148</v>
      </c>
      <c r="Q174" s="206"/>
      <c r="R174" s="206"/>
      <c r="S174" s="421" t="str">
        <f>_xlfn.CONCAT(B174,"-",Tableau8[[#This Row],[To]])</f>
        <v>1009-46507</v>
      </c>
      <c r="T174" s="527">
        <v>46091</v>
      </c>
    </row>
    <row r="175" spans="1:20" ht="21" customHeight="1">
      <c r="A175" s="516" t="str">
        <f t="shared" ca="1" si="4"/>
        <v>1010-Inactif</v>
      </c>
      <c r="B175" s="206">
        <v>1010</v>
      </c>
      <c r="C175" s="453">
        <v>45883</v>
      </c>
      <c r="D175" s="453">
        <v>46142</v>
      </c>
      <c r="E175" s="206" t="s">
        <v>605</v>
      </c>
      <c r="F175" s="206" t="s">
        <v>259</v>
      </c>
      <c r="G175" s="206">
        <v>2</v>
      </c>
      <c r="H175" s="206">
        <v>4</v>
      </c>
      <c r="I175" s="206">
        <v>71</v>
      </c>
      <c r="J175" s="206" t="s">
        <v>551</v>
      </c>
      <c r="K175" s="206">
        <v>3</v>
      </c>
      <c r="L175" s="206">
        <v>0</v>
      </c>
      <c r="M175" s="3" t="str">
        <f t="shared" ca="1" si="5"/>
        <v>Inactif</v>
      </c>
      <c r="N175" s="206" t="s">
        <v>275</v>
      </c>
      <c r="O175" s="421" t="s">
        <v>611</v>
      </c>
      <c r="P175" s="421" t="s">
        <v>148</v>
      </c>
      <c r="Q175" s="206">
        <v>14</v>
      </c>
      <c r="R175" s="206"/>
      <c r="S175" s="421" t="str">
        <f>_xlfn.CONCAT(B175,"-",Tableau8[[#This Row],[To]])</f>
        <v>1010-46142</v>
      </c>
      <c r="T175" s="517">
        <v>46049</v>
      </c>
    </row>
    <row r="176" spans="1:20" ht="21" customHeight="1">
      <c r="A176" s="516" t="str">
        <f t="shared" ca="1" si="4"/>
        <v>1010-Inactif</v>
      </c>
      <c r="B176" s="206">
        <v>1010</v>
      </c>
      <c r="C176" s="453">
        <v>45778</v>
      </c>
      <c r="D176" s="453">
        <v>45882</v>
      </c>
      <c r="E176" s="206" t="s">
        <v>605</v>
      </c>
      <c r="F176" s="206" t="s">
        <v>259</v>
      </c>
      <c r="G176" s="206">
        <v>2</v>
      </c>
      <c r="H176" s="206">
        <v>4</v>
      </c>
      <c r="I176" s="206">
        <v>62</v>
      </c>
      <c r="J176" s="206" t="s">
        <v>551</v>
      </c>
      <c r="K176" s="206">
        <v>3</v>
      </c>
      <c r="L176" s="206">
        <v>0</v>
      </c>
      <c r="M176" s="3" t="str">
        <f t="shared" ca="1" si="5"/>
        <v>Inactif</v>
      </c>
      <c r="N176" s="206" t="s">
        <v>275</v>
      </c>
      <c r="O176" s="421" t="s">
        <v>612</v>
      </c>
      <c r="P176" s="421" t="s">
        <v>148</v>
      </c>
      <c r="Q176" s="206"/>
      <c r="R176" s="206"/>
      <c r="S176" s="421" t="str">
        <f>_xlfn.CONCAT(B176,"-",Tableau8[[#This Row],[To]])</f>
        <v>1010-45882</v>
      </c>
      <c r="T176" s="517">
        <v>46049</v>
      </c>
    </row>
    <row r="177" spans="1:20" ht="21" customHeight="1">
      <c r="A177" s="516" t="str">
        <f t="shared" ca="1" si="4"/>
        <v>1010-Inactif</v>
      </c>
      <c r="B177" s="206">
        <v>1010</v>
      </c>
      <c r="C177" s="453">
        <v>45717</v>
      </c>
      <c r="D177" s="453">
        <v>45777</v>
      </c>
      <c r="E177" s="206" t="s">
        <v>605</v>
      </c>
      <c r="F177" s="206" t="s">
        <v>259</v>
      </c>
      <c r="G177" s="206">
        <v>2</v>
      </c>
      <c r="H177" s="206">
        <v>4</v>
      </c>
      <c r="I177" s="206">
        <v>57</v>
      </c>
      <c r="J177" s="206" t="s">
        <v>551</v>
      </c>
      <c r="K177" s="206">
        <v>3</v>
      </c>
      <c r="L177" s="206">
        <v>7</v>
      </c>
      <c r="M177" s="3" t="str">
        <f t="shared" ca="1" si="5"/>
        <v>Inactif</v>
      </c>
      <c r="N177" s="206" t="s">
        <v>275</v>
      </c>
      <c r="O177" s="421" t="s">
        <v>607</v>
      </c>
      <c r="P177" s="421" t="s">
        <v>148</v>
      </c>
      <c r="Q177" s="206"/>
      <c r="R177" s="206"/>
      <c r="S177" s="421" t="str">
        <f>_xlfn.CONCAT(B177,"-",Tableau8[[#This Row],[To]])</f>
        <v>1010-45777</v>
      </c>
      <c r="T177" s="517">
        <v>46049</v>
      </c>
    </row>
    <row r="178" spans="1:20" ht="21" customHeight="1">
      <c r="A178" s="516" t="str">
        <f t="shared" ca="1" si="4"/>
        <v>1010-Actif</v>
      </c>
      <c r="B178" s="206">
        <v>1010</v>
      </c>
      <c r="C178" s="453">
        <v>46143</v>
      </c>
      <c r="D178" s="453">
        <v>46507</v>
      </c>
      <c r="E178" s="206" t="s">
        <v>605</v>
      </c>
      <c r="F178" s="206" t="s">
        <v>301</v>
      </c>
      <c r="G178" s="206">
        <v>5</v>
      </c>
      <c r="H178" s="206">
        <v>8</v>
      </c>
      <c r="I178" s="206">
        <v>63</v>
      </c>
      <c r="J178" s="206" t="s">
        <v>551</v>
      </c>
      <c r="K178" s="206">
        <v>3</v>
      </c>
      <c r="L178" s="206">
        <v>0</v>
      </c>
      <c r="M178" s="3" t="str">
        <f t="shared" ca="1" si="5"/>
        <v>Actif</v>
      </c>
      <c r="N178" s="206" t="s">
        <v>275</v>
      </c>
      <c r="O178" s="421" t="s">
        <v>501</v>
      </c>
      <c r="P178" s="421" t="s">
        <v>148</v>
      </c>
      <c r="Q178" s="206"/>
      <c r="R178" s="206"/>
      <c r="S178" s="421" t="str">
        <f>_xlfn.CONCAT(B178,"-",Tableau8[[#This Row],[To]])</f>
        <v>1010-46507</v>
      </c>
      <c r="T178" s="527">
        <v>46091</v>
      </c>
    </row>
    <row r="179" spans="1:20" ht="21" customHeight="1">
      <c r="A179" s="516" t="str">
        <f t="shared" ca="1" si="4"/>
        <v>1011-Inactif</v>
      </c>
      <c r="B179" s="206">
        <v>1011</v>
      </c>
      <c r="C179" s="453">
        <v>45717</v>
      </c>
      <c r="D179" s="453">
        <v>46142</v>
      </c>
      <c r="E179" s="206" t="s">
        <v>605</v>
      </c>
      <c r="F179" s="206" t="s">
        <v>301</v>
      </c>
      <c r="G179" s="206">
        <v>5</v>
      </c>
      <c r="H179" s="206">
        <v>6</v>
      </c>
      <c r="I179" s="206">
        <v>7</v>
      </c>
      <c r="J179" s="206" t="s">
        <v>496</v>
      </c>
      <c r="K179" s="206">
        <v>3</v>
      </c>
      <c r="L179" s="206">
        <v>7</v>
      </c>
      <c r="M179" s="3" t="str">
        <f t="shared" ca="1" si="5"/>
        <v>Inactif</v>
      </c>
      <c r="N179" s="206" t="s">
        <v>275</v>
      </c>
      <c r="O179" s="421" t="s">
        <v>607</v>
      </c>
      <c r="P179" s="421" t="s">
        <v>148</v>
      </c>
      <c r="Q179" s="206"/>
      <c r="R179" s="206"/>
      <c r="S179" s="421" t="str">
        <f>_xlfn.CONCAT(B179,"-",Tableau8[[#This Row],[To]])</f>
        <v>1011-46142</v>
      </c>
      <c r="T179" s="517">
        <v>46049</v>
      </c>
    </row>
    <row r="180" spans="1:20" ht="21" customHeight="1">
      <c r="A180" s="516" t="str">
        <f t="shared" ca="1" si="4"/>
        <v>1011-Actif</v>
      </c>
      <c r="B180" s="206">
        <v>1011</v>
      </c>
      <c r="C180" s="453">
        <v>46143</v>
      </c>
      <c r="D180" s="453">
        <v>46507</v>
      </c>
      <c r="E180" s="206" t="s">
        <v>605</v>
      </c>
      <c r="F180" s="206" t="s">
        <v>301</v>
      </c>
      <c r="G180" s="206">
        <v>4</v>
      </c>
      <c r="H180" s="206">
        <v>6</v>
      </c>
      <c r="I180" s="206">
        <v>4</v>
      </c>
      <c r="J180" s="206" t="s">
        <v>496</v>
      </c>
      <c r="K180" s="206">
        <v>3</v>
      </c>
      <c r="L180" s="206">
        <v>7</v>
      </c>
      <c r="M180" s="3" t="str">
        <f t="shared" ca="1" si="5"/>
        <v>Actif</v>
      </c>
      <c r="N180" s="206" t="s">
        <v>275</v>
      </c>
      <c r="O180" s="421" t="s">
        <v>501</v>
      </c>
      <c r="P180" s="421" t="s">
        <v>148</v>
      </c>
      <c r="Q180" s="206"/>
      <c r="R180" s="206"/>
      <c r="S180" s="421" t="str">
        <f>_xlfn.CONCAT(B180,"-",Tableau8[[#This Row],[To]])</f>
        <v>1011-46507</v>
      </c>
      <c r="T180" s="527">
        <v>46091</v>
      </c>
    </row>
    <row r="181" spans="1:20" ht="21" customHeight="1">
      <c r="A181" s="516" t="str">
        <f t="shared" ca="1" si="4"/>
        <v>1012-Inactif</v>
      </c>
      <c r="B181" s="206">
        <v>1012</v>
      </c>
      <c r="C181" s="453">
        <v>45778</v>
      </c>
      <c r="D181" s="453">
        <v>46142</v>
      </c>
      <c r="E181" s="206" t="s">
        <v>605</v>
      </c>
      <c r="F181" s="206" t="s">
        <v>259</v>
      </c>
      <c r="G181" s="206">
        <v>2</v>
      </c>
      <c r="H181" s="206">
        <v>4</v>
      </c>
      <c r="I181" s="206">
        <v>57</v>
      </c>
      <c r="J181" s="206" t="s">
        <v>525</v>
      </c>
      <c r="K181" s="206">
        <v>3</v>
      </c>
      <c r="L181" s="206">
        <v>0</v>
      </c>
      <c r="M181" s="3" t="str">
        <f t="shared" ca="1" si="5"/>
        <v>Inactif</v>
      </c>
      <c r="N181" s="206" t="s">
        <v>275</v>
      </c>
      <c r="O181" s="421" t="s">
        <v>610</v>
      </c>
      <c r="P181" s="421" t="s">
        <v>148</v>
      </c>
      <c r="Q181" s="206">
        <v>10</v>
      </c>
      <c r="R181" s="206"/>
      <c r="S181" s="421" t="str">
        <f>_xlfn.CONCAT(B181,"-",Tableau8[[#This Row],[To]])</f>
        <v>1012-46142</v>
      </c>
      <c r="T181" s="517">
        <v>46049</v>
      </c>
    </row>
    <row r="182" spans="1:20" ht="21" customHeight="1">
      <c r="A182" s="516" t="str">
        <f t="shared" ca="1" si="4"/>
        <v>1012-Inactif</v>
      </c>
      <c r="B182" s="206">
        <v>1012</v>
      </c>
      <c r="C182" s="453">
        <v>45717</v>
      </c>
      <c r="D182" s="453">
        <v>45777</v>
      </c>
      <c r="E182" s="206" t="s">
        <v>605</v>
      </c>
      <c r="F182" s="206" t="s">
        <v>259</v>
      </c>
      <c r="G182" s="206">
        <v>2</v>
      </c>
      <c r="H182" s="206">
        <v>4</v>
      </c>
      <c r="I182" s="206">
        <v>47</v>
      </c>
      <c r="J182" s="206" t="s">
        <v>525</v>
      </c>
      <c r="K182" s="206">
        <v>3</v>
      </c>
      <c r="L182" s="206">
        <v>7</v>
      </c>
      <c r="M182" s="3" t="str">
        <f t="shared" ca="1" si="5"/>
        <v>Inactif</v>
      </c>
      <c r="N182" s="206" t="s">
        <v>275</v>
      </c>
      <c r="O182" s="421" t="s">
        <v>607</v>
      </c>
      <c r="P182" s="421" t="s">
        <v>148</v>
      </c>
      <c r="Q182" s="206">
        <v>10</v>
      </c>
      <c r="R182" s="206"/>
      <c r="S182" s="421" t="str">
        <f>_xlfn.CONCAT(B182,"-",Tableau8[[#This Row],[To]])</f>
        <v>1012-45777</v>
      </c>
      <c r="T182" s="517">
        <v>46049</v>
      </c>
    </row>
    <row r="183" spans="1:20" ht="21" customHeight="1">
      <c r="A183" s="516" t="str">
        <f t="shared" ca="1" si="4"/>
        <v>1012-Actif</v>
      </c>
      <c r="B183" s="206">
        <v>1012</v>
      </c>
      <c r="C183" s="453">
        <v>46143</v>
      </c>
      <c r="D183" s="453">
        <v>46507</v>
      </c>
      <c r="E183" s="206" t="s">
        <v>605</v>
      </c>
      <c r="F183" s="206" t="s">
        <v>301</v>
      </c>
      <c r="G183" s="206">
        <v>5</v>
      </c>
      <c r="H183" s="206">
        <v>9</v>
      </c>
      <c r="I183" s="206">
        <v>48</v>
      </c>
      <c r="J183" s="206" t="s">
        <v>525</v>
      </c>
      <c r="K183" s="206">
        <v>3</v>
      </c>
      <c r="L183" s="206">
        <v>14</v>
      </c>
      <c r="M183" s="3" t="str">
        <f t="shared" ca="1" si="5"/>
        <v>Actif</v>
      </c>
      <c r="N183" s="206" t="s">
        <v>275</v>
      </c>
      <c r="O183" s="421" t="s">
        <v>501</v>
      </c>
      <c r="P183" s="421" t="s">
        <v>148</v>
      </c>
      <c r="Q183" s="206"/>
      <c r="R183" s="206"/>
      <c r="S183" s="421" t="str">
        <f>_xlfn.CONCAT(B183,"-",Tableau8[[#This Row],[To]])</f>
        <v>1012-46507</v>
      </c>
      <c r="T183" s="527">
        <v>46091</v>
      </c>
    </row>
    <row r="184" spans="1:20" ht="21" customHeight="1">
      <c r="A184" s="516" t="str">
        <f t="shared" ca="1" si="4"/>
        <v>1014-Inactif</v>
      </c>
      <c r="B184" s="206">
        <v>1014</v>
      </c>
      <c r="C184" s="453">
        <v>45717</v>
      </c>
      <c r="D184" s="453">
        <v>46142</v>
      </c>
      <c r="E184" s="206" t="s">
        <v>613</v>
      </c>
      <c r="F184" s="206" t="s">
        <v>295</v>
      </c>
      <c r="G184" s="206">
        <v>6</v>
      </c>
      <c r="H184" s="206">
        <v>8</v>
      </c>
      <c r="I184" s="206">
        <v>13</v>
      </c>
      <c r="J184" s="206" t="s">
        <v>516</v>
      </c>
      <c r="K184" s="206">
        <v>3</v>
      </c>
      <c r="L184" s="206">
        <v>7</v>
      </c>
      <c r="M184" s="3" t="str">
        <f t="shared" ca="1" si="5"/>
        <v>Inactif</v>
      </c>
      <c r="N184" s="206" t="s">
        <v>275</v>
      </c>
      <c r="O184" s="421" t="s">
        <v>603</v>
      </c>
      <c r="P184" s="421" t="s">
        <v>148</v>
      </c>
      <c r="Q184" s="206"/>
      <c r="R184" s="206"/>
      <c r="S184" s="421" t="str">
        <f>_xlfn.CONCAT(B184,"-",Tableau8[[#This Row],[To]])</f>
        <v>1014-46142</v>
      </c>
      <c r="T184" s="517">
        <v>46049</v>
      </c>
    </row>
    <row r="185" spans="1:20" ht="21" customHeight="1">
      <c r="A185" s="516" t="str">
        <f t="shared" ca="1" si="4"/>
        <v>1014-Actif</v>
      </c>
      <c r="B185" s="206">
        <v>1014</v>
      </c>
      <c r="C185" s="453">
        <v>46143</v>
      </c>
      <c r="D185" s="453">
        <v>46507</v>
      </c>
      <c r="E185" s="206" t="s">
        <v>614</v>
      </c>
      <c r="F185" s="206" t="s">
        <v>259</v>
      </c>
      <c r="G185" s="206">
        <v>4</v>
      </c>
      <c r="H185" s="206">
        <v>9</v>
      </c>
      <c r="I185" s="206">
        <v>17</v>
      </c>
      <c r="J185" s="206" t="s">
        <v>516</v>
      </c>
      <c r="K185" s="206">
        <v>3</v>
      </c>
      <c r="L185" s="206">
        <v>0</v>
      </c>
      <c r="M185" s="3" t="str">
        <f t="shared" ca="1" si="5"/>
        <v>Actif</v>
      </c>
      <c r="N185" s="206" t="s">
        <v>275</v>
      </c>
      <c r="O185" s="421" t="s">
        <v>501</v>
      </c>
      <c r="P185" s="421" t="s">
        <v>148</v>
      </c>
      <c r="Q185" s="206"/>
      <c r="R185" s="206"/>
      <c r="S185" s="421" t="str">
        <f>_xlfn.CONCAT(B185,"-",Tableau8[[#This Row],[To]])</f>
        <v>1014-46507</v>
      </c>
      <c r="T185" s="527">
        <v>46091</v>
      </c>
    </row>
    <row r="186" spans="1:20" ht="21" customHeight="1">
      <c r="A186" s="516" t="str">
        <f t="shared" ca="1" si="4"/>
        <v>1015-Inactif</v>
      </c>
      <c r="B186" s="206">
        <v>1015</v>
      </c>
      <c r="C186" s="453">
        <v>45717</v>
      </c>
      <c r="D186" s="453">
        <v>46142</v>
      </c>
      <c r="E186" s="206" t="s">
        <v>613</v>
      </c>
      <c r="F186" s="206" t="s">
        <v>295</v>
      </c>
      <c r="G186" s="206">
        <v>6</v>
      </c>
      <c r="H186" s="206">
        <v>8</v>
      </c>
      <c r="I186" s="206">
        <v>32</v>
      </c>
      <c r="J186" s="206" t="s">
        <v>525</v>
      </c>
      <c r="K186" s="206">
        <v>3</v>
      </c>
      <c r="L186" s="206">
        <v>7</v>
      </c>
      <c r="M186" s="3" t="str">
        <f t="shared" ca="1" si="5"/>
        <v>Inactif</v>
      </c>
      <c r="N186" s="206" t="s">
        <v>275</v>
      </c>
      <c r="O186" s="421" t="s">
        <v>603</v>
      </c>
      <c r="P186" s="421" t="s">
        <v>148</v>
      </c>
      <c r="Q186" s="206"/>
      <c r="R186" s="206"/>
      <c r="S186" s="421" t="str">
        <f>_xlfn.CONCAT(B186,"-",Tableau8[[#This Row],[To]])</f>
        <v>1015-46142</v>
      </c>
      <c r="T186" s="517">
        <v>46049</v>
      </c>
    </row>
    <row r="187" spans="1:20" ht="21" customHeight="1">
      <c r="A187" s="516" t="str">
        <f t="shared" ca="1" si="4"/>
        <v>1015-Actif</v>
      </c>
      <c r="B187" s="206">
        <v>1015</v>
      </c>
      <c r="C187" s="453">
        <v>46143</v>
      </c>
      <c r="D187" s="453">
        <v>46507</v>
      </c>
      <c r="E187" s="206" t="s">
        <v>614</v>
      </c>
      <c r="F187" s="206" t="s">
        <v>259</v>
      </c>
      <c r="G187" s="206">
        <v>4</v>
      </c>
      <c r="H187" s="206">
        <v>9</v>
      </c>
      <c r="I187" s="206">
        <v>34</v>
      </c>
      <c r="J187" s="206" t="s">
        <v>525</v>
      </c>
      <c r="K187" s="206">
        <v>3</v>
      </c>
      <c r="L187" s="206">
        <v>0</v>
      </c>
      <c r="M187" s="3" t="str">
        <f t="shared" ca="1" si="5"/>
        <v>Actif</v>
      </c>
      <c r="N187" s="206" t="s">
        <v>275</v>
      </c>
      <c r="O187" s="421" t="s">
        <v>501</v>
      </c>
      <c r="P187" s="421" t="s">
        <v>148</v>
      </c>
      <c r="Q187" s="206"/>
      <c r="R187" s="206"/>
      <c r="S187" s="421" t="str">
        <f>_xlfn.CONCAT(B187,"-",Tableau8[[#This Row],[To]])</f>
        <v>1015-46507</v>
      </c>
      <c r="T187" s="527">
        <v>46091</v>
      </c>
    </row>
    <row r="188" spans="1:20" ht="21" customHeight="1">
      <c r="A188" s="516" t="str">
        <f t="shared" ca="1" si="4"/>
        <v>1022-Inactif</v>
      </c>
      <c r="B188" s="206">
        <v>1022</v>
      </c>
      <c r="C188" s="453">
        <v>45901</v>
      </c>
      <c r="D188" s="453">
        <v>46142</v>
      </c>
      <c r="E188" s="206" t="s">
        <v>615</v>
      </c>
      <c r="F188" s="206" t="s">
        <v>259</v>
      </c>
      <c r="G188" s="206">
        <v>1</v>
      </c>
      <c r="H188" s="206">
        <v>5</v>
      </c>
      <c r="I188" s="206">
        <v>11</v>
      </c>
      <c r="J188" s="206" t="s">
        <v>537</v>
      </c>
      <c r="K188" s="206">
        <v>3</v>
      </c>
      <c r="L188" s="206">
        <v>7</v>
      </c>
      <c r="M188" s="3" t="str">
        <f t="shared" ca="1" si="5"/>
        <v>Inactif</v>
      </c>
      <c r="N188" s="206" t="s">
        <v>275</v>
      </c>
      <c r="O188" s="421" t="s">
        <v>616</v>
      </c>
      <c r="P188" s="421" t="s">
        <v>148</v>
      </c>
      <c r="Q188" s="206"/>
      <c r="R188" s="206"/>
      <c r="S188" s="421" t="str">
        <f>_xlfn.CONCAT(B188,"-",Tableau8[[#This Row],[To]])</f>
        <v>1022-46142</v>
      </c>
      <c r="T188" s="517">
        <v>46049</v>
      </c>
    </row>
    <row r="189" spans="1:20" ht="21" customHeight="1">
      <c r="A189" s="516" t="str">
        <f t="shared" ca="1" si="4"/>
        <v>1022-Actif</v>
      </c>
      <c r="B189" s="206">
        <v>1022</v>
      </c>
      <c r="C189" s="453">
        <v>46143</v>
      </c>
      <c r="D189" s="453">
        <v>46507</v>
      </c>
      <c r="E189" s="206" t="s">
        <v>615</v>
      </c>
      <c r="F189" s="206" t="s">
        <v>301</v>
      </c>
      <c r="G189" s="206">
        <v>2</v>
      </c>
      <c r="H189" s="206">
        <v>4</v>
      </c>
      <c r="I189" s="206">
        <v>10</v>
      </c>
      <c r="J189" s="206" t="s">
        <v>571</v>
      </c>
      <c r="K189" s="206">
        <v>3</v>
      </c>
      <c r="L189" s="206">
        <v>7</v>
      </c>
      <c r="M189" s="3" t="str">
        <f t="shared" ca="1" si="5"/>
        <v>Actif</v>
      </c>
      <c r="N189" s="206" t="s">
        <v>275</v>
      </c>
      <c r="O189" s="421" t="s">
        <v>501</v>
      </c>
      <c r="P189" s="421" t="s">
        <v>148</v>
      </c>
      <c r="Q189" s="206"/>
      <c r="R189" s="206"/>
      <c r="S189" s="421" t="str">
        <f>_xlfn.CONCAT(B189,"-",Tableau8[[#This Row],[To]])</f>
        <v>1022-46507</v>
      </c>
      <c r="T189" s="527">
        <v>46091</v>
      </c>
    </row>
    <row r="190" spans="1:20" ht="21" customHeight="1">
      <c r="A190" s="516" t="str">
        <f t="shared" ca="1" si="4"/>
        <v>1030-Inactif</v>
      </c>
      <c r="B190" s="206">
        <v>1030</v>
      </c>
      <c r="C190" s="453">
        <v>45717</v>
      </c>
      <c r="D190" s="453">
        <v>46142</v>
      </c>
      <c r="E190" s="206" t="s">
        <v>605</v>
      </c>
      <c r="F190" s="206" t="s">
        <v>301</v>
      </c>
      <c r="G190" s="206">
        <v>2</v>
      </c>
      <c r="H190" s="206">
        <v>5</v>
      </c>
      <c r="I190" s="206">
        <v>51</v>
      </c>
      <c r="J190" s="206" t="s">
        <v>483</v>
      </c>
      <c r="K190" s="206">
        <v>3</v>
      </c>
      <c r="L190" s="206">
        <v>0</v>
      </c>
      <c r="M190" s="3" t="str">
        <f t="shared" ca="1" si="5"/>
        <v>Inactif</v>
      </c>
      <c r="N190" s="206" t="s">
        <v>275</v>
      </c>
      <c r="O190" s="421" t="s">
        <v>607</v>
      </c>
      <c r="P190" s="421" t="s">
        <v>148</v>
      </c>
      <c r="Q190" s="206"/>
      <c r="R190" s="206"/>
      <c r="S190" s="421" t="str">
        <f>_xlfn.CONCAT(B190,"-",Tableau8[[#This Row],[To]])</f>
        <v>1030-46142</v>
      </c>
      <c r="T190" s="517">
        <v>46049</v>
      </c>
    </row>
    <row r="191" spans="1:20" ht="21" customHeight="1">
      <c r="A191" s="516" t="str">
        <f t="shared" ca="1" si="4"/>
        <v>1030-Actif</v>
      </c>
      <c r="B191" s="206">
        <v>1030</v>
      </c>
      <c r="C191" s="453">
        <v>46143</v>
      </c>
      <c r="D191" s="453">
        <v>46507</v>
      </c>
      <c r="E191" s="206" t="s">
        <v>605</v>
      </c>
      <c r="F191" s="206" t="s">
        <v>301</v>
      </c>
      <c r="G191" s="206">
        <v>5</v>
      </c>
      <c r="H191" s="206">
        <v>7</v>
      </c>
      <c r="I191" s="206">
        <v>54</v>
      </c>
      <c r="J191" s="206" t="s">
        <v>483</v>
      </c>
      <c r="K191" s="206">
        <v>3</v>
      </c>
      <c r="L191" s="206">
        <v>0</v>
      </c>
      <c r="M191" s="3" t="str">
        <f t="shared" ca="1" si="5"/>
        <v>Actif</v>
      </c>
      <c r="N191" s="206" t="s">
        <v>275</v>
      </c>
      <c r="O191" s="421" t="s">
        <v>501</v>
      </c>
      <c r="P191" s="421" t="s">
        <v>148</v>
      </c>
      <c r="Q191" s="206"/>
      <c r="R191" s="206"/>
      <c r="S191" s="421" t="str">
        <f>_xlfn.CONCAT(B191,"-",Tableau8[[#This Row],[To]])</f>
        <v>1030-46507</v>
      </c>
      <c r="T191" s="527">
        <v>46091</v>
      </c>
    </row>
    <row r="192" spans="1:20" ht="21" customHeight="1">
      <c r="A192" s="516" t="str">
        <f t="shared" ca="1" si="4"/>
        <v>1034-Inactif</v>
      </c>
      <c r="B192" s="206">
        <v>1034</v>
      </c>
      <c r="C192" s="453">
        <v>45778</v>
      </c>
      <c r="D192" s="453">
        <v>46142</v>
      </c>
      <c r="E192" s="206" t="s">
        <v>605</v>
      </c>
      <c r="F192" s="206" t="s">
        <v>259</v>
      </c>
      <c r="G192" s="206">
        <v>2</v>
      </c>
      <c r="H192" s="206">
        <v>4</v>
      </c>
      <c r="I192" s="206">
        <v>52</v>
      </c>
      <c r="J192" s="206" t="s">
        <v>519</v>
      </c>
      <c r="K192" s="206">
        <v>3</v>
      </c>
      <c r="L192" s="206">
        <v>0</v>
      </c>
      <c r="M192" s="3" t="str">
        <f t="shared" ca="1" si="5"/>
        <v>Inactif</v>
      </c>
      <c r="N192" s="206" t="s">
        <v>275</v>
      </c>
      <c r="O192" s="421" t="s">
        <v>610</v>
      </c>
      <c r="P192" s="421" t="s">
        <v>148</v>
      </c>
      <c r="Q192" s="206"/>
      <c r="R192" s="206"/>
      <c r="S192" s="421" t="str">
        <f>_xlfn.CONCAT(B192,"-",Tableau8[[#This Row],[To]])</f>
        <v>1034-46142</v>
      </c>
      <c r="T192" s="517">
        <v>46049</v>
      </c>
    </row>
    <row r="193" spans="1:20" ht="21" customHeight="1">
      <c r="A193" s="516" t="str">
        <f t="shared" ca="1" si="4"/>
        <v>1034-Inactif</v>
      </c>
      <c r="B193" s="206">
        <v>1034</v>
      </c>
      <c r="C193" s="453">
        <v>45717</v>
      </c>
      <c r="D193" s="453">
        <v>45777</v>
      </c>
      <c r="E193" s="206" t="s">
        <v>605</v>
      </c>
      <c r="F193" s="206" t="s">
        <v>259</v>
      </c>
      <c r="G193" s="206">
        <v>2</v>
      </c>
      <c r="H193" s="206">
        <v>4</v>
      </c>
      <c r="I193" s="206">
        <v>50</v>
      </c>
      <c r="J193" s="206" t="s">
        <v>519</v>
      </c>
      <c r="K193" s="206">
        <v>3</v>
      </c>
      <c r="L193" s="206">
        <v>0</v>
      </c>
      <c r="M193" s="3" t="str">
        <f t="shared" ca="1" si="5"/>
        <v>Inactif</v>
      </c>
      <c r="N193" s="206" t="s">
        <v>275</v>
      </c>
      <c r="O193" s="421" t="s">
        <v>607</v>
      </c>
      <c r="P193" s="421" t="s">
        <v>148</v>
      </c>
      <c r="Q193" s="206"/>
      <c r="R193" s="206"/>
      <c r="S193" s="421" t="str">
        <f>_xlfn.CONCAT(B193,"-",Tableau8[[#This Row],[To]])</f>
        <v>1034-45777</v>
      </c>
      <c r="T193" s="517">
        <v>46049</v>
      </c>
    </row>
    <row r="194" spans="1:20" ht="21" customHeight="1">
      <c r="A194" s="516" t="str">
        <f t="shared" ref="A194:A257" ca="1" si="6">_xlfn.CONCAT(B194,"-",M194)</f>
        <v>1034-Actif</v>
      </c>
      <c r="B194" s="206">
        <v>1034</v>
      </c>
      <c r="C194" s="453">
        <v>46143</v>
      </c>
      <c r="D194" s="453">
        <v>46507</v>
      </c>
      <c r="E194" s="206" t="s">
        <v>605</v>
      </c>
      <c r="F194" s="206" t="s">
        <v>301</v>
      </c>
      <c r="G194" s="206">
        <v>5</v>
      </c>
      <c r="H194" s="206">
        <v>7</v>
      </c>
      <c r="I194" s="206">
        <v>53</v>
      </c>
      <c r="J194" s="206" t="s">
        <v>519</v>
      </c>
      <c r="K194" s="206">
        <v>3</v>
      </c>
      <c r="L194" s="206">
        <v>0</v>
      </c>
      <c r="M194" s="3" t="str">
        <f t="shared" ref="M194:M231" ca="1" si="7">IF(AND(C194&lt;TODAY(),D194&gt;TODAY()),"Actif",IF(C194&gt;TODAY(),"Next","Inactif"))</f>
        <v>Actif</v>
      </c>
      <c r="N194" s="206" t="s">
        <v>275</v>
      </c>
      <c r="O194" s="421" t="s">
        <v>501</v>
      </c>
      <c r="P194" s="421" t="s">
        <v>148</v>
      </c>
      <c r="Q194" s="206"/>
      <c r="R194" s="206"/>
      <c r="S194" s="421" t="str">
        <f>_xlfn.CONCAT(B194,"-",Tableau8[[#This Row],[To]])</f>
        <v>1034-46507</v>
      </c>
      <c r="T194" s="527">
        <v>46091</v>
      </c>
    </row>
    <row r="195" spans="1:20" ht="21" customHeight="1">
      <c r="A195" s="516" t="str">
        <f t="shared" ca="1" si="6"/>
        <v>1036-Inactif</v>
      </c>
      <c r="B195" s="206">
        <v>1036</v>
      </c>
      <c r="C195" s="453">
        <v>45892</v>
      </c>
      <c r="D195" s="453">
        <v>46142</v>
      </c>
      <c r="E195" s="206" t="s">
        <v>613</v>
      </c>
      <c r="F195" s="206" t="s">
        <v>484</v>
      </c>
      <c r="G195" s="206">
        <v>5</v>
      </c>
      <c r="H195" s="206">
        <v>7</v>
      </c>
      <c r="I195" s="206">
        <v>28</v>
      </c>
      <c r="J195" s="206" t="s">
        <v>519</v>
      </c>
      <c r="K195" s="206">
        <v>3</v>
      </c>
      <c r="L195" s="206">
        <v>0</v>
      </c>
      <c r="M195" s="3" t="str">
        <f t="shared" ca="1" si="7"/>
        <v>Inactif</v>
      </c>
      <c r="N195" s="206" t="s">
        <v>275</v>
      </c>
      <c r="O195" s="421" t="s">
        <v>617</v>
      </c>
      <c r="P195" s="421" t="s">
        <v>148</v>
      </c>
      <c r="Q195" s="206"/>
      <c r="R195" s="206"/>
      <c r="S195" s="421" t="str">
        <f>_xlfn.CONCAT(B195,"-",Tableau8[[#This Row],[To]])</f>
        <v>1036-46142</v>
      </c>
      <c r="T195" s="517">
        <v>46049</v>
      </c>
    </row>
    <row r="196" spans="1:20" ht="21" customHeight="1">
      <c r="A196" s="516" t="str">
        <f t="shared" ca="1" si="6"/>
        <v>1036-Inactif</v>
      </c>
      <c r="B196" s="206">
        <v>1036</v>
      </c>
      <c r="C196" s="453">
        <v>45717</v>
      </c>
      <c r="D196" s="453">
        <v>45891</v>
      </c>
      <c r="E196" s="206" t="s">
        <v>613</v>
      </c>
      <c r="F196" s="206" t="s">
        <v>484</v>
      </c>
      <c r="G196" s="206">
        <v>3</v>
      </c>
      <c r="H196" s="206">
        <v>5</v>
      </c>
      <c r="I196" s="206">
        <v>28</v>
      </c>
      <c r="J196" s="206" t="s">
        <v>519</v>
      </c>
      <c r="K196" s="206">
        <v>3</v>
      </c>
      <c r="L196" s="206">
        <v>0</v>
      </c>
      <c r="M196" s="3" t="str">
        <f t="shared" ca="1" si="7"/>
        <v>Inactif</v>
      </c>
      <c r="N196" s="206" t="s">
        <v>275</v>
      </c>
      <c r="O196" s="421" t="s">
        <v>603</v>
      </c>
      <c r="P196" s="421" t="s">
        <v>148</v>
      </c>
      <c r="Q196" s="206"/>
      <c r="R196" s="206"/>
      <c r="S196" s="421" t="str">
        <f>_xlfn.CONCAT(B196,"-",Tableau8[[#This Row],[To]])</f>
        <v>1036-45891</v>
      </c>
      <c r="T196" s="517">
        <v>46049</v>
      </c>
    </row>
    <row r="197" spans="1:20" ht="21" customHeight="1">
      <c r="A197" s="516" t="str">
        <f t="shared" ca="1" si="6"/>
        <v>1036-Actif</v>
      </c>
      <c r="B197" s="206">
        <v>1036</v>
      </c>
      <c r="C197" s="453">
        <v>46143</v>
      </c>
      <c r="D197" s="453">
        <v>46507</v>
      </c>
      <c r="E197" s="206" t="s">
        <v>613</v>
      </c>
      <c r="F197" s="206" t="s">
        <v>484</v>
      </c>
      <c r="G197" s="206">
        <v>6</v>
      </c>
      <c r="H197" s="206">
        <v>8</v>
      </c>
      <c r="I197" s="206">
        <v>31</v>
      </c>
      <c r="J197" s="206" t="s">
        <v>519</v>
      </c>
      <c r="K197" s="206">
        <v>3</v>
      </c>
      <c r="L197" s="206">
        <v>0</v>
      </c>
      <c r="M197" s="3" t="str">
        <f t="shared" ca="1" si="7"/>
        <v>Actif</v>
      </c>
      <c r="N197" s="206" t="s">
        <v>275</v>
      </c>
      <c r="O197" s="421" t="s">
        <v>501</v>
      </c>
      <c r="P197" s="421" t="s">
        <v>148</v>
      </c>
      <c r="Q197" s="206"/>
      <c r="R197" s="206"/>
      <c r="S197" s="421" t="str">
        <f>_xlfn.CONCAT(B197,"-",Tableau8[[#This Row],[To]])</f>
        <v>1036-46507</v>
      </c>
      <c r="T197" s="527">
        <v>46091</v>
      </c>
    </row>
    <row r="198" spans="1:20" ht="21" customHeight="1">
      <c r="A198" s="516" t="str">
        <f t="shared" ca="1" si="6"/>
        <v>1037-Inactif</v>
      </c>
      <c r="B198" s="206">
        <v>1037</v>
      </c>
      <c r="C198" s="453">
        <v>45717</v>
      </c>
      <c r="D198" s="453">
        <v>46142</v>
      </c>
      <c r="E198" s="206" t="s">
        <v>605</v>
      </c>
      <c r="F198" s="206" t="s">
        <v>259</v>
      </c>
      <c r="G198" s="206">
        <v>2</v>
      </c>
      <c r="H198" s="206">
        <v>4</v>
      </c>
      <c r="I198" s="206">
        <v>62</v>
      </c>
      <c r="J198" s="206" t="s">
        <v>534</v>
      </c>
      <c r="K198" s="206">
        <v>3</v>
      </c>
      <c r="L198" s="206">
        <v>7</v>
      </c>
      <c r="M198" s="3" t="str">
        <f t="shared" ca="1" si="7"/>
        <v>Inactif</v>
      </c>
      <c r="N198" s="206" t="s">
        <v>275</v>
      </c>
      <c r="O198" s="421" t="s">
        <v>607</v>
      </c>
      <c r="P198" s="421" t="s">
        <v>148</v>
      </c>
      <c r="Q198" s="206">
        <v>8</v>
      </c>
      <c r="R198" s="206"/>
      <c r="S198" s="421" t="str">
        <f>_xlfn.CONCAT(B198,"-",Tableau8[[#This Row],[To]])</f>
        <v>1037-46142</v>
      </c>
      <c r="T198" s="517">
        <v>46049</v>
      </c>
    </row>
    <row r="199" spans="1:20" ht="21" customHeight="1">
      <c r="A199" s="516" t="str">
        <f t="shared" ca="1" si="6"/>
        <v>1037-Actif</v>
      </c>
      <c r="B199" s="206">
        <v>1037</v>
      </c>
      <c r="C199" s="453">
        <v>46143</v>
      </c>
      <c r="D199" s="453">
        <v>46507</v>
      </c>
      <c r="E199" s="206" t="s">
        <v>605</v>
      </c>
      <c r="F199" s="206" t="s">
        <v>301</v>
      </c>
      <c r="G199" s="206">
        <v>5</v>
      </c>
      <c r="H199" s="206">
        <v>8</v>
      </c>
      <c r="I199" s="206">
        <v>67</v>
      </c>
      <c r="J199" s="206" t="s">
        <v>536</v>
      </c>
      <c r="K199" s="206">
        <v>3</v>
      </c>
      <c r="L199" s="206">
        <v>7</v>
      </c>
      <c r="M199" s="3" t="str">
        <f t="shared" ca="1" si="7"/>
        <v>Actif</v>
      </c>
      <c r="N199" s="206" t="s">
        <v>275</v>
      </c>
      <c r="O199" s="421" t="s">
        <v>501</v>
      </c>
      <c r="P199" s="421" t="s">
        <v>148</v>
      </c>
      <c r="Q199" s="206"/>
      <c r="R199" s="206"/>
      <c r="S199" s="421" t="str">
        <f>_xlfn.CONCAT(B199,"-",Tableau8[[#This Row],[To]])</f>
        <v>1037-46507</v>
      </c>
      <c r="T199" s="527">
        <v>46091</v>
      </c>
    </row>
    <row r="200" spans="1:20" ht="21" customHeight="1">
      <c r="A200" s="516" t="str">
        <f t="shared" ca="1" si="6"/>
        <v>1039-Inactif</v>
      </c>
      <c r="B200" s="206">
        <v>1039</v>
      </c>
      <c r="C200" s="453">
        <v>45748</v>
      </c>
      <c r="D200" s="453">
        <v>46142</v>
      </c>
      <c r="E200" s="206" t="s">
        <v>524</v>
      </c>
      <c r="F200" s="206" t="s">
        <v>259</v>
      </c>
      <c r="G200" s="206">
        <v>2</v>
      </c>
      <c r="H200" s="206">
        <v>4</v>
      </c>
      <c r="I200" s="206">
        <v>38</v>
      </c>
      <c r="J200" s="206" t="s">
        <v>519</v>
      </c>
      <c r="K200" s="206">
        <v>3</v>
      </c>
      <c r="L200" s="206"/>
      <c r="M200" s="3" t="str">
        <f t="shared" ca="1" si="7"/>
        <v>Inactif</v>
      </c>
      <c r="N200" s="206" t="s">
        <v>507</v>
      </c>
      <c r="O200" s="421" t="s">
        <v>554</v>
      </c>
      <c r="P200" s="421" t="s">
        <v>144</v>
      </c>
      <c r="Q200" s="206"/>
      <c r="R200" s="206" t="s">
        <v>618</v>
      </c>
      <c r="S200" s="421" t="str">
        <f>_xlfn.CONCAT(B200,"-",Tableau8[[#This Row],[To]])</f>
        <v>1039-46142</v>
      </c>
      <c r="T200" s="517">
        <v>46049</v>
      </c>
    </row>
    <row r="201" spans="1:20" ht="21" customHeight="1">
      <c r="A201" s="516" t="str">
        <f t="shared" ca="1" si="6"/>
        <v>1039-Actif</v>
      </c>
      <c r="B201" s="528">
        <v>1039</v>
      </c>
      <c r="C201" s="453">
        <v>46143</v>
      </c>
      <c r="D201" s="453">
        <v>46507</v>
      </c>
      <c r="E201" s="530" t="s">
        <v>524</v>
      </c>
      <c r="F201" s="206" t="s">
        <v>484</v>
      </c>
      <c r="G201" s="206">
        <v>7</v>
      </c>
      <c r="H201" s="206">
        <v>9</v>
      </c>
      <c r="I201" s="206">
        <v>40</v>
      </c>
      <c r="J201" s="206" t="s">
        <v>519</v>
      </c>
      <c r="K201" s="206">
        <v>3</v>
      </c>
      <c r="L201" s="206"/>
      <c r="M201" s="3" t="str">
        <f t="shared" ca="1" si="7"/>
        <v>Actif</v>
      </c>
      <c r="N201" s="206" t="s">
        <v>507</v>
      </c>
      <c r="O201" s="421" t="s">
        <v>493</v>
      </c>
      <c r="P201" s="421" t="s">
        <v>144</v>
      </c>
      <c r="Q201" s="206"/>
      <c r="R201" s="525" t="s">
        <v>550</v>
      </c>
      <c r="S201" s="421" t="str">
        <f>_xlfn.CONCAT(B201,"-",Tableau8[[#This Row],[To]])</f>
        <v>1039-46507</v>
      </c>
      <c r="T201" s="527">
        <v>46100</v>
      </c>
    </row>
    <row r="202" spans="1:20" ht="21" customHeight="1">
      <c r="A202" s="516" t="str">
        <f t="shared" ca="1" si="6"/>
        <v>1040-Inactif</v>
      </c>
      <c r="B202" s="206">
        <v>1040</v>
      </c>
      <c r="C202" s="453">
        <v>45717</v>
      </c>
      <c r="D202" s="453">
        <v>46142</v>
      </c>
      <c r="E202" s="206" t="s">
        <v>605</v>
      </c>
      <c r="F202" s="206" t="s">
        <v>301</v>
      </c>
      <c r="G202" s="206">
        <v>5</v>
      </c>
      <c r="H202" s="206">
        <v>11</v>
      </c>
      <c r="I202" s="206">
        <v>32</v>
      </c>
      <c r="J202" s="206" t="s">
        <v>537</v>
      </c>
      <c r="K202" s="206">
        <v>3</v>
      </c>
      <c r="L202" s="206">
        <v>0</v>
      </c>
      <c r="M202" s="3" t="str">
        <f t="shared" ca="1" si="7"/>
        <v>Inactif</v>
      </c>
      <c r="N202" s="206" t="s">
        <v>275</v>
      </c>
      <c r="O202" s="421" t="s">
        <v>607</v>
      </c>
      <c r="P202" s="421" t="s">
        <v>148</v>
      </c>
      <c r="Q202" s="206"/>
      <c r="R202" s="206"/>
      <c r="S202" s="421" t="str">
        <f>_xlfn.CONCAT(B202,"-",Tableau8[[#This Row],[To]])</f>
        <v>1040-46142</v>
      </c>
      <c r="T202" s="517">
        <v>46049</v>
      </c>
    </row>
    <row r="203" spans="1:20" ht="21" customHeight="1">
      <c r="A203" s="516" t="str">
        <f t="shared" ca="1" si="6"/>
        <v>1040-Actif</v>
      </c>
      <c r="B203" s="206">
        <v>1040</v>
      </c>
      <c r="C203" s="453">
        <v>46143</v>
      </c>
      <c r="D203" s="453">
        <v>46507</v>
      </c>
      <c r="E203" s="206" t="s">
        <v>605</v>
      </c>
      <c r="F203" s="206" t="s">
        <v>301</v>
      </c>
      <c r="G203" s="206">
        <v>5</v>
      </c>
      <c r="H203" s="206">
        <v>8</v>
      </c>
      <c r="I203" s="206">
        <v>32</v>
      </c>
      <c r="J203" s="206" t="s">
        <v>571</v>
      </c>
      <c r="K203" s="206">
        <v>3</v>
      </c>
      <c r="L203" s="206">
        <v>0</v>
      </c>
      <c r="M203" s="3" t="str">
        <f t="shared" ca="1" si="7"/>
        <v>Actif</v>
      </c>
      <c r="N203" s="206" t="s">
        <v>275</v>
      </c>
      <c r="O203" s="421" t="s">
        <v>501</v>
      </c>
      <c r="P203" s="421" t="s">
        <v>148</v>
      </c>
      <c r="Q203" s="206"/>
      <c r="R203" s="206"/>
      <c r="S203" s="421" t="str">
        <f>_xlfn.CONCAT(B203,"-",Tableau8[[#This Row],[To]])</f>
        <v>1040-46507</v>
      </c>
      <c r="T203" s="527">
        <v>46091</v>
      </c>
    </row>
    <row r="204" spans="1:20" ht="21" customHeight="1">
      <c r="A204" s="516" t="str">
        <f t="shared" ca="1" si="6"/>
        <v>1045-Inactif</v>
      </c>
      <c r="B204" s="206">
        <v>1045</v>
      </c>
      <c r="C204" s="453">
        <v>45748</v>
      </c>
      <c r="D204" s="453">
        <v>45961</v>
      </c>
      <c r="E204" s="206" t="s">
        <v>524</v>
      </c>
      <c r="F204" s="206" t="s">
        <v>295</v>
      </c>
      <c r="G204" s="206">
        <v>3</v>
      </c>
      <c r="H204" s="206">
        <v>5</v>
      </c>
      <c r="I204" s="206">
        <v>44</v>
      </c>
      <c r="J204" s="206" t="s">
        <v>551</v>
      </c>
      <c r="K204" s="206">
        <v>3</v>
      </c>
      <c r="L204" s="206"/>
      <c r="M204" s="3" t="str">
        <f t="shared" ca="1" si="7"/>
        <v>Inactif</v>
      </c>
      <c r="N204" s="206" t="s">
        <v>507</v>
      </c>
      <c r="O204" s="421" t="s">
        <v>619</v>
      </c>
      <c r="P204" s="421" t="s">
        <v>144</v>
      </c>
      <c r="Q204" s="206"/>
      <c r="R204" s="206"/>
      <c r="S204" s="421" t="str">
        <f>_xlfn.CONCAT(B204,"-",Tableau8[[#This Row],[To]])</f>
        <v>1045-45961</v>
      </c>
      <c r="T204" s="517">
        <v>46049</v>
      </c>
    </row>
    <row r="205" spans="1:20" ht="21" customHeight="1">
      <c r="A205" s="516" t="str">
        <f t="shared" ca="1" si="6"/>
        <v>1045-Actif</v>
      </c>
      <c r="B205" s="206">
        <v>1045</v>
      </c>
      <c r="C205" s="453">
        <v>46143</v>
      </c>
      <c r="D205" s="453">
        <v>46507</v>
      </c>
      <c r="E205" s="206" t="s">
        <v>524</v>
      </c>
      <c r="F205" s="206" t="s">
        <v>484</v>
      </c>
      <c r="G205" s="206">
        <v>2</v>
      </c>
      <c r="H205" s="206">
        <v>4</v>
      </c>
      <c r="I205" s="206">
        <v>46</v>
      </c>
      <c r="J205" s="206" t="s">
        <v>551</v>
      </c>
      <c r="K205" s="206">
        <v>3</v>
      </c>
      <c r="L205" s="206">
        <v>7</v>
      </c>
      <c r="M205" s="3" t="str">
        <f t="shared" ca="1" si="7"/>
        <v>Actif</v>
      </c>
      <c r="N205" s="206" t="s">
        <v>507</v>
      </c>
      <c r="O205" s="421" t="s">
        <v>493</v>
      </c>
      <c r="P205" s="421" t="s">
        <v>144</v>
      </c>
      <c r="Q205" s="206"/>
      <c r="R205" s="206" t="s">
        <v>494</v>
      </c>
      <c r="S205" s="421" t="str">
        <f>_xlfn.CONCAT(B205,"-",Tableau8[[#This Row],[To]])</f>
        <v>1045-46507</v>
      </c>
      <c r="T205" s="527">
        <v>46100</v>
      </c>
    </row>
    <row r="206" spans="1:20" ht="21" customHeight="1">
      <c r="A206" s="516" t="str">
        <f t="shared" ca="1" si="6"/>
        <v>1045-Inactif</v>
      </c>
      <c r="B206" s="206">
        <v>1045</v>
      </c>
      <c r="C206" s="453">
        <v>45962</v>
      </c>
      <c r="D206" s="453">
        <v>46142</v>
      </c>
      <c r="E206" s="206" t="s">
        <v>524</v>
      </c>
      <c r="F206" s="206" t="s">
        <v>301</v>
      </c>
      <c r="G206" s="206">
        <v>3</v>
      </c>
      <c r="H206" s="206">
        <v>5</v>
      </c>
      <c r="I206" s="206">
        <v>53</v>
      </c>
      <c r="J206" s="206" t="s">
        <v>551</v>
      </c>
      <c r="K206" s="206">
        <v>3</v>
      </c>
      <c r="L206" s="206">
        <v>0</v>
      </c>
      <c r="M206" s="3" t="str">
        <f t="shared" ca="1" si="7"/>
        <v>Inactif</v>
      </c>
      <c r="N206" s="206" t="s">
        <v>507</v>
      </c>
      <c r="O206" s="421" t="s">
        <v>620</v>
      </c>
      <c r="P206" s="421" t="s">
        <v>144</v>
      </c>
      <c r="Q206" s="206"/>
      <c r="R206" s="206" t="s">
        <v>618</v>
      </c>
      <c r="S206" s="421" t="str">
        <f>_xlfn.CONCAT(B206,"-",Tableau8[[#This Row],[To]])</f>
        <v>1045-46142</v>
      </c>
      <c r="T206" s="517">
        <v>46049</v>
      </c>
    </row>
    <row r="207" spans="1:20" ht="21" customHeight="1">
      <c r="A207" s="516" t="str">
        <f t="shared" ca="1" si="6"/>
        <v>1065-Inactif</v>
      </c>
      <c r="B207" s="206">
        <v>1065</v>
      </c>
      <c r="C207" s="453">
        <v>45901</v>
      </c>
      <c r="D207" s="453">
        <v>46142</v>
      </c>
      <c r="E207" s="206" t="s">
        <v>615</v>
      </c>
      <c r="F207" s="206" t="s">
        <v>259</v>
      </c>
      <c r="G207" s="206">
        <v>1</v>
      </c>
      <c r="H207" s="206">
        <v>3</v>
      </c>
      <c r="I207" s="206">
        <v>50</v>
      </c>
      <c r="J207" s="206" t="s">
        <v>606</v>
      </c>
      <c r="K207" s="206">
        <v>3</v>
      </c>
      <c r="L207" s="206">
        <v>0</v>
      </c>
      <c r="M207" s="3" t="str">
        <f t="shared" ca="1" si="7"/>
        <v>Inactif</v>
      </c>
      <c r="N207" s="206" t="s">
        <v>275</v>
      </c>
      <c r="O207" s="421" t="s">
        <v>621</v>
      </c>
      <c r="P207" s="421" t="s">
        <v>148</v>
      </c>
      <c r="Q207" s="206"/>
      <c r="R207" s="206"/>
      <c r="S207" s="421" t="str">
        <f>_xlfn.CONCAT(B207,"-",Tableau8[[#This Row],[To]])</f>
        <v>1065-46142</v>
      </c>
      <c r="T207" s="517">
        <v>46049</v>
      </c>
    </row>
    <row r="208" spans="1:20" ht="21" customHeight="1">
      <c r="A208" s="516" t="str">
        <f t="shared" ca="1" si="6"/>
        <v>1065-Inactif</v>
      </c>
      <c r="B208" s="206">
        <v>1065</v>
      </c>
      <c r="C208" s="453">
        <v>45778</v>
      </c>
      <c r="D208" s="453">
        <v>45900</v>
      </c>
      <c r="E208" s="206" t="s">
        <v>615</v>
      </c>
      <c r="F208" s="206" t="s">
        <v>259</v>
      </c>
      <c r="G208" s="206">
        <v>1</v>
      </c>
      <c r="H208" s="206">
        <v>3</v>
      </c>
      <c r="I208" s="206">
        <v>55</v>
      </c>
      <c r="J208" s="206" t="s">
        <v>606</v>
      </c>
      <c r="K208" s="206">
        <v>3</v>
      </c>
      <c r="L208" s="206">
        <v>0</v>
      </c>
      <c r="M208" s="3" t="str">
        <f t="shared" ca="1" si="7"/>
        <v>Inactif</v>
      </c>
      <c r="N208" s="206" t="s">
        <v>275</v>
      </c>
      <c r="O208" s="421" t="s">
        <v>616</v>
      </c>
      <c r="P208" s="421" t="s">
        <v>148</v>
      </c>
      <c r="Q208" s="206"/>
      <c r="R208" s="421"/>
      <c r="S208" s="421" t="str">
        <f>_xlfn.CONCAT(B208,"-",Tableau8[[#This Row],[To]])</f>
        <v>1065-45900</v>
      </c>
      <c r="T208" s="517">
        <v>46049</v>
      </c>
    </row>
    <row r="209" spans="1:20" ht="21" customHeight="1">
      <c r="A209" s="516" t="str">
        <f t="shared" ca="1" si="6"/>
        <v>1065-Actif</v>
      </c>
      <c r="B209" s="206">
        <v>1065</v>
      </c>
      <c r="C209" s="453">
        <v>46143</v>
      </c>
      <c r="D209" s="453">
        <v>46507</v>
      </c>
      <c r="E209" s="206" t="s">
        <v>615</v>
      </c>
      <c r="F209" s="206" t="s">
        <v>290</v>
      </c>
      <c r="G209" s="206">
        <v>1</v>
      </c>
      <c r="H209" s="206">
        <v>2</v>
      </c>
      <c r="I209" s="206">
        <v>50</v>
      </c>
      <c r="J209" s="206" t="s">
        <v>606</v>
      </c>
      <c r="K209" s="206">
        <v>3</v>
      </c>
      <c r="L209" s="206">
        <v>0</v>
      </c>
      <c r="M209" s="3" t="str">
        <f t="shared" ca="1" si="7"/>
        <v>Actif</v>
      </c>
      <c r="N209" s="206" t="s">
        <v>275</v>
      </c>
      <c r="O209" s="421" t="s">
        <v>501</v>
      </c>
      <c r="P209" s="421" t="s">
        <v>148</v>
      </c>
      <c r="Q209" s="206"/>
      <c r="R209" s="206"/>
      <c r="S209" s="421" t="str">
        <f>_xlfn.CONCAT(B209,"-",Tableau8[[#This Row],[To]])</f>
        <v>1065-46507</v>
      </c>
      <c r="T209" s="527">
        <v>46091</v>
      </c>
    </row>
    <row r="210" spans="1:20" ht="21" customHeight="1">
      <c r="A210" s="516" t="str">
        <f t="shared" ca="1" si="6"/>
        <v>1066-Inactif</v>
      </c>
      <c r="B210" s="206">
        <v>1066</v>
      </c>
      <c r="C210" s="453">
        <v>45778</v>
      </c>
      <c r="D210" s="453">
        <v>46142</v>
      </c>
      <c r="E210" s="206" t="s">
        <v>615</v>
      </c>
      <c r="F210" s="206" t="s">
        <v>259</v>
      </c>
      <c r="G210" s="206">
        <v>5</v>
      </c>
      <c r="H210" s="206">
        <v>8</v>
      </c>
      <c r="I210" s="206">
        <v>56</v>
      </c>
      <c r="J210" s="206" t="s">
        <v>608</v>
      </c>
      <c r="K210" s="206">
        <v>3</v>
      </c>
      <c r="L210" s="206">
        <v>0</v>
      </c>
      <c r="M210" s="3" t="str">
        <f t="shared" ca="1" si="7"/>
        <v>Inactif</v>
      </c>
      <c r="N210" s="206" t="s">
        <v>275</v>
      </c>
      <c r="O210" s="421" t="s">
        <v>616</v>
      </c>
      <c r="P210" s="421" t="s">
        <v>148</v>
      </c>
      <c r="Q210" s="206">
        <v>16</v>
      </c>
      <c r="R210" s="206"/>
      <c r="S210" s="421" t="str">
        <f>_xlfn.CONCAT(B210,"-",Tableau8[[#This Row],[To]])</f>
        <v>1066-46142</v>
      </c>
      <c r="T210" s="517">
        <v>46049</v>
      </c>
    </row>
    <row r="211" spans="1:20" ht="15">
      <c r="A211" s="516" t="str">
        <f t="shared" ca="1" si="6"/>
        <v>1066-Actif</v>
      </c>
      <c r="B211" s="206">
        <v>1066</v>
      </c>
      <c r="C211" s="453">
        <v>46143</v>
      </c>
      <c r="D211" s="453">
        <v>46507</v>
      </c>
      <c r="E211" s="206" t="s">
        <v>615</v>
      </c>
      <c r="F211" s="206" t="s">
        <v>282</v>
      </c>
      <c r="G211" s="206">
        <v>7</v>
      </c>
      <c r="H211" s="206">
        <v>9</v>
      </c>
      <c r="I211" s="206">
        <v>44</v>
      </c>
      <c r="J211" s="206" t="s">
        <v>608</v>
      </c>
      <c r="K211" s="206">
        <v>3</v>
      </c>
      <c r="L211" s="206">
        <v>14</v>
      </c>
      <c r="M211" s="3" t="str">
        <f t="shared" ca="1" si="7"/>
        <v>Actif</v>
      </c>
      <c r="N211" s="206" t="s">
        <v>275</v>
      </c>
      <c r="O211" s="421" t="s">
        <v>622</v>
      </c>
      <c r="P211" s="421" t="s">
        <v>148</v>
      </c>
      <c r="Q211" s="206"/>
      <c r="R211" s="206"/>
      <c r="S211" s="421" t="str">
        <f>_xlfn.CONCAT(B211,"-",Tableau8[[#This Row],[To]])</f>
        <v>1066-46507</v>
      </c>
      <c r="T211" s="527">
        <v>46091</v>
      </c>
    </row>
    <row r="212" spans="1:20" ht="21" customHeight="1">
      <c r="A212" s="516" t="str">
        <f t="shared" ca="1" si="6"/>
        <v>1067-Inactif</v>
      </c>
      <c r="B212" s="206">
        <v>1067</v>
      </c>
      <c r="C212" s="453">
        <v>45778</v>
      </c>
      <c r="D212" s="453">
        <v>46142</v>
      </c>
      <c r="E212" s="206" t="s">
        <v>615</v>
      </c>
      <c r="F212" s="206" t="s">
        <v>301</v>
      </c>
      <c r="G212" s="206">
        <v>6</v>
      </c>
      <c r="H212" s="206">
        <v>7</v>
      </c>
      <c r="I212" s="206">
        <v>41</v>
      </c>
      <c r="J212" s="206" t="s">
        <v>539</v>
      </c>
      <c r="K212" s="206">
        <v>3</v>
      </c>
      <c r="L212" s="206">
        <v>14</v>
      </c>
      <c r="M212" s="3" t="str">
        <f t="shared" ca="1" si="7"/>
        <v>Inactif</v>
      </c>
      <c r="N212" s="206" t="s">
        <v>275</v>
      </c>
      <c r="O212" s="421" t="s">
        <v>616</v>
      </c>
      <c r="P212" s="421" t="s">
        <v>148</v>
      </c>
      <c r="Q212" s="206">
        <v>17</v>
      </c>
      <c r="R212" s="206"/>
      <c r="S212" s="421" t="str">
        <f>_xlfn.CONCAT(B212,"-",Tableau8[[#This Row],[To]])</f>
        <v>1067-46142</v>
      </c>
      <c r="T212" s="517">
        <v>46049</v>
      </c>
    </row>
    <row r="213" spans="1:20" ht="21" customHeight="1">
      <c r="A213" s="516" t="str">
        <f t="shared" ca="1" si="6"/>
        <v>1067-Actif</v>
      </c>
      <c r="B213" s="206">
        <v>1067</v>
      </c>
      <c r="C213" s="453">
        <v>46143</v>
      </c>
      <c r="D213" s="453">
        <v>46507</v>
      </c>
      <c r="E213" s="206" t="s">
        <v>615</v>
      </c>
      <c r="F213" s="206" t="s">
        <v>301</v>
      </c>
      <c r="G213" s="206">
        <v>3</v>
      </c>
      <c r="H213" s="206">
        <v>5</v>
      </c>
      <c r="I213" s="206">
        <v>38</v>
      </c>
      <c r="J213" s="206" t="s">
        <v>539</v>
      </c>
      <c r="K213" s="206">
        <v>3</v>
      </c>
      <c r="L213" s="206">
        <v>14</v>
      </c>
      <c r="M213" s="3" t="str">
        <f t="shared" ca="1" si="7"/>
        <v>Actif</v>
      </c>
      <c r="N213" s="206" t="s">
        <v>275</v>
      </c>
      <c r="O213" s="421" t="s">
        <v>501</v>
      </c>
      <c r="P213" s="421" t="s">
        <v>148</v>
      </c>
      <c r="Q213" s="206"/>
      <c r="R213" s="206"/>
      <c r="S213" s="421" t="str">
        <f>_xlfn.CONCAT(B213,"-",Tableau8[[#This Row],[To]])</f>
        <v>1067-46507</v>
      </c>
      <c r="T213" s="527">
        <v>46091</v>
      </c>
    </row>
    <row r="214" spans="1:20" ht="21" customHeight="1">
      <c r="A214" s="516" t="str">
        <f t="shared" ca="1" si="6"/>
        <v>1068-Inactif</v>
      </c>
      <c r="B214" s="206">
        <v>1068</v>
      </c>
      <c r="C214" s="453">
        <v>45778</v>
      </c>
      <c r="D214" s="453">
        <v>46142</v>
      </c>
      <c r="E214" s="206" t="s">
        <v>615</v>
      </c>
      <c r="F214" s="206" t="s">
        <v>295</v>
      </c>
      <c r="G214" s="206">
        <v>2</v>
      </c>
      <c r="H214" s="206">
        <v>4</v>
      </c>
      <c r="I214" s="206">
        <v>48</v>
      </c>
      <c r="J214" s="206" t="s">
        <v>547</v>
      </c>
      <c r="K214" s="206">
        <v>3</v>
      </c>
      <c r="L214" s="206">
        <v>14</v>
      </c>
      <c r="M214" s="3" t="str">
        <f t="shared" ca="1" si="7"/>
        <v>Inactif</v>
      </c>
      <c r="N214" s="206" t="s">
        <v>275</v>
      </c>
      <c r="O214" s="421" t="s">
        <v>616</v>
      </c>
      <c r="P214" s="421" t="s">
        <v>148</v>
      </c>
      <c r="Q214" s="206">
        <v>12</v>
      </c>
      <c r="R214" s="206"/>
      <c r="S214" s="421" t="str">
        <f>_xlfn.CONCAT(B214,"-",Tableau8[[#This Row],[To]])</f>
        <v>1068-46142</v>
      </c>
      <c r="T214" s="517">
        <v>46049</v>
      </c>
    </row>
    <row r="215" spans="1:20" ht="21" customHeight="1">
      <c r="A215" s="516" t="str">
        <f t="shared" ca="1" si="6"/>
        <v>1068-Actif</v>
      </c>
      <c r="B215" s="206">
        <v>1068</v>
      </c>
      <c r="C215" s="453">
        <v>46143</v>
      </c>
      <c r="D215" s="453">
        <v>46507</v>
      </c>
      <c r="E215" s="206" t="s">
        <v>615</v>
      </c>
      <c r="F215" s="206" t="s">
        <v>301</v>
      </c>
      <c r="G215" s="206">
        <v>3</v>
      </c>
      <c r="H215" s="206">
        <v>5</v>
      </c>
      <c r="I215" s="206">
        <v>67</v>
      </c>
      <c r="J215" s="206" t="s">
        <v>547</v>
      </c>
      <c r="K215" s="206">
        <v>3</v>
      </c>
      <c r="L215" s="206">
        <v>0</v>
      </c>
      <c r="M215" s="3" t="str">
        <f t="shared" ca="1" si="7"/>
        <v>Actif</v>
      </c>
      <c r="N215" s="206" t="s">
        <v>275</v>
      </c>
      <c r="O215" s="421" t="s">
        <v>501</v>
      </c>
      <c r="P215" s="421" t="s">
        <v>148</v>
      </c>
      <c r="Q215" s="206"/>
      <c r="R215" s="206"/>
      <c r="S215" s="421" t="str">
        <f>_xlfn.CONCAT(B215,"-",Tableau8[[#This Row],[To]])</f>
        <v>1068-46507</v>
      </c>
      <c r="T215" s="527">
        <v>46091</v>
      </c>
    </row>
    <row r="216" spans="1:20" ht="21" customHeight="1">
      <c r="A216" s="516" t="str">
        <f t="shared" ca="1" si="6"/>
        <v>1069-Inactif</v>
      </c>
      <c r="B216" s="206">
        <v>1069</v>
      </c>
      <c r="C216" s="453">
        <v>45778</v>
      </c>
      <c r="D216" s="453">
        <v>46142</v>
      </c>
      <c r="E216" s="206" t="s">
        <v>615</v>
      </c>
      <c r="F216" s="206" t="s">
        <v>259</v>
      </c>
      <c r="G216" s="206">
        <v>5</v>
      </c>
      <c r="H216" s="206">
        <v>8</v>
      </c>
      <c r="I216" s="206">
        <v>34</v>
      </c>
      <c r="J216" s="206" t="s">
        <v>609</v>
      </c>
      <c r="K216" s="206">
        <v>3</v>
      </c>
      <c r="L216" s="206">
        <v>14</v>
      </c>
      <c r="M216" s="3" t="str">
        <f t="shared" ca="1" si="7"/>
        <v>Inactif</v>
      </c>
      <c r="N216" s="206" t="s">
        <v>275</v>
      </c>
      <c r="O216" s="421" t="s">
        <v>616</v>
      </c>
      <c r="P216" s="421" t="s">
        <v>148</v>
      </c>
      <c r="Q216" s="206">
        <v>13</v>
      </c>
      <c r="R216" s="206"/>
      <c r="S216" s="421" t="str">
        <f>_xlfn.CONCAT(B216,"-",Tableau8[[#This Row],[To]])</f>
        <v>1069-46142</v>
      </c>
      <c r="T216" s="517">
        <v>46049</v>
      </c>
    </row>
    <row r="217" spans="1:20" ht="21" customHeight="1">
      <c r="A217" s="516" t="str">
        <f t="shared" ca="1" si="6"/>
        <v>1069-Actif</v>
      </c>
      <c r="B217" s="206">
        <v>1069</v>
      </c>
      <c r="C217" s="453">
        <v>46143</v>
      </c>
      <c r="D217" s="453">
        <v>46507</v>
      </c>
      <c r="E217" s="206" t="s">
        <v>615</v>
      </c>
      <c r="F217" s="206" t="s">
        <v>259</v>
      </c>
      <c r="G217" s="206">
        <v>5</v>
      </c>
      <c r="H217" s="206">
        <v>8</v>
      </c>
      <c r="I217" s="206">
        <v>34</v>
      </c>
      <c r="J217" s="206" t="s">
        <v>609</v>
      </c>
      <c r="K217" s="206">
        <v>3</v>
      </c>
      <c r="L217" s="206">
        <v>14</v>
      </c>
      <c r="M217" s="3" t="str">
        <f t="shared" ca="1" si="7"/>
        <v>Actif</v>
      </c>
      <c r="N217" s="206" t="s">
        <v>275</v>
      </c>
      <c r="O217" s="421" t="s">
        <v>501</v>
      </c>
      <c r="P217" s="421" t="s">
        <v>148</v>
      </c>
      <c r="Q217" s="206"/>
      <c r="R217" s="206"/>
      <c r="S217" s="421" t="str">
        <f>_xlfn.CONCAT(B217,"-",Tableau8[[#This Row],[To]])</f>
        <v>1069-46507</v>
      </c>
      <c r="T217" s="527">
        <v>46091</v>
      </c>
    </row>
    <row r="218" spans="1:20" ht="21" customHeight="1">
      <c r="A218" s="516" t="str">
        <f t="shared" ca="1" si="6"/>
        <v>1070-Inactif</v>
      </c>
      <c r="B218" s="206">
        <v>1070</v>
      </c>
      <c r="C218" s="453">
        <v>45901</v>
      </c>
      <c r="D218" s="453">
        <v>46142</v>
      </c>
      <c r="E218" s="206" t="s">
        <v>615</v>
      </c>
      <c r="F218" s="206" t="s">
        <v>259</v>
      </c>
      <c r="G218" s="206">
        <v>5</v>
      </c>
      <c r="H218" s="206">
        <v>8</v>
      </c>
      <c r="I218" s="206">
        <v>49</v>
      </c>
      <c r="J218" s="206" t="s">
        <v>551</v>
      </c>
      <c r="K218" s="206">
        <v>3</v>
      </c>
      <c r="L218" s="206">
        <v>7</v>
      </c>
      <c r="M218" s="3" t="str">
        <f t="shared" ca="1" si="7"/>
        <v>Inactif</v>
      </c>
      <c r="N218" s="206" t="s">
        <v>275</v>
      </c>
      <c r="O218" s="421" t="s">
        <v>623</v>
      </c>
      <c r="P218" s="421" t="s">
        <v>148</v>
      </c>
      <c r="Q218" s="206">
        <v>14</v>
      </c>
      <c r="R218" s="206"/>
      <c r="S218" s="421" t="str">
        <f>_xlfn.CONCAT(B218,"-",Tableau8[[#This Row],[To]])</f>
        <v>1070-46142</v>
      </c>
      <c r="T218" s="517">
        <v>46049</v>
      </c>
    </row>
    <row r="219" spans="1:20" ht="21" customHeight="1">
      <c r="A219" s="516" t="str">
        <f t="shared" ca="1" si="6"/>
        <v>1070-Inactif</v>
      </c>
      <c r="B219" s="206">
        <v>1070</v>
      </c>
      <c r="C219" s="453">
        <v>45778</v>
      </c>
      <c r="D219" s="453">
        <v>45900</v>
      </c>
      <c r="E219" s="206" t="s">
        <v>615</v>
      </c>
      <c r="F219" s="206" t="s">
        <v>259</v>
      </c>
      <c r="G219" s="206">
        <v>5</v>
      </c>
      <c r="H219" s="206">
        <v>8</v>
      </c>
      <c r="I219" s="206">
        <v>46</v>
      </c>
      <c r="J219" s="206" t="s">
        <v>551</v>
      </c>
      <c r="K219" s="206">
        <v>3</v>
      </c>
      <c r="L219" s="206">
        <v>14</v>
      </c>
      <c r="M219" s="3" t="str">
        <f t="shared" ca="1" si="7"/>
        <v>Inactif</v>
      </c>
      <c r="N219" s="206" t="s">
        <v>275</v>
      </c>
      <c r="O219" s="421" t="s">
        <v>616</v>
      </c>
      <c r="P219" s="421" t="s">
        <v>148</v>
      </c>
      <c r="Q219" s="206">
        <v>14</v>
      </c>
      <c r="R219" s="206"/>
      <c r="S219" s="421" t="str">
        <f>_xlfn.CONCAT(B219,"-",Tableau8[[#This Row],[To]])</f>
        <v>1070-45900</v>
      </c>
      <c r="T219" s="517">
        <v>46049</v>
      </c>
    </row>
    <row r="220" spans="1:20" ht="21" customHeight="1">
      <c r="A220" s="516" t="str">
        <f t="shared" ca="1" si="6"/>
        <v>1070-Actif</v>
      </c>
      <c r="B220" s="206">
        <v>1070</v>
      </c>
      <c r="C220" s="453">
        <v>46143</v>
      </c>
      <c r="D220" s="453">
        <v>46507</v>
      </c>
      <c r="E220" s="206" t="s">
        <v>615</v>
      </c>
      <c r="F220" s="206" t="s">
        <v>290</v>
      </c>
      <c r="G220" s="206">
        <v>2</v>
      </c>
      <c r="H220" s="206">
        <v>4</v>
      </c>
      <c r="I220" s="206">
        <v>42</v>
      </c>
      <c r="J220" s="206" t="s">
        <v>551</v>
      </c>
      <c r="K220" s="206">
        <v>3</v>
      </c>
      <c r="L220" s="206">
        <v>7</v>
      </c>
      <c r="M220" s="3" t="str">
        <f t="shared" ca="1" si="7"/>
        <v>Actif</v>
      </c>
      <c r="N220" s="206" t="s">
        <v>275</v>
      </c>
      <c r="O220" s="421" t="s">
        <v>501</v>
      </c>
      <c r="P220" s="421" t="s">
        <v>148</v>
      </c>
      <c r="Q220" s="206"/>
      <c r="R220" s="206"/>
      <c r="S220" s="421" t="str">
        <f>_xlfn.CONCAT(B220,"-",Tableau8[[#This Row],[To]])</f>
        <v>1070-46507</v>
      </c>
      <c r="T220" s="527">
        <v>46091</v>
      </c>
    </row>
    <row r="221" spans="1:20" ht="21" customHeight="1">
      <c r="A221" s="516" t="str">
        <f t="shared" ca="1" si="6"/>
        <v>1071-Inactif</v>
      </c>
      <c r="B221" s="206">
        <v>1071</v>
      </c>
      <c r="C221" s="453">
        <v>45778</v>
      </c>
      <c r="D221" s="453">
        <v>46142</v>
      </c>
      <c r="E221" s="206" t="s">
        <v>615</v>
      </c>
      <c r="F221" s="206" t="s">
        <v>301</v>
      </c>
      <c r="G221" s="206">
        <v>3</v>
      </c>
      <c r="H221" s="206">
        <v>7</v>
      </c>
      <c r="I221" s="206">
        <v>10</v>
      </c>
      <c r="J221" s="206" t="s">
        <v>496</v>
      </c>
      <c r="K221" s="206">
        <v>3</v>
      </c>
      <c r="L221" s="206">
        <v>0</v>
      </c>
      <c r="M221" s="3" t="str">
        <f t="shared" ca="1" si="7"/>
        <v>Inactif</v>
      </c>
      <c r="N221" s="206" t="s">
        <v>275</v>
      </c>
      <c r="O221" s="421" t="s">
        <v>616</v>
      </c>
      <c r="P221" s="421" t="s">
        <v>148</v>
      </c>
      <c r="Q221" s="206"/>
      <c r="R221" s="206"/>
      <c r="S221" s="421" t="str">
        <f>_xlfn.CONCAT(B221,"-",Tableau8[[#This Row],[To]])</f>
        <v>1071-46142</v>
      </c>
      <c r="T221" s="517">
        <v>46049</v>
      </c>
    </row>
    <row r="222" spans="1:20" ht="21" customHeight="1">
      <c r="A222" s="516" t="str">
        <f t="shared" ca="1" si="6"/>
        <v>1071-Actif</v>
      </c>
      <c r="B222" s="206">
        <v>1071</v>
      </c>
      <c r="C222" s="453">
        <v>46143</v>
      </c>
      <c r="D222" s="453">
        <v>46507</v>
      </c>
      <c r="E222" s="206" t="s">
        <v>615</v>
      </c>
      <c r="F222" s="206" t="s">
        <v>282</v>
      </c>
      <c r="G222" s="206">
        <v>3</v>
      </c>
      <c r="H222" s="206">
        <v>6</v>
      </c>
      <c r="I222" s="206">
        <v>13</v>
      </c>
      <c r="J222" s="206" t="s">
        <v>496</v>
      </c>
      <c r="K222" s="206">
        <v>3</v>
      </c>
      <c r="L222" s="206">
        <v>0</v>
      </c>
      <c r="M222" s="3" t="str">
        <f t="shared" ca="1" si="7"/>
        <v>Actif</v>
      </c>
      <c r="N222" s="206" t="s">
        <v>275</v>
      </c>
      <c r="O222" s="421" t="s">
        <v>501</v>
      </c>
      <c r="P222" s="421" t="s">
        <v>148</v>
      </c>
      <c r="Q222" s="206"/>
      <c r="R222" s="206"/>
      <c r="S222" s="421" t="str">
        <f>_xlfn.CONCAT(B222,"-",Tableau8[[#This Row],[To]])</f>
        <v>1071-46507</v>
      </c>
      <c r="T222" s="527">
        <v>46091</v>
      </c>
    </row>
    <row r="223" spans="1:20" ht="21" customHeight="1">
      <c r="A223" s="516" t="str">
        <f t="shared" ca="1" si="6"/>
        <v>1072-Inactif</v>
      </c>
      <c r="B223" s="206">
        <v>1072</v>
      </c>
      <c r="C223" s="453">
        <v>45870</v>
      </c>
      <c r="D223" s="453">
        <v>46142</v>
      </c>
      <c r="E223" s="206" t="s">
        <v>615</v>
      </c>
      <c r="F223" s="206" t="s">
        <v>259</v>
      </c>
      <c r="G223" s="206">
        <v>5</v>
      </c>
      <c r="H223" s="206">
        <v>8</v>
      </c>
      <c r="I223" s="206">
        <v>35</v>
      </c>
      <c r="J223" s="206" t="s">
        <v>525</v>
      </c>
      <c r="K223" s="206">
        <v>3</v>
      </c>
      <c r="L223" s="206">
        <v>7</v>
      </c>
      <c r="M223" s="3" t="str">
        <f t="shared" ca="1" si="7"/>
        <v>Inactif</v>
      </c>
      <c r="N223" s="206" t="s">
        <v>275</v>
      </c>
      <c r="O223" s="421" t="s">
        <v>621</v>
      </c>
      <c r="P223" s="421" t="s">
        <v>148</v>
      </c>
      <c r="Q223" s="206">
        <v>10</v>
      </c>
      <c r="R223" s="206"/>
      <c r="S223" s="421" t="str">
        <f>_xlfn.CONCAT(B223,"-",Tableau8[[#This Row],[To]])</f>
        <v>1072-46142</v>
      </c>
      <c r="T223" s="517">
        <v>46049</v>
      </c>
    </row>
    <row r="224" spans="1:20" ht="21" customHeight="1">
      <c r="A224" s="516" t="str">
        <f t="shared" ca="1" si="6"/>
        <v>1072-Inactif</v>
      </c>
      <c r="B224" s="206">
        <v>1072</v>
      </c>
      <c r="C224" s="453">
        <v>45778</v>
      </c>
      <c r="D224" s="453">
        <v>45869</v>
      </c>
      <c r="E224" s="206" t="s">
        <v>615</v>
      </c>
      <c r="F224" s="206" t="s">
        <v>259</v>
      </c>
      <c r="G224" s="206">
        <v>5</v>
      </c>
      <c r="H224" s="206">
        <v>8</v>
      </c>
      <c r="I224" s="206">
        <v>35</v>
      </c>
      <c r="J224" s="206" t="s">
        <v>525</v>
      </c>
      <c r="K224" s="206">
        <v>3</v>
      </c>
      <c r="L224" s="206">
        <v>14</v>
      </c>
      <c r="M224" s="3" t="str">
        <f t="shared" ca="1" si="7"/>
        <v>Inactif</v>
      </c>
      <c r="N224" s="206" t="s">
        <v>275</v>
      </c>
      <c r="O224" s="421" t="s">
        <v>616</v>
      </c>
      <c r="P224" s="421" t="s">
        <v>148</v>
      </c>
      <c r="Q224" s="206">
        <v>10</v>
      </c>
      <c r="R224" s="206"/>
      <c r="S224" s="421" t="str">
        <f>_xlfn.CONCAT(B224,"-",Tableau8[[#This Row],[To]])</f>
        <v>1072-45869</v>
      </c>
      <c r="T224" s="517">
        <v>46049</v>
      </c>
    </row>
    <row r="225" spans="1:20" ht="21" customHeight="1">
      <c r="A225" s="516" t="str">
        <f t="shared" ca="1" si="6"/>
        <v>1072-Actif</v>
      </c>
      <c r="B225" s="206">
        <v>1072</v>
      </c>
      <c r="C225" s="453">
        <v>46143</v>
      </c>
      <c r="D225" s="453">
        <v>46507</v>
      </c>
      <c r="E225" s="206" t="s">
        <v>615</v>
      </c>
      <c r="F225" s="206" t="s">
        <v>301</v>
      </c>
      <c r="G225" s="206">
        <v>2</v>
      </c>
      <c r="H225" s="206">
        <v>4</v>
      </c>
      <c r="I225" s="206">
        <v>35</v>
      </c>
      <c r="J225" s="206" t="s">
        <v>525</v>
      </c>
      <c r="K225" s="206">
        <v>3</v>
      </c>
      <c r="L225" s="206">
        <v>0</v>
      </c>
      <c r="M225" s="3" t="str">
        <f t="shared" ca="1" si="7"/>
        <v>Actif</v>
      </c>
      <c r="N225" s="206" t="s">
        <v>275</v>
      </c>
      <c r="O225" s="421" t="s">
        <v>501</v>
      </c>
      <c r="P225" s="421" t="s">
        <v>148</v>
      </c>
      <c r="Q225" s="206"/>
      <c r="R225" s="206"/>
      <c r="S225" s="421" t="str">
        <f>_xlfn.CONCAT(B225,"-",Tableau8[[#This Row],[To]])</f>
        <v>1072-46507</v>
      </c>
      <c r="T225" s="527">
        <v>46091</v>
      </c>
    </row>
    <row r="226" spans="1:20" ht="21" customHeight="1">
      <c r="A226" s="516" t="str">
        <f t="shared" ca="1" si="6"/>
        <v>1073-Inactif</v>
      </c>
      <c r="B226" s="206">
        <v>1073</v>
      </c>
      <c r="C226" s="453">
        <v>45778</v>
      </c>
      <c r="D226" s="453">
        <v>46142</v>
      </c>
      <c r="E226" s="206" t="s">
        <v>615</v>
      </c>
      <c r="F226" s="206" t="s">
        <v>259</v>
      </c>
      <c r="G226" s="206">
        <v>6</v>
      </c>
      <c r="H226" s="206">
        <v>8</v>
      </c>
      <c r="I226" s="206">
        <v>34</v>
      </c>
      <c r="J226" s="206" t="s">
        <v>519</v>
      </c>
      <c r="K226" s="206">
        <v>3</v>
      </c>
      <c r="L226" s="206">
        <v>14</v>
      </c>
      <c r="M226" s="3" t="str">
        <f t="shared" ca="1" si="7"/>
        <v>Inactif</v>
      </c>
      <c r="N226" s="206" t="s">
        <v>275</v>
      </c>
      <c r="O226" s="421" t="s">
        <v>616</v>
      </c>
      <c r="P226" s="421" t="s">
        <v>148</v>
      </c>
      <c r="Q226" s="206"/>
      <c r="R226" s="206"/>
      <c r="S226" s="421" t="str">
        <f>_xlfn.CONCAT(B226,"-",Tableau8[[#This Row],[To]])</f>
        <v>1073-46142</v>
      </c>
      <c r="T226" s="517">
        <v>46049</v>
      </c>
    </row>
    <row r="227" spans="1:20" ht="21" customHeight="1">
      <c r="A227" s="516" t="str">
        <f t="shared" ca="1" si="6"/>
        <v>1073-Actif</v>
      </c>
      <c r="B227" s="206">
        <v>1073</v>
      </c>
      <c r="C227" s="453">
        <v>46143</v>
      </c>
      <c r="D227" s="453">
        <v>46507</v>
      </c>
      <c r="E227" s="206" t="s">
        <v>615</v>
      </c>
      <c r="F227" s="206" t="s">
        <v>259</v>
      </c>
      <c r="G227" s="206">
        <v>2</v>
      </c>
      <c r="H227" s="206">
        <v>4</v>
      </c>
      <c r="I227" s="206">
        <v>36</v>
      </c>
      <c r="J227" s="206" t="s">
        <v>519</v>
      </c>
      <c r="K227" s="206">
        <v>3</v>
      </c>
      <c r="L227" s="206">
        <v>7</v>
      </c>
      <c r="M227" s="3" t="str">
        <f t="shared" ca="1" si="7"/>
        <v>Actif</v>
      </c>
      <c r="N227" s="206" t="s">
        <v>275</v>
      </c>
      <c r="O227" s="421" t="s">
        <v>624</v>
      </c>
      <c r="P227" s="421" t="s">
        <v>148</v>
      </c>
      <c r="Q227" s="206"/>
      <c r="R227" s="206"/>
      <c r="S227" s="421" t="str">
        <f>_xlfn.CONCAT(B227,"-",Tableau8[[#This Row],[To]])</f>
        <v>1073-46507</v>
      </c>
      <c r="T227" s="527">
        <v>46091</v>
      </c>
    </row>
    <row r="228" spans="1:20" ht="21" customHeight="1">
      <c r="A228" s="516" t="str">
        <f t="shared" ca="1" si="6"/>
        <v>1074-Inactif</v>
      </c>
      <c r="B228" s="206">
        <v>1074</v>
      </c>
      <c r="C228" s="453">
        <v>45778</v>
      </c>
      <c r="D228" s="453">
        <v>46142</v>
      </c>
      <c r="E228" s="206" t="s">
        <v>615</v>
      </c>
      <c r="F228" s="206" t="s">
        <v>259</v>
      </c>
      <c r="G228" s="206">
        <v>5</v>
      </c>
      <c r="H228" s="206">
        <v>8</v>
      </c>
      <c r="I228" s="206">
        <v>40</v>
      </c>
      <c r="J228" s="206" t="s">
        <v>534</v>
      </c>
      <c r="K228" s="206">
        <v>3</v>
      </c>
      <c r="L228" s="206">
        <v>14</v>
      </c>
      <c r="M228" s="3" t="str">
        <f t="shared" ca="1" si="7"/>
        <v>Inactif</v>
      </c>
      <c r="N228" s="206" t="s">
        <v>275</v>
      </c>
      <c r="O228" s="421" t="s">
        <v>616</v>
      </c>
      <c r="P228" s="421" t="s">
        <v>148</v>
      </c>
      <c r="Q228" s="206">
        <v>8</v>
      </c>
      <c r="R228" s="206"/>
      <c r="S228" s="421" t="str">
        <f>_xlfn.CONCAT(B228,"-",Tableau8[[#This Row],[To]])</f>
        <v>1074-46142</v>
      </c>
      <c r="T228" s="517">
        <v>46049</v>
      </c>
    </row>
    <row r="229" spans="1:20" ht="22.9" customHeight="1">
      <c r="A229" s="516" t="str">
        <f t="shared" ca="1" si="6"/>
        <v>1074-Actif</v>
      </c>
      <c r="B229" s="206">
        <v>1074</v>
      </c>
      <c r="C229" s="453">
        <v>46143</v>
      </c>
      <c r="D229" s="453">
        <v>46507</v>
      </c>
      <c r="E229" s="206" t="s">
        <v>615</v>
      </c>
      <c r="F229" s="206" t="s">
        <v>301</v>
      </c>
      <c r="G229" s="206">
        <v>2</v>
      </c>
      <c r="H229" s="206">
        <v>4</v>
      </c>
      <c r="I229" s="206">
        <v>36</v>
      </c>
      <c r="J229" s="206" t="s">
        <v>536</v>
      </c>
      <c r="K229" s="206">
        <v>3</v>
      </c>
      <c r="L229" s="206">
        <v>14</v>
      </c>
      <c r="M229" s="3" t="str">
        <f t="shared" ca="1" si="7"/>
        <v>Actif</v>
      </c>
      <c r="N229" s="206" t="s">
        <v>275</v>
      </c>
      <c r="O229" s="421" t="s">
        <v>501</v>
      </c>
      <c r="P229" s="421" t="s">
        <v>148</v>
      </c>
      <c r="Q229" s="206"/>
      <c r="R229" s="206"/>
      <c r="S229" s="421" t="str">
        <f>_xlfn.CONCAT(B229,"-",Tableau8[[#This Row],[To]])</f>
        <v>1074-46507</v>
      </c>
      <c r="T229" s="527">
        <v>46091</v>
      </c>
    </row>
    <row r="230" spans="1:20" ht="21" customHeight="1">
      <c r="A230" s="516" t="str">
        <f t="shared" ca="1" si="6"/>
        <v>1084-Inactif</v>
      </c>
      <c r="B230" s="206">
        <v>1084</v>
      </c>
      <c r="C230" s="453">
        <v>45778</v>
      </c>
      <c r="D230" s="453">
        <v>46142</v>
      </c>
      <c r="E230" s="206" t="s">
        <v>614</v>
      </c>
      <c r="F230" s="206" t="s">
        <v>295</v>
      </c>
      <c r="G230" s="206">
        <v>3</v>
      </c>
      <c r="H230" s="206">
        <v>5</v>
      </c>
      <c r="I230" s="206">
        <v>35</v>
      </c>
      <c r="J230" s="206" t="s">
        <v>525</v>
      </c>
      <c r="K230" s="206">
        <v>3</v>
      </c>
      <c r="L230" s="206"/>
      <c r="M230" s="3" t="str">
        <f t="shared" ca="1" si="7"/>
        <v>Inactif</v>
      </c>
      <c r="N230" s="206" t="s">
        <v>517</v>
      </c>
      <c r="O230" s="421" t="s">
        <v>486</v>
      </c>
      <c r="P230" s="421" t="s">
        <v>144</v>
      </c>
      <c r="Q230" s="206"/>
      <c r="R230" s="206" t="s">
        <v>583</v>
      </c>
      <c r="S230" s="421" t="str">
        <f>_xlfn.CONCAT(B230,"-",Tableau8[[#This Row],[To]])</f>
        <v>1084-46142</v>
      </c>
      <c r="T230" s="517">
        <v>46049</v>
      </c>
    </row>
    <row r="231" spans="1:20" ht="21" customHeight="1">
      <c r="A231" s="516" t="str">
        <f t="shared" ca="1" si="6"/>
        <v>1084-Actif</v>
      </c>
      <c r="B231" s="206">
        <v>1084</v>
      </c>
      <c r="C231" s="453">
        <v>46143</v>
      </c>
      <c r="D231" s="453">
        <v>46507</v>
      </c>
      <c r="E231" s="206" t="s">
        <v>614</v>
      </c>
      <c r="F231" s="206" t="s">
        <v>290</v>
      </c>
      <c r="G231" s="206">
        <v>4</v>
      </c>
      <c r="H231" s="206">
        <v>6</v>
      </c>
      <c r="I231" s="206">
        <v>35</v>
      </c>
      <c r="J231" s="206" t="s">
        <v>525</v>
      </c>
      <c r="K231" s="206">
        <v>3</v>
      </c>
      <c r="L231" s="206"/>
      <c r="M231" s="3" t="str">
        <f t="shared" ca="1" si="7"/>
        <v>Actif</v>
      </c>
      <c r="N231" s="206" t="s">
        <v>517</v>
      </c>
      <c r="O231" s="421" t="s">
        <v>549</v>
      </c>
      <c r="P231" s="421" t="s">
        <v>144</v>
      </c>
      <c r="Q231" s="206"/>
      <c r="R231" s="206" t="s">
        <v>494</v>
      </c>
      <c r="S231" s="421" t="str">
        <f>_xlfn.CONCAT(B231,"-",Tableau8[[#This Row],[To]])</f>
        <v>1084-46507</v>
      </c>
      <c r="T231" s="527">
        <v>46100</v>
      </c>
    </row>
    <row r="232" spans="1:20" ht="21" customHeight="1">
      <c r="A232" s="516"/>
      <c r="B232" s="206"/>
      <c r="C232" s="453"/>
      <c r="D232" s="453"/>
      <c r="E232" s="206"/>
      <c r="F232" s="206"/>
      <c r="G232" s="206"/>
      <c r="H232" s="206"/>
      <c r="I232" s="206"/>
      <c r="J232" s="206"/>
      <c r="K232" s="206"/>
      <c r="L232" s="206"/>
      <c r="M232" s="3"/>
      <c r="N232" s="206"/>
      <c r="O232" s="421"/>
      <c r="P232" s="421"/>
      <c r="Q232" s="206"/>
      <c r="R232" s="206"/>
      <c r="S232" s="422"/>
      <c r="T232" s="517"/>
    </row>
    <row r="233" spans="1:20" ht="21" customHeight="1">
      <c r="A233" s="516"/>
      <c r="B233" s="206"/>
      <c r="C233" s="453"/>
      <c r="D233" s="453"/>
      <c r="E233" s="206"/>
      <c r="F233" s="206"/>
      <c r="G233" s="206"/>
      <c r="H233" s="206"/>
      <c r="I233" s="206"/>
      <c r="J233" s="206"/>
      <c r="K233" s="206"/>
      <c r="L233" s="206"/>
      <c r="M233" s="3"/>
      <c r="N233" s="206"/>
      <c r="O233" s="421"/>
      <c r="P233" s="421"/>
      <c r="Q233" s="206"/>
      <c r="R233" s="538"/>
      <c r="S233" s="422"/>
      <c r="T233" s="517"/>
    </row>
    <row r="234" spans="1:20" ht="21" customHeight="1">
      <c r="A234" s="516"/>
      <c r="B234" s="206"/>
      <c r="C234" s="453"/>
      <c r="D234" s="453"/>
      <c r="E234" s="206"/>
      <c r="F234" s="206"/>
      <c r="G234" s="206"/>
      <c r="H234" s="206"/>
      <c r="I234" s="206"/>
      <c r="J234" s="206"/>
      <c r="K234" s="206"/>
      <c r="L234" s="206"/>
      <c r="M234" s="3"/>
      <c r="N234" s="206"/>
      <c r="O234" s="421"/>
      <c r="P234" s="421"/>
      <c r="Q234" s="206"/>
      <c r="R234" s="421"/>
      <c r="S234" s="421"/>
      <c r="T234" s="517"/>
    </row>
    <row r="235" spans="1:20" ht="21" customHeight="1">
      <c r="A235" s="516"/>
      <c r="B235" s="206"/>
      <c r="C235" s="453"/>
      <c r="D235" s="453"/>
      <c r="E235" s="206"/>
      <c r="F235" s="206"/>
      <c r="G235" s="206"/>
      <c r="H235" s="206"/>
      <c r="I235" s="206"/>
      <c r="J235" s="206"/>
      <c r="K235" s="206"/>
      <c r="L235" s="206"/>
      <c r="M235" s="3"/>
      <c r="N235" s="206"/>
      <c r="O235" s="421"/>
      <c r="P235" s="421"/>
      <c r="Q235" s="206"/>
      <c r="R235" s="421"/>
      <c r="S235" s="421"/>
      <c r="T235" s="517"/>
    </row>
    <row r="236" spans="1:20" ht="21" customHeight="1">
      <c r="A236" s="516"/>
      <c r="B236" s="206"/>
      <c r="C236" s="453"/>
      <c r="D236" s="453"/>
      <c r="E236" s="206"/>
      <c r="F236" s="206"/>
      <c r="G236" s="206"/>
      <c r="H236" s="206"/>
      <c r="I236" s="206"/>
      <c r="J236" s="206"/>
      <c r="K236" s="206"/>
      <c r="L236" s="206"/>
      <c r="M236" s="3"/>
      <c r="N236" s="206"/>
      <c r="O236" s="421"/>
      <c r="P236" s="421"/>
      <c r="Q236" s="206"/>
      <c r="R236" s="421"/>
      <c r="S236" s="421"/>
      <c r="T236" s="517"/>
    </row>
    <row r="237" spans="1:20" ht="21" customHeight="1">
      <c r="A237" s="516"/>
      <c r="B237" s="206"/>
      <c r="C237" s="453"/>
      <c r="D237" s="453"/>
      <c r="E237" s="206"/>
      <c r="F237" s="206"/>
      <c r="G237" s="206"/>
      <c r="H237" s="206"/>
      <c r="I237" s="206"/>
      <c r="J237" s="206"/>
      <c r="K237" s="206"/>
      <c r="L237" s="206"/>
      <c r="M237" s="3"/>
      <c r="N237" s="206"/>
      <c r="O237" s="421"/>
      <c r="P237" s="421"/>
      <c r="Q237" s="206"/>
      <c r="R237" s="421"/>
      <c r="S237" s="421"/>
      <c r="T237" s="517"/>
    </row>
    <row r="238" spans="1:20" ht="21" customHeight="1">
      <c r="A238" s="516"/>
      <c r="B238" s="206"/>
      <c r="C238" s="453"/>
      <c r="D238" s="453"/>
      <c r="E238" s="206"/>
      <c r="F238" s="206"/>
      <c r="G238" s="206"/>
      <c r="H238" s="206"/>
      <c r="I238" s="206"/>
      <c r="J238" s="206"/>
      <c r="K238" s="206"/>
      <c r="L238" s="206"/>
      <c r="M238" s="3"/>
      <c r="N238" s="206"/>
      <c r="O238" s="421"/>
      <c r="P238" s="421"/>
      <c r="Q238" s="206"/>
      <c r="R238" s="206"/>
      <c r="S238" s="421"/>
      <c r="T238" s="517"/>
    </row>
    <row r="239" spans="1:20" ht="21" customHeight="1">
      <c r="A239" s="516"/>
      <c r="B239" s="206"/>
      <c r="C239" s="453"/>
      <c r="D239" s="453"/>
      <c r="E239" s="206"/>
      <c r="F239" s="206"/>
      <c r="G239" s="206"/>
      <c r="H239" s="206"/>
      <c r="I239" s="206"/>
      <c r="J239" s="206"/>
      <c r="K239" s="206"/>
      <c r="L239" s="206"/>
      <c r="M239" s="3"/>
      <c r="N239" s="206"/>
      <c r="O239" s="421"/>
      <c r="P239" s="421"/>
      <c r="Q239" s="206"/>
      <c r="R239" s="206"/>
      <c r="S239" s="421"/>
      <c r="T239" s="517"/>
    </row>
    <row r="240" spans="1:20" ht="21" customHeight="1">
      <c r="A240" s="516"/>
      <c r="B240" s="206"/>
      <c r="C240" s="453"/>
      <c r="D240" s="453"/>
      <c r="E240" s="206"/>
      <c r="F240" s="206"/>
      <c r="G240" s="206"/>
      <c r="H240" s="206"/>
      <c r="I240" s="206"/>
      <c r="J240" s="206"/>
      <c r="K240" s="206"/>
      <c r="L240" s="206"/>
      <c r="M240" s="3"/>
      <c r="N240" s="206"/>
      <c r="O240" s="421"/>
      <c r="P240" s="421"/>
      <c r="Q240" s="206"/>
      <c r="R240" s="206"/>
      <c r="S240" s="421"/>
      <c r="T240" s="517"/>
    </row>
    <row r="241" spans="1:20" ht="21" customHeight="1">
      <c r="A241" s="516"/>
      <c r="B241" s="206"/>
      <c r="C241" s="453"/>
      <c r="D241" s="453"/>
      <c r="E241" s="206"/>
      <c r="F241" s="206"/>
      <c r="G241" s="206"/>
      <c r="H241" s="206"/>
      <c r="I241" s="206"/>
      <c r="J241" s="206"/>
      <c r="K241" s="206"/>
      <c r="L241" s="206"/>
      <c r="M241" s="3"/>
      <c r="N241" s="206"/>
      <c r="O241" s="421"/>
      <c r="P241" s="421"/>
      <c r="Q241" s="206"/>
      <c r="R241" s="421"/>
      <c r="S241" s="421"/>
      <c r="T241" s="517"/>
    </row>
    <row r="242" spans="1:20" ht="21" customHeight="1">
      <c r="A242" s="516"/>
      <c r="B242" s="206"/>
      <c r="C242" s="453"/>
      <c r="D242" s="453"/>
      <c r="E242" s="206"/>
      <c r="F242" s="206"/>
      <c r="G242" s="206"/>
      <c r="H242" s="206"/>
      <c r="I242" s="206"/>
      <c r="J242" s="206"/>
      <c r="K242" s="206"/>
      <c r="L242" s="206"/>
      <c r="M242" s="3"/>
      <c r="N242" s="206"/>
      <c r="O242" s="421"/>
      <c r="P242" s="421"/>
      <c r="Q242" s="206"/>
      <c r="R242" s="421"/>
      <c r="S242" s="421"/>
      <c r="T242" s="517"/>
    </row>
    <row r="243" spans="1:20" ht="21" customHeight="1">
      <c r="A243" s="516"/>
      <c r="B243" s="206"/>
      <c r="C243" s="453"/>
      <c r="D243" s="453"/>
      <c r="E243" s="206"/>
      <c r="F243" s="206"/>
      <c r="G243" s="206"/>
      <c r="H243" s="206"/>
      <c r="I243" s="206"/>
      <c r="J243" s="206"/>
      <c r="K243" s="206"/>
      <c r="L243" s="206"/>
      <c r="M243" s="3"/>
      <c r="N243" s="206"/>
      <c r="O243" s="421"/>
      <c r="P243" s="421"/>
      <c r="Q243" s="206"/>
      <c r="R243" s="421"/>
      <c r="S243" s="421"/>
      <c r="T243" s="517"/>
    </row>
    <row r="244" spans="1:20" ht="21" customHeight="1">
      <c r="A244" s="516"/>
      <c r="B244" s="206"/>
      <c r="C244" s="453"/>
      <c r="D244" s="453"/>
      <c r="E244" s="206"/>
      <c r="F244" s="206"/>
      <c r="G244" s="206"/>
      <c r="H244" s="206"/>
      <c r="I244" s="206"/>
      <c r="J244" s="206"/>
      <c r="K244" s="206"/>
      <c r="L244" s="206"/>
      <c r="M244" s="3"/>
      <c r="N244" s="206"/>
      <c r="O244" s="421"/>
      <c r="P244" s="421"/>
      <c r="Q244" s="206"/>
      <c r="R244" s="206"/>
      <c r="S244" s="421"/>
      <c r="T244" s="517"/>
    </row>
    <row r="245" spans="1:20" ht="21" customHeight="1">
      <c r="A245" s="516"/>
      <c r="B245" s="206"/>
      <c r="C245" s="453"/>
      <c r="D245" s="453"/>
      <c r="E245" s="206"/>
      <c r="F245" s="206"/>
      <c r="G245" s="206"/>
      <c r="H245" s="206"/>
      <c r="I245" s="206"/>
      <c r="J245" s="206"/>
      <c r="K245" s="206"/>
      <c r="L245" s="206"/>
      <c r="M245" s="3"/>
      <c r="N245" s="206"/>
      <c r="O245" s="421"/>
      <c r="P245" s="421"/>
      <c r="Q245" s="206"/>
      <c r="R245" s="206"/>
      <c r="S245" s="421"/>
      <c r="T245" s="517"/>
    </row>
    <row r="246" spans="1:20" ht="21" customHeight="1">
      <c r="A246" s="516"/>
      <c r="B246" s="206"/>
      <c r="C246" s="453"/>
      <c r="D246" s="453"/>
      <c r="E246" s="206"/>
      <c r="F246" s="206"/>
      <c r="G246" s="206"/>
      <c r="H246" s="206"/>
      <c r="I246" s="206"/>
      <c r="J246" s="206"/>
      <c r="K246" s="206"/>
      <c r="L246" s="206"/>
      <c r="M246" s="3"/>
      <c r="N246" s="206"/>
      <c r="O246" s="421"/>
      <c r="P246" s="421"/>
      <c r="Q246" s="206"/>
      <c r="R246" s="206"/>
      <c r="S246" s="421"/>
      <c r="T246" s="517"/>
    </row>
    <row r="247" spans="1:20" ht="21" customHeight="1">
      <c r="A247" s="516"/>
      <c r="B247" s="206"/>
      <c r="C247" s="453"/>
      <c r="D247" s="453"/>
      <c r="E247" s="206"/>
      <c r="F247" s="206"/>
      <c r="G247" s="206"/>
      <c r="H247" s="206"/>
      <c r="I247" s="206"/>
      <c r="J247" s="206"/>
      <c r="K247" s="206"/>
      <c r="L247" s="206"/>
      <c r="M247" s="3"/>
      <c r="N247" s="206"/>
      <c r="O247" s="421"/>
      <c r="P247" s="421"/>
      <c r="Q247" s="206"/>
      <c r="R247" s="421"/>
      <c r="S247" s="421"/>
      <c r="T247" s="517"/>
    </row>
    <row r="248" spans="1:20" ht="21" customHeight="1">
      <c r="A248" s="516"/>
      <c r="B248" s="206"/>
      <c r="C248" s="453"/>
      <c r="D248" s="453"/>
      <c r="E248" s="206"/>
      <c r="F248" s="206"/>
      <c r="G248" s="206"/>
      <c r="H248" s="206"/>
      <c r="I248" s="206"/>
      <c r="J248" s="206"/>
      <c r="K248" s="206"/>
      <c r="L248" s="206"/>
      <c r="M248" s="3"/>
      <c r="N248" s="206"/>
      <c r="O248" s="421"/>
      <c r="P248" s="421"/>
      <c r="Q248" s="206"/>
      <c r="R248" s="421"/>
      <c r="S248" s="421"/>
      <c r="T248" s="517"/>
    </row>
    <row r="249" spans="1:20" ht="21" customHeight="1">
      <c r="A249" s="516"/>
      <c r="B249" s="206"/>
      <c r="C249" s="453"/>
      <c r="D249" s="453"/>
      <c r="E249" s="206"/>
      <c r="F249" s="206"/>
      <c r="G249" s="206"/>
      <c r="H249" s="206"/>
      <c r="I249" s="206"/>
      <c r="J249" s="206"/>
      <c r="K249" s="206"/>
      <c r="L249" s="206"/>
      <c r="M249" s="3"/>
      <c r="N249" s="206"/>
      <c r="O249" s="421"/>
      <c r="P249" s="421"/>
      <c r="Q249" s="206"/>
      <c r="R249" s="421"/>
      <c r="S249" s="421"/>
      <c r="T249" s="517"/>
    </row>
    <row r="250" spans="1:20" ht="21" customHeight="1">
      <c r="A250" s="516"/>
      <c r="B250" s="206"/>
      <c r="C250" s="453"/>
      <c r="D250" s="453"/>
      <c r="E250" s="206"/>
      <c r="F250" s="206"/>
      <c r="G250" s="206"/>
      <c r="H250" s="206"/>
      <c r="I250" s="206"/>
      <c r="J250" s="206"/>
      <c r="K250" s="206"/>
      <c r="L250" s="206"/>
      <c r="M250" s="3"/>
      <c r="N250" s="206"/>
      <c r="O250" s="421"/>
      <c r="P250" s="421"/>
      <c r="Q250" s="206"/>
      <c r="R250" s="206"/>
      <c r="S250" s="421"/>
      <c r="T250" s="517"/>
    </row>
    <row r="251" spans="1:20" ht="21" customHeight="1">
      <c r="A251" s="516"/>
      <c r="B251" s="206"/>
      <c r="C251" s="453"/>
      <c r="D251" s="453"/>
      <c r="E251" s="206"/>
      <c r="F251" s="206"/>
      <c r="G251" s="206"/>
      <c r="H251" s="206"/>
      <c r="I251" s="206"/>
      <c r="J251" s="206"/>
      <c r="K251" s="206"/>
      <c r="L251" s="206"/>
      <c r="M251" s="3"/>
      <c r="N251" s="206"/>
      <c r="O251" s="421"/>
      <c r="P251" s="421"/>
      <c r="Q251" s="206"/>
      <c r="R251" s="421"/>
      <c r="S251" s="421"/>
      <c r="T251" s="517"/>
    </row>
    <row r="252" spans="1:20" ht="21" customHeight="1">
      <c r="A252" s="516"/>
      <c r="B252" s="206"/>
      <c r="C252" s="453"/>
      <c r="D252" s="453"/>
      <c r="E252" s="206"/>
      <c r="F252" s="206"/>
      <c r="G252" s="206"/>
      <c r="H252" s="206"/>
      <c r="I252" s="206"/>
      <c r="J252" s="206"/>
      <c r="K252" s="206"/>
      <c r="L252" s="206"/>
      <c r="M252" s="3"/>
      <c r="N252" s="206"/>
      <c r="O252" s="421"/>
      <c r="P252" s="421"/>
      <c r="Q252" s="460"/>
      <c r="R252" s="421"/>
      <c r="S252" s="421"/>
      <c r="T252" s="517"/>
    </row>
    <row r="253" spans="1:20" ht="21" customHeight="1">
      <c r="A253" s="516"/>
      <c r="B253" s="206"/>
      <c r="C253" s="453"/>
      <c r="D253" s="453"/>
      <c r="E253" s="206"/>
      <c r="F253" s="206"/>
      <c r="G253" s="206"/>
      <c r="H253" s="206"/>
      <c r="I253" s="206"/>
      <c r="J253" s="206"/>
      <c r="K253" s="206"/>
      <c r="L253" s="206"/>
      <c r="M253" s="3"/>
      <c r="N253" s="206"/>
      <c r="O253" s="421"/>
      <c r="P253" s="421"/>
      <c r="Q253" s="206"/>
      <c r="R253" s="421"/>
      <c r="S253" s="421"/>
      <c r="T253" s="517"/>
    </row>
    <row r="254" spans="1:20" ht="21" customHeight="1">
      <c r="A254" s="516"/>
      <c r="B254" s="206"/>
      <c r="C254" s="453"/>
      <c r="D254" s="453"/>
      <c r="E254" s="206"/>
      <c r="F254" s="206"/>
      <c r="G254" s="206"/>
      <c r="H254" s="206"/>
      <c r="I254" s="206"/>
      <c r="J254" s="206"/>
      <c r="K254" s="206"/>
      <c r="L254" s="206"/>
      <c r="M254" s="3"/>
      <c r="N254" s="206"/>
      <c r="O254" s="421"/>
      <c r="P254" s="421"/>
      <c r="Q254" s="206"/>
      <c r="R254" s="421"/>
      <c r="S254" s="421"/>
      <c r="T254" s="517"/>
    </row>
    <row r="255" spans="1:20" ht="21" customHeight="1">
      <c r="A255" s="516"/>
      <c r="B255" s="206"/>
      <c r="C255" s="453"/>
      <c r="D255" s="453"/>
      <c r="E255" s="206"/>
      <c r="F255" s="206"/>
      <c r="G255" s="206"/>
      <c r="H255" s="206"/>
      <c r="I255" s="206"/>
      <c r="J255" s="206"/>
      <c r="K255" s="206"/>
      <c r="L255" s="206"/>
      <c r="M255" s="3"/>
      <c r="N255" s="206"/>
      <c r="O255" s="421"/>
      <c r="P255" s="421"/>
      <c r="Q255" s="206"/>
      <c r="R255" s="206"/>
      <c r="S255" s="421"/>
      <c r="T255" s="517"/>
    </row>
    <row r="256" spans="1:20" ht="21" customHeight="1">
      <c r="A256" s="516"/>
      <c r="B256" s="206"/>
      <c r="C256" s="453"/>
      <c r="D256" s="453"/>
      <c r="E256" s="206"/>
      <c r="F256" s="206"/>
      <c r="G256" s="206"/>
      <c r="H256" s="206"/>
      <c r="I256" s="206"/>
      <c r="J256" s="206"/>
      <c r="K256" s="206"/>
      <c r="L256" s="206"/>
      <c r="M256" s="3"/>
      <c r="N256" s="206"/>
      <c r="O256" s="421"/>
      <c r="P256" s="421"/>
      <c r="Q256" s="206"/>
      <c r="R256" s="206"/>
      <c r="S256" s="421"/>
      <c r="T256" s="517"/>
    </row>
    <row r="257" spans="1:20" ht="21" customHeight="1">
      <c r="A257" s="516"/>
      <c r="B257" s="206"/>
      <c r="C257" s="453"/>
      <c r="D257" s="453"/>
      <c r="E257" s="206"/>
      <c r="F257" s="206"/>
      <c r="G257" s="206"/>
      <c r="H257" s="206"/>
      <c r="I257" s="206"/>
      <c r="J257" s="206"/>
      <c r="K257" s="206"/>
      <c r="L257" s="206"/>
      <c r="M257" s="3"/>
      <c r="N257" s="206"/>
      <c r="O257" s="421"/>
      <c r="P257" s="421"/>
      <c r="Q257" s="206"/>
      <c r="R257" s="206"/>
      <c r="S257" s="421"/>
      <c r="T257" s="517"/>
    </row>
    <row r="258" spans="1:20" ht="21" customHeight="1">
      <c r="A258" s="516"/>
      <c r="B258" s="206"/>
      <c r="C258" s="453"/>
      <c r="D258" s="453"/>
      <c r="E258" s="206"/>
      <c r="F258" s="206"/>
      <c r="G258" s="206"/>
      <c r="H258" s="206"/>
      <c r="I258" s="206"/>
      <c r="J258" s="206"/>
      <c r="K258" s="206"/>
      <c r="L258" s="206"/>
      <c r="M258" s="3"/>
      <c r="N258" s="206"/>
      <c r="O258" s="421"/>
      <c r="P258" s="421"/>
      <c r="Q258" s="206"/>
      <c r="R258" s="421"/>
      <c r="S258" s="421"/>
      <c r="T258" s="517"/>
    </row>
    <row r="259" spans="1:20" ht="21" customHeight="1">
      <c r="A259" s="516"/>
      <c r="B259" s="206"/>
      <c r="C259" s="453"/>
      <c r="D259" s="453"/>
      <c r="E259" s="206"/>
      <c r="F259" s="206"/>
      <c r="G259" s="206"/>
      <c r="H259" s="206"/>
      <c r="I259" s="206"/>
      <c r="J259" s="206"/>
      <c r="K259" s="206"/>
      <c r="L259" s="206"/>
      <c r="M259" s="3"/>
      <c r="N259" s="206"/>
      <c r="O259" s="421"/>
      <c r="P259" s="421"/>
      <c r="Q259" s="206"/>
      <c r="R259" s="421"/>
      <c r="S259" s="421"/>
      <c r="T259" s="517"/>
    </row>
    <row r="260" spans="1:20" ht="21" customHeight="1">
      <c r="A260" s="516"/>
      <c r="B260" s="206"/>
      <c r="C260" s="453"/>
      <c r="D260" s="453"/>
      <c r="E260" s="206"/>
      <c r="F260" s="206"/>
      <c r="G260" s="206"/>
      <c r="H260" s="206"/>
      <c r="I260" s="206"/>
      <c r="J260" s="206"/>
      <c r="K260" s="206"/>
      <c r="L260" s="206"/>
      <c r="M260" s="3"/>
      <c r="N260" s="206"/>
      <c r="O260" s="421"/>
      <c r="P260" s="421"/>
      <c r="Q260" s="206"/>
      <c r="R260" s="206"/>
      <c r="S260" s="421"/>
      <c r="T260" s="517"/>
    </row>
    <row r="261" spans="1:20" ht="21" customHeight="1">
      <c r="A261" s="516"/>
      <c r="B261" s="206"/>
      <c r="C261" s="453"/>
      <c r="D261" s="453"/>
      <c r="E261" s="206"/>
      <c r="F261" s="206"/>
      <c r="G261" s="206"/>
      <c r="H261" s="206"/>
      <c r="I261" s="206"/>
      <c r="J261" s="206"/>
      <c r="K261" s="206"/>
      <c r="L261" s="206"/>
      <c r="M261" s="3"/>
      <c r="N261" s="206"/>
      <c r="O261" s="421"/>
      <c r="P261" s="421"/>
      <c r="Q261" s="206"/>
      <c r="R261" s="206"/>
      <c r="S261" s="421"/>
      <c r="T261" s="517"/>
    </row>
    <row r="262" spans="1:20" ht="21" customHeight="1">
      <c r="A262" s="516"/>
      <c r="B262" s="206"/>
      <c r="C262" s="453"/>
      <c r="D262" s="453"/>
      <c r="E262" s="206"/>
      <c r="F262" s="206"/>
      <c r="G262" s="206"/>
      <c r="H262" s="206"/>
      <c r="I262" s="206"/>
      <c r="J262" s="206"/>
      <c r="K262" s="206"/>
      <c r="L262" s="206"/>
      <c r="M262" s="3"/>
      <c r="N262" s="206"/>
      <c r="O262" s="421"/>
      <c r="P262" s="421"/>
      <c r="Q262" s="206"/>
      <c r="R262" s="206"/>
      <c r="S262" s="421"/>
      <c r="T262" s="517"/>
    </row>
    <row r="263" spans="1:20" ht="21" customHeight="1">
      <c r="A263" s="516"/>
      <c r="B263" s="206"/>
      <c r="C263" s="453"/>
      <c r="D263" s="453"/>
      <c r="E263" s="206"/>
      <c r="F263" s="206"/>
      <c r="G263" s="206"/>
      <c r="H263" s="206"/>
      <c r="I263" s="206"/>
      <c r="J263" s="206"/>
      <c r="K263" s="206"/>
      <c r="L263" s="206"/>
      <c r="M263" s="3"/>
      <c r="N263" s="206"/>
      <c r="O263" s="421"/>
      <c r="P263" s="421"/>
      <c r="Q263" s="206"/>
      <c r="R263" s="206"/>
      <c r="S263" s="421"/>
      <c r="T263" s="517"/>
    </row>
    <row r="264" spans="1:20" ht="21" customHeight="1">
      <c r="A264" s="516"/>
      <c r="B264" s="206"/>
      <c r="C264" s="453"/>
      <c r="D264" s="453"/>
      <c r="E264" s="206"/>
      <c r="F264" s="206"/>
      <c r="G264" s="206"/>
      <c r="H264" s="206"/>
      <c r="I264" s="206"/>
      <c r="J264" s="206"/>
      <c r="K264" s="206"/>
      <c r="L264" s="206"/>
      <c r="M264" s="3"/>
      <c r="N264" s="206"/>
      <c r="O264" s="421"/>
      <c r="P264" s="421"/>
      <c r="Q264" s="206"/>
      <c r="R264" s="421"/>
      <c r="S264" s="421"/>
      <c r="T264" s="517"/>
    </row>
    <row r="265" spans="1:20" ht="21" customHeight="1">
      <c r="A265" s="516"/>
      <c r="B265" s="206"/>
      <c r="C265" s="453"/>
      <c r="D265" s="453"/>
      <c r="E265" s="206"/>
      <c r="F265" s="206"/>
      <c r="G265" s="206"/>
      <c r="H265" s="206"/>
      <c r="I265" s="206"/>
      <c r="J265" s="206"/>
      <c r="K265" s="206"/>
      <c r="L265" s="206"/>
      <c r="M265" s="3"/>
      <c r="N265" s="206"/>
      <c r="O265" s="421"/>
      <c r="P265" s="421"/>
      <c r="Q265" s="206"/>
      <c r="R265" s="421"/>
      <c r="S265" s="421"/>
      <c r="T265" s="517"/>
    </row>
    <row r="266" spans="1:20" ht="21" customHeight="1">
      <c r="A266" s="516"/>
      <c r="B266" s="206"/>
      <c r="C266" s="453"/>
      <c r="D266" s="453"/>
      <c r="E266" s="206"/>
      <c r="F266" s="206"/>
      <c r="G266" s="206"/>
      <c r="H266" s="206"/>
      <c r="I266" s="206"/>
      <c r="J266" s="206"/>
      <c r="K266" s="206"/>
      <c r="L266" s="206"/>
      <c r="M266" s="3"/>
      <c r="N266" s="206"/>
      <c r="O266" s="421"/>
      <c r="P266" s="421"/>
      <c r="Q266" s="460"/>
      <c r="R266" s="421"/>
      <c r="S266" s="421"/>
      <c r="T266" s="517"/>
    </row>
    <row r="267" spans="1:20" ht="21" customHeight="1">
      <c r="A267" s="516"/>
      <c r="B267" s="206"/>
      <c r="C267" s="453"/>
      <c r="D267" s="453"/>
      <c r="E267" s="206"/>
      <c r="F267" s="206"/>
      <c r="G267" s="206"/>
      <c r="H267" s="206"/>
      <c r="I267" s="206"/>
      <c r="J267" s="206"/>
      <c r="K267" s="206"/>
      <c r="L267" s="206"/>
      <c r="M267" s="3"/>
      <c r="N267" s="206"/>
      <c r="O267" s="421"/>
      <c r="P267" s="421"/>
      <c r="Q267" s="206"/>
      <c r="R267" s="421"/>
      <c r="S267" s="421"/>
      <c r="T267" s="517"/>
    </row>
    <row r="268" spans="1:20" ht="21" customHeight="1">
      <c r="A268" s="516"/>
      <c r="B268" s="206"/>
      <c r="C268" s="453"/>
      <c r="D268" s="453"/>
      <c r="E268" s="206"/>
      <c r="F268" s="206"/>
      <c r="G268" s="206"/>
      <c r="H268" s="206"/>
      <c r="I268" s="206"/>
      <c r="J268" s="206"/>
      <c r="K268" s="206"/>
      <c r="L268" s="206"/>
      <c r="M268" s="3"/>
      <c r="N268" s="206"/>
      <c r="O268" s="421"/>
      <c r="P268" s="421"/>
      <c r="Q268" s="206"/>
      <c r="R268" s="206"/>
      <c r="S268" s="421"/>
      <c r="T268" s="517"/>
    </row>
    <row r="269" spans="1:20" ht="21" customHeight="1">
      <c r="A269" s="516"/>
      <c r="B269" s="206"/>
      <c r="C269" s="453"/>
      <c r="D269" s="453"/>
      <c r="E269" s="206"/>
      <c r="F269" s="206"/>
      <c r="G269" s="206"/>
      <c r="H269" s="206"/>
      <c r="I269" s="206"/>
      <c r="J269" s="206"/>
      <c r="K269" s="206"/>
      <c r="L269" s="206"/>
      <c r="M269" s="3"/>
      <c r="N269" s="206"/>
      <c r="O269" s="421"/>
      <c r="P269" s="421"/>
      <c r="Q269" s="206"/>
      <c r="R269" s="421"/>
      <c r="S269" s="421"/>
      <c r="T269" s="517"/>
    </row>
    <row r="270" spans="1:20" ht="21" customHeight="1">
      <c r="A270" s="516"/>
      <c r="B270" s="206"/>
      <c r="C270" s="453"/>
      <c r="D270" s="453"/>
      <c r="E270" s="206"/>
      <c r="F270" s="206"/>
      <c r="G270" s="206"/>
      <c r="H270" s="206"/>
      <c r="I270" s="206"/>
      <c r="J270" s="206"/>
      <c r="K270" s="206"/>
      <c r="L270" s="206"/>
      <c r="M270" s="3"/>
      <c r="N270" s="206"/>
      <c r="O270" s="421"/>
      <c r="P270" s="421"/>
      <c r="Q270" s="206"/>
      <c r="R270" s="421"/>
      <c r="S270" s="421"/>
      <c r="T270" s="517"/>
    </row>
    <row r="271" spans="1:20" ht="21" customHeight="1">
      <c r="A271" s="516"/>
      <c r="B271" s="206"/>
      <c r="C271" s="453"/>
      <c r="D271" s="453"/>
      <c r="E271" s="206"/>
      <c r="F271" s="206"/>
      <c r="G271" s="206"/>
      <c r="H271" s="206"/>
      <c r="I271" s="206"/>
      <c r="J271" s="206"/>
      <c r="K271" s="206"/>
      <c r="L271" s="206"/>
      <c r="M271" s="3"/>
      <c r="N271" s="206"/>
      <c r="O271" s="421"/>
      <c r="P271" s="421"/>
      <c r="Q271" s="206"/>
      <c r="R271" s="421"/>
      <c r="S271" s="421"/>
      <c r="T271" s="517"/>
    </row>
    <row r="272" spans="1:20" ht="21" customHeight="1">
      <c r="A272" s="516"/>
      <c r="B272" s="206"/>
      <c r="C272" s="453"/>
      <c r="D272" s="453"/>
      <c r="E272" s="206"/>
      <c r="F272" s="206"/>
      <c r="G272" s="206"/>
      <c r="H272" s="206"/>
      <c r="I272" s="206"/>
      <c r="J272" s="206"/>
      <c r="K272" s="206"/>
      <c r="L272" s="206"/>
      <c r="M272" s="3"/>
      <c r="N272" s="206"/>
      <c r="O272" s="421"/>
      <c r="P272" s="421"/>
      <c r="Q272" s="206"/>
      <c r="R272" s="421"/>
      <c r="S272" s="421"/>
      <c r="T272" s="517"/>
    </row>
    <row r="273" spans="1:20" ht="21" customHeight="1">
      <c r="A273" s="516"/>
      <c r="B273" s="206"/>
      <c r="C273" s="453"/>
      <c r="D273" s="453"/>
      <c r="E273" s="206"/>
      <c r="F273" s="564"/>
      <c r="G273" s="206"/>
      <c r="H273" s="206"/>
      <c r="I273" s="206"/>
      <c r="J273" s="206"/>
      <c r="K273" s="206"/>
      <c r="L273" s="206"/>
      <c r="M273" s="3"/>
      <c r="N273" s="206"/>
      <c r="O273" s="421"/>
      <c r="P273" s="421"/>
      <c r="Q273" s="206"/>
      <c r="R273" s="206"/>
      <c r="S273" s="421"/>
      <c r="T273" s="527"/>
    </row>
    <row r="274" spans="1:20" ht="21" customHeight="1">
      <c r="A274" s="516"/>
      <c r="B274" s="206"/>
      <c r="C274" s="453"/>
      <c r="D274" s="453"/>
      <c r="E274" s="206"/>
      <c r="F274" s="206"/>
      <c r="G274" s="206"/>
      <c r="H274" s="206"/>
      <c r="I274" s="206"/>
      <c r="J274" s="206"/>
      <c r="K274" s="206"/>
      <c r="L274" s="206"/>
      <c r="M274" s="3"/>
      <c r="N274" s="206"/>
      <c r="O274" s="421"/>
      <c r="P274" s="421"/>
      <c r="Q274" s="206"/>
      <c r="R274" s="206"/>
      <c r="S274" s="421"/>
      <c r="T274" s="527"/>
    </row>
    <row r="275" spans="1:20" ht="21" customHeight="1">
      <c r="A275" s="516"/>
      <c r="B275" s="206"/>
      <c r="C275" s="453"/>
      <c r="D275" s="453"/>
      <c r="E275" s="206"/>
      <c r="F275" s="206"/>
      <c r="G275" s="206"/>
      <c r="H275" s="206"/>
      <c r="I275" s="206"/>
      <c r="J275" s="206"/>
      <c r="K275" s="206"/>
      <c r="L275" s="206"/>
      <c r="M275" s="3"/>
      <c r="N275" s="206"/>
      <c r="O275" s="421"/>
      <c r="P275" s="421"/>
      <c r="Q275" s="206"/>
      <c r="R275" s="206"/>
      <c r="S275" s="421"/>
      <c r="T275" s="527"/>
    </row>
    <row r="276" spans="1:20" ht="21" customHeight="1">
      <c r="A276" s="516"/>
      <c r="B276" s="206"/>
      <c r="C276" s="453"/>
      <c r="D276" s="453"/>
      <c r="E276" s="206"/>
      <c r="F276" s="206"/>
      <c r="G276" s="206"/>
      <c r="H276" s="206"/>
      <c r="I276" s="206"/>
      <c r="J276" s="206"/>
      <c r="K276" s="206"/>
      <c r="L276" s="206"/>
      <c r="M276" s="3"/>
      <c r="N276" s="206"/>
      <c r="O276" s="421"/>
      <c r="P276" s="421"/>
      <c r="Q276" s="206"/>
      <c r="R276" s="421"/>
      <c r="S276" s="421"/>
      <c r="T276" s="517"/>
    </row>
    <row r="277" spans="1:20" ht="21" customHeight="1">
      <c r="A277" s="516"/>
      <c r="B277" s="206"/>
      <c r="C277" s="453"/>
      <c r="D277" s="453"/>
      <c r="E277" s="206"/>
      <c r="F277" s="206"/>
      <c r="G277" s="206"/>
      <c r="H277" s="206"/>
      <c r="I277" s="206"/>
      <c r="J277" s="206"/>
      <c r="K277" s="206"/>
      <c r="L277" s="206"/>
      <c r="M277" s="3"/>
      <c r="N277" s="206"/>
      <c r="O277" s="421"/>
      <c r="P277" s="421"/>
      <c r="Q277" s="206"/>
      <c r="R277" s="206"/>
      <c r="S277" s="421"/>
      <c r="T277" s="517"/>
    </row>
    <row r="278" spans="1:20" ht="21" customHeight="1">
      <c r="A278" s="516"/>
      <c r="B278" s="206"/>
      <c r="C278" s="453"/>
      <c r="D278" s="453"/>
      <c r="E278" s="206"/>
      <c r="F278" s="206"/>
      <c r="G278" s="206"/>
      <c r="H278" s="206"/>
      <c r="I278" s="206"/>
      <c r="J278" s="206"/>
      <c r="K278" s="206"/>
      <c r="L278" s="206"/>
      <c r="M278" s="3"/>
      <c r="N278" s="206"/>
      <c r="O278" s="421"/>
      <c r="P278" s="421"/>
      <c r="Q278" s="206"/>
      <c r="R278" s="421"/>
      <c r="S278" s="421"/>
      <c r="T278" s="517"/>
    </row>
    <row r="279" spans="1:20" ht="21" customHeight="1">
      <c r="A279" s="516"/>
      <c r="B279" s="206"/>
      <c r="C279" s="453"/>
      <c r="D279" s="453"/>
      <c r="E279" s="206"/>
      <c r="F279" s="206"/>
      <c r="G279" s="206"/>
      <c r="H279" s="206"/>
      <c r="I279" s="206"/>
      <c r="J279" s="206"/>
      <c r="K279" s="206"/>
      <c r="L279" s="206"/>
      <c r="M279" s="3"/>
      <c r="N279" s="206"/>
      <c r="O279" s="421"/>
      <c r="P279" s="421"/>
      <c r="Q279" s="206"/>
      <c r="R279" s="421"/>
      <c r="S279" s="421"/>
      <c r="T279" s="517"/>
    </row>
    <row r="280" spans="1:20" ht="21" customHeight="1">
      <c r="A280" s="516"/>
      <c r="B280" s="206"/>
      <c r="C280" s="453"/>
      <c r="D280" s="453"/>
      <c r="E280" s="206"/>
      <c r="F280" s="206"/>
      <c r="G280" s="206"/>
      <c r="H280" s="206"/>
      <c r="I280" s="206"/>
      <c r="J280" s="206"/>
      <c r="K280" s="206"/>
      <c r="L280" s="206"/>
      <c r="M280" s="3"/>
      <c r="N280" s="206"/>
      <c r="O280" s="421"/>
      <c r="P280" s="421"/>
      <c r="Q280" s="206"/>
      <c r="R280" s="206"/>
      <c r="S280" s="421"/>
      <c r="T280" s="527"/>
    </row>
    <row r="281" spans="1:20" ht="21" customHeight="1">
      <c r="A281" s="516"/>
      <c r="B281" s="206"/>
      <c r="C281" s="453"/>
      <c r="D281" s="453"/>
      <c r="E281" s="206"/>
      <c r="F281" s="206"/>
      <c r="G281" s="206"/>
      <c r="H281" s="206"/>
      <c r="I281" s="206"/>
      <c r="J281" s="206"/>
      <c r="K281" s="206"/>
      <c r="L281" s="206"/>
      <c r="M281" s="3"/>
      <c r="N281" s="206"/>
      <c r="O281" s="421"/>
      <c r="P281" s="421"/>
      <c r="Q281" s="206"/>
      <c r="R281" s="206"/>
      <c r="S281" s="421"/>
      <c r="T281" s="527"/>
    </row>
    <row r="282" spans="1:20" ht="21" customHeight="1">
      <c r="A282" s="516"/>
      <c r="B282" s="206"/>
      <c r="C282" s="453"/>
      <c r="D282" s="453"/>
      <c r="E282" s="206"/>
      <c r="F282" s="206"/>
      <c r="G282" s="206"/>
      <c r="H282" s="206"/>
      <c r="I282" s="206"/>
      <c r="J282" s="206"/>
      <c r="K282" s="206"/>
      <c r="L282" s="206"/>
      <c r="M282" s="3"/>
      <c r="N282" s="206"/>
      <c r="O282" s="421"/>
      <c r="P282" s="421"/>
      <c r="Q282" s="206"/>
      <c r="R282" s="206"/>
      <c r="S282" s="421"/>
      <c r="T282" s="517"/>
    </row>
    <row r="283" spans="1:20" ht="21" customHeight="1">
      <c r="A283" s="516"/>
      <c r="B283" s="206"/>
      <c r="C283" s="453"/>
      <c r="D283" s="453"/>
      <c r="E283" s="206"/>
      <c r="F283" s="206"/>
      <c r="G283" s="206"/>
      <c r="H283" s="206"/>
      <c r="I283" s="206"/>
      <c r="J283" s="206"/>
      <c r="K283" s="206"/>
      <c r="L283" s="206"/>
      <c r="M283" s="3"/>
      <c r="N283" s="206"/>
      <c r="O283" s="421"/>
      <c r="P283" s="421"/>
      <c r="Q283" s="206"/>
      <c r="R283" s="421"/>
      <c r="S283" s="421"/>
      <c r="T283" s="517"/>
    </row>
    <row r="284" spans="1:20" customFormat="1" ht="21" customHeight="1">
      <c r="A284" s="516"/>
      <c r="B284" s="206"/>
      <c r="C284" s="453"/>
      <c r="D284" s="453"/>
      <c r="E284" s="206"/>
      <c r="F284" s="206"/>
      <c r="G284" s="206"/>
      <c r="H284" s="206"/>
      <c r="I284" s="206"/>
      <c r="J284" s="206"/>
      <c r="K284" s="206"/>
      <c r="L284" s="206"/>
      <c r="M284" s="3"/>
      <c r="N284" s="206"/>
      <c r="O284" s="421"/>
      <c r="P284" s="421"/>
      <c r="Q284" s="206"/>
      <c r="R284" s="206"/>
      <c r="S284" s="421"/>
      <c r="T284" s="517"/>
    </row>
    <row r="285" spans="1:20" customFormat="1" ht="21" customHeight="1">
      <c r="A285" s="516"/>
      <c r="B285" s="206"/>
      <c r="C285" s="453"/>
      <c r="D285" s="453"/>
      <c r="E285" s="206"/>
      <c r="F285" s="206"/>
      <c r="G285" s="206"/>
      <c r="H285" s="206"/>
      <c r="I285" s="206"/>
      <c r="J285" s="206"/>
      <c r="K285" s="206"/>
      <c r="L285" s="206"/>
      <c r="M285" s="3"/>
      <c r="N285" s="206"/>
      <c r="O285" s="421"/>
      <c r="P285" s="421"/>
      <c r="Q285" s="206"/>
      <c r="R285" s="421"/>
      <c r="S285" s="421"/>
      <c r="T285" s="517"/>
    </row>
    <row r="286" spans="1:20" ht="21" customHeight="1">
      <c r="A286" s="516"/>
      <c r="B286" s="206"/>
      <c r="C286" s="453"/>
      <c r="D286" s="453"/>
      <c r="E286" s="206"/>
      <c r="F286" s="206"/>
      <c r="G286" s="206"/>
      <c r="H286" s="206"/>
      <c r="I286" s="206"/>
      <c r="J286" s="206"/>
      <c r="K286" s="206"/>
      <c r="L286" s="206"/>
      <c r="M286" s="3"/>
      <c r="N286" s="206"/>
      <c r="O286" s="421"/>
      <c r="P286" s="421"/>
      <c r="Q286" s="460"/>
      <c r="R286" s="421"/>
      <c r="S286" s="421"/>
      <c r="T286" s="517"/>
    </row>
    <row r="287" spans="1:20" ht="21" customHeight="1">
      <c r="A287" s="516"/>
      <c r="B287" s="206"/>
      <c r="C287" s="453"/>
      <c r="D287" s="453"/>
      <c r="E287" s="206"/>
      <c r="F287" s="206"/>
      <c r="G287" s="206"/>
      <c r="H287" s="206"/>
      <c r="I287" s="206"/>
      <c r="J287" s="206"/>
      <c r="K287" s="206"/>
      <c r="L287" s="206"/>
      <c r="M287" s="3"/>
      <c r="N287" s="206"/>
      <c r="O287" s="421"/>
      <c r="P287" s="421"/>
      <c r="Q287" s="206"/>
      <c r="R287" s="421"/>
      <c r="S287" s="421"/>
      <c r="T287" s="517"/>
    </row>
    <row r="288" spans="1:20" ht="21" customHeight="1">
      <c r="A288" s="516"/>
      <c r="B288" s="206"/>
      <c r="C288" s="453"/>
      <c r="D288" s="453"/>
      <c r="E288" s="206"/>
      <c r="F288" s="206"/>
      <c r="G288" s="206"/>
      <c r="H288" s="206"/>
      <c r="I288" s="206"/>
      <c r="J288" s="206"/>
      <c r="K288" s="206"/>
      <c r="L288" s="206"/>
      <c r="M288" s="3"/>
      <c r="N288" s="206"/>
      <c r="O288" s="421"/>
      <c r="P288" s="421"/>
      <c r="Q288" s="206"/>
      <c r="R288" s="519"/>
      <c r="S288" s="421"/>
      <c r="T288" s="527"/>
    </row>
    <row r="289" spans="1:20" ht="21" customHeight="1">
      <c r="A289" s="516"/>
      <c r="B289" s="206"/>
      <c r="C289" s="453"/>
      <c r="D289" s="453"/>
      <c r="E289" s="206"/>
      <c r="F289" s="206"/>
      <c r="G289" s="206"/>
      <c r="H289" s="206"/>
      <c r="I289" s="206"/>
      <c r="J289" s="206"/>
      <c r="K289" s="206"/>
      <c r="L289" s="206"/>
      <c r="M289" s="3"/>
      <c r="N289" s="206"/>
      <c r="O289" s="422"/>
      <c r="P289" s="421"/>
      <c r="Q289" s="206"/>
      <c r="R289" s="206"/>
      <c r="S289" s="421"/>
      <c r="T289" s="517"/>
    </row>
    <row r="290" spans="1:20" ht="21" customHeight="1">
      <c r="A290" s="516"/>
      <c r="B290" s="206"/>
      <c r="C290" s="453"/>
      <c r="D290" s="453"/>
      <c r="E290" s="206"/>
      <c r="F290" s="206"/>
      <c r="G290" s="206"/>
      <c r="H290" s="206"/>
      <c r="I290" s="206"/>
      <c r="J290" s="206"/>
      <c r="K290" s="206"/>
      <c r="L290" s="206"/>
      <c r="M290" s="3"/>
      <c r="N290" s="206"/>
      <c r="O290" s="421"/>
      <c r="P290" s="421"/>
      <c r="Q290" s="206"/>
      <c r="R290" s="206"/>
      <c r="S290" s="421"/>
      <c r="T290" s="517"/>
    </row>
    <row r="291" spans="1:20" ht="21" customHeight="1">
      <c r="A291" s="516"/>
      <c r="B291" s="206"/>
      <c r="C291" s="453"/>
      <c r="D291" s="453"/>
      <c r="E291" s="206"/>
      <c r="F291" s="206"/>
      <c r="G291" s="206"/>
      <c r="H291" s="206"/>
      <c r="I291" s="206"/>
      <c r="J291" s="206"/>
      <c r="K291" s="206"/>
      <c r="L291" s="206"/>
      <c r="M291" s="3"/>
      <c r="N291" s="206"/>
      <c r="O291" s="422"/>
      <c r="P291" s="421"/>
      <c r="Q291" s="206"/>
      <c r="R291" s="206"/>
      <c r="S291" s="421"/>
      <c r="T291" s="517"/>
    </row>
    <row r="292" spans="1:20" ht="21" customHeight="1">
      <c r="A292" s="516"/>
      <c r="B292" s="206"/>
      <c r="C292" s="453"/>
      <c r="D292" s="453"/>
      <c r="E292" s="206"/>
      <c r="F292" s="206"/>
      <c r="G292" s="206"/>
      <c r="H292" s="206"/>
      <c r="I292" s="206"/>
      <c r="J292" s="206"/>
      <c r="K292" s="206"/>
      <c r="L292" s="206"/>
      <c r="M292" s="3"/>
      <c r="N292" s="206"/>
      <c r="O292" s="421"/>
      <c r="P292" s="421"/>
      <c r="Q292" s="206"/>
      <c r="R292" s="206"/>
      <c r="S292" s="421"/>
      <c r="T292" s="517"/>
    </row>
    <row r="293" spans="1:20" ht="21" customHeight="1">
      <c r="A293" s="516"/>
      <c r="B293" s="206"/>
      <c r="C293" s="453"/>
      <c r="D293" s="453"/>
      <c r="E293" s="206"/>
      <c r="F293" s="206"/>
      <c r="G293" s="206"/>
      <c r="H293" s="206"/>
      <c r="I293" s="206"/>
      <c r="J293" s="206"/>
      <c r="K293" s="206"/>
      <c r="L293" s="206"/>
      <c r="M293" s="3"/>
      <c r="N293" s="206"/>
      <c r="O293" s="421"/>
      <c r="P293" s="421"/>
      <c r="Q293" s="206"/>
      <c r="R293" s="421"/>
      <c r="S293" s="421"/>
      <c r="T293" s="517"/>
    </row>
    <row r="294" spans="1:20" ht="21" customHeight="1">
      <c r="A294" s="516"/>
      <c r="B294" s="206"/>
      <c r="C294" s="453"/>
      <c r="D294" s="453"/>
      <c r="E294" s="206"/>
      <c r="F294" s="206"/>
      <c r="G294" s="206"/>
      <c r="H294" s="206"/>
      <c r="I294" s="206"/>
      <c r="J294" s="206"/>
      <c r="K294" s="206"/>
      <c r="L294" s="206"/>
      <c r="M294" s="3"/>
      <c r="N294" s="206"/>
      <c r="O294" s="421"/>
      <c r="P294" s="421"/>
      <c r="Q294" s="206"/>
      <c r="R294" s="421"/>
      <c r="S294" s="421"/>
      <c r="T294" s="517"/>
    </row>
    <row r="295" spans="1:20" ht="21" customHeight="1">
      <c r="A295" s="516"/>
      <c r="B295" s="206"/>
      <c r="C295" s="453"/>
      <c r="D295" s="453"/>
      <c r="E295" s="206"/>
      <c r="F295" s="206"/>
      <c r="G295" s="206"/>
      <c r="H295" s="206"/>
      <c r="I295" s="206"/>
      <c r="J295" s="206"/>
      <c r="K295" s="206"/>
      <c r="L295" s="206"/>
      <c r="M295" s="3"/>
      <c r="N295" s="206"/>
      <c r="O295" s="422"/>
      <c r="P295" s="421"/>
      <c r="Q295" s="206"/>
      <c r="R295" s="206"/>
      <c r="S295" s="421"/>
      <c r="T295" s="517"/>
    </row>
    <row r="296" spans="1:20" ht="21" customHeight="1">
      <c r="A296" s="516"/>
      <c r="B296" s="206"/>
      <c r="C296" s="453"/>
      <c r="D296" s="453"/>
      <c r="E296" s="206"/>
      <c r="F296" s="206"/>
      <c r="G296" s="206"/>
      <c r="H296" s="206"/>
      <c r="I296" s="206"/>
      <c r="J296" s="206"/>
      <c r="K296" s="206"/>
      <c r="L296" s="206"/>
      <c r="M296" s="3"/>
      <c r="N296" s="206"/>
      <c r="O296" s="421"/>
      <c r="P296" s="421"/>
      <c r="Q296" s="206"/>
      <c r="R296" s="206"/>
      <c r="S296" s="421"/>
      <c r="T296" s="527"/>
    </row>
    <row r="297" spans="1:20" ht="21" customHeight="1">
      <c r="A297" s="516"/>
      <c r="B297" s="206"/>
      <c r="C297" s="453"/>
      <c r="D297" s="453"/>
      <c r="E297" s="206"/>
      <c r="F297" s="206"/>
      <c r="G297" s="206"/>
      <c r="H297" s="206"/>
      <c r="I297" s="206"/>
      <c r="J297" s="206"/>
      <c r="K297" s="206"/>
      <c r="L297" s="206"/>
      <c r="M297" s="3"/>
      <c r="N297" s="206"/>
      <c r="O297" s="421"/>
      <c r="P297" s="421"/>
      <c r="Q297" s="206"/>
      <c r="R297" s="206"/>
      <c r="S297" s="421"/>
      <c r="T297" s="517"/>
    </row>
    <row r="298" spans="1:20" ht="21" customHeight="1">
      <c r="A298" s="516"/>
      <c r="B298" s="206"/>
      <c r="C298" s="453"/>
      <c r="D298" s="453"/>
      <c r="E298" s="206"/>
      <c r="F298" s="206"/>
      <c r="G298" s="206"/>
      <c r="H298" s="206"/>
      <c r="I298" s="206"/>
      <c r="J298" s="206"/>
      <c r="K298" s="206"/>
      <c r="L298" s="206"/>
      <c r="M298" s="3"/>
      <c r="N298" s="206"/>
      <c r="O298" s="421"/>
      <c r="P298" s="421"/>
      <c r="Q298" s="206"/>
      <c r="R298" s="421"/>
      <c r="S298" s="421"/>
      <c r="T298" s="517"/>
    </row>
    <row r="299" spans="1:20" ht="21" customHeight="1">
      <c r="A299" s="516"/>
      <c r="B299" s="206"/>
      <c r="C299" s="453"/>
      <c r="D299" s="453"/>
      <c r="E299" s="206"/>
      <c r="F299" s="206"/>
      <c r="G299" s="206"/>
      <c r="H299" s="206"/>
      <c r="I299" s="206"/>
      <c r="J299" s="206"/>
      <c r="K299" s="206"/>
      <c r="L299" s="206"/>
      <c r="M299" s="3"/>
      <c r="N299" s="206"/>
      <c r="O299" s="421"/>
      <c r="P299" s="421"/>
      <c r="Q299" s="206"/>
      <c r="R299" s="206"/>
      <c r="S299" s="421"/>
      <c r="T299" s="517"/>
    </row>
    <row r="300" spans="1:20" ht="21" customHeight="1">
      <c r="A300" s="516"/>
      <c r="B300" s="206"/>
      <c r="C300" s="453"/>
      <c r="D300" s="453"/>
      <c r="E300" s="206"/>
      <c r="F300" s="206"/>
      <c r="G300" s="206"/>
      <c r="H300" s="206"/>
      <c r="I300" s="206"/>
      <c r="J300" s="206"/>
      <c r="K300" s="206"/>
      <c r="L300" s="206"/>
      <c r="M300" s="3"/>
      <c r="N300" s="206"/>
      <c r="O300" s="421"/>
      <c r="P300" s="421"/>
      <c r="Q300" s="206"/>
      <c r="R300" s="206"/>
      <c r="S300" s="421"/>
      <c r="T300" s="517"/>
    </row>
    <row r="301" spans="1:20" ht="21" customHeight="1">
      <c r="A301" s="516"/>
      <c r="B301" s="206"/>
      <c r="C301" s="453"/>
      <c r="D301" s="453"/>
      <c r="E301" s="206"/>
      <c r="F301" s="206"/>
      <c r="G301" s="206"/>
      <c r="H301" s="206"/>
      <c r="I301" s="206"/>
      <c r="J301" s="206"/>
      <c r="K301" s="206"/>
      <c r="L301" s="206"/>
      <c r="M301" s="3"/>
      <c r="N301" s="206"/>
      <c r="O301" s="421"/>
      <c r="P301" s="421"/>
      <c r="Q301" s="206"/>
      <c r="R301" s="421"/>
      <c r="S301" s="421"/>
      <c r="T301" s="517"/>
    </row>
    <row r="302" spans="1:20" ht="21" customHeight="1">
      <c r="A302" s="516"/>
      <c r="B302" s="206"/>
      <c r="C302" s="453"/>
      <c r="D302" s="453"/>
      <c r="E302" s="206"/>
      <c r="F302" s="206"/>
      <c r="G302" s="206"/>
      <c r="H302" s="206"/>
      <c r="I302" s="206"/>
      <c r="J302" s="206"/>
      <c r="K302" s="206"/>
      <c r="L302" s="206"/>
      <c r="M302" s="3"/>
      <c r="N302" s="206"/>
      <c r="O302" s="421"/>
      <c r="P302" s="421"/>
      <c r="Q302" s="206"/>
      <c r="R302" s="519"/>
      <c r="S302" s="421"/>
      <c r="T302" s="527"/>
    </row>
    <row r="303" spans="1:20" ht="21" customHeight="1">
      <c r="A303" s="516"/>
      <c r="B303" s="206"/>
      <c r="C303" s="453"/>
      <c r="D303" s="453"/>
      <c r="E303" s="206"/>
      <c r="F303" s="206"/>
      <c r="G303" s="206"/>
      <c r="H303" s="206"/>
      <c r="I303" s="206"/>
      <c r="J303" s="206"/>
      <c r="K303" s="206"/>
      <c r="L303" s="206"/>
      <c r="M303" s="3"/>
      <c r="N303" s="206"/>
      <c r="O303" s="421"/>
      <c r="P303" s="421"/>
      <c r="Q303" s="206"/>
      <c r="R303" s="206"/>
      <c r="S303" s="421"/>
      <c r="T303" s="517"/>
    </row>
    <row r="304" spans="1:20" ht="21" customHeight="1">
      <c r="A304" s="516"/>
      <c r="B304" s="206"/>
      <c r="C304" s="453"/>
      <c r="D304" s="453"/>
      <c r="E304" s="206"/>
      <c r="F304" s="206"/>
      <c r="G304" s="206"/>
      <c r="H304" s="206"/>
      <c r="I304" s="206"/>
      <c r="J304" s="206"/>
      <c r="K304" s="206"/>
      <c r="L304" s="206"/>
      <c r="M304" s="3"/>
      <c r="N304" s="206"/>
      <c r="O304" s="421"/>
      <c r="P304" s="421"/>
      <c r="Q304" s="206"/>
      <c r="R304" s="421"/>
      <c r="S304" s="421"/>
      <c r="T304" s="517"/>
    </row>
    <row r="305" spans="1:20" ht="21" customHeight="1">
      <c r="A305" s="516"/>
      <c r="B305" s="206"/>
      <c r="C305" s="453"/>
      <c r="D305" s="453"/>
      <c r="E305" s="206"/>
      <c r="F305" s="206"/>
      <c r="G305" s="206"/>
      <c r="H305" s="206"/>
      <c r="I305" s="206"/>
      <c r="J305" s="206"/>
      <c r="K305" s="206"/>
      <c r="L305" s="206"/>
      <c r="M305" s="3"/>
      <c r="N305" s="206"/>
      <c r="O305" s="421"/>
      <c r="P305" s="421"/>
      <c r="Q305" s="206"/>
      <c r="R305" s="206"/>
      <c r="S305" s="421"/>
      <c r="T305" s="517"/>
    </row>
    <row r="306" spans="1:20" ht="21" customHeight="1">
      <c r="A306" s="516"/>
      <c r="B306" s="206"/>
      <c r="C306" s="453"/>
      <c r="D306" s="453"/>
      <c r="E306" s="206"/>
      <c r="F306" s="206"/>
      <c r="G306" s="206"/>
      <c r="H306" s="206"/>
      <c r="I306" s="206"/>
      <c r="J306" s="206"/>
      <c r="K306" s="206"/>
      <c r="L306" s="206"/>
      <c r="M306" s="3"/>
      <c r="N306" s="206"/>
      <c r="O306" s="421"/>
      <c r="P306" s="421"/>
      <c r="Q306" s="206"/>
      <c r="R306" s="206"/>
      <c r="S306" s="421"/>
      <c r="T306" s="517"/>
    </row>
    <row r="307" spans="1:20" ht="21" customHeight="1">
      <c r="A307" s="516"/>
      <c r="B307" s="206"/>
      <c r="C307" s="453"/>
      <c r="D307" s="453"/>
      <c r="E307" s="206"/>
      <c r="F307" s="206"/>
      <c r="G307" s="206"/>
      <c r="H307" s="206"/>
      <c r="I307" s="206"/>
      <c r="J307" s="206"/>
      <c r="K307" s="206"/>
      <c r="L307" s="206"/>
      <c r="M307" s="3"/>
      <c r="N307" s="206"/>
      <c r="O307" s="421"/>
      <c r="P307" s="421"/>
      <c r="Q307" s="206"/>
      <c r="R307" s="206"/>
      <c r="S307" s="421"/>
      <c r="T307" s="517"/>
    </row>
    <row r="308" spans="1:20" ht="21" customHeight="1">
      <c r="A308" s="516"/>
      <c r="B308" s="206"/>
      <c r="C308" s="453"/>
      <c r="D308" s="453"/>
      <c r="E308" s="206"/>
      <c r="F308" s="206"/>
      <c r="G308" s="206"/>
      <c r="H308" s="206"/>
      <c r="I308" s="206"/>
      <c r="J308" s="206"/>
      <c r="K308" s="206"/>
      <c r="L308" s="206"/>
      <c r="M308" s="3"/>
      <c r="N308" s="206"/>
      <c r="O308" s="421"/>
      <c r="P308" s="421"/>
      <c r="Q308" s="206"/>
      <c r="R308" s="421"/>
      <c r="S308" s="421"/>
      <c r="T308" s="517"/>
    </row>
    <row r="309" spans="1:20" ht="21" customHeight="1">
      <c r="A309" s="516"/>
      <c r="B309" s="206"/>
      <c r="C309" s="453"/>
      <c r="D309" s="453"/>
      <c r="E309" s="206"/>
      <c r="F309" s="206"/>
      <c r="G309" s="206"/>
      <c r="H309" s="206"/>
      <c r="I309" s="206"/>
      <c r="J309" s="206"/>
      <c r="K309" s="206"/>
      <c r="L309" s="206"/>
      <c r="M309" s="3"/>
      <c r="N309" s="206"/>
      <c r="O309" s="421"/>
      <c r="P309" s="421"/>
      <c r="Q309" s="206"/>
      <c r="R309" s="206"/>
      <c r="S309" s="421"/>
      <c r="T309" s="527"/>
    </row>
    <row r="310" spans="1:20" ht="21" customHeight="1">
      <c r="A310" s="516"/>
      <c r="B310" s="206"/>
      <c r="C310" s="453"/>
      <c r="D310" s="453"/>
      <c r="E310" s="206"/>
      <c r="F310" s="206"/>
      <c r="G310" s="206"/>
      <c r="H310" s="206"/>
      <c r="I310" s="206"/>
      <c r="J310" s="206"/>
      <c r="K310" s="206"/>
      <c r="L310" s="206"/>
      <c r="M310" s="3"/>
      <c r="N310" s="206"/>
      <c r="O310" s="421"/>
      <c r="P310" s="421"/>
      <c r="Q310" s="206"/>
      <c r="R310" s="206"/>
      <c r="S310" s="421"/>
      <c r="T310" s="517"/>
    </row>
    <row r="311" spans="1:20" ht="21" customHeight="1">
      <c r="A311" s="516"/>
      <c r="B311" s="206"/>
      <c r="C311" s="453"/>
      <c r="D311" s="453"/>
      <c r="E311" s="206"/>
      <c r="F311" s="206"/>
      <c r="G311" s="206"/>
      <c r="H311" s="206"/>
      <c r="I311" s="206"/>
      <c r="J311" s="206"/>
      <c r="K311" s="206"/>
      <c r="L311" s="206"/>
      <c r="M311" s="3"/>
      <c r="N311" s="206"/>
      <c r="O311" s="421"/>
      <c r="P311" s="421"/>
      <c r="Q311" s="206"/>
      <c r="R311" s="206"/>
      <c r="S311" s="421"/>
      <c r="T311" s="517"/>
    </row>
    <row r="312" spans="1:20" ht="21" customHeight="1">
      <c r="A312" s="516"/>
      <c r="B312" s="206"/>
      <c r="C312" s="453"/>
      <c r="D312" s="453"/>
      <c r="E312" s="206"/>
      <c r="F312" s="206"/>
      <c r="G312" s="206"/>
      <c r="H312" s="206"/>
      <c r="I312" s="206"/>
      <c r="J312" s="206"/>
      <c r="K312" s="206"/>
      <c r="L312" s="206"/>
      <c r="M312" s="3"/>
      <c r="N312" s="206"/>
      <c r="O312" s="421"/>
      <c r="P312" s="421"/>
      <c r="Q312" s="206"/>
      <c r="R312" s="421"/>
      <c r="S312" s="421"/>
      <c r="T312" s="517"/>
    </row>
    <row r="313" spans="1:20" ht="21" customHeight="1">
      <c r="A313" s="516"/>
      <c r="B313" s="528"/>
      <c r="C313" s="453"/>
      <c r="D313" s="453"/>
      <c r="E313" s="206"/>
      <c r="F313" s="206"/>
      <c r="G313" s="206"/>
      <c r="H313" s="206"/>
      <c r="I313" s="206"/>
      <c r="J313" s="206"/>
      <c r="K313" s="206"/>
      <c r="L313" s="206"/>
      <c r="M313" s="3"/>
      <c r="N313" s="206"/>
      <c r="O313" s="421"/>
      <c r="P313" s="421"/>
      <c r="Q313" s="206"/>
      <c r="R313" s="519"/>
      <c r="S313" s="421"/>
      <c r="T313" s="527"/>
    </row>
    <row r="314" spans="1:20" ht="21" customHeight="1">
      <c r="A314" s="516"/>
      <c r="B314" s="206"/>
      <c r="C314" s="453"/>
      <c r="D314" s="453"/>
      <c r="E314" s="206"/>
      <c r="F314" s="206"/>
      <c r="G314" s="206"/>
      <c r="H314" s="206"/>
      <c r="I314" s="206"/>
      <c r="J314" s="206"/>
      <c r="K314" s="206"/>
      <c r="L314" s="206"/>
      <c r="M314" s="3"/>
      <c r="N314" s="206"/>
      <c r="O314" s="421"/>
      <c r="P314" s="421"/>
      <c r="Q314" s="206"/>
      <c r="R314" s="206"/>
      <c r="S314" s="421"/>
      <c r="T314" s="517"/>
    </row>
    <row r="315" spans="1:20" ht="21" customHeight="1">
      <c r="A315" s="516"/>
      <c r="B315" s="206"/>
      <c r="C315" s="453"/>
      <c r="D315" s="453"/>
      <c r="E315" s="206"/>
      <c r="F315" s="206"/>
      <c r="G315" s="206"/>
      <c r="H315" s="206"/>
      <c r="I315" s="206"/>
      <c r="J315" s="206"/>
      <c r="K315" s="206"/>
      <c r="L315" s="206"/>
      <c r="M315" s="3"/>
      <c r="N315" s="206"/>
      <c r="O315" s="421"/>
      <c r="P315" s="421"/>
      <c r="Q315" s="206"/>
      <c r="R315" s="206"/>
      <c r="S315" s="421"/>
      <c r="T315" s="517"/>
    </row>
    <row r="316" spans="1:20" ht="21" customHeight="1">
      <c r="A316" s="516"/>
      <c r="B316" s="206"/>
      <c r="C316" s="453"/>
      <c r="D316" s="453"/>
      <c r="E316" s="206"/>
      <c r="F316" s="206"/>
      <c r="G316" s="206"/>
      <c r="H316" s="206"/>
      <c r="I316" s="206"/>
      <c r="J316" s="206"/>
      <c r="K316" s="206"/>
      <c r="L316" s="206"/>
      <c r="M316" s="3"/>
      <c r="N316" s="206"/>
      <c r="O316" s="421"/>
      <c r="P316" s="421"/>
      <c r="Q316" s="206"/>
      <c r="R316" s="206"/>
      <c r="S316" s="421"/>
      <c r="T316" s="517"/>
    </row>
    <row r="317" spans="1:20" ht="21" customHeight="1">
      <c r="A317" s="516"/>
      <c r="B317" s="206"/>
      <c r="C317" s="453"/>
      <c r="D317" s="453"/>
      <c r="E317" s="206"/>
      <c r="F317" s="206"/>
      <c r="G317" s="206"/>
      <c r="H317" s="206"/>
      <c r="I317" s="206"/>
      <c r="J317" s="206"/>
      <c r="K317" s="206"/>
      <c r="L317" s="206"/>
      <c r="M317" s="3"/>
      <c r="N317" s="206"/>
      <c r="O317" s="421"/>
      <c r="P317" s="421"/>
      <c r="Q317" s="206"/>
      <c r="R317" s="421"/>
      <c r="S317" s="421"/>
      <c r="T317" s="517"/>
    </row>
    <row r="318" spans="1:20" ht="21" customHeight="1">
      <c r="A318" s="516"/>
      <c r="B318" s="206"/>
      <c r="C318" s="453"/>
      <c r="D318" s="453"/>
      <c r="E318" s="206"/>
      <c r="F318" s="206"/>
      <c r="G318" s="206"/>
      <c r="H318" s="206"/>
      <c r="I318" s="206"/>
      <c r="J318" s="206"/>
      <c r="K318" s="206"/>
      <c r="L318" s="206"/>
      <c r="M318" s="3"/>
      <c r="N318" s="206"/>
      <c r="O318" s="421"/>
      <c r="P318" s="421"/>
      <c r="Q318" s="206"/>
      <c r="R318" s="206"/>
      <c r="S318" s="421"/>
      <c r="T318" s="527"/>
    </row>
    <row r="319" spans="1:20" ht="21" customHeight="1">
      <c r="A319" s="516"/>
      <c r="B319" s="206"/>
      <c r="C319" s="453"/>
      <c r="D319" s="453"/>
      <c r="E319" s="206"/>
      <c r="F319" s="206"/>
      <c r="G319" s="206"/>
      <c r="H319" s="206"/>
      <c r="I319" s="206"/>
      <c r="J319" s="206"/>
      <c r="K319" s="206"/>
      <c r="L319" s="206"/>
      <c r="M319" s="3"/>
      <c r="N319" s="206"/>
      <c r="O319" s="422"/>
      <c r="P319" s="421"/>
      <c r="Q319" s="206"/>
      <c r="R319" s="206"/>
      <c r="S319" s="421"/>
      <c r="T319" s="517"/>
    </row>
    <row r="320" spans="1:20" ht="21" customHeight="1">
      <c r="A320" s="516"/>
      <c r="B320" s="206"/>
      <c r="C320" s="453"/>
      <c r="D320" s="453"/>
      <c r="E320" s="206"/>
      <c r="F320" s="206"/>
      <c r="G320" s="206"/>
      <c r="H320" s="206"/>
      <c r="I320" s="206"/>
      <c r="J320" s="206"/>
      <c r="K320" s="206"/>
      <c r="L320" s="206"/>
      <c r="M320" s="3"/>
      <c r="N320" s="206"/>
      <c r="O320" s="421"/>
      <c r="P320" s="421"/>
      <c r="Q320" s="206"/>
      <c r="R320" s="206"/>
      <c r="S320" s="421"/>
      <c r="T320" s="517"/>
    </row>
    <row r="321" spans="1:20" ht="21" customHeight="1">
      <c r="A321" s="516"/>
      <c r="B321" s="206"/>
      <c r="C321" s="453"/>
      <c r="D321" s="453"/>
      <c r="E321" s="206"/>
      <c r="F321" s="206"/>
      <c r="G321" s="206"/>
      <c r="H321" s="206"/>
      <c r="I321" s="206"/>
      <c r="J321" s="206"/>
      <c r="K321" s="206"/>
      <c r="L321" s="206"/>
      <c r="M321" s="3"/>
      <c r="N321" s="206"/>
      <c r="O321" s="421"/>
      <c r="P321" s="421"/>
      <c r="Q321" s="206"/>
      <c r="R321" s="421"/>
      <c r="S321" s="421"/>
      <c r="T321" s="517"/>
    </row>
    <row r="322" spans="1:20" ht="21" customHeight="1">
      <c r="A322" s="516"/>
      <c r="B322" s="206"/>
      <c r="C322" s="453"/>
      <c r="D322" s="453"/>
      <c r="E322" s="206"/>
      <c r="F322" s="206"/>
      <c r="G322" s="206"/>
      <c r="H322" s="206"/>
      <c r="I322" s="206"/>
      <c r="J322" s="206"/>
      <c r="K322" s="206"/>
      <c r="L322" s="206"/>
      <c r="M322" s="3"/>
      <c r="N322" s="206"/>
      <c r="O322" s="421"/>
      <c r="P322" s="421"/>
      <c r="Q322" s="206"/>
      <c r="R322" s="421"/>
      <c r="S322" s="421"/>
      <c r="T322" s="517"/>
    </row>
    <row r="323" spans="1:20" ht="21" customHeight="1">
      <c r="A323" s="516"/>
      <c r="B323" s="206"/>
      <c r="C323" s="453"/>
      <c r="D323" s="453"/>
      <c r="E323" s="206"/>
      <c r="F323" s="206"/>
      <c r="G323" s="206"/>
      <c r="H323" s="206"/>
      <c r="I323" s="206"/>
      <c r="J323" s="206"/>
      <c r="K323" s="206"/>
      <c r="L323" s="206"/>
      <c r="M323" s="3"/>
      <c r="N323" s="206"/>
      <c r="O323" s="421"/>
      <c r="P323" s="421"/>
      <c r="Q323" s="206"/>
      <c r="R323" s="206"/>
      <c r="S323" s="421"/>
      <c r="T323" s="517"/>
    </row>
    <row r="324" spans="1:20" ht="21" customHeight="1">
      <c r="A324" s="516"/>
      <c r="B324" s="206"/>
      <c r="C324" s="453"/>
      <c r="D324" s="453"/>
      <c r="E324" s="206"/>
      <c r="F324" s="206"/>
      <c r="G324" s="206"/>
      <c r="H324" s="206"/>
      <c r="I324" s="206"/>
      <c r="J324" s="206"/>
      <c r="K324" s="206"/>
      <c r="L324" s="206"/>
      <c r="M324" s="3"/>
      <c r="N324" s="206"/>
      <c r="O324" s="421"/>
      <c r="P324" s="421"/>
      <c r="Q324" s="206"/>
      <c r="R324" s="206"/>
      <c r="S324" s="421"/>
      <c r="T324" s="517"/>
    </row>
    <row r="325" spans="1:20" ht="21" customHeight="1">
      <c r="A325" s="516"/>
      <c r="B325" s="206"/>
      <c r="C325" s="453"/>
      <c r="D325" s="453"/>
      <c r="E325" s="206"/>
      <c r="F325" s="206"/>
      <c r="G325" s="206"/>
      <c r="H325" s="206"/>
      <c r="I325" s="206"/>
      <c r="J325" s="206"/>
      <c r="K325" s="206"/>
      <c r="L325" s="206"/>
      <c r="M325" s="3"/>
      <c r="N325" s="206"/>
      <c r="O325" s="421"/>
      <c r="P325" s="421"/>
      <c r="Q325" s="206"/>
      <c r="R325" s="421"/>
      <c r="S325" s="421"/>
      <c r="T325" s="517"/>
    </row>
    <row r="326" spans="1:20" ht="21" customHeight="1">
      <c r="A326" s="516"/>
      <c r="B326" s="206"/>
      <c r="C326" s="453"/>
      <c r="D326" s="453"/>
      <c r="E326" s="206"/>
      <c r="F326" s="206"/>
      <c r="G326" s="206"/>
      <c r="H326" s="206"/>
      <c r="I326" s="206"/>
      <c r="J326" s="206"/>
      <c r="K326" s="206"/>
      <c r="L326" s="206"/>
      <c r="M326" s="3"/>
      <c r="N326" s="206"/>
      <c r="O326" s="421"/>
      <c r="P326" s="421"/>
      <c r="Q326" s="206"/>
      <c r="R326" s="421"/>
      <c r="S326" s="421"/>
      <c r="T326" s="517"/>
    </row>
    <row r="327" spans="1:20" ht="21" customHeight="1">
      <c r="A327" s="516"/>
      <c r="B327" s="206"/>
      <c r="C327" s="453"/>
      <c r="D327" s="453"/>
      <c r="E327" s="206"/>
      <c r="F327" s="206"/>
      <c r="G327" s="206"/>
      <c r="H327" s="206"/>
      <c r="I327" s="206"/>
      <c r="J327" s="206"/>
      <c r="K327" s="206"/>
      <c r="L327" s="206"/>
      <c r="M327" s="3"/>
      <c r="N327" s="206"/>
      <c r="O327" s="421"/>
      <c r="P327" s="421"/>
      <c r="Q327" s="206"/>
      <c r="R327" s="523"/>
      <c r="S327" s="421"/>
      <c r="T327" s="527"/>
    </row>
    <row r="328" spans="1:20" ht="21" customHeight="1">
      <c r="A328" s="516"/>
      <c r="B328" s="206"/>
      <c r="C328" s="453"/>
      <c r="D328" s="453"/>
      <c r="E328" s="206"/>
      <c r="F328" s="206"/>
      <c r="G328" s="206"/>
      <c r="H328" s="206"/>
      <c r="I328" s="206"/>
      <c r="J328" s="206"/>
      <c r="K328" s="206"/>
      <c r="L328" s="206"/>
      <c r="M328" s="3"/>
      <c r="N328" s="206"/>
      <c r="O328" s="421"/>
      <c r="P328" s="421"/>
      <c r="Q328" s="206"/>
      <c r="R328" s="206"/>
      <c r="S328" s="421"/>
      <c r="T328" s="517"/>
    </row>
    <row r="329" spans="1:20" ht="21" customHeight="1">
      <c r="A329" s="516"/>
      <c r="B329" s="206"/>
      <c r="C329" s="453"/>
      <c r="D329" s="453"/>
      <c r="E329" s="206"/>
      <c r="F329" s="206"/>
      <c r="G329" s="206"/>
      <c r="H329" s="206"/>
      <c r="I329" s="206"/>
      <c r="J329" s="206"/>
      <c r="K329" s="206"/>
      <c r="L329" s="206"/>
      <c r="M329" s="3"/>
      <c r="N329" s="206"/>
      <c r="O329" s="421"/>
      <c r="P329" s="421"/>
      <c r="Q329" s="206"/>
      <c r="R329" s="206"/>
      <c r="S329" s="421"/>
      <c r="T329" s="517"/>
    </row>
    <row r="330" spans="1:20" ht="21" customHeight="1">
      <c r="A330" s="516"/>
      <c r="B330" s="206"/>
      <c r="C330" s="453"/>
      <c r="D330" s="453"/>
      <c r="E330" s="206"/>
      <c r="F330" s="206"/>
      <c r="G330" s="206"/>
      <c r="H330" s="206"/>
      <c r="I330" s="206"/>
      <c r="J330" s="206"/>
      <c r="K330" s="206"/>
      <c r="L330" s="206"/>
      <c r="M330" s="3"/>
      <c r="N330" s="206"/>
      <c r="O330" s="421"/>
      <c r="P330" s="421"/>
      <c r="Q330" s="206"/>
      <c r="R330" s="421"/>
      <c r="S330" s="421"/>
      <c r="T330" s="517"/>
    </row>
    <row r="331" spans="1:20" ht="21" customHeight="1">
      <c r="A331" s="516"/>
      <c r="B331" s="206"/>
      <c r="C331" s="453"/>
      <c r="D331" s="453"/>
      <c r="E331" s="206"/>
      <c r="F331" s="206"/>
      <c r="G331" s="206"/>
      <c r="H331" s="206"/>
      <c r="I331" s="206"/>
      <c r="J331" s="206"/>
      <c r="K331" s="206"/>
      <c r="L331" s="206"/>
      <c r="M331" s="3"/>
      <c r="N331" s="206"/>
      <c r="O331" s="421"/>
      <c r="P331" s="421"/>
      <c r="Q331" s="206"/>
      <c r="R331" s="421"/>
      <c r="S331" s="421"/>
      <c r="T331" s="517"/>
    </row>
    <row r="332" spans="1:20" ht="21" customHeight="1">
      <c r="A332" s="516"/>
      <c r="B332" s="528"/>
      <c r="C332" s="453"/>
      <c r="D332" s="453"/>
      <c r="E332" s="206"/>
      <c r="F332" s="206"/>
      <c r="G332" s="206"/>
      <c r="H332" s="206"/>
      <c r="I332" s="206"/>
      <c r="J332" s="206"/>
      <c r="K332" s="206"/>
      <c r="L332" s="206"/>
      <c r="M332" s="3"/>
      <c r="N332" s="206"/>
      <c r="O332" s="421"/>
      <c r="P332" s="421"/>
      <c r="Q332" s="206"/>
      <c r="R332" s="525"/>
      <c r="S332" s="421"/>
      <c r="T332" s="527"/>
    </row>
    <row r="333" spans="1:20" ht="21" customHeight="1">
      <c r="A333" s="516"/>
      <c r="B333" s="206"/>
      <c r="C333" s="453"/>
      <c r="D333" s="453"/>
      <c r="E333" s="206"/>
      <c r="F333" s="206"/>
      <c r="G333" s="206"/>
      <c r="H333" s="206"/>
      <c r="I333" s="206"/>
      <c r="J333" s="206"/>
      <c r="K333" s="206"/>
      <c r="L333" s="206"/>
      <c r="M333" s="3"/>
      <c r="N333" s="206"/>
      <c r="O333" s="421"/>
      <c r="P333" s="421"/>
      <c r="Q333" s="206"/>
      <c r="R333" s="206"/>
      <c r="S333" s="421"/>
      <c r="T333" s="517"/>
    </row>
    <row r="334" spans="1:20" ht="21" customHeight="1">
      <c r="A334" s="516"/>
      <c r="B334" s="206"/>
      <c r="C334" s="453"/>
      <c r="D334" s="453"/>
      <c r="E334" s="206"/>
      <c r="F334" s="206"/>
      <c r="G334" s="206"/>
      <c r="H334" s="206"/>
      <c r="I334" s="206"/>
      <c r="J334" s="206"/>
      <c r="K334" s="206"/>
      <c r="L334" s="206"/>
      <c r="M334" s="3"/>
      <c r="N334" s="206"/>
      <c r="O334" s="421"/>
      <c r="P334" s="421"/>
      <c r="Q334" s="206"/>
      <c r="R334" s="421"/>
      <c r="S334" s="421"/>
      <c r="T334" s="517"/>
    </row>
    <row r="335" spans="1:20" ht="21" customHeight="1">
      <c r="A335" s="516"/>
      <c r="B335" s="206"/>
      <c r="C335" s="453"/>
      <c r="D335" s="453"/>
      <c r="E335" s="206"/>
      <c r="F335" s="206"/>
      <c r="G335" s="206"/>
      <c r="H335" s="206"/>
      <c r="I335" s="206"/>
      <c r="J335" s="206"/>
      <c r="K335" s="206"/>
      <c r="L335" s="206"/>
      <c r="M335" s="3"/>
      <c r="N335" s="206"/>
      <c r="O335" s="421"/>
      <c r="P335" s="421"/>
      <c r="Q335" s="206"/>
      <c r="R335" s="206"/>
      <c r="S335" s="421"/>
      <c r="T335" s="517"/>
    </row>
    <row r="336" spans="1:20" ht="21" customHeight="1">
      <c r="A336" s="516"/>
      <c r="B336" s="206"/>
      <c r="C336" s="453"/>
      <c r="D336" s="453"/>
      <c r="E336" s="206"/>
      <c r="F336" s="206"/>
      <c r="G336" s="206"/>
      <c r="H336" s="206"/>
      <c r="I336" s="206"/>
      <c r="J336" s="206"/>
      <c r="K336" s="206"/>
      <c r="L336" s="206"/>
      <c r="M336" s="3"/>
      <c r="N336" s="206"/>
      <c r="O336" s="421"/>
      <c r="P336" s="421"/>
      <c r="Q336" s="206"/>
      <c r="R336" s="206"/>
      <c r="S336" s="421"/>
      <c r="T336" s="517"/>
    </row>
    <row r="337" spans="1:20" ht="21" customHeight="1">
      <c r="A337" s="516"/>
      <c r="B337" s="206"/>
      <c r="C337" s="453"/>
      <c r="D337" s="453"/>
      <c r="E337" s="206"/>
      <c r="F337" s="206"/>
      <c r="G337" s="206"/>
      <c r="H337" s="206"/>
      <c r="I337" s="206"/>
      <c r="J337" s="206"/>
      <c r="K337" s="206"/>
      <c r="L337" s="206"/>
      <c r="M337" s="3"/>
      <c r="N337" s="206"/>
      <c r="O337" s="421"/>
      <c r="P337" s="421"/>
      <c r="Q337" s="206"/>
      <c r="R337" s="421"/>
      <c r="S337" s="421"/>
      <c r="T337" s="517"/>
    </row>
    <row r="338" spans="1:20" ht="21" customHeight="1">
      <c r="A338" s="516"/>
      <c r="B338" s="206"/>
      <c r="C338" s="453"/>
      <c r="D338" s="453"/>
      <c r="E338" s="206"/>
      <c r="F338" s="206"/>
      <c r="G338" s="206"/>
      <c r="H338" s="206"/>
      <c r="I338" s="206"/>
      <c r="J338" s="206"/>
      <c r="K338" s="206"/>
      <c r="L338" s="206"/>
      <c r="M338" s="3"/>
      <c r="N338" s="206"/>
      <c r="O338" s="421"/>
      <c r="P338" s="421"/>
      <c r="Q338" s="206"/>
      <c r="R338" s="421"/>
      <c r="S338" s="421"/>
      <c r="T338" s="517"/>
    </row>
    <row r="339" spans="1:20" ht="21" customHeight="1">
      <c r="A339" s="516"/>
      <c r="B339" s="206"/>
      <c r="C339" s="453"/>
      <c r="D339" s="453"/>
      <c r="E339" s="206"/>
      <c r="F339" s="206"/>
      <c r="G339" s="206"/>
      <c r="H339" s="206"/>
      <c r="I339" s="206"/>
      <c r="J339" s="206"/>
      <c r="K339" s="206"/>
      <c r="L339" s="206"/>
      <c r="M339" s="3"/>
      <c r="N339" s="206"/>
      <c r="O339" s="421"/>
      <c r="P339" s="421"/>
      <c r="Q339" s="206"/>
      <c r="R339" s="206"/>
      <c r="S339" s="421"/>
      <c r="T339" s="527"/>
    </row>
    <row r="340" spans="1:20" ht="21" customHeight="1">
      <c r="A340" s="516"/>
      <c r="B340" s="206"/>
      <c r="C340" s="453"/>
      <c r="D340" s="453"/>
      <c r="E340" s="206"/>
      <c r="F340" s="206"/>
      <c r="G340" s="206"/>
      <c r="H340" s="206"/>
      <c r="I340" s="206"/>
      <c r="J340" s="206"/>
      <c r="K340" s="206"/>
      <c r="L340" s="206"/>
      <c r="M340" s="3"/>
      <c r="N340" s="206"/>
      <c r="O340" s="421"/>
      <c r="P340" s="421"/>
      <c r="Q340" s="206"/>
      <c r="R340" s="206"/>
      <c r="S340" s="421"/>
      <c r="T340" s="517"/>
    </row>
    <row r="341" spans="1:20" ht="21" customHeight="1">
      <c r="A341" s="516"/>
      <c r="B341" s="206"/>
      <c r="C341" s="453"/>
      <c r="D341" s="453"/>
      <c r="E341" s="206"/>
      <c r="F341" s="206"/>
      <c r="G341" s="206"/>
      <c r="H341" s="206"/>
      <c r="I341" s="206"/>
      <c r="J341" s="206"/>
      <c r="K341" s="206"/>
      <c r="L341" s="206"/>
      <c r="M341" s="3"/>
      <c r="N341" s="206"/>
      <c r="O341" s="421"/>
      <c r="P341" s="421"/>
      <c r="Q341" s="206"/>
      <c r="R341" s="421"/>
      <c r="S341" s="421"/>
      <c r="T341" s="517"/>
    </row>
    <row r="342" spans="1:20" ht="21" customHeight="1">
      <c r="A342" s="516"/>
      <c r="B342" s="206"/>
      <c r="C342" s="453"/>
      <c r="D342" s="453"/>
      <c r="E342" s="206"/>
      <c r="F342" s="206"/>
      <c r="G342" s="206"/>
      <c r="H342" s="206"/>
      <c r="I342" s="206"/>
      <c r="J342" s="206"/>
      <c r="K342" s="206"/>
      <c r="L342" s="206"/>
      <c r="M342" s="3"/>
      <c r="N342" s="206"/>
      <c r="O342" s="421"/>
      <c r="P342" s="421"/>
      <c r="Q342" s="206"/>
      <c r="R342" s="421"/>
      <c r="S342" s="421"/>
      <c r="T342" s="517"/>
    </row>
    <row r="343" spans="1:20" ht="21" customHeight="1">
      <c r="A343" s="516"/>
      <c r="B343" s="206"/>
      <c r="C343" s="453"/>
      <c r="D343" s="453"/>
      <c r="E343" s="206"/>
      <c r="F343" s="206"/>
      <c r="G343" s="206"/>
      <c r="H343" s="206"/>
      <c r="I343" s="206"/>
      <c r="J343" s="206"/>
      <c r="K343" s="206"/>
      <c r="L343" s="206"/>
      <c r="M343" s="3"/>
      <c r="N343" s="206"/>
      <c r="O343" s="421"/>
      <c r="P343" s="421"/>
      <c r="Q343" s="206"/>
      <c r="R343" s="421"/>
      <c r="S343" s="421"/>
      <c r="T343" s="517"/>
    </row>
    <row r="344" spans="1:20" ht="21" customHeight="1">
      <c r="A344" s="516"/>
      <c r="B344" s="206"/>
      <c r="C344" s="453"/>
      <c r="D344" s="453"/>
      <c r="E344" s="206"/>
      <c r="F344" s="206"/>
      <c r="G344" s="206"/>
      <c r="H344" s="206"/>
      <c r="I344" s="206"/>
      <c r="J344" s="206"/>
      <c r="K344" s="206"/>
      <c r="L344" s="206"/>
      <c r="M344" s="3"/>
      <c r="N344" s="206"/>
      <c r="O344" s="421"/>
      <c r="P344" s="421"/>
      <c r="Q344" s="206"/>
      <c r="R344" s="421"/>
      <c r="S344" s="421"/>
      <c r="T344" s="517"/>
    </row>
    <row r="345" spans="1:20" ht="21" customHeight="1">
      <c r="A345" s="516"/>
      <c r="B345" s="206"/>
      <c r="C345" s="453"/>
      <c r="D345" s="453"/>
      <c r="E345" s="206"/>
      <c r="F345" s="206"/>
      <c r="G345" s="206"/>
      <c r="H345" s="206"/>
      <c r="I345" s="206"/>
      <c r="J345" s="206"/>
      <c r="K345" s="206"/>
      <c r="L345" s="206"/>
      <c r="M345" s="3"/>
      <c r="N345" s="206"/>
      <c r="O345" s="421"/>
      <c r="P345" s="421"/>
      <c r="Q345" s="206"/>
      <c r="R345" s="518"/>
      <c r="S345" s="421"/>
      <c r="T345" s="517"/>
    </row>
    <row r="346" spans="1:20" ht="21" customHeight="1">
      <c r="A346" s="516"/>
      <c r="B346" s="206"/>
      <c r="C346" s="453"/>
      <c r="D346" s="453"/>
      <c r="E346" s="206"/>
      <c r="F346" s="206"/>
      <c r="G346" s="206"/>
      <c r="H346" s="206"/>
      <c r="I346" s="206"/>
      <c r="J346" s="206"/>
      <c r="K346" s="206"/>
      <c r="L346" s="206"/>
      <c r="M346" s="3"/>
      <c r="N346" s="206"/>
      <c r="O346" s="421"/>
      <c r="P346" s="421"/>
      <c r="Q346" s="206"/>
      <c r="R346" s="519"/>
      <c r="S346" s="421"/>
      <c r="T346" s="527"/>
    </row>
    <row r="347" spans="1:20" ht="21" customHeight="1">
      <c r="A347" s="516"/>
      <c r="B347" s="206"/>
      <c r="C347" s="453"/>
      <c r="D347" s="453"/>
      <c r="E347" s="206"/>
      <c r="F347" s="206"/>
      <c r="G347" s="206"/>
      <c r="H347" s="206"/>
      <c r="I347" s="206"/>
      <c r="J347" s="206"/>
      <c r="K347" s="206"/>
      <c r="L347" s="206"/>
      <c r="M347" s="3"/>
      <c r="N347" s="206"/>
      <c r="O347" s="422"/>
      <c r="P347" s="421"/>
      <c r="Q347" s="206"/>
      <c r="R347" s="206"/>
      <c r="S347" s="421"/>
      <c r="T347" s="517"/>
    </row>
    <row r="348" spans="1:20" ht="21" customHeight="1">
      <c r="A348" s="516"/>
      <c r="B348" s="206"/>
      <c r="C348" s="453"/>
      <c r="D348" s="453"/>
      <c r="E348" s="206"/>
      <c r="F348" s="206"/>
      <c r="G348" s="206"/>
      <c r="H348" s="206"/>
      <c r="I348" s="206"/>
      <c r="J348" s="206"/>
      <c r="K348" s="206"/>
      <c r="L348" s="206"/>
      <c r="M348" s="3"/>
      <c r="N348" s="206"/>
      <c r="O348" s="422"/>
      <c r="P348" s="421"/>
      <c r="Q348" s="206"/>
      <c r="R348" s="206"/>
      <c r="S348" s="421"/>
      <c r="T348" s="517"/>
    </row>
    <row r="349" spans="1:20" ht="21" customHeight="1">
      <c r="A349" s="516"/>
      <c r="B349" s="206"/>
      <c r="C349" s="453"/>
      <c r="D349" s="453"/>
      <c r="E349" s="206"/>
      <c r="F349" s="206"/>
      <c r="G349" s="206"/>
      <c r="H349" s="206"/>
      <c r="I349" s="206"/>
      <c r="J349" s="206"/>
      <c r="K349" s="206"/>
      <c r="L349" s="206"/>
      <c r="M349" s="3"/>
      <c r="N349" s="206"/>
      <c r="O349" s="421"/>
      <c r="P349" s="421"/>
      <c r="Q349" s="206"/>
      <c r="R349" s="206"/>
      <c r="S349" s="421"/>
      <c r="T349" s="517"/>
    </row>
    <row r="350" spans="1:20" ht="21" customHeight="1">
      <c r="A350" s="516"/>
      <c r="B350" s="206"/>
      <c r="C350" s="453"/>
      <c r="D350" s="453"/>
      <c r="E350" s="206"/>
      <c r="F350" s="206"/>
      <c r="G350" s="206"/>
      <c r="H350" s="206"/>
      <c r="I350" s="206"/>
      <c r="J350" s="206"/>
      <c r="K350" s="206"/>
      <c r="L350" s="206"/>
      <c r="M350" s="3"/>
      <c r="N350" s="206"/>
      <c r="O350" s="421"/>
      <c r="P350" s="421"/>
      <c r="Q350" s="206"/>
      <c r="R350" s="523"/>
      <c r="S350" s="421"/>
      <c r="T350" s="527"/>
    </row>
    <row r="351" spans="1:20" ht="21" customHeight="1">
      <c r="A351" s="516"/>
      <c r="B351" s="206"/>
      <c r="C351" s="453"/>
      <c r="D351" s="453"/>
      <c r="E351" s="206"/>
      <c r="F351" s="206"/>
      <c r="G351" s="206"/>
      <c r="H351" s="206"/>
      <c r="I351" s="206"/>
      <c r="J351" s="206"/>
      <c r="K351" s="206"/>
      <c r="L351" s="206"/>
      <c r="M351" s="3"/>
      <c r="N351" s="206"/>
      <c r="O351" s="421"/>
      <c r="P351" s="421"/>
      <c r="Q351" s="206"/>
      <c r="R351" s="206"/>
      <c r="S351" s="421"/>
      <c r="T351" s="517"/>
    </row>
    <row r="352" spans="1:20" ht="21" customHeight="1">
      <c r="A352" s="516"/>
      <c r="B352" s="206"/>
      <c r="C352" s="453"/>
      <c r="D352" s="453"/>
      <c r="E352" s="206"/>
      <c r="F352" s="206"/>
      <c r="G352" s="206"/>
      <c r="H352" s="206"/>
      <c r="I352" s="206"/>
      <c r="J352" s="206"/>
      <c r="K352" s="206"/>
      <c r="L352" s="206"/>
      <c r="M352" s="3"/>
      <c r="N352" s="206"/>
      <c r="O352" s="421"/>
      <c r="P352" s="421"/>
      <c r="Q352" s="206"/>
      <c r="R352" s="206"/>
      <c r="S352" s="421"/>
      <c r="T352" s="517"/>
    </row>
    <row r="353" spans="1:20" ht="21" customHeight="1">
      <c r="A353" s="516"/>
      <c r="B353" s="206"/>
      <c r="C353" s="453"/>
      <c r="D353" s="453"/>
      <c r="E353" s="206"/>
      <c r="F353" s="206"/>
      <c r="G353" s="206"/>
      <c r="H353" s="206"/>
      <c r="I353" s="206"/>
      <c r="J353" s="206"/>
      <c r="K353" s="206"/>
      <c r="L353" s="206"/>
      <c r="M353" s="3"/>
      <c r="N353" s="206"/>
      <c r="O353" s="421"/>
      <c r="P353" s="421"/>
      <c r="Q353" s="206"/>
      <c r="R353" s="206"/>
      <c r="S353" s="421"/>
      <c r="T353" s="527"/>
    </row>
    <row r="354" spans="1:20" ht="21" customHeight="1">
      <c r="A354" s="516"/>
      <c r="B354" s="206"/>
      <c r="C354" s="453"/>
      <c r="D354" s="453"/>
      <c r="E354" s="206"/>
      <c r="F354" s="206"/>
      <c r="G354" s="206"/>
      <c r="H354" s="206"/>
      <c r="I354" s="206"/>
      <c r="J354" s="206"/>
      <c r="K354" s="206"/>
      <c r="L354" s="206"/>
      <c r="M354" s="3"/>
      <c r="N354" s="206"/>
      <c r="O354" s="421"/>
      <c r="P354" s="421"/>
      <c r="Q354" s="206"/>
      <c r="R354" s="206"/>
      <c r="S354" s="421"/>
      <c r="T354" s="517"/>
    </row>
    <row r="355" spans="1:20" ht="21" customHeight="1">
      <c r="A355" s="516"/>
      <c r="B355" s="206"/>
      <c r="C355" s="453"/>
      <c r="D355" s="453"/>
      <c r="E355" s="206"/>
      <c r="F355" s="206"/>
      <c r="G355" s="206"/>
      <c r="H355" s="206"/>
      <c r="I355" s="206"/>
      <c r="J355" s="206"/>
      <c r="K355" s="206"/>
      <c r="L355" s="206"/>
      <c r="M355" s="3"/>
      <c r="N355" s="206"/>
      <c r="O355" s="421"/>
      <c r="P355" s="421"/>
      <c r="Q355" s="206"/>
      <c r="R355" s="421"/>
      <c r="S355" s="421"/>
      <c r="T355" s="517"/>
    </row>
    <row r="356" spans="1:20" ht="21" customHeight="1">
      <c r="A356" s="516"/>
      <c r="B356" s="206"/>
      <c r="C356" s="453"/>
      <c r="D356" s="453"/>
      <c r="E356" s="206"/>
      <c r="F356" s="206"/>
      <c r="G356" s="206"/>
      <c r="H356" s="206"/>
      <c r="I356" s="206"/>
      <c r="J356" s="206"/>
      <c r="K356" s="206"/>
      <c r="L356" s="206"/>
      <c r="M356" s="3"/>
      <c r="N356" s="206"/>
      <c r="O356" s="421"/>
      <c r="P356" s="421"/>
      <c r="Q356" s="421"/>
      <c r="R356" s="421"/>
      <c r="S356" s="421"/>
      <c r="T356" s="517"/>
    </row>
    <row r="357" spans="1:20" ht="21" customHeight="1">
      <c r="A357" s="516"/>
      <c r="B357" s="206"/>
      <c r="C357" s="453"/>
      <c r="D357" s="453"/>
      <c r="E357" s="206"/>
      <c r="F357" s="206"/>
      <c r="G357" s="206"/>
      <c r="H357" s="206"/>
      <c r="I357" s="206"/>
      <c r="J357" s="206"/>
      <c r="K357" s="206"/>
      <c r="L357" s="206"/>
      <c r="M357" s="3"/>
      <c r="N357" s="206"/>
      <c r="O357" s="421"/>
      <c r="P357" s="421"/>
      <c r="Q357" s="206"/>
      <c r="R357" s="538"/>
      <c r="S357" s="421"/>
      <c r="T357" s="517"/>
    </row>
    <row r="358" spans="1:20" ht="21" customHeight="1">
      <c r="A358" s="516"/>
      <c r="B358" s="206"/>
      <c r="C358" s="453"/>
      <c r="D358" s="453"/>
      <c r="E358" s="206"/>
      <c r="F358" s="206"/>
      <c r="G358" s="206"/>
      <c r="H358" s="206"/>
      <c r="I358" s="206"/>
      <c r="J358" s="206"/>
      <c r="K358" s="206"/>
      <c r="L358" s="206"/>
      <c r="M358" s="3"/>
      <c r="N358" s="206"/>
      <c r="O358" s="421"/>
      <c r="P358" s="421"/>
      <c r="Q358" s="206"/>
      <c r="R358" s="421"/>
      <c r="S358" s="421"/>
      <c r="T358" s="517"/>
    </row>
    <row r="359" spans="1:20" ht="21" customHeight="1">
      <c r="A359" s="516"/>
      <c r="B359" s="206"/>
      <c r="C359" s="453"/>
      <c r="D359" s="453"/>
      <c r="E359" s="206"/>
      <c r="F359" s="206"/>
      <c r="G359" s="206"/>
      <c r="H359" s="206"/>
      <c r="I359" s="206"/>
      <c r="J359" s="206"/>
      <c r="K359" s="206"/>
      <c r="L359" s="206"/>
      <c r="M359" s="3"/>
      <c r="N359" s="206"/>
      <c r="O359" s="421"/>
      <c r="P359" s="421"/>
      <c r="Q359" s="206"/>
      <c r="R359" s="421"/>
      <c r="S359" s="421"/>
      <c r="T359" s="517"/>
    </row>
    <row r="360" spans="1:20" ht="21" customHeight="1">
      <c r="A360" s="516"/>
      <c r="B360" s="206"/>
      <c r="C360" s="453"/>
      <c r="D360" s="453"/>
      <c r="E360" s="206"/>
      <c r="F360" s="206"/>
      <c r="G360" s="206"/>
      <c r="H360" s="206"/>
      <c r="I360" s="206"/>
      <c r="J360" s="206"/>
      <c r="K360" s="206"/>
      <c r="L360" s="206"/>
      <c r="M360" s="3"/>
      <c r="N360" s="206"/>
      <c r="O360" s="421"/>
      <c r="P360" s="421"/>
      <c r="Q360" s="206"/>
      <c r="R360" s="421"/>
      <c r="S360" s="421"/>
      <c r="T360" s="517"/>
    </row>
    <row r="361" spans="1:20" ht="21" customHeight="1">
      <c r="A361" s="516"/>
      <c r="B361" s="206"/>
      <c r="C361" s="453"/>
      <c r="D361" s="453"/>
      <c r="E361" s="206"/>
      <c r="F361" s="206"/>
      <c r="G361" s="206"/>
      <c r="H361" s="206"/>
      <c r="I361" s="206"/>
      <c r="J361" s="206"/>
      <c r="K361" s="206"/>
      <c r="L361" s="206"/>
      <c r="M361" s="3"/>
      <c r="N361" s="206"/>
      <c r="O361" s="421"/>
      <c r="P361" s="421"/>
      <c r="Q361" s="206"/>
      <c r="R361" s="206"/>
      <c r="S361" s="421"/>
      <c r="T361" s="517"/>
    </row>
    <row r="362" spans="1:20" ht="21" customHeight="1">
      <c r="A362" s="516"/>
      <c r="B362" s="206"/>
      <c r="C362" s="453"/>
      <c r="D362" s="453"/>
      <c r="E362" s="206"/>
      <c r="F362" s="206"/>
      <c r="G362" s="206"/>
      <c r="H362" s="206"/>
      <c r="I362" s="206"/>
      <c r="J362" s="206"/>
      <c r="K362" s="206"/>
      <c r="L362" s="206"/>
      <c r="M362" s="3"/>
      <c r="N362" s="206"/>
      <c r="O362" s="421"/>
      <c r="P362" s="421"/>
      <c r="Q362" s="206"/>
      <c r="R362" s="206"/>
      <c r="S362" s="421"/>
      <c r="T362" s="517"/>
    </row>
    <row r="363" spans="1:20" ht="21" customHeight="1">
      <c r="A363" s="516"/>
      <c r="B363" s="206"/>
      <c r="C363" s="453"/>
      <c r="D363" s="453"/>
      <c r="E363" s="206"/>
      <c r="F363" s="206"/>
      <c r="G363" s="206"/>
      <c r="H363" s="206"/>
      <c r="I363" s="206"/>
      <c r="J363" s="206"/>
      <c r="K363" s="206"/>
      <c r="L363" s="206"/>
      <c r="M363" s="3"/>
      <c r="N363" s="206"/>
      <c r="O363" s="421"/>
      <c r="P363" s="421"/>
      <c r="Q363" s="206"/>
      <c r="R363" s="421"/>
      <c r="S363" s="421"/>
      <c r="T363" s="517"/>
    </row>
    <row r="364" spans="1:20" ht="21" customHeight="1">
      <c r="A364" s="516"/>
      <c r="B364" s="206"/>
      <c r="C364" s="453"/>
      <c r="D364" s="453"/>
      <c r="E364" s="206"/>
      <c r="F364" s="206"/>
      <c r="G364" s="206"/>
      <c r="H364" s="206"/>
      <c r="I364" s="206"/>
      <c r="J364" s="206"/>
      <c r="K364" s="206"/>
      <c r="L364" s="206"/>
      <c r="M364" s="3"/>
      <c r="N364" s="206"/>
      <c r="O364" s="421"/>
      <c r="P364" s="421"/>
      <c r="Q364" s="206"/>
      <c r="R364" s="421"/>
      <c r="S364" s="421"/>
      <c r="T364" s="517"/>
    </row>
    <row r="365" spans="1:20" ht="21" customHeight="1">
      <c r="A365" s="516"/>
      <c r="B365" s="206"/>
      <c r="C365" s="453"/>
      <c r="D365" s="453"/>
      <c r="E365" s="206"/>
      <c r="F365" s="206"/>
      <c r="G365" s="206"/>
      <c r="H365" s="206"/>
      <c r="I365" s="206"/>
      <c r="J365" s="206"/>
      <c r="K365" s="206"/>
      <c r="L365" s="206"/>
      <c r="M365" s="3"/>
      <c r="N365" s="206"/>
      <c r="O365" s="421"/>
      <c r="P365" s="421"/>
      <c r="Q365" s="206"/>
      <c r="R365" s="421"/>
      <c r="S365" s="421"/>
      <c r="T365" s="517"/>
    </row>
    <row r="366" spans="1:20" ht="21" customHeight="1">
      <c r="A366" s="516"/>
      <c r="B366" s="206"/>
      <c r="C366" s="453"/>
      <c r="D366" s="453"/>
      <c r="E366" s="206"/>
      <c r="F366" s="206"/>
      <c r="G366" s="206"/>
      <c r="H366" s="206"/>
      <c r="I366" s="206"/>
      <c r="J366" s="206"/>
      <c r="K366" s="206"/>
      <c r="L366" s="206"/>
      <c r="M366" s="3"/>
      <c r="N366" s="206"/>
      <c r="O366" s="421"/>
      <c r="P366" s="421"/>
      <c r="Q366" s="206"/>
      <c r="R366" s="206"/>
      <c r="S366" s="421"/>
      <c r="T366" s="517"/>
    </row>
    <row r="367" spans="1:20" ht="21" customHeight="1">
      <c r="A367" s="516"/>
      <c r="B367" s="206"/>
      <c r="C367" s="453"/>
      <c r="D367" s="453"/>
      <c r="E367" s="206"/>
      <c r="F367" s="206"/>
      <c r="G367" s="206"/>
      <c r="H367" s="206"/>
      <c r="I367" s="206"/>
      <c r="J367" s="206"/>
      <c r="K367" s="206"/>
      <c r="L367" s="206"/>
      <c r="M367" s="3"/>
      <c r="N367" s="206"/>
      <c r="O367" s="421"/>
      <c r="P367" s="421"/>
      <c r="Q367" s="206"/>
      <c r="R367" s="421"/>
      <c r="S367" s="421"/>
      <c r="T367" s="517"/>
    </row>
    <row r="368" spans="1:20" ht="21" customHeight="1">
      <c r="A368" s="516"/>
      <c r="B368" s="206"/>
      <c r="C368" s="453"/>
      <c r="D368" s="453"/>
      <c r="E368" s="206"/>
      <c r="F368" s="208"/>
      <c r="G368" s="206"/>
      <c r="H368" s="206"/>
      <c r="I368" s="206"/>
      <c r="J368" s="206"/>
      <c r="K368" s="206"/>
      <c r="L368" s="206"/>
      <c r="M368" s="3"/>
      <c r="N368" s="206"/>
      <c r="O368" s="421"/>
      <c r="P368" s="421"/>
      <c r="Q368" s="460"/>
      <c r="R368" s="421"/>
      <c r="S368" s="421"/>
      <c r="T368" s="517"/>
    </row>
    <row r="369" spans="1:20" ht="21" customHeight="1">
      <c r="A369" s="516"/>
      <c r="B369" s="206"/>
      <c r="C369" s="453"/>
      <c r="D369" s="453"/>
      <c r="E369" s="206"/>
      <c r="F369" s="208"/>
      <c r="G369" s="206"/>
      <c r="H369" s="206"/>
      <c r="I369" s="206"/>
      <c r="J369" s="206"/>
      <c r="K369" s="206"/>
      <c r="L369" s="206"/>
      <c r="M369" s="3"/>
      <c r="N369" s="206"/>
      <c r="O369" s="421"/>
      <c r="P369" s="421"/>
      <c r="Q369" s="206"/>
      <c r="R369" s="421"/>
      <c r="S369" s="421"/>
      <c r="T369" s="517"/>
    </row>
    <row r="370" spans="1:20" ht="21" customHeight="1">
      <c r="A370" s="516"/>
      <c r="B370" s="206"/>
      <c r="C370" s="453"/>
      <c r="D370" s="453"/>
      <c r="E370" s="206"/>
      <c r="F370" s="206"/>
      <c r="G370" s="206"/>
      <c r="H370" s="206"/>
      <c r="I370" s="206"/>
      <c r="J370" s="206"/>
      <c r="K370" s="206"/>
      <c r="L370" s="206"/>
      <c r="M370" s="3"/>
      <c r="N370" s="206"/>
      <c r="O370" s="421"/>
      <c r="P370" s="421"/>
      <c r="Q370" s="206"/>
      <c r="R370" s="421"/>
      <c r="S370" s="421"/>
      <c r="T370" s="517"/>
    </row>
    <row r="371" spans="1:20" ht="21" customHeight="1">
      <c r="A371" s="516"/>
      <c r="B371" s="206"/>
      <c r="C371" s="453"/>
      <c r="D371" s="453"/>
      <c r="E371" s="206"/>
      <c r="F371" s="206"/>
      <c r="G371" s="206"/>
      <c r="H371" s="206"/>
      <c r="I371" s="206"/>
      <c r="J371" s="206"/>
      <c r="K371" s="206"/>
      <c r="L371" s="206"/>
      <c r="M371" s="3"/>
      <c r="N371" s="206"/>
      <c r="O371" s="421"/>
      <c r="P371" s="421"/>
      <c r="Q371" s="206"/>
      <c r="R371" s="421"/>
      <c r="S371" s="421"/>
      <c r="T371" s="517"/>
    </row>
    <row r="372" spans="1:20" ht="21" customHeight="1">
      <c r="A372" s="516"/>
      <c r="B372" s="206"/>
      <c r="C372" s="453"/>
      <c r="D372" s="453"/>
      <c r="E372" s="206"/>
      <c r="F372" s="206"/>
      <c r="G372" s="206"/>
      <c r="H372" s="206"/>
      <c r="I372" s="206"/>
      <c r="J372" s="206"/>
      <c r="K372" s="206"/>
      <c r="L372" s="206"/>
      <c r="M372" s="3"/>
      <c r="N372" s="206"/>
      <c r="O372" s="421"/>
      <c r="P372" s="421"/>
      <c r="Q372" s="206"/>
      <c r="R372" s="206"/>
      <c r="S372" s="421"/>
      <c r="T372" s="517"/>
    </row>
    <row r="373" spans="1:20" ht="21" customHeight="1">
      <c r="A373" s="516"/>
      <c r="B373" s="206"/>
      <c r="C373" s="453"/>
      <c r="D373" s="453"/>
      <c r="E373" s="206"/>
      <c r="F373" s="206"/>
      <c r="G373" s="206"/>
      <c r="H373" s="206"/>
      <c r="I373" s="206"/>
      <c r="J373" s="206"/>
      <c r="K373" s="206"/>
      <c r="L373" s="206"/>
      <c r="M373" s="3"/>
      <c r="N373" s="206"/>
      <c r="O373" s="421"/>
      <c r="P373" s="421"/>
      <c r="Q373" s="206"/>
      <c r="R373" s="421"/>
      <c r="S373" s="421"/>
      <c r="T373" s="517"/>
    </row>
    <row r="374" spans="1:20" ht="21" customHeight="1">
      <c r="A374" s="516"/>
      <c r="B374" s="206"/>
      <c r="C374" s="453"/>
      <c r="D374" s="453"/>
      <c r="E374" s="206"/>
      <c r="F374" s="206"/>
      <c r="G374" s="206"/>
      <c r="H374" s="206"/>
      <c r="I374" s="206"/>
      <c r="J374" s="206"/>
      <c r="K374" s="206"/>
      <c r="L374" s="206"/>
      <c r="M374" s="3"/>
      <c r="N374" s="206"/>
      <c r="O374" s="421"/>
      <c r="P374" s="421"/>
      <c r="Q374" s="460"/>
      <c r="R374" s="421"/>
      <c r="S374" s="421"/>
      <c r="T374" s="517"/>
    </row>
    <row r="375" spans="1:20" ht="21" customHeight="1">
      <c r="A375" s="516"/>
      <c r="B375" s="206"/>
      <c r="C375" s="453"/>
      <c r="D375" s="453"/>
      <c r="E375" s="206"/>
      <c r="F375" s="206"/>
      <c r="G375" s="206"/>
      <c r="H375" s="206"/>
      <c r="I375" s="206"/>
      <c r="J375" s="206"/>
      <c r="K375" s="206"/>
      <c r="L375" s="206"/>
      <c r="M375" s="3"/>
      <c r="N375" s="206"/>
      <c r="O375" s="421"/>
      <c r="P375" s="421"/>
      <c r="Q375" s="206"/>
      <c r="R375" s="421"/>
      <c r="S375" s="421"/>
      <c r="T375" s="517"/>
    </row>
    <row r="376" spans="1:20" ht="21" customHeight="1">
      <c r="A376" s="516"/>
      <c r="B376" s="206"/>
      <c r="C376" s="453"/>
      <c r="D376" s="453"/>
      <c r="E376" s="206"/>
      <c r="F376" s="206"/>
      <c r="G376" s="206"/>
      <c r="H376" s="206"/>
      <c r="I376" s="206"/>
      <c r="J376" s="206"/>
      <c r="K376" s="206"/>
      <c r="L376" s="206"/>
      <c r="M376" s="3"/>
      <c r="N376" s="206"/>
      <c r="O376" s="421"/>
      <c r="P376" s="421"/>
      <c r="Q376" s="206"/>
      <c r="R376" s="206"/>
      <c r="S376" s="421"/>
      <c r="T376" s="517"/>
    </row>
    <row r="377" spans="1:20" ht="21" customHeight="1">
      <c r="A377" s="516"/>
      <c r="B377" s="206"/>
      <c r="C377" s="453"/>
      <c r="D377" s="453"/>
      <c r="E377" s="206"/>
      <c r="F377" s="206"/>
      <c r="G377" s="206"/>
      <c r="H377" s="206"/>
      <c r="I377" s="206"/>
      <c r="J377" s="206"/>
      <c r="K377" s="206"/>
      <c r="L377" s="206"/>
      <c r="M377" s="3"/>
      <c r="N377" s="206"/>
      <c r="O377" s="421"/>
      <c r="P377" s="421"/>
      <c r="Q377" s="206"/>
      <c r="R377" s="519"/>
      <c r="S377" s="421"/>
      <c r="T377" s="527"/>
    </row>
    <row r="378" spans="1:20" ht="21" customHeight="1">
      <c r="A378" s="516"/>
      <c r="B378" s="206"/>
      <c r="C378" s="453"/>
      <c r="D378" s="453"/>
      <c r="E378" s="206"/>
      <c r="F378" s="206"/>
      <c r="G378" s="206"/>
      <c r="H378" s="206"/>
      <c r="I378" s="206"/>
      <c r="J378" s="206"/>
      <c r="K378" s="206"/>
      <c r="L378" s="206"/>
      <c r="M378" s="3"/>
      <c r="N378" s="206"/>
      <c r="O378" s="421"/>
      <c r="P378" s="421"/>
      <c r="Q378" s="206"/>
      <c r="R378" s="206"/>
      <c r="S378" s="421"/>
      <c r="T378" s="517"/>
    </row>
    <row r="379" spans="1:20" ht="21" customHeight="1">
      <c r="A379" s="516"/>
      <c r="B379" s="206"/>
      <c r="C379" s="453"/>
      <c r="D379" s="453"/>
      <c r="E379" s="206"/>
      <c r="F379" s="206"/>
      <c r="G379" s="206"/>
      <c r="H379" s="206"/>
      <c r="I379" s="206"/>
      <c r="J379" s="206"/>
      <c r="K379" s="206"/>
      <c r="L379" s="206"/>
      <c r="M379" s="3"/>
      <c r="N379" s="206"/>
      <c r="O379" s="421"/>
      <c r="P379" s="421"/>
      <c r="Q379" s="206"/>
      <c r="R379" s="421"/>
      <c r="S379" s="421"/>
      <c r="T379" s="517"/>
    </row>
    <row r="380" spans="1:20" ht="21" customHeight="1">
      <c r="A380" s="516"/>
      <c r="B380" s="206"/>
      <c r="C380" s="453"/>
      <c r="D380" s="453"/>
      <c r="E380" s="206"/>
      <c r="F380" s="206"/>
      <c r="G380" s="206"/>
      <c r="H380" s="206"/>
      <c r="I380" s="206"/>
      <c r="J380" s="206"/>
      <c r="K380" s="206"/>
      <c r="L380" s="206"/>
      <c r="M380" s="3"/>
      <c r="N380" s="206"/>
      <c r="O380" s="421"/>
      <c r="P380" s="421"/>
      <c r="Q380" s="206"/>
      <c r="R380" s="206"/>
      <c r="S380" s="421"/>
      <c r="T380" s="517"/>
    </row>
    <row r="381" spans="1:20" ht="21" customHeight="1">
      <c r="A381" s="516"/>
      <c r="B381" s="206"/>
      <c r="C381" s="453"/>
      <c r="D381" s="453"/>
      <c r="E381" s="206"/>
      <c r="F381" s="206"/>
      <c r="G381" s="206"/>
      <c r="H381" s="206"/>
      <c r="I381" s="206"/>
      <c r="J381" s="206"/>
      <c r="K381" s="206"/>
      <c r="L381" s="206"/>
      <c r="M381" s="3"/>
      <c r="N381" s="206"/>
      <c r="O381" s="421"/>
      <c r="P381" s="421"/>
      <c r="Q381" s="206"/>
      <c r="R381" s="206"/>
      <c r="S381" s="421"/>
      <c r="T381" s="517"/>
    </row>
    <row r="382" spans="1:20" ht="21" customHeight="1">
      <c r="A382" s="516"/>
      <c r="B382" s="206"/>
      <c r="C382" s="453"/>
      <c r="D382" s="453"/>
      <c r="E382" s="206"/>
      <c r="F382" s="206"/>
      <c r="G382" s="206"/>
      <c r="H382" s="206"/>
      <c r="I382" s="206"/>
      <c r="J382" s="206"/>
      <c r="K382" s="206"/>
      <c r="L382" s="206"/>
      <c r="M382" s="3"/>
      <c r="N382" s="206"/>
      <c r="O382" s="421"/>
      <c r="P382" s="421"/>
      <c r="Q382" s="206"/>
      <c r="R382" s="421"/>
      <c r="S382" s="421"/>
      <c r="T382" s="517"/>
    </row>
    <row r="383" spans="1:20" ht="21" customHeight="1">
      <c r="A383" s="516"/>
      <c r="B383" s="206"/>
      <c r="C383" s="453"/>
      <c r="D383" s="453"/>
      <c r="E383" s="206"/>
      <c r="F383" s="206"/>
      <c r="G383" s="206"/>
      <c r="H383" s="206"/>
      <c r="I383" s="206"/>
      <c r="J383" s="206"/>
      <c r="K383" s="206"/>
      <c r="L383" s="206"/>
      <c r="M383" s="3"/>
      <c r="N383" s="206"/>
      <c r="O383" s="421"/>
      <c r="P383" s="421"/>
      <c r="Q383" s="460"/>
      <c r="R383" s="421"/>
      <c r="S383" s="421"/>
      <c r="T383" s="517"/>
    </row>
    <row r="384" spans="1:20" ht="21" customHeight="1">
      <c r="A384" s="516"/>
      <c r="B384" s="206"/>
      <c r="C384" s="453"/>
      <c r="D384" s="453"/>
      <c r="E384" s="206"/>
      <c r="F384" s="206"/>
      <c r="G384" s="206"/>
      <c r="H384" s="206"/>
      <c r="I384" s="206"/>
      <c r="J384" s="206"/>
      <c r="K384" s="206"/>
      <c r="L384" s="206"/>
      <c r="M384" s="3"/>
      <c r="N384" s="206"/>
      <c r="O384" s="421"/>
      <c r="P384" s="421"/>
      <c r="Q384" s="206"/>
      <c r="R384" s="421"/>
      <c r="S384" s="421"/>
      <c r="T384" s="517"/>
    </row>
    <row r="385" spans="1:20" ht="21" customHeight="1">
      <c r="A385" s="516"/>
      <c r="B385" s="206"/>
      <c r="C385" s="453"/>
      <c r="D385" s="453"/>
      <c r="E385" s="206"/>
      <c r="F385" s="206"/>
      <c r="G385" s="206"/>
      <c r="H385" s="206"/>
      <c r="I385" s="206"/>
      <c r="J385" s="206"/>
      <c r="K385" s="206"/>
      <c r="L385" s="206"/>
      <c r="M385" s="3"/>
      <c r="N385" s="206"/>
      <c r="O385" s="421"/>
      <c r="P385" s="421"/>
      <c r="Q385" s="206"/>
      <c r="R385" s="421"/>
      <c r="S385" s="421"/>
      <c r="T385" s="517"/>
    </row>
    <row r="386" spans="1:20" ht="21" customHeight="1">
      <c r="A386" s="516"/>
      <c r="B386" s="206"/>
      <c r="C386" s="453"/>
      <c r="D386" s="453"/>
      <c r="E386" s="206"/>
      <c r="F386" s="206"/>
      <c r="G386" s="206"/>
      <c r="H386" s="206"/>
      <c r="I386" s="206"/>
      <c r="J386" s="206"/>
      <c r="K386" s="206"/>
      <c r="L386" s="206"/>
      <c r="M386" s="3"/>
      <c r="N386" s="206"/>
      <c r="O386" s="421"/>
      <c r="P386" s="421"/>
      <c r="Q386" s="206"/>
      <c r="R386" s="206"/>
      <c r="S386" s="421"/>
      <c r="T386" s="517"/>
    </row>
    <row r="387" spans="1:20" ht="21" customHeight="1">
      <c r="A387" s="516"/>
      <c r="B387" s="206"/>
      <c r="C387" s="453"/>
      <c r="D387" s="453"/>
      <c r="E387" s="206"/>
      <c r="F387" s="206"/>
      <c r="G387" s="206"/>
      <c r="H387" s="206"/>
      <c r="I387" s="206"/>
      <c r="J387" s="206"/>
      <c r="K387" s="206"/>
      <c r="L387" s="206"/>
      <c r="M387" s="3"/>
      <c r="N387" s="206"/>
      <c r="O387" s="421"/>
      <c r="P387" s="421"/>
      <c r="Q387" s="206"/>
      <c r="R387" s="421"/>
      <c r="S387" s="421"/>
      <c r="T387" s="517"/>
    </row>
    <row r="388" spans="1:20" ht="21" customHeight="1">
      <c r="A388" s="516"/>
      <c r="B388" s="206"/>
      <c r="C388" s="453"/>
      <c r="D388" s="453"/>
      <c r="E388" s="206"/>
      <c r="F388" s="206"/>
      <c r="G388" s="206"/>
      <c r="H388" s="206"/>
      <c r="I388" s="206"/>
      <c r="J388" s="206"/>
      <c r="K388" s="206"/>
      <c r="L388" s="206"/>
      <c r="M388" s="3"/>
      <c r="N388" s="206"/>
      <c r="O388" s="421"/>
      <c r="P388" s="421"/>
      <c r="Q388" s="206"/>
      <c r="R388" s="421"/>
      <c r="S388" s="421"/>
      <c r="T388" s="517"/>
    </row>
    <row r="389" spans="1:20" ht="21" customHeight="1">
      <c r="A389" s="516"/>
      <c r="B389" s="206"/>
      <c r="C389" s="453"/>
      <c r="D389" s="453"/>
      <c r="E389" s="206"/>
      <c r="F389" s="206"/>
      <c r="G389" s="206"/>
      <c r="H389" s="206"/>
      <c r="I389" s="206"/>
      <c r="J389" s="206"/>
      <c r="K389" s="206"/>
      <c r="L389" s="206"/>
      <c r="M389" s="3"/>
      <c r="N389" s="206"/>
      <c r="O389" s="422"/>
      <c r="P389" s="421"/>
      <c r="Q389" s="206"/>
      <c r="R389" s="206"/>
      <c r="S389" s="421"/>
      <c r="T389" s="517"/>
    </row>
    <row r="390" spans="1:20" ht="21" customHeight="1">
      <c r="A390" s="516"/>
      <c r="B390" s="206"/>
      <c r="C390" s="453"/>
      <c r="D390" s="453"/>
      <c r="E390" s="206"/>
      <c r="F390" s="206"/>
      <c r="G390" s="206"/>
      <c r="H390" s="206"/>
      <c r="I390" s="206"/>
      <c r="J390" s="206"/>
      <c r="K390" s="206"/>
      <c r="L390" s="206"/>
      <c r="M390" s="3"/>
      <c r="N390" s="206"/>
      <c r="O390" s="421"/>
      <c r="P390" s="421"/>
      <c r="Q390" s="206"/>
      <c r="R390" s="421"/>
      <c r="S390" s="421"/>
      <c r="T390" s="517"/>
    </row>
    <row r="391" spans="1:20" ht="21" customHeight="1">
      <c r="A391" s="516"/>
      <c r="B391" s="206"/>
      <c r="C391" s="453"/>
      <c r="D391" s="453"/>
      <c r="E391" s="206"/>
      <c r="F391" s="206"/>
      <c r="G391" s="206"/>
      <c r="H391" s="206"/>
      <c r="I391" s="206"/>
      <c r="J391" s="206"/>
      <c r="K391" s="206"/>
      <c r="L391" s="206"/>
      <c r="M391" s="3"/>
      <c r="N391" s="206"/>
      <c r="O391" s="421"/>
      <c r="P391" s="421"/>
      <c r="Q391" s="206"/>
      <c r="R391" s="421"/>
      <c r="S391" s="421"/>
      <c r="T391" s="517"/>
    </row>
    <row r="392" spans="1:20" ht="21" customHeight="1">
      <c r="A392" s="516"/>
      <c r="B392" s="206"/>
      <c r="C392" s="453"/>
      <c r="D392" s="453"/>
      <c r="E392" s="206"/>
      <c r="F392" s="206"/>
      <c r="G392" s="206"/>
      <c r="H392" s="206"/>
      <c r="I392" s="206"/>
      <c r="J392" s="206"/>
      <c r="K392" s="206"/>
      <c r="L392" s="206"/>
      <c r="M392" s="3"/>
      <c r="N392" s="206"/>
      <c r="O392" s="421"/>
      <c r="P392" s="421"/>
      <c r="Q392" s="206"/>
      <c r="R392" s="206"/>
      <c r="S392" s="421"/>
      <c r="T392" s="517"/>
    </row>
    <row r="393" spans="1:20" ht="21" customHeight="1">
      <c r="A393" s="516"/>
      <c r="B393" s="206"/>
      <c r="C393" s="453"/>
      <c r="D393" s="453"/>
      <c r="E393" s="206"/>
      <c r="F393" s="206"/>
      <c r="G393" s="206"/>
      <c r="H393" s="206"/>
      <c r="I393" s="206"/>
      <c r="J393" s="206"/>
      <c r="K393" s="206"/>
      <c r="L393" s="206"/>
      <c r="M393" s="3"/>
      <c r="N393" s="206"/>
      <c r="O393" s="421"/>
      <c r="P393" s="421"/>
      <c r="Q393" s="206"/>
      <c r="R393" s="206"/>
      <c r="S393" s="421"/>
      <c r="T393" s="527"/>
    </row>
    <row r="394" spans="1:20" ht="21" customHeight="1">
      <c r="A394" s="516"/>
      <c r="B394" s="206"/>
      <c r="C394" s="453"/>
      <c r="D394" s="453"/>
      <c r="E394" s="206"/>
      <c r="F394" s="206"/>
      <c r="G394" s="206"/>
      <c r="H394" s="206"/>
      <c r="I394" s="206"/>
      <c r="J394" s="206"/>
      <c r="K394" s="206"/>
      <c r="L394" s="206"/>
      <c r="M394" s="3"/>
      <c r="N394" s="206"/>
      <c r="O394" s="421"/>
      <c r="P394" s="421"/>
      <c r="Q394" s="206"/>
      <c r="R394" s="421"/>
      <c r="S394" s="421"/>
      <c r="T394" s="517"/>
    </row>
    <row r="395" spans="1:20" ht="21" customHeight="1">
      <c r="A395" s="516"/>
      <c r="B395" s="206"/>
      <c r="C395" s="453"/>
      <c r="D395" s="453"/>
      <c r="E395" s="206"/>
      <c r="F395" s="208"/>
      <c r="G395" s="206"/>
      <c r="H395" s="206"/>
      <c r="I395" s="206"/>
      <c r="J395" s="206"/>
      <c r="K395" s="206"/>
      <c r="L395" s="206"/>
      <c r="M395" s="3"/>
      <c r="N395" s="206"/>
      <c r="O395" s="421"/>
      <c r="P395" s="421"/>
      <c r="Q395" s="206"/>
      <c r="R395" s="421"/>
      <c r="S395" s="421"/>
      <c r="T395" s="517"/>
    </row>
    <row r="396" spans="1:20" ht="21" customHeight="1">
      <c r="A396" s="516"/>
      <c r="B396" s="206"/>
      <c r="C396" s="453"/>
      <c r="D396" s="453"/>
      <c r="E396" s="206"/>
      <c r="F396" s="208"/>
      <c r="G396" s="206"/>
      <c r="H396" s="206"/>
      <c r="I396" s="206"/>
      <c r="J396" s="206"/>
      <c r="K396" s="206"/>
      <c r="L396" s="206"/>
      <c r="M396" s="3"/>
      <c r="N396" s="206"/>
      <c r="O396" s="421"/>
      <c r="P396" s="421"/>
      <c r="Q396" s="206"/>
      <c r="R396" s="206"/>
      <c r="S396" s="421"/>
      <c r="T396" s="517"/>
    </row>
    <row r="397" spans="1:20" ht="21" customHeight="1">
      <c r="A397" s="516"/>
      <c r="B397" s="206"/>
      <c r="C397" s="453"/>
      <c r="D397" s="453"/>
      <c r="E397" s="206"/>
      <c r="F397" s="206"/>
      <c r="G397" s="206"/>
      <c r="H397" s="206"/>
      <c r="I397" s="206"/>
      <c r="J397" s="206"/>
      <c r="K397" s="206"/>
      <c r="L397" s="206"/>
      <c r="M397" s="3"/>
      <c r="N397" s="206"/>
      <c r="O397" s="421"/>
      <c r="P397" s="421"/>
      <c r="Q397" s="206"/>
      <c r="R397" s="206"/>
      <c r="S397" s="421"/>
      <c r="T397" s="517"/>
    </row>
    <row r="398" spans="1:20" ht="21" customHeight="1">
      <c r="A398" s="516"/>
      <c r="B398" s="206"/>
      <c r="C398" s="453"/>
      <c r="D398" s="453"/>
      <c r="E398" s="206"/>
      <c r="F398" s="206"/>
      <c r="G398" s="206"/>
      <c r="H398" s="206"/>
      <c r="I398" s="206"/>
      <c r="J398" s="206"/>
      <c r="K398" s="206"/>
      <c r="L398" s="206"/>
      <c r="M398" s="3"/>
      <c r="N398" s="206"/>
      <c r="O398" s="421"/>
      <c r="P398" s="421"/>
      <c r="Q398" s="206"/>
      <c r="R398" s="206"/>
      <c r="S398" s="421"/>
      <c r="T398" s="517"/>
    </row>
    <row r="399" spans="1:20" ht="21" customHeight="1">
      <c r="A399" s="516"/>
      <c r="B399" s="206"/>
      <c r="C399" s="453"/>
      <c r="D399" s="453"/>
      <c r="E399" s="206"/>
      <c r="F399" s="208"/>
      <c r="G399" s="206"/>
      <c r="H399" s="206"/>
      <c r="I399" s="206"/>
      <c r="J399" s="206"/>
      <c r="K399" s="206"/>
      <c r="L399" s="206"/>
      <c r="M399" s="3"/>
      <c r="N399" s="206"/>
      <c r="O399" s="421"/>
      <c r="P399" s="421"/>
      <c r="Q399" s="206"/>
      <c r="R399" s="206"/>
      <c r="S399" s="421"/>
      <c r="T399" s="517"/>
    </row>
    <row r="400" spans="1:20" ht="21" customHeight="1">
      <c r="A400" s="516"/>
      <c r="B400" s="206"/>
      <c r="C400" s="453"/>
      <c r="D400" s="453"/>
      <c r="E400" s="206"/>
      <c r="F400" s="206"/>
      <c r="G400" s="206"/>
      <c r="H400" s="206"/>
      <c r="I400" s="206"/>
      <c r="J400" s="206"/>
      <c r="K400" s="206"/>
      <c r="L400" s="206"/>
      <c r="M400" s="3"/>
      <c r="N400" s="206"/>
      <c r="O400" s="421"/>
      <c r="P400" s="421"/>
      <c r="Q400" s="206"/>
      <c r="R400" s="421"/>
      <c r="S400" s="421"/>
      <c r="T400" s="517"/>
    </row>
    <row r="401" spans="1:20" ht="21" customHeight="1">
      <c r="A401" s="516"/>
      <c r="B401" s="206"/>
      <c r="C401" s="453"/>
      <c r="D401" s="453"/>
      <c r="E401" s="206"/>
      <c r="F401" s="206"/>
      <c r="G401" s="206"/>
      <c r="H401" s="206"/>
      <c r="I401" s="206"/>
      <c r="J401" s="206"/>
      <c r="K401" s="206"/>
      <c r="L401" s="206"/>
      <c r="M401" s="3"/>
      <c r="N401" s="206"/>
      <c r="O401" s="421"/>
      <c r="P401" s="421"/>
      <c r="Q401" s="206"/>
      <c r="R401" s="421"/>
      <c r="S401" s="421"/>
      <c r="T401" s="517"/>
    </row>
    <row r="402" spans="1:20" ht="21" customHeight="1">
      <c r="A402" s="516"/>
      <c r="B402" s="206"/>
      <c r="C402" s="453"/>
      <c r="D402" s="453"/>
      <c r="E402" s="206"/>
      <c r="F402" s="206"/>
      <c r="G402" s="206"/>
      <c r="H402" s="206"/>
      <c r="I402" s="206"/>
      <c r="J402" s="206"/>
      <c r="K402" s="206"/>
      <c r="L402" s="206"/>
      <c r="M402" s="3"/>
      <c r="N402" s="206"/>
      <c r="O402" s="421"/>
      <c r="P402" s="421"/>
      <c r="Q402" s="460"/>
      <c r="R402" s="421"/>
      <c r="S402" s="421"/>
      <c r="T402" s="517"/>
    </row>
    <row r="403" spans="1:20" ht="21" customHeight="1">
      <c r="A403" s="516"/>
      <c r="B403" s="206"/>
      <c r="C403" s="453"/>
      <c r="D403" s="453"/>
      <c r="E403" s="206"/>
      <c r="F403" s="206"/>
      <c r="G403" s="206"/>
      <c r="H403" s="206"/>
      <c r="I403" s="206"/>
      <c r="J403" s="206"/>
      <c r="K403" s="206"/>
      <c r="L403" s="206"/>
      <c r="M403" s="3"/>
      <c r="N403" s="206"/>
      <c r="O403" s="421"/>
      <c r="P403" s="421"/>
      <c r="Q403" s="206"/>
      <c r="R403" s="421"/>
      <c r="S403" s="421"/>
      <c r="T403" s="517"/>
    </row>
    <row r="404" spans="1:20" ht="21" customHeight="1">
      <c r="A404" s="516"/>
      <c r="B404" s="206"/>
      <c r="C404" s="453"/>
      <c r="D404" s="453"/>
      <c r="E404" s="206"/>
      <c r="F404" s="206"/>
      <c r="G404" s="206"/>
      <c r="H404" s="206"/>
      <c r="I404" s="206"/>
      <c r="J404" s="206"/>
      <c r="K404" s="206"/>
      <c r="L404" s="206"/>
      <c r="M404" s="3"/>
      <c r="N404" s="206"/>
      <c r="O404" s="421"/>
      <c r="P404" s="421"/>
      <c r="Q404" s="206"/>
      <c r="R404" s="421"/>
      <c r="S404" s="421"/>
      <c r="T404" s="517"/>
    </row>
    <row r="405" spans="1:20" ht="21" customHeight="1">
      <c r="A405" s="516"/>
      <c r="B405" s="206"/>
      <c r="C405" s="453"/>
      <c r="D405" s="453"/>
      <c r="E405" s="206"/>
      <c r="F405" s="206"/>
      <c r="G405" s="206"/>
      <c r="H405" s="206"/>
      <c r="I405" s="206"/>
      <c r="J405" s="206"/>
      <c r="K405" s="206"/>
      <c r="L405" s="206"/>
      <c r="M405" s="3"/>
      <c r="N405" s="206"/>
      <c r="O405" s="421"/>
      <c r="P405" s="421"/>
      <c r="Q405" s="206"/>
      <c r="R405" s="206"/>
      <c r="S405" s="421"/>
      <c r="T405" s="517"/>
    </row>
    <row r="406" spans="1:20" ht="21" customHeight="1">
      <c r="A406" s="516"/>
      <c r="B406" s="206"/>
      <c r="C406" s="453"/>
      <c r="D406" s="453"/>
      <c r="E406" s="206"/>
      <c r="F406" s="206"/>
      <c r="G406" s="206"/>
      <c r="H406" s="206"/>
      <c r="I406" s="206"/>
      <c r="J406" s="206"/>
      <c r="K406" s="206"/>
      <c r="L406" s="206"/>
      <c r="M406" s="3"/>
      <c r="N406" s="206"/>
      <c r="O406" s="421"/>
      <c r="P406" s="421"/>
      <c r="Q406" s="206"/>
      <c r="R406" s="421"/>
      <c r="S406" s="421"/>
      <c r="T406" s="517"/>
    </row>
    <row r="407" spans="1:20" ht="21" customHeight="1">
      <c r="A407" s="516"/>
      <c r="B407" s="206"/>
      <c r="C407" s="453"/>
      <c r="D407" s="453"/>
      <c r="E407" s="206"/>
      <c r="F407" s="206"/>
      <c r="G407" s="206"/>
      <c r="H407" s="206"/>
      <c r="I407" s="206"/>
      <c r="J407" s="206"/>
      <c r="K407" s="206"/>
      <c r="L407" s="206"/>
      <c r="M407" s="3"/>
      <c r="N407" s="206"/>
      <c r="O407" s="421"/>
      <c r="P407" s="421"/>
      <c r="Q407" s="206"/>
      <c r="R407" s="421"/>
      <c r="S407" s="421"/>
      <c r="T407" s="517"/>
    </row>
    <row r="408" spans="1:20" ht="21" customHeight="1">
      <c r="A408" s="516"/>
      <c r="B408" s="528"/>
      <c r="C408" s="453"/>
      <c r="D408" s="453"/>
      <c r="E408" s="530"/>
      <c r="F408" s="206"/>
      <c r="G408" s="206"/>
      <c r="H408" s="206"/>
      <c r="I408" s="206"/>
      <c r="J408" s="206"/>
      <c r="K408" s="206"/>
      <c r="L408" s="206"/>
      <c r="M408" s="3"/>
      <c r="N408" s="206"/>
      <c r="O408" s="421"/>
      <c r="P408" s="421"/>
      <c r="Q408" s="206"/>
      <c r="R408" s="525"/>
      <c r="S408" s="421"/>
      <c r="T408" s="527"/>
    </row>
    <row r="409" spans="1:20" ht="21" customHeight="1">
      <c r="A409" s="516"/>
      <c r="B409" s="206"/>
      <c r="C409" s="453"/>
      <c r="D409" s="453"/>
      <c r="E409" s="206"/>
      <c r="F409" s="206"/>
      <c r="G409" s="206"/>
      <c r="H409" s="206"/>
      <c r="I409" s="206"/>
      <c r="J409" s="206"/>
      <c r="K409" s="206"/>
      <c r="L409" s="206"/>
      <c r="M409" s="3"/>
      <c r="N409" s="206"/>
      <c r="O409" s="421"/>
      <c r="P409" s="421"/>
      <c r="Q409" s="206"/>
      <c r="R409" s="206"/>
      <c r="S409" s="421"/>
      <c r="T409" s="517"/>
    </row>
    <row r="410" spans="1:20" ht="21" customHeight="1">
      <c r="A410" s="516"/>
      <c r="B410" s="206"/>
      <c r="C410" s="453"/>
      <c r="D410" s="453"/>
      <c r="E410" s="206"/>
      <c r="F410" s="206"/>
      <c r="G410" s="206"/>
      <c r="H410" s="206"/>
      <c r="I410" s="206"/>
      <c r="J410" s="206"/>
      <c r="K410" s="206"/>
      <c r="L410" s="206"/>
      <c r="M410" s="3"/>
      <c r="N410" s="206"/>
      <c r="O410" s="421"/>
      <c r="P410" s="421"/>
      <c r="Q410" s="206"/>
      <c r="R410" s="206"/>
      <c r="S410" s="421"/>
      <c r="T410" s="527"/>
    </row>
    <row r="411" spans="1:20" ht="21" customHeight="1">
      <c r="A411" s="516"/>
      <c r="B411" s="206"/>
      <c r="C411" s="453"/>
      <c r="D411" s="453"/>
      <c r="E411" s="206"/>
      <c r="F411" s="206"/>
      <c r="G411" s="206"/>
      <c r="H411" s="206"/>
      <c r="I411" s="206"/>
      <c r="J411" s="206"/>
      <c r="K411" s="206"/>
      <c r="L411" s="206"/>
      <c r="M411" s="3"/>
      <c r="N411" s="206"/>
      <c r="O411" s="422"/>
      <c r="P411" s="421"/>
      <c r="Q411" s="206"/>
      <c r="R411" s="206"/>
      <c r="S411" s="421"/>
      <c r="T411" s="517"/>
    </row>
    <row r="412" spans="1:20" ht="21" customHeight="1">
      <c r="A412" s="516"/>
      <c r="B412" s="206"/>
      <c r="C412" s="453"/>
      <c r="D412" s="453"/>
      <c r="E412" s="206"/>
      <c r="F412" s="206"/>
      <c r="G412" s="206"/>
      <c r="H412" s="206"/>
      <c r="I412" s="206"/>
      <c r="J412" s="206"/>
      <c r="K412" s="206"/>
      <c r="L412" s="206"/>
      <c r="M412" s="3"/>
      <c r="N412" s="206"/>
      <c r="O412" s="421"/>
      <c r="P412" s="421"/>
      <c r="Q412" s="206"/>
      <c r="R412" s="421"/>
      <c r="S412" s="421"/>
      <c r="T412" s="517"/>
    </row>
    <row r="413" spans="1:20" ht="21" customHeight="1">
      <c r="A413" s="516"/>
      <c r="B413" s="206"/>
      <c r="C413" s="453"/>
      <c r="D413" s="453"/>
      <c r="E413" s="206"/>
      <c r="F413" s="206"/>
      <c r="G413" s="206"/>
      <c r="H413" s="206"/>
      <c r="I413" s="206"/>
      <c r="J413" s="206"/>
      <c r="K413" s="206"/>
      <c r="L413" s="206"/>
      <c r="M413" s="3"/>
      <c r="N413" s="206"/>
      <c r="O413" s="421"/>
      <c r="P413" s="421"/>
      <c r="Q413" s="206"/>
      <c r="R413" s="421"/>
      <c r="S413" s="421"/>
      <c r="T413" s="517"/>
    </row>
    <row r="414" spans="1:20" s="553" customFormat="1" ht="21" customHeight="1">
      <c r="A414" s="516"/>
      <c r="B414" s="206"/>
      <c r="C414" s="453"/>
      <c r="D414" s="453"/>
      <c r="E414" s="206"/>
      <c r="F414" s="206"/>
      <c r="G414" s="206"/>
      <c r="H414" s="206"/>
      <c r="I414" s="206"/>
      <c r="J414" s="206"/>
      <c r="K414" s="206"/>
      <c r="L414" s="206"/>
      <c r="M414" s="3"/>
      <c r="N414" s="206"/>
      <c r="O414" s="421"/>
      <c r="P414" s="421"/>
      <c r="Q414" s="206"/>
      <c r="R414" s="421"/>
      <c r="S414" s="421"/>
      <c r="T414" s="517"/>
    </row>
    <row r="415" spans="1:20" ht="21" customHeight="1">
      <c r="A415" s="516"/>
      <c r="B415" s="206"/>
      <c r="C415" s="453"/>
      <c r="D415" s="453"/>
      <c r="E415" s="206"/>
      <c r="F415" s="206"/>
      <c r="G415" s="206"/>
      <c r="H415" s="206"/>
      <c r="I415" s="206"/>
      <c r="J415" s="206"/>
      <c r="K415" s="206"/>
      <c r="L415" s="206"/>
      <c r="M415" s="3"/>
      <c r="N415" s="206"/>
      <c r="O415" s="421"/>
      <c r="P415" s="421"/>
      <c r="Q415" s="206"/>
      <c r="R415" s="421"/>
      <c r="S415" s="421"/>
      <c r="T415" s="517"/>
    </row>
    <row r="416" spans="1:20" ht="21" customHeight="1">
      <c r="A416" s="516"/>
      <c r="B416" s="206"/>
      <c r="C416" s="453"/>
      <c r="D416" s="453"/>
      <c r="E416" s="206"/>
      <c r="F416" s="206"/>
      <c r="G416" s="206"/>
      <c r="H416" s="206"/>
      <c r="I416" s="206"/>
      <c r="J416" s="206"/>
      <c r="K416" s="206"/>
      <c r="L416" s="206"/>
      <c r="M416" s="3"/>
      <c r="N416" s="206"/>
      <c r="O416" s="421"/>
      <c r="P416" s="421"/>
      <c r="Q416" s="206"/>
      <c r="R416" s="206"/>
      <c r="S416" s="421"/>
      <c r="T416" s="517"/>
    </row>
    <row r="417" spans="1:20" ht="21" customHeight="1">
      <c r="A417" s="516"/>
      <c r="B417" s="206"/>
      <c r="C417" s="453"/>
      <c r="D417" s="453"/>
      <c r="E417" s="206"/>
      <c r="F417" s="206"/>
      <c r="G417" s="206"/>
      <c r="H417" s="206"/>
      <c r="I417" s="206"/>
      <c r="J417" s="206"/>
      <c r="K417" s="206"/>
      <c r="L417" s="206"/>
      <c r="M417" s="3"/>
      <c r="N417" s="206"/>
      <c r="O417" s="421"/>
      <c r="P417" s="421"/>
      <c r="Q417" s="206"/>
      <c r="R417" s="421"/>
      <c r="S417" s="421"/>
      <c r="T417" s="517"/>
    </row>
    <row r="418" spans="1:20" ht="21" customHeight="1">
      <c r="A418" s="516"/>
      <c r="B418" s="206"/>
      <c r="C418" s="453"/>
      <c r="D418" s="453"/>
      <c r="E418" s="206"/>
      <c r="F418" s="206"/>
      <c r="G418" s="206"/>
      <c r="H418" s="206"/>
      <c r="I418" s="206"/>
      <c r="J418" s="206"/>
      <c r="K418" s="206"/>
      <c r="L418" s="206"/>
      <c r="M418" s="3"/>
      <c r="N418" s="206"/>
      <c r="O418" s="421"/>
      <c r="P418" s="421"/>
      <c r="Q418" s="206"/>
      <c r="R418" s="206"/>
      <c r="S418" s="421"/>
      <c r="T418" s="517"/>
    </row>
    <row r="419" spans="1:20" ht="21" customHeight="1">
      <c r="A419" s="516"/>
      <c r="B419" s="206"/>
      <c r="C419" s="453"/>
      <c r="D419" s="453"/>
      <c r="E419" s="206"/>
      <c r="F419" s="206"/>
      <c r="G419" s="206"/>
      <c r="H419" s="206"/>
      <c r="I419" s="206"/>
      <c r="J419" s="206"/>
      <c r="K419" s="206"/>
      <c r="L419" s="206"/>
      <c r="M419" s="3"/>
      <c r="N419" s="206"/>
      <c r="O419" s="421"/>
      <c r="P419" s="421"/>
      <c r="Q419" s="206"/>
      <c r="R419" s="421"/>
      <c r="S419" s="421"/>
      <c r="T419" s="517"/>
    </row>
    <row r="420" spans="1:20" ht="21" customHeight="1">
      <c r="A420" s="516"/>
      <c r="B420" s="206"/>
      <c r="C420" s="453"/>
      <c r="D420" s="453"/>
      <c r="E420" s="206"/>
      <c r="F420" s="206"/>
      <c r="G420" s="206"/>
      <c r="H420" s="206"/>
      <c r="I420" s="206"/>
      <c r="J420" s="206"/>
      <c r="K420" s="206"/>
      <c r="L420" s="206"/>
      <c r="M420" s="3"/>
      <c r="N420" s="206"/>
      <c r="O420" s="421"/>
      <c r="P420" s="421"/>
      <c r="Q420" s="206"/>
      <c r="R420" s="421"/>
      <c r="S420" s="421"/>
      <c r="T420" s="517"/>
    </row>
    <row r="421" spans="1:20" ht="21" customHeight="1">
      <c r="A421" s="516"/>
      <c r="B421" s="206"/>
      <c r="C421" s="453"/>
      <c r="D421" s="453"/>
      <c r="E421" s="206"/>
      <c r="F421" s="206"/>
      <c r="G421" s="206"/>
      <c r="H421" s="206"/>
      <c r="I421" s="206"/>
      <c r="J421" s="206"/>
      <c r="K421" s="206"/>
      <c r="L421" s="206"/>
      <c r="M421" s="3"/>
      <c r="N421" s="206"/>
      <c r="O421" s="421"/>
      <c r="P421" s="421"/>
      <c r="Q421" s="206"/>
      <c r="R421" s="206"/>
      <c r="S421" s="421"/>
      <c r="T421" s="517"/>
    </row>
    <row r="422" spans="1:20" ht="15">
      <c r="A422" s="516"/>
      <c r="B422" s="206"/>
      <c r="C422" s="453"/>
      <c r="D422" s="453"/>
      <c r="E422" s="206"/>
      <c r="F422" s="206"/>
      <c r="G422" s="206"/>
      <c r="H422" s="206"/>
      <c r="I422" s="206"/>
      <c r="J422" s="206"/>
      <c r="K422" s="206"/>
      <c r="L422" s="206"/>
      <c r="M422" s="3"/>
      <c r="N422" s="206"/>
      <c r="O422" s="421"/>
      <c r="P422" s="421"/>
      <c r="Q422" s="206"/>
      <c r="R422" s="206"/>
      <c r="S422" s="421"/>
      <c r="T422" s="517"/>
    </row>
    <row r="423" spans="1:20" ht="21" customHeight="1">
      <c r="A423" s="516"/>
      <c r="B423" s="206"/>
      <c r="C423" s="453"/>
      <c r="D423" s="453"/>
      <c r="E423" s="206"/>
      <c r="F423" s="206"/>
      <c r="G423" s="206"/>
      <c r="H423" s="206"/>
      <c r="I423" s="206"/>
      <c r="J423" s="206"/>
      <c r="K423" s="206"/>
      <c r="L423" s="206"/>
      <c r="M423" s="3"/>
      <c r="N423" s="206"/>
      <c r="O423" s="421"/>
      <c r="P423" s="421"/>
      <c r="Q423" s="206"/>
      <c r="R423" s="206"/>
      <c r="S423" s="421"/>
      <c r="T423" s="517"/>
    </row>
    <row r="424" spans="1:20" ht="21" customHeight="1">
      <c r="A424" s="516"/>
      <c r="B424" s="206"/>
      <c r="C424" s="453"/>
      <c r="D424" s="453"/>
      <c r="E424" s="206"/>
      <c r="F424" s="206"/>
      <c r="G424" s="206"/>
      <c r="H424" s="206"/>
      <c r="I424" s="206"/>
      <c r="J424" s="206"/>
      <c r="K424" s="206"/>
      <c r="L424" s="206"/>
      <c r="M424" s="3"/>
      <c r="N424" s="206"/>
      <c r="O424" s="421"/>
      <c r="P424" s="421"/>
      <c r="Q424" s="206"/>
      <c r="R424" s="421"/>
      <c r="S424" s="421"/>
      <c r="T424" s="517"/>
    </row>
    <row r="425" spans="1:20" ht="21" customHeight="1">
      <c r="A425" s="516"/>
      <c r="B425" s="206"/>
      <c r="C425" s="453"/>
      <c r="D425" s="453"/>
      <c r="E425" s="206"/>
      <c r="F425" s="206"/>
      <c r="G425" s="206"/>
      <c r="H425" s="206"/>
      <c r="I425" s="206"/>
      <c r="J425" s="206"/>
      <c r="K425" s="206"/>
      <c r="L425" s="206"/>
      <c r="M425" s="3"/>
      <c r="N425" s="206"/>
      <c r="O425" s="421"/>
      <c r="P425" s="421"/>
      <c r="Q425" s="206"/>
      <c r="R425" s="538"/>
      <c r="S425" s="421"/>
      <c r="T425" s="517"/>
    </row>
    <row r="426" spans="1:20" ht="21" customHeight="1">
      <c r="A426" s="516"/>
      <c r="B426" s="206"/>
      <c r="C426" s="453"/>
      <c r="D426" s="453"/>
      <c r="E426" s="206"/>
      <c r="F426" s="206"/>
      <c r="G426" s="206"/>
      <c r="H426" s="206"/>
      <c r="I426" s="206"/>
      <c r="J426" s="206"/>
      <c r="K426" s="206"/>
      <c r="L426" s="206"/>
      <c r="M426" s="3"/>
      <c r="N426" s="206"/>
      <c r="O426" s="421"/>
      <c r="P426" s="421"/>
      <c r="Q426" s="206"/>
      <c r="R426" s="206"/>
      <c r="S426" s="421"/>
      <c r="T426" s="517"/>
    </row>
    <row r="427" spans="1:20" ht="21" customHeight="1">
      <c r="A427" s="516"/>
      <c r="B427" s="206"/>
      <c r="C427" s="453"/>
      <c r="D427" s="526"/>
      <c r="E427" s="206"/>
      <c r="F427" s="206"/>
      <c r="G427" s="206"/>
      <c r="H427" s="206"/>
      <c r="I427" s="206"/>
      <c r="J427" s="206"/>
      <c r="K427" s="206"/>
      <c r="L427" s="206"/>
      <c r="M427" s="3"/>
      <c r="N427" s="206"/>
      <c r="O427" s="421"/>
      <c r="P427" s="421"/>
      <c r="Q427" s="206"/>
      <c r="R427" s="206"/>
      <c r="S427" s="421"/>
      <c r="T427" s="517"/>
    </row>
    <row r="428" spans="1:20" ht="21" customHeight="1">
      <c r="A428" s="516"/>
      <c r="B428" s="206"/>
      <c r="C428" s="453"/>
      <c r="D428" s="453"/>
      <c r="E428" s="206"/>
      <c r="F428" s="206"/>
      <c r="G428" s="206"/>
      <c r="H428" s="206"/>
      <c r="I428" s="206"/>
      <c r="J428" s="206"/>
      <c r="K428" s="206"/>
      <c r="L428" s="206"/>
      <c r="M428" s="3"/>
      <c r="N428" s="206"/>
      <c r="O428" s="421"/>
      <c r="P428" s="421"/>
      <c r="Q428" s="206"/>
      <c r="R428" s="421"/>
      <c r="S428" s="421"/>
      <c r="T428" s="517"/>
    </row>
    <row r="429" spans="1:20" ht="21" customHeight="1">
      <c r="A429" s="516"/>
      <c r="B429" s="206"/>
      <c r="C429" s="453"/>
      <c r="D429" s="453"/>
      <c r="E429" s="206"/>
      <c r="F429" s="206"/>
      <c r="G429" s="206"/>
      <c r="H429" s="206"/>
      <c r="I429" s="206"/>
      <c r="J429" s="206"/>
      <c r="K429" s="206"/>
      <c r="L429" s="206"/>
      <c r="M429" s="3"/>
      <c r="N429" s="206"/>
      <c r="O429" s="421"/>
      <c r="P429" s="421"/>
      <c r="Q429" s="206"/>
      <c r="R429" s="421"/>
      <c r="S429" s="421"/>
      <c r="T429" s="517"/>
    </row>
    <row r="430" spans="1:20" ht="21" customHeight="1">
      <c r="A430" s="516"/>
      <c r="B430" s="206"/>
      <c r="C430" s="453"/>
      <c r="D430" s="453"/>
      <c r="E430" s="206"/>
      <c r="F430" s="206"/>
      <c r="G430" s="206"/>
      <c r="H430" s="206"/>
      <c r="I430" s="206"/>
      <c r="J430" s="206"/>
      <c r="K430" s="206"/>
      <c r="L430" s="206"/>
      <c r="M430" s="3"/>
      <c r="N430" s="206"/>
      <c r="O430" s="421"/>
      <c r="P430" s="421"/>
      <c r="Q430" s="206"/>
      <c r="R430" s="421"/>
      <c r="S430" s="421"/>
      <c r="T430" s="517"/>
    </row>
    <row r="431" spans="1:20" ht="21" customHeight="1">
      <c r="A431" s="516"/>
      <c r="B431" s="206"/>
      <c r="C431" s="453"/>
      <c r="D431" s="453"/>
      <c r="E431" s="206"/>
      <c r="F431" s="206"/>
      <c r="G431" s="206"/>
      <c r="H431" s="206"/>
      <c r="I431" s="206"/>
      <c r="J431" s="206"/>
      <c r="K431" s="206"/>
      <c r="L431" s="206"/>
      <c r="M431" s="3"/>
      <c r="N431" s="206"/>
      <c r="O431" s="421"/>
      <c r="P431" s="421"/>
      <c r="Q431" s="206"/>
      <c r="R431" s="421"/>
      <c r="S431" s="421"/>
      <c r="T431" s="517"/>
    </row>
    <row r="432" spans="1:20" ht="21" customHeight="1">
      <c r="A432" s="516"/>
      <c r="B432" s="206"/>
      <c r="C432" s="453"/>
      <c r="D432" s="453"/>
      <c r="E432" s="206"/>
      <c r="F432" s="206"/>
      <c r="G432" s="206"/>
      <c r="H432" s="206"/>
      <c r="I432" s="206"/>
      <c r="J432" s="206"/>
      <c r="K432" s="206"/>
      <c r="L432" s="206"/>
      <c r="M432" s="3"/>
      <c r="N432" s="206"/>
      <c r="O432" s="421"/>
      <c r="P432" s="421"/>
      <c r="Q432" s="206"/>
      <c r="R432" s="538"/>
      <c r="S432" s="421"/>
      <c r="T432" s="517"/>
    </row>
    <row r="433" spans="1:20" ht="21" customHeight="1">
      <c r="A433" s="516"/>
      <c r="B433" s="206"/>
      <c r="C433" s="453"/>
      <c r="D433" s="453"/>
      <c r="E433" s="206"/>
      <c r="F433" s="206"/>
      <c r="G433" s="206"/>
      <c r="H433" s="206"/>
      <c r="I433" s="206"/>
      <c r="J433" s="206"/>
      <c r="K433" s="206"/>
      <c r="L433" s="206"/>
      <c r="M433" s="3"/>
      <c r="N433" s="206"/>
      <c r="O433" s="421"/>
      <c r="P433" s="421"/>
      <c r="Q433" s="206"/>
      <c r="R433" s="206"/>
      <c r="S433" s="421"/>
      <c r="T433" s="517"/>
    </row>
    <row r="434" spans="1:20" ht="21" customHeight="1">
      <c r="A434" s="516"/>
      <c r="B434" s="206"/>
      <c r="C434" s="453"/>
      <c r="D434" s="526"/>
      <c r="E434" s="206"/>
      <c r="F434" s="206"/>
      <c r="G434" s="206"/>
      <c r="H434" s="206"/>
      <c r="I434" s="206"/>
      <c r="J434" s="206"/>
      <c r="K434" s="206"/>
      <c r="L434" s="206"/>
      <c r="M434" s="3"/>
      <c r="N434" s="206"/>
      <c r="O434" s="421"/>
      <c r="P434" s="421"/>
      <c r="Q434" s="206"/>
      <c r="R434" s="206"/>
      <c r="S434" s="421"/>
      <c r="T434" s="517"/>
    </row>
    <row r="435" spans="1:20" ht="21" customHeight="1">
      <c r="A435" s="516"/>
      <c r="B435" s="206"/>
      <c r="C435" s="453"/>
      <c r="D435" s="453"/>
      <c r="E435" s="206"/>
      <c r="F435" s="206"/>
      <c r="G435" s="206"/>
      <c r="H435" s="206"/>
      <c r="I435" s="206"/>
      <c r="J435" s="206"/>
      <c r="K435" s="206"/>
      <c r="L435" s="206"/>
      <c r="M435" s="3"/>
      <c r="N435" s="206"/>
      <c r="O435" s="421"/>
      <c r="P435" s="421"/>
      <c r="Q435" s="206"/>
      <c r="R435" s="421"/>
      <c r="S435" s="421"/>
      <c r="T435" s="517"/>
    </row>
    <row r="436" spans="1:20" ht="21" customHeight="1">
      <c r="A436" s="516"/>
      <c r="B436" s="206"/>
      <c r="C436" s="453"/>
      <c r="D436" s="453"/>
      <c r="E436" s="206"/>
      <c r="F436" s="206"/>
      <c r="G436" s="206"/>
      <c r="H436" s="206"/>
      <c r="I436" s="206"/>
      <c r="J436" s="206"/>
      <c r="K436" s="206"/>
      <c r="L436" s="206"/>
      <c r="M436" s="3"/>
      <c r="N436" s="206"/>
      <c r="O436" s="421"/>
      <c r="P436" s="421"/>
      <c r="Q436" s="206"/>
      <c r="R436" s="421"/>
      <c r="S436" s="421"/>
      <c r="T436" s="517"/>
    </row>
    <row r="437" spans="1:20" ht="21" customHeight="1">
      <c r="A437" s="516"/>
      <c r="B437" s="206"/>
      <c r="C437" s="453"/>
      <c r="D437" s="453"/>
      <c r="E437" s="206"/>
      <c r="F437" s="206"/>
      <c r="G437" s="206"/>
      <c r="H437" s="206"/>
      <c r="I437" s="206"/>
      <c r="J437" s="206"/>
      <c r="K437" s="206"/>
      <c r="L437" s="206"/>
      <c r="M437" s="3"/>
      <c r="N437" s="206"/>
      <c r="O437" s="421"/>
      <c r="P437" s="421"/>
      <c r="Q437" s="206"/>
      <c r="R437" s="421"/>
      <c r="S437" s="421"/>
      <c r="T437" s="517"/>
    </row>
    <row r="438" spans="1:20" ht="21" customHeight="1">
      <c r="A438" s="516"/>
      <c r="B438" s="206"/>
      <c r="C438" s="453"/>
      <c r="D438" s="453"/>
      <c r="E438" s="206"/>
      <c r="F438" s="206"/>
      <c r="G438" s="206"/>
      <c r="H438" s="206"/>
      <c r="I438" s="206"/>
      <c r="J438" s="206"/>
      <c r="K438" s="206"/>
      <c r="L438" s="206"/>
      <c r="M438" s="3"/>
      <c r="N438" s="206"/>
      <c r="O438" s="421"/>
      <c r="P438" s="421"/>
      <c r="Q438" s="206"/>
      <c r="R438" s="206"/>
      <c r="S438" s="421"/>
      <c r="T438" s="517"/>
    </row>
    <row r="439" spans="1:20" ht="21" customHeight="1">
      <c r="A439" s="516"/>
      <c r="B439" s="206"/>
      <c r="C439" s="453"/>
      <c r="D439" s="453"/>
      <c r="E439" s="206"/>
      <c r="F439" s="206"/>
      <c r="G439" s="206"/>
      <c r="H439" s="206"/>
      <c r="I439" s="206"/>
      <c r="J439" s="206"/>
      <c r="K439" s="206"/>
      <c r="L439" s="206"/>
      <c r="M439" s="3"/>
      <c r="N439" s="206"/>
      <c r="O439" s="421"/>
      <c r="P439" s="421"/>
      <c r="Q439" s="206"/>
      <c r="R439" s="206"/>
      <c r="S439" s="421"/>
      <c r="T439" s="517"/>
    </row>
    <row r="440" spans="1:20" ht="21" customHeight="1">
      <c r="A440" s="516"/>
      <c r="B440" s="206"/>
      <c r="C440" s="453"/>
      <c r="D440" s="453"/>
      <c r="E440" s="206"/>
      <c r="F440" s="206"/>
      <c r="G440" s="206"/>
      <c r="H440" s="206"/>
      <c r="I440" s="206"/>
      <c r="J440" s="206"/>
      <c r="K440" s="206"/>
      <c r="L440" s="206"/>
      <c r="M440" s="3"/>
      <c r="N440" s="206"/>
      <c r="O440" s="421"/>
      <c r="P440" s="421"/>
      <c r="Q440" s="206"/>
      <c r="R440" s="206"/>
      <c r="S440" s="421"/>
      <c r="T440" s="517"/>
    </row>
    <row r="441" spans="1:20" ht="21" customHeight="1">
      <c r="A441" s="516"/>
      <c r="B441" s="206"/>
      <c r="C441" s="453"/>
      <c r="D441" s="453"/>
      <c r="E441" s="206"/>
      <c r="F441" s="206"/>
      <c r="G441" s="206"/>
      <c r="H441" s="206"/>
      <c r="I441" s="206"/>
      <c r="J441" s="206"/>
      <c r="K441" s="206"/>
      <c r="L441" s="206"/>
      <c r="M441" s="3"/>
      <c r="N441" s="206"/>
      <c r="O441" s="421"/>
      <c r="P441" s="421"/>
      <c r="Q441" s="206"/>
      <c r="R441" s="421"/>
      <c r="S441" s="421"/>
      <c r="T441" s="517"/>
    </row>
    <row r="442" spans="1:20" ht="21" customHeight="1">
      <c r="A442" s="516"/>
      <c r="B442" s="206"/>
      <c r="C442" s="453"/>
      <c r="D442" s="453"/>
      <c r="E442" s="206"/>
      <c r="F442" s="206"/>
      <c r="G442" s="206"/>
      <c r="H442" s="206"/>
      <c r="I442" s="206"/>
      <c r="J442" s="206"/>
      <c r="K442" s="206"/>
      <c r="L442" s="206"/>
      <c r="M442" s="3"/>
      <c r="N442" s="206"/>
      <c r="O442" s="421"/>
      <c r="P442" s="421"/>
      <c r="Q442" s="206"/>
      <c r="R442" s="421"/>
      <c r="S442" s="421"/>
      <c r="T442" s="517"/>
    </row>
    <row r="443" spans="1:20" ht="21" customHeight="1">
      <c r="A443" s="516"/>
      <c r="B443" s="206"/>
      <c r="C443" s="453"/>
      <c r="D443" s="453"/>
      <c r="E443" s="206"/>
      <c r="F443" s="206"/>
      <c r="G443" s="206"/>
      <c r="H443" s="206"/>
      <c r="I443" s="206"/>
      <c r="J443" s="206"/>
      <c r="K443" s="206"/>
      <c r="L443" s="206"/>
      <c r="M443" s="3"/>
      <c r="N443" s="206"/>
      <c r="O443" s="421"/>
      <c r="P443" s="421"/>
      <c r="Q443" s="206"/>
      <c r="R443" s="538"/>
      <c r="S443" s="421"/>
      <c r="T443" s="517"/>
    </row>
    <row r="444" spans="1:20" ht="21" customHeight="1">
      <c r="A444" s="516"/>
      <c r="B444" s="206"/>
      <c r="C444" s="453"/>
      <c r="D444" s="453"/>
      <c r="E444" s="206"/>
      <c r="F444" s="206"/>
      <c r="G444" s="206"/>
      <c r="H444" s="206"/>
      <c r="I444" s="206"/>
      <c r="J444" s="206"/>
      <c r="K444" s="206"/>
      <c r="L444" s="206"/>
      <c r="M444" s="3"/>
      <c r="N444" s="206"/>
      <c r="O444" s="421"/>
      <c r="P444" s="421"/>
      <c r="Q444" s="206"/>
      <c r="R444" s="206"/>
      <c r="S444" s="421"/>
      <c r="T444" s="517"/>
    </row>
    <row r="445" spans="1:20" ht="21" customHeight="1">
      <c r="A445" s="516"/>
      <c r="B445" s="206"/>
      <c r="C445" s="453"/>
      <c r="D445" s="453"/>
      <c r="E445" s="206"/>
      <c r="F445" s="206"/>
      <c r="G445" s="206"/>
      <c r="H445" s="206"/>
      <c r="I445" s="206"/>
      <c r="J445" s="206"/>
      <c r="K445" s="206"/>
      <c r="L445" s="206"/>
      <c r="M445" s="3"/>
      <c r="N445" s="206"/>
      <c r="O445" s="421"/>
      <c r="P445" s="421"/>
      <c r="Q445" s="206"/>
      <c r="R445" s="421"/>
      <c r="S445" s="421"/>
      <c r="T445" s="517"/>
    </row>
    <row r="446" spans="1:20" ht="21" customHeight="1">
      <c r="A446" s="516"/>
      <c r="B446" s="206"/>
      <c r="C446" s="453"/>
      <c r="D446" s="453"/>
      <c r="E446" s="206"/>
      <c r="F446" s="206"/>
      <c r="G446" s="206"/>
      <c r="H446" s="206"/>
      <c r="I446" s="206"/>
      <c r="J446" s="206"/>
      <c r="K446" s="206"/>
      <c r="L446" s="206"/>
      <c r="M446" s="3"/>
      <c r="N446" s="206"/>
      <c r="O446" s="421"/>
      <c r="P446" s="421"/>
      <c r="Q446" s="206"/>
      <c r="R446" s="421"/>
      <c r="S446" s="421"/>
      <c r="T446" s="517"/>
    </row>
    <row r="447" spans="1:20" ht="38.1" customHeight="1">
      <c r="A447" s="516"/>
      <c r="B447" s="206"/>
      <c r="C447" s="453"/>
      <c r="D447" s="453"/>
      <c r="E447" s="206"/>
      <c r="F447" s="206"/>
      <c r="G447" s="206"/>
      <c r="H447" s="206"/>
      <c r="I447" s="206"/>
      <c r="J447" s="206"/>
      <c r="K447" s="206"/>
      <c r="L447" s="206"/>
      <c r="M447" s="3"/>
      <c r="N447" s="206"/>
      <c r="O447" s="421"/>
      <c r="P447" s="421"/>
      <c r="Q447" s="206"/>
      <c r="R447" s="421"/>
      <c r="S447" s="421"/>
      <c r="T447" s="517"/>
    </row>
    <row r="448" spans="1:20" ht="21" customHeight="1">
      <c r="A448" s="516"/>
      <c r="B448" s="206"/>
      <c r="C448" s="453"/>
      <c r="D448" s="453"/>
      <c r="E448" s="206"/>
      <c r="F448" s="206"/>
      <c r="G448" s="206"/>
      <c r="H448" s="181"/>
      <c r="I448" s="206"/>
      <c r="J448" s="206"/>
      <c r="K448" s="206"/>
      <c r="L448" s="206"/>
      <c r="M448" s="3"/>
      <c r="N448" s="206"/>
      <c r="O448" s="421"/>
      <c r="P448" s="421"/>
      <c r="Q448" s="206"/>
      <c r="R448" s="206"/>
      <c r="S448" s="421"/>
      <c r="T448" s="517"/>
    </row>
    <row r="449" spans="1:20" ht="21" customHeight="1">
      <c r="A449" s="516"/>
      <c r="B449" s="206"/>
      <c r="C449" s="453"/>
      <c r="D449" s="453"/>
      <c r="E449" s="206"/>
      <c r="F449" s="206"/>
      <c r="G449" s="206"/>
      <c r="H449" s="206"/>
      <c r="I449" s="206"/>
      <c r="J449" s="206"/>
      <c r="K449" s="206"/>
      <c r="L449" s="206"/>
      <c r="M449" s="3"/>
      <c r="N449" s="206"/>
      <c r="O449" s="421"/>
      <c r="P449" s="421"/>
      <c r="Q449" s="206"/>
      <c r="R449" s="538"/>
      <c r="S449" s="421"/>
      <c r="T449" s="517"/>
    </row>
    <row r="450" spans="1:20" ht="21" customHeight="1">
      <c r="A450" s="516"/>
      <c r="B450" s="206"/>
      <c r="C450" s="453"/>
      <c r="D450" s="526"/>
      <c r="E450" s="206"/>
      <c r="F450" s="206"/>
      <c r="G450" s="206"/>
      <c r="H450" s="206"/>
      <c r="I450" s="206"/>
      <c r="J450" s="206"/>
      <c r="K450" s="206"/>
      <c r="L450" s="206"/>
      <c r="M450" s="3"/>
      <c r="N450" s="206"/>
      <c r="O450" s="421"/>
      <c r="P450" s="421"/>
      <c r="Q450" s="206"/>
      <c r="R450" s="206"/>
      <c r="S450" s="421"/>
      <c r="T450" s="517"/>
    </row>
    <row r="451" spans="1:20" ht="21" customHeight="1">
      <c r="A451" s="516"/>
      <c r="B451" s="206"/>
      <c r="C451" s="453"/>
      <c r="D451" s="453"/>
      <c r="E451" s="206"/>
      <c r="F451" s="206"/>
      <c r="G451" s="206"/>
      <c r="H451" s="206"/>
      <c r="I451" s="206"/>
      <c r="J451" s="206"/>
      <c r="K451" s="206"/>
      <c r="L451" s="206"/>
      <c r="M451" s="3"/>
      <c r="N451" s="206"/>
      <c r="O451" s="421"/>
      <c r="P451" s="421"/>
      <c r="Q451" s="206"/>
      <c r="R451" s="421"/>
      <c r="S451" s="421"/>
      <c r="T451" s="517"/>
    </row>
    <row r="452" spans="1:20" ht="21" customHeight="1">
      <c r="A452" s="516"/>
      <c r="B452" s="206"/>
      <c r="C452" s="453"/>
      <c r="D452" s="453"/>
      <c r="E452" s="206"/>
      <c r="F452" s="206"/>
      <c r="G452" s="206"/>
      <c r="H452" s="206"/>
      <c r="I452" s="206"/>
      <c r="J452" s="206"/>
      <c r="K452" s="206"/>
      <c r="L452" s="206"/>
      <c r="M452" s="3"/>
      <c r="N452" s="206"/>
      <c r="O452" s="421"/>
      <c r="P452" s="421"/>
      <c r="Q452" s="206"/>
      <c r="R452" s="421"/>
      <c r="S452" s="421"/>
      <c r="T452" s="517"/>
    </row>
    <row r="453" spans="1:20" ht="21" customHeight="1">
      <c r="A453" s="516"/>
      <c r="B453" s="206"/>
      <c r="C453" s="453"/>
      <c r="D453" s="453"/>
      <c r="E453" s="206"/>
      <c r="F453" s="206"/>
      <c r="G453" s="206"/>
      <c r="H453" s="206"/>
      <c r="I453" s="206"/>
      <c r="J453" s="206"/>
      <c r="K453" s="206"/>
      <c r="L453" s="206"/>
      <c r="M453" s="3"/>
      <c r="N453" s="206"/>
      <c r="O453" s="421"/>
      <c r="P453" s="421"/>
      <c r="Q453" s="206"/>
      <c r="R453" s="421"/>
      <c r="S453" s="421"/>
      <c r="T453" s="517"/>
    </row>
    <row r="454" spans="1:20" ht="21" customHeight="1">
      <c r="A454" s="516"/>
      <c r="B454" s="528"/>
      <c r="C454" s="453"/>
      <c r="D454" s="453"/>
      <c r="E454" s="530"/>
      <c r="F454" s="206"/>
      <c r="G454" s="206"/>
      <c r="H454" s="206"/>
      <c r="I454" s="206"/>
      <c r="J454" s="206"/>
      <c r="K454" s="206"/>
      <c r="L454" s="206"/>
      <c r="M454" s="3"/>
      <c r="N454" s="206"/>
      <c r="O454" s="421"/>
      <c r="P454" s="421"/>
      <c r="Q454" s="206"/>
      <c r="R454" s="535"/>
      <c r="S454" s="421"/>
      <c r="T454" s="527"/>
    </row>
    <row r="455" spans="1:20" ht="21" customHeight="1">
      <c r="A455" s="516"/>
      <c r="B455" s="206"/>
      <c r="C455" s="453"/>
      <c r="D455" s="453"/>
      <c r="E455" s="206"/>
      <c r="F455" s="206"/>
      <c r="G455" s="206"/>
      <c r="H455" s="206"/>
      <c r="I455" s="206"/>
      <c r="J455" s="206"/>
      <c r="K455" s="206"/>
      <c r="L455" s="206"/>
      <c r="M455" s="3"/>
      <c r="N455" s="206"/>
      <c r="O455" s="421"/>
      <c r="P455" s="421"/>
      <c r="Q455" s="206"/>
      <c r="R455" s="206"/>
      <c r="S455" s="421"/>
      <c r="T455" s="517"/>
    </row>
    <row r="456" spans="1:20" ht="21" customHeight="1">
      <c r="A456" s="516"/>
      <c r="B456" s="206"/>
      <c r="C456" s="453"/>
      <c r="D456" s="453"/>
      <c r="E456" s="206"/>
      <c r="F456" s="206"/>
      <c r="G456" s="206"/>
      <c r="H456" s="206"/>
      <c r="I456" s="206"/>
      <c r="J456" s="206"/>
      <c r="K456" s="206"/>
      <c r="L456" s="206"/>
      <c r="M456" s="3"/>
      <c r="N456" s="206"/>
      <c r="O456" s="421"/>
      <c r="P456" s="421"/>
      <c r="Q456" s="206"/>
      <c r="R456" s="421"/>
      <c r="S456" s="421"/>
      <c r="T456" s="517"/>
    </row>
    <row r="457" spans="1:20" ht="21" customHeight="1">
      <c r="A457" s="516"/>
      <c r="B457" s="206"/>
      <c r="C457" s="453"/>
      <c r="D457" s="453"/>
      <c r="E457" s="206"/>
      <c r="F457" s="206"/>
      <c r="G457" s="206"/>
      <c r="H457" s="206"/>
      <c r="I457" s="206"/>
      <c r="J457" s="206"/>
      <c r="K457" s="206"/>
      <c r="L457" s="206"/>
      <c r="M457" s="3"/>
      <c r="N457" s="206"/>
      <c r="O457" s="421"/>
      <c r="P457" s="421"/>
      <c r="Q457" s="206"/>
      <c r="R457" s="421"/>
      <c r="S457" s="421"/>
      <c r="T457" s="517"/>
    </row>
    <row r="458" spans="1:20" ht="21" customHeight="1">
      <c r="A458" s="516"/>
      <c r="B458" s="206"/>
      <c r="C458" s="453"/>
      <c r="D458" s="453"/>
      <c r="E458" s="206"/>
      <c r="F458" s="206"/>
      <c r="G458" s="206"/>
      <c r="H458" s="206"/>
      <c r="I458" s="206"/>
      <c r="J458" s="206"/>
      <c r="K458" s="206"/>
      <c r="L458" s="206"/>
      <c r="M458" s="3"/>
      <c r="N458" s="206"/>
      <c r="O458" s="421"/>
      <c r="P458" s="421"/>
      <c r="Q458" s="206"/>
      <c r="R458" s="421"/>
      <c r="S458" s="421"/>
      <c r="T458" s="517"/>
    </row>
    <row r="459" spans="1:20" ht="21" customHeight="1">
      <c r="A459" s="516"/>
      <c r="B459" s="206"/>
      <c r="C459" s="453"/>
      <c r="D459" s="453"/>
      <c r="E459" s="206"/>
      <c r="F459" s="206"/>
      <c r="G459" s="206"/>
      <c r="H459" s="206"/>
      <c r="I459" s="206"/>
      <c r="J459" s="206"/>
      <c r="K459" s="206"/>
      <c r="L459" s="206"/>
      <c r="M459" s="3"/>
      <c r="N459" s="206"/>
      <c r="O459" s="421"/>
      <c r="P459" s="421"/>
      <c r="Q459" s="206"/>
      <c r="R459" s="206"/>
      <c r="S459" s="421"/>
      <c r="T459" s="517"/>
    </row>
    <row r="460" spans="1:20" ht="21" customHeight="1">
      <c r="A460" s="516"/>
      <c r="B460" s="206"/>
      <c r="C460" s="453"/>
      <c r="D460" s="453"/>
      <c r="E460" s="206"/>
      <c r="F460" s="206"/>
      <c r="G460" s="206"/>
      <c r="H460" s="206"/>
      <c r="I460" s="206"/>
      <c r="J460" s="206"/>
      <c r="K460" s="206"/>
      <c r="L460" s="206"/>
      <c r="M460" s="3"/>
      <c r="N460" s="206"/>
      <c r="O460" s="422"/>
      <c r="P460" s="421"/>
      <c r="Q460" s="206"/>
      <c r="R460" s="421"/>
      <c r="S460" s="421"/>
      <c r="T460" s="517"/>
    </row>
    <row r="461" spans="1:20" ht="21" customHeight="1">
      <c r="A461" s="516"/>
      <c r="B461" s="206"/>
      <c r="C461" s="453"/>
      <c r="D461" s="453"/>
      <c r="E461" s="206"/>
      <c r="F461" s="206"/>
      <c r="G461" s="206"/>
      <c r="H461" s="206"/>
      <c r="I461" s="206"/>
      <c r="J461" s="206"/>
      <c r="K461" s="206"/>
      <c r="L461" s="206"/>
      <c r="M461" s="3"/>
      <c r="N461" s="206"/>
      <c r="O461" s="421"/>
      <c r="P461" s="421"/>
      <c r="Q461" s="206"/>
      <c r="R461" s="421"/>
      <c r="S461" s="421"/>
      <c r="T461" s="517"/>
    </row>
    <row r="462" spans="1:20" ht="21" customHeight="1">
      <c r="A462" s="516"/>
      <c r="B462" s="206"/>
      <c r="C462" s="453"/>
      <c r="D462" s="453"/>
      <c r="E462" s="206"/>
      <c r="F462" s="206"/>
      <c r="G462" s="206"/>
      <c r="H462" s="206"/>
      <c r="I462" s="206"/>
      <c r="J462" s="206"/>
      <c r="K462" s="206"/>
      <c r="L462" s="206"/>
      <c r="M462" s="3"/>
      <c r="N462" s="206"/>
      <c r="O462" s="421"/>
      <c r="P462" s="421"/>
      <c r="Q462" s="206"/>
      <c r="R462" s="421"/>
      <c r="S462" s="421"/>
      <c r="T462" s="517"/>
    </row>
    <row r="463" spans="1:20" ht="21" customHeight="1">
      <c r="A463" s="516"/>
      <c r="B463" s="206"/>
      <c r="C463" s="453"/>
      <c r="D463" s="453"/>
      <c r="E463" s="206"/>
      <c r="F463" s="206"/>
      <c r="G463" s="206"/>
      <c r="H463" s="206"/>
      <c r="I463" s="206"/>
      <c r="J463" s="206"/>
      <c r="K463" s="206"/>
      <c r="L463" s="206"/>
      <c r="M463" s="3"/>
      <c r="N463" s="206"/>
      <c r="O463" s="421"/>
      <c r="P463" s="421"/>
      <c r="Q463" s="206"/>
      <c r="R463" s="206"/>
      <c r="S463" s="421"/>
      <c r="T463" s="517"/>
    </row>
    <row r="464" spans="1:20" ht="21" customHeight="1">
      <c r="A464" s="516"/>
      <c r="B464" s="206"/>
      <c r="C464" s="453"/>
      <c r="D464" s="453"/>
      <c r="E464" s="206"/>
      <c r="F464" s="206"/>
      <c r="G464" s="206"/>
      <c r="H464" s="206"/>
      <c r="I464" s="206"/>
      <c r="J464" s="206"/>
      <c r="K464" s="206"/>
      <c r="L464" s="206"/>
      <c r="M464" s="3"/>
      <c r="N464" s="206"/>
      <c r="O464" s="421"/>
      <c r="P464" s="421"/>
      <c r="Q464" s="206"/>
      <c r="R464" s="206"/>
      <c r="S464" s="421"/>
      <c r="T464" s="517"/>
    </row>
    <row r="465" spans="1:20" ht="21" customHeight="1">
      <c r="A465" s="516"/>
      <c r="B465" s="206"/>
      <c r="C465" s="453"/>
      <c r="D465" s="453"/>
      <c r="E465" s="206"/>
      <c r="F465" s="206"/>
      <c r="G465" s="206"/>
      <c r="H465" s="206"/>
      <c r="I465" s="206"/>
      <c r="J465" s="206"/>
      <c r="K465" s="206"/>
      <c r="L465" s="206"/>
      <c r="M465" s="3"/>
      <c r="N465" s="206"/>
      <c r="O465" s="421"/>
      <c r="P465" s="421"/>
      <c r="Q465" s="206"/>
      <c r="R465" s="206"/>
      <c r="S465" s="421"/>
      <c r="T465" s="517"/>
    </row>
    <row r="466" spans="1:20" ht="21" customHeight="1">
      <c r="A466" s="516"/>
      <c r="B466" s="206"/>
      <c r="C466" s="453"/>
      <c r="D466" s="453"/>
      <c r="E466" s="206"/>
      <c r="F466" s="206"/>
      <c r="G466" s="206"/>
      <c r="H466" s="206"/>
      <c r="I466" s="206"/>
      <c r="J466" s="206"/>
      <c r="K466" s="206"/>
      <c r="L466" s="206"/>
      <c r="M466" s="3"/>
      <c r="N466" s="206"/>
      <c r="O466" s="421"/>
      <c r="P466" s="421"/>
      <c r="Q466" s="206"/>
      <c r="R466" s="206"/>
      <c r="S466" s="421"/>
      <c r="T466" s="517"/>
    </row>
    <row r="467" spans="1:20" ht="21" customHeight="1">
      <c r="A467" s="516"/>
      <c r="B467" s="206"/>
      <c r="C467" s="453"/>
      <c r="D467" s="453"/>
      <c r="E467" s="206"/>
      <c r="F467" s="206"/>
      <c r="G467" s="206"/>
      <c r="H467" s="206"/>
      <c r="I467" s="206"/>
      <c r="J467" s="206"/>
      <c r="K467" s="206"/>
      <c r="L467" s="206"/>
      <c r="M467" s="3"/>
      <c r="N467" s="206"/>
      <c r="O467" s="421"/>
      <c r="P467" s="421"/>
      <c r="Q467" s="206"/>
      <c r="R467" s="206"/>
      <c r="S467" s="421"/>
      <c r="T467" s="527"/>
    </row>
    <row r="468" spans="1:20" ht="21" customHeight="1">
      <c r="A468" s="516"/>
      <c r="B468" s="206"/>
      <c r="C468" s="453"/>
      <c r="D468" s="453"/>
      <c r="E468" s="206"/>
      <c r="F468" s="206"/>
      <c r="G468" s="206"/>
      <c r="H468" s="206"/>
      <c r="I468" s="206"/>
      <c r="J468" s="206"/>
      <c r="K468" s="206"/>
      <c r="L468" s="206"/>
      <c r="M468" s="3"/>
      <c r="N468" s="206"/>
      <c r="O468" s="421"/>
      <c r="P468" s="421"/>
      <c r="Q468" s="206"/>
      <c r="R468" s="206"/>
      <c r="S468" s="421"/>
      <c r="T468" s="527"/>
    </row>
    <row r="469" spans="1:20" ht="21" customHeight="1">
      <c r="A469" s="516"/>
      <c r="B469" s="206"/>
      <c r="C469" s="453"/>
      <c r="D469" s="453"/>
      <c r="E469" s="206"/>
      <c r="F469" s="206"/>
      <c r="G469" s="206"/>
      <c r="H469" s="206"/>
      <c r="I469" s="206"/>
      <c r="J469" s="206"/>
      <c r="K469" s="206"/>
      <c r="L469" s="206"/>
      <c r="M469" s="3"/>
      <c r="N469" s="206"/>
      <c r="O469" s="421"/>
      <c r="P469" s="421"/>
      <c r="Q469" s="206"/>
      <c r="R469" s="206"/>
      <c r="S469" s="421"/>
      <c r="T469" s="527"/>
    </row>
    <row r="470" spans="1:20" ht="20.100000000000001" customHeight="1">
      <c r="A470" s="516"/>
      <c r="B470" s="206"/>
      <c r="C470" s="453"/>
      <c r="D470" s="453"/>
      <c r="E470" s="206"/>
      <c r="F470" s="206"/>
      <c r="G470" s="206"/>
      <c r="H470" s="206"/>
      <c r="I470" s="206"/>
      <c r="J470" s="206"/>
      <c r="K470" s="206"/>
      <c r="L470" s="206"/>
      <c r="M470" s="3"/>
      <c r="N470" s="206"/>
      <c r="O470" s="421"/>
      <c r="P470" s="421"/>
      <c r="Q470" s="206"/>
      <c r="R470" s="206"/>
      <c r="S470" s="421"/>
      <c r="T470" s="517"/>
    </row>
    <row r="471" spans="1:20" ht="21" customHeight="1">
      <c r="A471" s="516"/>
      <c r="B471" s="206"/>
      <c r="C471" s="453"/>
      <c r="D471" s="453"/>
      <c r="E471" s="206"/>
      <c r="F471" s="206"/>
      <c r="G471" s="206"/>
      <c r="H471" s="206"/>
      <c r="I471" s="206"/>
      <c r="J471" s="206"/>
      <c r="K471" s="206"/>
      <c r="L471" s="206"/>
      <c r="M471" s="3"/>
      <c r="N471" s="206"/>
      <c r="O471" s="421"/>
      <c r="P471" s="421"/>
      <c r="Q471" s="206"/>
      <c r="R471" s="206"/>
      <c r="S471" s="421"/>
      <c r="T471" s="517"/>
    </row>
    <row r="472" spans="1:20" ht="21" customHeight="1">
      <c r="A472" s="516"/>
      <c r="B472" s="206"/>
      <c r="C472" s="453"/>
      <c r="D472" s="453"/>
      <c r="E472" s="206"/>
      <c r="F472" s="206"/>
      <c r="G472" s="206"/>
      <c r="H472" s="206"/>
      <c r="I472" s="206"/>
      <c r="J472" s="206"/>
      <c r="K472" s="206"/>
      <c r="L472" s="206"/>
      <c r="M472" s="3"/>
      <c r="N472" s="206"/>
      <c r="O472" s="421"/>
      <c r="P472" s="421"/>
      <c r="Q472" s="206"/>
      <c r="R472" s="535"/>
      <c r="S472" s="421"/>
      <c r="T472" s="527"/>
    </row>
    <row r="473" spans="1:20" ht="21" customHeight="1">
      <c r="A473" s="516"/>
      <c r="B473" s="206"/>
      <c r="C473" s="453"/>
      <c r="D473" s="453"/>
      <c r="E473" s="206"/>
      <c r="F473" s="206"/>
      <c r="G473" s="206"/>
      <c r="H473" s="206"/>
      <c r="I473" s="206"/>
      <c r="J473" s="206"/>
      <c r="K473" s="206"/>
      <c r="L473" s="206"/>
      <c r="M473" s="3"/>
      <c r="N473" s="206"/>
      <c r="O473" s="421"/>
      <c r="P473" s="421"/>
      <c r="Q473" s="206"/>
      <c r="R473" s="206"/>
      <c r="S473" s="421"/>
      <c r="T473" s="527"/>
    </row>
    <row r="474" spans="1:20" ht="21" customHeight="1">
      <c r="A474" s="516"/>
      <c r="B474" s="472"/>
      <c r="C474" s="481"/>
      <c r="D474" s="481"/>
      <c r="E474" s="472"/>
      <c r="F474" s="472"/>
      <c r="G474" s="472"/>
      <c r="H474" s="472"/>
      <c r="I474" s="472"/>
      <c r="J474" s="472"/>
      <c r="K474" s="472"/>
      <c r="L474" s="206"/>
      <c r="M474" s="3"/>
      <c r="N474" s="206"/>
      <c r="O474" s="421"/>
      <c r="P474" s="421"/>
      <c r="Q474" s="206"/>
      <c r="R474" s="206"/>
      <c r="S474" s="421"/>
      <c r="T474" s="517"/>
    </row>
    <row r="475" spans="1:20" ht="21" customHeight="1">
      <c r="A475" s="516"/>
      <c r="B475" s="206"/>
      <c r="C475" s="453"/>
      <c r="D475" s="453"/>
      <c r="E475" s="206"/>
      <c r="F475" s="206"/>
      <c r="G475" s="206"/>
      <c r="H475" s="206"/>
      <c r="I475" s="206"/>
      <c r="J475" s="206"/>
      <c r="K475" s="206"/>
      <c r="L475" s="206"/>
      <c r="M475" s="3"/>
      <c r="N475" s="206"/>
      <c r="O475" s="421"/>
      <c r="P475" s="421"/>
      <c r="Q475" s="206"/>
      <c r="R475" s="206"/>
      <c r="S475" s="421"/>
      <c r="T475" s="517"/>
    </row>
    <row r="476" spans="1:20" ht="21" customHeight="1">
      <c r="A476" s="516"/>
      <c r="B476" s="206"/>
      <c r="C476" s="453"/>
      <c r="D476" s="453"/>
      <c r="E476" s="206"/>
      <c r="F476" s="206"/>
      <c r="G476" s="206"/>
      <c r="H476" s="206"/>
      <c r="I476" s="206"/>
      <c r="J476" s="206"/>
      <c r="K476" s="206"/>
      <c r="L476" s="206"/>
      <c r="M476" s="3"/>
      <c r="N476" s="206"/>
      <c r="O476" s="421"/>
      <c r="P476" s="421"/>
      <c r="Q476" s="206"/>
      <c r="R476" s="206"/>
      <c r="S476" s="421"/>
      <c r="T476" s="517"/>
    </row>
    <row r="477" spans="1:20" ht="21" customHeight="1">
      <c r="A477" s="516"/>
      <c r="B477" s="206"/>
      <c r="C477" s="453"/>
      <c r="D477" s="453"/>
      <c r="E477" s="206"/>
      <c r="F477" s="206"/>
      <c r="G477" s="206"/>
      <c r="H477" s="206"/>
      <c r="I477" s="206"/>
      <c r="J477" s="206"/>
      <c r="K477" s="206"/>
      <c r="L477" s="206"/>
      <c r="M477" s="3"/>
      <c r="N477" s="206"/>
      <c r="O477" s="421"/>
      <c r="P477" s="421"/>
      <c r="Q477" s="206"/>
      <c r="R477" s="206"/>
      <c r="S477" s="421"/>
      <c r="T477" s="517"/>
    </row>
    <row r="478" spans="1:20" ht="21" customHeight="1">
      <c r="A478" s="516"/>
      <c r="B478" s="206"/>
      <c r="C478" s="453"/>
      <c r="D478" s="453"/>
      <c r="E478" s="206"/>
      <c r="F478" s="206"/>
      <c r="G478" s="206"/>
      <c r="H478" s="206"/>
      <c r="I478" s="206"/>
      <c r="J478" s="206"/>
      <c r="K478" s="206"/>
      <c r="L478" s="206"/>
      <c r="M478" s="3"/>
      <c r="N478" s="206"/>
      <c r="O478" s="421"/>
      <c r="P478" s="421"/>
      <c r="Q478" s="206"/>
      <c r="R478" s="206"/>
      <c r="S478" s="421"/>
      <c r="T478" s="517"/>
    </row>
    <row r="479" spans="1:20" ht="21" customHeight="1">
      <c r="A479" s="516"/>
      <c r="B479" s="206"/>
      <c r="C479" s="453"/>
      <c r="D479" s="453"/>
      <c r="E479" s="206"/>
      <c r="F479" s="206"/>
      <c r="G479" s="206"/>
      <c r="H479" s="206"/>
      <c r="I479" s="206"/>
      <c r="J479" s="206"/>
      <c r="K479" s="206"/>
      <c r="L479" s="206"/>
      <c r="M479" s="3"/>
      <c r="N479" s="206"/>
      <c r="O479" s="421"/>
      <c r="P479" s="421"/>
      <c r="Q479" s="206"/>
      <c r="R479" s="421"/>
      <c r="S479" s="421"/>
      <c r="T479" s="517"/>
    </row>
    <row r="480" spans="1:20" ht="21" customHeight="1">
      <c r="A480" s="516"/>
      <c r="B480" s="206"/>
      <c r="C480" s="453"/>
      <c r="D480" s="453"/>
      <c r="E480" s="206"/>
      <c r="F480" s="206"/>
      <c r="G480" s="206"/>
      <c r="H480" s="206"/>
      <c r="I480" s="206"/>
      <c r="J480" s="206"/>
      <c r="K480" s="206"/>
      <c r="L480" s="206"/>
      <c r="M480" s="3"/>
      <c r="N480" s="206"/>
      <c r="O480" s="421"/>
      <c r="P480" s="421"/>
      <c r="Q480" s="206"/>
      <c r="R480" s="421"/>
      <c r="S480" s="421"/>
      <c r="T480" s="517"/>
    </row>
    <row r="481" spans="1:20" ht="21" customHeight="1">
      <c r="A481" s="516"/>
      <c r="B481" s="206"/>
      <c r="C481" s="453"/>
      <c r="D481" s="453"/>
      <c r="E481" s="206"/>
      <c r="F481" s="206"/>
      <c r="G481" s="206"/>
      <c r="H481" s="206"/>
      <c r="I481" s="206"/>
      <c r="J481" s="206"/>
      <c r="K481" s="206"/>
      <c r="L481" s="206"/>
      <c r="M481" s="3"/>
      <c r="N481" s="206"/>
      <c r="O481" s="421"/>
      <c r="P481" s="421"/>
      <c r="Q481" s="206"/>
      <c r="R481" s="421"/>
      <c r="S481" s="421"/>
      <c r="T481" s="517"/>
    </row>
    <row r="482" spans="1:20" ht="21" customHeight="1">
      <c r="A482" s="516"/>
      <c r="B482" s="206"/>
      <c r="C482" s="453"/>
      <c r="D482" s="453"/>
      <c r="E482" s="206"/>
      <c r="F482" s="206"/>
      <c r="G482" s="206"/>
      <c r="H482" s="206"/>
      <c r="I482" s="206"/>
      <c r="J482" s="206"/>
      <c r="K482" s="206"/>
      <c r="L482" s="206"/>
      <c r="M482" s="3"/>
      <c r="N482" s="206"/>
      <c r="O482" s="421"/>
      <c r="P482" s="421"/>
      <c r="Q482" s="206"/>
      <c r="R482" s="421"/>
      <c r="S482" s="421"/>
      <c r="T482" s="517"/>
    </row>
    <row r="483" spans="1:20" ht="21" customHeight="1">
      <c r="A483" s="516"/>
      <c r="B483" s="206"/>
      <c r="C483" s="453"/>
      <c r="D483" s="453"/>
      <c r="E483" s="206"/>
      <c r="F483" s="206"/>
      <c r="G483" s="206"/>
      <c r="H483" s="206"/>
      <c r="I483" s="206"/>
      <c r="J483" s="206"/>
      <c r="K483" s="206"/>
      <c r="L483" s="206"/>
      <c r="M483" s="3"/>
      <c r="N483" s="206"/>
      <c r="O483" s="421"/>
      <c r="P483" s="421"/>
      <c r="Q483" s="206"/>
      <c r="R483" s="421"/>
      <c r="S483" s="421"/>
      <c r="T483" s="517"/>
    </row>
    <row r="484" spans="1:20" ht="21" customHeight="1">
      <c r="A484" s="516"/>
      <c r="B484" s="206"/>
      <c r="C484" s="453"/>
      <c r="D484" s="453"/>
      <c r="E484" s="206"/>
      <c r="F484" s="206"/>
      <c r="G484" s="206"/>
      <c r="H484" s="206"/>
      <c r="I484" s="206"/>
      <c r="J484" s="206"/>
      <c r="K484" s="206"/>
      <c r="L484" s="206"/>
      <c r="M484" s="3"/>
      <c r="N484" s="206"/>
      <c r="O484" s="421"/>
      <c r="P484" s="421"/>
      <c r="Q484" s="206"/>
      <c r="R484" s="421"/>
      <c r="S484" s="421"/>
      <c r="T484" s="517"/>
    </row>
    <row r="485" spans="1:20" ht="21" customHeight="1">
      <c r="A485" s="516"/>
      <c r="B485" s="206"/>
      <c r="C485" s="453"/>
      <c r="D485" s="453"/>
      <c r="E485" s="206"/>
      <c r="F485" s="206"/>
      <c r="G485" s="206"/>
      <c r="H485" s="206"/>
      <c r="I485" s="206"/>
      <c r="J485" s="206"/>
      <c r="K485" s="206"/>
      <c r="L485" s="206"/>
      <c r="M485" s="3"/>
      <c r="N485" s="206"/>
      <c r="O485" s="421"/>
      <c r="P485" s="421"/>
      <c r="Q485" s="206"/>
      <c r="R485" s="206"/>
      <c r="S485" s="421"/>
      <c r="T485" s="517"/>
    </row>
    <row r="486" spans="1:20" ht="21" customHeight="1">
      <c r="A486" s="516"/>
      <c r="B486" s="206"/>
      <c r="C486" s="453"/>
      <c r="D486" s="453"/>
      <c r="E486" s="206"/>
      <c r="F486" s="206"/>
      <c r="G486" s="206"/>
      <c r="H486" s="206"/>
      <c r="I486" s="206"/>
      <c r="J486" s="206"/>
      <c r="K486" s="206"/>
      <c r="L486" s="206"/>
      <c r="M486" s="3"/>
      <c r="N486" s="206"/>
      <c r="O486" s="421"/>
      <c r="P486" s="421"/>
      <c r="Q486" s="206"/>
      <c r="R486" s="206"/>
      <c r="S486" s="421"/>
      <c r="T486" s="517"/>
    </row>
    <row r="487" spans="1:20" ht="21" customHeight="1">
      <c r="A487" s="516"/>
      <c r="B487" s="206"/>
      <c r="C487" s="453"/>
      <c r="D487" s="453"/>
      <c r="E487" s="206"/>
      <c r="F487" s="206"/>
      <c r="G487" s="206"/>
      <c r="H487" s="206"/>
      <c r="I487" s="206"/>
      <c r="J487" s="206"/>
      <c r="K487" s="206"/>
      <c r="L487" s="206"/>
      <c r="M487" s="3"/>
      <c r="N487" s="206"/>
      <c r="O487" s="421"/>
      <c r="P487" s="421"/>
      <c r="Q487" s="206"/>
      <c r="R487" s="206"/>
      <c r="S487" s="421"/>
      <c r="T487" s="527"/>
    </row>
    <row r="488" spans="1:20" ht="21" customHeight="1">
      <c r="A488" s="516"/>
      <c r="B488" s="206"/>
      <c r="C488" s="453"/>
      <c r="D488" s="453"/>
      <c r="E488" s="206"/>
      <c r="F488" s="206"/>
      <c r="G488" s="206"/>
      <c r="H488" s="206"/>
      <c r="I488" s="206"/>
      <c r="J488" s="206"/>
      <c r="K488" s="206"/>
      <c r="L488" s="206"/>
      <c r="M488" s="3"/>
      <c r="N488" s="206"/>
      <c r="O488" s="421"/>
      <c r="P488" s="421"/>
      <c r="Q488" s="206"/>
      <c r="R488" s="206"/>
      <c r="S488" s="421"/>
      <c r="T488" s="527"/>
    </row>
    <row r="489" spans="1:20" ht="21" customHeight="1">
      <c r="A489" s="516"/>
      <c r="B489" s="206"/>
      <c r="C489" s="453"/>
      <c r="D489" s="453"/>
      <c r="E489" s="206"/>
      <c r="F489" s="206"/>
      <c r="G489" s="206"/>
      <c r="H489" s="206"/>
      <c r="I489" s="206"/>
      <c r="J489" s="206"/>
      <c r="K489" s="206"/>
      <c r="L489" s="206"/>
      <c r="M489" s="3"/>
      <c r="N489" s="206"/>
      <c r="O489" s="421"/>
      <c r="P489" s="421"/>
      <c r="Q489" s="206"/>
      <c r="R489" s="206"/>
      <c r="S489" s="421"/>
      <c r="T489" s="517"/>
    </row>
    <row r="490" spans="1:20" ht="21" customHeight="1">
      <c r="A490" s="516"/>
      <c r="B490" s="206"/>
      <c r="C490" s="453"/>
      <c r="D490" s="453"/>
      <c r="E490" s="206"/>
      <c r="F490" s="206"/>
      <c r="G490" s="206"/>
      <c r="H490" s="206"/>
      <c r="I490" s="206"/>
      <c r="J490" s="206"/>
      <c r="K490" s="206"/>
      <c r="L490" s="206"/>
      <c r="M490" s="3"/>
      <c r="N490" s="206"/>
      <c r="O490" s="421"/>
      <c r="P490" s="421"/>
      <c r="Q490" s="206"/>
      <c r="R490" s="421"/>
      <c r="S490" s="421"/>
      <c r="T490" s="517"/>
    </row>
    <row r="491" spans="1:20" ht="21" customHeight="1">
      <c r="A491" s="516"/>
      <c r="B491" s="206"/>
      <c r="C491" s="453"/>
      <c r="D491" s="453"/>
      <c r="E491" s="206"/>
      <c r="F491" s="206"/>
      <c r="G491" s="206"/>
      <c r="H491" s="206"/>
      <c r="I491" s="206"/>
      <c r="J491" s="206"/>
      <c r="K491" s="206"/>
      <c r="L491" s="206"/>
      <c r="M491" s="3"/>
      <c r="N491" s="206"/>
      <c r="O491" s="421"/>
      <c r="P491" s="421"/>
      <c r="Q491" s="206"/>
      <c r="R491" s="206"/>
      <c r="S491" s="421"/>
      <c r="T491" s="517"/>
    </row>
    <row r="492" spans="1:20" ht="21" customHeight="1">
      <c r="A492" s="516"/>
      <c r="B492" s="206"/>
      <c r="C492" s="453"/>
      <c r="D492" s="453"/>
      <c r="E492" s="206"/>
      <c r="F492" s="206"/>
      <c r="G492" s="206"/>
      <c r="H492" s="206"/>
      <c r="I492" s="206"/>
      <c r="J492" s="206"/>
      <c r="K492" s="206"/>
      <c r="L492" s="206"/>
      <c r="M492" s="3"/>
      <c r="N492" s="206"/>
      <c r="O492" s="421"/>
      <c r="P492" s="421"/>
      <c r="Q492" s="206"/>
      <c r="R492" s="206"/>
      <c r="S492" s="421"/>
      <c r="T492" s="517"/>
    </row>
    <row r="493" spans="1:20" ht="21" customHeight="1">
      <c r="A493" s="516"/>
      <c r="B493" s="206"/>
      <c r="C493" s="453"/>
      <c r="D493" s="453"/>
      <c r="E493" s="206"/>
      <c r="F493" s="206"/>
      <c r="G493" s="206"/>
      <c r="H493" s="206"/>
      <c r="I493" s="206"/>
      <c r="J493" s="206"/>
      <c r="K493" s="206"/>
      <c r="L493" s="206"/>
      <c r="M493" s="3"/>
      <c r="N493" s="206"/>
      <c r="O493" s="421"/>
      <c r="P493" s="421"/>
      <c r="Q493" s="206"/>
      <c r="R493" s="421"/>
      <c r="S493" s="421"/>
      <c r="T493" s="517"/>
    </row>
    <row r="494" spans="1:20" ht="21" customHeight="1">
      <c r="A494" s="516"/>
      <c r="B494" s="206"/>
      <c r="C494" s="453"/>
      <c r="D494" s="453"/>
      <c r="E494" s="206"/>
      <c r="F494" s="206"/>
      <c r="G494" s="206"/>
      <c r="H494" s="206"/>
      <c r="I494" s="206"/>
      <c r="J494" s="206"/>
      <c r="K494" s="206"/>
      <c r="L494" s="206"/>
      <c r="M494" s="3"/>
      <c r="N494" s="206"/>
      <c r="O494" s="421"/>
      <c r="P494" s="421"/>
      <c r="Q494" s="206"/>
      <c r="R494" s="206"/>
      <c r="S494" s="421"/>
      <c r="T494" s="527"/>
    </row>
    <row r="495" spans="1:20" ht="21" customHeight="1">
      <c r="A495" s="516"/>
      <c r="B495" s="206"/>
      <c r="C495" s="453"/>
      <c r="D495" s="453"/>
      <c r="E495" s="206"/>
      <c r="F495" s="206"/>
      <c r="G495" s="206"/>
      <c r="H495" s="206"/>
      <c r="I495" s="206"/>
      <c r="J495" s="206"/>
      <c r="K495" s="206"/>
      <c r="L495" s="206"/>
      <c r="M495" s="3"/>
      <c r="N495" s="206"/>
      <c r="O495" s="421"/>
      <c r="P495" s="421"/>
      <c r="Q495" s="206"/>
      <c r="R495" s="518"/>
      <c r="S495" s="421"/>
      <c r="T495" s="517"/>
    </row>
    <row r="496" spans="1:20" ht="21" customHeight="1">
      <c r="A496" s="516"/>
      <c r="B496" s="206"/>
      <c r="C496" s="453"/>
      <c r="D496" s="453"/>
      <c r="E496" s="206"/>
      <c r="F496" s="206"/>
      <c r="G496" s="206"/>
      <c r="H496" s="206"/>
      <c r="I496" s="206"/>
      <c r="J496" s="206"/>
      <c r="K496" s="206"/>
      <c r="L496" s="206"/>
      <c r="M496" s="3"/>
      <c r="N496" s="206"/>
      <c r="O496" s="421"/>
      <c r="P496" s="421"/>
      <c r="Q496" s="206"/>
      <c r="R496" s="518"/>
      <c r="S496" s="421"/>
      <c r="T496" s="517"/>
    </row>
    <row r="497" spans="1:20" ht="21" customHeight="1">
      <c r="A497" s="516"/>
      <c r="B497" s="206"/>
      <c r="C497" s="453"/>
      <c r="D497" s="453"/>
      <c r="E497" s="206"/>
      <c r="F497" s="206"/>
      <c r="G497" s="206"/>
      <c r="H497" s="206"/>
      <c r="I497" s="206"/>
      <c r="J497" s="206"/>
      <c r="K497" s="206"/>
      <c r="L497" s="206"/>
      <c r="M497" s="3"/>
      <c r="N497" s="206"/>
      <c r="O497" s="421"/>
      <c r="P497" s="421"/>
      <c r="Q497" s="206"/>
      <c r="R497" s="518"/>
      <c r="S497" s="421"/>
      <c r="T497" s="517"/>
    </row>
    <row r="498" spans="1:20" ht="21" customHeight="1">
      <c r="A498" s="516"/>
      <c r="B498" s="206"/>
      <c r="C498" s="453"/>
      <c r="D498" s="453"/>
      <c r="E498" s="206"/>
      <c r="F498" s="206"/>
      <c r="G498" s="206"/>
      <c r="H498" s="206"/>
      <c r="I498" s="206"/>
      <c r="J498" s="206"/>
      <c r="K498" s="206"/>
      <c r="L498" s="206"/>
      <c r="M498" s="3"/>
      <c r="N498" s="206"/>
      <c r="O498" s="421"/>
      <c r="P498" s="421"/>
      <c r="Q498" s="206"/>
      <c r="R498" s="206"/>
      <c r="S498" s="421"/>
      <c r="T498" s="517"/>
    </row>
    <row r="499" spans="1:20" ht="21" customHeight="1">
      <c r="A499" s="516"/>
      <c r="B499" s="206"/>
      <c r="C499" s="453"/>
      <c r="D499" s="453"/>
      <c r="E499" s="206"/>
      <c r="F499" s="206"/>
      <c r="G499" s="206"/>
      <c r="H499" s="206"/>
      <c r="I499" s="206"/>
      <c r="J499" s="206"/>
      <c r="K499" s="206"/>
      <c r="L499" s="206"/>
      <c r="M499" s="3"/>
      <c r="N499" s="206"/>
      <c r="O499" s="421"/>
      <c r="P499" s="421"/>
      <c r="Q499" s="206"/>
      <c r="R499" s="421"/>
      <c r="S499" s="421"/>
      <c r="T499" s="517"/>
    </row>
    <row r="500" spans="1:20" ht="21" customHeight="1">
      <c r="A500" s="516"/>
      <c r="B500" s="206"/>
      <c r="C500" s="453"/>
      <c r="D500" s="453"/>
      <c r="E500" s="206"/>
      <c r="F500" s="206"/>
      <c r="G500" s="206"/>
      <c r="H500" s="206"/>
      <c r="I500" s="206"/>
      <c r="J500" s="206"/>
      <c r="K500" s="206"/>
      <c r="L500" s="206"/>
      <c r="M500" s="3"/>
      <c r="N500" s="206"/>
      <c r="O500" s="421"/>
      <c r="P500" s="421"/>
      <c r="Q500" s="206"/>
      <c r="R500" s="206"/>
      <c r="S500" s="421"/>
      <c r="T500" s="527"/>
    </row>
    <row r="501" spans="1:20" ht="21" customHeight="1">
      <c r="A501" s="516"/>
      <c r="B501" s="206"/>
      <c r="C501" s="453"/>
      <c r="D501" s="453"/>
      <c r="E501" s="206"/>
      <c r="F501" s="206"/>
      <c r="G501" s="206"/>
      <c r="H501" s="206"/>
      <c r="I501" s="206"/>
      <c r="J501" s="206"/>
      <c r="K501" s="206"/>
      <c r="L501" s="206"/>
      <c r="M501" s="3"/>
      <c r="N501" s="206"/>
      <c r="O501" s="421"/>
      <c r="P501" s="421"/>
      <c r="Q501" s="206"/>
      <c r="R501" s="206"/>
      <c r="S501" s="421"/>
      <c r="T501" s="517"/>
    </row>
    <row r="502" spans="1:20" ht="21" customHeight="1">
      <c r="A502" s="516"/>
      <c r="B502" s="206"/>
      <c r="C502" s="453"/>
      <c r="D502" s="453"/>
      <c r="E502" s="206"/>
      <c r="F502" s="206"/>
      <c r="G502" s="206"/>
      <c r="H502" s="206"/>
      <c r="I502" s="206"/>
      <c r="J502" s="206"/>
      <c r="K502" s="206"/>
      <c r="L502" s="206"/>
      <c r="M502" s="3"/>
      <c r="N502" s="206"/>
      <c r="O502" s="421"/>
      <c r="P502" s="421"/>
      <c r="Q502" s="206"/>
      <c r="R502" s="421"/>
      <c r="S502" s="421"/>
      <c r="T502" s="517"/>
    </row>
    <row r="503" spans="1:20" ht="21" customHeight="1">
      <c r="A503" s="516"/>
      <c r="B503" s="206"/>
      <c r="C503" s="453"/>
      <c r="D503" s="453"/>
      <c r="E503" s="206"/>
      <c r="F503" s="206"/>
      <c r="G503" s="206"/>
      <c r="H503" s="206"/>
      <c r="I503" s="206"/>
      <c r="J503" s="206"/>
      <c r="K503" s="206"/>
      <c r="L503" s="206"/>
      <c r="M503" s="3"/>
      <c r="N503" s="206"/>
      <c r="O503" s="421"/>
      <c r="P503" s="421"/>
      <c r="Q503" s="206"/>
      <c r="R503" s="421"/>
      <c r="S503" s="421"/>
      <c r="T503" s="517"/>
    </row>
    <row r="504" spans="1:20" ht="21" customHeight="1">
      <c r="A504" s="516"/>
      <c r="B504" s="206"/>
      <c r="C504" s="453"/>
      <c r="D504" s="453"/>
      <c r="E504" s="206"/>
      <c r="F504" s="206"/>
      <c r="G504" s="206"/>
      <c r="H504" s="206"/>
      <c r="I504" s="206"/>
      <c r="J504" s="206"/>
      <c r="K504" s="206"/>
      <c r="L504" s="206"/>
      <c r="M504" s="3"/>
      <c r="N504" s="206"/>
      <c r="O504" s="421"/>
      <c r="P504" s="421"/>
      <c r="Q504" s="206"/>
      <c r="R504" s="421"/>
      <c r="S504" s="421"/>
      <c r="T504" s="517"/>
    </row>
    <row r="505" spans="1:20" s="553" customFormat="1" ht="21" customHeight="1">
      <c r="A505" s="516"/>
      <c r="B505" s="206"/>
      <c r="C505" s="453"/>
      <c r="D505" s="453"/>
      <c r="E505" s="206"/>
      <c r="F505" s="206"/>
      <c r="G505" s="206"/>
      <c r="H505" s="206"/>
      <c r="I505" s="206"/>
      <c r="J505" s="206"/>
      <c r="K505" s="206"/>
      <c r="L505" s="206"/>
      <c r="M505" s="3"/>
      <c r="N505" s="206"/>
      <c r="O505" s="421"/>
      <c r="P505" s="421"/>
      <c r="Q505" s="206"/>
      <c r="R505" s="421"/>
      <c r="S505" s="421"/>
      <c r="T505" s="517"/>
    </row>
    <row r="506" spans="1:20" ht="21" customHeight="1">
      <c r="A506" s="516"/>
      <c r="B506" s="206"/>
      <c r="C506" s="453"/>
      <c r="D506" s="453"/>
      <c r="E506" s="206"/>
      <c r="F506" s="206"/>
      <c r="G506" s="206"/>
      <c r="H506" s="206"/>
      <c r="I506" s="206"/>
      <c r="J506" s="206"/>
      <c r="K506" s="206"/>
      <c r="L506" s="206"/>
      <c r="M506" s="3"/>
      <c r="N506" s="206"/>
      <c r="O506" s="421"/>
      <c r="P506" s="421"/>
      <c r="Q506" s="206"/>
      <c r="R506" s="206"/>
      <c r="S506" s="421"/>
      <c r="T506" s="517"/>
    </row>
    <row r="507" spans="1:20" ht="21" customHeight="1">
      <c r="A507" s="516"/>
      <c r="B507" s="206"/>
      <c r="C507" s="453"/>
      <c r="D507" s="453"/>
      <c r="E507" s="206"/>
      <c r="F507" s="206"/>
      <c r="G507" s="206"/>
      <c r="H507" s="206"/>
      <c r="I507" s="206"/>
      <c r="J507" s="206"/>
      <c r="K507" s="206"/>
      <c r="L507" s="206"/>
      <c r="M507" s="3"/>
      <c r="N507" s="206"/>
      <c r="O507" s="421"/>
      <c r="P507" s="421"/>
      <c r="Q507" s="206"/>
      <c r="R507" s="206"/>
      <c r="S507" s="421"/>
      <c r="T507" s="517"/>
    </row>
    <row r="508" spans="1:20" ht="21" customHeight="1">
      <c r="A508" s="516"/>
      <c r="B508" s="206"/>
      <c r="C508" s="453"/>
      <c r="D508" s="453"/>
      <c r="E508" s="206"/>
      <c r="F508" s="206"/>
      <c r="G508" s="206"/>
      <c r="H508" s="206"/>
      <c r="I508" s="206"/>
      <c r="J508" s="206"/>
      <c r="K508" s="206"/>
      <c r="L508" s="206"/>
      <c r="M508" s="3"/>
      <c r="N508" s="206"/>
      <c r="O508" s="421"/>
      <c r="P508" s="421"/>
      <c r="Q508" s="206"/>
      <c r="R508" s="206"/>
      <c r="S508" s="421"/>
      <c r="T508" s="527"/>
    </row>
    <row r="509" spans="1:20" ht="21" customHeight="1">
      <c r="A509" s="516"/>
      <c r="B509" s="206"/>
      <c r="C509" s="453"/>
      <c r="D509" s="453"/>
      <c r="E509" s="206"/>
      <c r="F509" s="206"/>
      <c r="G509" s="206"/>
      <c r="H509" s="206"/>
      <c r="I509" s="206"/>
      <c r="J509" s="206"/>
      <c r="K509" s="206"/>
      <c r="L509" s="206"/>
      <c r="M509" s="3"/>
      <c r="N509" s="206"/>
      <c r="O509" s="422"/>
      <c r="P509" s="421"/>
      <c r="Q509" s="206"/>
      <c r="R509" s="206"/>
      <c r="S509" s="421"/>
      <c r="T509" s="517"/>
    </row>
    <row r="510" spans="1:20" ht="21" customHeight="1">
      <c r="A510" s="516"/>
      <c r="B510" s="206"/>
      <c r="C510" s="453"/>
      <c r="D510" s="453"/>
      <c r="E510" s="206"/>
      <c r="F510" s="206"/>
      <c r="G510" s="206"/>
      <c r="H510" s="206"/>
      <c r="I510" s="206"/>
      <c r="J510" s="206"/>
      <c r="K510" s="206"/>
      <c r="L510" s="206"/>
      <c r="M510" s="3"/>
      <c r="N510" s="206"/>
      <c r="O510" s="421"/>
      <c r="P510" s="421"/>
      <c r="Q510" s="206"/>
      <c r="R510" s="421"/>
      <c r="S510" s="421"/>
      <c r="T510" s="517"/>
    </row>
    <row r="511" spans="1:20" ht="21" customHeight="1">
      <c r="A511" s="516"/>
      <c r="B511" s="206"/>
      <c r="C511" s="453"/>
      <c r="D511" s="453"/>
      <c r="E511" s="206"/>
      <c r="F511" s="206"/>
      <c r="G511" s="206"/>
      <c r="H511" s="206"/>
      <c r="I511" s="206"/>
      <c r="J511" s="206"/>
      <c r="K511" s="206"/>
      <c r="L511" s="206"/>
      <c r="M511" s="3"/>
      <c r="N511" s="206"/>
      <c r="O511" s="421"/>
      <c r="P511" s="421"/>
      <c r="Q511" s="206"/>
      <c r="R511" s="421"/>
      <c r="S511" s="421"/>
      <c r="T511" s="517"/>
    </row>
    <row r="512" spans="1:20" ht="21" customHeight="1">
      <c r="A512" s="516"/>
      <c r="B512" s="206"/>
      <c r="C512" s="453"/>
      <c r="D512" s="453"/>
      <c r="E512" s="206"/>
      <c r="F512" s="206"/>
      <c r="G512" s="206"/>
      <c r="H512" s="206"/>
      <c r="I512" s="206"/>
      <c r="J512" s="206"/>
      <c r="K512" s="206"/>
      <c r="L512" s="206"/>
      <c r="M512" s="3"/>
      <c r="N512" s="206"/>
      <c r="O512" s="421"/>
      <c r="P512" s="421"/>
      <c r="Q512" s="206"/>
      <c r="R512" s="421"/>
      <c r="S512" s="421"/>
      <c r="T512" s="517"/>
    </row>
    <row r="513" spans="1:20" ht="21" customHeight="1">
      <c r="A513" s="516"/>
      <c r="B513" s="206"/>
      <c r="C513" s="453"/>
      <c r="D513" s="453"/>
      <c r="E513" s="206"/>
      <c r="F513" s="206"/>
      <c r="G513" s="206"/>
      <c r="H513" s="206"/>
      <c r="I513" s="206"/>
      <c r="J513" s="206"/>
      <c r="K513" s="206"/>
      <c r="L513" s="206"/>
      <c r="M513" s="3"/>
      <c r="N513" s="206"/>
      <c r="O513" s="421"/>
      <c r="P513" s="421"/>
      <c r="Q513" s="206"/>
      <c r="R513" s="421"/>
      <c r="S513" s="421"/>
      <c r="T513" s="517"/>
    </row>
    <row r="514" spans="1:20" ht="21" customHeight="1">
      <c r="A514" s="516"/>
      <c r="B514" s="206"/>
      <c r="C514" s="453"/>
      <c r="D514" s="453"/>
      <c r="E514" s="206"/>
      <c r="F514" s="206"/>
      <c r="G514" s="206"/>
      <c r="H514" s="206"/>
      <c r="I514" s="206"/>
      <c r="J514" s="206"/>
      <c r="K514" s="206"/>
      <c r="L514" s="206"/>
      <c r="M514" s="3"/>
      <c r="N514" s="206"/>
      <c r="O514" s="421"/>
      <c r="P514" s="421"/>
      <c r="Q514" s="206"/>
      <c r="R514" s="518"/>
      <c r="S514" s="421"/>
      <c r="T514" s="517"/>
    </row>
    <row r="515" spans="1:20" ht="21" customHeight="1">
      <c r="A515" s="516"/>
      <c r="B515" s="206"/>
      <c r="C515" s="453"/>
      <c r="D515" s="453"/>
      <c r="E515" s="206"/>
      <c r="F515" s="206"/>
      <c r="G515" s="206"/>
      <c r="H515" s="206"/>
      <c r="I515" s="206"/>
      <c r="J515" s="206"/>
      <c r="K515" s="206"/>
      <c r="L515" s="206"/>
      <c r="M515" s="3"/>
      <c r="N515" s="206"/>
      <c r="O515" s="421"/>
      <c r="P515" s="421"/>
      <c r="Q515" s="206"/>
      <c r="R515" s="519"/>
      <c r="S515" s="421"/>
      <c r="T515" s="527"/>
    </row>
    <row r="516" spans="1:20" ht="21" customHeight="1">
      <c r="A516" s="516"/>
      <c r="B516" s="206"/>
      <c r="C516" s="453"/>
      <c r="D516" s="453"/>
      <c r="E516" s="206"/>
      <c r="F516" s="206"/>
      <c r="G516" s="206"/>
      <c r="H516" s="206"/>
      <c r="I516" s="206"/>
      <c r="J516" s="206"/>
      <c r="K516" s="206"/>
      <c r="L516" s="206"/>
      <c r="M516" s="3"/>
      <c r="N516" s="206"/>
      <c r="O516" s="421"/>
      <c r="P516" s="421"/>
      <c r="Q516" s="206"/>
      <c r="R516" s="206"/>
      <c r="S516" s="421"/>
      <c r="T516" s="517"/>
    </row>
    <row r="517" spans="1:20" ht="21" customHeight="1">
      <c r="A517" s="516"/>
      <c r="B517" s="206"/>
      <c r="C517" s="453"/>
      <c r="D517" s="453"/>
      <c r="E517" s="206"/>
      <c r="F517" s="206"/>
      <c r="G517" s="206"/>
      <c r="H517" s="206"/>
      <c r="I517" s="206"/>
      <c r="J517" s="206"/>
      <c r="K517" s="206"/>
      <c r="L517" s="206"/>
      <c r="M517" s="3"/>
      <c r="N517" s="206"/>
      <c r="O517" s="421"/>
      <c r="P517" s="421"/>
      <c r="Q517" s="206"/>
      <c r="R517" s="421"/>
      <c r="S517" s="421"/>
      <c r="T517" s="517"/>
    </row>
    <row r="518" spans="1:20" ht="21" customHeight="1">
      <c r="A518" s="516"/>
      <c r="B518" s="206"/>
      <c r="C518" s="453"/>
      <c r="D518" s="453"/>
      <c r="E518" s="206"/>
      <c r="F518" s="206"/>
      <c r="G518" s="206"/>
      <c r="H518" s="206"/>
      <c r="I518" s="206"/>
      <c r="J518" s="206"/>
      <c r="K518" s="206"/>
      <c r="L518" s="206"/>
      <c r="M518" s="3"/>
      <c r="N518" s="206"/>
      <c r="O518" s="421"/>
      <c r="P518" s="421"/>
      <c r="Q518" s="206"/>
      <c r="R518" s="421"/>
      <c r="S518" s="421"/>
      <c r="T518" s="517"/>
    </row>
    <row r="519" spans="1:20" ht="21" customHeight="1">
      <c r="A519" s="516"/>
      <c r="B519" s="206"/>
      <c r="C519" s="453"/>
      <c r="D519" s="453"/>
      <c r="E519" s="206"/>
      <c r="F519" s="206"/>
      <c r="G519" s="206"/>
      <c r="H519" s="206"/>
      <c r="I519" s="206"/>
      <c r="J519" s="206"/>
      <c r="K519" s="206"/>
      <c r="L519" s="206"/>
      <c r="M519" s="3"/>
      <c r="N519" s="206"/>
      <c r="O519" s="421"/>
      <c r="P519" s="421"/>
      <c r="Q519" s="206"/>
      <c r="R519" s="421"/>
      <c r="S519" s="421"/>
      <c r="T519" s="517"/>
    </row>
    <row r="520" spans="1:20" ht="21" customHeight="1">
      <c r="A520" s="516"/>
      <c r="B520" s="206"/>
      <c r="C520" s="453"/>
      <c r="D520" s="453"/>
      <c r="E520" s="206"/>
      <c r="F520" s="206"/>
      <c r="G520" s="206"/>
      <c r="H520" s="206"/>
      <c r="I520" s="206"/>
      <c r="J520" s="206"/>
      <c r="K520" s="206"/>
      <c r="L520" s="206"/>
      <c r="M520" s="3"/>
      <c r="N520" s="206"/>
      <c r="O520" s="421"/>
      <c r="P520" s="421"/>
      <c r="Q520" s="206"/>
      <c r="R520" s="206"/>
      <c r="S520" s="421"/>
      <c r="T520" s="517"/>
    </row>
    <row r="521" spans="1:20" ht="21" customHeight="1">
      <c r="A521" s="516"/>
      <c r="B521" s="206"/>
      <c r="C521" s="453"/>
      <c r="D521" s="453"/>
      <c r="E521" s="206"/>
      <c r="F521" s="206"/>
      <c r="G521" s="206"/>
      <c r="H521" s="206"/>
      <c r="I521" s="206"/>
      <c r="J521" s="206"/>
      <c r="K521" s="206"/>
      <c r="L521" s="206"/>
      <c r="M521" s="3"/>
      <c r="N521" s="206"/>
      <c r="O521" s="421"/>
      <c r="P521" s="421"/>
      <c r="Q521" s="206"/>
      <c r="R521" s="421"/>
      <c r="S521" s="421"/>
      <c r="T521" s="517"/>
    </row>
    <row r="522" spans="1:20" ht="21" customHeight="1">
      <c r="A522" s="516"/>
      <c r="B522" s="206"/>
      <c r="C522" s="453"/>
      <c r="D522" s="453"/>
      <c r="E522" s="206"/>
      <c r="F522" s="206"/>
      <c r="G522" s="206"/>
      <c r="H522" s="206"/>
      <c r="I522" s="206"/>
      <c r="J522" s="206"/>
      <c r="K522" s="206"/>
      <c r="L522" s="206"/>
      <c r="M522" s="3"/>
      <c r="N522" s="206"/>
      <c r="O522" s="421"/>
      <c r="P522" s="421"/>
      <c r="Q522" s="460"/>
      <c r="R522" s="421"/>
      <c r="S522" s="421"/>
      <c r="T522" s="517"/>
    </row>
    <row r="523" spans="1:20" ht="21" customHeight="1">
      <c r="A523" s="516"/>
      <c r="B523" s="206"/>
      <c r="C523" s="453"/>
      <c r="D523" s="453"/>
      <c r="E523" s="206"/>
      <c r="F523" s="206"/>
      <c r="G523" s="206"/>
      <c r="H523" s="206"/>
      <c r="I523" s="206"/>
      <c r="J523" s="206"/>
      <c r="K523" s="206"/>
      <c r="L523" s="206"/>
      <c r="M523" s="3"/>
      <c r="N523" s="206"/>
      <c r="O523" s="421"/>
      <c r="P523" s="421"/>
      <c r="Q523" s="460"/>
      <c r="R523" s="421"/>
      <c r="S523" s="421"/>
      <c r="T523" s="517"/>
    </row>
    <row r="524" spans="1:20" ht="21" customHeight="1">
      <c r="A524" s="516"/>
      <c r="B524" s="206"/>
      <c r="C524" s="453"/>
      <c r="D524" s="453"/>
      <c r="E524" s="206"/>
      <c r="F524" s="206"/>
      <c r="G524" s="206"/>
      <c r="H524" s="206"/>
      <c r="I524" s="206"/>
      <c r="J524" s="206"/>
      <c r="K524" s="206"/>
      <c r="L524" s="206"/>
      <c r="M524" s="3"/>
      <c r="N524" s="206"/>
      <c r="O524" s="421"/>
      <c r="P524" s="421"/>
      <c r="Q524" s="460"/>
      <c r="R524" s="421"/>
      <c r="S524" s="421"/>
      <c r="T524" s="517"/>
    </row>
    <row r="525" spans="1:20" ht="21" customHeight="1">
      <c r="A525" s="516"/>
      <c r="B525" s="206"/>
      <c r="C525" s="453"/>
      <c r="D525" s="453"/>
      <c r="E525" s="206"/>
      <c r="F525" s="206"/>
      <c r="G525" s="206"/>
      <c r="H525" s="206"/>
      <c r="I525" s="206"/>
      <c r="J525" s="206"/>
      <c r="K525" s="206"/>
      <c r="L525" s="206"/>
      <c r="M525" s="3"/>
      <c r="N525" s="206"/>
      <c r="O525" s="421"/>
      <c r="P525" s="421"/>
      <c r="Q525" s="460"/>
      <c r="R525" s="421"/>
      <c r="S525" s="421"/>
      <c r="T525" s="517"/>
    </row>
    <row r="526" spans="1:20" ht="21" customHeight="1">
      <c r="A526" s="516"/>
      <c r="B526" s="206"/>
      <c r="C526" s="453"/>
      <c r="D526" s="453"/>
      <c r="E526" s="206"/>
      <c r="F526" s="206"/>
      <c r="G526" s="206"/>
      <c r="H526" s="206"/>
      <c r="I526" s="206"/>
      <c r="J526" s="206"/>
      <c r="K526" s="206"/>
      <c r="L526" s="206"/>
      <c r="M526" s="3"/>
      <c r="N526" s="206"/>
      <c r="O526" s="421"/>
      <c r="P526" s="421"/>
      <c r="Q526" s="206"/>
      <c r="R526" s="206"/>
      <c r="S526" s="421"/>
      <c r="T526" s="517"/>
    </row>
    <row r="527" spans="1:20" ht="21" customHeight="1">
      <c r="A527" s="516"/>
      <c r="B527" s="206"/>
      <c r="C527" s="453"/>
      <c r="D527" s="453"/>
      <c r="E527" s="206"/>
      <c r="F527" s="206"/>
      <c r="G527" s="206"/>
      <c r="H527" s="206"/>
      <c r="I527" s="206"/>
      <c r="J527" s="206"/>
      <c r="K527" s="206"/>
      <c r="L527" s="206"/>
      <c r="M527" s="3"/>
      <c r="N527" s="206"/>
      <c r="O527" s="421"/>
      <c r="P527" s="421"/>
      <c r="Q527" s="460"/>
      <c r="R527" s="421"/>
      <c r="S527" s="421"/>
      <c r="T527" s="517"/>
    </row>
    <row r="528" spans="1:20" ht="21" customHeight="1">
      <c r="A528" s="516"/>
      <c r="B528" s="206"/>
      <c r="C528" s="453"/>
      <c r="D528" s="453"/>
      <c r="E528" s="206"/>
      <c r="F528" s="206"/>
      <c r="G528" s="206"/>
      <c r="H528" s="206"/>
      <c r="I528" s="206"/>
      <c r="J528" s="206"/>
      <c r="K528" s="206"/>
      <c r="L528" s="206"/>
      <c r="M528" s="3"/>
      <c r="N528" s="206"/>
      <c r="O528" s="421"/>
      <c r="P528" s="421"/>
      <c r="Q528" s="206"/>
      <c r="R528" s="421"/>
      <c r="S528" s="421"/>
      <c r="T528" s="517"/>
    </row>
    <row r="529" spans="1:20" ht="21" customHeight="1">
      <c r="A529" s="516"/>
      <c r="B529" s="206"/>
      <c r="C529" s="453"/>
      <c r="D529" s="453"/>
      <c r="E529" s="206"/>
      <c r="F529" s="206"/>
      <c r="G529" s="206"/>
      <c r="H529" s="206"/>
      <c r="I529" s="206"/>
      <c r="J529" s="206"/>
      <c r="K529" s="206"/>
      <c r="L529" s="206"/>
      <c r="M529" s="3"/>
      <c r="N529" s="206"/>
      <c r="O529" s="421"/>
      <c r="P529" s="421"/>
      <c r="Q529" s="460"/>
      <c r="R529" s="421"/>
      <c r="S529" s="421"/>
      <c r="T529" s="517"/>
    </row>
    <row r="530" spans="1:20" ht="21" customHeight="1">
      <c r="A530" s="516"/>
      <c r="B530" s="206"/>
      <c r="C530" s="453"/>
      <c r="D530" s="453"/>
      <c r="E530" s="206"/>
      <c r="F530" s="206"/>
      <c r="G530" s="206"/>
      <c r="H530" s="206"/>
      <c r="I530" s="206"/>
      <c r="J530" s="206"/>
      <c r="K530" s="206"/>
      <c r="L530" s="206"/>
      <c r="M530" s="3"/>
      <c r="N530" s="206"/>
      <c r="O530" s="421"/>
      <c r="P530" s="421"/>
      <c r="Q530" s="206"/>
      <c r="R530" s="206"/>
      <c r="S530" s="421"/>
      <c r="T530" s="517"/>
    </row>
    <row r="531" spans="1:20" ht="21" customHeight="1">
      <c r="A531" s="516"/>
      <c r="B531" s="206"/>
      <c r="C531" s="453"/>
      <c r="D531" s="453"/>
      <c r="E531" s="206"/>
      <c r="F531" s="206"/>
      <c r="G531" s="206"/>
      <c r="H531" s="206"/>
      <c r="I531" s="206"/>
      <c r="J531" s="206"/>
      <c r="K531" s="206"/>
      <c r="L531" s="206"/>
      <c r="M531" s="3"/>
      <c r="N531" s="206"/>
      <c r="O531" s="421"/>
      <c r="P531" s="421"/>
      <c r="Q531" s="206"/>
      <c r="R531" s="421"/>
      <c r="S531" s="421"/>
      <c r="T531" s="517"/>
    </row>
    <row r="532" spans="1:20" ht="21" customHeight="1">
      <c r="A532" s="516"/>
      <c r="B532" s="206"/>
      <c r="C532" s="453"/>
      <c r="D532" s="453"/>
      <c r="E532" s="206"/>
      <c r="F532" s="206"/>
      <c r="G532" s="206"/>
      <c r="H532" s="206"/>
      <c r="I532" s="206"/>
      <c r="J532" s="206"/>
      <c r="K532" s="206"/>
      <c r="L532" s="206"/>
      <c r="M532" s="3"/>
      <c r="N532" s="206"/>
      <c r="O532" s="421"/>
      <c r="P532" s="421"/>
      <c r="Q532" s="460"/>
      <c r="R532" s="421"/>
      <c r="S532" s="421"/>
      <c r="T532" s="517"/>
    </row>
    <row r="533" spans="1:20" ht="21" customHeight="1">
      <c r="A533" s="516"/>
      <c r="B533" s="206"/>
      <c r="C533" s="453"/>
      <c r="D533" s="453"/>
      <c r="E533" s="206"/>
      <c r="F533" s="206"/>
      <c r="G533" s="206"/>
      <c r="H533" s="206"/>
      <c r="I533" s="206"/>
      <c r="J533" s="206"/>
      <c r="K533" s="206"/>
      <c r="L533" s="206"/>
      <c r="M533" s="3"/>
      <c r="N533" s="206"/>
      <c r="O533" s="421"/>
      <c r="P533" s="421"/>
      <c r="Q533" s="206"/>
      <c r="R533" s="421"/>
      <c r="S533" s="421"/>
      <c r="T533" s="517"/>
    </row>
    <row r="534" spans="1:20" ht="21" customHeight="1">
      <c r="A534" s="516"/>
      <c r="B534" s="206"/>
      <c r="C534" s="453"/>
      <c r="D534" s="453"/>
      <c r="E534" s="206"/>
      <c r="F534" s="206"/>
      <c r="G534" s="206"/>
      <c r="H534" s="206"/>
      <c r="I534" s="206"/>
      <c r="J534" s="206"/>
      <c r="K534" s="206"/>
      <c r="L534" s="206"/>
      <c r="M534" s="3"/>
      <c r="N534" s="206"/>
      <c r="O534" s="421"/>
      <c r="P534" s="421"/>
      <c r="Q534" s="206"/>
      <c r="R534" s="421"/>
      <c r="S534" s="421"/>
      <c r="T534" s="517"/>
    </row>
    <row r="535" spans="1:20" ht="21" customHeight="1">
      <c r="A535" s="516"/>
      <c r="B535" s="206"/>
      <c r="C535" s="453"/>
      <c r="D535" s="453"/>
      <c r="E535" s="206"/>
      <c r="F535" s="206"/>
      <c r="G535" s="206"/>
      <c r="H535" s="206"/>
      <c r="I535" s="206"/>
      <c r="J535" s="206"/>
      <c r="K535" s="206"/>
      <c r="L535" s="206"/>
      <c r="M535" s="3"/>
      <c r="N535" s="206"/>
      <c r="O535" s="421"/>
      <c r="P535" s="421"/>
      <c r="Q535" s="206"/>
      <c r="R535" s="206"/>
      <c r="S535" s="421"/>
      <c r="T535" s="517"/>
    </row>
    <row r="536" spans="1:20" ht="21" customHeight="1">
      <c r="A536" s="516"/>
      <c r="B536" s="206"/>
      <c r="C536" s="453"/>
      <c r="D536" s="453"/>
      <c r="E536" s="206"/>
      <c r="F536" s="206"/>
      <c r="G536" s="206"/>
      <c r="H536" s="206"/>
      <c r="I536" s="206"/>
      <c r="J536" s="206"/>
      <c r="K536" s="206"/>
      <c r="L536" s="206"/>
      <c r="M536" s="3"/>
      <c r="N536" s="206"/>
      <c r="O536" s="421"/>
      <c r="P536" s="421"/>
      <c r="Q536" s="206"/>
      <c r="R536" s="421"/>
      <c r="S536" s="421"/>
      <c r="T536" s="517"/>
    </row>
    <row r="537" spans="1:20" ht="21" customHeight="1">
      <c r="A537" s="516"/>
      <c r="B537" s="206"/>
      <c r="C537" s="453"/>
      <c r="D537" s="453"/>
      <c r="E537" s="206"/>
      <c r="F537" s="206"/>
      <c r="G537" s="206"/>
      <c r="H537" s="206"/>
      <c r="I537" s="206"/>
      <c r="J537" s="206"/>
      <c r="K537" s="206"/>
      <c r="L537" s="206"/>
      <c r="M537" s="3"/>
      <c r="N537" s="206"/>
      <c r="O537" s="421"/>
      <c r="P537" s="421"/>
      <c r="Q537" s="206"/>
      <c r="R537" s="206"/>
      <c r="S537" s="421"/>
      <c r="T537" s="517"/>
    </row>
    <row r="538" spans="1:20" ht="21" customHeight="1">
      <c r="A538" s="516"/>
      <c r="B538" s="206"/>
      <c r="C538" s="453"/>
      <c r="D538" s="453"/>
      <c r="E538" s="206"/>
      <c r="F538" s="206"/>
      <c r="G538" s="206"/>
      <c r="H538" s="206"/>
      <c r="I538" s="206"/>
      <c r="J538" s="206"/>
      <c r="K538" s="206"/>
      <c r="L538" s="206"/>
      <c r="M538" s="3"/>
      <c r="N538" s="206"/>
      <c r="O538" s="421"/>
      <c r="P538" s="421"/>
      <c r="Q538" s="206"/>
      <c r="R538" s="421"/>
      <c r="S538" s="421"/>
      <c r="T538" s="517"/>
    </row>
    <row r="539" spans="1:20" ht="21" customHeight="1">
      <c r="A539" s="516"/>
      <c r="B539" s="206"/>
      <c r="C539" s="453"/>
      <c r="D539" s="453"/>
      <c r="E539" s="206"/>
      <c r="F539" s="206"/>
      <c r="G539" s="206"/>
      <c r="H539" s="206"/>
      <c r="I539" s="206"/>
      <c r="J539" s="206"/>
      <c r="K539" s="206"/>
      <c r="L539" s="206"/>
      <c r="M539" s="3"/>
      <c r="N539" s="206"/>
      <c r="O539" s="421"/>
      <c r="P539" s="421"/>
      <c r="Q539" s="460"/>
      <c r="R539" s="421"/>
      <c r="S539" s="421"/>
      <c r="T539" s="517"/>
    </row>
    <row r="540" spans="1:20" ht="21" customHeight="1">
      <c r="A540" s="516"/>
      <c r="B540" s="206"/>
      <c r="C540" s="453"/>
      <c r="D540" s="453"/>
      <c r="E540" s="206"/>
      <c r="F540" s="206"/>
      <c r="G540" s="206"/>
      <c r="H540" s="206"/>
      <c r="I540" s="206"/>
      <c r="J540" s="206"/>
      <c r="K540" s="206"/>
      <c r="L540" s="206"/>
      <c r="M540" s="3"/>
      <c r="N540" s="206"/>
      <c r="O540" s="421"/>
      <c r="P540" s="421"/>
      <c r="Q540" s="206"/>
      <c r="R540" s="206"/>
      <c r="S540" s="421"/>
      <c r="T540" s="517"/>
    </row>
    <row r="541" spans="1:20" ht="21" customHeight="1">
      <c r="A541" s="516"/>
      <c r="B541" s="206"/>
      <c r="C541" s="453"/>
      <c r="D541" s="453"/>
      <c r="E541" s="206"/>
      <c r="F541" s="206"/>
      <c r="G541" s="206"/>
      <c r="H541" s="206"/>
      <c r="I541" s="206"/>
      <c r="J541" s="206"/>
      <c r="K541" s="206"/>
      <c r="L541" s="206"/>
      <c r="M541" s="3"/>
      <c r="N541" s="206"/>
      <c r="O541" s="421"/>
      <c r="P541" s="421"/>
      <c r="Q541" s="206"/>
      <c r="R541" s="421"/>
      <c r="S541" s="421"/>
      <c r="T541" s="517"/>
    </row>
    <row r="542" spans="1:20" ht="21" customHeight="1">
      <c r="A542" s="516"/>
      <c r="B542" s="206"/>
      <c r="C542" s="453"/>
      <c r="D542" s="453"/>
      <c r="E542" s="206"/>
      <c r="F542" s="206"/>
      <c r="G542" s="206"/>
      <c r="H542" s="206"/>
      <c r="I542" s="206"/>
      <c r="J542" s="206"/>
      <c r="K542" s="206"/>
      <c r="L542" s="206"/>
      <c r="M542" s="3"/>
      <c r="N542" s="206"/>
      <c r="O542" s="421"/>
      <c r="P542" s="421"/>
      <c r="Q542" s="206"/>
      <c r="R542" s="421"/>
      <c r="S542" s="421"/>
      <c r="T542" s="517"/>
    </row>
    <row r="543" spans="1:20" ht="21" customHeight="1">
      <c r="A543" s="516"/>
      <c r="B543" s="206"/>
      <c r="C543" s="453"/>
      <c r="D543" s="453"/>
      <c r="E543" s="206"/>
      <c r="F543" s="206"/>
      <c r="G543" s="206"/>
      <c r="H543" s="206"/>
      <c r="I543" s="206"/>
      <c r="J543" s="206"/>
      <c r="K543" s="206"/>
      <c r="L543" s="206"/>
      <c r="M543" s="3"/>
      <c r="N543" s="206"/>
      <c r="O543" s="421"/>
      <c r="P543" s="421"/>
      <c r="Q543" s="206"/>
      <c r="R543" s="421"/>
      <c r="S543" s="421"/>
      <c r="T543" s="517"/>
    </row>
    <row r="544" spans="1:20" ht="21" customHeight="1">
      <c r="A544" s="516"/>
      <c r="B544" s="206"/>
      <c r="C544" s="453"/>
      <c r="D544" s="453"/>
      <c r="E544" s="206"/>
      <c r="F544" s="206"/>
      <c r="G544" s="206"/>
      <c r="H544" s="206"/>
      <c r="I544" s="206"/>
      <c r="J544" s="206"/>
      <c r="K544" s="206"/>
      <c r="L544" s="206"/>
      <c r="M544" s="3"/>
      <c r="N544" s="206"/>
      <c r="O544" s="421"/>
      <c r="P544" s="421"/>
      <c r="Q544" s="206"/>
      <c r="R544" s="421"/>
      <c r="S544" s="421"/>
      <c r="T544" s="517"/>
    </row>
    <row r="545" spans="1:20" ht="21" customHeight="1">
      <c r="A545" s="516"/>
      <c r="B545" s="206"/>
      <c r="C545" s="453"/>
      <c r="D545" s="453"/>
      <c r="E545" s="206"/>
      <c r="F545" s="206"/>
      <c r="G545" s="206"/>
      <c r="H545" s="206"/>
      <c r="I545" s="206"/>
      <c r="J545" s="206"/>
      <c r="K545" s="206"/>
      <c r="L545" s="206"/>
      <c r="M545" s="3"/>
      <c r="N545" s="206"/>
      <c r="O545" s="421"/>
      <c r="P545" s="421"/>
      <c r="Q545" s="206"/>
      <c r="R545" s="206"/>
      <c r="S545" s="421"/>
      <c r="T545" s="527"/>
    </row>
    <row r="546" spans="1:20" ht="21" customHeight="1">
      <c r="A546" s="516"/>
      <c r="B546" s="206"/>
      <c r="C546" s="453"/>
      <c r="D546" s="453"/>
      <c r="E546" s="206"/>
      <c r="F546" s="206"/>
      <c r="G546" s="206"/>
      <c r="H546" s="206"/>
      <c r="I546" s="206"/>
      <c r="J546" s="206"/>
      <c r="K546" s="206"/>
      <c r="L546" s="206"/>
      <c r="M546" s="3"/>
      <c r="N546" s="206"/>
      <c r="O546" s="421"/>
      <c r="P546" s="421"/>
      <c r="Q546" s="206"/>
      <c r="R546" s="206"/>
      <c r="S546" s="421"/>
      <c r="T546" s="517"/>
    </row>
    <row r="547" spans="1:20" ht="21" customHeight="1">
      <c r="A547" s="516"/>
      <c r="B547" s="206"/>
      <c r="C547" s="453"/>
      <c r="D547" s="453"/>
      <c r="E547" s="206"/>
      <c r="F547" s="206"/>
      <c r="G547" s="206"/>
      <c r="H547" s="206"/>
      <c r="I547" s="206"/>
      <c r="J547" s="206"/>
      <c r="K547" s="206"/>
      <c r="L547" s="206"/>
      <c r="M547" s="3"/>
      <c r="N547" s="206"/>
      <c r="O547" s="421"/>
      <c r="P547" s="421"/>
      <c r="Q547" s="206"/>
      <c r="R547" s="421"/>
      <c r="S547" s="421"/>
      <c r="T547" s="517"/>
    </row>
    <row r="548" spans="1:20" ht="21" customHeight="1">
      <c r="A548" s="516"/>
      <c r="B548" s="206"/>
      <c r="C548" s="453"/>
      <c r="D548" s="453"/>
      <c r="E548" s="206"/>
      <c r="F548" s="206"/>
      <c r="G548" s="206"/>
      <c r="H548" s="206"/>
      <c r="I548" s="206"/>
      <c r="J548" s="206"/>
      <c r="K548" s="206"/>
      <c r="L548" s="206"/>
      <c r="M548" s="3"/>
      <c r="N548" s="206"/>
      <c r="O548" s="421"/>
      <c r="P548" s="421"/>
      <c r="Q548" s="206"/>
      <c r="R548" s="421"/>
      <c r="S548" s="421"/>
      <c r="T548" s="517"/>
    </row>
    <row r="549" spans="1:20" ht="21" customHeight="1">
      <c r="A549" s="516"/>
      <c r="B549" s="206"/>
      <c r="C549" s="453"/>
      <c r="D549" s="453"/>
      <c r="E549" s="206"/>
      <c r="F549" s="206"/>
      <c r="G549" s="206"/>
      <c r="H549" s="206"/>
      <c r="I549" s="206"/>
      <c r="J549" s="206"/>
      <c r="K549" s="206"/>
      <c r="L549" s="206"/>
      <c r="M549" s="3"/>
      <c r="N549" s="206"/>
      <c r="O549" s="421"/>
      <c r="P549" s="421"/>
      <c r="Q549" s="206"/>
      <c r="R549" s="421"/>
      <c r="S549" s="421"/>
      <c r="T549" s="517"/>
    </row>
    <row r="550" spans="1:20" ht="21" customHeight="1">
      <c r="A550" s="516"/>
      <c r="B550" s="206"/>
      <c r="C550" s="453"/>
      <c r="D550" s="453"/>
      <c r="E550" s="206"/>
      <c r="F550" s="206"/>
      <c r="G550" s="206"/>
      <c r="H550" s="206"/>
      <c r="I550" s="206"/>
      <c r="J550" s="206"/>
      <c r="K550" s="206"/>
      <c r="L550" s="206"/>
      <c r="M550" s="3"/>
      <c r="N550" s="206"/>
      <c r="O550" s="421"/>
      <c r="P550" s="421"/>
      <c r="Q550" s="206"/>
      <c r="R550" s="421"/>
      <c r="S550" s="421"/>
      <c r="T550" s="517"/>
    </row>
    <row r="551" spans="1:20" ht="21" customHeight="1">
      <c r="A551" s="516"/>
      <c r="B551" s="206"/>
      <c r="C551" s="453"/>
      <c r="D551" s="453"/>
      <c r="E551" s="206"/>
      <c r="F551" s="206"/>
      <c r="G551" s="206"/>
      <c r="H551" s="206"/>
      <c r="I551" s="206"/>
      <c r="J551" s="206"/>
      <c r="K551" s="206"/>
      <c r="L551" s="206"/>
      <c r="M551" s="3"/>
      <c r="N551" s="206"/>
      <c r="O551" s="421"/>
      <c r="P551" s="421"/>
      <c r="Q551" s="206"/>
      <c r="R551" s="206"/>
      <c r="S551" s="421"/>
      <c r="T551" s="517"/>
    </row>
    <row r="552" spans="1:20" ht="21" customHeight="1">
      <c r="A552" s="516"/>
      <c r="B552" s="206"/>
      <c r="C552" s="453"/>
      <c r="D552" s="453"/>
      <c r="E552" s="206"/>
      <c r="F552" s="206"/>
      <c r="G552" s="206"/>
      <c r="H552" s="206"/>
      <c r="I552" s="206"/>
      <c r="J552" s="206"/>
      <c r="K552" s="206"/>
      <c r="L552" s="206"/>
      <c r="M552" s="3"/>
      <c r="N552" s="206"/>
      <c r="O552" s="421"/>
      <c r="P552" s="421"/>
      <c r="Q552" s="206"/>
      <c r="R552" s="421"/>
      <c r="S552" s="421"/>
      <c r="T552" s="517"/>
    </row>
    <row r="553" spans="1:20" ht="21" customHeight="1">
      <c r="A553" s="516"/>
      <c r="B553" s="206"/>
      <c r="C553" s="453"/>
      <c r="D553" s="453"/>
      <c r="E553" s="206"/>
      <c r="F553" s="206"/>
      <c r="G553" s="206"/>
      <c r="H553" s="206"/>
      <c r="I553" s="206"/>
      <c r="J553" s="206"/>
      <c r="K553" s="206"/>
      <c r="L553" s="206"/>
      <c r="M553" s="3"/>
      <c r="N553" s="206"/>
      <c r="O553" s="421"/>
      <c r="P553" s="421"/>
      <c r="Q553" s="463"/>
      <c r="R553" s="421"/>
      <c r="S553" s="421"/>
      <c r="T553" s="517"/>
    </row>
    <row r="554" spans="1:20" ht="21" customHeight="1">
      <c r="A554" s="516"/>
      <c r="B554" s="206"/>
      <c r="C554" s="453"/>
      <c r="D554" s="453"/>
      <c r="E554" s="206"/>
      <c r="F554" s="206"/>
      <c r="G554" s="206"/>
      <c r="H554" s="206"/>
      <c r="I554" s="206"/>
      <c r="J554" s="206"/>
      <c r="K554" s="206"/>
      <c r="L554" s="206"/>
      <c r="M554" s="3"/>
      <c r="N554" s="206"/>
      <c r="O554" s="421"/>
      <c r="P554" s="421"/>
      <c r="Q554" s="206"/>
      <c r="R554" s="421"/>
      <c r="S554" s="421"/>
      <c r="T554" s="517"/>
    </row>
    <row r="555" spans="1:20" ht="21" customHeight="1">
      <c r="A555" s="516"/>
      <c r="B555" s="206"/>
      <c r="C555" s="453"/>
      <c r="D555" s="453"/>
      <c r="E555" s="206"/>
      <c r="F555" s="206"/>
      <c r="G555" s="206"/>
      <c r="H555" s="206"/>
      <c r="I555" s="206"/>
      <c r="J555" s="206"/>
      <c r="K555" s="206"/>
      <c r="L555" s="206"/>
      <c r="M555" s="3"/>
      <c r="N555" s="206"/>
      <c r="O555" s="421"/>
      <c r="P555" s="421"/>
      <c r="Q555" s="206"/>
      <c r="R555" s="421"/>
      <c r="S555" s="421"/>
      <c r="T555" s="517"/>
    </row>
    <row r="556" spans="1:20" ht="30" customHeight="1">
      <c r="A556" s="516"/>
      <c r="B556" s="206"/>
      <c r="C556" s="453"/>
      <c r="D556" s="453"/>
      <c r="E556" s="206"/>
      <c r="F556" s="206"/>
      <c r="G556" s="206"/>
      <c r="H556" s="206"/>
      <c r="I556" s="206"/>
      <c r="J556" s="206"/>
      <c r="K556" s="206"/>
      <c r="L556" s="206"/>
      <c r="M556" s="3"/>
      <c r="N556" s="206"/>
      <c r="O556" s="421"/>
      <c r="P556" s="421"/>
      <c r="Q556" s="206"/>
      <c r="R556" s="421"/>
      <c r="S556" s="421"/>
      <c r="T556" s="517"/>
    </row>
    <row r="557" spans="1:20" ht="21" customHeight="1">
      <c r="A557" s="516"/>
      <c r="B557" s="206"/>
      <c r="C557" s="453"/>
      <c r="D557" s="453"/>
      <c r="E557" s="206"/>
      <c r="F557" s="206"/>
      <c r="G557" s="206"/>
      <c r="H557" s="206"/>
      <c r="I557" s="206"/>
      <c r="J557" s="206"/>
      <c r="K557" s="206"/>
      <c r="L557" s="206"/>
      <c r="M557" s="3"/>
      <c r="N557" s="206"/>
      <c r="O557" s="421"/>
      <c r="P557" s="421"/>
      <c r="Q557" s="206"/>
      <c r="R557" s="421"/>
      <c r="S557" s="421"/>
      <c r="T557" s="517"/>
    </row>
    <row r="558" spans="1:20" ht="21" customHeight="1">
      <c r="A558" s="516"/>
      <c r="B558" s="206"/>
      <c r="C558" s="453"/>
      <c r="D558" s="453"/>
      <c r="E558" s="206"/>
      <c r="F558" s="206"/>
      <c r="G558" s="206"/>
      <c r="H558" s="206"/>
      <c r="I558" s="206"/>
      <c r="J558" s="206"/>
      <c r="K558" s="206"/>
      <c r="L558" s="206"/>
      <c r="M558" s="3"/>
      <c r="N558" s="206"/>
      <c r="O558" s="421"/>
      <c r="P558" s="421"/>
      <c r="Q558" s="206"/>
      <c r="R558" s="206"/>
      <c r="S558" s="421"/>
      <c r="T558" s="517"/>
    </row>
    <row r="559" spans="1:20" ht="21" customHeight="1">
      <c r="A559" s="516"/>
      <c r="B559" s="206"/>
      <c r="C559" s="453"/>
      <c r="D559" s="453"/>
      <c r="E559" s="206"/>
      <c r="F559" s="206"/>
      <c r="G559" s="206"/>
      <c r="H559" s="206"/>
      <c r="I559" s="206"/>
      <c r="J559" s="206"/>
      <c r="K559" s="206"/>
      <c r="L559" s="206"/>
      <c r="M559" s="3"/>
      <c r="N559" s="206"/>
      <c r="O559" s="421"/>
      <c r="P559" s="421"/>
      <c r="Q559" s="206"/>
      <c r="R559" s="421"/>
      <c r="S559" s="421"/>
      <c r="T559" s="517"/>
    </row>
    <row r="560" spans="1:20" ht="21" customHeight="1">
      <c r="A560" s="516"/>
      <c r="B560" s="206"/>
      <c r="C560" s="453"/>
      <c r="D560" s="453"/>
      <c r="E560" s="206"/>
      <c r="F560" s="206"/>
      <c r="G560" s="206"/>
      <c r="H560" s="206"/>
      <c r="I560" s="206"/>
      <c r="J560" s="206"/>
      <c r="K560" s="206"/>
      <c r="L560" s="206"/>
      <c r="M560" s="3"/>
      <c r="N560" s="206"/>
      <c r="O560" s="421"/>
      <c r="P560" s="421"/>
      <c r="Q560" s="460"/>
      <c r="R560" s="421"/>
      <c r="S560" s="421"/>
      <c r="T560" s="517"/>
    </row>
    <row r="561" spans="1:20" ht="21" customHeight="1">
      <c r="A561" s="516"/>
      <c r="B561" s="206"/>
      <c r="C561" s="453"/>
      <c r="D561" s="453"/>
      <c r="E561" s="206"/>
      <c r="F561" s="206"/>
      <c r="G561" s="206"/>
      <c r="H561" s="206"/>
      <c r="I561" s="206"/>
      <c r="J561" s="206"/>
      <c r="K561" s="206"/>
      <c r="L561" s="206"/>
      <c r="M561" s="3"/>
      <c r="N561" s="206"/>
      <c r="O561" s="421"/>
      <c r="P561" s="421"/>
      <c r="Q561" s="206"/>
      <c r="R561" s="421"/>
      <c r="S561" s="421"/>
      <c r="T561" s="517"/>
    </row>
    <row r="562" spans="1:20" ht="21" customHeight="1">
      <c r="A562" s="516"/>
      <c r="B562" s="206"/>
      <c r="C562" s="453"/>
      <c r="D562" s="453"/>
      <c r="E562" s="206"/>
      <c r="F562" s="206"/>
      <c r="G562" s="206"/>
      <c r="H562" s="206"/>
      <c r="I562" s="206"/>
      <c r="J562" s="206"/>
      <c r="K562" s="206"/>
      <c r="L562" s="206"/>
      <c r="M562" s="3"/>
      <c r="N562" s="206"/>
      <c r="O562" s="421"/>
      <c r="P562" s="421"/>
      <c r="Q562" s="206"/>
      <c r="R562" s="206"/>
      <c r="S562" s="421"/>
      <c r="T562" s="517"/>
    </row>
    <row r="563" spans="1:20" ht="21" customHeight="1">
      <c r="A563" s="516"/>
      <c r="B563" s="206"/>
      <c r="C563" s="453"/>
      <c r="D563" s="453"/>
      <c r="E563" s="206"/>
      <c r="F563" s="206"/>
      <c r="G563" s="206"/>
      <c r="H563" s="206"/>
      <c r="I563" s="206"/>
      <c r="J563" s="206"/>
      <c r="K563" s="206"/>
      <c r="L563" s="206"/>
      <c r="M563" s="3"/>
      <c r="N563" s="206"/>
      <c r="O563" s="421"/>
      <c r="P563" s="421"/>
      <c r="Q563" s="206"/>
      <c r="R563" s="421"/>
      <c r="S563" s="421"/>
      <c r="T563" s="517"/>
    </row>
    <row r="564" spans="1:20" ht="21" customHeight="1">
      <c r="A564" s="516"/>
      <c r="B564" s="206"/>
      <c r="C564" s="453"/>
      <c r="D564" s="453"/>
      <c r="E564" s="206"/>
      <c r="F564" s="206"/>
      <c r="G564" s="206"/>
      <c r="H564" s="206"/>
      <c r="I564" s="206"/>
      <c r="J564" s="206"/>
      <c r="K564" s="206"/>
      <c r="L564" s="206"/>
      <c r="M564" s="3"/>
      <c r="N564" s="206"/>
      <c r="O564" s="421"/>
      <c r="P564" s="421"/>
      <c r="Q564" s="460"/>
      <c r="R564" s="421"/>
      <c r="S564" s="421"/>
      <c r="T564" s="517"/>
    </row>
    <row r="565" spans="1:20" ht="21" customHeight="1">
      <c r="A565" s="516"/>
      <c r="B565" s="206"/>
      <c r="C565" s="453"/>
      <c r="D565" s="453"/>
      <c r="E565" s="206"/>
      <c r="F565" s="206"/>
      <c r="G565" s="206"/>
      <c r="H565" s="206"/>
      <c r="I565" s="206"/>
      <c r="J565" s="206"/>
      <c r="K565" s="206"/>
      <c r="L565" s="206"/>
      <c r="M565" s="3"/>
      <c r="N565" s="206"/>
      <c r="O565" s="421"/>
      <c r="P565" s="421"/>
      <c r="Q565" s="206"/>
      <c r="R565" s="421"/>
      <c r="S565" s="421"/>
      <c r="T565" s="517"/>
    </row>
    <row r="566" spans="1:20" ht="21" customHeight="1">
      <c r="A566" s="516"/>
      <c r="B566" s="206"/>
      <c r="C566" s="453"/>
      <c r="D566" s="453"/>
      <c r="E566" s="206"/>
      <c r="F566" s="206"/>
      <c r="G566" s="206"/>
      <c r="H566" s="206"/>
      <c r="I566" s="206"/>
      <c r="J566" s="206"/>
      <c r="K566" s="206"/>
      <c r="L566" s="206"/>
      <c r="M566" s="3"/>
      <c r="N566" s="206"/>
      <c r="O566" s="421"/>
      <c r="P566" s="421"/>
      <c r="Q566" s="206"/>
      <c r="R566" s="421"/>
      <c r="S566" s="421"/>
      <c r="T566" s="517"/>
    </row>
    <row r="567" spans="1:20" ht="33" customHeight="1">
      <c r="A567" s="516"/>
      <c r="B567" s="206"/>
      <c r="C567" s="453"/>
      <c r="D567" s="453"/>
      <c r="E567" s="206"/>
      <c r="F567" s="206"/>
      <c r="G567" s="206"/>
      <c r="H567" s="206"/>
      <c r="I567" s="206"/>
      <c r="J567" s="206"/>
      <c r="K567" s="206"/>
      <c r="L567" s="206"/>
      <c r="M567" s="3"/>
      <c r="N567" s="206"/>
      <c r="O567" s="421"/>
      <c r="P567" s="421"/>
      <c r="Q567" s="206"/>
      <c r="R567" s="206"/>
      <c r="S567" s="421"/>
      <c r="T567" s="527"/>
    </row>
    <row r="568" spans="1:20" ht="21" customHeight="1">
      <c r="A568" s="516"/>
      <c r="B568" s="206"/>
      <c r="C568" s="453"/>
      <c r="D568" s="453"/>
      <c r="E568" s="206"/>
      <c r="F568" s="563"/>
      <c r="G568" s="206"/>
      <c r="H568" s="206"/>
      <c r="I568" s="206"/>
      <c r="J568" s="206"/>
      <c r="K568" s="206"/>
      <c r="L568" s="206"/>
      <c r="M568" s="3"/>
      <c r="N568" s="206"/>
      <c r="O568" s="421"/>
      <c r="P568" s="421"/>
      <c r="Q568" s="206"/>
      <c r="R568" s="456"/>
      <c r="S568" s="421"/>
      <c r="T568" s="517"/>
    </row>
    <row r="569" spans="1:20" ht="21" customHeight="1">
      <c r="A569" s="516"/>
      <c r="B569" s="206"/>
      <c r="C569" s="453"/>
      <c r="D569" s="453"/>
      <c r="E569" s="206"/>
      <c r="F569" s="563"/>
      <c r="G569" s="206"/>
      <c r="H569" s="206"/>
      <c r="I569" s="206"/>
      <c r="J569" s="206"/>
      <c r="K569" s="206"/>
      <c r="L569" s="206"/>
      <c r="M569" s="3"/>
      <c r="N569" s="206"/>
      <c r="O569" s="421"/>
      <c r="P569" s="421"/>
      <c r="Q569" s="206"/>
      <c r="R569" s="421"/>
      <c r="S569" s="421"/>
      <c r="T569" s="517"/>
    </row>
    <row r="570" spans="1:20" ht="21" customHeight="1">
      <c r="A570" s="516"/>
      <c r="B570" s="206"/>
      <c r="C570" s="453"/>
      <c r="D570" s="453"/>
      <c r="E570" s="206"/>
      <c r="F570" s="206"/>
      <c r="G570" s="206"/>
      <c r="H570" s="206"/>
      <c r="I570" s="206"/>
      <c r="J570" s="206"/>
      <c r="K570" s="206"/>
      <c r="L570" s="206"/>
      <c r="M570" s="3"/>
      <c r="N570" s="206"/>
      <c r="O570" s="421"/>
      <c r="P570" s="421"/>
      <c r="Q570" s="206"/>
      <c r="R570" s="421"/>
      <c r="S570" s="421"/>
      <c r="T570" s="517"/>
    </row>
    <row r="571" spans="1:20" ht="21" customHeight="1">
      <c r="A571" s="516"/>
      <c r="B571" s="206"/>
      <c r="C571" s="453"/>
      <c r="D571" s="453"/>
      <c r="E571" s="206"/>
      <c r="F571" s="206"/>
      <c r="G571" s="206"/>
      <c r="H571" s="206"/>
      <c r="I571" s="206"/>
      <c r="J571" s="206"/>
      <c r="K571" s="206"/>
      <c r="L571" s="206"/>
      <c r="M571" s="3"/>
      <c r="N571" s="206"/>
      <c r="O571" s="421"/>
      <c r="P571" s="421"/>
      <c r="Q571" s="206"/>
      <c r="R571" s="206"/>
      <c r="S571" s="421"/>
      <c r="T571" s="517"/>
    </row>
    <row r="572" spans="1:20" customFormat="1" ht="21" customHeight="1">
      <c r="A572" s="516"/>
      <c r="B572" s="206"/>
      <c r="C572" s="453"/>
      <c r="D572" s="453"/>
      <c r="E572" s="206"/>
      <c r="F572" s="206"/>
      <c r="G572" s="206"/>
      <c r="H572" s="206"/>
      <c r="I572" s="206"/>
      <c r="J572" s="206"/>
      <c r="K572" s="206"/>
      <c r="L572" s="206"/>
      <c r="M572" s="3"/>
      <c r="N572" s="206"/>
      <c r="O572" s="421"/>
      <c r="P572" s="421"/>
      <c r="Q572" s="206"/>
      <c r="R572" s="421"/>
      <c r="S572" s="421"/>
      <c r="T572" s="517"/>
    </row>
    <row r="573" spans="1:20" customFormat="1" ht="21" customHeight="1">
      <c r="A573" s="516"/>
      <c r="B573" s="206"/>
      <c r="C573" s="453"/>
      <c r="D573" s="453"/>
      <c r="E573" s="206"/>
      <c r="F573" s="206"/>
      <c r="G573" s="206"/>
      <c r="H573" s="206"/>
      <c r="I573" s="206"/>
      <c r="J573" s="206"/>
      <c r="K573" s="206"/>
      <c r="L573" s="206"/>
      <c r="M573" s="3"/>
      <c r="N573" s="206"/>
      <c r="O573" s="421"/>
      <c r="P573" s="421"/>
      <c r="Q573" s="206"/>
      <c r="R573" s="206"/>
      <c r="S573" s="421"/>
      <c r="T573" s="517"/>
    </row>
    <row r="574" spans="1:20" ht="21" customHeight="1">
      <c r="A574" s="516"/>
      <c r="B574" s="206"/>
      <c r="C574" s="453"/>
      <c r="D574" s="453"/>
      <c r="E574" s="206"/>
      <c r="F574" s="206"/>
      <c r="G574" s="206"/>
      <c r="H574" s="206"/>
      <c r="I574" s="206"/>
      <c r="J574" s="206"/>
      <c r="K574" s="206"/>
      <c r="L574" s="206"/>
      <c r="M574" s="3"/>
      <c r="N574" s="206"/>
      <c r="O574" s="421"/>
      <c r="P574" s="421"/>
      <c r="Q574" s="206"/>
      <c r="R574" s="421"/>
      <c r="S574" s="421"/>
      <c r="T574" s="517"/>
    </row>
    <row r="575" spans="1:20" ht="21" customHeight="1">
      <c r="A575" s="516"/>
      <c r="B575" s="206"/>
      <c r="C575" s="453"/>
      <c r="D575" s="453"/>
      <c r="E575" s="206"/>
      <c r="F575" s="206"/>
      <c r="G575" s="206"/>
      <c r="H575" s="206"/>
      <c r="I575" s="206"/>
      <c r="J575" s="206"/>
      <c r="K575" s="206"/>
      <c r="L575" s="206"/>
      <c r="M575" s="3"/>
      <c r="N575" s="206"/>
      <c r="O575" s="421"/>
      <c r="P575" s="421"/>
      <c r="Q575" s="460"/>
      <c r="R575" s="421"/>
      <c r="S575" s="421"/>
      <c r="T575" s="517"/>
    </row>
    <row r="576" spans="1:20" ht="21" customHeight="1">
      <c r="A576" s="516"/>
      <c r="B576" s="206"/>
      <c r="C576" s="453"/>
      <c r="D576" s="453"/>
      <c r="E576" s="206"/>
      <c r="F576" s="206"/>
      <c r="G576" s="206"/>
      <c r="H576" s="206"/>
      <c r="I576" s="206"/>
      <c r="J576" s="206"/>
      <c r="K576" s="206"/>
      <c r="L576" s="206"/>
      <c r="M576" s="3"/>
      <c r="N576" s="206"/>
      <c r="O576" s="421"/>
      <c r="P576" s="421"/>
      <c r="Q576" s="206"/>
      <c r="R576" s="421"/>
      <c r="S576" s="421"/>
      <c r="T576" s="517"/>
    </row>
    <row r="577" spans="1:20" ht="21" customHeight="1">
      <c r="A577" s="516"/>
      <c r="B577" s="206"/>
      <c r="C577" s="453"/>
      <c r="D577" s="453"/>
      <c r="E577" s="206"/>
      <c r="F577" s="206"/>
      <c r="G577" s="206"/>
      <c r="H577" s="206"/>
      <c r="I577" s="206"/>
      <c r="J577" s="206"/>
      <c r="K577" s="206"/>
      <c r="L577" s="206"/>
      <c r="M577" s="3"/>
      <c r="N577" s="206"/>
      <c r="O577" s="421"/>
      <c r="P577" s="421"/>
      <c r="Q577" s="206"/>
      <c r="R577" s="421"/>
      <c r="S577" s="421"/>
      <c r="T577" s="517"/>
    </row>
    <row r="578" spans="1:20" ht="21" customHeight="1">
      <c r="A578" s="516"/>
      <c r="B578" s="206"/>
      <c r="C578" s="453"/>
      <c r="D578" s="453"/>
      <c r="E578" s="206"/>
      <c r="F578" s="206"/>
      <c r="G578" s="206"/>
      <c r="H578" s="206"/>
      <c r="I578" s="206"/>
      <c r="J578" s="206"/>
      <c r="K578" s="206"/>
      <c r="L578" s="206"/>
      <c r="M578" s="3"/>
      <c r="N578" s="206"/>
      <c r="O578" s="421"/>
      <c r="P578" s="421"/>
      <c r="Q578" s="206"/>
      <c r="R578" s="421"/>
      <c r="S578" s="421"/>
      <c r="T578" s="517"/>
    </row>
    <row r="579" spans="1:20" ht="21" customHeight="1">
      <c r="A579" s="516"/>
      <c r="B579" s="206"/>
      <c r="C579" s="453"/>
      <c r="D579" s="453"/>
      <c r="E579" s="206"/>
      <c r="F579" s="206"/>
      <c r="G579" s="206"/>
      <c r="H579" s="206"/>
      <c r="I579" s="206"/>
      <c r="J579" s="206"/>
      <c r="K579" s="206"/>
      <c r="L579" s="206"/>
      <c r="M579" s="3"/>
      <c r="N579" s="206"/>
      <c r="O579" s="421"/>
      <c r="P579" s="421"/>
      <c r="Q579" s="206"/>
      <c r="R579" s="421"/>
      <c r="S579" s="421"/>
      <c r="T579" s="517"/>
    </row>
    <row r="580" spans="1:20" ht="21" customHeight="1">
      <c r="A580" s="516"/>
      <c r="B580" s="206"/>
      <c r="C580" s="453"/>
      <c r="D580" s="453"/>
      <c r="E580" s="206"/>
      <c r="F580" s="206"/>
      <c r="G580" s="206"/>
      <c r="H580" s="206"/>
      <c r="I580" s="206"/>
      <c r="J580" s="206"/>
      <c r="K580" s="206"/>
      <c r="L580" s="206"/>
      <c r="M580" s="3"/>
      <c r="N580" s="206"/>
      <c r="O580" s="421"/>
      <c r="P580" s="421"/>
      <c r="Q580" s="206"/>
      <c r="R580" s="421"/>
      <c r="S580" s="421"/>
      <c r="T580" s="517"/>
    </row>
    <row r="581" spans="1:20" ht="21" customHeight="1">
      <c r="A581" s="516"/>
      <c r="B581" s="206"/>
      <c r="C581" s="453"/>
      <c r="D581" s="453"/>
      <c r="E581" s="206"/>
      <c r="F581" s="206"/>
      <c r="G581" s="206"/>
      <c r="H581" s="206"/>
      <c r="I581" s="206"/>
      <c r="J581" s="206"/>
      <c r="K581" s="206"/>
      <c r="L581" s="206"/>
      <c r="M581" s="3"/>
      <c r="N581" s="206"/>
      <c r="O581" s="421"/>
      <c r="P581" s="421"/>
      <c r="Q581" s="206"/>
      <c r="R581" s="421"/>
      <c r="S581" s="421"/>
      <c r="T581" s="517"/>
    </row>
    <row r="582" spans="1:20" ht="21" customHeight="1">
      <c r="A582" s="516"/>
      <c r="B582" s="206"/>
      <c r="C582" s="453"/>
      <c r="D582" s="453"/>
      <c r="E582" s="206"/>
      <c r="F582" s="206"/>
      <c r="G582" s="206"/>
      <c r="H582" s="206"/>
      <c r="I582" s="206"/>
      <c r="J582" s="206"/>
      <c r="K582" s="206"/>
      <c r="L582" s="206"/>
      <c r="M582" s="3"/>
      <c r="N582" s="206"/>
      <c r="O582" s="421"/>
      <c r="P582" s="421"/>
      <c r="Q582" s="206"/>
      <c r="R582" s="206"/>
      <c r="S582" s="421"/>
      <c r="T582" s="517"/>
    </row>
    <row r="583" spans="1:20" ht="21" customHeight="1">
      <c r="A583" s="516"/>
      <c r="B583" s="206"/>
      <c r="C583" s="453"/>
      <c r="D583" s="453"/>
      <c r="E583" s="206"/>
      <c r="F583" s="206"/>
      <c r="G583" s="206"/>
      <c r="H583" s="206"/>
      <c r="I583" s="206"/>
      <c r="J583" s="206"/>
      <c r="K583" s="206"/>
      <c r="L583" s="206"/>
      <c r="M583" s="3"/>
      <c r="N583" s="206"/>
      <c r="O583" s="421"/>
      <c r="P583" s="421"/>
      <c r="Q583" s="206"/>
      <c r="R583" s="421"/>
      <c r="S583" s="421"/>
      <c r="T583" s="517"/>
    </row>
    <row r="584" spans="1:20" ht="21" customHeight="1">
      <c r="A584" s="516"/>
      <c r="B584" s="206"/>
      <c r="C584" s="453"/>
      <c r="D584" s="453"/>
      <c r="E584" s="206"/>
      <c r="F584" s="206"/>
      <c r="G584" s="206"/>
      <c r="H584" s="206"/>
      <c r="I584" s="206"/>
      <c r="J584" s="206"/>
      <c r="K584" s="206"/>
      <c r="L584" s="206"/>
      <c r="M584" s="3"/>
      <c r="N584" s="206"/>
      <c r="O584" s="421"/>
      <c r="P584" s="421"/>
      <c r="Q584" s="460"/>
      <c r="R584" s="421"/>
      <c r="S584" s="421"/>
      <c r="T584" s="517"/>
    </row>
    <row r="585" spans="1:20" ht="21" customHeight="1">
      <c r="A585" s="516"/>
      <c r="B585" s="206"/>
      <c r="C585" s="453"/>
      <c r="D585" s="453"/>
      <c r="E585" s="206"/>
      <c r="F585" s="206"/>
      <c r="G585" s="206"/>
      <c r="H585" s="206"/>
      <c r="I585" s="206"/>
      <c r="J585" s="206"/>
      <c r="K585" s="206"/>
      <c r="L585" s="206"/>
      <c r="M585" s="3"/>
      <c r="N585" s="206"/>
      <c r="O585" s="421"/>
      <c r="P585" s="421"/>
      <c r="Q585" s="206"/>
      <c r="R585" s="206"/>
      <c r="S585" s="421"/>
      <c r="T585" s="517"/>
    </row>
    <row r="586" spans="1:20" ht="21" customHeight="1">
      <c r="A586" s="516"/>
      <c r="B586" s="206"/>
      <c r="C586" s="453"/>
      <c r="D586" s="453"/>
      <c r="E586" s="206"/>
      <c r="F586" s="206"/>
      <c r="G586" s="206"/>
      <c r="H586" s="206"/>
      <c r="I586" s="206"/>
      <c r="J586" s="206"/>
      <c r="K586" s="206"/>
      <c r="L586" s="206"/>
      <c r="M586" s="3"/>
      <c r="N586" s="206"/>
      <c r="O586" s="421"/>
      <c r="P586" s="421"/>
      <c r="Q586" s="206"/>
      <c r="R586" s="421"/>
      <c r="S586" s="421"/>
      <c r="T586" s="517"/>
    </row>
    <row r="587" spans="1:20" ht="21" customHeight="1">
      <c r="A587" s="516"/>
      <c r="B587" s="206"/>
      <c r="C587" s="453"/>
      <c r="D587" s="453"/>
      <c r="E587" s="206"/>
      <c r="F587" s="206"/>
      <c r="G587" s="206"/>
      <c r="H587" s="206"/>
      <c r="I587" s="206"/>
      <c r="J587" s="206"/>
      <c r="K587" s="206"/>
      <c r="L587" s="206"/>
      <c r="M587" s="3"/>
      <c r="N587" s="206"/>
      <c r="O587" s="421"/>
      <c r="P587" s="421"/>
      <c r="Q587" s="206"/>
      <c r="R587" s="421"/>
      <c r="S587" s="421"/>
      <c r="T587" s="517"/>
    </row>
    <row r="588" spans="1:20" ht="21" customHeight="1">
      <c r="A588" s="516"/>
      <c r="B588" s="206"/>
      <c r="C588" s="453"/>
      <c r="D588" s="453"/>
      <c r="E588" s="206"/>
      <c r="F588" s="206"/>
      <c r="G588" s="206"/>
      <c r="H588" s="206"/>
      <c r="I588" s="206"/>
      <c r="J588" s="206"/>
      <c r="K588" s="206"/>
      <c r="L588" s="206"/>
      <c r="M588" s="3"/>
      <c r="N588" s="206"/>
      <c r="O588" s="421"/>
      <c r="P588" s="421"/>
      <c r="Q588" s="206"/>
      <c r="R588" s="538"/>
      <c r="S588" s="421"/>
      <c r="T588" s="517"/>
    </row>
    <row r="589" spans="1:20" ht="42" customHeight="1">
      <c r="A589" s="516"/>
      <c r="B589" s="206"/>
      <c r="C589" s="453"/>
      <c r="D589" s="453"/>
      <c r="E589" s="206"/>
      <c r="F589" s="206"/>
      <c r="G589" s="206"/>
      <c r="H589" s="206"/>
      <c r="I589" s="206"/>
      <c r="J589" s="206"/>
      <c r="K589" s="206"/>
      <c r="L589" s="206"/>
      <c r="M589" s="3"/>
      <c r="N589" s="206"/>
      <c r="O589" s="421"/>
      <c r="P589" s="421"/>
      <c r="Q589" s="206"/>
      <c r="R589" s="206"/>
      <c r="S589" s="421"/>
      <c r="T589" s="517"/>
    </row>
    <row r="590" spans="1:20" ht="21" customHeight="1">
      <c r="A590" s="516"/>
      <c r="B590" s="206"/>
      <c r="C590" s="453"/>
      <c r="D590" s="453"/>
      <c r="E590" s="206"/>
      <c r="F590" s="206"/>
      <c r="G590" s="206"/>
      <c r="H590" s="206"/>
      <c r="I590" s="206"/>
      <c r="J590" s="206"/>
      <c r="K590" s="206"/>
      <c r="L590" s="206"/>
      <c r="M590" s="3"/>
      <c r="N590" s="206"/>
      <c r="O590" s="421"/>
      <c r="P590" s="421"/>
      <c r="Q590" s="206"/>
      <c r="R590" s="206"/>
      <c r="S590" s="421"/>
      <c r="T590" s="517"/>
    </row>
    <row r="591" spans="1:20" ht="21" customHeight="1">
      <c r="A591" s="516"/>
      <c r="B591" s="206"/>
      <c r="C591" s="453"/>
      <c r="D591" s="453"/>
      <c r="E591" s="206"/>
      <c r="F591" s="206"/>
      <c r="G591" s="206"/>
      <c r="H591" s="206"/>
      <c r="I591" s="206"/>
      <c r="J591" s="206"/>
      <c r="K591" s="206"/>
      <c r="L591" s="206"/>
      <c r="M591" s="3"/>
      <c r="N591" s="206"/>
      <c r="O591" s="421"/>
      <c r="P591" s="421"/>
      <c r="Q591" s="206"/>
      <c r="R591" s="206"/>
      <c r="S591" s="421"/>
      <c r="T591" s="517"/>
    </row>
    <row r="592" spans="1:20" ht="21" customHeight="1">
      <c r="A592" s="516"/>
      <c r="B592" s="206"/>
      <c r="C592" s="453"/>
      <c r="D592" s="453"/>
      <c r="E592" s="206"/>
      <c r="F592" s="206"/>
      <c r="G592" s="206"/>
      <c r="H592" s="206"/>
      <c r="I592" s="206"/>
      <c r="J592" s="206"/>
      <c r="K592" s="206"/>
      <c r="L592" s="206"/>
      <c r="M592" s="3"/>
      <c r="N592" s="206"/>
      <c r="O592" s="421"/>
      <c r="P592" s="421"/>
      <c r="Q592" s="206"/>
      <c r="R592" s="421"/>
      <c r="S592" s="421"/>
      <c r="T592" s="517"/>
    </row>
    <row r="593" spans="1:20" ht="21" customHeight="1">
      <c r="A593" s="516"/>
      <c r="B593" s="206"/>
      <c r="C593" s="453"/>
      <c r="D593" s="453"/>
      <c r="E593" s="206"/>
      <c r="F593" s="206"/>
      <c r="G593" s="206"/>
      <c r="H593" s="206"/>
      <c r="I593" s="206"/>
      <c r="J593" s="206"/>
      <c r="K593" s="206"/>
      <c r="L593" s="206"/>
      <c r="M593" s="3"/>
      <c r="N593" s="206"/>
      <c r="O593" s="421"/>
      <c r="P593" s="421"/>
      <c r="Q593" s="206"/>
      <c r="R593" s="421"/>
      <c r="S593" s="421"/>
      <c r="T593" s="517"/>
    </row>
    <row r="594" spans="1:20" ht="21" customHeight="1">
      <c r="A594" s="516"/>
      <c r="B594" s="206"/>
      <c r="C594" s="453"/>
      <c r="D594" s="453"/>
      <c r="E594" s="206"/>
      <c r="F594" s="206"/>
      <c r="G594" s="206"/>
      <c r="H594" s="206"/>
      <c r="I594" s="206"/>
      <c r="J594" s="206"/>
      <c r="K594" s="206"/>
      <c r="L594" s="206"/>
      <c r="M594" s="3"/>
      <c r="N594" s="206"/>
      <c r="O594" s="421"/>
      <c r="P594" s="421"/>
      <c r="Q594" s="206"/>
      <c r="R594" s="421"/>
      <c r="S594" s="421"/>
      <c r="T594" s="517"/>
    </row>
    <row r="595" spans="1:20" ht="21" customHeight="1">
      <c r="A595" s="516"/>
      <c r="B595" s="206"/>
      <c r="C595" s="453"/>
      <c r="D595" s="453"/>
      <c r="E595" s="206"/>
      <c r="F595" s="563"/>
      <c r="G595" s="206"/>
      <c r="H595" s="206"/>
      <c r="I595" s="206"/>
      <c r="J595" s="206"/>
      <c r="K595" s="206"/>
      <c r="L595" s="206"/>
      <c r="M595" s="3"/>
      <c r="N595" s="206"/>
      <c r="O595" s="421"/>
      <c r="P595" s="421"/>
      <c r="Q595" s="206"/>
      <c r="R595" s="206"/>
      <c r="S595" s="421"/>
      <c r="T595" s="517"/>
    </row>
    <row r="596" spans="1:20" ht="21" customHeight="1">
      <c r="A596" s="516"/>
      <c r="B596" s="206"/>
      <c r="C596" s="453"/>
      <c r="D596" s="453"/>
      <c r="E596" s="206"/>
      <c r="F596" s="563"/>
      <c r="G596" s="206"/>
      <c r="H596" s="206"/>
      <c r="I596" s="206"/>
      <c r="J596" s="206"/>
      <c r="K596" s="206"/>
      <c r="L596" s="206"/>
      <c r="M596" s="3"/>
      <c r="N596" s="206"/>
      <c r="O596" s="421"/>
      <c r="P596" s="421"/>
      <c r="Q596" s="206"/>
      <c r="R596" s="421"/>
      <c r="S596" s="421"/>
      <c r="T596" s="517"/>
    </row>
    <row r="597" spans="1:20" ht="21" customHeight="1">
      <c r="A597" s="516"/>
      <c r="B597" s="206"/>
      <c r="C597" s="453"/>
      <c r="D597" s="453"/>
      <c r="E597" s="206"/>
      <c r="F597" s="206"/>
      <c r="G597" s="206"/>
      <c r="H597" s="206"/>
      <c r="I597" s="206"/>
      <c r="J597" s="206"/>
      <c r="K597" s="206"/>
      <c r="L597" s="206"/>
      <c r="M597" s="3"/>
      <c r="N597" s="206"/>
      <c r="O597" s="421"/>
      <c r="P597" s="421"/>
      <c r="Q597" s="206"/>
      <c r="R597" s="206"/>
      <c r="S597" s="421"/>
      <c r="T597" s="517"/>
    </row>
    <row r="598" spans="1:20" ht="21" customHeight="1">
      <c r="A598" s="516"/>
      <c r="B598" s="206"/>
      <c r="C598" s="453"/>
      <c r="D598" s="453"/>
      <c r="E598" s="206"/>
      <c r="F598" s="206"/>
      <c r="G598" s="206"/>
      <c r="H598" s="206"/>
      <c r="I598" s="206"/>
      <c r="J598" s="206"/>
      <c r="K598" s="206"/>
      <c r="L598" s="206"/>
      <c r="M598" s="3"/>
      <c r="N598" s="206"/>
      <c r="O598" s="422"/>
      <c r="P598" s="421"/>
      <c r="Q598" s="206"/>
      <c r="R598" s="421"/>
      <c r="S598" s="421"/>
      <c r="T598" s="517"/>
    </row>
    <row r="599" spans="1:20" ht="21" customHeight="1">
      <c r="A599" s="516"/>
      <c r="B599" s="206"/>
      <c r="C599" s="453"/>
      <c r="D599" s="453"/>
      <c r="E599" s="206"/>
      <c r="F599" s="563"/>
      <c r="G599" s="206"/>
      <c r="H599" s="206"/>
      <c r="I599" s="206"/>
      <c r="J599" s="206"/>
      <c r="K599" s="206"/>
      <c r="L599" s="206"/>
      <c r="M599" s="3"/>
      <c r="N599" s="206"/>
      <c r="O599" s="421"/>
      <c r="P599" s="421"/>
      <c r="Q599" s="206"/>
      <c r="R599" s="421"/>
      <c r="S599" s="421"/>
      <c r="T599" s="517"/>
    </row>
    <row r="600" spans="1:20" ht="21" customHeight="1">
      <c r="A600" s="516"/>
      <c r="B600" s="206"/>
      <c r="C600" s="453"/>
      <c r="D600" s="453"/>
      <c r="E600" s="206"/>
      <c r="F600" s="206"/>
      <c r="G600" s="206"/>
      <c r="H600" s="206"/>
      <c r="I600" s="206"/>
      <c r="J600" s="206"/>
      <c r="K600" s="206"/>
      <c r="L600" s="206"/>
      <c r="M600" s="3"/>
      <c r="N600" s="206"/>
      <c r="O600" s="421"/>
      <c r="P600" s="421"/>
      <c r="Q600" s="206"/>
      <c r="R600" s="421"/>
      <c r="S600" s="421"/>
      <c r="T600" s="517"/>
    </row>
    <row r="601" spans="1:20" ht="21" customHeight="1">
      <c r="A601" s="516"/>
      <c r="B601" s="206"/>
      <c r="C601" s="453"/>
      <c r="D601" s="453"/>
      <c r="E601" s="206"/>
      <c r="F601" s="206"/>
      <c r="G601" s="206"/>
      <c r="H601" s="206"/>
      <c r="I601" s="206"/>
      <c r="J601" s="206"/>
      <c r="K601" s="206"/>
      <c r="L601" s="206"/>
      <c r="M601" s="3"/>
      <c r="N601" s="206"/>
      <c r="O601" s="421"/>
      <c r="P601" s="421"/>
      <c r="Q601" s="206"/>
      <c r="R601" s="421"/>
      <c r="S601" s="421"/>
      <c r="T601" s="517"/>
    </row>
    <row r="602" spans="1:20" ht="21" customHeight="1">
      <c r="A602" s="516"/>
      <c r="B602" s="206"/>
      <c r="C602" s="453"/>
      <c r="D602" s="453"/>
      <c r="E602" s="206"/>
      <c r="F602" s="206"/>
      <c r="G602" s="206"/>
      <c r="H602" s="206"/>
      <c r="I602" s="206"/>
      <c r="J602" s="206"/>
      <c r="K602" s="206"/>
      <c r="L602" s="206"/>
      <c r="M602" s="3"/>
      <c r="N602" s="206"/>
      <c r="O602" s="421"/>
      <c r="P602" s="421"/>
      <c r="Q602" s="206"/>
      <c r="R602" s="421"/>
      <c r="S602" s="421"/>
      <c r="T602" s="517"/>
    </row>
    <row r="603" spans="1:20" ht="21" customHeight="1">
      <c r="A603" s="516"/>
      <c r="B603" s="206"/>
      <c r="C603" s="453"/>
      <c r="D603" s="453"/>
      <c r="E603" s="206"/>
      <c r="F603" s="206"/>
      <c r="G603" s="206"/>
      <c r="H603" s="206"/>
      <c r="I603" s="206"/>
      <c r="J603" s="206"/>
      <c r="K603" s="206"/>
      <c r="L603" s="206"/>
      <c r="M603" s="3"/>
      <c r="N603" s="206"/>
      <c r="O603" s="421"/>
      <c r="P603" s="421"/>
      <c r="Q603" s="206"/>
      <c r="R603" s="206"/>
      <c r="S603" s="421"/>
      <c r="T603" s="527"/>
    </row>
    <row r="604" spans="1:20" ht="21" customHeight="1">
      <c r="A604" s="516"/>
      <c r="B604" s="206"/>
      <c r="C604" s="453"/>
      <c r="D604" s="453"/>
      <c r="E604" s="206"/>
      <c r="F604" s="206"/>
      <c r="G604" s="206"/>
      <c r="H604" s="206"/>
      <c r="I604" s="206"/>
      <c r="J604" s="206"/>
      <c r="K604" s="206"/>
      <c r="L604" s="206"/>
      <c r="M604" s="3"/>
      <c r="N604" s="206"/>
      <c r="O604" s="421"/>
      <c r="P604" s="421"/>
      <c r="Q604" s="206"/>
      <c r="R604" s="421"/>
      <c r="S604" s="421"/>
      <c r="T604" s="517"/>
    </row>
    <row r="605" spans="1:20" ht="21" customHeight="1">
      <c r="A605" s="516"/>
      <c r="B605" s="206"/>
      <c r="C605" s="453"/>
      <c r="D605" s="453"/>
      <c r="E605" s="206"/>
      <c r="F605" s="206"/>
      <c r="G605" s="206"/>
      <c r="H605" s="206"/>
      <c r="I605" s="206"/>
      <c r="J605" s="206"/>
      <c r="K605" s="206"/>
      <c r="L605" s="206"/>
      <c r="M605" s="3"/>
      <c r="N605" s="206"/>
      <c r="O605" s="421"/>
      <c r="P605" s="421"/>
      <c r="Q605" s="206"/>
      <c r="R605" s="206"/>
      <c r="S605" s="421"/>
      <c r="T605" s="517"/>
    </row>
    <row r="606" spans="1:20" ht="21" customHeight="1">
      <c r="A606" s="516"/>
      <c r="B606" s="206"/>
      <c r="C606" s="453"/>
      <c r="D606" s="453"/>
      <c r="E606" s="206"/>
      <c r="F606" s="206"/>
      <c r="G606" s="206"/>
      <c r="H606" s="206"/>
      <c r="I606" s="206"/>
      <c r="J606" s="206"/>
      <c r="K606" s="206"/>
      <c r="L606" s="206"/>
      <c r="M606" s="3"/>
      <c r="N606" s="206"/>
      <c r="O606" s="421"/>
      <c r="P606" s="421"/>
      <c r="Q606" s="206"/>
      <c r="R606" s="421"/>
      <c r="S606" s="421"/>
      <c r="T606" s="517"/>
    </row>
    <row r="607" spans="1:20" ht="21" customHeight="1">
      <c r="A607" s="516"/>
      <c r="B607" s="206"/>
      <c r="C607" s="453"/>
      <c r="D607" s="453"/>
      <c r="E607" s="206"/>
      <c r="F607" s="206"/>
      <c r="G607" s="206"/>
      <c r="H607" s="206"/>
      <c r="I607" s="206"/>
      <c r="J607" s="206"/>
      <c r="K607" s="206"/>
      <c r="L607" s="206"/>
      <c r="M607" s="3"/>
      <c r="N607" s="206"/>
      <c r="O607" s="421"/>
      <c r="P607" s="421"/>
      <c r="Q607" s="460"/>
      <c r="R607" s="421"/>
      <c r="S607" s="421"/>
      <c r="T607" s="517"/>
    </row>
    <row r="608" spans="1:20" ht="36" customHeight="1">
      <c r="A608" s="516"/>
      <c r="B608" s="206"/>
      <c r="C608" s="453"/>
      <c r="D608" s="453"/>
      <c r="E608" s="206"/>
      <c r="F608" s="206"/>
      <c r="G608" s="206"/>
      <c r="H608" s="206"/>
      <c r="I608" s="206"/>
      <c r="J608" s="206"/>
      <c r="K608" s="206"/>
      <c r="L608" s="206"/>
      <c r="M608" s="3"/>
      <c r="N608" s="206"/>
      <c r="O608" s="421"/>
      <c r="P608" s="421"/>
      <c r="Q608" s="460"/>
      <c r="R608" s="421"/>
      <c r="S608" s="421"/>
      <c r="T608" s="517"/>
    </row>
    <row r="609" spans="1:20" ht="21" customHeight="1">
      <c r="A609" s="516"/>
      <c r="B609" s="206"/>
      <c r="C609" s="453"/>
      <c r="D609" s="453"/>
      <c r="E609" s="206"/>
      <c r="F609" s="206"/>
      <c r="G609" s="206"/>
      <c r="H609" s="206"/>
      <c r="I609" s="206"/>
      <c r="J609" s="206"/>
      <c r="K609" s="206"/>
      <c r="L609" s="206"/>
      <c r="M609" s="3"/>
      <c r="N609" s="206"/>
      <c r="O609" s="421"/>
      <c r="P609" s="421"/>
      <c r="Q609" s="460"/>
      <c r="R609" s="421"/>
      <c r="S609" s="421"/>
      <c r="T609" s="517"/>
    </row>
    <row r="610" spans="1:20" ht="21" customHeight="1">
      <c r="A610" s="516"/>
      <c r="B610" s="206"/>
      <c r="C610" s="453"/>
      <c r="D610" s="453"/>
      <c r="E610" s="206"/>
      <c r="F610" s="206"/>
      <c r="G610" s="206"/>
      <c r="H610" s="206"/>
      <c r="I610" s="206"/>
      <c r="J610" s="206"/>
      <c r="K610" s="206"/>
      <c r="L610" s="206"/>
      <c r="M610" s="3"/>
      <c r="N610" s="206"/>
      <c r="O610" s="421"/>
      <c r="P610" s="421"/>
      <c r="Q610" s="206"/>
      <c r="R610" s="206"/>
      <c r="S610" s="421"/>
      <c r="T610" s="517"/>
    </row>
    <row r="611" spans="1:20" ht="21" customHeight="1">
      <c r="A611" s="516"/>
      <c r="B611" s="206"/>
      <c r="C611" s="453"/>
      <c r="D611" s="453"/>
      <c r="E611" s="206"/>
      <c r="F611" s="206"/>
      <c r="G611" s="206"/>
      <c r="H611" s="206"/>
      <c r="I611" s="206"/>
      <c r="J611" s="206"/>
      <c r="K611" s="206"/>
      <c r="L611" s="206"/>
      <c r="M611" s="3"/>
      <c r="N611" s="206"/>
      <c r="O611" s="421"/>
      <c r="P611" s="421"/>
      <c r="Q611" s="206"/>
      <c r="R611" s="421"/>
      <c r="S611" s="421"/>
      <c r="T611" s="517"/>
    </row>
    <row r="612" spans="1:20" ht="21" customHeight="1">
      <c r="A612" s="516"/>
      <c r="B612" s="206"/>
      <c r="C612" s="453"/>
      <c r="D612" s="453"/>
      <c r="E612" s="206"/>
      <c r="F612" s="206"/>
      <c r="G612" s="206"/>
      <c r="H612" s="206"/>
      <c r="I612" s="206"/>
      <c r="J612" s="206"/>
      <c r="K612" s="206"/>
      <c r="L612" s="206"/>
      <c r="M612" s="3"/>
      <c r="N612" s="206"/>
      <c r="O612" s="421"/>
      <c r="P612" s="421"/>
      <c r="Q612" s="460"/>
      <c r="R612" s="421"/>
      <c r="S612" s="421"/>
      <c r="T612" s="517"/>
    </row>
    <row r="613" spans="1:20" ht="21" customHeight="1">
      <c r="A613" s="548"/>
      <c r="B613" s="549"/>
      <c r="C613" s="550"/>
      <c r="D613" s="550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51"/>
      <c r="P613" s="421"/>
      <c r="Q613" s="549"/>
      <c r="R613" s="549"/>
      <c r="S613" s="551"/>
      <c r="T613" s="552"/>
    </row>
    <row r="614" spans="1:20" ht="21" customHeight="1">
      <c r="A614" s="516"/>
      <c r="B614" s="206"/>
      <c r="C614" s="453"/>
      <c r="D614" s="453"/>
      <c r="E614" s="206"/>
      <c r="F614" s="206"/>
      <c r="G614" s="206"/>
      <c r="H614" s="206"/>
      <c r="I614" s="206"/>
      <c r="J614" s="206"/>
      <c r="K614" s="206"/>
      <c r="L614" s="206"/>
      <c r="M614" s="3"/>
      <c r="N614" s="206"/>
      <c r="O614" s="421"/>
      <c r="P614" s="421"/>
      <c r="Q614" s="206"/>
      <c r="R614" s="206"/>
      <c r="S614" s="421"/>
      <c r="T614" s="517"/>
    </row>
    <row r="615" spans="1:20" ht="21" customHeight="1">
      <c r="A615" s="516"/>
      <c r="B615" s="206"/>
      <c r="C615" s="453"/>
      <c r="D615" s="453"/>
      <c r="E615" s="206"/>
      <c r="F615" s="206"/>
      <c r="G615" s="206"/>
      <c r="H615" s="206"/>
      <c r="I615" s="206"/>
      <c r="J615" s="206"/>
      <c r="K615" s="206"/>
      <c r="L615" s="206"/>
      <c r="M615" s="3"/>
      <c r="N615" s="206"/>
      <c r="O615" s="421"/>
      <c r="P615" s="421"/>
      <c r="Q615" s="206"/>
      <c r="R615" s="421"/>
      <c r="S615" s="421"/>
      <c r="T615" s="517"/>
    </row>
    <row r="616" spans="1:20" ht="21" customHeight="1">
      <c r="A616" s="516"/>
      <c r="B616" s="206"/>
      <c r="C616" s="453"/>
      <c r="D616" s="453"/>
      <c r="E616" s="206"/>
      <c r="F616" s="206"/>
      <c r="G616" s="206"/>
      <c r="H616" s="206"/>
      <c r="I616" s="206"/>
      <c r="J616" s="206"/>
      <c r="K616" s="206"/>
      <c r="L616" s="206"/>
      <c r="M616" s="3"/>
      <c r="N616" s="206"/>
      <c r="O616" s="421"/>
      <c r="P616" s="421"/>
      <c r="Q616" s="206"/>
      <c r="R616" s="206"/>
      <c r="S616" s="421"/>
      <c r="T616" s="517"/>
    </row>
    <row r="617" spans="1:20" ht="21" customHeight="1">
      <c r="A617" s="516"/>
      <c r="B617" s="206"/>
      <c r="C617" s="453"/>
      <c r="D617" s="453"/>
      <c r="E617" s="206"/>
      <c r="F617" s="206"/>
      <c r="G617" s="206"/>
      <c r="H617" s="206"/>
      <c r="I617" s="206"/>
      <c r="J617" s="206"/>
      <c r="K617" s="206"/>
      <c r="L617" s="206"/>
      <c r="M617" s="3"/>
      <c r="N617" s="206"/>
      <c r="O617" s="421"/>
      <c r="P617" s="421"/>
      <c r="Q617" s="206"/>
      <c r="R617" s="421"/>
      <c r="S617" s="421"/>
      <c r="T617" s="517"/>
    </row>
    <row r="618" spans="1:20" ht="21" customHeight="1">
      <c r="A618" s="516"/>
      <c r="B618" s="206"/>
      <c r="C618" s="453"/>
      <c r="D618" s="453"/>
      <c r="E618" s="206"/>
      <c r="F618" s="206"/>
      <c r="G618" s="206"/>
      <c r="H618" s="206"/>
      <c r="I618" s="206"/>
      <c r="J618" s="206"/>
      <c r="K618" s="206"/>
      <c r="L618" s="206"/>
      <c r="M618" s="3"/>
      <c r="N618" s="206"/>
      <c r="O618" s="421"/>
      <c r="P618" s="421"/>
      <c r="Q618" s="206"/>
      <c r="R618" s="421"/>
      <c r="S618" s="421"/>
      <c r="T618" s="517"/>
    </row>
    <row r="619" spans="1:20" ht="15">
      <c r="A619" s="516"/>
      <c r="B619" s="206"/>
      <c r="C619" s="453"/>
      <c r="D619" s="453"/>
      <c r="E619" s="206"/>
      <c r="F619" s="206"/>
      <c r="G619" s="206"/>
      <c r="H619" s="206"/>
      <c r="I619" s="206"/>
      <c r="J619" s="206"/>
      <c r="K619" s="206"/>
      <c r="L619" s="206"/>
      <c r="M619" s="3"/>
      <c r="N619" s="206"/>
      <c r="O619" s="421"/>
      <c r="P619" s="421"/>
      <c r="Q619" s="206"/>
      <c r="R619" s="421"/>
      <c r="S619" s="421"/>
      <c r="T619" s="517"/>
    </row>
    <row r="620" spans="1:20" ht="21" customHeight="1">
      <c r="A620" s="516"/>
      <c r="B620" s="206"/>
      <c r="C620" s="453"/>
      <c r="D620" s="453"/>
      <c r="E620" s="181"/>
      <c r="F620" s="206"/>
      <c r="G620" s="206"/>
      <c r="H620" s="206"/>
      <c r="I620" s="206"/>
      <c r="J620" s="206"/>
      <c r="K620" s="206"/>
      <c r="L620" s="206"/>
      <c r="M620" s="3"/>
      <c r="N620" s="206"/>
      <c r="O620" s="421"/>
      <c r="P620" s="421"/>
      <c r="Q620" s="206"/>
      <c r="R620" s="421"/>
      <c r="S620" s="421"/>
      <c r="T620" s="517"/>
    </row>
    <row r="621" spans="1:20" ht="21" customHeight="1">
      <c r="A621" s="516"/>
      <c r="B621" s="206"/>
      <c r="C621" s="453"/>
      <c r="D621" s="453"/>
      <c r="E621" s="206"/>
      <c r="F621" s="206"/>
      <c r="G621" s="206"/>
      <c r="H621" s="206"/>
      <c r="I621" s="206"/>
      <c r="J621" s="206"/>
      <c r="K621" s="206"/>
      <c r="L621" s="206"/>
      <c r="M621" s="3"/>
      <c r="N621" s="206"/>
      <c r="O621" s="421"/>
      <c r="P621" s="421"/>
      <c r="Q621" s="206"/>
      <c r="R621" s="421"/>
      <c r="S621" s="421"/>
      <c r="T621" s="517"/>
    </row>
    <row r="622" spans="1:20" ht="21" customHeight="1">
      <c r="A622" s="516"/>
      <c r="B622" s="206"/>
      <c r="C622" s="453"/>
      <c r="D622" s="453"/>
      <c r="E622" s="206"/>
      <c r="F622" s="206"/>
      <c r="G622" s="206"/>
      <c r="H622" s="206"/>
      <c r="I622" s="206"/>
      <c r="J622" s="206"/>
      <c r="K622" s="206"/>
      <c r="L622" s="206"/>
      <c r="M622" s="3"/>
      <c r="N622" s="206"/>
      <c r="O622" s="421"/>
      <c r="P622" s="421"/>
      <c r="Q622" s="206"/>
      <c r="R622" s="206"/>
      <c r="S622" s="421"/>
      <c r="T622" s="517"/>
    </row>
    <row r="623" spans="1:20" ht="21" customHeight="1">
      <c r="A623" s="516"/>
      <c r="B623" s="206"/>
      <c r="C623" s="453"/>
      <c r="D623" s="453"/>
      <c r="E623" s="206"/>
      <c r="F623" s="206"/>
      <c r="G623" s="206"/>
      <c r="H623" s="206"/>
      <c r="I623" s="206"/>
      <c r="J623" s="206"/>
      <c r="K623" s="206"/>
      <c r="L623" s="206"/>
      <c r="M623" s="3"/>
      <c r="N623" s="206"/>
      <c r="O623" s="421"/>
      <c r="P623" s="421"/>
      <c r="Q623" s="206"/>
      <c r="R623" s="421"/>
      <c r="S623" s="421"/>
      <c r="T623" s="517"/>
    </row>
    <row r="624" spans="1:20" ht="21" customHeight="1">
      <c r="A624" s="516"/>
      <c r="B624" s="206"/>
      <c r="C624" s="453"/>
      <c r="D624" s="453"/>
      <c r="E624" s="206"/>
      <c r="F624" s="206"/>
      <c r="G624" s="206"/>
      <c r="H624" s="206"/>
      <c r="I624" s="206"/>
      <c r="J624" s="206"/>
      <c r="K624" s="206"/>
      <c r="L624" s="206"/>
      <c r="M624" s="3"/>
      <c r="N624" s="206"/>
      <c r="O624" s="421"/>
      <c r="P624" s="421"/>
      <c r="Q624" s="206"/>
      <c r="R624" s="421"/>
      <c r="S624" s="421"/>
      <c r="T624" s="517"/>
    </row>
    <row r="625" spans="1:20" ht="21" customHeight="1">
      <c r="A625" s="516"/>
      <c r="B625" s="528"/>
      <c r="C625" s="453"/>
      <c r="D625" s="453"/>
      <c r="E625" s="206"/>
      <c r="F625" s="206"/>
      <c r="G625" s="206"/>
      <c r="H625" s="206"/>
      <c r="I625" s="206"/>
      <c r="J625" s="206"/>
      <c r="K625" s="206"/>
      <c r="L625" s="206"/>
      <c r="M625" s="3"/>
      <c r="N625" s="206"/>
      <c r="O625" s="421"/>
      <c r="P625" s="421"/>
      <c r="Q625" s="206"/>
      <c r="R625" s="519"/>
      <c r="S625" s="421"/>
      <c r="T625" s="527"/>
    </row>
    <row r="626" spans="1:20" ht="21" customHeight="1">
      <c r="A626" s="516"/>
      <c r="B626" s="206"/>
      <c r="C626" s="453"/>
      <c r="D626" s="453"/>
      <c r="E626" s="206"/>
      <c r="F626" s="206"/>
      <c r="G626" s="206"/>
      <c r="H626" s="206"/>
      <c r="I626" s="206"/>
      <c r="J626" s="206"/>
      <c r="K626" s="206"/>
      <c r="L626" s="206"/>
      <c r="M626" s="3"/>
      <c r="N626" s="206"/>
      <c r="O626" s="421"/>
      <c r="P626" s="421"/>
      <c r="Q626" s="206"/>
      <c r="R626" s="206"/>
      <c r="S626" s="421"/>
      <c r="T626" s="517"/>
    </row>
    <row r="627" spans="1:20" ht="21" customHeight="1">
      <c r="A627" s="516"/>
      <c r="B627" s="206"/>
      <c r="C627" s="453"/>
      <c r="D627" s="453"/>
      <c r="E627" s="206"/>
      <c r="F627" s="206"/>
      <c r="G627" s="206"/>
      <c r="H627" s="206"/>
      <c r="I627" s="206"/>
      <c r="J627" s="206"/>
      <c r="K627" s="206"/>
      <c r="L627" s="206"/>
      <c r="M627" s="3"/>
      <c r="N627" s="206"/>
      <c r="O627" s="421"/>
      <c r="P627" s="421"/>
      <c r="Q627" s="206"/>
      <c r="R627" s="206"/>
      <c r="S627" s="421"/>
      <c r="T627" s="517"/>
    </row>
    <row r="628" spans="1:20" ht="21" customHeight="1">
      <c r="A628" s="516"/>
      <c r="B628" s="206"/>
      <c r="C628" s="453"/>
      <c r="D628" s="453"/>
      <c r="E628" s="206"/>
      <c r="F628" s="206"/>
      <c r="G628" s="206"/>
      <c r="H628" s="206"/>
      <c r="I628" s="206"/>
      <c r="J628" s="206"/>
      <c r="K628" s="206"/>
      <c r="L628" s="206"/>
      <c r="M628" s="3"/>
      <c r="N628" s="206"/>
      <c r="O628" s="421"/>
      <c r="P628" s="421"/>
      <c r="Q628" s="206"/>
      <c r="R628" s="206"/>
      <c r="S628" s="421"/>
      <c r="T628" s="527"/>
    </row>
    <row r="629" spans="1:20" ht="21" customHeight="1">
      <c r="A629" s="516"/>
      <c r="B629" s="206"/>
      <c r="C629" s="453"/>
      <c r="D629" s="453"/>
      <c r="E629" s="206"/>
      <c r="F629" s="206"/>
      <c r="G629" s="206"/>
      <c r="H629" s="206"/>
      <c r="I629" s="206"/>
      <c r="J629" s="206"/>
      <c r="K629" s="206"/>
      <c r="L629" s="206"/>
      <c r="M629" s="3"/>
      <c r="N629" s="206"/>
      <c r="O629" s="421"/>
      <c r="P629" s="421"/>
      <c r="Q629" s="206"/>
      <c r="R629" s="206"/>
      <c r="S629" s="421"/>
      <c r="T629" s="517"/>
    </row>
    <row r="630" spans="1:20" ht="21" customHeight="1">
      <c r="A630" s="516"/>
      <c r="B630" s="206"/>
      <c r="C630" s="453"/>
      <c r="D630" s="453"/>
      <c r="E630" s="206"/>
      <c r="F630" s="206"/>
      <c r="G630" s="206"/>
      <c r="H630" s="206"/>
      <c r="I630" s="206"/>
      <c r="J630" s="206"/>
      <c r="K630" s="206"/>
      <c r="L630" s="206"/>
      <c r="M630" s="3"/>
      <c r="N630" s="206"/>
      <c r="O630" s="421"/>
      <c r="P630" s="421"/>
      <c r="Q630" s="206"/>
      <c r="R630" s="421"/>
      <c r="S630" s="421"/>
      <c r="T630" s="517"/>
    </row>
    <row r="631" spans="1:20" ht="21" customHeight="1">
      <c r="A631" s="516"/>
      <c r="B631" s="206"/>
      <c r="C631" s="453"/>
      <c r="D631" s="453"/>
      <c r="E631" s="206"/>
      <c r="F631" s="206"/>
      <c r="G631" s="206"/>
      <c r="H631" s="206"/>
      <c r="I631" s="206"/>
      <c r="J631" s="206"/>
      <c r="K631" s="206"/>
      <c r="L631" s="206"/>
      <c r="M631" s="3"/>
      <c r="N631" s="206"/>
      <c r="O631" s="421"/>
      <c r="P631" s="421"/>
      <c r="Q631" s="206"/>
      <c r="R631" s="421"/>
      <c r="S631" s="421"/>
      <c r="T631" s="517"/>
    </row>
    <row r="632" spans="1:20" ht="21" customHeight="1">
      <c r="A632" s="516"/>
      <c r="B632" s="206"/>
      <c r="C632" s="453"/>
      <c r="D632" s="453"/>
      <c r="E632" s="206"/>
      <c r="F632" s="206"/>
      <c r="G632" s="206"/>
      <c r="H632" s="206"/>
      <c r="I632" s="206"/>
      <c r="J632" s="206"/>
      <c r="K632" s="206"/>
      <c r="L632" s="206"/>
      <c r="M632" s="3"/>
      <c r="N632" s="206"/>
      <c r="O632" s="421"/>
      <c r="P632" s="421"/>
      <c r="Q632" s="206"/>
      <c r="R632" s="206"/>
      <c r="S632" s="421"/>
      <c r="T632" s="527"/>
    </row>
    <row r="633" spans="1:20" ht="21" customHeight="1">
      <c r="A633" s="516"/>
      <c r="B633" s="206"/>
      <c r="C633" s="453"/>
      <c r="D633" s="453"/>
      <c r="E633" s="206"/>
      <c r="F633" s="206"/>
      <c r="G633" s="206"/>
      <c r="H633" s="206"/>
      <c r="I633" s="206"/>
      <c r="J633" s="206"/>
      <c r="K633" s="206"/>
      <c r="L633" s="206"/>
      <c r="M633" s="3"/>
      <c r="N633" s="206"/>
      <c r="O633" s="422"/>
      <c r="P633" s="421"/>
      <c r="Q633" s="206"/>
      <c r="R633" s="206"/>
      <c r="S633" s="421"/>
      <c r="T633" s="517"/>
    </row>
    <row r="634" spans="1:20" ht="21" customHeight="1">
      <c r="A634" s="516"/>
      <c r="B634" s="206"/>
      <c r="C634" s="453"/>
      <c r="D634" s="453"/>
      <c r="E634" s="206"/>
      <c r="F634" s="206"/>
      <c r="G634" s="206"/>
      <c r="H634" s="206"/>
      <c r="I634" s="206"/>
      <c r="J634" s="206"/>
      <c r="K634" s="206"/>
      <c r="L634" s="206"/>
      <c r="M634" s="3"/>
      <c r="N634" s="206"/>
      <c r="O634" s="421"/>
      <c r="P634" s="421"/>
      <c r="Q634" s="206"/>
      <c r="R634" s="206"/>
      <c r="S634" s="421"/>
      <c r="T634" s="517"/>
    </row>
    <row r="635" spans="1:20" ht="21" customHeight="1">
      <c r="A635" s="516"/>
      <c r="B635" s="206"/>
      <c r="C635" s="453"/>
      <c r="D635" s="453"/>
      <c r="E635" s="206"/>
      <c r="F635" s="206"/>
      <c r="G635" s="206"/>
      <c r="H635" s="206"/>
      <c r="I635" s="206"/>
      <c r="J635" s="206"/>
      <c r="K635" s="206"/>
      <c r="L635" s="206"/>
      <c r="M635" s="3"/>
      <c r="N635" s="206"/>
      <c r="O635" s="421"/>
      <c r="P635" s="421"/>
      <c r="Q635" s="206"/>
      <c r="R635" s="206"/>
      <c r="S635" s="421"/>
      <c r="T635" s="517"/>
    </row>
    <row r="636" spans="1:20" ht="21" customHeight="1">
      <c r="A636" s="516"/>
      <c r="B636" s="206"/>
      <c r="C636" s="453"/>
      <c r="D636" s="453"/>
      <c r="E636" s="206"/>
      <c r="F636" s="206"/>
      <c r="G636" s="206"/>
      <c r="H636" s="206"/>
      <c r="I636" s="206"/>
      <c r="J636" s="206"/>
      <c r="K636" s="206"/>
      <c r="L636" s="206"/>
      <c r="M636" s="3"/>
      <c r="N636" s="206"/>
      <c r="O636" s="421"/>
      <c r="P636" s="421"/>
      <c r="Q636" s="206"/>
      <c r="R636" s="421"/>
      <c r="S636" s="421"/>
      <c r="T636" s="517"/>
    </row>
    <row r="637" spans="1:20" ht="21" customHeight="1">
      <c r="A637" s="516"/>
      <c r="B637" s="206"/>
      <c r="C637" s="453"/>
      <c r="D637" s="453"/>
      <c r="E637" s="206"/>
      <c r="F637" s="206"/>
      <c r="G637" s="206"/>
      <c r="H637" s="206"/>
      <c r="I637" s="206"/>
      <c r="J637" s="206"/>
      <c r="K637" s="206"/>
      <c r="L637" s="206"/>
      <c r="M637" s="3"/>
      <c r="N637" s="206"/>
      <c r="O637" s="421"/>
      <c r="P637" s="421"/>
      <c r="Q637" s="206"/>
      <c r="R637" s="421"/>
      <c r="S637" s="421"/>
      <c r="T637" s="517"/>
    </row>
    <row r="638" spans="1:20" ht="21" customHeight="1">
      <c r="A638" s="516"/>
      <c r="B638" s="206"/>
      <c r="C638" s="453"/>
      <c r="D638" s="453"/>
      <c r="E638" s="206"/>
      <c r="F638" s="206"/>
      <c r="G638" s="206"/>
      <c r="H638" s="206"/>
      <c r="I638" s="206"/>
      <c r="J638" s="206"/>
      <c r="K638" s="206"/>
      <c r="L638" s="206"/>
      <c r="M638" s="3"/>
      <c r="N638" s="206"/>
      <c r="O638" s="421"/>
      <c r="P638" s="421"/>
      <c r="Q638" s="206"/>
      <c r="R638" s="421"/>
      <c r="S638" s="421"/>
      <c r="T638" s="517"/>
    </row>
    <row r="639" spans="1:20" ht="21" customHeight="1">
      <c r="A639" s="516"/>
      <c r="B639" s="206"/>
      <c r="C639" s="453"/>
      <c r="D639" s="453"/>
      <c r="E639" s="206"/>
      <c r="F639" s="206"/>
      <c r="G639" s="206"/>
      <c r="H639" s="206"/>
      <c r="I639" s="206"/>
      <c r="J639" s="206"/>
      <c r="K639" s="206"/>
      <c r="L639" s="206"/>
      <c r="M639" s="3"/>
      <c r="N639" s="206"/>
      <c r="O639" s="421"/>
      <c r="P639" s="421"/>
      <c r="Q639" s="206"/>
      <c r="R639" s="421"/>
      <c r="S639" s="421"/>
      <c r="T639" s="517"/>
    </row>
    <row r="640" spans="1:20" ht="21" customHeight="1">
      <c r="A640" s="516"/>
      <c r="B640" s="206"/>
      <c r="C640" s="453"/>
      <c r="D640" s="453"/>
      <c r="E640" s="206"/>
      <c r="F640" s="206"/>
      <c r="G640" s="206"/>
      <c r="H640" s="206"/>
      <c r="I640" s="206"/>
      <c r="J640" s="206"/>
      <c r="K640" s="206"/>
      <c r="L640" s="206"/>
      <c r="M640" s="3"/>
      <c r="N640" s="206"/>
      <c r="O640" s="421"/>
      <c r="P640" s="421"/>
      <c r="Q640" s="206"/>
      <c r="R640" s="206"/>
      <c r="S640" s="421"/>
      <c r="T640" s="517"/>
    </row>
    <row r="641" spans="1:20" ht="21" customHeight="1">
      <c r="A641" s="516"/>
      <c r="B641" s="206"/>
      <c r="C641" s="453"/>
      <c r="D641" s="453"/>
      <c r="E641" s="206"/>
      <c r="F641" s="206"/>
      <c r="G641" s="206"/>
      <c r="H641" s="206"/>
      <c r="I641" s="206"/>
      <c r="J641" s="206"/>
      <c r="K641" s="206"/>
      <c r="L641" s="206"/>
      <c r="M641" s="3"/>
      <c r="N641" s="206"/>
      <c r="O641" s="421"/>
      <c r="P641" s="421"/>
      <c r="Q641" s="206"/>
      <c r="R641" s="206"/>
      <c r="S641" s="421"/>
      <c r="T641" s="517"/>
    </row>
    <row r="642" spans="1:20" ht="42" customHeight="1">
      <c r="A642" s="516"/>
      <c r="B642" s="206"/>
      <c r="C642" s="453"/>
      <c r="D642" s="453"/>
      <c r="E642" s="206"/>
      <c r="F642" s="206"/>
      <c r="G642" s="206"/>
      <c r="H642" s="206"/>
      <c r="I642" s="206"/>
      <c r="J642" s="206"/>
      <c r="K642" s="206"/>
      <c r="L642" s="206"/>
      <c r="M642" s="3"/>
      <c r="N642" s="206"/>
      <c r="O642" s="421"/>
      <c r="P642" s="421"/>
      <c r="Q642" s="206"/>
      <c r="R642" s="206"/>
      <c r="S642" s="8"/>
      <c r="T642" s="517"/>
    </row>
    <row r="643" spans="1:20" ht="21" customHeight="1">
      <c r="A643" s="516"/>
      <c r="B643" s="206"/>
      <c r="C643" s="453"/>
      <c r="D643" s="453"/>
      <c r="E643" s="206"/>
      <c r="F643" s="206"/>
      <c r="G643" s="206"/>
      <c r="H643" s="206"/>
      <c r="I643" s="206"/>
      <c r="J643" s="206"/>
      <c r="K643" s="206"/>
      <c r="L643" s="206"/>
      <c r="M643" s="3"/>
      <c r="N643" s="206"/>
      <c r="O643" s="421"/>
      <c r="P643" s="421"/>
      <c r="Q643" s="206"/>
      <c r="R643" s="206"/>
      <c r="S643" s="421"/>
      <c r="T643" s="517"/>
    </row>
    <row r="644" spans="1:20" ht="21" customHeight="1">
      <c r="A644" s="516"/>
      <c r="B644" s="206"/>
      <c r="C644" s="453"/>
      <c r="D644" s="453"/>
      <c r="E644" s="206"/>
      <c r="F644" s="206"/>
      <c r="G644" s="206"/>
      <c r="H644" s="206"/>
      <c r="I644" s="206"/>
      <c r="J644" s="206"/>
      <c r="K644" s="206"/>
      <c r="L644" s="206"/>
      <c r="M644" s="3"/>
      <c r="N644" s="206"/>
      <c r="O644" s="422"/>
      <c r="P644" s="421"/>
      <c r="Q644" s="206"/>
      <c r="R644" s="538"/>
      <c r="S644" s="421"/>
      <c r="T644" s="517"/>
    </row>
    <row r="645" spans="1:20" ht="21" customHeight="1">
      <c r="A645" s="516"/>
      <c r="B645" s="206"/>
      <c r="C645" s="453"/>
      <c r="D645" s="453"/>
      <c r="E645" s="206"/>
      <c r="F645" s="206"/>
      <c r="G645" s="206"/>
      <c r="H645" s="206"/>
      <c r="I645" s="206"/>
      <c r="J645" s="206"/>
      <c r="K645" s="206"/>
      <c r="L645" s="206"/>
      <c r="M645" s="3"/>
      <c r="N645" s="206"/>
      <c r="O645" s="421"/>
      <c r="P645" s="421"/>
      <c r="Q645" s="206"/>
      <c r="R645" s="421"/>
      <c r="S645" s="421"/>
      <c r="T645" s="517"/>
    </row>
    <row r="646" spans="1:20" ht="21" customHeight="1">
      <c r="A646" s="516"/>
      <c r="B646" s="206"/>
      <c r="C646" s="453"/>
      <c r="D646" s="453"/>
      <c r="E646" s="206"/>
      <c r="F646" s="206"/>
      <c r="G646" s="206"/>
      <c r="H646" s="206"/>
      <c r="I646" s="206"/>
      <c r="J646" s="206"/>
      <c r="K646" s="206"/>
      <c r="L646" s="206"/>
      <c r="M646" s="3"/>
      <c r="N646" s="206"/>
      <c r="O646" s="421"/>
      <c r="P646" s="421"/>
      <c r="Q646" s="206"/>
      <c r="R646" s="421"/>
      <c r="S646" s="421"/>
      <c r="T646" s="517"/>
    </row>
    <row r="647" spans="1:20" ht="21" customHeight="1">
      <c r="A647" s="516"/>
      <c r="B647" s="206"/>
      <c r="C647" s="453"/>
      <c r="D647" s="453"/>
      <c r="E647" s="206"/>
      <c r="F647" s="206"/>
      <c r="G647" s="206"/>
      <c r="H647" s="206"/>
      <c r="I647" s="206"/>
      <c r="J647" s="206"/>
      <c r="K647" s="206"/>
      <c r="L647" s="206"/>
      <c r="M647" s="3"/>
      <c r="N647" s="206"/>
      <c r="O647" s="421"/>
      <c r="P647" s="421"/>
      <c r="Q647" s="206"/>
      <c r="R647" s="421"/>
      <c r="S647" s="421"/>
      <c r="T647" s="517"/>
    </row>
    <row r="648" spans="1:20" ht="21" customHeight="1">
      <c r="A648" s="516"/>
      <c r="B648" s="206"/>
      <c r="C648" s="453"/>
      <c r="D648" s="453"/>
      <c r="E648" s="206"/>
      <c r="F648" s="206"/>
      <c r="G648" s="206"/>
      <c r="H648" s="206"/>
      <c r="I648" s="206"/>
      <c r="J648" s="206"/>
      <c r="K648" s="206"/>
      <c r="L648" s="206"/>
      <c r="M648" s="3"/>
      <c r="N648" s="206"/>
      <c r="O648" s="421"/>
      <c r="P648" s="421"/>
      <c r="Q648" s="206"/>
      <c r="R648" s="538"/>
      <c r="S648" s="421"/>
      <c r="T648" s="517"/>
    </row>
    <row r="649" spans="1:20" ht="21" customHeight="1">
      <c r="A649" s="516"/>
      <c r="B649" s="206"/>
      <c r="C649" s="453"/>
      <c r="D649" s="453"/>
      <c r="E649" s="206"/>
      <c r="F649" s="206"/>
      <c r="G649" s="206"/>
      <c r="H649" s="206"/>
      <c r="I649" s="206"/>
      <c r="J649" s="206"/>
      <c r="K649" s="206"/>
      <c r="L649" s="206"/>
      <c r="M649" s="3"/>
      <c r="N649" s="206"/>
      <c r="O649" s="421"/>
      <c r="P649" s="421"/>
      <c r="Q649" s="206"/>
      <c r="R649" s="206"/>
      <c r="S649" s="421"/>
      <c r="T649" s="517"/>
    </row>
    <row r="650" spans="1:20" ht="21" customHeight="1">
      <c r="A650" s="516"/>
      <c r="B650" s="206"/>
      <c r="C650" s="453"/>
      <c r="D650" s="453"/>
      <c r="E650" s="206"/>
      <c r="F650" s="206"/>
      <c r="G650" s="206"/>
      <c r="H650" s="206"/>
      <c r="I650" s="206"/>
      <c r="J650" s="206"/>
      <c r="K650" s="206"/>
      <c r="L650" s="206"/>
      <c r="M650" s="3"/>
      <c r="N650" s="206"/>
      <c r="O650" s="421"/>
      <c r="P650" s="421"/>
      <c r="Q650" s="206"/>
      <c r="R650" s="421"/>
      <c r="S650" s="421"/>
      <c r="T650" s="517"/>
    </row>
    <row r="651" spans="1:20" ht="21" customHeight="1">
      <c r="A651" s="516"/>
      <c r="B651" s="206"/>
      <c r="C651" s="453"/>
      <c r="D651" s="453"/>
      <c r="E651" s="206"/>
      <c r="F651" s="206"/>
      <c r="G651" s="206"/>
      <c r="H651" s="206"/>
      <c r="I651" s="206"/>
      <c r="J651" s="206"/>
      <c r="K651" s="206"/>
      <c r="L651" s="206"/>
      <c r="M651" s="3"/>
      <c r="N651" s="206"/>
      <c r="O651" s="421"/>
      <c r="P651" s="421"/>
      <c r="Q651" s="206"/>
      <c r="R651" s="421"/>
      <c r="S651" s="421"/>
      <c r="T651" s="517"/>
    </row>
    <row r="652" spans="1:20" ht="21" customHeight="1">
      <c r="A652" s="516"/>
      <c r="B652" s="206"/>
      <c r="C652" s="453"/>
      <c r="D652" s="453"/>
      <c r="E652" s="206"/>
      <c r="F652" s="206"/>
      <c r="G652" s="206"/>
      <c r="H652" s="206"/>
      <c r="I652" s="206"/>
      <c r="J652" s="206"/>
      <c r="K652" s="206"/>
      <c r="L652" s="206"/>
      <c r="M652" s="3"/>
      <c r="N652" s="206"/>
      <c r="O652" s="421"/>
      <c r="P652" s="421"/>
      <c r="Q652" s="206"/>
      <c r="R652" s="421"/>
      <c r="S652" s="421"/>
      <c r="T652" s="517"/>
    </row>
    <row r="653" spans="1:20" ht="21" customHeight="1">
      <c r="A653" s="516"/>
      <c r="B653" s="206"/>
      <c r="C653" s="453"/>
      <c r="D653" s="453"/>
      <c r="E653" s="206"/>
      <c r="F653" s="206"/>
      <c r="G653" s="206"/>
      <c r="H653" s="206"/>
      <c r="I653" s="206"/>
      <c r="J653" s="206"/>
      <c r="K653" s="206"/>
      <c r="L653" s="206"/>
      <c r="M653" s="3"/>
      <c r="N653" s="206"/>
      <c r="O653" s="421"/>
      <c r="P653" s="421"/>
      <c r="Q653" s="206"/>
      <c r="R653" s="206"/>
      <c r="S653" s="421"/>
      <c r="T653" s="517"/>
    </row>
    <row r="654" spans="1:20" ht="21" customHeight="1">
      <c r="A654" s="516"/>
      <c r="B654" s="206"/>
      <c r="C654" s="453"/>
      <c r="D654" s="453"/>
      <c r="E654" s="206"/>
      <c r="F654" s="206"/>
      <c r="G654" s="206"/>
      <c r="H654" s="206"/>
      <c r="I654" s="206"/>
      <c r="J654" s="206"/>
      <c r="K654" s="206"/>
      <c r="L654" s="206"/>
      <c r="M654" s="3"/>
      <c r="N654" s="206"/>
      <c r="O654" s="421"/>
      <c r="P654" s="421"/>
      <c r="Q654" s="206"/>
      <c r="R654" s="206"/>
      <c r="S654" s="421"/>
      <c r="T654" s="517"/>
    </row>
    <row r="655" spans="1:20" ht="21" customHeight="1">
      <c r="A655" s="516"/>
      <c r="B655" s="206"/>
      <c r="C655" s="453"/>
      <c r="D655" s="453"/>
      <c r="E655" s="206"/>
      <c r="F655" s="206"/>
      <c r="G655" s="206"/>
      <c r="H655" s="206"/>
      <c r="I655" s="206"/>
      <c r="J655" s="206"/>
      <c r="K655" s="206"/>
      <c r="L655" s="206"/>
      <c r="M655" s="3"/>
      <c r="N655" s="206"/>
      <c r="O655" s="421"/>
      <c r="P655" s="421"/>
      <c r="Q655" s="206"/>
      <c r="R655" s="206"/>
      <c r="S655" s="421"/>
      <c r="T655" s="527"/>
    </row>
    <row r="656" spans="1:20" ht="21" customHeight="1">
      <c r="A656" s="516"/>
      <c r="B656" s="206"/>
      <c r="C656" s="453"/>
      <c r="D656" s="453"/>
      <c r="E656" s="206"/>
      <c r="F656" s="206"/>
      <c r="G656" s="206"/>
      <c r="H656" s="206"/>
      <c r="I656" s="206"/>
      <c r="J656" s="206"/>
      <c r="K656" s="206"/>
      <c r="L656" s="206"/>
      <c r="M656" s="3"/>
      <c r="N656" s="206"/>
      <c r="O656" s="421"/>
      <c r="P656" s="421"/>
      <c r="Q656" s="206"/>
      <c r="R656" s="206"/>
      <c r="S656" s="421"/>
      <c r="T656" s="517"/>
    </row>
    <row r="657" spans="1:20" ht="21" customHeight="1">
      <c r="A657" s="516"/>
      <c r="B657" s="206"/>
      <c r="C657" s="453"/>
      <c r="D657" s="453"/>
      <c r="E657" s="206"/>
      <c r="F657" s="206"/>
      <c r="G657" s="206"/>
      <c r="H657" s="206"/>
      <c r="I657" s="206"/>
      <c r="J657" s="206"/>
      <c r="K657" s="206"/>
      <c r="L657" s="206"/>
      <c r="M657" s="3"/>
      <c r="N657" s="206"/>
      <c r="O657" s="421"/>
      <c r="P657" s="421"/>
      <c r="Q657" s="206"/>
      <c r="R657" s="206"/>
      <c r="S657" s="421"/>
      <c r="T657" s="527"/>
    </row>
    <row r="658" spans="1:20" ht="21" customHeight="1">
      <c r="A658" s="516"/>
      <c r="B658" s="206"/>
      <c r="C658" s="453"/>
      <c r="D658" s="453"/>
      <c r="E658" s="206"/>
      <c r="F658" s="206"/>
      <c r="G658" s="206"/>
      <c r="H658" s="206"/>
      <c r="I658" s="206"/>
      <c r="J658" s="206"/>
      <c r="K658" s="206"/>
      <c r="L658" s="206"/>
      <c r="M658" s="3"/>
      <c r="N658" s="206"/>
      <c r="O658" s="421"/>
      <c r="P658" s="421"/>
      <c r="Q658" s="206"/>
      <c r="R658" s="206"/>
      <c r="S658" s="421"/>
      <c r="T658" s="517"/>
    </row>
    <row r="659" spans="1:20" ht="21" customHeight="1">
      <c r="A659" s="516"/>
      <c r="B659" s="206"/>
      <c r="C659" s="453"/>
      <c r="D659" s="453"/>
      <c r="E659" s="206"/>
      <c r="F659" s="206"/>
      <c r="G659" s="206"/>
      <c r="H659" s="206"/>
      <c r="I659" s="206"/>
      <c r="J659" s="206"/>
      <c r="K659" s="206"/>
      <c r="L659" s="206"/>
      <c r="M659" s="3"/>
      <c r="N659" s="206"/>
      <c r="O659" s="421"/>
      <c r="P659" s="421"/>
      <c r="Q659" s="206"/>
      <c r="R659" s="421"/>
      <c r="S659" s="421"/>
      <c r="T659" s="517"/>
    </row>
    <row r="660" spans="1:20" ht="21" customHeight="1">
      <c r="A660" s="516"/>
      <c r="B660" s="206"/>
      <c r="C660" s="453"/>
      <c r="D660" s="453"/>
      <c r="E660" s="206"/>
      <c r="F660" s="206"/>
      <c r="G660" s="206"/>
      <c r="H660" s="206"/>
      <c r="I660" s="206"/>
      <c r="J660" s="206"/>
      <c r="K660" s="206"/>
      <c r="L660" s="206"/>
      <c r="M660" s="3"/>
      <c r="N660" s="206"/>
      <c r="O660" s="421"/>
      <c r="P660" s="421"/>
      <c r="Q660" s="206"/>
      <c r="R660" s="206"/>
      <c r="S660" s="421"/>
      <c r="T660" s="517"/>
    </row>
    <row r="661" spans="1:20" ht="21" customHeight="1">
      <c r="A661" s="516"/>
      <c r="B661" s="206"/>
      <c r="C661" s="453"/>
      <c r="D661" s="453"/>
      <c r="E661" s="206"/>
      <c r="F661" s="206"/>
      <c r="G661" s="206"/>
      <c r="H661" s="206"/>
      <c r="I661" s="206"/>
      <c r="J661" s="206"/>
      <c r="K661" s="206"/>
      <c r="L661" s="206"/>
      <c r="M661" s="3"/>
      <c r="N661" s="206"/>
      <c r="O661" s="421"/>
      <c r="P661" s="421"/>
      <c r="Q661" s="206"/>
      <c r="R661" s="421"/>
      <c r="S661" s="421"/>
      <c r="T661" s="517"/>
    </row>
    <row r="662" spans="1:20" ht="21" customHeight="1">
      <c r="A662" s="516"/>
      <c r="B662" s="206"/>
      <c r="C662" s="453"/>
      <c r="D662" s="453"/>
      <c r="E662" s="206"/>
      <c r="F662" s="206"/>
      <c r="G662" s="206"/>
      <c r="H662" s="206"/>
      <c r="I662" s="206"/>
      <c r="J662" s="206"/>
      <c r="K662" s="206"/>
      <c r="L662" s="206"/>
      <c r="M662" s="3"/>
      <c r="N662" s="206"/>
      <c r="O662" s="421"/>
      <c r="P662" s="421"/>
      <c r="Q662" s="206"/>
      <c r="R662" s="421"/>
      <c r="S662" s="421"/>
      <c r="T662" s="517"/>
    </row>
    <row r="663" spans="1:20" ht="21" customHeight="1">
      <c r="A663" s="516"/>
      <c r="B663" s="206"/>
      <c r="C663" s="453"/>
      <c r="D663" s="453"/>
      <c r="E663" s="206"/>
      <c r="F663" s="206"/>
      <c r="G663" s="206"/>
      <c r="H663" s="206"/>
      <c r="I663" s="206"/>
      <c r="J663" s="206"/>
      <c r="K663" s="206"/>
      <c r="L663" s="206"/>
      <c r="M663" s="3"/>
      <c r="N663" s="206"/>
      <c r="O663" s="421"/>
      <c r="P663" s="421"/>
      <c r="Q663" s="206"/>
      <c r="R663" s="421"/>
      <c r="S663" s="421"/>
      <c r="T663" s="517"/>
    </row>
    <row r="664" spans="1:20" ht="21" customHeight="1">
      <c r="A664" s="516"/>
      <c r="B664" s="206"/>
      <c r="C664" s="453"/>
      <c r="D664" s="453"/>
      <c r="E664" s="206"/>
      <c r="F664" s="206"/>
      <c r="G664" s="206"/>
      <c r="H664" s="206"/>
      <c r="I664" s="206"/>
      <c r="J664" s="206"/>
      <c r="K664" s="206"/>
      <c r="L664" s="206"/>
      <c r="M664" s="3"/>
      <c r="N664" s="206"/>
      <c r="O664" s="421"/>
      <c r="P664" s="421"/>
      <c r="Q664" s="206"/>
      <c r="R664" s="206"/>
      <c r="S664" s="421"/>
      <c r="T664" s="517"/>
    </row>
    <row r="665" spans="1:20" ht="21" customHeight="1">
      <c r="A665" s="516"/>
      <c r="B665" s="206"/>
      <c r="C665" s="453"/>
      <c r="D665" s="453"/>
      <c r="E665" s="206"/>
      <c r="F665" s="206"/>
      <c r="G665" s="206"/>
      <c r="H665" s="206"/>
      <c r="I665" s="206"/>
      <c r="J665" s="206"/>
      <c r="K665" s="206"/>
      <c r="L665" s="206"/>
      <c r="M665" s="3"/>
      <c r="N665" s="206"/>
      <c r="O665" s="421"/>
      <c r="P665" s="421"/>
      <c r="Q665" s="206"/>
      <c r="R665" s="421"/>
      <c r="S665" s="421"/>
      <c r="T665" s="517"/>
    </row>
    <row r="666" spans="1:20" ht="21" customHeight="1">
      <c r="A666" s="516"/>
      <c r="B666" s="206"/>
      <c r="C666" s="453"/>
      <c r="D666" s="453"/>
      <c r="E666" s="206"/>
      <c r="F666" s="206"/>
      <c r="G666" s="206"/>
      <c r="H666" s="206"/>
      <c r="I666" s="206"/>
      <c r="J666" s="206"/>
      <c r="K666" s="206"/>
      <c r="L666" s="206"/>
      <c r="M666" s="3"/>
      <c r="N666" s="206"/>
      <c r="O666" s="421"/>
      <c r="P666" s="421"/>
      <c r="Q666" s="206"/>
      <c r="R666" s="421"/>
      <c r="S666" s="421"/>
      <c r="T666" s="517"/>
    </row>
    <row r="667" spans="1:20" ht="21" customHeight="1">
      <c r="A667" s="516"/>
      <c r="B667" s="181"/>
      <c r="C667" s="453"/>
      <c r="D667" s="453"/>
      <c r="E667" s="206"/>
      <c r="F667" s="206"/>
      <c r="G667" s="206"/>
      <c r="H667" s="206"/>
      <c r="I667" s="206"/>
      <c r="J667" s="206"/>
      <c r="K667" s="206"/>
      <c r="L667" s="206"/>
      <c r="M667" s="3"/>
      <c r="N667" s="206"/>
      <c r="O667" s="421"/>
      <c r="P667" s="421"/>
      <c r="Q667" s="206"/>
      <c r="R667" s="421"/>
      <c r="S667" s="421"/>
      <c r="T667" s="517"/>
    </row>
    <row r="668" spans="1:20" ht="21" customHeight="1">
      <c r="A668" s="516"/>
      <c r="B668" s="206"/>
      <c r="C668" s="453"/>
      <c r="D668" s="453"/>
      <c r="E668" s="206"/>
      <c r="F668" s="206"/>
      <c r="G668" s="206"/>
      <c r="H668" s="206"/>
      <c r="I668" s="206"/>
      <c r="J668" s="206"/>
      <c r="K668" s="206"/>
      <c r="L668" s="206"/>
      <c r="M668" s="3"/>
      <c r="N668" s="206"/>
      <c r="O668" s="421"/>
      <c r="P668" s="421"/>
      <c r="Q668" s="206"/>
      <c r="R668" s="421"/>
      <c r="S668" s="421"/>
      <c r="T668" s="517"/>
    </row>
    <row r="669" spans="1:20" ht="21" customHeight="1">
      <c r="A669" s="516"/>
      <c r="B669" s="206"/>
      <c r="C669" s="453"/>
      <c r="D669" s="453"/>
      <c r="E669" s="206"/>
      <c r="F669" s="206"/>
      <c r="G669" s="206"/>
      <c r="H669" s="206"/>
      <c r="I669" s="206"/>
      <c r="J669" s="206"/>
      <c r="K669" s="206"/>
      <c r="L669" s="206"/>
      <c r="M669" s="3"/>
      <c r="N669" s="206"/>
      <c r="O669" s="421"/>
      <c r="P669" s="421"/>
      <c r="Q669" s="206"/>
      <c r="R669" s="206"/>
      <c r="S669" s="421"/>
      <c r="T669" s="527"/>
    </row>
    <row r="670" spans="1:20" ht="21" customHeight="1">
      <c r="A670" s="516"/>
      <c r="B670" s="206"/>
      <c r="C670" s="453"/>
      <c r="D670" s="453"/>
      <c r="E670" s="206"/>
      <c r="F670" s="206"/>
      <c r="G670" s="206"/>
      <c r="H670" s="206"/>
      <c r="I670" s="206"/>
      <c r="J670" s="206"/>
      <c r="K670" s="206"/>
      <c r="L670" s="206"/>
      <c r="M670" s="3"/>
      <c r="N670" s="206"/>
      <c r="O670" s="421"/>
      <c r="P670" s="421"/>
      <c r="Q670" s="206"/>
      <c r="R670" s="206"/>
      <c r="S670" s="421"/>
      <c r="T670" s="517"/>
    </row>
    <row r="671" spans="1:20" ht="21" customHeight="1">
      <c r="A671" s="516"/>
      <c r="B671" s="206"/>
      <c r="C671" s="453"/>
      <c r="D671" s="453"/>
      <c r="E671" s="206"/>
      <c r="F671" s="206"/>
      <c r="G671" s="206"/>
      <c r="H671" s="206"/>
      <c r="I671" s="206"/>
      <c r="J671" s="206"/>
      <c r="K671" s="206"/>
      <c r="L671" s="206"/>
      <c r="M671" s="3"/>
      <c r="N671" s="206"/>
      <c r="O671" s="421"/>
      <c r="P671" s="421"/>
      <c r="Q671" s="206"/>
      <c r="R671" s="421"/>
      <c r="S671" s="421"/>
      <c r="T671" s="517"/>
    </row>
    <row r="672" spans="1:20" ht="21" customHeight="1">
      <c r="A672" s="516"/>
      <c r="B672" s="206"/>
      <c r="C672" s="453"/>
      <c r="D672" s="453"/>
      <c r="E672" s="206"/>
      <c r="F672" s="206"/>
      <c r="G672" s="206"/>
      <c r="H672" s="206"/>
      <c r="I672" s="206"/>
      <c r="J672" s="206"/>
      <c r="K672" s="206"/>
      <c r="L672" s="206"/>
      <c r="M672" s="3"/>
      <c r="N672" s="206"/>
      <c r="O672" s="421"/>
      <c r="P672" s="421"/>
      <c r="Q672" s="206"/>
      <c r="R672" s="421"/>
      <c r="S672" s="421"/>
      <c r="T672" s="517"/>
    </row>
    <row r="673" spans="1:20" ht="21" customHeight="1">
      <c r="A673" s="516"/>
      <c r="B673" s="206"/>
      <c r="C673" s="453"/>
      <c r="D673" s="453"/>
      <c r="E673" s="206"/>
      <c r="F673" s="206"/>
      <c r="G673" s="206"/>
      <c r="H673" s="206"/>
      <c r="I673" s="206"/>
      <c r="J673" s="206"/>
      <c r="K673" s="206"/>
      <c r="L673" s="206"/>
      <c r="M673" s="3"/>
      <c r="N673" s="206"/>
      <c r="O673" s="421"/>
      <c r="P673" s="421"/>
      <c r="Q673" s="206"/>
      <c r="R673" s="421"/>
      <c r="S673" s="421"/>
      <c r="T673" s="517"/>
    </row>
    <row r="674" spans="1:20" ht="21" customHeight="1">
      <c r="A674" s="516"/>
      <c r="B674" s="206"/>
      <c r="C674" s="453"/>
      <c r="D674" s="453"/>
      <c r="E674" s="206"/>
      <c r="F674" s="206"/>
      <c r="G674" s="206"/>
      <c r="H674" s="206"/>
      <c r="I674" s="206"/>
      <c r="J674" s="206"/>
      <c r="K674" s="206"/>
      <c r="L674" s="206"/>
      <c r="M674" s="3"/>
      <c r="N674" s="206"/>
      <c r="O674" s="421"/>
      <c r="P674" s="421"/>
      <c r="Q674" s="206"/>
      <c r="R674" s="421"/>
      <c r="S674" s="421"/>
      <c r="T674" s="517"/>
    </row>
    <row r="675" spans="1:20" ht="21" customHeight="1">
      <c r="A675" s="516"/>
      <c r="B675" s="206"/>
      <c r="C675" s="453"/>
      <c r="D675" s="453"/>
      <c r="E675" s="206"/>
      <c r="F675" s="206"/>
      <c r="G675" s="206"/>
      <c r="H675" s="206"/>
      <c r="I675" s="206"/>
      <c r="J675" s="206"/>
      <c r="K675" s="206"/>
      <c r="L675" s="206"/>
      <c r="M675" s="3"/>
      <c r="N675" s="206"/>
      <c r="O675" s="421"/>
      <c r="P675" s="421"/>
      <c r="Q675" s="206"/>
      <c r="R675" s="206"/>
      <c r="S675" s="421"/>
      <c r="T675" s="517"/>
    </row>
    <row r="676" spans="1:20" ht="21" customHeight="1">
      <c r="A676" s="516"/>
      <c r="B676" s="206"/>
      <c r="C676" s="453"/>
      <c r="D676" s="453"/>
      <c r="E676" s="206"/>
      <c r="F676" s="206"/>
      <c r="G676" s="206"/>
      <c r="H676" s="206"/>
      <c r="I676" s="206"/>
      <c r="J676" s="206"/>
      <c r="K676" s="206"/>
      <c r="L676" s="206"/>
      <c r="M676" s="3"/>
      <c r="N676" s="206"/>
      <c r="O676" s="421"/>
      <c r="P676" s="421"/>
      <c r="Q676" s="206"/>
      <c r="R676" s="421"/>
      <c r="S676" s="421"/>
      <c r="T676" s="517"/>
    </row>
    <row r="677" spans="1:20" ht="21" customHeight="1">
      <c r="A677" s="516"/>
      <c r="B677" s="206"/>
      <c r="C677" s="453"/>
      <c r="D677" s="453"/>
      <c r="E677" s="206"/>
      <c r="F677" s="206"/>
      <c r="G677" s="206"/>
      <c r="H677" s="206"/>
      <c r="I677" s="206"/>
      <c r="J677" s="206"/>
      <c r="K677" s="206"/>
      <c r="L677" s="206"/>
      <c r="M677" s="3"/>
      <c r="N677" s="206"/>
      <c r="O677" s="421"/>
      <c r="P677" s="421"/>
      <c r="Q677" s="206"/>
      <c r="R677" s="421"/>
      <c r="S677" s="421"/>
      <c r="T677" s="517"/>
    </row>
    <row r="678" spans="1:20" ht="21" customHeight="1">
      <c r="A678" s="516"/>
      <c r="B678" s="206"/>
      <c r="C678" s="453"/>
      <c r="D678" s="453"/>
      <c r="E678" s="206"/>
      <c r="F678" s="206"/>
      <c r="G678" s="206"/>
      <c r="H678" s="206"/>
      <c r="I678" s="206"/>
      <c r="J678" s="206"/>
      <c r="K678" s="206"/>
      <c r="L678" s="206"/>
      <c r="M678" s="3"/>
      <c r="N678" s="206"/>
      <c r="O678" s="421"/>
      <c r="P678" s="421"/>
      <c r="Q678" s="206"/>
      <c r="R678" s="421"/>
      <c r="S678" s="421"/>
      <c r="T678" s="517"/>
    </row>
    <row r="679" spans="1:20" ht="21" customHeight="1">
      <c r="A679" s="516"/>
      <c r="B679" s="206"/>
      <c r="C679" s="453"/>
      <c r="D679" s="453"/>
      <c r="E679" s="206"/>
      <c r="F679" s="206"/>
      <c r="G679" s="206"/>
      <c r="H679" s="206"/>
      <c r="I679" s="206"/>
      <c r="J679" s="206"/>
      <c r="K679" s="206"/>
      <c r="L679" s="206"/>
      <c r="M679" s="3"/>
      <c r="N679" s="206"/>
      <c r="O679" s="421"/>
      <c r="P679" s="421"/>
      <c r="Q679" s="206"/>
      <c r="R679" s="206"/>
      <c r="S679" s="421"/>
      <c r="T679" s="517"/>
    </row>
    <row r="680" spans="1:20" ht="21" customHeight="1">
      <c r="A680" s="516"/>
      <c r="B680" s="206"/>
      <c r="C680" s="453"/>
      <c r="D680" s="453"/>
      <c r="E680" s="206"/>
      <c r="F680" s="206"/>
      <c r="G680" s="206"/>
      <c r="H680" s="206"/>
      <c r="I680" s="206"/>
      <c r="J680" s="206"/>
      <c r="K680" s="206"/>
      <c r="L680" s="206"/>
      <c r="M680" s="3"/>
      <c r="N680" s="206"/>
      <c r="O680" s="421"/>
      <c r="P680" s="421"/>
      <c r="Q680" s="460"/>
      <c r="R680" s="421"/>
      <c r="S680" s="421"/>
      <c r="T680" s="517"/>
    </row>
    <row r="681" spans="1:20" ht="21" customHeight="1">
      <c r="A681" s="516"/>
      <c r="B681" s="206"/>
      <c r="C681" s="453"/>
      <c r="D681" s="453"/>
      <c r="E681" s="206"/>
      <c r="F681" s="206"/>
      <c r="G681" s="206"/>
      <c r="H681" s="206"/>
      <c r="I681" s="206"/>
      <c r="J681" s="206"/>
      <c r="K681" s="206"/>
      <c r="L681" s="206"/>
      <c r="M681" s="3"/>
      <c r="N681" s="206"/>
      <c r="O681" s="421"/>
      <c r="P681" s="421"/>
      <c r="Q681" s="460"/>
      <c r="R681" s="421"/>
      <c r="S681" s="421"/>
      <c r="T681" s="517"/>
    </row>
    <row r="682" spans="1:20" ht="21" customHeight="1">
      <c r="A682" s="516"/>
      <c r="B682" s="206"/>
      <c r="C682" s="453"/>
      <c r="D682" s="453"/>
      <c r="E682" s="206"/>
      <c r="F682" s="206"/>
      <c r="G682" s="206"/>
      <c r="H682" s="206"/>
      <c r="I682" s="206"/>
      <c r="J682" s="206"/>
      <c r="K682" s="206"/>
      <c r="L682" s="206"/>
      <c r="M682" s="3"/>
      <c r="N682" s="206"/>
      <c r="O682" s="421"/>
      <c r="P682" s="421"/>
      <c r="Q682" s="206"/>
      <c r="R682" s="421"/>
      <c r="S682" s="421"/>
      <c r="T682" s="517"/>
    </row>
    <row r="683" spans="1:20" ht="21" customHeight="1">
      <c r="A683" s="516"/>
      <c r="B683" s="206"/>
      <c r="C683" s="453"/>
      <c r="D683" s="453"/>
      <c r="E683" s="206"/>
      <c r="F683" s="206"/>
      <c r="G683" s="206"/>
      <c r="H683" s="206"/>
      <c r="I683" s="206"/>
      <c r="J683" s="206"/>
      <c r="K683" s="206"/>
      <c r="L683" s="206"/>
      <c r="M683" s="3"/>
      <c r="N683" s="206"/>
      <c r="O683" s="421"/>
      <c r="P683" s="421"/>
      <c r="Q683" s="206"/>
      <c r="R683" s="206"/>
      <c r="S683" s="421"/>
      <c r="T683" s="517"/>
    </row>
    <row r="684" spans="1:20" ht="21" customHeight="1">
      <c r="A684" s="516"/>
      <c r="B684" s="206"/>
      <c r="C684" s="453"/>
      <c r="D684" s="453"/>
      <c r="E684" s="206"/>
      <c r="F684" s="206"/>
      <c r="G684" s="206"/>
      <c r="H684" s="206"/>
      <c r="I684" s="206"/>
      <c r="J684" s="206"/>
      <c r="K684" s="206"/>
      <c r="L684" s="206"/>
      <c r="M684" s="3"/>
      <c r="N684" s="206"/>
      <c r="O684" s="421"/>
      <c r="P684" s="421"/>
      <c r="Q684" s="206"/>
      <c r="R684" s="421"/>
      <c r="S684" s="421"/>
      <c r="T684" s="517"/>
    </row>
    <row r="685" spans="1:20" ht="21" customHeight="1">
      <c r="A685" s="516"/>
      <c r="B685" s="206"/>
      <c r="C685" s="453"/>
      <c r="D685" s="453"/>
      <c r="E685" s="206"/>
      <c r="F685" s="206"/>
      <c r="G685" s="206"/>
      <c r="H685" s="206"/>
      <c r="I685" s="206"/>
      <c r="J685" s="206"/>
      <c r="K685" s="206"/>
      <c r="L685" s="206"/>
      <c r="M685" s="3"/>
      <c r="N685" s="206"/>
      <c r="O685" s="421"/>
      <c r="P685" s="421"/>
      <c r="Q685" s="206"/>
      <c r="R685" s="206"/>
      <c r="S685" s="421"/>
      <c r="T685" s="517"/>
    </row>
    <row r="686" spans="1:20" ht="21" customHeight="1">
      <c r="A686" s="516"/>
      <c r="B686" s="206"/>
      <c r="C686" s="453"/>
      <c r="D686" s="453"/>
      <c r="E686" s="206"/>
      <c r="F686" s="206"/>
      <c r="G686" s="206"/>
      <c r="H686" s="206"/>
      <c r="I686" s="206"/>
      <c r="J686" s="206"/>
      <c r="K686" s="206"/>
      <c r="L686" s="206"/>
      <c r="M686" s="3"/>
      <c r="N686" s="206"/>
      <c r="O686" s="421"/>
      <c r="P686" s="421"/>
      <c r="Q686" s="206"/>
      <c r="R686" s="206"/>
      <c r="S686" s="421"/>
      <c r="T686" s="517"/>
    </row>
    <row r="687" spans="1:20" ht="21" customHeight="1">
      <c r="A687" s="516"/>
      <c r="B687" s="206"/>
      <c r="C687" s="453"/>
      <c r="D687" s="453"/>
      <c r="E687" s="206"/>
      <c r="F687" s="206"/>
      <c r="G687" s="206"/>
      <c r="H687" s="206"/>
      <c r="I687" s="206"/>
      <c r="J687" s="206"/>
      <c r="K687" s="206"/>
      <c r="L687" s="206"/>
      <c r="M687" s="3"/>
      <c r="N687" s="206"/>
      <c r="O687" s="421"/>
      <c r="P687" s="421"/>
      <c r="Q687" s="206"/>
      <c r="R687" s="206"/>
      <c r="S687" s="421"/>
      <c r="T687" s="517"/>
    </row>
    <row r="688" spans="1:20" ht="21" customHeight="1">
      <c r="A688" s="516"/>
      <c r="B688" s="206"/>
      <c r="C688" s="453"/>
      <c r="D688" s="453"/>
      <c r="E688" s="206"/>
      <c r="F688" s="206"/>
      <c r="G688" s="206"/>
      <c r="H688" s="206"/>
      <c r="I688" s="206"/>
      <c r="J688" s="206"/>
      <c r="K688" s="206"/>
      <c r="L688" s="206"/>
      <c r="M688" s="3"/>
      <c r="N688" s="206"/>
      <c r="O688" s="421"/>
      <c r="P688" s="421"/>
      <c r="Q688" s="206"/>
      <c r="R688" s="206"/>
      <c r="S688" s="421"/>
      <c r="T688" s="517"/>
    </row>
    <row r="689" spans="1:20" ht="21" customHeight="1">
      <c r="A689" s="516"/>
      <c r="B689" s="206"/>
      <c r="C689" s="453"/>
      <c r="D689" s="453"/>
      <c r="E689" s="206"/>
      <c r="F689" s="206"/>
      <c r="G689" s="206"/>
      <c r="H689" s="206"/>
      <c r="I689" s="206"/>
      <c r="J689" s="206"/>
      <c r="K689" s="206"/>
      <c r="L689" s="206"/>
      <c r="M689" s="3"/>
      <c r="N689" s="206"/>
      <c r="O689" s="421"/>
      <c r="P689" s="421"/>
      <c r="Q689" s="206"/>
      <c r="R689" s="206"/>
      <c r="S689" s="421"/>
      <c r="T689" s="517"/>
    </row>
    <row r="690" spans="1:20" ht="21" customHeight="1">
      <c r="A690" s="548"/>
      <c r="B690" s="549"/>
      <c r="C690" s="550"/>
      <c r="D690" s="550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51"/>
      <c r="P690" s="421"/>
      <c r="Q690" s="549"/>
      <c r="R690" s="549"/>
      <c r="S690" s="551"/>
      <c r="T690" s="552"/>
    </row>
    <row r="691" spans="1:20" ht="21" customHeight="1">
      <c r="A691" s="516"/>
      <c r="B691" s="206"/>
      <c r="C691" s="453"/>
      <c r="D691" s="453"/>
      <c r="E691" s="206"/>
      <c r="F691" s="206"/>
      <c r="G691" s="206"/>
      <c r="H691" s="206"/>
      <c r="I691" s="206"/>
      <c r="J691" s="206"/>
      <c r="K691" s="206"/>
      <c r="L691" s="206"/>
      <c r="M691" s="3"/>
      <c r="N691" s="206"/>
      <c r="O691" s="421"/>
      <c r="P691" s="421"/>
      <c r="Q691" s="206"/>
      <c r="R691" s="421"/>
      <c r="S691" s="421"/>
      <c r="T691" s="517"/>
    </row>
    <row r="692" spans="1:20" ht="21" customHeight="1">
      <c r="A692" s="516"/>
      <c r="B692" s="206"/>
      <c r="C692" s="453"/>
      <c r="D692" s="453"/>
      <c r="E692" s="206"/>
      <c r="F692" s="206"/>
      <c r="G692" s="206"/>
      <c r="H692" s="206"/>
      <c r="I692" s="206"/>
      <c r="J692" s="206"/>
      <c r="K692" s="206"/>
      <c r="L692" s="206"/>
      <c r="M692" s="3"/>
      <c r="N692" s="206"/>
      <c r="O692" s="421"/>
      <c r="P692" s="421"/>
      <c r="Q692" s="206"/>
      <c r="R692" s="206"/>
      <c r="S692" s="421"/>
      <c r="T692" s="517"/>
    </row>
    <row r="693" spans="1:20" ht="21" customHeight="1">
      <c r="A693" s="516"/>
      <c r="B693" s="206"/>
      <c r="C693" s="453"/>
      <c r="D693" s="453"/>
      <c r="E693" s="206"/>
      <c r="F693" s="206"/>
      <c r="G693" s="206"/>
      <c r="H693" s="206"/>
      <c r="I693" s="206"/>
      <c r="J693" s="206"/>
      <c r="K693" s="206"/>
      <c r="L693" s="206"/>
      <c r="M693" s="3"/>
      <c r="N693" s="206"/>
      <c r="O693" s="421"/>
      <c r="P693" s="421"/>
      <c r="Q693" s="206"/>
      <c r="R693" s="421"/>
      <c r="S693" s="421"/>
      <c r="T693" s="517"/>
    </row>
    <row r="694" spans="1:20" ht="21" customHeight="1">
      <c r="A694" s="516"/>
      <c r="B694" s="206"/>
      <c r="C694" s="453"/>
      <c r="D694" s="453"/>
      <c r="E694" s="206"/>
      <c r="F694" s="206"/>
      <c r="G694" s="206"/>
      <c r="H694" s="206"/>
      <c r="I694" s="206"/>
      <c r="J694" s="206"/>
      <c r="K694" s="206"/>
      <c r="L694" s="206"/>
      <c r="M694" s="3"/>
      <c r="N694" s="206"/>
      <c r="O694" s="421"/>
      <c r="P694" s="421"/>
      <c r="Q694" s="206"/>
      <c r="R694" s="421"/>
      <c r="S694" s="421"/>
      <c r="T694" s="517"/>
    </row>
    <row r="695" spans="1:20" ht="21" customHeight="1">
      <c r="A695" s="516"/>
      <c r="B695" s="206"/>
      <c r="C695" s="453"/>
      <c r="D695" s="453"/>
      <c r="E695" s="206"/>
      <c r="F695" s="206"/>
      <c r="G695" s="206"/>
      <c r="H695" s="206"/>
      <c r="I695" s="206"/>
      <c r="J695" s="206"/>
      <c r="K695" s="206"/>
      <c r="L695" s="206"/>
      <c r="M695" s="3"/>
      <c r="N695" s="206"/>
      <c r="O695" s="421"/>
      <c r="P695" s="421"/>
      <c r="Q695" s="206"/>
      <c r="R695" s="206"/>
      <c r="S695" s="421"/>
      <c r="T695" s="527"/>
    </row>
    <row r="696" spans="1:20" ht="21" customHeight="1">
      <c r="A696" s="516"/>
      <c r="B696" s="206"/>
      <c r="C696" s="453"/>
      <c r="D696" s="453"/>
      <c r="E696" s="206"/>
      <c r="F696" s="206"/>
      <c r="G696" s="206"/>
      <c r="H696" s="206"/>
      <c r="I696" s="206"/>
      <c r="J696" s="206"/>
      <c r="K696" s="206"/>
      <c r="L696" s="206"/>
      <c r="M696" s="3"/>
      <c r="N696" s="206"/>
      <c r="O696" s="422"/>
      <c r="P696" s="421"/>
      <c r="Q696" s="206"/>
      <c r="R696" s="206"/>
      <c r="S696" s="421"/>
      <c r="T696" s="517"/>
    </row>
    <row r="697" spans="1:20" ht="21" customHeight="1">
      <c r="A697" s="516"/>
      <c r="B697" s="206"/>
      <c r="C697" s="453"/>
      <c r="D697" s="453"/>
      <c r="E697" s="206"/>
      <c r="F697" s="206"/>
      <c r="G697" s="206"/>
      <c r="H697" s="206"/>
      <c r="I697" s="206"/>
      <c r="J697" s="206"/>
      <c r="K697" s="206"/>
      <c r="L697" s="206"/>
      <c r="M697" s="3"/>
      <c r="N697" s="206"/>
      <c r="O697" s="421"/>
      <c r="P697" s="421"/>
      <c r="Q697" s="206"/>
      <c r="R697" s="206"/>
      <c r="S697" s="421"/>
      <c r="T697" s="527"/>
    </row>
    <row r="698" spans="1:20" ht="21" customHeight="1">
      <c r="A698" s="516"/>
      <c r="B698" s="206"/>
      <c r="C698" s="453"/>
      <c r="D698" s="453"/>
      <c r="E698" s="206"/>
      <c r="F698" s="206"/>
      <c r="G698" s="206"/>
      <c r="H698" s="206"/>
      <c r="I698" s="206"/>
      <c r="J698" s="206"/>
      <c r="K698" s="206"/>
      <c r="L698" s="206"/>
      <c r="M698" s="3"/>
      <c r="N698" s="206"/>
      <c r="O698" s="421"/>
      <c r="P698" s="421"/>
      <c r="Q698" s="206"/>
      <c r="R698" s="206"/>
      <c r="S698" s="421"/>
      <c r="T698" s="517"/>
    </row>
    <row r="699" spans="1:20" ht="21" customHeight="1">
      <c r="A699" s="516"/>
      <c r="B699" s="206"/>
      <c r="C699" s="453"/>
      <c r="D699" s="453"/>
      <c r="E699" s="206"/>
      <c r="F699" s="206"/>
      <c r="G699" s="206"/>
      <c r="H699" s="206"/>
      <c r="I699" s="206"/>
      <c r="J699" s="206"/>
      <c r="K699" s="206"/>
      <c r="L699" s="206"/>
      <c r="M699" s="3"/>
      <c r="N699" s="206"/>
      <c r="O699" s="421"/>
      <c r="P699" s="421"/>
      <c r="Q699" s="206"/>
      <c r="R699" s="421"/>
      <c r="S699" s="421"/>
      <c r="T699" s="517"/>
    </row>
    <row r="700" spans="1:20" ht="21" customHeight="1">
      <c r="A700" s="516"/>
      <c r="B700" s="206"/>
      <c r="C700" s="453"/>
      <c r="D700" s="453"/>
      <c r="E700" s="206"/>
      <c r="F700" s="206"/>
      <c r="G700" s="206"/>
      <c r="H700" s="206"/>
      <c r="I700" s="206"/>
      <c r="J700" s="206"/>
      <c r="K700" s="206"/>
      <c r="L700" s="206"/>
      <c r="M700" s="3"/>
      <c r="N700" s="206"/>
      <c r="O700" s="421"/>
      <c r="P700" s="421"/>
      <c r="Q700" s="206"/>
      <c r="R700" s="206"/>
      <c r="S700" s="421"/>
      <c r="T700" s="517"/>
    </row>
    <row r="701" spans="1:20" ht="21" customHeight="1">
      <c r="A701" s="516"/>
      <c r="B701" s="206"/>
      <c r="C701" s="453"/>
      <c r="D701" s="453"/>
      <c r="E701" s="206"/>
      <c r="F701" s="206"/>
      <c r="G701" s="206"/>
      <c r="H701" s="206"/>
      <c r="I701" s="206"/>
      <c r="J701" s="206"/>
      <c r="K701" s="206"/>
      <c r="L701" s="206"/>
      <c r="M701" s="3"/>
      <c r="N701" s="206"/>
      <c r="O701" s="421"/>
      <c r="P701" s="421"/>
      <c r="Q701" s="206"/>
      <c r="R701" s="421"/>
      <c r="S701" s="421"/>
      <c r="T701" s="517"/>
    </row>
    <row r="702" spans="1:20" ht="21" customHeight="1">
      <c r="A702" s="516"/>
      <c r="B702" s="206"/>
      <c r="C702" s="453"/>
      <c r="D702" s="453"/>
      <c r="E702" s="206"/>
      <c r="F702" s="206"/>
      <c r="G702" s="206"/>
      <c r="H702" s="206"/>
      <c r="I702" s="206"/>
      <c r="J702" s="206"/>
      <c r="K702" s="206"/>
      <c r="L702" s="206"/>
      <c r="M702" s="3"/>
      <c r="N702" s="206"/>
      <c r="O702" s="421"/>
      <c r="P702" s="421"/>
      <c r="Q702" s="206"/>
      <c r="R702" s="421"/>
      <c r="S702" s="421"/>
      <c r="T702" s="517"/>
    </row>
    <row r="703" spans="1:20" ht="21" customHeight="1">
      <c r="A703" s="516"/>
      <c r="B703" s="206"/>
      <c r="C703" s="453"/>
      <c r="D703" s="453"/>
      <c r="E703" s="206"/>
      <c r="F703" s="206"/>
      <c r="G703" s="206"/>
      <c r="H703" s="206"/>
      <c r="I703" s="206"/>
      <c r="J703" s="206"/>
      <c r="K703" s="206"/>
      <c r="L703" s="206"/>
      <c r="M703" s="3"/>
      <c r="N703" s="206"/>
      <c r="O703" s="421"/>
      <c r="P703" s="421"/>
      <c r="Q703" s="206"/>
      <c r="R703" s="421"/>
      <c r="S703" s="421"/>
      <c r="T703" s="517"/>
    </row>
    <row r="704" spans="1:20" ht="21" customHeight="1">
      <c r="A704" s="516"/>
      <c r="B704" s="206"/>
      <c r="C704" s="453"/>
      <c r="D704" s="453"/>
      <c r="E704" s="206"/>
      <c r="F704" s="206"/>
      <c r="G704" s="206"/>
      <c r="H704" s="206"/>
      <c r="I704" s="206"/>
      <c r="J704" s="206"/>
      <c r="K704" s="206"/>
      <c r="L704" s="206"/>
      <c r="M704" s="3"/>
      <c r="N704" s="206"/>
      <c r="O704" s="421"/>
      <c r="P704" s="421"/>
      <c r="Q704" s="206"/>
      <c r="R704" s="206"/>
      <c r="S704" s="421"/>
      <c r="T704" s="517"/>
    </row>
    <row r="705" spans="1:20" ht="21" customHeight="1">
      <c r="A705" s="516"/>
      <c r="B705" s="206"/>
      <c r="C705" s="453"/>
      <c r="D705" s="453"/>
      <c r="E705" s="206"/>
      <c r="F705" s="206"/>
      <c r="G705" s="206"/>
      <c r="H705" s="206"/>
      <c r="I705" s="206"/>
      <c r="J705" s="206"/>
      <c r="K705" s="206"/>
      <c r="L705" s="206"/>
      <c r="M705" s="3"/>
      <c r="N705" s="206"/>
      <c r="O705" s="421"/>
      <c r="P705" s="421"/>
      <c r="Q705" s="206"/>
      <c r="R705" s="421"/>
      <c r="S705" s="421"/>
      <c r="T705" s="517"/>
    </row>
    <row r="706" spans="1:20" ht="21" customHeight="1">
      <c r="A706" s="516"/>
      <c r="B706" s="206"/>
      <c r="C706" s="453"/>
      <c r="D706" s="453"/>
      <c r="E706" s="206"/>
      <c r="F706" s="206"/>
      <c r="G706" s="206"/>
      <c r="H706" s="206"/>
      <c r="I706" s="206"/>
      <c r="J706" s="206"/>
      <c r="K706" s="206"/>
      <c r="L706" s="206"/>
      <c r="M706" s="3"/>
      <c r="N706" s="206"/>
      <c r="O706" s="421"/>
      <c r="P706" s="421"/>
      <c r="Q706" s="206"/>
      <c r="R706" s="206"/>
      <c r="S706" s="421"/>
      <c r="T706" s="527"/>
    </row>
    <row r="707" spans="1:20" ht="21" customHeight="1">
      <c r="A707" s="516"/>
      <c r="B707" s="206"/>
      <c r="C707" s="453"/>
      <c r="D707" s="453"/>
      <c r="E707" s="206"/>
      <c r="F707" s="206"/>
      <c r="G707" s="206"/>
      <c r="H707" s="206"/>
      <c r="I707" s="206"/>
      <c r="J707" s="206"/>
      <c r="K707" s="206"/>
      <c r="L707" s="206"/>
      <c r="M707" s="3"/>
      <c r="N707" s="206"/>
      <c r="O707" s="421"/>
      <c r="P707" s="421"/>
      <c r="Q707" s="206"/>
      <c r="R707" s="457"/>
      <c r="S707" s="421"/>
      <c r="T707" s="527"/>
    </row>
    <row r="708" spans="1:20" ht="21" customHeight="1">
      <c r="A708" s="516"/>
      <c r="B708" s="206"/>
      <c r="C708" s="453"/>
      <c r="D708" s="453"/>
      <c r="E708" s="206"/>
      <c r="F708" s="206"/>
      <c r="G708" s="206"/>
      <c r="H708" s="206"/>
      <c r="I708" s="206"/>
      <c r="J708" s="206"/>
      <c r="K708" s="206"/>
      <c r="L708" s="206"/>
      <c r="M708" s="3"/>
      <c r="N708" s="206"/>
      <c r="O708" s="421"/>
      <c r="P708" s="421"/>
      <c r="Q708" s="206"/>
      <c r="R708" s="206"/>
      <c r="S708" s="421"/>
      <c r="T708" s="517"/>
    </row>
    <row r="709" spans="1:20" ht="21" customHeight="1">
      <c r="A709" s="516"/>
      <c r="B709" s="206"/>
      <c r="C709" s="453"/>
      <c r="D709" s="453"/>
      <c r="E709" s="206"/>
      <c r="F709" s="206"/>
      <c r="G709" s="206"/>
      <c r="H709" s="206"/>
      <c r="I709" s="206"/>
      <c r="J709" s="206"/>
      <c r="K709" s="206"/>
      <c r="L709" s="206"/>
      <c r="M709" s="3"/>
      <c r="N709" s="206"/>
      <c r="O709" s="421"/>
      <c r="P709" s="421"/>
      <c r="Q709" s="206"/>
      <c r="R709" s="421"/>
      <c r="S709" s="421"/>
      <c r="T709" s="517"/>
    </row>
    <row r="710" spans="1:20" ht="21" customHeight="1">
      <c r="A710" s="516"/>
      <c r="B710" s="206"/>
      <c r="C710" s="453"/>
      <c r="D710" s="453"/>
      <c r="E710" s="206"/>
      <c r="F710" s="206"/>
      <c r="G710" s="206"/>
      <c r="H710" s="206"/>
      <c r="I710" s="206"/>
      <c r="J710" s="206"/>
      <c r="K710" s="206"/>
      <c r="L710" s="206"/>
      <c r="M710" s="3"/>
      <c r="N710" s="206"/>
      <c r="O710" s="421"/>
      <c r="P710" s="421"/>
      <c r="Q710" s="206"/>
      <c r="R710" s="206"/>
      <c r="S710" s="421"/>
      <c r="T710" s="517"/>
    </row>
    <row r="711" spans="1:20" ht="21" customHeight="1">
      <c r="A711" s="516"/>
      <c r="B711" s="206"/>
      <c r="C711" s="453"/>
      <c r="D711" s="453"/>
      <c r="E711" s="206"/>
      <c r="F711" s="206"/>
      <c r="G711" s="206"/>
      <c r="H711" s="206"/>
      <c r="I711" s="206"/>
      <c r="J711" s="206"/>
      <c r="K711" s="206"/>
      <c r="L711" s="206"/>
      <c r="M711" s="3"/>
      <c r="N711" s="206"/>
      <c r="O711" s="422"/>
      <c r="P711" s="421"/>
      <c r="Q711" s="206"/>
      <c r="R711" s="206"/>
      <c r="S711" s="421"/>
      <c r="T711" s="517"/>
    </row>
    <row r="712" spans="1:20" ht="21" customHeight="1">
      <c r="A712" s="516"/>
      <c r="B712" s="206"/>
      <c r="C712" s="453"/>
      <c r="D712" s="453"/>
      <c r="E712" s="206"/>
      <c r="F712" s="206"/>
      <c r="G712" s="206"/>
      <c r="H712" s="206"/>
      <c r="I712" s="206"/>
      <c r="J712" s="206"/>
      <c r="K712" s="206"/>
      <c r="L712" s="206"/>
      <c r="M712" s="3"/>
      <c r="N712" s="206"/>
      <c r="O712" s="421"/>
      <c r="P712" s="421"/>
      <c r="Q712" s="206"/>
      <c r="R712" s="206"/>
      <c r="S712" s="421"/>
      <c r="T712" s="517"/>
    </row>
    <row r="713" spans="1:20" ht="21" customHeight="1">
      <c r="A713" s="516"/>
      <c r="B713" s="206"/>
      <c r="C713" s="453"/>
      <c r="D713" s="453"/>
      <c r="E713" s="206"/>
      <c r="F713" s="206"/>
      <c r="G713" s="206"/>
      <c r="H713" s="206"/>
      <c r="I713" s="206"/>
      <c r="J713" s="206"/>
      <c r="K713" s="206"/>
      <c r="L713" s="206"/>
      <c r="M713" s="3"/>
      <c r="N713" s="206"/>
      <c r="O713" s="421"/>
      <c r="P713" s="421"/>
      <c r="Q713" s="206"/>
      <c r="R713" s="421"/>
      <c r="S713" s="421"/>
      <c r="T713" s="517"/>
    </row>
    <row r="714" spans="1:20" ht="21" customHeight="1">
      <c r="A714" s="516"/>
      <c r="B714" s="206"/>
      <c r="C714" s="453"/>
      <c r="D714" s="453"/>
      <c r="E714" s="206"/>
      <c r="F714" s="206"/>
      <c r="G714" s="206"/>
      <c r="H714" s="206"/>
      <c r="I714" s="206"/>
      <c r="J714" s="206"/>
      <c r="K714" s="206"/>
      <c r="L714" s="206"/>
      <c r="M714" s="3"/>
      <c r="N714" s="206"/>
      <c r="O714" s="422"/>
      <c r="P714" s="421"/>
      <c r="Q714" s="206"/>
      <c r="R714" s="421"/>
      <c r="S714" s="421"/>
      <c r="T714" s="517"/>
    </row>
    <row r="715" spans="1:20" ht="21" customHeight="1">
      <c r="A715" s="516"/>
      <c r="B715" s="206"/>
      <c r="C715" s="453"/>
      <c r="D715" s="453"/>
      <c r="E715" s="206"/>
      <c r="F715" s="206"/>
      <c r="G715" s="206"/>
      <c r="H715" s="206"/>
      <c r="I715" s="206"/>
      <c r="J715" s="206"/>
      <c r="K715" s="206"/>
      <c r="L715" s="206"/>
      <c r="M715" s="3"/>
      <c r="N715" s="206"/>
      <c r="O715" s="421"/>
      <c r="P715" s="421"/>
      <c r="Q715" s="206"/>
      <c r="R715" s="206"/>
      <c r="S715" s="421"/>
      <c r="T715" s="517"/>
    </row>
    <row r="716" spans="1:20" ht="21" customHeight="1">
      <c r="A716" s="516"/>
      <c r="B716" s="206"/>
      <c r="C716" s="453"/>
      <c r="D716" s="453"/>
      <c r="E716" s="206"/>
      <c r="F716" s="206"/>
      <c r="G716" s="206"/>
      <c r="H716" s="206"/>
      <c r="I716" s="206"/>
      <c r="J716" s="206"/>
      <c r="K716" s="206"/>
      <c r="L716" s="206"/>
      <c r="M716" s="3"/>
      <c r="N716" s="206"/>
      <c r="O716" s="422"/>
      <c r="P716" s="421"/>
      <c r="Q716" s="206"/>
      <c r="R716" s="206"/>
      <c r="S716" s="421"/>
      <c r="T716" s="517"/>
    </row>
    <row r="717" spans="1:20" ht="21" customHeight="1">
      <c r="A717" s="516"/>
      <c r="B717" s="206"/>
      <c r="C717" s="453"/>
      <c r="D717" s="453"/>
      <c r="E717" s="206"/>
      <c r="F717" s="206"/>
      <c r="G717" s="206"/>
      <c r="H717" s="206"/>
      <c r="I717" s="206"/>
      <c r="J717" s="206"/>
      <c r="K717" s="206"/>
      <c r="L717" s="206"/>
      <c r="M717" s="3"/>
      <c r="N717" s="206"/>
      <c r="O717" s="421"/>
      <c r="P717" s="421"/>
      <c r="Q717" s="206"/>
      <c r="R717" s="206"/>
      <c r="S717" s="421"/>
      <c r="T717" s="527"/>
    </row>
    <row r="718" spans="1:20" ht="21" customHeight="1">
      <c r="A718" s="516"/>
      <c r="B718" s="206"/>
      <c r="C718" s="453"/>
      <c r="D718" s="453"/>
      <c r="E718" s="206"/>
      <c r="F718" s="206"/>
      <c r="G718" s="206"/>
      <c r="H718" s="206"/>
      <c r="I718" s="206"/>
      <c r="J718" s="206"/>
      <c r="K718" s="206"/>
      <c r="L718" s="206"/>
      <c r="M718" s="3"/>
      <c r="N718" s="206"/>
      <c r="O718" s="421"/>
      <c r="P718" s="421"/>
      <c r="Q718" s="206"/>
      <c r="R718" s="206"/>
      <c r="S718" s="421"/>
      <c r="T718" s="527"/>
    </row>
    <row r="719" spans="1:20" ht="21" customHeight="1">
      <c r="A719" s="516"/>
      <c r="B719" s="206"/>
      <c r="C719" s="453"/>
      <c r="D719" s="453"/>
      <c r="E719" s="206"/>
      <c r="F719" s="206"/>
      <c r="G719" s="206"/>
      <c r="H719" s="206"/>
      <c r="I719" s="206"/>
      <c r="J719" s="206"/>
      <c r="K719" s="206"/>
      <c r="L719" s="206"/>
      <c r="M719" s="3"/>
      <c r="N719" s="206"/>
      <c r="O719" s="421"/>
      <c r="P719" s="421"/>
      <c r="Q719" s="206"/>
      <c r="R719" s="519"/>
      <c r="S719" s="421"/>
      <c r="T719" s="527"/>
    </row>
    <row r="720" spans="1:20" ht="21" customHeight="1">
      <c r="A720" s="516"/>
      <c r="B720" s="206"/>
      <c r="C720" s="453"/>
      <c r="D720" s="453"/>
      <c r="E720" s="206"/>
      <c r="F720" s="206"/>
      <c r="G720" s="206"/>
      <c r="H720" s="206"/>
      <c r="I720" s="206"/>
      <c r="J720" s="206"/>
      <c r="K720" s="206"/>
      <c r="L720" s="206"/>
      <c r="M720" s="3"/>
      <c r="N720" s="206"/>
      <c r="O720" s="421"/>
      <c r="P720" s="421"/>
      <c r="Q720" s="206"/>
      <c r="R720" s="206"/>
      <c r="S720" s="421"/>
      <c r="T720" s="517"/>
    </row>
    <row r="721" spans="1:20" ht="21" customHeight="1">
      <c r="A721" s="516"/>
      <c r="B721" s="206"/>
      <c r="C721" s="453"/>
      <c r="D721" s="453"/>
      <c r="E721" s="206"/>
      <c r="F721" s="206"/>
      <c r="G721" s="206"/>
      <c r="H721" s="206"/>
      <c r="I721" s="206"/>
      <c r="J721" s="206"/>
      <c r="K721" s="206"/>
      <c r="L721" s="206"/>
      <c r="M721" s="3"/>
      <c r="N721" s="206"/>
      <c r="O721" s="421"/>
      <c r="P721" s="421"/>
      <c r="Q721" s="206"/>
      <c r="R721" s="206"/>
      <c r="S721" s="421"/>
      <c r="T721" s="517"/>
    </row>
    <row r="722" spans="1:20" ht="21" customHeight="1">
      <c r="A722" s="516"/>
      <c r="B722" s="206"/>
      <c r="C722" s="453"/>
      <c r="D722" s="453"/>
      <c r="E722" s="206"/>
      <c r="F722" s="206"/>
      <c r="G722" s="206"/>
      <c r="H722" s="206"/>
      <c r="I722" s="206"/>
      <c r="J722" s="206"/>
      <c r="K722" s="206"/>
      <c r="L722" s="206"/>
      <c r="M722" s="3"/>
      <c r="N722" s="206"/>
      <c r="O722" s="421"/>
      <c r="P722" s="421"/>
      <c r="Q722" s="206"/>
      <c r="R722" s="206"/>
      <c r="S722" s="421"/>
      <c r="T722" s="517"/>
    </row>
    <row r="723" spans="1:20" ht="21" customHeight="1">
      <c r="A723" s="516"/>
      <c r="B723" s="206"/>
      <c r="C723" s="453"/>
      <c r="D723" s="453"/>
      <c r="E723" s="206"/>
      <c r="F723" s="206"/>
      <c r="G723" s="206"/>
      <c r="H723" s="206"/>
      <c r="I723" s="206"/>
      <c r="J723" s="206"/>
      <c r="K723" s="206"/>
      <c r="L723" s="206"/>
      <c r="M723" s="3"/>
      <c r="N723" s="206"/>
      <c r="O723" s="421"/>
      <c r="P723" s="421"/>
      <c r="Q723" s="206"/>
      <c r="R723" s="206"/>
      <c r="S723" s="421"/>
      <c r="T723" s="527"/>
    </row>
    <row r="724" spans="1:20" ht="21" customHeight="1">
      <c r="A724" s="516"/>
      <c r="B724" s="206"/>
      <c r="C724" s="453"/>
      <c r="D724" s="453"/>
      <c r="E724" s="206"/>
      <c r="F724" s="206"/>
      <c r="G724" s="206"/>
      <c r="H724" s="206"/>
      <c r="I724" s="206"/>
      <c r="J724" s="206"/>
      <c r="K724" s="206"/>
      <c r="L724" s="206"/>
      <c r="M724" s="3"/>
      <c r="N724" s="206"/>
      <c r="O724" s="421"/>
      <c r="P724" s="421"/>
      <c r="Q724" s="206"/>
      <c r="R724" s="206"/>
      <c r="S724" s="421"/>
      <c r="T724" s="527"/>
    </row>
    <row r="725" spans="1:20" ht="21" customHeight="1">
      <c r="A725" s="516"/>
      <c r="B725" s="206"/>
      <c r="C725" s="453"/>
      <c r="D725" s="453"/>
      <c r="E725" s="206"/>
      <c r="F725" s="206"/>
      <c r="G725" s="206"/>
      <c r="H725" s="206"/>
      <c r="I725" s="206"/>
      <c r="J725" s="206"/>
      <c r="K725" s="206"/>
      <c r="L725" s="206"/>
      <c r="M725" s="3"/>
      <c r="N725" s="206"/>
      <c r="O725" s="421"/>
      <c r="P725" s="421"/>
      <c r="Q725" s="206"/>
      <c r="R725" s="525"/>
      <c r="S725" s="421"/>
      <c r="T725" s="527"/>
    </row>
    <row r="726" spans="1:20" ht="21" customHeight="1">
      <c r="A726" s="516"/>
      <c r="B726" s="206"/>
      <c r="C726" s="453"/>
      <c r="D726" s="453"/>
      <c r="E726" s="206"/>
      <c r="F726" s="206"/>
      <c r="G726" s="206"/>
      <c r="H726" s="206"/>
      <c r="I726" s="206"/>
      <c r="J726" s="206"/>
      <c r="K726" s="206"/>
      <c r="L726" s="206"/>
      <c r="M726" s="3"/>
      <c r="N726" s="206"/>
      <c r="O726" s="421"/>
      <c r="P726" s="421"/>
      <c r="Q726" s="206"/>
      <c r="R726" s="206"/>
      <c r="S726" s="421"/>
      <c r="T726" s="527"/>
    </row>
    <row r="727" spans="1:20" ht="21" customHeight="1">
      <c r="A727" s="516"/>
      <c r="B727" s="472"/>
      <c r="C727" s="481"/>
      <c r="D727" s="481"/>
      <c r="E727" s="472"/>
      <c r="F727" s="472"/>
      <c r="G727" s="472"/>
      <c r="H727" s="472"/>
      <c r="I727" s="472"/>
      <c r="J727" s="472"/>
      <c r="K727" s="472"/>
      <c r="L727" s="206"/>
      <c r="M727" s="3"/>
      <c r="N727" s="206"/>
      <c r="O727" s="421"/>
      <c r="P727" s="421"/>
      <c r="Q727" s="206"/>
      <c r="R727" s="206"/>
      <c r="S727" s="421"/>
      <c r="T727" s="517"/>
    </row>
    <row r="728" spans="1:20" ht="21" customHeight="1">
      <c r="A728" s="516"/>
      <c r="B728" s="206"/>
      <c r="C728" s="453"/>
      <c r="D728" s="453"/>
      <c r="E728" s="206"/>
      <c r="F728" s="206"/>
      <c r="G728" s="206"/>
      <c r="H728" s="206"/>
      <c r="I728" s="206"/>
      <c r="J728" s="206"/>
      <c r="K728" s="206"/>
      <c r="L728" s="206"/>
      <c r="M728" s="3"/>
      <c r="N728" s="206"/>
      <c r="O728" s="421"/>
      <c r="P728" s="421"/>
      <c r="Q728" s="206"/>
      <c r="R728" s="206"/>
      <c r="S728" s="421"/>
      <c r="T728" s="527"/>
    </row>
    <row r="729" spans="1:20" ht="21" customHeight="1">
      <c r="A729" s="516"/>
      <c r="B729" s="206"/>
      <c r="C729" s="453"/>
      <c r="D729" s="453"/>
      <c r="E729" s="206"/>
      <c r="F729" s="206"/>
      <c r="G729" s="206"/>
      <c r="H729" s="206"/>
      <c r="I729" s="206"/>
      <c r="J729" s="206"/>
      <c r="K729" s="206"/>
      <c r="L729" s="206"/>
      <c r="M729" s="3"/>
      <c r="N729" s="206"/>
      <c r="O729" s="421"/>
      <c r="P729" s="421"/>
      <c r="Q729" s="206"/>
      <c r="R729" s="206"/>
      <c r="S729" s="421"/>
      <c r="T729" s="517"/>
    </row>
    <row r="730" spans="1:20" ht="21" customHeight="1">
      <c r="A730" s="516"/>
      <c r="B730" s="206"/>
      <c r="C730" s="453"/>
      <c r="D730" s="453"/>
      <c r="E730" s="206"/>
      <c r="F730" s="206"/>
      <c r="G730" s="206"/>
      <c r="H730" s="206"/>
      <c r="I730" s="206"/>
      <c r="J730" s="206"/>
      <c r="K730" s="206"/>
      <c r="L730" s="206"/>
      <c r="M730" s="3"/>
      <c r="N730" s="206"/>
      <c r="O730" s="422"/>
      <c r="P730" s="421"/>
      <c r="Q730" s="206"/>
      <c r="R730" s="206"/>
      <c r="S730" s="421"/>
      <c r="T730" s="517"/>
    </row>
    <row r="731" spans="1:20" ht="21" customHeight="1">
      <c r="A731" s="516"/>
      <c r="B731" s="206"/>
      <c r="C731" s="453"/>
      <c r="D731" s="453"/>
      <c r="E731" s="206"/>
      <c r="F731" s="206"/>
      <c r="G731" s="206"/>
      <c r="H731" s="206"/>
      <c r="I731" s="206"/>
      <c r="J731" s="206"/>
      <c r="K731" s="206"/>
      <c r="L731" s="206"/>
      <c r="M731" s="3"/>
      <c r="N731" s="206"/>
      <c r="O731" s="421"/>
      <c r="P731" s="421"/>
      <c r="Q731" s="206"/>
      <c r="R731" s="421"/>
      <c r="S731" s="421"/>
      <c r="T731" s="517"/>
    </row>
    <row r="732" spans="1:20" ht="21" customHeight="1">
      <c r="A732" s="516"/>
      <c r="B732" s="206"/>
      <c r="C732" s="453"/>
      <c r="D732" s="453"/>
      <c r="E732" s="206"/>
      <c r="F732" s="206"/>
      <c r="G732" s="206"/>
      <c r="H732" s="206"/>
      <c r="I732" s="206"/>
      <c r="J732" s="206"/>
      <c r="K732" s="206"/>
      <c r="L732" s="206"/>
      <c r="M732" s="3"/>
      <c r="N732" s="206"/>
      <c r="O732" s="421"/>
      <c r="P732" s="421"/>
      <c r="Q732" s="206"/>
      <c r="R732" s="421"/>
      <c r="S732" s="421"/>
      <c r="T732" s="517"/>
    </row>
    <row r="733" spans="1:20" ht="21" customHeight="1">
      <c r="A733" s="516"/>
      <c r="B733" s="206"/>
      <c r="C733" s="453"/>
      <c r="D733" s="453"/>
      <c r="E733" s="206"/>
      <c r="F733" s="206"/>
      <c r="G733" s="206"/>
      <c r="H733" s="206"/>
      <c r="I733" s="206"/>
      <c r="J733" s="206"/>
      <c r="K733" s="206"/>
      <c r="L733" s="206"/>
      <c r="M733" s="3"/>
      <c r="N733" s="206"/>
      <c r="O733" s="421"/>
      <c r="P733" s="421"/>
      <c r="Q733" s="206"/>
      <c r="R733" s="421"/>
      <c r="S733" s="421"/>
      <c r="T733" s="517"/>
    </row>
    <row r="734" spans="1:20" ht="21" customHeight="1">
      <c r="A734" s="516"/>
      <c r="B734" s="206"/>
      <c r="C734" s="453"/>
      <c r="D734" s="453"/>
      <c r="E734" s="206"/>
      <c r="F734" s="206"/>
      <c r="G734" s="206"/>
      <c r="H734" s="206"/>
      <c r="I734" s="206"/>
      <c r="J734" s="206"/>
      <c r="K734" s="206"/>
      <c r="L734" s="206"/>
      <c r="M734" s="3"/>
      <c r="N734" s="206"/>
      <c r="O734" s="421"/>
      <c r="P734" s="421"/>
      <c r="Q734" s="206"/>
      <c r="R734" s="206"/>
      <c r="S734" s="421"/>
      <c r="T734" s="517"/>
    </row>
    <row r="735" spans="1:20" ht="21" customHeight="1">
      <c r="A735" s="516"/>
      <c r="B735" s="206"/>
      <c r="C735" s="453"/>
      <c r="D735" s="453"/>
      <c r="E735" s="206"/>
      <c r="F735" s="206"/>
      <c r="G735" s="206"/>
      <c r="H735" s="206"/>
      <c r="I735" s="206"/>
      <c r="J735" s="206"/>
      <c r="K735" s="206"/>
      <c r="L735" s="206"/>
      <c r="M735" s="3"/>
      <c r="N735" s="206"/>
      <c r="O735" s="421"/>
      <c r="P735" s="421"/>
      <c r="Q735" s="206"/>
      <c r="R735" s="206"/>
      <c r="S735" s="421"/>
      <c r="T735" s="517"/>
    </row>
    <row r="736" spans="1:20" ht="21" customHeight="1">
      <c r="A736" s="516"/>
      <c r="B736" s="206"/>
      <c r="C736" s="453"/>
      <c r="D736" s="453"/>
      <c r="E736" s="206"/>
      <c r="F736" s="206"/>
      <c r="G736" s="206"/>
      <c r="H736" s="206"/>
      <c r="I736" s="206"/>
      <c r="J736" s="206"/>
      <c r="K736" s="206"/>
      <c r="L736" s="206"/>
      <c r="M736" s="3"/>
      <c r="N736" s="206"/>
      <c r="O736" s="421"/>
      <c r="P736" s="421"/>
      <c r="Q736" s="206"/>
      <c r="R736" s="206"/>
      <c r="S736" s="421"/>
      <c r="T736" s="517"/>
    </row>
    <row r="737" spans="1:20" ht="21" customHeight="1">
      <c r="A737" s="516"/>
      <c r="B737" s="206"/>
      <c r="C737" s="453"/>
      <c r="D737" s="453"/>
      <c r="E737" s="206"/>
      <c r="F737" s="206"/>
      <c r="G737" s="206"/>
      <c r="H737" s="206"/>
      <c r="I737" s="206"/>
      <c r="J737" s="206"/>
      <c r="K737" s="206"/>
      <c r="L737" s="206"/>
      <c r="M737" s="3"/>
      <c r="N737" s="206"/>
      <c r="O737" s="421"/>
      <c r="P737" s="421"/>
      <c r="Q737" s="206"/>
      <c r="R737" s="421"/>
      <c r="S737" s="421"/>
      <c r="T737" s="517"/>
    </row>
    <row r="738" spans="1:20" ht="21" customHeight="1">
      <c r="A738" s="516"/>
      <c r="B738" s="206"/>
      <c r="C738" s="453"/>
      <c r="D738" s="453"/>
      <c r="E738" s="206"/>
      <c r="F738" s="206"/>
      <c r="G738" s="206"/>
      <c r="H738" s="206"/>
      <c r="I738" s="206"/>
      <c r="J738" s="206"/>
      <c r="K738" s="206"/>
      <c r="L738" s="206"/>
      <c r="M738" s="3"/>
      <c r="N738" s="206"/>
      <c r="O738" s="421"/>
      <c r="P738" s="421"/>
      <c r="Q738" s="206"/>
      <c r="R738" s="421"/>
      <c r="S738" s="421"/>
      <c r="T738" s="517"/>
    </row>
    <row r="739" spans="1:20" ht="21" customHeight="1">
      <c r="A739" s="516"/>
      <c r="B739" s="206"/>
      <c r="C739" s="453"/>
      <c r="D739" s="453"/>
      <c r="E739" s="206"/>
      <c r="F739" s="206"/>
      <c r="G739" s="206"/>
      <c r="H739" s="206"/>
      <c r="I739" s="206"/>
      <c r="J739" s="206"/>
      <c r="K739" s="206"/>
      <c r="L739" s="206"/>
      <c r="M739" s="3"/>
      <c r="N739" s="206"/>
      <c r="O739" s="421"/>
      <c r="P739" s="421"/>
      <c r="Q739" s="460"/>
      <c r="R739" s="421"/>
      <c r="S739" s="421"/>
      <c r="T739" s="517"/>
    </row>
    <row r="740" spans="1:20" ht="21" customHeight="1">
      <c r="A740" s="516"/>
      <c r="B740" s="206"/>
      <c r="C740" s="453"/>
      <c r="D740" s="453"/>
      <c r="E740" s="206"/>
      <c r="F740" s="206"/>
      <c r="G740" s="206"/>
      <c r="H740" s="206"/>
      <c r="I740" s="206"/>
      <c r="J740" s="206"/>
      <c r="K740" s="206"/>
      <c r="L740" s="206"/>
      <c r="M740" s="3"/>
      <c r="N740" s="206"/>
      <c r="O740" s="421"/>
      <c r="P740" s="421"/>
      <c r="Q740" s="206"/>
      <c r="R740" s="206"/>
      <c r="S740" s="421"/>
      <c r="T740" s="517"/>
    </row>
    <row r="741" spans="1:20" ht="21" customHeight="1">
      <c r="A741" s="516"/>
      <c r="B741" s="206"/>
      <c r="C741" s="453"/>
      <c r="D741" s="453"/>
      <c r="E741" s="206"/>
      <c r="F741" s="206"/>
      <c r="G741" s="206"/>
      <c r="H741" s="206"/>
      <c r="I741" s="206"/>
      <c r="J741" s="206"/>
      <c r="K741" s="206"/>
      <c r="L741" s="206"/>
      <c r="M741" s="3"/>
      <c r="N741" s="206"/>
      <c r="O741" s="421"/>
      <c r="P741" s="421"/>
      <c r="Q741" s="206"/>
      <c r="R741" s="206"/>
      <c r="S741" s="421"/>
      <c r="T741" s="517"/>
    </row>
    <row r="742" spans="1:20" ht="21" customHeight="1">
      <c r="A742" s="516"/>
      <c r="B742" s="206"/>
      <c r="C742" s="453"/>
      <c r="D742" s="453"/>
      <c r="E742" s="206"/>
      <c r="F742" s="206"/>
      <c r="G742" s="206"/>
      <c r="H742" s="206"/>
      <c r="I742" s="206"/>
      <c r="J742" s="206"/>
      <c r="K742" s="206"/>
      <c r="L742" s="206"/>
      <c r="M742" s="3"/>
      <c r="N742" s="206"/>
      <c r="O742" s="421"/>
      <c r="P742" s="421"/>
      <c r="Q742" s="206"/>
      <c r="R742" s="421"/>
      <c r="S742" s="421"/>
      <c r="T742" s="517"/>
    </row>
    <row r="743" spans="1:20" ht="21" customHeight="1">
      <c r="A743" s="516"/>
      <c r="B743" s="206"/>
      <c r="C743" s="453"/>
      <c r="D743" s="453"/>
      <c r="E743" s="206"/>
      <c r="F743" s="206"/>
      <c r="G743" s="206"/>
      <c r="H743" s="206"/>
      <c r="I743" s="206"/>
      <c r="J743" s="206"/>
      <c r="K743" s="206"/>
      <c r="L743" s="206"/>
      <c r="M743" s="3"/>
      <c r="N743" s="206"/>
      <c r="O743" s="421"/>
      <c r="P743" s="421"/>
      <c r="Q743" s="206"/>
      <c r="R743" s="206"/>
      <c r="S743" s="421"/>
      <c r="T743" s="527"/>
    </row>
    <row r="744" spans="1:20" ht="21" customHeight="1">
      <c r="A744" s="516"/>
      <c r="B744" s="206"/>
      <c r="C744" s="453"/>
      <c r="D744" s="453"/>
      <c r="E744" s="206"/>
      <c r="F744" s="206"/>
      <c r="G744" s="206"/>
      <c r="H744" s="206"/>
      <c r="I744" s="206"/>
      <c r="J744" s="206"/>
      <c r="K744" s="206"/>
      <c r="L744" s="206"/>
      <c r="M744" s="3"/>
      <c r="N744" s="206"/>
      <c r="O744" s="421"/>
      <c r="P744" s="421"/>
      <c r="Q744" s="206"/>
      <c r="R744" s="206"/>
      <c r="S744" s="421"/>
      <c r="T744" s="517"/>
    </row>
    <row r="745" spans="1:20" ht="21" customHeight="1">
      <c r="A745" s="516"/>
      <c r="B745" s="206"/>
      <c r="C745" s="453"/>
      <c r="D745" s="453"/>
      <c r="E745" s="206"/>
      <c r="F745" s="206"/>
      <c r="G745" s="206"/>
      <c r="H745" s="206"/>
      <c r="I745" s="206"/>
      <c r="J745" s="206"/>
      <c r="K745" s="206"/>
      <c r="L745" s="206"/>
      <c r="M745" s="3"/>
      <c r="N745" s="206"/>
      <c r="O745" s="421"/>
      <c r="P745" s="421"/>
      <c r="Q745" s="206"/>
      <c r="R745" s="421"/>
      <c r="S745" s="421"/>
      <c r="T745" s="517"/>
    </row>
    <row r="746" spans="1:20" ht="21" customHeight="1">
      <c r="A746" s="516"/>
      <c r="B746" s="206"/>
      <c r="C746" s="453"/>
      <c r="D746" s="453"/>
      <c r="E746" s="206"/>
      <c r="F746" s="206"/>
      <c r="G746" s="206"/>
      <c r="H746" s="206"/>
      <c r="I746" s="206"/>
      <c r="J746" s="206"/>
      <c r="K746" s="206"/>
      <c r="L746" s="206"/>
      <c r="M746" s="3"/>
      <c r="N746" s="206"/>
      <c r="O746" s="421"/>
      <c r="P746" s="421"/>
      <c r="Q746" s="206"/>
      <c r="R746" s="421"/>
      <c r="S746" s="421"/>
      <c r="T746" s="517"/>
    </row>
    <row r="747" spans="1:20" ht="21" customHeight="1">
      <c r="A747" s="516"/>
      <c r="B747" s="206"/>
      <c r="C747" s="453"/>
      <c r="D747" s="453"/>
      <c r="E747" s="206"/>
      <c r="F747" s="206"/>
      <c r="G747" s="206"/>
      <c r="H747" s="206"/>
      <c r="I747" s="206"/>
      <c r="J747" s="206"/>
      <c r="K747" s="206"/>
      <c r="L747" s="206"/>
      <c r="M747" s="3"/>
      <c r="N747" s="206"/>
      <c r="O747" s="421"/>
      <c r="P747" s="421"/>
      <c r="Q747" s="206"/>
      <c r="R747" s="525"/>
      <c r="S747" s="421"/>
      <c r="T747" s="527"/>
    </row>
    <row r="748" spans="1:20" ht="21" customHeight="1">
      <c r="A748" s="516"/>
      <c r="B748" s="206"/>
      <c r="C748" s="453"/>
      <c r="D748" s="453"/>
      <c r="E748" s="206"/>
      <c r="F748" s="206"/>
      <c r="G748" s="206"/>
      <c r="H748" s="206"/>
      <c r="I748" s="206"/>
      <c r="J748" s="206"/>
      <c r="K748" s="206"/>
      <c r="L748" s="206"/>
      <c r="M748" s="3"/>
      <c r="N748" s="206"/>
      <c r="O748" s="421"/>
      <c r="P748" s="421"/>
      <c r="Q748" s="206"/>
      <c r="R748" s="206"/>
      <c r="S748" s="421"/>
      <c r="T748" s="517"/>
    </row>
    <row r="749" spans="1:20" ht="21" customHeight="1">
      <c r="A749" s="516"/>
      <c r="B749" s="206"/>
      <c r="C749" s="453"/>
      <c r="D749" s="453"/>
      <c r="E749" s="206"/>
      <c r="F749" s="206"/>
      <c r="G749" s="206"/>
      <c r="H749" s="206"/>
      <c r="I749" s="206"/>
      <c r="J749" s="206"/>
      <c r="K749" s="206"/>
      <c r="L749" s="206"/>
      <c r="M749" s="3"/>
      <c r="N749" s="206"/>
      <c r="O749" s="421"/>
      <c r="P749" s="421"/>
      <c r="Q749" s="206"/>
      <c r="R749" s="206"/>
      <c r="S749" s="421"/>
      <c r="T749" s="517"/>
    </row>
    <row r="750" spans="1:20" ht="21" customHeight="1">
      <c r="A750" s="516"/>
      <c r="B750" s="206"/>
      <c r="C750" s="453"/>
      <c r="D750" s="453"/>
      <c r="E750" s="206"/>
      <c r="F750" s="206"/>
      <c r="G750" s="206"/>
      <c r="H750" s="206"/>
      <c r="I750" s="206"/>
      <c r="J750" s="206"/>
      <c r="K750" s="206"/>
      <c r="L750" s="206"/>
      <c r="M750" s="3"/>
      <c r="N750" s="206"/>
      <c r="O750" s="421"/>
      <c r="P750" s="421"/>
      <c r="Q750" s="206"/>
      <c r="R750" s="206"/>
      <c r="S750" s="421"/>
      <c r="T750" s="517"/>
    </row>
    <row r="751" spans="1:20" ht="21" customHeight="1">
      <c r="A751" s="516"/>
      <c r="B751" s="206"/>
      <c r="C751" s="453"/>
      <c r="D751" s="453"/>
      <c r="E751" s="206"/>
      <c r="F751" s="206"/>
      <c r="G751" s="206"/>
      <c r="H751" s="206"/>
      <c r="I751" s="206"/>
      <c r="J751" s="206"/>
      <c r="K751" s="206"/>
      <c r="L751" s="206"/>
      <c r="M751" s="3"/>
      <c r="N751" s="206"/>
      <c r="O751" s="421"/>
      <c r="P751" s="421"/>
      <c r="Q751" s="206"/>
      <c r="R751" s="206"/>
      <c r="S751" s="421"/>
      <c r="T751" s="517"/>
    </row>
    <row r="752" spans="1:20" ht="21" customHeight="1">
      <c r="A752" s="516"/>
      <c r="B752" s="206"/>
      <c r="C752" s="453"/>
      <c r="D752" s="453"/>
      <c r="E752" s="206"/>
      <c r="F752" s="206"/>
      <c r="G752" s="206"/>
      <c r="H752" s="206"/>
      <c r="I752" s="206"/>
      <c r="J752" s="206"/>
      <c r="K752" s="206"/>
      <c r="L752" s="206"/>
      <c r="M752" s="3"/>
      <c r="N752" s="206"/>
      <c r="O752" s="421"/>
      <c r="P752" s="421"/>
      <c r="Q752" s="206"/>
      <c r="R752" s="206"/>
      <c r="S752" s="421"/>
      <c r="T752" s="517"/>
    </row>
    <row r="753" spans="1:20" ht="21" customHeight="1">
      <c r="A753" s="516"/>
      <c r="B753" s="206"/>
      <c r="C753" s="453"/>
      <c r="D753" s="453"/>
      <c r="E753" s="206"/>
      <c r="F753" s="206"/>
      <c r="G753" s="206"/>
      <c r="H753" s="206"/>
      <c r="I753" s="206"/>
      <c r="J753" s="206"/>
      <c r="K753" s="206"/>
      <c r="L753" s="206"/>
      <c r="M753" s="3"/>
      <c r="N753" s="206"/>
      <c r="O753" s="421"/>
      <c r="P753" s="421"/>
      <c r="Q753" s="206"/>
      <c r="R753" s="206"/>
      <c r="S753" s="421"/>
      <c r="T753" s="517"/>
    </row>
    <row r="754" spans="1:20" ht="21" customHeight="1">
      <c r="A754" s="516"/>
      <c r="B754" s="206"/>
      <c r="C754" s="453"/>
      <c r="D754" s="453"/>
      <c r="E754" s="206"/>
      <c r="F754" s="206"/>
      <c r="G754" s="206"/>
      <c r="H754" s="206"/>
      <c r="I754" s="206"/>
      <c r="J754" s="206"/>
      <c r="K754" s="206"/>
      <c r="L754" s="206"/>
      <c r="M754" s="3"/>
      <c r="N754" s="206"/>
      <c r="O754" s="421"/>
      <c r="P754" s="421"/>
      <c r="Q754" s="206"/>
      <c r="R754" s="206"/>
      <c r="S754" s="421"/>
      <c r="T754" s="517"/>
    </row>
    <row r="755" spans="1:20" ht="21" customHeight="1">
      <c r="A755" s="516"/>
      <c r="B755" s="206"/>
      <c r="C755" s="453"/>
      <c r="D755" s="453"/>
      <c r="E755" s="206"/>
      <c r="F755" s="206"/>
      <c r="G755" s="206"/>
      <c r="H755" s="206"/>
      <c r="I755" s="206"/>
      <c r="J755" s="206"/>
      <c r="K755" s="206"/>
      <c r="L755" s="206"/>
      <c r="M755" s="3"/>
      <c r="N755" s="206"/>
      <c r="O755" s="422"/>
      <c r="P755" s="421"/>
      <c r="Q755" s="206"/>
      <c r="R755" s="545"/>
      <c r="S755" s="421"/>
      <c r="T755" s="517"/>
    </row>
    <row r="756" spans="1:20" ht="21" customHeight="1">
      <c r="A756" s="516"/>
      <c r="B756" s="206"/>
      <c r="C756" s="453"/>
      <c r="D756" s="453"/>
      <c r="E756" s="206"/>
      <c r="F756" s="206"/>
      <c r="G756" s="206"/>
      <c r="H756" s="206"/>
      <c r="I756" s="206"/>
      <c r="J756" s="206"/>
      <c r="K756" s="206"/>
      <c r="L756" s="206"/>
      <c r="M756" s="3"/>
      <c r="N756" s="206"/>
      <c r="O756" s="421"/>
      <c r="P756" s="421"/>
      <c r="Q756" s="206"/>
      <c r="R756" s="206"/>
      <c r="S756" s="421"/>
      <c r="T756" s="527"/>
    </row>
    <row r="757" spans="1:20" ht="21" customHeight="1">
      <c r="A757" s="516"/>
      <c r="B757" s="206"/>
      <c r="C757" s="453"/>
      <c r="D757" s="453"/>
      <c r="E757" s="206"/>
      <c r="F757" s="206"/>
      <c r="G757" s="206"/>
      <c r="H757" s="206"/>
      <c r="I757" s="206"/>
      <c r="J757" s="206"/>
      <c r="K757" s="206"/>
      <c r="L757" s="206"/>
      <c r="M757" s="3"/>
      <c r="N757" s="206"/>
      <c r="O757" s="421"/>
      <c r="P757" s="421"/>
      <c r="Q757" s="206"/>
      <c r="R757" s="206"/>
      <c r="S757" s="421"/>
      <c r="T757" s="517"/>
    </row>
    <row r="758" spans="1:20" ht="21" customHeight="1">
      <c r="A758" s="516"/>
      <c r="B758" s="206"/>
      <c r="C758" s="453"/>
      <c r="D758" s="453"/>
      <c r="E758" s="206"/>
      <c r="F758" s="206"/>
      <c r="G758" s="206"/>
      <c r="H758" s="206"/>
      <c r="I758" s="206"/>
      <c r="J758" s="206"/>
      <c r="K758" s="206"/>
      <c r="L758" s="206"/>
      <c r="M758" s="3"/>
      <c r="N758" s="206"/>
      <c r="O758" s="421"/>
      <c r="P758" s="421"/>
      <c r="Q758" s="206"/>
      <c r="R758" s="206"/>
      <c r="S758" s="421"/>
      <c r="T758" s="517"/>
    </row>
    <row r="759" spans="1:20" ht="21" customHeight="1">
      <c r="A759" s="516"/>
      <c r="B759" s="206"/>
      <c r="C759" s="453"/>
      <c r="D759" s="453"/>
      <c r="E759" s="206"/>
      <c r="F759" s="206"/>
      <c r="G759" s="206"/>
      <c r="H759" s="206"/>
      <c r="I759" s="206"/>
      <c r="J759" s="206"/>
      <c r="K759" s="206"/>
      <c r="L759" s="206"/>
      <c r="M759" s="3"/>
      <c r="N759" s="206"/>
      <c r="O759" s="421"/>
      <c r="P759" s="421"/>
      <c r="Q759" s="206"/>
      <c r="R759" s="206"/>
      <c r="S759" s="421"/>
      <c r="T759" s="517"/>
    </row>
    <row r="760" spans="1:20" ht="21" customHeight="1">
      <c r="A760" s="516"/>
      <c r="B760" s="206"/>
      <c r="C760" s="453"/>
      <c r="D760" s="453"/>
      <c r="E760" s="206"/>
      <c r="F760" s="206"/>
      <c r="G760" s="206"/>
      <c r="H760" s="206"/>
      <c r="I760" s="206"/>
      <c r="J760" s="206"/>
      <c r="K760" s="206"/>
      <c r="L760" s="206"/>
      <c r="M760" s="3"/>
      <c r="N760" s="206"/>
      <c r="O760" s="421"/>
      <c r="P760" s="421"/>
      <c r="Q760" s="206"/>
      <c r="R760" s="206"/>
      <c r="S760" s="421"/>
      <c r="T760" s="517"/>
    </row>
    <row r="761" spans="1:20" ht="21" customHeight="1">
      <c r="A761" s="516"/>
      <c r="B761" s="206"/>
      <c r="C761" s="453"/>
      <c r="D761" s="453"/>
      <c r="E761" s="206"/>
      <c r="F761" s="206"/>
      <c r="G761" s="206"/>
      <c r="H761" s="206"/>
      <c r="I761" s="206"/>
      <c r="J761" s="206"/>
      <c r="K761" s="206"/>
      <c r="L761" s="206"/>
      <c r="M761" s="3"/>
      <c r="N761" s="206"/>
      <c r="O761" s="421"/>
      <c r="P761" s="421"/>
      <c r="Q761" s="206"/>
      <c r="R761" s="206"/>
      <c r="S761" s="421"/>
      <c r="T761" s="517"/>
    </row>
    <row r="762" spans="1:20" ht="21" customHeight="1">
      <c r="A762" s="516"/>
      <c r="B762" s="206"/>
      <c r="C762" s="453"/>
      <c r="D762" s="453"/>
      <c r="E762" s="206"/>
      <c r="F762" s="206"/>
      <c r="G762" s="206"/>
      <c r="H762" s="206"/>
      <c r="I762" s="206"/>
      <c r="J762" s="206"/>
      <c r="K762" s="206"/>
      <c r="L762" s="206"/>
      <c r="M762" s="3"/>
      <c r="N762" s="206"/>
      <c r="O762" s="421"/>
      <c r="P762" s="421"/>
      <c r="Q762" s="206"/>
      <c r="R762" s="206"/>
      <c r="S762" s="421"/>
      <c r="T762" s="517"/>
    </row>
    <row r="763" spans="1:20" ht="21" customHeight="1">
      <c r="A763" s="516"/>
      <c r="B763" s="206"/>
      <c r="C763" s="453"/>
      <c r="D763" s="453"/>
      <c r="E763" s="206"/>
      <c r="F763" s="206"/>
      <c r="G763" s="206"/>
      <c r="H763" s="206"/>
      <c r="I763" s="206"/>
      <c r="J763" s="206"/>
      <c r="K763" s="206"/>
      <c r="L763" s="206"/>
      <c r="M763" s="3"/>
      <c r="N763" s="206"/>
      <c r="O763" s="421"/>
      <c r="P763" s="421"/>
      <c r="Q763" s="206"/>
      <c r="R763" s="206"/>
      <c r="S763" s="421"/>
      <c r="T763" s="517"/>
    </row>
    <row r="764" spans="1:20" ht="21" customHeight="1">
      <c r="A764" s="516"/>
      <c r="B764" s="206"/>
      <c r="C764" s="453"/>
      <c r="D764" s="453"/>
      <c r="E764" s="206"/>
      <c r="F764" s="206"/>
      <c r="G764" s="206"/>
      <c r="H764" s="206"/>
      <c r="I764" s="206"/>
      <c r="J764" s="206"/>
      <c r="K764" s="206"/>
      <c r="L764" s="206"/>
      <c r="M764" s="3"/>
      <c r="N764" s="206"/>
      <c r="O764" s="421"/>
      <c r="P764" s="421"/>
      <c r="Q764" s="206"/>
      <c r="R764" s="206"/>
      <c r="S764" s="421"/>
      <c r="T764" s="517"/>
    </row>
    <row r="765" spans="1:20" ht="21" customHeight="1">
      <c r="A765" s="516"/>
      <c r="B765" s="206"/>
      <c r="C765" s="453"/>
      <c r="D765" s="453"/>
      <c r="E765" s="206"/>
      <c r="F765" s="206"/>
      <c r="G765" s="206"/>
      <c r="H765" s="206"/>
      <c r="I765" s="206"/>
      <c r="J765" s="206"/>
      <c r="K765" s="206"/>
      <c r="L765" s="206"/>
      <c r="M765" s="3"/>
      <c r="N765" s="206"/>
      <c r="O765" s="421"/>
      <c r="P765" s="421"/>
      <c r="Q765" s="206"/>
      <c r="R765" s="524"/>
      <c r="S765" s="421"/>
      <c r="T765" s="527"/>
    </row>
    <row r="766" spans="1:20" ht="21" customHeight="1">
      <c r="A766" s="516"/>
      <c r="B766" s="206"/>
      <c r="C766" s="453"/>
      <c r="D766" s="453"/>
      <c r="E766" s="206"/>
      <c r="F766" s="206"/>
      <c r="G766" s="206"/>
      <c r="H766" s="206"/>
      <c r="I766" s="206"/>
      <c r="J766" s="206"/>
      <c r="K766" s="206"/>
      <c r="L766" s="206"/>
      <c r="M766" s="3"/>
      <c r="N766" s="206"/>
      <c r="O766" s="421"/>
      <c r="P766" s="421"/>
      <c r="Q766" s="206"/>
      <c r="R766" s="421"/>
      <c r="S766" s="421"/>
      <c r="T766" s="517"/>
    </row>
    <row r="767" spans="1:20" ht="21" customHeight="1">
      <c r="A767" s="516"/>
      <c r="B767" s="206"/>
      <c r="C767" s="453"/>
      <c r="D767" s="453"/>
      <c r="E767" s="206"/>
      <c r="F767" s="206"/>
      <c r="G767" s="206"/>
      <c r="H767" s="206"/>
      <c r="I767" s="206"/>
      <c r="J767" s="206"/>
      <c r="K767" s="206"/>
      <c r="L767" s="206"/>
      <c r="M767" s="3"/>
      <c r="N767" s="206"/>
      <c r="O767" s="421"/>
      <c r="P767" s="421"/>
      <c r="Q767" s="206"/>
      <c r="R767" s="206"/>
      <c r="S767" s="421"/>
      <c r="T767" s="517"/>
    </row>
    <row r="768" spans="1:20" ht="21" customHeight="1">
      <c r="A768" s="516"/>
      <c r="B768" s="206"/>
      <c r="C768" s="453"/>
      <c r="D768" s="453"/>
      <c r="E768" s="206"/>
      <c r="F768" s="206"/>
      <c r="G768" s="206"/>
      <c r="H768" s="206"/>
      <c r="I768" s="206"/>
      <c r="J768" s="206"/>
      <c r="K768" s="206"/>
      <c r="L768" s="206"/>
      <c r="M768" s="3"/>
      <c r="N768" s="206"/>
      <c r="O768" s="421"/>
      <c r="P768" s="421"/>
      <c r="Q768" s="206"/>
      <c r="R768" s="421"/>
      <c r="S768" s="421"/>
      <c r="T768" s="517"/>
    </row>
    <row r="769" spans="1:20" ht="21" customHeight="1">
      <c r="A769" s="516"/>
      <c r="B769" s="206"/>
      <c r="C769" s="453"/>
      <c r="D769" s="453"/>
      <c r="E769" s="206"/>
      <c r="F769" s="206"/>
      <c r="G769" s="206"/>
      <c r="H769" s="206"/>
      <c r="I769" s="206"/>
      <c r="J769" s="206"/>
      <c r="K769" s="206"/>
      <c r="L769" s="206"/>
      <c r="M769" s="3"/>
      <c r="N769" s="206"/>
      <c r="O769" s="421"/>
      <c r="P769" s="421"/>
      <c r="Q769" s="206"/>
      <c r="R769" s="421"/>
      <c r="S769" s="421"/>
      <c r="T769" s="517"/>
    </row>
    <row r="770" spans="1:20" ht="21" customHeight="1">
      <c r="A770" s="516"/>
      <c r="B770" s="206"/>
      <c r="C770" s="459"/>
      <c r="D770" s="453"/>
      <c r="E770" s="206"/>
      <c r="F770" s="206"/>
      <c r="G770" s="206"/>
      <c r="H770" s="181"/>
      <c r="I770" s="206"/>
      <c r="J770" s="206"/>
      <c r="K770" s="206"/>
      <c r="L770" s="181"/>
      <c r="M770" s="3"/>
      <c r="N770" s="206"/>
      <c r="O770" s="421"/>
      <c r="P770" s="421"/>
      <c r="Q770" s="206"/>
      <c r="R770" s="206"/>
      <c r="S770" s="421"/>
      <c r="T770" s="517"/>
    </row>
    <row r="771" spans="1:20" ht="21" customHeight="1">
      <c r="A771" s="516"/>
      <c r="B771" s="206"/>
      <c r="C771" s="453"/>
      <c r="D771" s="459"/>
      <c r="E771" s="206"/>
      <c r="F771" s="206"/>
      <c r="G771" s="206"/>
      <c r="H771" s="206"/>
      <c r="I771" s="206"/>
      <c r="J771" s="206"/>
      <c r="K771" s="206"/>
      <c r="L771" s="206"/>
      <c r="M771" s="3"/>
      <c r="N771" s="206"/>
      <c r="O771" s="421"/>
      <c r="P771" s="421"/>
      <c r="Q771" s="206"/>
      <c r="R771" s="206"/>
      <c r="S771" s="421"/>
      <c r="T771" s="517"/>
    </row>
    <row r="772" spans="1:20" ht="21" customHeight="1">
      <c r="A772" s="516"/>
      <c r="B772" s="206"/>
      <c r="C772" s="453"/>
      <c r="D772" s="453"/>
      <c r="E772" s="206"/>
      <c r="F772" s="206"/>
      <c r="G772" s="206"/>
      <c r="H772" s="206"/>
      <c r="I772" s="206"/>
      <c r="J772" s="206"/>
      <c r="K772" s="206"/>
      <c r="L772" s="206"/>
      <c r="M772" s="3"/>
      <c r="N772" s="206"/>
      <c r="O772" s="421"/>
      <c r="P772" s="421"/>
      <c r="Q772" s="206"/>
      <c r="R772" s="206"/>
      <c r="S772" s="421"/>
      <c r="T772" s="517"/>
    </row>
    <row r="773" spans="1:20" ht="21" customHeight="1">
      <c r="A773" s="516"/>
      <c r="B773" s="206"/>
      <c r="C773" s="453"/>
      <c r="D773" s="453"/>
      <c r="E773" s="206"/>
      <c r="F773" s="206"/>
      <c r="G773" s="206"/>
      <c r="H773" s="206"/>
      <c r="I773" s="206"/>
      <c r="J773" s="206"/>
      <c r="K773" s="206"/>
      <c r="L773" s="206"/>
      <c r="M773" s="3"/>
      <c r="N773" s="206"/>
      <c r="O773" s="421"/>
      <c r="P773" s="421"/>
      <c r="Q773" s="206"/>
      <c r="R773" s="421"/>
      <c r="S773" s="421"/>
      <c r="T773" s="517"/>
    </row>
    <row r="774" spans="1:20" ht="21" customHeight="1">
      <c r="A774" s="516"/>
      <c r="B774" s="458"/>
      <c r="C774" s="453"/>
      <c r="D774" s="453"/>
      <c r="E774" s="206"/>
      <c r="F774" s="206"/>
      <c r="G774" s="206"/>
      <c r="H774" s="206"/>
      <c r="I774" s="206"/>
      <c r="J774" s="206"/>
      <c r="K774" s="206"/>
      <c r="L774" s="206"/>
      <c r="M774" s="3"/>
      <c r="N774" s="206"/>
      <c r="O774" s="421"/>
      <c r="P774" s="421"/>
      <c r="Q774" s="206"/>
      <c r="R774" s="421"/>
      <c r="S774" s="421"/>
      <c r="T774" s="517"/>
    </row>
    <row r="775" spans="1:20" ht="21" customHeight="1">
      <c r="A775" s="516"/>
      <c r="B775" s="206"/>
      <c r="C775" s="453"/>
      <c r="D775" s="453"/>
      <c r="E775" s="206"/>
      <c r="F775" s="206"/>
      <c r="G775" s="206"/>
      <c r="H775" s="206"/>
      <c r="I775" s="206"/>
      <c r="J775" s="206"/>
      <c r="K775" s="206"/>
      <c r="L775" s="206"/>
      <c r="M775" s="3"/>
      <c r="N775" s="206"/>
      <c r="O775" s="421"/>
      <c r="P775" s="421"/>
      <c r="Q775" s="206"/>
      <c r="R775" s="206"/>
      <c r="S775" s="421"/>
      <c r="T775" s="517"/>
    </row>
    <row r="776" spans="1:20" ht="21" customHeight="1">
      <c r="A776" s="516"/>
      <c r="B776" s="206"/>
      <c r="C776" s="453"/>
      <c r="D776" s="453"/>
      <c r="E776" s="206"/>
      <c r="F776" s="206"/>
      <c r="G776" s="206"/>
      <c r="H776" s="206"/>
      <c r="I776" s="206"/>
      <c r="J776" s="206"/>
      <c r="K776" s="206"/>
      <c r="L776" s="206"/>
      <c r="M776" s="3"/>
      <c r="N776" s="206"/>
      <c r="O776" s="421"/>
      <c r="P776" s="421"/>
      <c r="Q776" s="206"/>
      <c r="R776" s="206"/>
      <c r="S776" s="421"/>
      <c r="T776" s="517"/>
    </row>
    <row r="777" spans="1:20" ht="21" customHeight="1">
      <c r="A777" s="516"/>
      <c r="B777" s="206"/>
      <c r="C777" s="453"/>
      <c r="D777" s="453"/>
      <c r="E777" s="206"/>
      <c r="F777" s="206"/>
      <c r="G777" s="206"/>
      <c r="H777" s="206"/>
      <c r="I777" s="206"/>
      <c r="J777" s="206"/>
      <c r="K777" s="206"/>
      <c r="L777" s="206"/>
      <c r="M777" s="3"/>
      <c r="N777" s="206"/>
      <c r="O777" s="421"/>
      <c r="P777" s="421"/>
      <c r="Q777" s="206"/>
      <c r="R777" s="206"/>
      <c r="S777" s="421"/>
      <c r="T777" s="517"/>
    </row>
    <row r="778" spans="1:20" ht="21" customHeight="1">
      <c r="A778" s="516"/>
      <c r="B778" s="206"/>
      <c r="C778" s="453"/>
      <c r="D778" s="453"/>
      <c r="E778" s="206"/>
      <c r="F778" s="206"/>
      <c r="G778" s="206"/>
      <c r="H778" s="206"/>
      <c r="I778" s="206"/>
      <c r="J778" s="206"/>
      <c r="K778" s="206"/>
      <c r="L778" s="206"/>
      <c r="M778" s="3"/>
      <c r="N778" s="206"/>
      <c r="O778" s="421"/>
      <c r="P778" s="421"/>
      <c r="Q778" s="206"/>
      <c r="R778" s="421"/>
      <c r="S778" s="421"/>
      <c r="T778" s="517"/>
    </row>
    <row r="779" spans="1:20" ht="21" customHeight="1">
      <c r="A779" s="516"/>
      <c r="B779" s="206"/>
      <c r="C779" s="453"/>
      <c r="D779" s="453"/>
      <c r="E779" s="206"/>
      <c r="F779" s="206"/>
      <c r="G779" s="206"/>
      <c r="H779" s="206"/>
      <c r="I779" s="206"/>
      <c r="J779" s="206"/>
      <c r="K779" s="206"/>
      <c r="L779" s="206"/>
      <c r="M779" s="3"/>
      <c r="N779" s="206"/>
      <c r="O779" s="421"/>
      <c r="P779" s="421"/>
      <c r="Q779" s="206"/>
      <c r="R779" s="525"/>
      <c r="S779" s="421"/>
      <c r="T779" s="527"/>
    </row>
    <row r="780" spans="1:20" ht="21" customHeight="1">
      <c r="A780" s="516"/>
      <c r="B780" s="472"/>
      <c r="C780" s="481"/>
      <c r="D780" s="481"/>
      <c r="E780" s="472"/>
      <c r="F780" s="472"/>
      <c r="G780" s="472"/>
      <c r="H780" s="472"/>
      <c r="I780" s="472"/>
      <c r="J780" s="472"/>
      <c r="K780" s="472"/>
      <c r="L780" s="206"/>
      <c r="M780" s="3"/>
      <c r="N780" s="206"/>
      <c r="O780" s="421"/>
      <c r="P780" s="421"/>
      <c r="Q780" s="206"/>
      <c r="R780" s="206"/>
      <c r="S780" s="421"/>
      <c r="T780" s="517"/>
    </row>
    <row r="781" spans="1:20" ht="21" customHeight="1">
      <c r="A781" s="516"/>
      <c r="B781" s="206"/>
      <c r="C781" s="453"/>
      <c r="D781" s="453"/>
      <c r="E781" s="206"/>
      <c r="F781" s="206"/>
      <c r="G781" s="206"/>
      <c r="H781" s="206"/>
      <c r="I781" s="206"/>
      <c r="J781" s="206"/>
      <c r="K781" s="206"/>
      <c r="L781" s="206"/>
      <c r="M781" s="3"/>
      <c r="N781" s="206"/>
      <c r="O781" s="421"/>
      <c r="P781" s="421"/>
      <c r="Q781" s="206"/>
      <c r="R781" s="421"/>
      <c r="S781" s="421"/>
      <c r="T781" s="517"/>
    </row>
    <row r="782" spans="1:20" ht="21" customHeight="1">
      <c r="A782" s="516"/>
      <c r="B782" s="206"/>
      <c r="C782" s="453"/>
      <c r="D782" s="453"/>
      <c r="E782" s="206"/>
      <c r="F782" s="206"/>
      <c r="G782" s="206"/>
      <c r="H782" s="206"/>
      <c r="I782" s="206"/>
      <c r="J782" s="206"/>
      <c r="K782" s="206"/>
      <c r="L782" s="206"/>
      <c r="M782" s="3"/>
      <c r="N782" s="206"/>
      <c r="O782" s="421"/>
      <c r="P782" s="421"/>
      <c r="Q782" s="206"/>
      <c r="R782" s="421"/>
      <c r="S782" s="421"/>
      <c r="T782" s="517"/>
    </row>
    <row r="783" spans="1:20" ht="21" customHeight="1">
      <c r="A783" s="516"/>
      <c r="B783" s="206"/>
      <c r="C783" s="453"/>
      <c r="D783" s="453"/>
      <c r="E783" s="206"/>
      <c r="F783" s="206"/>
      <c r="G783" s="206"/>
      <c r="H783" s="206"/>
      <c r="I783" s="206"/>
      <c r="J783" s="206"/>
      <c r="K783" s="206"/>
      <c r="L783" s="206"/>
      <c r="M783" s="3"/>
      <c r="N783" s="206"/>
      <c r="O783" s="421"/>
      <c r="P783" s="421"/>
      <c r="Q783" s="206"/>
      <c r="R783" s="206"/>
      <c r="S783" s="421"/>
      <c r="T783" s="517"/>
    </row>
    <row r="784" spans="1:20" ht="21" customHeight="1">
      <c r="A784" s="516"/>
      <c r="B784" s="206"/>
      <c r="C784" s="453"/>
      <c r="D784" s="453"/>
      <c r="E784" s="206"/>
      <c r="F784" s="206"/>
      <c r="G784" s="206"/>
      <c r="H784" s="206"/>
      <c r="I784" s="206"/>
      <c r="J784" s="206"/>
      <c r="K784" s="206"/>
      <c r="L784" s="206"/>
      <c r="M784" s="3"/>
      <c r="N784" s="206"/>
      <c r="O784" s="421"/>
      <c r="P784" s="421"/>
      <c r="Q784" s="206"/>
      <c r="R784" s="421"/>
      <c r="S784" s="421"/>
      <c r="T784" s="517"/>
    </row>
    <row r="785" spans="1:20" ht="21" customHeight="1">
      <c r="A785" s="516"/>
      <c r="B785" s="206"/>
      <c r="C785" s="453"/>
      <c r="D785" s="453"/>
      <c r="E785" s="206"/>
      <c r="F785" s="206"/>
      <c r="G785" s="206"/>
      <c r="H785" s="206"/>
      <c r="I785" s="206"/>
      <c r="J785" s="206"/>
      <c r="K785" s="206"/>
      <c r="L785" s="206"/>
      <c r="M785" s="3"/>
      <c r="N785" s="206"/>
      <c r="O785" s="421"/>
      <c r="P785" s="421"/>
      <c r="Q785" s="206"/>
      <c r="R785" s="206"/>
      <c r="S785" s="421"/>
      <c r="T785" s="517"/>
    </row>
    <row r="786" spans="1:20" ht="21" customHeight="1">
      <c r="A786" s="516"/>
      <c r="B786" s="206"/>
      <c r="C786" s="453"/>
      <c r="D786" s="453"/>
      <c r="E786" s="206"/>
      <c r="F786" s="206"/>
      <c r="G786" s="206"/>
      <c r="H786" s="206"/>
      <c r="I786" s="206"/>
      <c r="J786" s="206"/>
      <c r="K786" s="206"/>
      <c r="L786" s="206"/>
      <c r="M786" s="3"/>
      <c r="N786" s="206"/>
      <c r="O786" s="421"/>
      <c r="P786" s="421"/>
      <c r="Q786" s="206"/>
      <c r="R786" s="545"/>
      <c r="S786" s="421"/>
      <c r="T786" s="517"/>
    </row>
    <row r="787" spans="1:20" ht="21" customHeight="1">
      <c r="A787" s="516"/>
      <c r="B787" s="206"/>
      <c r="C787" s="459"/>
      <c r="D787" s="459"/>
      <c r="E787" s="206"/>
      <c r="F787" s="206"/>
      <c r="G787" s="206"/>
      <c r="H787" s="206"/>
      <c r="I787" s="206"/>
      <c r="J787" s="206"/>
      <c r="K787" s="206"/>
      <c r="L787" s="206"/>
      <c r="M787" s="3"/>
      <c r="N787" s="206"/>
      <c r="O787" s="421"/>
      <c r="P787" s="421"/>
      <c r="Q787" s="206"/>
      <c r="R787" s="421"/>
      <c r="S787" s="421"/>
      <c r="T787" s="517"/>
    </row>
    <row r="788" spans="1:20" ht="21" customHeight="1">
      <c r="A788" s="516"/>
      <c r="B788" s="206"/>
      <c r="C788" s="459"/>
      <c r="D788" s="459"/>
      <c r="E788" s="206"/>
      <c r="F788" s="206"/>
      <c r="G788" s="206"/>
      <c r="H788" s="206"/>
      <c r="I788" s="206"/>
      <c r="J788" s="206"/>
      <c r="K788" s="206"/>
      <c r="L788" s="206"/>
      <c r="M788" s="3"/>
      <c r="N788" s="206"/>
      <c r="O788" s="421"/>
      <c r="P788" s="421"/>
      <c r="Q788" s="206"/>
      <c r="R788" s="421"/>
      <c r="S788" s="421"/>
      <c r="T788" s="517"/>
    </row>
    <row r="789" spans="1:20" ht="21" customHeight="1">
      <c r="A789" s="516"/>
      <c r="B789" s="206"/>
      <c r="C789" s="459"/>
      <c r="D789" s="459"/>
      <c r="E789" s="206"/>
      <c r="F789" s="206"/>
      <c r="G789" s="206"/>
      <c r="H789" s="206"/>
      <c r="I789" s="206"/>
      <c r="J789" s="206"/>
      <c r="K789" s="206"/>
      <c r="L789" s="206"/>
      <c r="M789" s="3"/>
      <c r="N789" s="206"/>
      <c r="O789" s="421"/>
      <c r="P789" s="421"/>
      <c r="Q789" s="206"/>
      <c r="R789" s="421"/>
      <c r="S789" s="421"/>
      <c r="T789" s="517"/>
    </row>
    <row r="790" spans="1:20" ht="21" customHeight="1">
      <c r="A790" s="516"/>
      <c r="B790" s="206"/>
      <c r="C790" s="459"/>
      <c r="D790" s="459"/>
      <c r="E790" s="206"/>
      <c r="F790" s="206"/>
      <c r="G790" s="206"/>
      <c r="H790" s="206"/>
      <c r="I790" s="206"/>
      <c r="J790" s="206"/>
      <c r="K790" s="206"/>
      <c r="L790" s="206"/>
      <c r="M790" s="3"/>
      <c r="N790" s="206"/>
      <c r="O790" s="421"/>
      <c r="P790" s="421"/>
      <c r="Q790" s="206"/>
      <c r="R790" s="421"/>
      <c r="S790" s="421"/>
      <c r="T790" s="517"/>
    </row>
    <row r="791" spans="1:20" ht="21" customHeight="1">
      <c r="A791" s="516"/>
      <c r="B791" s="206"/>
      <c r="C791" s="459"/>
      <c r="D791" s="459"/>
      <c r="E791" s="206"/>
      <c r="F791" s="206"/>
      <c r="G791" s="206"/>
      <c r="H791" s="206"/>
      <c r="I791" s="206"/>
      <c r="J791" s="206"/>
      <c r="K791" s="206"/>
      <c r="L791" s="206"/>
      <c r="M791" s="3"/>
      <c r="N791" s="206"/>
      <c r="O791" s="421"/>
      <c r="P791" s="421"/>
      <c r="Q791" s="206"/>
      <c r="R791" s="421"/>
      <c r="S791" s="421"/>
      <c r="T791" s="517"/>
    </row>
    <row r="792" spans="1:20" ht="21" customHeight="1">
      <c r="A792" s="516"/>
      <c r="B792" s="206"/>
      <c r="C792" s="453"/>
      <c r="D792" s="453"/>
      <c r="E792" s="206"/>
      <c r="F792" s="206"/>
      <c r="G792" s="206"/>
      <c r="H792" s="206"/>
      <c r="I792" s="206"/>
      <c r="J792" s="206"/>
      <c r="K792" s="206"/>
      <c r="L792" s="206"/>
      <c r="M792" s="3"/>
      <c r="N792" s="206"/>
      <c r="O792" s="421"/>
      <c r="P792" s="421"/>
      <c r="Q792" s="206"/>
      <c r="R792" s="421"/>
      <c r="S792" s="421"/>
      <c r="T792" s="517"/>
    </row>
    <row r="793" spans="1:20" ht="21" customHeight="1">
      <c r="A793" s="516"/>
      <c r="B793" s="460"/>
      <c r="C793" s="453"/>
      <c r="D793" s="453"/>
      <c r="E793" s="206"/>
      <c r="F793" s="206"/>
      <c r="G793" s="206"/>
      <c r="H793" s="206"/>
      <c r="I793" s="206"/>
      <c r="J793" s="206"/>
      <c r="K793" s="206"/>
      <c r="L793" s="206"/>
      <c r="M793" s="3"/>
      <c r="N793" s="206"/>
      <c r="O793" s="421"/>
      <c r="P793" s="421"/>
      <c r="Q793" s="206"/>
      <c r="R793" s="421"/>
      <c r="S793" s="421"/>
      <c r="T793" s="517"/>
    </row>
    <row r="794" spans="1:20" ht="21" customHeight="1">
      <c r="A794" s="516"/>
      <c r="B794" s="460"/>
      <c r="C794" s="453"/>
      <c r="D794" s="453"/>
      <c r="E794" s="206"/>
      <c r="F794" s="206"/>
      <c r="G794" s="206"/>
      <c r="H794" s="206"/>
      <c r="I794" s="206"/>
      <c r="J794" s="206"/>
      <c r="K794" s="206"/>
      <c r="L794" s="206"/>
      <c r="M794" s="3"/>
      <c r="N794" s="206"/>
      <c r="O794" s="421"/>
      <c r="P794" s="421"/>
      <c r="Q794" s="206"/>
      <c r="R794" s="421"/>
      <c r="S794" s="421"/>
      <c r="T794" s="517"/>
    </row>
    <row r="795" spans="1:20" ht="21" customHeight="1">
      <c r="A795" s="516"/>
      <c r="B795" s="460"/>
      <c r="C795" s="453"/>
      <c r="D795" s="453"/>
      <c r="E795" s="206"/>
      <c r="F795" s="206"/>
      <c r="G795" s="206"/>
      <c r="H795" s="206"/>
      <c r="I795" s="206"/>
      <c r="J795" s="206"/>
      <c r="K795" s="206"/>
      <c r="L795" s="206"/>
      <c r="M795" s="3"/>
      <c r="N795" s="206"/>
      <c r="O795" s="421"/>
      <c r="P795" s="421"/>
      <c r="Q795" s="206"/>
      <c r="R795" s="421"/>
      <c r="S795" s="421"/>
      <c r="T795" s="517"/>
    </row>
    <row r="796" spans="1:20" ht="21" customHeight="1">
      <c r="A796" s="516"/>
      <c r="B796" s="460"/>
      <c r="C796" s="453"/>
      <c r="D796" s="453"/>
      <c r="E796" s="206"/>
      <c r="F796" s="206"/>
      <c r="G796" s="206"/>
      <c r="H796" s="206"/>
      <c r="I796" s="206"/>
      <c r="J796" s="206"/>
      <c r="K796" s="206"/>
      <c r="L796" s="206"/>
      <c r="M796" s="3"/>
      <c r="N796" s="206"/>
      <c r="O796" s="421"/>
      <c r="P796" s="421"/>
      <c r="Q796" s="206"/>
      <c r="R796" s="421"/>
      <c r="S796" s="421"/>
      <c r="T796" s="517"/>
    </row>
    <row r="797" spans="1:20" ht="21" customHeight="1">
      <c r="A797" s="516"/>
      <c r="B797" s="460"/>
      <c r="C797" s="453"/>
      <c r="D797" s="453"/>
      <c r="E797" s="206"/>
      <c r="F797" s="206"/>
      <c r="G797" s="206"/>
      <c r="H797" s="206"/>
      <c r="I797" s="206"/>
      <c r="J797" s="206"/>
      <c r="K797" s="206"/>
      <c r="L797" s="206"/>
      <c r="M797" s="3"/>
      <c r="N797" s="206"/>
      <c r="O797" s="421"/>
      <c r="P797" s="421"/>
      <c r="Q797" s="206"/>
      <c r="R797" s="421"/>
      <c r="S797" s="421"/>
      <c r="T797" s="517"/>
    </row>
    <row r="798" spans="1:20" ht="21" customHeight="1">
      <c r="A798" s="516"/>
      <c r="B798" s="460"/>
      <c r="C798" s="453"/>
      <c r="D798" s="453"/>
      <c r="E798" s="206"/>
      <c r="F798" s="206"/>
      <c r="G798" s="206"/>
      <c r="H798" s="206"/>
      <c r="I798" s="206"/>
      <c r="J798" s="206"/>
      <c r="K798" s="206"/>
      <c r="L798" s="206"/>
      <c r="M798" s="3"/>
      <c r="N798" s="206"/>
      <c r="O798" s="421"/>
      <c r="P798" s="421"/>
      <c r="Q798" s="206"/>
      <c r="R798" s="421"/>
      <c r="S798" s="421"/>
      <c r="T798" s="517"/>
    </row>
    <row r="799" spans="1:20" ht="21" customHeight="1">
      <c r="A799" s="516"/>
      <c r="B799" s="460"/>
      <c r="C799" s="453"/>
      <c r="D799" s="453"/>
      <c r="E799" s="206"/>
      <c r="F799" s="206"/>
      <c r="G799" s="206"/>
      <c r="H799" s="206"/>
      <c r="I799" s="206"/>
      <c r="J799" s="206"/>
      <c r="K799" s="206"/>
      <c r="L799" s="206"/>
      <c r="M799" s="3"/>
      <c r="N799" s="206"/>
      <c r="O799" s="421"/>
      <c r="P799" s="421"/>
      <c r="Q799" s="206"/>
      <c r="R799" s="421"/>
      <c r="S799" s="421"/>
      <c r="T799" s="517"/>
    </row>
    <row r="800" spans="1:20" ht="21" customHeight="1">
      <c r="A800" s="516"/>
      <c r="B800" s="460"/>
      <c r="C800" s="453"/>
      <c r="D800" s="453"/>
      <c r="E800" s="206"/>
      <c r="F800" s="206"/>
      <c r="G800" s="206"/>
      <c r="H800" s="206"/>
      <c r="I800" s="206"/>
      <c r="J800" s="206"/>
      <c r="K800" s="206"/>
      <c r="L800" s="206"/>
      <c r="M800" s="3"/>
      <c r="N800" s="206"/>
      <c r="O800" s="421"/>
      <c r="P800" s="421"/>
      <c r="Q800" s="206"/>
      <c r="R800" s="421"/>
      <c r="S800" s="421"/>
      <c r="T800" s="517"/>
    </row>
    <row r="801" spans="1:20" ht="21" customHeight="1">
      <c r="A801" s="516"/>
      <c r="B801" s="460"/>
      <c r="C801" s="453"/>
      <c r="D801" s="453"/>
      <c r="E801" s="206"/>
      <c r="F801" s="206"/>
      <c r="G801" s="206"/>
      <c r="H801" s="206"/>
      <c r="I801" s="206"/>
      <c r="J801" s="206"/>
      <c r="K801" s="206"/>
      <c r="L801" s="206"/>
      <c r="M801" s="3"/>
      <c r="N801" s="206"/>
      <c r="O801" s="421"/>
      <c r="P801" s="421"/>
      <c r="Q801" s="206"/>
      <c r="R801" s="421"/>
      <c r="S801" s="421"/>
      <c r="T801" s="517"/>
    </row>
    <row r="802" spans="1:20" ht="21" customHeight="1">
      <c r="A802" s="516"/>
      <c r="B802" s="460"/>
      <c r="C802" s="453"/>
      <c r="D802" s="453"/>
      <c r="E802" s="206"/>
      <c r="F802" s="206"/>
      <c r="G802" s="206"/>
      <c r="H802" s="206"/>
      <c r="I802" s="206"/>
      <c r="J802" s="206"/>
      <c r="K802" s="206"/>
      <c r="L802" s="206"/>
      <c r="M802" s="3"/>
      <c r="N802" s="206"/>
      <c r="O802" s="421"/>
      <c r="P802" s="421"/>
      <c r="Q802" s="206"/>
      <c r="R802" s="421"/>
      <c r="S802" s="421"/>
      <c r="T802" s="517"/>
    </row>
    <row r="803" spans="1:20" ht="21" customHeight="1">
      <c r="A803" s="516"/>
      <c r="B803" s="460"/>
      <c r="C803" s="453"/>
      <c r="D803" s="453"/>
      <c r="E803" s="206"/>
      <c r="F803" s="206"/>
      <c r="G803" s="206"/>
      <c r="H803" s="206"/>
      <c r="I803" s="206"/>
      <c r="J803" s="206"/>
      <c r="K803" s="206"/>
      <c r="L803" s="206"/>
      <c r="M803" s="3"/>
      <c r="N803" s="206"/>
      <c r="O803" s="421"/>
      <c r="P803" s="421"/>
      <c r="Q803" s="206"/>
      <c r="R803" s="421"/>
      <c r="S803" s="421"/>
      <c r="T803" s="517"/>
    </row>
    <row r="804" spans="1:20" ht="21" customHeight="1">
      <c r="A804" s="516"/>
      <c r="B804" s="460"/>
      <c r="C804" s="453"/>
      <c r="D804" s="453"/>
      <c r="E804" s="206"/>
      <c r="F804" s="206"/>
      <c r="G804" s="206"/>
      <c r="H804" s="206"/>
      <c r="I804" s="206"/>
      <c r="J804" s="206"/>
      <c r="K804" s="206"/>
      <c r="L804" s="206"/>
      <c r="M804" s="3"/>
      <c r="N804" s="206"/>
      <c r="O804" s="421"/>
      <c r="P804" s="421"/>
      <c r="Q804" s="206"/>
      <c r="R804" s="421"/>
      <c r="S804" s="421"/>
      <c r="T804" s="517"/>
    </row>
    <row r="805" spans="1:20" ht="21" customHeight="1">
      <c r="A805" s="516"/>
      <c r="B805" s="460"/>
      <c r="C805" s="453"/>
      <c r="D805" s="453"/>
      <c r="E805" s="206"/>
      <c r="F805" s="206"/>
      <c r="G805" s="206"/>
      <c r="H805" s="206"/>
      <c r="I805" s="206"/>
      <c r="J805" s="206"/>
      <c r="K805" s="206"/>
      <c r="L805" s="206"/>
      <c r="M805" s="3"/>
      <c r="N805" s="206"/>
      <c r="O805" s="421"/>
      <c r="P805" s="421"/>
      <c r="Q805" s="206"/>
      <c r="R805" s="421"/>
      <c r="S805" s="421"/>
      <c r="T805" s="517"/>
    </row>
    <row r="806" spans="1:20" ht="21" customHeight="1">
      <c r="A806" s="516"/>
      <c r="B806" s="460"/>
      <c r="C806" s="453"/>
      <c r="D806" s="453"/>
      <c r="E806" s="206"/>
      <c r="F806" s="206"/>
      <c r="G806" s="206"/>
      <c r="H806" s="206"/>
      <c r="I806" s="206"/>
      <c r="J806" s="206"/>
      <c r="K806" s="206"/>
      <c r="L806" s="206"/>
      <c r="M806" s="3"/>
      <c r="N806" s="206"/>
      <c r="O806" s="421"/>
      <c r="P806" s="421"/>
      <c r="Q806" s="206"/>
      <c r="R806" s="421"/>
      <c r="S806" s="421"/>
      <c r="T806" s="517"/>
    </row>
    <row r="807" spans="1:20" ht="21" customHeight="1">
      <c r="A807" s="516"/>
      <c r="B807" s="460"/>
      <c r="C807" s="453"/>
      <c r="D807" s="453"/>
      <c r="E807" s="206"/>
      <c r="F807" s="206"/>
      <c r="G807" s="206"/>
      <c r="H807" s="206"/>
      <c r="I807" s="206"/>
      <c r="J807" s="206"/>
      <c r="K807" s="206"/>
      <c r="L807" s="206"/>
      <c r="M807" s="3"/>
      <c r="N807" s="206"/>
      <c r="O807" s="421"/>
      <c r="P807" s="421"/>
      <c r="Q807" s="206"/>
      <c r="R807" s="421"/>
      <c r="S807" s="421"/>
      <c r="T807" s="517"/>
    </row>
    <row r="808" spans="1:20" ht="21" customHeight="1">
      <c r="A808" s="516"/>
      <c r="B808" s="460"/>
      <c r="C808" s="453"/>
      <c r="D808" s="453"/>
      <c r="E808" s="206"/>
      <c r="F808" s="206"/>
      <c r="G808" s="206"/>
      <c r="H808" s="206"/>
      <c r="I808" s="206"/>
      <c r="J808" s="206"/>
      <c r="K808" s="206"/>
      <c r="L808" s="206"/>
      <c r="M808" s="3"/>
      <c r="N808" s="206"/>
      <c r="O808" s="421"/>
      <c r="P808" s="421"/>
      <c r="Q808" s="206"/>
      <c r="R808" s="421"/>
      <c r="S808" s="421"/>
      <c r="T808" s="517"/>
    </row>
    <row r="809" spans="1:20" ht="21" customHeight="1">
      <c r="A809" s="516"/>
      <c r="B809" s="460"/>
      <c r="C809" s="453"/>
      <c r="D809" s="453"/>
      <c r="E809" s="206"/>
      <c r="F809" s="206"/>
      <c r="G809" s="206"/>
      <c r="H809" s="206"/>
      <c r="I809" s="206"/>
      <c r="J809" s="206"/>
      <c r="K809" s="206"/>
      <c r="L809" s="206"/>
      <c r="M809" s="3"/>
      <c r="N809" s="206"/>
      <c r="O809" s="421"/>
      <c r="P809" s="421"/>
      <c r="Q809" s="206"/>
      <c r="R809" s="421"/>
      <c r="S809" s="421"/>
      <c r="T809" s="517"/>
    </row>
    <row r="810" spans="1:20" ht="21" customHeight="1">
      <c r="A810" s="516"/>
      <c r="B810" s="460"/>
      <c r="C810" s="453"/>
      <c r="D810" s="453"/>
      <c r="E810" s="206"/>
      <c r="F810" s="206"/>
      <c r="G810" s="206"/>
      <c r="H810" s="206"/>
      <c r="I810" s="206"/>
      <c r="J810" s="206"/>
      <c r="K810" s="206"/>
      <c r="L810" s="206"/>
      <c r="M810" s="3"/>
      <c r="N810" s="206"/>
      <c r="O810" s="421"/>
      <c r="P810" s="421"/>
      <c r="Q810" s="206"/>
      <c r="R810" s="421"/>
      <c r="S810" s="421"/>
      <c r="T810" s="517"/>
    </row>
    <row r="811" spans="1:20" ht="21" customHeight="1">
      <c r="A811" s="516"/>
      <c r="B811" s="460"/>
      <c r="C811" s="453"/>
      <c r="D811" s="453"/>
      <c r="E811" s="206"/>
      <c r="F811" s="206"/>
      <c r="G811" s="206"/>
      <c r="H811" s="206"/>
      <c r="I811" s="206"/>
      <c r="J811" s="206"/>
      <c r="K811" s="206"/>
      <c r="L811" s="206"/>
      <c r="M811" s="3"/>
      <c r="N811" s="206"/>
      <c r="O811" s="421"/>
      <c r="P811" s="421"/>
      <c r="Q811" s="206"/>
      <c r="R811" s="421"/>
      <c r="S811" s="421"/>
      <c r="T811" s="517"/>
    </row>
    <row r="812" spans="1:20" ht="21" customHeight="1">
      <c r="A812" s="516"/>
      <c r="B812" s="460"/>
      <c r="C812" s="453"/>
      <c r="D812" s="453"/>
      <c r="E812" s="206"/>
      <c r="F812" s="206"/>
      <c r="G812" s="206"/>
      <c r="H812" s="206"/>
      <c r="I812" s="206"/>
      <c r="J812" s="206"/>
      <c r="K812" s="206"/>
      <c r="L812" s="206"/>
      <c r="M812" s="3"/>
      <c r="N812" s="206"/>
      <c r="O812" s="421"/>
      <c r="P812" s="421"/>
      <c r="Q812" s="206"/>
      <c r="R812" s="421"/>
      <c r="S812" s="421"/>
      <c r="T812" s="517"/>
    </row>
    <row r="813" spans="1:20" ht="21" customHeight="1">
      <c r="A813" s="516"/>
      <c r="B813" s="460"/>
      <c r="C813" s="453"/>
      <c r="D813" s="453"/>
      <c r="E813" s="206"/>
      <c r="F813" s="206"/>
      <c r="G813" s="206"/>
      <c r="H813" s="206"/>
      <c r="I813" s="206"/>
      <c r="J813" s="206"/>
      <c r="K813" s="206"/>
      <c r="L813" s="206"/>
      <c r="M813" s="3"/>
      <c r="N813" s="206"/>
      <c r="O813" s="421"/>
      <c r="P813" s="421"/>
      <c r="Q813" s="206"/>
      <c r="R813" s="421"/>
      <c r="S813" s="421"/>
      <c r="T813" s="517"/>
    </row>
    <row r="814" spans="1:20" ht="21" customHeight="1">
      <c r="A814" s="516"/>
      <c r="B814" s="460"/>
      <c r="C814" s="453"/>
      <c r="D814" s="453"/>
      <c r="E814" s="206"/>
      <c r="F814" s="206"/>
      <c r="G814" s="206"/>
      <c r="H814" s="206"/>
      <c r="I814" s="206"/>
      <c r="J814" s="206"/>
      <c r="K814" s="206"/>
      <c r="L814" s="206"/>
      <c r="M814" s="3"/>
      <c r="N814" s="206"/>
      <c r="O814" s="421"/>
      <c r="P814" s="421"/>
      <c r="Q814" s="206"/>
      <c r="R814" s="421"/>
      <c r="S814" s="421"/>
      <c r="T814" s="517"/>
    </row>
    <row r="815" spans="1:20" ht="21" customHeight="1">
      <c r="A815" s="516"/>
      <c r="B815" s="458"/>
      <c r="C815" s="453"/>
      <c r="D815" s="453"/>
      <c r="E815" s="206"/>
      <c r="F815" s="206"/>
      <c r="G815" s="206"/>
      <c r="H815" s="206"/>
      <c r="I815" s="206"/>
      <c r="J815" s="206"/>
      <c r="K815" s="206"/>
      <c r="L815" s="206"/>
      <c r="M815" s="3"/>
      <c r="N815" s="206"/>
      <c r="O815" s="421"/>
      <c r="P815" s="421"/>
      <c r="Q815" s="206"/>
      <c r="R815" s="421"/>
      <c r="S815" s="421"/>
      <c r="T815" s="517"/>
    </row>
    <row r="816" spans="1:20" ht="21" customHeight="1">
      <c r="A816" s="516"/>
      <c r="B816" s="457"/>
      <c r="C816" s="453"/>
      <c r="D816" s="453"/>
      <c r="E816" s="206"/>
      <c r="F816" s="206"/>
      <c r="G816" s="206"/>
      <c r="H816" s="206"/>
      <c r="I816" s="206"/>
      <c r="J816" s="206"/>
      <c r="K816" s="206"/>
      <c r="L816" s="206"/>
      <c r="M816" s="3"/>
      <c r="N816" s="206"/>
      <c r="O816" s="421"/>
      <c r="P816" s="421"/>
      <c r="Q816" s="206"/>
      <c r="R816" s="421"/>
      <c r="S816" s="421"/>
      <c r="T816" s="517"/>
    </row>
    <row r="817" spans="1:20" ht="21" customHeight="1">
      <c r="A817" s="516"/>
      <c r="B817" s="457"/>
      <c r="C817" s="453"/>
      <c r="D817" s="453"/>
      <c r="E817" s="206"/>
      <c r="F817" s="206"/>
      <c r="G817" s="206"/>
      <c r="H817" s="206"/>
      <c r="I817" s="206"/>
      <c r="J817" s="206"/>
      <c r="K817" s="206"/>
      <c r="L817" s="206"/>
      <c r="M817" s="3"/>
      <c r="N817" s="206"/>
      <c r="O817" s="421"/>
      <c r="P817" s="421"/>
      <c r="Q817" s="206"/>
      <c r="R817" s="421"/>
      <c r="S817" s="421"/>
      <c r="T817" s="517"/>
    </row>
    <row r="818" spans="1:20" ht="21" customHeight="1">
      <c r="A818" s="516"/>
      <c r="B818" s="457"/>
      <c r="C818" s="453"/>
      <c r="D818" s="453"/>
      <c r="E818" s="206"/>
      <c r="F818" s="206"/>
      <c r="G818" s="206"/>
      <c r="H818" s="206"/>
      <c r="I818" s="206"/>
      <c r="J818" s="206"/>
      <c r="K818" s="206"/>
      <c r="L818" s="206"/>
      <c r="M818" s="3"/>
      <c r="N818" s="206"/>
      <c r="O818" s="421"/>
      <c r="P818" s="421"/>
      <c r="Q818" s="206"/>
      <c r="R818" s="421"/>
      <c r="S818" s="421"/>
      <c r="T818" s="517"/>
    </row>
    <row r="819" spans="1:20" ht="21" customHeight="1">
      <c r="A819" s="516"/>
      <c r="B819" s="457"/>
      <c r="C819" s="453"/>
      <c r="D819" s="453"/>
      <c r="E819" s="206"/>
      <c r="F819" s="206"/>
      <c r="G819" s="206"/>
      <c r="H819" s="206"/>
      <c r="I819" s="206"/>
      <c r="J819" s="206"/>
      <c r="K819" s="206"/>
      <c r="L819" s="206"/>
      <c r="M819" s="3"/>
      <c r="N819" s="206"/>
      <c r="O819" s="421"/>
      <c r="P819" s="421"/>
      <c r="Q819" s="206"/>
      <c r="R819" s="421"/>
      <c r="S819" s="421"/>
      <c r="T819" s="517"/>
    </row>
    <row r="820" spans="1:20" ht="21" customHeight="1">
      <c r="A820" s="516"/>
      <c r="B820" s="457"/>
      <c r="C820" s="453"/>
      <c r="D820" s="453"/>
      <c r="E820" s="206"/>
      <c r="F820" s="206"/>
      <c r="G820" s="206"/>
      <c r="H820" s="206"/>
      <c r="I820" s="206"/>
      <c r="J820" s="206"/>
      <c r="K820" s="206"/>
      <c r="L820" s="206"/>
      <c r="M820" s="3"/>
      <c r="N820" s="206"/>
      <c r="O820" s="421"/>
      <c r="P820" s="421"/>
      <c r="Q820" s="206"/>
      <c r="R820" s="421"/>
      <c r="S820" s="421"/>
      <c r="T820" s="517"/>
    </row>
    <row r="821" spans="1:20" ht="21" customHeight="1">
      <c r="A821" s="516"/>
      <c r="B821" s="458"/>
      <c r="C821" s="453"/>
      <c r="D821" s="453"/>
      <c r="E821" s="206"/>
      <c r="F821" s="206"/>
      <c r="G821" s="206"/>
      <c r="H821" s="206"/>
      <c r="I821" s="206"/>
      <c r="J821" s="206"/>
      <c r="K821" s="206"/>
      <c r="L821" s="206"/>
      <c r="M821" s="3"/>
      <c r="N821" s="206"/>
      <c r="O821" s="421"/>
      <c r="P821" s="421"/>
      <c r="Q821" s="206"/>
      <c r="R821" s="421"/>
      <c r="S821" s="421"/>
      <c r="T821" s="517"/>
    </row>
    <row r="822" spans="1:20" ht="21" customHeight="1">
      <c r="A822" s="516"/>
      <c r="B822" s="457"/>
      <c r="C822" s="453"/>
      <c r="D822" s="453"/>
      <c r="E822" s="206"/>
      <c r="F822" s="206"/>
      <c r="G822" s="206"/>
      <c r="H822" s="206"/>
      <c r="I822" s="206"/>
      <c r="J822" s="206"/>
      <c r="K822" s="206"/>
      <c r="L822" s="206"/>
      <c r="M822" s="3"/>
      <c r="N822" s="206"/>
      <c r="O822" s="421"/>
      <c r="P822" s="421"/>
      <c r="Q822" s="206"/>
      <c r="R822" s="421"/>
      <c r="S822" s="421"/>
      <c r="T822" s="517"/>
    </row>
    <row r="823" spans="1:20" ht="21" customHeight="1">
      <c r="A823" s="516"/>
      <c r="B823" s="458"/>
      <c r="C823" s="453"/>
      <c r="D823" s="453"/>
      <c r="E823" s="206"/>
      <c r="F823" s="206"/>
      <c r="G823" s="206"/>
      <c r="H823" s="206"/>
      <c r="I823" s="206"/>
      <c r="J823" s="206"/>
      <c r="K823" s="206"/>
      <c r="L823" s="206"/>
      <c r="M823" s="3"/>
      <c r="N823" s="206"/>
      <c r="O823" s="421"/>
      <c r="P823" s="421"/>
      <c r="Q823" s="206"/>
      <c r="R823" s="421"/>
      <c r="S823" s="421"/>
      <c r="T823" s="517"/>
    </row>
    <row r="824" spans="1:20" ht="21" customHeight="1">
      <c r="A824" s="516"/>
      <c r="B824" s="457"/>
      <c r="C824" s="453"/>
      <c r="D824" s="453"/>
      <c r="E824" s="206"/>
      <c r="F824" s="206"/>
      <c r="G824" s="206"/>
      <c r="H824" s="206"/>
      <c r="I824" s="206"/>
      <c r="J824" s="206"/>
      <c r="K824" s="206"/>
      <c r="L824" s="206"/>
      <c r="M824" s="3"/>
      <c r="N824" s="206"/>
      <c r="O824" s="421"/>
      <c r="P824" s="421"/>
      <c r="Q824" s="206"/>
      <c r="R824" s="421"/>
      <c r="S824" s="421"/>
      <c r="T824" s="517"/>
    </row>
    <row r="825" spans="1:20" ht="21" customHeight="1">
      <c r="A825" s="516"/>
      <c r="B825" s="457"/>
      <c r="C825" s="453"/>
      <c r="D825" s="453"/>
      <c r="E825" s="206"/>
      <c r="F825" s="206"/>
      <c r="G825" s="206"/>
      <c r="H825" s="206"/>
      <c r="I825" s="206"/>
      <c r="J825" s="206"/>
      <c r="K825" s="206"/>
      <c r="L825" s="206"/>
      <c r="M825" s="3"/>
      <c r="N825" s="206"/>
      <c r="O825" s="421"/>
      <c r="P825" s="421"/>
      <c r="Q825" s="206"/>
      <c r="R825" s="421"/>
      <c r="S825" s="421"/>
      <c r="T825" s="517"/>
    </row>
    <row r="826" spans="1:20" ht="21" customHeight="1">
      <c r="A826" s="516"/>
      <c r="B826" s="457"/>
      <c r="C826" s="453"/>
      <c r="D826" s="453"/>
      <c r="E826" s="206"/>
      <c r="F826" s="206"/>
      <c r="G826" s="206"/>
      <c r="H826" s="206"/>
      <c r="I826" s="206"/>
      <c r="J826" s="206"/>
      <c r="K826" s="206"/>
      <c r="L826" s="206"/>
      <c r="M826" s="3"/>
      <c r="N826" s="206"/>
      <c r="O826" s="421"/>
      <c r="P826" s="421"/>
      <c r="Q826" s="206"/>
      <c r="R826" s="421"/>
      <c r="S826" s="421"/>
      <c r="T826" s="517"/>
    </row>
    <row r="827" spans="1:20" ht="21" customHeight="1">
      <c r="A827" s="516"/>
      <c r="B827" s="458"/>
      <c r="C827" s="453"/>
      <c r="D827" s="453"/>
      <c r="E827" s="206"/>
      <c r="F827" s="206"/>
      <c r="G827" s="206"/>
      <c r="H827" s="206"/>
      <c r="I827" s="206"/>
      <c r="J827" s="206"/>
      <c r="K827" s="206"/>
      <c r="L827" s="206"/>
      <c r="M827" s="3"/>
      <c r="N827" s="206"/>
      <c r="O827" s="421"/>
      <c r="P827" s="421"/>
      <c r="Q827" s="206"/>
      <c r="R827" s="421"/>
      <c r="S827" s="421"/>
      <c r="T827" s="517"/>
    </row>
    <row r="828" spans="1:20" ht="21" customHeight="1">
      <c r="A828" s="516"/>
      <c r="B828" s="457"/>
      <c r="C828" s="453"/>
      <c r="D828" s="453"/>
      <c r="E828" s="206"/>
      <c r="F828" s="206"/>
      <c r="G828" s="206"/>
      <c r="H828" s="206"/>
      <c r="I828" s="206"/>
      <c r="J828" s="206"/>
      <c r="K828" s="206"/>
      <c r="L828" s="206"/>
      <c r="M828" s="3"/>
      <c r="N828" s="206"/>
      <c r="O828" s="421"/>
      <c r="P828" s="421"/>
      <c r="Q828" s="206"/>
      <c r="R828" s="421"/>
      <c r="S828" s="421"/>
      <c r="T828" s="517"/>
    </row>
    <row r="829" spans="1:20" ht="21" customHeight="1">
      <c r="A829" s="516"/>
      <c r="B829" s="458"/>
      <c r="C829" s="453"/>
      <c r="D829" s="453"/>
      <c r="E829" s="206"/>
      <c r="F829" s="206"/>
      <c r="G829" s="206"/>
      <c r="H829" s="206"/>
      <c r="I829" s="206"/>
      <c r="J829" s="206"/>
      <c r="K829" s="206"/>
      <c r="L829" s="206"/>
      <c r="M829" s="3"/>
      <c r="N829" s="206"/>
      <c r="O829" s="421"/>
      <c r="P829" s="421"/>
      <c r="Q829" s="206"/>
      <c r="R829" s="421"/>
      <c r="S829" s="421"/>
      <c r="T829" s="517"/>
    </row>
    <row r="830" spans="1:20" ht="21" customHeight="1">
      <c r="A830" s="516"/>
      <c r="B830" s="458"/>
      <c r="C830" s="453"/>
      <c r="D830" s="453"/>
      <c r="E830" s="206"/>
      <c r="F830" s="206"/>
      <c r="G830" s="206"/>
      <c r="H830" s="206"/>
      <c r="I830" s="206"/>
      <c r="J830" s="206"/>
      <c r="K830" s="206"/>
      <c r="L830" s="206"/>
      <c r="M830" s="3"/>
      <c r="N830" s="206"/>
      <c r="O830" s="421"/>
      <c r="P830" s="421"/>
      <c r="Q830" s="206"/>
      <c r="R830" s="421"/>
      <c r="S830" s="421"/>
      <c r="T830" s="517"/>
    </row>
    <row r="831" spans="1:20" ht="21" customHeight="1">
      <c r="A831" s="516"/>
      <c r="B831" s="458"/>
      <c r="C831" s="453"/>
      <c r="D831" s="453"/>
      <c r="E831" s="206"/>
      <c r="F831" s="206"/>
      <c r="G831" s="206"/>
      <c r="H831" s="206"/>
      <c r="I831" s="206"/>
      <c r="J831" s="206"/>
      <c r="K831" s="206"/>
      <c r="L831" s="206"/>
      <c r="M831" s="3"/>
      <c r="N831" s="206"/>
      <c r="O831" s="421"/>
      <c r="P831" s="421"/>
      <c r="Q831" s="206"/>
      <c r="R831" s="421"/>
      <c r="S831" s="421"/>
      <c r="T831" s="517"/>
    </row>
    <row r="832" spans="1:20" ht="21" customHeight="1">
      <c r="A832" s="516"/>
      <c r="B832" s="458"/>
      <c r="C832" s="453"/>
      <c r="D832" s="453"/>
      <c r="E832" s="206"/>
      <c r="F832" s="206"/>
      <c r="G832" s="206"/>
      <c r="H832" s="206"/>
      <c r="I832" s="206"/>
      <c r="J832" s="206"/>
      <c r="K832" s="206"/>
      <c r="L832" s="206"/>
      <c r="M832" s="3"/>
      <c r="N832" s="206"/>
      <c r="O832" s="421"/>
      <c r="P832" s="421"/>
      <c r="Q832" s="206"/>
      <c r="R832" s="421"/>
      <c r="S832" s="421"/>
      <c r="T832" s="517"/>
    </row>
    <row r="833" spans="1:20" ht="21" customHeight="1">
      <c r="A833" s="516"/>
      <c r="B833" s="457"/>
      <c r="C833" s="453"/>
      <c r="D833" s="453"/>
      <c r="E833" s="206"/>
      <c r="F833" s="206"/>
      <c r="G833" s="206"/>
      <c r="H833" s="206"/>
      <c r="I833" s="206"/>
      <c r="J833" s="206"/>
      <c r="K833" s="206"/>
      <c r="L833" s="206"/>
      <c r="M833" s="3"/>
      <c r="N833" s="206"/>
      <c r="O833" s="421"/>
      <c r="P833" s="421"/>
      <c r="Q833" s="206"/>
      <c r="R833" s="421"/>
      <c r="S833" s="421"/>
      <c r="T833" s="517"/>
    </row>
    <row r="834" spans="1:20" ht="21" customHeight="1">
      <c r="A834" s="516"/>
      <c r="B834" s="457"/>
      <c r="C834" s="453"/>
      <c r="D834" s="453"/>
      <c r="E834" s="206"/>
      <c r="F834" s="206"/>
      <c r="G834" s="206"/>
      <c r="H834" s="206"/>
      <c r="I834" s="206"/>
      <c r="J834" s="206"/>
      <c r="K834" s="206"/>
      <c r="L834" s="206"/>
      <c r="M834" s="3"/>
      <c r="N834" s="206"/>
      <c r="O834" s="421"/>
      <c r="P834" s="421"/>
      <c r="Q834" s="206"/>
      <c r="R834" s="421"/>
      <c r="S834" s="421"/>
      <c r="T834" s="517"/>
    </row>
    <row r="835" spans="1:20" ht="21" customHeight="1">
      <c r="A835" s="516"/>
      <c r="B835" s="457"/>
      <c r="C835" s="453"/>
      <c r="D835" s="453"/>
      <c r="E835" s="206"/>
      <c r="F835" s="206"/>
      <c r="G835" s="206"/>
      <c r="H835" s="206"/>
      <c r="I835" s="206"/>
      <c r="J835" s="206"/>
      <c r="K835" s="206"/>
      <c r="L835" s="206"/>
      <c r="M835" s="3"/>
      <c r="N835" s="206"/>
      <c r="O835" s="421"/>
      <c r="P835" s="421"/>
      <c r="Q835" s="206"/>
      <c r="R835" s="421"/>
      <c r="S835" s="421"/>
      <c r="T835" s="517"/>
    </row>
    <row r="836" spans="1:20" ht="21" customHeight="1">
      <c r="A836" s="516"/>
      <c r="B836" s="458"/>
      <c r="C836" s="453"/>
      <c r="D836" s="453"/>
      <c r="E836" s="206"/>
      <c r="F836" s="206"/>
      <c r="G836" s="206"/>
      <c r="H836" s="206"/>
      <c r="I836" s="206"/>
      <c r="J836" s="206"/>
      <c r="K836" s="206"/>
      <c r="L836" s="206"/>
      <c r="M836" s="3"/>
      <c r="N836" s="206"/>
      <c r="O836" s="421"/>
      <c r="P836" s="421"/>
      <c r="Q836" s="206"/>
      <c r="R836" s="421"/>
      <c r="S836" s="421"/>
      <c r="T836" s="517"/>
    </row>
    <row r="837" spans="1:20" ht="21" customHeight="1">
      <c r="A837" s="516"/>
      <c r="B837" s="457"/>
      <c r="C837" s="453"/>
      <c r="D837" s="453"/>
      <c r="E837" s="206"/>
      <c r="F837" s="206"/>
      <c r="G837" s="206"/>
      <c r="H837" s="206"/>
      <c r="I837" s="206"/>
      <c r="J837" s="206"/>
      <c r="K837" s="206"/>
      <c r="L837" s="206"/>
      <c r="M837" s="3"/>
      <c r="N837" s="206"/>
      <c r="O837" s="421"/>
      <c r="P837" s="421"/>
      <c r="Q837" s="206"/>
      <c r="R837" s="421"/>
      <c r="S837" s="421"/>
      <c r="T837" s="517"/>
    </row>
    <row r="838" spans="1:20" ht="21" customHeight="1">
      <c r="A838" s="516"/>
      <c r="B838" s="458"/>
      <c r="C838" s="453"/>
      <c r="D838" s="453"/>
      <c r="E838" s="206"/>
      <c r="F838" s="206"/>
      <c r="G838" s="206"/>
      <c r="H838" s="206"/>
      <c r="I838" s="206"/>
      <c r="J838" s="206"/>
      <c r="K838" s="206"/>
      <c r="L838" s="206"/>
      <c r="M838" s="3"/>
      <c r="N838" s="206"/>
      <c r="O838" s="421"/>
      <c r="P838" s="421"/>
      <c r="Q838" s="206"/>
      <c r="R838" s="421"/>
      <c r="S838" s="421"/>
      <c r="T838" s="517"/>
    </row>
    <row r="839" spans="1:20" ht="21" customHeight="1">
      <c r="A839" s="516"/>
      <c r="B839" s="457"/>
      <c r="C839" s="453"/>
      <c r="D839" s="453"/>
      <c r="E839" s="206"/>
      <c r="F839" s="206"/>
      <c r="G839" s="206"/>
      <c r="H839" s="206"/>
      <c r="I839" s="206"/>
      <c r="J839" s="206"/>
      <c r="K839" s="206"/>
      <c r="L839" s="206"/>
      <c r="M839" s="3"/>
      <c r="N839" s="206"/>
      <c r="O839" s="421"/>
      <c r="P839" s="421"/>
      <c r="Q839" s="206"/>
      <c r="R839" s="421"/>
      <c r="S839" s="421"/>
      <c r="T839" s="517"/>
    </row>
    <row r="840" spans="1:20" ht="21" customHeight="1">
      <c r="A840" s="516"/>
      <c r="B840" s="457"/>
      <c r="C840" s="453"/>
      <c r="D840" s="453"/>
      <c r="E840" s="206"/>
      <c r="F840" s="206"/>
      <c r="G840" s="206"/>
      <c r="H840" s="206"/>
      <c r="I840" s="206"/>
      <c r="J840" s="206"/>
      <c r="K840" s="206"/>
      <c r="L840" s="206"/>
      <c r="M840" s="3"/>
      <c r="N840" s="206"/>
      <c r="O840" s="421"/>
      <c r="P840" s="421"/>
      <c r="Q840" s="206"/>
      <c r="R840" s="421"/>
      <c r="S840" s="421"/>
      <c r="T840" s="517"/>
    </row>
    <row r="841" spans="1:20" ht="21" customHeight="1">
      <c r="A841" s="516"/>
      <c r="B841" s="457"/>
      <c r="C841" s="453"/>
      <c r="D841" s="453"/>
      <c r="E841" s="206"/>
      <c r="F841" s="206"/>
      <c r="G841" s="206"/>
      <c r="H841" s="206"/>
      <c r="I841" s="206"/>
      <c r="J841" s="206"/>
      <c r="K841" s="206"/>
      <c r="L841" s="206"/>
      <c r="M841" s="3"/>
      <c r="N841" s="206"/>
      <c r="O841" s="421"/>
      <c r="P841" s="421"/>
      <c r="Q841" s="206"/>
      <c r="R841" s="421"/>
      <c r="S841" s="421"/>
      <c r="T841" s="517"/>
    </row>
    <row r="842" spans="1:20" ht="21" customHeight="1">
      <c r="A842" s="516"/>
      <c r="B842" s="457"/>
      <c r="C842" s="453"/>
      <c r="D842" s="453"/>
      <c r="E842" s="206"/>
      <c r="F842" s="206"/>
      <c r="G842" s="206"/>
      <c r="H842" s="206"/>
      <c r="I842" s="206"/>
      <c r="J842" s="206"/>
      <c r="K842" s="206"/>
      <c r="L842" s="206"/>
      <c r="M842" s="3"/>
      <c r="N842" s="206"/>
      <c r="O842" s="421"/>
      <c r="P842" s="421"/>
      <c r="Q842" s="206"/>
      <c r="R842" s="421"/>
      <c r="S842" s="421"/>
      <c r="T842" s="517"/>
    </row>
    <row r="843" spans="1:20" ht="21" customHeight="1">
      <c r="A843" s="516"/>
      <c r="B843" s="457"/>
      <c r="C843" s="453"/>
      <c r="D843" s="453"/>
      <c r="E843" s="206"/>
      <c r="F843" s="206"/>
      <c r="G843" s="206"/>
      <c r="H843" s="206"/>
      <c r="I843" s="206"/>
      <c r="J843" s="206"/>
      <c r="K843" s="206"/>
      <c r="L843" s="206"/>
      <c r="M843" s="3"/>
      <c r="N843" s="206"/>
      <c r="O843" s="421"/>
      <c r="P843" s="421"/>
      <c r="Q843" s="206"/>
      <c r="R843" s="421"/>
      <c r="S843" s="421"/>
      <c r="T843" s="517"/>
    </row>
    <row r="844" spans="1:20" ht="21" customHeight="1">
      <c r="A844" s="516"/>
      <c r="B844" s="457"/>
      <c r="C844" s="453"/>
      <c r="D844" s="453"/>
      <c r="E844" s="206"/>
      <c r="F844" s="206"/>
      <c r="G844" s="206"/>
      <c r="H844" s="206"/>
      <c r="I844" s="206"/>
      <c r="J844" s="206"/>
      <c r="K844" s="206"/>
      <c r="L844" s="206"/>
      <c r="M844" s="3"/>
      <c r="N844" s="206"/>
      <c r="O844" s="421"/>
      <c r="P844" s="421"/>
      <c r="Q844" s="206"/>
      <c r="R844" s="421"/>
      <c r="S844" s="421"/>
      <c r="T844" s="517"/>
    </row>
    <row r="845" spans="1:20" ht="21" customHeight="1">
      <c r="A845" s="516"/>
      <c r="B845" s="457"/>
      <c r="C845" s="453"/>
      <c r="D845" s="453"/>
      <c r="E845" s="206"/>
      <c r="F845" s="206"/>
      <c r="G845" s="206"/>
      <c r="H845" s="206"/>
      <c r="I845" s="206"/>
      <c r="J845" s="206"/>
      <c r="K845" s="206"/>
      <c r="L845" s="206"/>
      <c r="M845" s="3"/>
      <c r="N845" s="206"/>
      <c r="O845" s="421"/>
      <c r="P845" s="421"/>
      <c r="Q845" s="206"/>
      <c r="R845" s="421"/>
      <c r="S845" s="421"/>
      <c r="T845" s="517"/>
    </row>
    <row r="846" spans="1:20" ht="21" customHeight="1">
      <c r="A846" s="516"/>
      <c r="B846" s="458"/>
      <c r="C846" s="453"/>
      <c r="D846" s="453"/>
      <c r="E846" s="206"/>
      <c r="F846" s="206"/>
      <c r="G846" s="206"/>
      <c r="H846" s="206"/>
      <c r="I846" s="206"/>
      <c r="J846" s="206"/>
      <c r="K846" s="206"/>
      <c r="L846" s="206"/>
      <c r="M846" s="3"/>
      <c r="N846" s="206"/>
      <c r="O846" s="421"/>
      <c r="P846" s="421"/>
      <c r="Q846" s="206"/>
      <c r="R846" s="421"/>
      <c r="S846" s="421"/>
      <c r="T846" s="517"/>
    </row>
    <row r="847" spans="1:20" ht="21" customHeight="1">
      <c r="A847" s="516"/>
      <c r="B847" s="458"/>
      <c r="C847" s="453"/>
      <c r="D847" s="453"/>
      <c r="E847" s="206"/>
      <c r="F847" s="206"/>
      <c r="G847" s="206"/>
      <c r="H847" s="206"/>
      <c r="I847" s="206"/>
      <c r="J847" s="206"/>
      <c r="K847" s="206"/>
      <c r="L847" s="206"/>
      <c r="M847" s="3"/>
      <c r="N847" s="206"/>
      <c r="O847" s="421"/>
      <c r="P847" s="421"/>
      <c r="Q847" s="206"/>
      <c r="R847" s="421"/>
      <c r="S847" s="421"/>
      <c r="T847" s="517"/>
    </row>
    <row r="848" spans="1:20" ht="21" customHeight="1">
      <c r="A848" s="516"/>
      <c r="B848" s="458"/>
      <c r="C848" s="453"/>
      <c r="D848" s="453"/>
      <c r="E848" s="206"/>
      <c r="F848" s="206"/>
      <c r="G848" s="206"/>
      <c r="H848" s="206"/>
      <c r="I848" s="206"/>
      <c r="J848" s="206"/>
      <c r="K848" s="206"/>
      <c r="L848" s="206"/>
      <c r="M848" s="3"/>
      <c r="N848" s="206"/>
      <c r="O848" s="421"/>
      <c r="P848" s="421"/>
      <c r="Q848" s="206"/>
      <c r="R848" s="421"/>
      <c r="S848" s="421"/>
      <c r="T848" s="517"/>
    </row>
    <row r="849" spans="1:20" ht="21" customHeight="1">
      <c r="A849" s="516"/>
      <c r="B849" s="458"/>
      <c r="C849" s="453"/>
      <c r="D849" s="453"/>
      <c r="E849" s="206"/>
      <c r="F849" s="206"/>
      <c r="G849" s="206"/>
      <c r="H849" s="206"/>
      <c r="I849" s="206"/>
      <c r="J849" s="206"/>
      <c r="K849" s="206"/>
      <c r="L849" s="206"/>
      <c r="M849" s="3"/>
      <c r="N849" s="206"/>
      <c r="O849" s="421"/>
      <c r="P849" s="421"/>
      <c r="Q849" s="206"/>
      <c r="R849" s="421"/>
      <c r="S849" s="421"/>
      <c r="T849" s="517"/>
    </row>
    <row r="850" spans="1:20" ht="21" customHeight="1">
      <c r="A850" s="516"/>
      <c r="B850" s="458"/>
      <c r="C850" s="453"/>
      <c r="D850" s="453"/>
      <c r="E850" s="206"/>
      <c r="F850" s="206"/>
      <c r="G850" s="206"/>
      <c r="H850" s="206"/>
      <c r="I850" s="206"/>
      <c r="J850" s="206"/>
      <c r="K850" s="206"/>
      <c r="L850" s="206"/>
      <c r="M850" s="3"/>
      <c r="N850" s="206"/>
      <c r="O850" s="421"/>
      <c r="P850" s="421"/>
      <c r="Q850" s="206"/>
      <c r="R850" s="421"/>
      <c r="S850" s="421"/>
      <c r="T850" s="517"/>
    </row>
    <row r="851" spans="1:20" ht="21" customHeight="1">
      <c r="A851" s="516"/>
      <c r="B851" s="458"/>
      <c r="C851" s="453"/>
      <c r="D851" s="453"/>
      <c r="E851" s="206"/>
      <c r="F851" s="206"/>
      <c r="G851" s="206"/>
      <c r="H851" s="206"/>
      <c r="I851" s="206"/>
      <c r="J851" s="206"/>
      <c r="K851" s="206"/>
      <c r="L851" s="206"/>
      <c r="M851" s="3"/>
      <c r="N851" s="206"/>
      <c r="O851" s="421"/>
      <c r="P851" s="421"/>
      <c r="Q851" s="206"/>
      <c r="R851" s="421"/>
      <c r="S851" s="421"/>
      <c r="T851" s="517"/>
    </row>
    <row r="852" spans="1:20" ht="21" customHeight="1">
      <c r="A852" s="516"/>
      <c r="B852" s="458"/>
      <c r="C852" s="453"/>
      <c r="D852" s="453"/>
      <c r="E852" s="206"/>
      <c r="F852" s="206"/>
      <c r="G852" s="206"/>
      <c r="H852" s="206"/>
      <c r="I852" s="206"/>
      <c r="J852" s="206"/>
      <c r="K852" s="206"/>
      <c r="L852" s="206"/>
      <c r="M852" s="3"/>
      <c r="N852" s="206"/>
      <c r="O852" s="421"/>
      <c r="P852" s="421"/>
      <c r="Q852" s="206"/>
      <c r="R852" s="421"/>
      <c r="S852" s="421"/>
      <c r="T852" s="517"/>
    </row>
    <row r="853" spans="1:20" ht="21" customHeight="1">
      <c r="A853" s="516"/>
      <c r="B853" s="458"/>
      <c r="C853" s="453"/>
      <c r="D853" s="453"/>
      <c r="E853" s="206"/>
      <c r="F853" s="206"/>
      <c r="G853" s="206"/>
      <c r="H853" s="206"/>
      <c r="I853" s="206"/>
      <c r="J853" s="206"/>
      <c r="K853" s="206"/>
      <c r="L853" s="206"/>
      <c r="M853" s="3"/>
      <c r="N853" s="206"/>
      <c r="O853" s="421"/>
      <c r="P853" s="421"/>
      <c r="Q853" s="206"/>
      <c r="R853" s="421"/>
      <c r="S853" s="421"/>
      <c r="T853" s="517"/>
    </row>
    <row r="854" spans="1:20" ht="21" customHeight="1">
      <c r="A854" s="516"/>
      <c r="B854" s="457"/>
      <c r="C854" s="453"/>
      <c r="D854" s="453"/>
      <c r="E854" s="206"/>
      <c r="F854" s="206"/>
      <c r="G854" s="206"/>
      <c r="H854" s="206"/>
      <c r="I854" s="206"/>
      <c r="J854" s="206"/>
      <c r="K854" s="206"/>
      <c r="L854" s="206"/>
      <c r="M854" s="3"/>
      <c r="N854" s="206"/>
      <c r="O854" s="421"/>
      <c r="P854" s="421"/>
      <c r="Q854" s="206"/>
      <c r="R854" s="421"/>
      <c r="S854" s="421"/>
      <c r="T854" s="517"/>
    </row>
    <row r="855" spans="1:20" ht="21" customHeight="1">
      <c r="A855" s="516"/>
      <c r="B855" s="457"/>
      <c r="C855" s="453"/>
      <c r="D855" s="453"/>
      <c r="E855" s="206"/>
      <c r="F855" s="206"/>
      <c r="G855" s="206"/>
      <c r="H855" s="206"/>
      <c r="I855" s="206"/>
      <c r="J855" s="206"/>
      <c r="K855" s="206"/>
      <c r="L855" s="206"/>
      <c r="M855" s="3"/>
      <c r="N855" s="206"/>
      <c r="O855" s="421"/>
      <c r="P855" s="421"/>
      <c r="Q855" s="206"/>
      <c r="R855" s="421"/>
      <c r="S855" s="421"/>
      <c r="T855" s="517"/>
    </row>
    <row r="856" spans="1:20" ht="21" customHeight="1">
      <c r="A856" s="516"/>
      <c r="B856" s="457"/>
      <c r="C856" s="453"/>
      <c r="D856" s="453"/>
      <c r="E856" s="206"/>
      <c r="F856" s="206"/>
      <c r="G856" s="206"/>
      <c r="H856" s="206"/>
      <c r="I856" s="206"/>
      <c r="J856" s="206"/>
      <c r="K856" s="206"/>
      <c r="L856" s="206"/>
      <c r="M856" s="3"/>
      <c r="N856" s="206"/>
      <c r="O856" s="421"/>
      <c r="P856" s="421"/>
      <c r="Q856" s="206"/>
      <c r="R856" s="421"/>
      <c r="S856" s="421"/>
      <c r="T856" s="517"/>
    </row>
    <row r="857" spans="1:20" ht="21" customHeight="1">
      <c r="A857" s="516"/>
      <c r="B857" s="457"/>
      <c r="C857" s="453"/>
      <c r="D857" s="453"/>
      <c r="E857" s="206"/>
      <c r="F857" s="206"/>
      <c r="G857" s="206"/>
      <c r="H857" s="206"/>
      <c r="I857" s="206"/>
      <c r="J857" s="206"/>
      <c r="K857" s="206"/>
      <c r="L857" s="206"/>
      <c r="M857" s="3"/>
      <c r="N857" s="206"/>
      <c r="O857" s="421"/>
      <c r="P857" s="421"/>
      <c r="Q857" s="206"/>
      <c r="R857" s="421"/>
      <c r="S857" s="421"/>
      <c r="T857" s="517"/>
    </row>
    <row r="858" spans="1:20" ht="21" customHeight="1">
      <c r="A858" s="516"/>
      <c r="B858" s="457"/>
      <c r="C858" s="453"/>
      <c r="D858" s="453"/>
      <c r="E858" s="206"/>
      <c r="F858" s="206"/>
      <c r="G858" s="206"/>
      <c r="H858" s="206"/>
      <c r="I858" s="206"/>
      <c r="J858" s="206"/>
      <c r="K858" s="206"/>
      <c r="L858" s="206"/>
      <c r="M858" s="3"/>
      <c r="N858" s="206"/>
      <c r="O858" s="421"/>
      <c r="P858" s="421"/>
      <c r="Q858" s="206"/>
      <c r="R858" s="421"/>
      <c r="S858" s="421"/>
      <c r="T858" s="517"/>
    </row>
    <row r="859" spans="1:20" ht="21" customHeight="1">
      <c r="A859" s="516"/>
      <c r="B859" s="457"/>
      <c r="C859" s="453"/>
      <c r="D859" s="453"/>
      <c r="E859" s="206"/>
      <c r="F859" s="206"/>
      <c r="G859" s="206"/>
      <c r="H859" s="206"/>
      <c r="I859" s="206"/>
      <c r="J859" s="206"/>
      <c r="K859" s="206"/>
      <c r="L859" s="206"/>
      <c r="M859" s="3"/>
      <c r="N859" s="206"/>
      <c r="O859" s="421"/>
      <c r="P859" s="421"/>
      <c r="Q859" s="206"/>
      <c r="R859" s="421"/>
      <c r="S859" s="421"/>
      <c r="T859" s="517"/>
    </row>
    <row r="860" spans="1:20" ht="21" customHeight="1">
      <c r="A860" s="516"/>
      <c r="B860" s="457"/>
      <c r="C860" s="453"/>
      <c r="D860" s="453"/>
      <c r="E860" s="206"/>
      <c r="F860" s="206"/>
      <c r="G860" s="206"/>
      <c r="H860" s="206"/>
      <c r="I860" s="206"/>
      <c r="J860" s="206"/>
      <c r="K860" s="206"/>
      <c r="L860" s="206"/>
      <c r="M860" s="3"/>
      <c r="N860" s="206"/>
      <c r="O860" s="421"/>
      <c r="P860" s="421"/>
      <c r="Q860" s="206"/>
      <c r="R860" s="421"/>
      <c r="S860" s="421"/>
      <c r="T860" s="517"/>
    </row>
    <row r="861" spans="1:20" ht="21" customHeight="1">
      <c r="A861" s="516"/>
      <c r="B861" s="457"/>
      <c r="C861" s="453"/>
      <c r="D861" s="453"/>
      <c r="E861" s="206"/>
      <c r="F861" s="206"/>
      <c r="G861" s="206"/>
      <c r="H861" s="206"/>
      <c r="I861" s="206"/>
      <c r="J861" s="206"/>
      <c r="K861" s="206"/>
      <c r="L861" s="206"/>
      <c r="M861" s="3"/>
      <c r="N861" s="206"/>
      <c r="O861" s="421"/>
      <c r="P861" s="421"/>
      <c r="Q861" s="206"/>
      <c r="R861" s="421"/>
      <c r="S861" s="421"/>
      <c r="T861" s="517"/>
    </row>
    <row r="862" spans="1:20" ht="21" customHeight="1">
      <c r="A862" s="516"/>
      <c r="B862" s="457"/>
      <c r="C862" s="453"/>
      <c r="D862" s="453"/>
      <c r="E862" s="206"/>
      <c r="F862" s="206"/>
      <c r="G862" s="206"/>
      <c r="H862" s="206"/>
      <c r="I862" s="206"/>
      <c r="J862" s="206"/>
      <c r="K862" s="206"/>
      <c r="L862" s="206"/>
      <c r="M862" s="3"/>
      <c r="N862" s="206"/>
      <c r="O862" s="421"/>
      <c r="P862" s="421"/>
      <c r="Q862" s="206"/>
      <c r="R862" s="421"/>
      <c r="S862" s="421"/>
      <c r="T862" s="517"/>
    </row>
    <row r="863" spans="1:20" ht="21" customHeight="1">
      <c r="A863" s="516"/>
      <c r="B863" s="457"/>
      <c r="C863" s="453"/>
      <c r="D863" s="453"/>
      <c r="E863" s="206"/>
      <c r="F863" s="206"/>
      <c r="G863" s="206"/>
      <c r="H863" s="206"/>
      <c r="I863" s="206"/>
      <c r="J863" s="206"/>
      <c r="K863" s="206"/>
      <c r="L863" s="206"/>
      <c r="M863" s="3"/>
      <c r="N863" s="206"/>
      <c r="O863" s="421"/>
      <c r="P863" s="421"/>
      <c r="Q863" s="206"/>
      <c r="R863" s="421"/>
      <c r="S863" s="421"/>
      <c r="T863" s="517"/>
    </row>
    <row r="864" spans="1:20" ht="21" customHeight="1">
      <c r="A864" s="516"/>
      <c r="B864" s="457"/>
      <c r="C864" s="453"/>
      <c r="D864" s="453"/>
      <c r="E864" s="206"/>
      <c r="F864" s="206"/>
      <c r="G864" s="206"/>
      <c r="H864" s="206"/>
      <c r="I864" s="206"/>
      <c r="J864" s="206"/>
      <c r="K864" s="206"/>
      <c r="L864" s="206"/>
      <c r="M864" s="3"/>
      <c r="N864" s="206"/>
      <c r="O864" s="421"/>
      <c r="P864" s="421"/>
      <c r="Q864" s="206"/>
      <c r="R864" s="421"/>
      <c r="S864" s="421"/>
      <c r="T864" s="517"/>
    </row>
    <row r="865" spans="1:20" ht="21" customHeight="1">
      <c r="A865" s="516"/>
      <c r="B865" s="458"/>
      <c r="C865" s="453"/>
      <c r="D865" s="453"/>
      <c r="E865" s="206"/>
      <c r="F865" s="206"/>
      <c r="G865" s="206"/>
      <c r="H865" s="206"/>
      <c r="I865" s="206"/>
      <c r="J865" s="206"/>
      <c r="K865" s="206"/>
      <c r="L865" s="206"/>
      <c r="M865" s="3"/>
      <c r="N865" s="206"/>
      <c r="O865" s="421"/>
      <c r="P865" s="421"/>
      <c r="Q865" s="206"/>
      <c r="R865" s="421"/>
      <c r="S865" s="421"/>
      <c r="T865" s="517"/>
    </row>
    <row r="866" spans="1:20" ht="21" customHeight="1">
      <c r="A866" s="516"/>
      <c r="B866" s="458"/>
      <c r="C866" s="453"/>
      <c r="D866" s="453"/>
      <c r="E866" s="206"/>
      <c r="F866" s="206"/>
      <c r="G866" s="206"/>
      <c r="H866" s="206"/>
      <c r="I866" s="206"/>
      <c r="J866" s="206"/>
      <c r="K866" s="206"/>
      <c r="L866" s="206"/>
      <c r="M866" s="3"/>
      <c r="N866" s="206"/>
      <c r="O866" s="421"/>
      <c r="P866" s="421"/>
      <c r="Q866" s="206"/>
      <c r="R866" s="421"/>
      <c r="S866" s="421"/>
      <c r="T866" s="517"/>
    </row>
    <row r="867" spans="1:20" ht="21" customHeight="1">
      <c r="A867" s="516"/>
      <c r="B867" s="457"/>
      <c r="C867" s="453"/>
      <c r="D867" s="453"/>
      <c r="E867" s="206"/>
      <c r="F867" s="206"/>
      <c r="G867" s="206"/>
      <c r="H867" s="206"/>
      <c r="I867" s="206"/>
      <c r="J867" s="206"/>
      <c r="K867" s="206"/>
      <c r="L867" s="206"/>
      <c r="M867" s="3"/>
      <c r="N867" s="206"/>
      <c r="O867" s="421"/>
      <c r="P867" s="421"/>
      <c r="Q867" s="206"/>
      <c r="R867" s="421"/>
      <c r="S867" s="421"/>
      <c r="T867" s="517"/>
    </row>
    <row r="868" spans="1:20" ht="21" customHeight="1">
      <c r="A868" s="516"/>
      <c r="B868" s="458"/>
      <c r="C868" s="453"/>
      <c r="D868" s="453"/>
      <c r="E868" s="206"/>
      <c r="F868" s="206"/>
      <c r="G868" s="206"/>
      <c r="H868" s="206"/>
      <c r="I868" s="206"/>
      <c r="J868" s="206"/>
      <c r="K868" s="206"/>
      <c r="L868" s="206"/>
      <c r="M868" s="3"/>
      <c r="N868" s="206"/>
      <c r="O868" s="421"/>
      <c r="P868" s="421"/>
      <c r="Q868" s="206"/>
      <c r="R868" s="421"/>
      <c r="S868" s="421"/>
      <c r="T868" s="517"/>
    </row>
    <row r="869" spans="1:20" ht="21" customHeight="1">
      <c r="A869" s="516"/>
      <c r="B869" s="458"/>
      <c r="C869" s="453"/>
      <c r="D869" s="453"/>
      <c r="E869" s="206"/>
      <c r="F869" s="206"/>
      <c r="G869" s="206"/>
      <c r="H869" s="206"/>
      <c r="I869" s="206"/>
      <c r="J869" s="206"/>
      <c r="K869" s="206"/>
      <c r="L869" s="206"/>
      <c r="M869" s="3"/>
      <c r="N869" s="206"/>
      <c r="O869" s="421"/>
      <c r="P869" s="421"/>
      <c r="Q869" s="206"/>
      <c r="R869" s="421"/>
      <c r="S869" s="421"/>
      <c r="T869" s="517"/>
    </row>
    <row r="870" spans="1:20" ht="21" customHeight="1">
      <c r="A870" s="516"/>
      <c r="B870" s="458"/>
      <c r="C870" s="453"/>
      <c r="D870" s="453"/>
      <c r="E870" s="206"/>
      <c r="F870" s="206"/>
      <c r="G870" s="206"/>
      <c r="H870" s="206"/>
      <c r="I870" s="206"/>
      <c r="J870" s="206"/>
      <c r="K870" s="206"/>
      <c r="L870" s="206"/>
      <c r="M870" s="3"/>
      <c r="N870" s="206"/>
      <c r="O870" s="421"/>
      <c r="P870" s="421"/>
      <c r="Q870" s="206"/>
      <c r="R870" s="421"/>
      <c r="S870" s="421"/>
      <c r="T870" s="517"/>
    </row>
    <row r="871" spans="1:20" ht="21" customHeight="1">
      <c r="A871" s="516"/>
      <c r="B871" s="457"/>
      <c r="C871" s="453"/>
      <c r="D871" s="453"/>
      <c r="E871" s="206"/>
      <c r="F871" s="206"/>
      <c r="G871" s="206"/>
      <c r="H871" s="206"/>
      <c r="I871" s="206"/>
      <c r="J871" s="206"/>
      <c r="K871" s="206"/>
      <c r="L871" s="206"/>
      <c r="M871" s="3"/>
      <c r="N871" s="206"/>
      <c r="O871" s="421"/>
      <c r="P871" s="421"/>
      <c r="Q871" s="206"/>
      <c r="R871" s="421"/>
      <c r="S871" s="421"/>
      <c r="T871" s="517"/>
    </row>
    <row r="872" spans="1:20" ht="21" customHeight="1">
      <c r="A872" s="516"/>
      <c r="B872" s="457"/>
      <c r="C872" s="453"/>
      <c r="D872" s="453"/>
      <c r="E872" s="206"/>
      <c r="F872" s="206"/>
      <c r="G872" s="206"/>
      <c r="H872" s="206"/>
      <c r="I872" s="206"/>
      <c r="J872" s="206"/>
      <c r="K872" s="206"/>
      <c r="L872" s="206"/>
      <c r="M872" s="3"/>
      <c r="N872" s="206"/>
      <c r="O872" s="421"/>
      <c r="P872" s="421"/>
      <c r="Q872" s="206"/>
      <c r="R872" s="421"/>
      <c r="S872" s="421"/>
      <c r="T872" s="517"/>
    </row>
    <row r="873" spans="1:20" ht="21" customHeight="1">
      <c r="A873" s="516"/>
      <c r="B873" s="457"/>
      <c r="C873" s="453"/>
      <c r="D873" s="453"/>
      <c r="E873" s="206"/>
      <c r="F873" s="206"/>
      <c r="G873" s="206"/>
      <c r="H873" s="206"/>
      <c r="I873" s="206"/>
      <c r="J873" s="206"/>
      <c r="K873" s="206"/>
      <c r="L873" s="206"/>
      <c r="M873" s="3"/>
      <c r="N873" s="206"/>
      <c r="O873" s="421"/>
      <c r="P873" s="421"/>
      <c r="Q873" s="206"/>
      <c r="R873" s="421"/>
      <c r="S873" s="421"/>
      <c r="T873" s="517"/>
    </row>
    <row r="874" spans="1:20" ht="21" customHeight="1">
      <c r="A874" s="516"/>
      <c r="B874" s="457"/>
      <c r="C874" s="453"/>
      <c r="D874" s="453"/>
      <c r="E874" s="206"/>
      <c r="F874" s="206"/>
      <c r="G874" s="206"/>
      <c r="H874" s="206"/>
      <c r="I874" s="206"/>
      <c r="J874" s="206"/>
      <c r="K874" s="206"/>
      <c r="L874" s="206"/>
      <c r="M874" s="3"/>
      <c r="N874" s="206"/>
      <c r="O874" s="421"/>
      <c r="P874" s="421"/>
      <c r="Q874" s="206"/>
      <c r="R874" s="421"/>
      <c r="S874" s="421"/>
      <c r="T874" s="517"/>
    </row>
    <row r="875" spans="1:20" ht="21" customHeight="1">
      <c r="A875" s="516"/>
      <c r="B875" s="458"/>
      <c r="C875" s="453"/>
      <c r="D875" s="453"/>
      <c r="E875" s="206"/>
      <c r="F875" s="206"/>
      <c r="G875" s="206"/>
      <c r="H875" s="206"/>
      <c r="I875" s="206"/>
      <c r="J875" s="206"/>
      <c r="K875" s="206"/>
      <c r="L875" s="206"/>
      <c r="M875" s="3"/>
      <c r="N875" s="206"/>
      <c r="O875" s="421"/>
      <c r="P875" s="421"/>
      <c r="Q875" s="206"/>
      <c r="R875" s="421"/>
      <c r="S875" s="421"/>
      <c r="T875" s="517"/>
    </row>
    <row r="876" spans="1:20" ht="21" customHeight="1">
      <c r="A876" s="516"/>
      <c r="B876" s="457"/>
      <c r="C876" s="453"/>
      <c r="D876" s="453"/>
      <c r="E876" s="206"/>
      <c r="F876" s="206"/>
      <c r="G876" s="206"/>
      <c r="H876" s="206"/>
      <c r="I876" s="206"/>
      <c r="J876" s="206"/>
      <c r="K876" s="206"/>
      <c r="L876" s="206"/>
      <c r="M876" s="3"/>
      <c r="N876" s="206"/>
      <c r="O876" s="421"/>
      <c r="P876" s="421"/>
      <c r="Q876" s="206"/>
      <c r="R876" s="421"/>
      <c r="S876" s="421"/>
      <c r="T876" s="517"/>
    </row>
    <row r="877" spans="1:20" ht="21" customHeight="1">
      <c r="A877" s="516"/>
      <c r="B877" s="458"/>
      <c r="C877" s="453"/>
      <c r="D877" s="453"/>
      <c r="E877" s="206"/>
      <c r="F877" s="206"/>
      <c r="G877" s="206"/>
      <c r="H877" s="206"/>
      <c r="I877" s="206"/>
      <c r="J877" s="206"/>
      <c r="K877" s="206"/>
      <c r="L877" s="206"/>
      <c r="M877" s="3"/>
      <c r="N877" s="206"/>
      <c r="O877" s="421"/>
      <c r="P877" s="421"/>
      <c r="Q877" s="206"/>
      <c r="R877" s="421"/>
      <c r="S877" s="421"/>
      <c r="T877" s="517"/>
    </row>
    <row r="878" spans="1:20" ht="21" customHeight="1">
      <c r="A878" s="516"/>
      <c r="B878" s="458"/>
      <c r="C878" s="453"/>
      <c r="D878" s="453"/>
      <c r="E878" s="206"/>
      <c r="F878" s="206"/>
      <c r="G878" s="206"/>
      <c r="H878" s="206"/>
      <c r="I878" s="206"/>
      <c r="J878" s="206"/>
      <c r="K878" s="206"/>
      <c r="L878" s="206"/>
      <c r="M878" s="3"/>
      <c r="N878" s="206"/>
      <c r="O878" s="421"/>
      <c r="P878" s="421"/>
      <c r="Q878" s="206"/>
      <c r="R878" s="421"/>
      <c r="S878" s="421"/>
      <c r="T878" s="517"/>
    </row>
    <row r="879" spans="1:20" ht="21" customHeight="1">
      <c r="A879" s="516"/>
      <c r="B879" s="458"/>
      <c r="C879" s="453"/>
      <c r="D879" s="453"/>
      <c r="E879" s="206"/>
      <c r="F879" s="206"/>
      <c r="G879" s="206"/>
      <c r="H879" s="206"/>
      <c r="I879" s="206"/>
      <c r="J879" s="206"/>
      <c r="K879" s="206"/>
      <c r="L879" s="206"/>
      <c r="M879" s="3"/>
      <c r="N879" s="206"/>
      <c r="O879" s="421"/>
      <c r="P879" s="421"/>
      <c r="Q879" s="206"/>
      <c r="R879" s="421"/>
      <c r="S879" s="421"/>
      <c r="T879" s="517"/>
    </row>
    <row r="880" spans="1:20" ht="21" customHeight="1">
      <c r="A880" s="516"/>
      <c r="B880" s="457"/>
      <c r="C880" s="453"/>
      <c r="D880" s="453"/>
      <c r="E880" s="206"/>
      <c r="F880" s="206"/>
      <c r="G880" s="206"/>
      <c r="H880" s="206"/>
      <c r="I880" s="206"/>
      <c r="J880" s="206"/>
      <c r="K880" s="206"/>
      <c r="L880" s="206"/>
      <c r="M880" s="3"/>
      <c r="N880" s="206"/>
      <c r="O880" s="421"/>
      <c r="P880" s="421"/>
      <c r="Q880" s="206"/>
      <c r="R880" s="421"/>
      <c r="S880" s="421"/>
      <c r="T880" s="517"/>
    </row>
    <row r="881" spans="1:20" ht="21" customHeight="1">
      <c r="A881" s="516"/>
      <c r="B881" s="458"/>
      <c r="C881" s="453"/>
      <c r="D881" s="453"/>
      <c r="E881" s="206"/>
      <c r="F881" s="206"/>
      <c r="G881" s="206"/>
      <c r="H881" s="206"/>
      <c r="I881" s="206"/>
      <c r="J881" s="206"/>
      <c r="K881" s="206"/>
      <c r="L881" s="206"/>
      <c r="M881" s="3"/>
      <c r="N881" s="206"/>
      <c r="O881" s="421"/>
      <c r="P881" s="421"/>
      <c r="Q881" s="206"/>
      <c r="R881" s="421"/>
      <c r="S881" s="421"/>
      <c r="T881" s="517"/>
    </row>
    <row r="882" spans="1:20" ht="21" customHeight="1">
      <c r="A882" s="516"/>
      <c r="B882" s="457"/>
      <c r="C882" s="453"/>
      <c r="D882" s="453"/>
      <c r="E882" s="206"/>
      <c r="F882" s="206"/>
      <c r="G882" s="206"/>
      <c r="H882" s="206"/>
      <c r="I882" s="206"/>
      <c r="J882" s="206"/>
      <c r="K882" s="206"/>
      <c r="L882" s="206"/>
      <c r="M882" s="3"/>
      <c r="N882" s="206"/>
      <c r="O882" s="421"/>
      <c r="P882" s="421"/>
      <c r="Q882" s="206"/>
      <c r="R882" s="421"/>
      <c r="S882" s="421"/>
      <c r="T882" s="517"/>
    </row>
    <row r="883" spans="1:20" ht="21" customHeight="1">
      <c r="A883" s="516"/>
      <c r="B883" s="458"/>
      <c r="C883" s="453"/>
      <c r="D883" s="453"/>
      <c r="E883" s="206"/>
      <c r="F883" s="206"/>
      <c r="G883" s="206"/>
      <c r="H883" s="206"/>
      <c r="I883" s="206"/>
      <c r="J883" s="206"/>
      <c r="K883" s="206"/>
      <c r="L883" s="206"/>
      <c r="M883" s="3"/>
      <c r="N883" s="206"/>
      <c r="O883" s="421"/>
      <c r="P883" s="421"/>
      <c r="Q883" s="206"/>
      <c r="R883" s="421"/>
      <c r="S883" s="421"/>
      <c r="T883" s="517"/>
    </row>
    <row r="884" spans="1:20" ht="21" customHeight="1">
      <c r="A884" s="516"/>
      <c r="B884" s="457"/>
      <c r="C884" s="453"/>
      <c r="D884" s="453"/>
      <c r="E884" s="206"/>
      <c r="F884" s="206"/>
      <c r="G884" s="206"/>
      <c r="H884" s="206"/>
      <c r="I884" s="206"/>
      <c r="J884" s="206"/>
      <c r="K884" s="206"/>
      <c r="L884" s="206"/>
      <c r="M884" s="3"/>
      <c r="N884" s="206"/>
      <c r="O884" s="421"/>
      <c r="P884" s="421"/>
      <c r="Q884" s="206"/>
      <c r="R884" s="421"/>
      <c r="S884" s="421"/>
      <c r="T884" s="517"/>
    </row>
    <row r="885" spans="1:20" ht="21" customHeight="1">
      <c r="A885" s="516"/>
      <c r="B885" s="458"/>
      <c r="C885" s="453"/>
      <c r="D885" s="453"/>
      <c r="E885" s="206"/>
      <c r="F885" s="206"/>
      <c r="G885" s="206"/>
      <c r="H885" s="206"/>
      <c r="I885" s="206"/>
      <c r="J885" s="206"/>
      <c r="K885" s="206"/>
      <c r="L885" s="206"/>
      <c r="M885" s="3"/>
      <c r="N885" s="206"/>
      <c r="O885" s="421"/>
      <c r="P885" s="421"/>
      <c r="Q885" s="206"/>
      <c r="R885" s="421"/>
      <c r="S885" s="421"/>
      <c r="T885" s="517"/>
    </row>
    <row r="886" spans="1:20" ht="21" customHeight="1">
      <c r="A886" s="516"/>
      <c r="B886" s="458"/>
      <c r="C886" s="453"/>
      <c r="D886" s="453"/>
      <c r="E886" s="206"/>
      <c r="F886" s="206"/>
      <c r="G886" s="206"/>
      <c r="H886" s="206"/>
      <c r="I886" s="206"/>
      <c r="J886" s="206"/>
      <c r="K886" s="206"/>
      <c r="L886" s="206"/>
      <c r="M886" s="3"/>
      <c r="N886" s="206"/>
      <c r="O886" s="421"/>
      <c r="P886" s="421"/>
      <c r="Q886" s="206"/>
      <c r="R886" s="421"/>
      <c r="S886" s="421"/>
      <c r="T886" s="517"/>
    </row>
    <row r="887" spans="1:20" ht="21" customHeight="1">
      <c r="A887" s="516"/>
      <c r="B887" s="457"/>
      <c r="C887" s="453"/>
      <c r="D887" s="453"/>
      <c r="E887" s="206"/>
      <c r="F887" s="206"/>
      <c r="G887" s="206"/>
      <c r="H887" s="206"/>
      <c r="I887" s="206"/>
      <c r="J887" s="206"/>
      <c r="K887" s="206"/>
      <c r="L887" s="206"/>
      <c r="M887" s="3"/>
      <c r="N887" s="206"/>
      <c r="O887" s="421"/>
      <c r="P887" s="421"/>
      <c r="Q887" s="206"/>
      <c r="R887" s="421"/>
      <c r="S887" s="421"/>
      <c r="T887" s="517"/>
    </row>
    <row r="888" spans="1:20" ht="21" customHeight="1">
      <c r="A888" s="516"/>
      <c r="B888" s="458"/>
      <c r="C888" s="453"/>
      <c r="D888" s="453"/>
      <c r="E888" s="206"/>
      <c r="F888" s="206"/>
      <c r="G888" s="206"/>
      <c r="H888" s="206"/>
      <c r="I888" s="206"/>
      <c r="J888" s="206"/>
      <c r="K888" s="206"/>
      <c r="L888" s="206"/>
      <c r="M888" s="3"/>
      <c r="N888" s="206"/>
      <c r="O888" s="421"/>
      <c r="P888" s="421"/>
      <c r="Q888" s="206"/>
      <c r="R888" s="421"/>
      <c r="S888" s="421"/>
      <c r="T888" s="517"/>
    </row>
    <row r="889" spans="1:20" ht="21" customHeight="1">
      <c r="A889" s="516"/>
      <c r="B889" s="458"/>
      <c r="C889" s="453"/>
      <c r="D889" s="453"/>
      <c r="E889" s="206"/>
      <c r="F889" s="206"/>
      <c r="G889" s="206"/>
      <c r="H889" s="206"/>
      <c r="I889" s="206"/>
      <c r="J889" s="206"/>
      <c r="K889" s="206"/>
      <c r="L889" s="206"/>
      <c r="M889" s="3"/>
      <c r="N889" s="206"/>
      <c r="O889" s="421"/>
      <c r="P889" s="421"/>
      <c r="Q889" s="206"/>
      <c r="R889" s="421"/>
      <c r="S889" s="421"/>
      <c r="T889" s="517"/>
    </row>
    <row r="890" spans="1:20" ht="21" customHeight="1">
      <c r="A890" s="516"/>
      <c r="B890" s="457"/>
      <c r="C890" s="453"/>
      <c r="D890" s="453"/>
      <c r="E890" s="206"/>
      <c r="F890" s="206"/>
      <c r="G890" s="206"/>
      <c r="H890" s="206"/>
      <c r="I890" s="206"/>
      <c r="J890" s="206"/>
      <c r="K890" s="206"/>
      <c r="L890" s="206"/>
      <c r="M890" s="3"/>
      <c r="N890" s="206"/>
      <c r="O890" s="421"/>
      <c r="P890" s="421"/>
      <c r="Q890" s="206"/>
      <c r="R890" s="421"/>
      <c r="S890" s="421"/>
      <c r="T890" s="517"/>
    </row>
    <row r="891" spans="1:20" ht="21" customHeight="1">
      <c r="A891" s="516"/>
      <c r="B891" s="458"/>
      <c r="C891" s="453"/>
      <c r="D891" s="453"/>
      <c r="E891" s="206"/>
      <c r="F891" s="206"/>
      <c r="G891" s="206"/>
      <c r="H891" s="206"/>
      <c r="I891" s="206"/>
      <c r="J891" s="206"/>
      <c r="K891" s="206"/>
      <c r="L891" s="206"/>
      <c r="M891" s="3"/>
      <c r="N891" s="206"/>
      <c r="O891" s="421"/>
      <c r="P891" s="421"/>
      <c r="Q891" s="206"/>
      <c r="R891" s="421"/>
      <c r="S891" s="421"/>
      <c r="T891" s="517"/>
    </row>
    <row r="892" spans="1:20" ht="21" customHeight="1">
      <c r="A892" s="516"/>
      <c r="B892" s="457"/>
      <c r="C892" s="453"/>
      <c r="D892" s="453"/>
      <c r="E892" s="206"/>
      <c r="F892" s="206"/>
      <c r="G892" s="206"/>
      <c r="H892" s="206"/>
      <c r="I892" s="206"/>
      <c r="J892" s="206"/>
      <c r="K892" s="206"/>
      <c r="L892" s="206"/>
      <c r="M892" s="3"/>
      <c r="N892" s="206"/>
      <c r="O892" s="421"/>
      <c r="P892" s="421"/>
      <c r="Q892" s="206"/>
      <c r="R892" s="421"/>
      <c r="S892" s="421"/>
      <c r="T892" s="517"/>
    </row>
    <row r="893" spans="1:20" ht="21" customHeight="1">
      <c r="A893" s="516"/>
      <c r="B893" s="458"/>
      <c r="C893" s="453"/>
      <c r="D893" s="453"/>
      <c r="E893" s="206"/>
      <c r="F893" s="206"/>
      <c r="G893" s="206"/>
      <c r="H893" s="206"/>
      <c r="I893" s="206"/>
      <c r="J893" s="206"/>
      <c r="K893" s="206"/>
      <c r="L893" s="206"/>
      <c r="M893" s="3"/>
      <c r="N893" s="206"/>
      <c r="O893" s="421"/>
      <c r="P893" s="421"/>
      <c r="Q893" s="206"/>
      <c r="R893" s="421"/>
      <c r="S893" s="421"/>
      <c r="T893" s="517"/>
    </row>
    <row r="894" spans="1:20" ht="21" customHeight="1">
      <c r="A894" s="516"/>
      <c r="B894" s="457"/>
      <c r="C894" s="453"/>
      <c r="D894" s="453"/>
      <c r="E894" s="206"/>
      <c r="F894" s="206"/>
      <c r="G894" s="206"/>
      <c r="H894" s="206"/>
      <c r="I894" s="206"/>
      <c r="J894" s="206"/>
      <c r="K894" s="206"/>
      <c r="L894" s="206"/>
      <c r="M894" s="3"/>
      <c r="N894" s="206"/>
      <c r="O894" s="421"/>
      <c r="P894" s="421"/>
      <c r="Q894" s="206"/>
      <c r="R894" s="421"/>
      <c r="S894" s="421"/>
      <c r="T894" s="517"/>
    </row>
    <row r="895" spans="1:20" ht="21" customHeight="1">
      <c r="A895" s="516"/>
      <c r="B895" s="458"/>
      <c r="C895" s="453"/>
      <c r="D895" s="453"/>
      <c r="E895" s="206"/>
      <c r="F895" s="206"/>
      <c r="G895" s="206"/>
      <c r="H895" s="206"/>
      <c r="I895" s="206"/>
      <c r="J895" s="206"/>
      <c r="K895" s="206"/>
      <c r="L895" s="206"/>
      <c r="M895" s="3"/>
      <c r="N895" s="206"/>
      <c r="O895" s="421"/>
      <c r="P895" s="421"/>
      <c r="Q895" s="206"/>
      <c r="R895" s="421"/>
      <c r="S895" s="421"/>
      <c r="T895" s="517"/>
    </row>
    <row r="896" spans="1:20" ht="21" customHeight="1">
      <c r="A896" s="516"/>
      <c r="B896" s="457"/>
      <c r="C896" s="453"/>
      <c r="D896" s="453"/>
      <c r="E896" s="206"/>
      <c r="F896" s="206"/>
      <c r="G896" s="206"/>
      <c r="H896" s="206"/>
      <c r="I896" s="206"/>
      <c r="J896" s="206"/>
      <c r="K896" s="206"/>
      <c r="L896" s="206"/>
      <c r="M896" s="3"/>
      <c r="N896" s="206"/>
      <c r="O896" s="421"/>
      <c r="P896" s="421"/>
      <c r="Q896" s="206"/>
      <c r="R896" s="421"/>
      <c r="S896" s="421"/>
      <c r="T896" s="517"/>
    </row>
    <row r="897" spans="1:20" ht="21" customHeight="1">
      <c r="A897" s="516"/>
      <c r="B897" s="457"/>
      <c r="C897" s="453"/>
      <c r="D897" s="453"/>
      <c r="E897" s="206"/>
      <c r="F897" s="206"/>
      <c r="G897" s="206"/>
      <c r="H897" s="206"/>
      <c r="I897" s="206"/>
      <c r="J897" s="206"/>
      <c r="K897" s="206"/>
      <c r="L897" s="206"/>
      <c r="M897" s="3"/>
      <c r="N897" s="206"/>
      <c r="O897" s="421"/>
      <c r="P897" s="421"/>
      <c r="Q897" s="206"/>
      <c r="R897" s="421"/>
      <c r="S897" s="421"/>
      <c r="T897" s="517"/>
    </row>
    <row r="898" spans="1:20" ht="21" customHeight="1">
      <c r="A898" s="516"/>
      <c r="B898" s="458"/>
      <c r="C898" s="453"/>
      <c r="D898" s="453"/>
      <c r="E898" s="206"/>
      <c r="F898" s="206"/>
      <c r="G898" s="206"/>
      <c r="H898" s="206"/>
      <c r="I898" s="206"/>
      <c r="J898" s="206"/>
      <c r="K898" s="206"/>
      <c r="L898" s="206"/>
      <c r="M898" s="3"/>
      <c r="N898" s="206"/>
      <c r="O898" s="421"/>
      <c r="P898" s="421"/>
      <c r="Q898" s="206"/>
      <c r="R898" s="421"/>
      <c r="S898" s="421"/>
      <c r="T898" s="517"/>
    </row>
    <row r="899" spans="1:20" ht="21" customHeight="1">
      <c r="A899" s="516"/>
      <c r="B899" s="458"/>
      <c r="C899" s="453"/>
      <c r="D899" s="453"/>
      <c r="E899" s="206"/>
      <c r="F899" s="206"/>
      <c r="G899" s="206"/>
      <c r="H899" s="206"/>
      <c r="I899" s="206"/>
      <c r="J899" s="206"/>
      <c r="K899" s="206"/>
      <c r="L899" s="206"/>
      <c r="M899" s="3"/>
      <c r="N899" s="206"/>
      <c r="O899" s="421"/>
      <c r="P899" s="421"/>
      <c r="Q899" s="206"/>
      <c r="R899" s="421"/>
      <c r="S899" s="421"/>
      <c r="T899" s="517"/>
    </row>
    <row r="900" spans="1:20" ht="21" customHeight="1">
      <c r="A900" s="516"/>
      <c r="B900" s="458"/>
      <c r="C900" s="453"/>
      <c r="D900" s="453"/>
      <c r="E900" s="206"/>
      <c r="F900" s="206"/>
      <c r="G900" s="206"/>
      <c r="H900" s="206"/>
      <c r="I900" s="206"/>
      <c r="J900" s="206"/>
      <c r="K900" s="206"/>
      <c r="L900" s="206"/>
      <c r="M900" s="3"/>
      <c r="N900" s="206"/>
      <c r="O900" s="421"/>
      <c r="P900" s="421"/>
      <c r="Q900" s="206"/>
      <c r="R900" s="421"/>
      <c r="S900" s="421"/>
      <c r="T900" s="517"/>
    </row>
    <row r="901" spans="1:20" ht="21" customHeight="1">
      <c r="A901" s="516"/>
      <c r="B901" s="458"/>
      <c r="C901" s="453"/>
      <c r="D901" s="453"/>
      <c r="E901" s="206"/>
      <c r="F901" s="206"/>
      <c r="G901" s="206"/>
      <c r="H901" s="206"/>
      <c r="I901" s="206"/>
      <c r="J901" s="206"/>
      <c r="K901" s="206"/>
      <c r="L901" s="206"/>
      <c r="M901" s="3"/>
      <c r="N901" s="206"/>
      <c r="O901" s="421"/>
      <c r="P901" s="421"/>
      <c r="Q901" s="206"/>
      <c r="R901" s="421"/>
      <c r="S901" s="421"/>
      <c r="T901" s="517"/>
    </row>
    <row r="902" spans="1:20" ht="21" customHeight="1">
      <c r="A902" s="516"/>
      <c r="B902" s="458"/>
      <c r="C902" s="453"/>
      <c r="D902" s="453"/>
      <c r="E902" s="206"/>
      <c r="F902" s="206"/>
      <c r="G902" s="206"/>
      <c r="H902" s="206"/>
      <c r="I902" s="206"/>
      <c r="J902" s="206"/>
      <c r="K902" s="206"/>
      <c r="L902" s="206"/>
      <c r="M902" s="3"/>
      <c r="N902" s="206"/>
      <c r="O902" s="421"/>
      <c r="P902" s="421"/>
      <c r="Q902" s="206"/>
      <c r="R902" s="421"/>
      <c r="S902" s="421"/>
      <c r="T902" s="517"/>
    </row>
    <row r="903" spans="1:20" ht="21" customHeight="1">
      <c r="A903" s="516"/>
      <c r="B903" s="457"/>
      <c r="C903" s="453"/>
      <c r="D903" s="453"/>
      <c r="E903" s="206"/>
      <c r="F903" s="206"/>
      <c r="G903" s="206"/>
      <c r="H903" s="206"/>
      <c r="I903" s="206"/>
      <c r="J903" s="206"/>
      <c r="K903" s="206"/>
      <c r="L903" s="206"/>
      <c r="M903" s="3"/>
      <c r="N903" s="206"/>
      <c r="O903" s="421"/>
      <c r="P903" s="421"/>
      <c r="Q903" s="206"/>
      <c r="R903" s="421"/>
      <c r="S903" s="421"/>
      <c r="T903" s="517"/>
    </row>
    <row r="904" spans="1:20" ht="21" customHeight="1">
      <c r="A904" s="516"/>
      <c r="B904" s="457"/>
      <c r="C904" s="453"/>
      <c r="D904" s="453"/>
      <c r="E904" s="206"/>
      <c r="F904" s="206"/>
      <c r="G904" s="206"/>
      <c r="H904" s="206"/>
      <c r="I904" s="206"/>
      <c r="J904" s="206"/>
      <c r="K904" s="206"/>
      <c r="L904" s="206"/>
      <c r="M904" s="3"/>
      <c r="N904" s="206"/>
      <c r="O904" s="421"/>
      <c r="P904" s="421"/>
      <c r="Q904" s="206"/>
      <c r="R904" s="421"/>
      <c r="S904" s="421"/>
      <c r="T904" s="517"/>
    </row>
    <row r="905" spans="1:20" ht="21" customHeight="1">
      <c r="A905" s="516"/>
      <c r="B905" s="457"/>
      <c r="C905" s="453"/>
      <c r="D905" s="453"/>
      <c r="E905" s="206"/>
      <c r="F905" s="206"/>
      <c r="G905" s="206"/>
      <c r="H905" s="206"/>
      <c r="I905" s="206"/>
      <c r="J905" s="206"/>
      <c r="K905" s="206"/>
      <c r="L905" s="206"/>
      <c r="M905" s="3"/>
      <c r="N905" s="206"/>
      <c r="O905" s="421"/>
      <c r="P905" s="421"/>
      <c r="Q905" s="206"/>
      <c r="R905" s="421"/>
      <c r="S905" s="421"/>
      <c r="T905" s="517"/>
    </row>
    <row r="906" spans="1:20" ht="21" customHeight="1">
      <c r="A906" s="516"/>
      <c r="B906" s="457"/>
      <c r="C906" s="453"/>
      <c r="D906" s="453"/>
      <c r="E906" s="206"/>
      <c r="F906" s="206"/>
      <c r="G906" s="206"/>
      <c r="H906" s="206"/>
      <c r="I906" s="206"/>
      <c r="J906" s="206"/>
      <c r="K906" s="206"/>
      <c r="L906" s="206"/>
      <c r="M906" s="3"/>
      <c r="N906" s="206"/>
      <c r="O906" s="421"/>
      <c r="P906" s="421"/>
      <c r="Q906" s="206"/>
      <c r="R906" s="421"/>
      <c r="S906" s="421"/>
      <c r="T906" s="517"/>
    </row>
    <row r="907" spans="1:20" ht="21" customHeight="1">
      <c r="A907" s="516"/>
      <c r="B907" s="458"/>
      <c r="C907" s="453"/>
      <c r="D907" s="453"/>
      <c r="E907" s="206"/>
      <c r="F907" s="206"/>
      <c r="G907" s="206"/>
      <c r="H907" s="206"/>
      <c r="I907" s="206"/>
      <c r="J907" s="206"/>
      <c r="K907" s="206"/>
      <c r="L907" s="206"/>
      <c r="M907" s="3"/>
      <c r="N907" s="206"/>
      <c r="O907" s="421"/>
      <c r="P907" s="421"/>
      <c r="Q907" s="206"/>
      <c r="R907" s="421"/>
      <c r="S907" s="421"/>
      <c r="T907" s="517"/>
    </row>
    <row r="908" spans="1:20" ht="21" customHeight="1">
      <c r="A908" s="516"/>
      <c r="B908" s="457"/>
      <c r="C908" s="453"/>
      <c r="D908" s="453"/>
      <c r="E908" s="206"/>
      <c r="F908" s="206"/>
      <c r="G908" s="206"/>
      <c r="H908" s="206"/>
      <c r="I908" s="206"/>
      <c r="J908" s="206"/>
      <c r="K908" s="206"/>
      <c r="L908" s="206"/>
      <c r="M908" s="3"/>
      <c r="N908" s="206"/>
      <c r="O908" s="421"/>
      <c r="P908" s="421"/>
      <c r="Q908" s="206"/>
      <c r="R908" s="421"/>
      <c r="S908" s="421"/>
      <c r="T908" s="517"/>
    </row>
    <row r="909" spans="1:20" ht="21" customHeight="1">
      <c r="A909" s="516"/>
      <c r="B909" s="458"/>
      <c r="C909" s="453"/>
      <c r="D909" s="453"/>
      <c r="E909" s="206"/>
      <c r="F909" s="206"/>
      <c r="G909" s="206"/>
      <c r="H909" s="206"/>
      <c r="I909" s="206"/>
      <c r="J909" s="206"/>
      <c r="K909" s="206"/>
      <c r="L909" s="206"/>
      <c r="M909" s="3"/>
      <c r="N909" s="206"/>
      <c r="O909" s="421"/>
      <c r="P909" s="421"/>
      <c r="Q909" s="206"/>
      <c r="R909" s="421"/>
      <c r="S909" s="421"/>
      <c r="T909" s="517"/>
    </row>
    <row r="910" spans="1:20" ht="21" customHeight="1">
      <c r="A910" s="516"/>
      <c r="B910" s="457"/>
      <c r="C910" s="453"/>
      <c r="D910" s="453"/>
      <c r="E910" s="206"/>
      <c r="F910" s="206"/>
      <c r="G910" s="206"/>
      <c r="H910" s="206"/>
      <c r="I910" s="206"/>
      <c r="J910" s="206"/>
      <c r="K910" s="206"/>
      <c r="L910" s="206"/>
      <c r="M910" s="3"/>
      <c r="N910" s="206"/>
      <c r="O910" s="421"/>
      <c r="P910" s="421"/>
      <c r="Q910" s="206"/>
      <c r="R910" s="421"/>
      <c r="S910" s="421"/>
      <c r="T910" s="517"/>
    </row>
    <row r="911" spans="1:20" ht="21" customHeight="1">
      <c r="A911" s="516"/>
      <c r="B911" s="457"/>
      <c r="C911" s="453"/>
      <c r="D911" s="453"/>
      <c r="E911" s="206"/>
      <c r="F911" s="206"/>
      <c r="G911" s="206"/>
      <c r="H911" s="206"/>
      <c r="I911" s="206"/>
      <c r="J911" s="206"/>
      <c r="K911" s="206"/>
      <c r="L911" s="206"/>
      <c r="M911" s="3"/>
      <c r="N911" s="206"/>
      <c r="O911" s="421"/>
      <c r="P911" s="421"/>
      <c r="Q911" s="206"/>
      <c r="R911" s="421"/>
      <c r="S911" s="421"/>
      <c r="T911" s="517"/>
    </row>
    <row r="912" spans="1:20" ht="21" customHeight="1">
      <c r="A912" s="516"/>
      <c r="B912" s="457"/>
      <c r="C912" s="453"/>
      <c r="D912" s="453"/>
      <c r="E912" s="206"/>
      <c r="F912" s="206"/>
      <c r="G912" s="206"/>
      <c r="H912" s="206"/>
      <c r="I912" s="206"/>
      <c r="J912" s="206"/>
      <c r="K912" s="206"/>
      <c r="L912" s="206"/>
      <c r="M912" s="3"/>
      <c r="N912" s="206"/>
      <c r="O912" s="421"/>
      <c r="P912" s="421"/>
      <c r="Q912" s="206"/>
      <c r="R912" s="421"/>
      <c r="S912" s="421"/>
      <c r="T912" s="517"/>
    </row>
    <row r="913" spans="1:20" ht="21" customHeight="1">
      <c r="A913" s="516"/>
      <c r="B913" s="458"/>
      <c r="C913" s="453"/>
      <c r="D913" s="453"/>
      <c r="E913" s="206"/>
      <c r="F913" s="206"/>
      <c r="G913" s="206"/>
      <c r="H913" s="206"/>
      <c r="I913" s="206"/>
      <c r="J913" s="206"/>
      <c r="K913" s="206"/>
      <c r="L913" s="206"/>
      <c r="M913" s="3"/>
      <c r="N913" s="206"/>
      <c r="O913" s="421"/>
      <c r="P913" s="421"/>
      <c r="Q913" s="206"/>
      <c r="R913" s="421"/>
      <c r="S913" s="421"/>
      <c r="T913" s="517"/>
    </row>
    <row r="914" spans="1:20" ht="21" customHeight="1">
      <c r="A914" s="516"/>
      <c r="B914" s="458"/>
      <c r="C914" s="453"/>
      <c r="D914" s="453"/>
      <c r="E914" s="206"/>
      <c r="F914" s="206"/>
      <c r="G914" s="206"/>
      <c r="H914" s="206"/>
      <c r="I914" s="206"/>
      <c r="J914" s="206"/>
      <c r="K914" s="206"/>
      <c r="L914" s="206"/>
      <c r="M914" s="3"/>
      <c r="N914" s="206"/>
      <c r="O914" s="421"/>
      <c r="P914" s="421"/>
      <c r="Q914" s="206"/>
      <c r="R914" s="421"/>
      <c r="S914" s="421"/>
      <c r="T914" s="517"/>
    </row>
    <row r="915" spans="1:20" ht="21" customHeight="1">
      <c r="A915" s="516"/>
      <c r="B915" s="458"/>
      <c r="C915" s="453"/>
      <c r="D915" s="453"/>
      <c r="E915" s="206"/>
      <c r="F915" s="206"/>
      <c r="G915" s="206"/>
      <c r="H915" s="206"/>
      <c r="I915" s="206"/>
      <c r="J915" s="206"/>
      <c r="K915" s="206"/>
      <c r="L915" s="206"/>
      <c r="M915" s="3"/>
      <c r="N915" s="206"/>
      <c r="O915" s="421"/>
      <c r="P915" s="421"/>
      <c r="Q915" s="206"/>
      <c r="R915" s="421"/>
      <c r="S915" s="421"/>
      <c r="T915" s="517"/>
    </row>
    <row r="916" spans="1:20" ht="21" customHeight="1">
      <c r="A916" s="516"/>
      <c r="B916" s="458"/>
      <c r="C916" s="453"/>
      <c r="D916" s="453"/>
      <c r="E916" s="206"/>
      <c r="F916" s="206"/>
      <c r="G916" s="206"/>
      <c r="H916" s="206"/>
      <c r="I916" s="206"/>
      <c r="J916" s="206"/>
      <c r="K916" s="206"/>
      <c r="L916" s="206"/>
      <c r="M916" s="3"/>
      <c r="N916" s="206"/>
      <c r="O916" s="421"/>
      <c r="P916" s="421"/>
      <c r="Q916" s="206"/>
      <c r="R916" s="421"/>
      <c r="S916" s="421"/>
      <c r="T916" s="517"/>
    </row>
    <row r="917" spans="1:20" ht="21" customHeight="1">
      <c r="A917" s="516"/>
      <c r="B917" s="458"/>
      <c r="C917" s="453"/>
      <c r="D917" s="453"/>
      <c r="E917" s="206"/>
      <c r="F917" s="206"/>
      <c r="G917" s="206"/>
      <c r="H917" s="206"/>
      <c r="I917" s="206"/>
      <c r="J917" s="206"/>
      <c r="K917" s="206"/>
      <c r="L917" s="206"/>
      <c r="M917" s="3"/>
      <c r="N917" s="206"/>
      <c r="O917" s="421"/>
      <c r="P917" s="421"/>
      <c r="Q917" s="206"/>
      <c r="R917" s="421"/>
      <c r="S917" s="421"/>
      <c r="T917" s="517"/>
    </row>
    <row r="918" spans="1:20" ht="21" customHeight="1">
      <c r="A918" s="516"/>
      <c r="B918" s="458"/>
      <c r="C918" s="453"/>
      <c r="D918" s="453"/>
      <c r="E918" s="206"/>
      <c r="F918" s="206"/>
      <c r="G918" s="206"/>
      <c r="H918" s="206"/>
      <c r="I918" s="206"/>
      <c r="J918" s="206"/>
      <c r="K918" s="206"/>
      <c r="L918" s="206"/>
      <c r="M918" s="3"/>
      <c r="N918" s="206"/>
      <c r="O918" s="421"/>
      <c r="P918" s="421"/>
      <c r="Q918" s="206"/>
      <c r="R918" s="421"/>
      <c r="S918" s="421"/>
      <c r="T918" s="517"/>
    </row>
    <row r="919" spans="1:20" ht="21" customHeight="1">
      <c r="A919" s="516"/>
      <c r="B919" s="457"/>
      <c r="C919" s="453"/>
      <c r="D919" s="453"/>
      <c r="E919" s="206"/>
      <c r="F919" s="206"/>
      <c r="G919" s="206"/>
      <c r="H919" s="206"/>
      <c r="I919" s="206"/>
      <c r="J919" s="206"/>
      <c r="K919" s="206"/>
      <c r="L919" s="206"/>
      <c r="M919" s="3"/>
      <c r="N919" s="206"/>
      <c r="O919" s="421"/>
      <c r="P919" s="421"/>
      <c r="Q919" s="206"/>
      <c r="R919" s="421"/>
      <c r="S919" s="421"/>
      <c r="T919" s="517"/>
    </row>
    <row r="920" spans="1:20" ht="21" customHeight="1">
      <c r="A920" s="516"/>
      <c r="B920" s="457"/>
      <c r="C920" s="453"/>
      <c r="D920" s="453"/>
      <c r="E920" s="206"/>
      <c r="F920" s="206"/>
      <c r="G920" s="206"/>
      <c r="H920" s="206"/>
      <c r="I920" s="206"/>
      <c r="J920" s="206"/>
      <c r="K920" s="206"/>
      <c r="L920" s="206"/>
      <c r="M920" s="3"/>
      <c r="N920" s="206"/>
      <c r="O920" s="421"/>
      <c r="P920" s="421"/>
      <c r="Q920" s="206"/>
      <c r="R920" s="421"/>
      <c r="S920" s="421"/>
      <c r="T920" s="517"/>
    </row>
    <row r="921" spans="1:20" ht="21" customHeight="1">
      <c r="A921" s="516"/>
      <c r="B921" s="457"/>
      <c r="C921" s="453"/>
      <c r="D921" s="453"/>
      <c r="E921" s="206"/>
      <c r="F921" s="206"/>
      <c r="G921" s="206"/>
      <c r="H921" s="206"/>
      <c r="I921" s="206"/>
      <c r="J921" s="206"/>
      <c r="K921" s="206"/>
      <c r="L921" s="206"/>
      <c r="M921" s="3"/>
      <c r="N921" s="206"/>
      <c r="O921" s="421"/>
      <c r="P921" s="421"/>
      <c r="Q921" s="206"/>
      <c r="R921" s="421"/>
      <c r="S921" s="421"/>
      <c r="T921" s="517"/>
    </row>
    <row r="922" spans="1:20" ht="21" customHeight="1">
      <c r="A922" s="516"/>
      <c r="B922" s="457"/>
      <c r="C922" s="453"/>
      <c r="D922" s="453"/>
      <c r="E922" s="206"/>
      <c r="F922" s="206"/>
      <c r="G922" s="206"/>
      <c r="H922" s="206"/>
      <c r="I922" s="206"/>
      <c r="J922" s="206"/>
      <c r="K922" s="206"/>
      <c r="L922" s="206"/>
      <c r="M922" s="3"/>
      <c r="N922" s="206"/>
      <c r="O922" s="421"/>
      <c r="P922" s="421"/>
      <c r="Q922" s="206"/>
      <c r="R922" s="421"/>
      <c r="S922" s="421"/>
      <c r="T922" s="517"/>
    </row>
    <row r="923" spans="1:20" ht="21" customHeight="1">
      <c r="A923" s="516"/>
      <c r="B923" s="457"/>
      <c r="C923" s="453"/>
      <c r="D923" s="453"/>
      <c r="E923" s="206"/>
      <c r="F923" s="206"/>
      <c r="G923" s="206"/>
      <c r="H923" s="206"/>
      <c r="I923" s="206"/>
      <c r="J923" s="206"/>
      <c r="K923" s="206"/>
      <c r="L923" s="206"/>
      <c r="M923" s="3"/>
      <c r="N923" s="206"/>
      <c r="O923" s="421"/>
      <c r="P923" s="421"/>
      <c r="Q923" s="206"/>
      <c r="R923" s="421"/>
      <c r="S923" s="421"/>
      <c r="T923" s="517"/>
    </row>
    <row r="924" spans="1:20" ht="21" customHeight="1">
      <c r="A924" s="516"/>
      <c r="B924" s="457"/>
      <c r="C924" s="453"/>
      <c r="D924" s="453"/>
      <c r="E924" s="206"/>
      <c r="F924" s="206"/>
      <c r="G924" s="206"/>
      <c r="H924" s="206"/>
      <c r="I924" s="206"/>
      <c r="J924" s="206"/>
      <c r="K924" s="206"/>
      <c r="L924" s="206"/>
      <c r="M924" s="3"/>
      <c r="N924" s="206"/>
      <c r="O924" s="421"/>
      <c r="P924" s="421"/>
      <c r="Q924" s="206"/>
      <c r="R924" s="421"/>
      <c r="S924" s="421"/>
      <c r="T924" s="517"/>
    </row>
    <row r="925" spans="1:20" ht="21" customHeight="1">
      <c r="A925" s="516"/>
      <c r="B925" s="458"/>
      <c r="C925" s="453"/>
      <c r="D925" s="453"/>
      <c r="E925" s="206"/>
      <c r="F925" s="206"/>
      <c r="G925" s="206"/>
      <c r="H925" s="206"/>
      <c r="I925" s="206"/>
      <c r="J925" s="206"/>
      <c r="K925" s="206"/>
      <c r="L925" s="206"/>
      <c r="M925" s="3"/>
      <c r="N925" s="206"/>
      <c r="O925" s="421"/>
      <c r="P925" s="421"/>
      <c r="Q925" s="206"/>
      <c r="R925" s="421"/>
      <c r="S925" s="421"/>
      <c r="T925" s="517"/>
    </row>
    <row r="926" spans="1:20" ht="21" customHeight="1">
      <c r="A926" s="516"/>
      <c r="B926" s="457"/>
      <c r="C926" s="453"/>
      <c r="D926" s="453"/>
      <c r="E926" s="206"/>
      <c r="F926" s="206"/>
      <c r="G926" s="206"/>
      <c r="H926" s="206"/>
      <c r="I926" s="206"/>
      <c r="J926" s="206"/>
      <c r="K926" s="206"/>
      <c r="L926" s="206"/>
      <c r="M926" s="3"/>
      <c r="N926" s="206"/>
      <c r="O926" s="421"/>
      <c r="P926" s="421"/>
      <c r="Q926" s="206"/>
      <c r="R926" s="421"/>
      <c r="S926" s="421"/>
      <c r="T926" s="517"/>
    </row>
    <row r="927" spans="1:20" ht="21" customHeight="1">
      <c r="A927" s="516"/>
      <c r="B927" s="457"/>
      <c r="C927" s="453"/>
      <c r="D927" s="453"/>
      <c r="E927" s="206"/>
      <c r="F927" s="206"/>
      <c r="G927" s="206"/>
      <c r="H927" s="206"/>
      <c r="I927" s="206"/>
      <c r="J927" s="206"/>
      <c r="K927" s="206"/>
      <c r="L927" s="206"/>
      <c r="M927" s="3"/>
      <c r="N927" s="206"/>
      <c r="O927" s="421"/>
      <c r="P927" s="421"/>
      <c r="Q927" s="206"/>
      <c r="R927" s="421"/>
      <c r="S927" s="421"/>
      <c r="T927" s="517"/>
    </row>
    <row r="928" spans="1:20" ht="21" customHeight="1">
      <c r="A928" s="516"/>
      <c r="B928" s="457"/>
      <c r="C928" s="453"/>
      <c r="D928" s="453"/>
      <c r="E928" s="206"/>
      <c r="F928" s="206"/>
      <c r="G928" s="206"/>
      <c r="H928" s="206"/>
      <c r="I928" s="206"/>
      <c r="J928" s="206"/>
      <c r="K928" s="206"/>
      <c r="L928" s="206"/>
      <c r="M928" s="3"/>
      <c r="N928" s="206"/>
      <c r="O928" s="421"/>
      <c r="P928" s="421"/>
      <c r="Q928" s="206"/>
      <c r="R928" s="421"/>
      <c r="S928" s="421"/>
      <c r="T928" s="517"/>
    </row>
    <row r="929" spans="1:20" ht="21" customHeight="1">
      <c r="A929" s="516"/>
      <c r="B929" s="458"/>
      <c r="C929" s="453"/>
      <c r="D929" s="453"/>
      <c r="E929" s="206"/>
      <c r="F929" s="206"/>
      <c r="G929" s="206"/>
      <c r="H929" s="206"/>
      <c r="I929" s="206"/>
      <c r="J929" s="206"/>
      <c r="K929" s="206"/>
      <c r="L929" s="206"/>
      <c r="M929" s="3"/>
      <c r="N929" s="206"/>
      <c r="O929" s="421"/>
      <c r="P929" s="421"/>
      <c r="Q929" s="206"/>
      <c r="R929" s="421"/>
      <c r="S929" s="421"/>
      <c r="T929" s="517"/>
    </row>
    <row r="930" spans="1:20" ht="21" customHeight="1">
      <c r="A930" s="516"/>
      <c r="B930" s="457"/>
      <c r="C930" s="453"/>
      <c r="D930" s="453"/>
      <c r="E930" s="206"/>
      <c r="F930" s="206"/>
      <c r="G930" s="206"/>
      <c r="H930" s="206"/>
      <c r="I930" s="206"/>
      <c r="J930" s="206"/>
      <c r="K930" s="206"/>
      <c r="L930" s="206"/>
      <c r="M930" s="3"/>
      <c r="N930" s="206"/>
      <c r="O930" s="421"/>
      <c r="P930" s="421"/>
      <c r="Q930" s="206"/>
      <c r="R930" s="421"/>
      <c r="S930" s="421"/>
      <c r="T930" s="517"/>
    </row>
    <row r="931" spans="1:20" ht="21" customHeight="1">
      <c r="A931" s="516"/>
      <c r="B931" s="457"/>
      <c r="C931" s="453"/>
      <c r="D931" s="453"/>
      <c r="E931" s="206"/>
      <c r="F931" s="206"/>
      <c r="G931" s="206"/>
      <c r="H931" s="206"/>
      <c r="I931" s="206"/>
      <c r="J931" s="206"/>
      <c r="K931" s="206"/>
      <c r="L931" s="206"/>
      <c r="M931" s="3"/>
      <c r="N931" s="206"/>
      <c r="O931" s="421"/>
      <c r="P931" s="421"/>
      <c r="Q931" s="206"/>
      <c r="R931" s="421"/>
      <c r="S931" s="421"/>
      <c r="T931" s="517"/>
    </row>
    <row r="932" spans="1:20" ht="21" customHeight="1">
      <c r="A932" s="516"/>
      <c r="B932" s="457"/>
      <c r="C932" s="453"/>
      <c r="D932" s="453"/>
      <c r="E932" s="206"/>
      <c r="F932" s="206"/>
      <c r="G932" s="206"/>
      <c r="H932" s="206"/>
      <c r="I932" s="206"/>
      <c r="J932" s="206"/>
      <c r="K932" s="206"/>
      <c r="L932" s="206"/>
      <c r="M932" s="3"/>
      <c r="N932" s="206"/>
      <c r="O932" s="421"/>
      <c r="P932" s="421"/>
      <c r="Q932" s="206"/>
      <c r="R932" s="421"/>
      <c r="S932" s="421"/>
      <c r="T932" s="517"/>
    </row>
    <row r="933" spans="1:20" ht="21" customHeight="1">
      <c r="A933" s="516"/>
      <c r="B933" s="458"/>
      <c r="C933" s="453"/>
      <c r="D933" s="453"/>
      <c r="E933" s="206"/>
      <c r="F933" s="206"/>
      <c r="G933" s="206"/>
      <c r="H933" s="206"/>
      <c r="I933" s="206"/>
      <c r="J933" s="206"/>
      <c r="K933" s="206"/>
      <c r="L933" s="206"/>
      <c r="M933" s="3"/>
      <c r="N933" s="206"/>
      <c r="O933" s="421"/>
      <c r="P933" s="421"/>
      <c r="Q933" s="206"/>
      <c r="R933" s="421"/>
      <c r="S933" s="421"/>
      <c r="T933" s="517"/>
    </row>
    <row r="934" spans="1:20" ht="21" customHeight="1">
      <c r="A934" s="516"/>
      <c r="B934" s="457"/>
      <c r="C934" s="453"/>
      <c r="D934" s="453"/>
      <c r="E934" s="206"/>
      <c r="F934" s="206"/>
      <c r="G934" s="206"/>
      <c r="H934" s="206"/>
      <c r="I934" s="206"/>
      <c r="J934" s="206"/>
      <c r="K934" s="206"/>
      <c r="L934" s="206"/>
      <c r="M934" s="3"/>
      <c r="N934" s="206"/>
      <c r="O934" s="421"/>
      <c r="P934" s="421"/>
      <c r="Q934" s="206"/>
      <c r="R934" s="421"/>
      <c r="S934" s="421"/>
      <c r="T934" s="517"/>
    </row>
    <row r="935" spans="1:20" ht="21" customHeight="1">
      <c r="A935" s="516"/>
      <c r="B935" s="457"/>
      <c r="C935" s="453"/>
      <c r="D935" s="453"/>
      <c r="E935" s="206"/>
      <c r="F935" s="206"/>
      <c r="G935" s="206"/>
      <c r="H935" s="206"/>
      <c r="I935" s="206"/>
      <c r="J935" s="206"/>
      <c r="K935" s="206"/>
      <c r="L935" s="206"/>
      <c r="M935" s="3"/>
      <c r="N935" s="206"/>
      <c r="O935" s="421"/>
      <c r="P935" s="421"/>
      <c r="Q935" s="206"/>
      <c r="R935" s="421"/>
      <c r="S935" s="421"/>
      <c r="T935" s="517"/>
    </row>
    <row r="936" spans="1:20" ht="21" customHeight="1">
      <c r="A936" s="516"/>
      <c r="B936" s="457"/>
      <c r="C936" s="453"/>
      <c r="D936" s="453"/>
      <c r="E936" s="206"/>
      <c r="F936" s="206"/>
      <c r="G936" s="206"/>
      <c r="H936" s="206"/>
      <c r="I936" s="206"/>
      <c r="J936" s="206"/>
      <c r="K936" s="206"/>
      <c r="L936" s="206"/>
      <c r="M936" s="3"/>
      <c r="N936" s="206"/>
      <c r="O936" s="421"/>
      <c r="P936" s="421"/>
      <c r="Q936" s="206"/>
      <c r="R936" s="421"/>
      <c r="S936" s="421"/>
      <c r="T936" s="517"/>
    </row>
    <row r="937" spans="1:20" ht="21" customHeight="1">
      <c r="A937" s="516"/>
      <c r="B937" s="458"/>
      <c r="C937" s="453"/>
      <c r="D937" s="453"/>
      <c r="E937" s="206"/>
      <c r="F937" s="206"/>
      <c r="G937" s="206"/>
      <c r="H937" s="206"/>
      <c r="I937" s="206"/>
      <c r="J937" s="206"/>
      <c r="K937" s="206"/>
      <c r="L937" s="206"/>
      <c r="M937" s="3"/>
      <c r="N937" s="206"/>
      <c r="O937" s="421"/>
      <c r="P937" s="421"/>
      <c r="Q937" s="206"/>
      <c r="R937" s="421"/>
      <c r="S937" s="421"/>
      <c r="T937" s="517"/>
    </row>
    <row r="938" spans="1:20" ht="21" customHeight="1">
      <c r="A938" s="516"/>
      <c r="B938" s="457"/>
      <c r="C938" s="453"/>
      <c r="D938" s="453"/>
      <c r="E938" s="206"/>
      <c r="F938" s="206"/>
      <c r="G938" s="206"/>
      <c r="H938" s="206"/>
      <c r="I938" s="206"/>
      <c r="J938" s="206"/>
      <c r="K938" s="206"/>
      <c r="L938" s="206"/>
      <c r="M938" s="3"/>
      <c r="N938" s="206"/>
      <c r="O938" s="421"/>
      <c r="P938" s="421"/>
      <c r="Q938" s="206"/>
      <c r="R938" s="421"/>
      <c r="S938" s="421"/>
      <c r="T938" s="517"/>
    </row>
    <row r="939" spans="1:20" ht="21" customHeight="1">
      <c r="A939" s="516"/>
      <c r="B939" s="457"/>
      <c r="C939" s="453"/>
      <c r="D939" s="453"/>
      <c r="E939" s="206"/>
      <c r="F939" s="206"/>
      <c r="G939" s="206"/>
      <c r="H939" s="206"/>
      <c r="I939" s="206"/>
      <c r="J939" s="206"/>
      <c r="K939" s="206"/>
      <c r="L939" s="206"/>
      <c r="M939" s="3"/>
      <c r="N939" s="206"/>
      <c r="O939" s="421"/>
      <c r="P939" s="421"/>
      <c r="Q939" s="206"/>
      <c r="R939" s="421"/>
      <c r="S939" s="421"/>
      <c r="T939" s="517"/>
    </row>
    <row r="940" spans="1:20" ht="21" customHeight="1">
      <c r="A940" s="516"/>
      <c r="B940" s="457"/>
      <c r="C940" s="453"/>
      <c r="D940" s="453"/>
      <c r="E940" s="206"/>
      <c r="F940" s="206"/>
      <c r="G940" s="206"/>
      <c r="H940" s="206"/>
      <c r="I940" s="206"/>
      <c r="J940" s="206"/>
      <c r="K940" s="206"/>
      <c r="L940" s="206"/>
      <c r="M940" s="3"/>
      <c r="N940" s="206"/>
      <c r="O940" s="421"/>
      <c r="P940" s="421"/>
      <c r="Q940" s="206"/>
      <c r="R940" s="421"/>
      <c r="S940" s="421"/>
      <c r="T940" s="517"/>
    </row>
    <row r="941" spans="1:20" ht="21" customHeight="1">
      <c r="A941" s="516"/>
      <c r="B941" s="457"/>
      <c r="C941" s="453"/>
      <c r="D941" s="453"/>
      <c r="E941" s="206"/>
      <c r="F941" s="206"/>
      <c r="G941" s="206"/>
      <c r="H941" s="206"/>
      <c r="I941" s="206"/>
      <c r="J941" s="206"/>
      <c r="K941" s="206"/>
      <c r="L941" s="206"/>
      <c r="M941" s="3"/>
      <c r="N941" s="206"/>
      <c r="O941" s="421"/>
      <c r="P941" s="421"/>
      <c r="Q941" s="206"/>
      <c r="R941" s="421"/>
      <c r="S941" s="421"/>
      <c r="T941" s="517"/>
    </row>
    <row r="942" spans="1:20" ht="21" customHeight="1">
      <c r="A942" s="516"/>
      <c r="B942" s="457"/>
      <c r="C942" s="453"/>
      <c r="D942" s="453"/>
      <c r="E942" s="206"/>
      <c r="F942" s="206"/>
      <c r="G942" s="206"/>
      <c r="H942" s="206"/>
      <c r="I942" s="206"/>
      <c r="J942" s="206"/>
      <c r="K942" s="206"/>
      <c r="L942" s="206"/>
      <c r="M942" s="3"/>
      <c r="N942" s="206"/>
      <c r="O942" s="421"/>
      <c r="P942" s="421"/>
      <c r="Q942" s="206"/>
      <c r="R942" s="421"/>
      <c r="S942" s="421"/>
      <c r="T942" s="517"/>
    </row>
    <row r="943" spans="1:20" ht="21" customHeight="1">
      <c r="A943" s="516"/>
      <c r="B943" s="457"/>
      <c r="C943" s="453"/>
      <c r="D943" s="453"/>
      <c r="E943" s="206"/>
      <c r="F943" s="206"/>
      <c r="G943" s="206"/>
      <c r="H943" s="206"/>
      <c r="I943" s="206"/>
      <c r="J943" s="206"/>
      <c r="K943" s="206"/>
      <c r="L943" s="206"/>
      <c r="M943" s="3"/>
      <c r="N943" s="206"/>
      <c r="O943" s="421"/>
      <c r="P943" s="421"/>
      <c r="Q943" s="206"/>
      <c r="R943" s="421"/>
      <c r="S943" s="421"/>
      <c r="T943" s="517"/>
    </row>
    <row r="944" spans="1:20" ht="21" customHeight="1">
      <c r="A944" s="516"/>
      <c r="B944" s="457"/>
      <c r="C944" s="453"/>
      <c r="D944" s="453"/>
      <c r="E944" s="206"/>
      <c r="F944" s="206"/>
      <c r="G944" s="206"/>
      <c r="H944" s="206"/>
      <c r="I944" s="206"/>
      <c r="J944" s="206"/>
      <c r="K944" s="206"/>
      <c r="L944" s="206"/>
      <c r="M944" s="3"/>
      <c r="N944" s="206"/>
      <c r="O944" s="421"/>
      <c r="P944" s="421"/>
      <c r="Q944" s="206"/>
      <c r="R944" s="421"/>
      <c r="S944" s="421"/>
      <c r="T944" s="517"/>
    </row>
    <row r="945" spans="1:20" ht="21" customHeight="1">
      <c r="A945" s="516"/>
      <c r="B945" s="457"/>
      <c r="C945" s="453"/>
      <c r="D945" s="453"/>
      <c r="E945" s="206"/>
      <c r="F945" s="206"/>
      <c r="G945" s="206"/>
      <c r="H945" s="206"/>
      <c r="I945" s="206"/>
      <c r="J945" s="206"/>
      <c r="K945" s="206"/>
      <c r="L945" s="206"/>
      <c r="M945" s="3"/>
      <c r="N945" s="206"/>
      <c r="O945" s="421"/>
      <c r="P945" s="421"/>
      <c r="Q945" s="206"/>
      <c r="R945" s="421"/>
      <c r="S945" s="421"/>
      <c r="T945" s="517"/>
    </row>
    <row r="946" spans="1:20" ht="21" customHeight="1">
      <c r="A946" s="516"/>
      <c r="B946" s="457"/>
      <c r="C946" s="453"/>
      <c r="D946" s="453"/>
      <c r="E946" s="206"/>
      <c r="F946" s="206"/>
      <c r="G946" s="206"/>
      <c r="H946" s="206"/>
      <c r="I946" s="206"/>
      <c r="J946" s="206"/>
      <c r="K946" s="206"/>
      <c r="L946" s="206"/>
      <c r="M946" s="3"/>
      <c r="N946" s="206"/>
      <c r="O946" s="421"/>
      <c r="P946" s="421"/>
      <c r="Q946" s="206"/>
      <c r="R946" s="421"/>
      <c r="S946" s="421"/>
      <c r="T946" s="517"/>
    </row>
    <row r="947" spans="1:20" ht="21" customHeight="1">
      <c r="A947" s="516"/>
      <c r="B947" s="457"/>
      <c r="C947" s="453"/>
      <c r="D947" s="453"/>
      <c r="E947" s="206"/>
      <c r="F947" s="206"/>
      <c r="G947" s="206"/>
      <c r="H947" s="206"/>
      <c r="I947" s="206"/>
      <c r="J947" s="206"/>
      <c r="K947" s="206"/>
      <c r="L947" s="206"/>
      <c r="M947" s="3"/>
      <c r="N947" s="206"/>
      <c r="O947" s="421"/>
      <c r="P947" s="421"/>
      <c r="Q947" s="206"/>
      <c r="R947" s="421"/>
      <c r="S947" s="421"/>
      <c r="T947" s="517"/>
    </row>
    <row r="948" spans="1:20" ht="21" customHeight="1">
      <c r="A948" s="516"/>
      <c r="B948" s="457"/>
      <c r="C948" s="453"/>
      <c r="D948" s="453"/>
      <c r="E948" s="206"/>
      <c r="F948" s="206"/>
      <c r="G948" s="206"/>
      <c r="H948" s="206"/>
      <c r="I948" s="206"/>
      <c r="J948" s="206"/>
      <c r="K948" s="206"/>
      <c r="L948" s="206"/>
      <c r="M948" s="3"/>
      <c r="N948" s="206"/>
      <c r="O948" s="421"/>
      <c r="P948" s="421"/>
      <c r="Q948" s="206"/>
      <c r="R948" s="421"/>
      <c r="S948" s="421"/>
      <c r="T948" s="517"/>
    </row>
    <row r="949" spans="1:20" ht="21" customHeight="1">
      <c r="A949" s="516"/>
      <c r="B949" s="457"/>
      <c r="C949" s="453"/>
      <c r="D949" s="453"/>
      <c r="E949" s="206"/>
      <c r="F949" s="206"/>
      <c r="G949" s="206"/>
      <c r="H949" s="206"/>
      <c r="I949" s="206"/>
      <c r="J949" s="206"/>
      <c r="K949" s="206"/>
      <c r="L949" s="206"/>
      <c r="M949" s="3"/>
      <c r="N949" s="206"/>
      <c r="O949" s="421"/>
      <c r="P949" s="421"/>
      <c r="Q949" s="206"/>
      <c r="R949" s="421"/>
      <c r="S949" s="421"/>
      <c r="T949" s="517"/>
    </row>
    <row r="950" spans="1:20" ht="21" customHeight="1">
      <c r="A950" s="516"/>
      <c r="B950" s="457"/>
      <c r="C950" s="453"/>
      <c r="D950" s="453"/>
      <c r="E950" s="206"/>
      <c r="F950" s="206"/>
      <c r="G950" s="206"/>
      <c r="H950" s="206"/>
      <c r="I950" s="206"/>
      <c r="J950" s="206"/>
      <c r="K950" s="206"/>
      <c r="L950" s="206"/>
      <c r="M950" s="3"/>
      <c r="N950" s="206"/>
      <c r="O950" s="421"/>
      <c r="P950" s="421"/>
      <c r="Q950" s="206"/>
      <c r="R950" s="421"/>
      <c r="S950" s="421"/>
      <c r="T950" s="517"/>
    </row>
    <row r="951" spans="1:20" ht="21" customHeight="1">
      <c r="A951" s="516"/>
      <c r="B951" s="458"/>
      <c r="C951" s="453"/>
      <c r="D951" s="453"/>
      <c r="E951" s="206"/>
      <c r="F951" s="206"/>
      <c r="G951" s="206"/>
      <c r="H951" s="206"/>
      <c r="I951" s="206"/>
      <c r="J951" s="206"/>
      <c r="K951" s="206"/>
      <c r="L951" s="206"/>
      <c r="M951" s="3"/>
      <c r="N951" s="206"/>
      <c r="O951" s="421"/>
      <c r="P951" s="421"/>
      <c r="Q951" s="206"/>
      <c r="R951" s="421"/>
      <c r="S951" s="421"/>
      <c r="T951" s="517"/>
    </row>
    <row r="952" spans="1:20" ht="21" customHeight="1">
      <c r="A952" s="516"/>
      <c r="B952" s="457"/>
      <c r="C952" s="453"/>
      <c r="D952" s="453"/>
      <c r="E952" s="206"/>
      <c r="F952" s="206"/>
      <c r="G952" s="206"/>
      <c r="H952" s="206"/>
      <c r="I952" s="206"/>
      <c r="J952" s="206"/>
      <c r="K952" s="206"/>
      <c r="L952" s="206"/>
      <c r="M952" s="3"/>
      <c r="N952" s="206"/>
      <c r="O952" s="421"/>
      <c r="P952" s="421"/>
      <c r="Q952" s="206"/>
      <c r="R952" s="421"/>
      <c r="S952" s="421"/>
      <c r="T952" s="517"/>
    </row>
    <row r="953" spans="1:20" ht="21" customHeight="1">
      <c r="A953" s="516"/>
      <c r="B953" s="457"/>
      <c r="C953" s="453"/>
      <c r="D953" s="453"/>
      <c r="E953" s="206"/>
      <c r="F953" s="206"/>
      <c r="G953" s="206"/>
      <c r="H953" s="206"/>
      <c r="I953" s="206"/>
      <c r="J953" s="206"/>
      <c r="K953" s="206"/>
      <c r="L953" s="206"/>
      <c r="M953" s="3"/>
      <c r="N953" s="206"/>
      <c r="O953" s="421"/>
      <c r="P953" s="421"/>
      <c r="Q953" s="206"/>
      <c r="R953" s="421"/>
      <c r="S953" s="421"/>
      <c r="T953" s="517"/>
    </row>
    <row r="954" spans="1:20" ht="21" customHeight="1">
      <c r="A954" s="516"/>
      <c r="B954" s="458"/>
      <c r="C954" s="453"/>
      <c r="D954" s="453"/>
      <c r="E954" s="206"/>
      <c r="F954" s="206"/>
      <c r="G954" s="206"/>
      <c r="H954" s="206"/>
      <c r="I954" s="206"/>
      <c r="J954" s="206"/>
      <c r="K954" s="206"/>
      <c r="L954" s="206"/>
      <c r="M954" s="3"/>
      <c r="N954" s="206"/>
      <c r="O954" s="421"/>
      <c r="P954" s="421"/>
      <c r="Q954" s="206"/>
      <c r="R954" s="421"/>
      <c r="S954" s="421"/>
      <c r="T954" s="517"/>
    </row>
    <row r="955" spans="1:20" ht="21" customHeight="1">
      <c r="A955" s="516"/>
      <c r="B955" s="457"/>
      <c r="C955" s="453"/>
      <c r="D955" s="453"/>
      <c r="E955" s="206"/>
      <c r="F955" s="206"/>
      <c r="G955" s="206"/>
      <c r="H955" s="206"/>
      <c r="I955" s="206"/>
      <c r="J955" s="206"/>
      <c r="K955" s="206"/>
      <c r="L955" s="206"/>
      <c r="M955" s="3"/>
      <c r="N955" s="206"/>
      <c r="O955" s="421"/>
      <c r="P955" s="421"/>
      <c r="Q955" s="206"/>
      <c r="R955" s="421"/>
      <c r="S955" s="421"/>
      <c r="T955" s="517"/>
    </row>
    <row r="956" spans="1:20" ht="21" customHeight="1">
      <c r="A956" s="516"/>
      <c r="B956" s="458"/>
      <c r="C956" s="453"/>
      <c r="D956" s="453"/>
      <c r="E956" s="206"/>
      <c r="F956" s="206"/>
      <c r="G956" s="206"/>
      <c r="H956" s="206"/>
      <c r="I956" s="206"/>
      <c r="J956" s="206"/>
      <c r="K956" s="206"/>
      <c r="L956" s="206"/>
      <c r="M956" s="3"/>
      <c r="N956" s="206"/>
      <c r="O956" s="421"/>
      <c r="P956" s="421"/>
      <c r="Q956" s="206"/>
      <c r="R956" s="421"/>
      <c r="S956" s="421"/>
      <c r="T956" s="517"/>
    </row>
    <row r="957" spans="1:20" ht="21" customHeight="1">
      <c r="A957" s="516"/>
      <c r="B957" s="458"/>
      <c r="C957" s="453"/>
      <c r="D957" s="453"/>
      <c r="E957" s="206"/>
      <c r="F957" s="206"/>
      <c r="G957" s="206"/>
      <c r="H957" s="206"/>
      <c r="I957" s="206"/>
      <c r="J957" s="206"/>
      <c r="K957" s="206"/>
      <c r="L957" s="206"/>
      <c r="M957" s="3"/>
      <c r="N957" s="206"/>
      <c r="O957" s="421"/>
      <c r="P957" s="421"/>
      <c r="Q957" s="206"/>
      <c r="R957" s="421"/>
      <c r="S957" s="421"/>
      <c r="T957" s="517"/>
    </row>
    <row r="958" spans="1:20" ht="21" customHeight="1">
      <c r="A958" s="516"/>
      <c r="B958" s="457"/>
      <c r="C958" s="453"/>
      <c r="D958" s="453"/>
      <c r="E958" s="206"/>
      <c r="F958" s="206"/>
      <c r="G958" s="206"/>
      <c r="H958" s="206"/>
      <c r="I958" s="206"/>
      <c r="J958" s="206"/>
      <c r="K958" s="206"/>
      <c r="L958" s="206"/>
      <c r="M958" s="3"/>
      <c r="N958" s="206"/>
      <c r="O958" s="421"/>
      <c r="P958" s="421"/>
      <c r="Q958" s="206"/>
      <c r="R958" s="421"/>
      <c r="S958" s="421"/>
      <c r="T958" s="517"/>
    </row>
    <row r="959" spans="1:20" ht="21" customHeight="1">
      <c r="A959" s="516"/>
      <c r="B959" s="458"/>
      <c r="C959" s="453"/>
      <c r="D959" s="453"/>
      <c r="E959" s="206"/>
      <c r="F959" s="206"/>
      <c r="G959" s="206"/>
      <c r="H959" s="206"/>
      <c r="I959" s="206"/>
      <c r="J959" s="206"/>
      <c r="K959" s="206"/>
      <c r="L959" s="206"/>
      <c r="M959" s="3"/>
      <c r="N959" s="206"/>
      <c r="O959" s="421"/>
      <c r="P959" s="421"/>
      <c r="Q959" s="206"/>
      <c r="R959" s="421"/>
      <c r="S959" s="421"/>
      <c r="T959" s="517"/>
    </row>
    <row r="960" spans="1:20" ht="21" customHeight="1">
      <c r="A960" s="516"/>
      <c r="B960" s="457"/>
      <c r="C960" s="453"/>
      <c r="D960" s="453"/>
      <c r="E960" s="206"/>
      <c r="F960" s="206"/>
      <c r="G960" s="206"/>
      <c r="H960" s="206"/>
      <c r="I960" s="206"/>
      <c r="J960" s="206"/>
      <c r="K960" s="206"/>
      <c r="L960" s="206"/>
      <c r="M960" s="3"/>
      <c r="N960" s="206"/>
      <c r="O960" s="421"/>
      <c r="P960" s="421"/>
      <c r="Q960" s="206"/>
      <c r="R960" s="421"/>
      <c r="S960" s="421"/>
      <c r="T960" s="517"/>
    </row>
    <row r="961" spans="1:20" ht="21" customHeight="1">
      <c r="A961" s="516"/>
      <c r="B961" s="457"/>
      <c r="C961" s="453"/>
      <c r="D961" s="453"/>
      <c r="E961" s="206"/>
      <c r="F961" s="206"/>
      <c r="G961" s="206"/>
      <c r="H961" s="206"/>
      <c r="I961" s="206"/>
      <c r="J961" s="206"/>
      <c r="K961" s="206"/>
      <c r="L961" s="206"/>
      <c r="M961" s="3"/>
      <c r="N961" s="206"/>
      <c r="O961" s="421"/>
      <c r="P961" s="421"/>
      <c r="Q961" s="206"/>
      <c r="R961" s="421"/>
      <c r="S961" s="421"/>
      <c r="T961" s="517"/>
    </row>
    <row r="962" spans="1:20" ht="21" customHeight="1">
      <c r="A962" s="516"/>
      <c r="B962" s="457"/>
      <c r="C962" s="453"/>
      <c r="D962" s="453"/>
      <c r="E962" s="206"/>
      <c r="F962" s="206"/>
      <c r="G962" s="206"/>
      <c r="H962" s="206"/>
      <c r="I962" s="206"/>
      <c r="J962" s="206"/>
      <c r="K962" s="206"/>
      <c r="L962" s="206"/>
      <c r="M962" s="3"/>
      <c r="N962" s="206"/>
      <c r="O962" s="421"/>
      <c r="P962" s="421"/>
      <c r="Q962" s="206"/>
      <c r="R962" s="421"/>
      <c r="S962" s="421"/>
      <c r="T962" s="517"/>
    </row>
    <row r="963" spans="1:20" ht="21" customHeight="1">
      <c r="A963" s="516"/>
      <c r="B963" s="457"/>
      <c r="C963" s="453"/>
      <c r="D963" s="453"/>
      <c r="E963" s="206"/>
      <c r="F963" s="206"/>
      <c r="G963" s="206"/>
      <c r="H963" s="206"/>
      <c r="I963" s="206"/>
      <c r="J963" s="206"/>
      <c r="K963" s="206"/>
      <c r="L963" s="206"/>
      <c r="M963" s="3"/>
      <c r="N963" s="206"/>
      <c r="O963" s="421"/>
      <c r="P963" s="421"/>
      <c r="Q963" s="206"/>
      <c r="R963" s="421"/>
      <c r="S963" s="421"/>
      <c r="T963" s="517"/>
    </row>
    <row r="964" spans="1:20" ht="21" customHeight="1">
      <c r="A964" s="516"/>
      <c r="B964" s="458"/>
      <c r="C964" s="453"/>
      <c r="D964" s="453"/>
      <c r="E964" s="206"/>
      <c r="F964" s="206"/>
      <c r="G964" s="206"/>
      <c r="H964" s="206"/>
      <c r="I964" s="206"/>
      <c r="J964" s="206"/>
      <c r="K964" s="206"/>
      <c r="L964" s="206"/>
      <c r="M964" s="3"/>
      <c r="N964" s="206"/>
      <c r="O964" s="421"/>
      <c r="P964" s="421"/>
      <c r="Q964" s="206"/>
      <c r="R964" s="421"/>
      <c r="S964" s="421"/>
      <c r="T964" s="517"/>
    </row>
    <row r="965" spans="1:20" ht="21" customHeight="1">
      <c r="A965" s="516"/>
      <c r="B965" s="457"/>
      <c r="C965" s="453"/>
      <c r="D965" s="453"/>
      <c r="E965" s="206"/>
      <c r="F965" s="206"/>
      <c r="G965" s="206"/>
      <c r="H965" s="206"/>
      <c r="I965" s="206"/>
      <c r="J965" s="206"/>
      <c r="K965" s="206"/>
      <c r="L965" s="206"/>
      <c r="M965" s="3"/>
      <c r="N965" s="206"/>
      <c r="O965" s="421"/>
      <c r="P965" s="421"/>
      <c r="Q965" s="206"/>
      <c r="R965" s="421"/>
      <c r="S965" s="421"/>
      <c r="T965" s="517"/>
    </row>
    <row r="966" spans="1:20" ht="21" customHeight="1">
      <c r="A966" s="516"/>
      <c r="B966" s="457"/>
      <c r="C966" s="453"/>
      <c r="D966" s="453"/>
      <c r="E966" s="206"/>
      <c r="F966" s="206"/>
      <c r="G966" s="206"/>
      <c r="H966" s="206"/>
      <c r="I966" s="206"/>
      <c r="J966" s="206"/>
      <c r="K966" s="206"/>
      <c r="L966" s="206"/>
      <c r="M966" s="3"/>
      <c r="N966" s="206"/>
      <c r="O966" s="421"/>
      <c r="P966" s="421"/>
      <c r="Q966" s="206"/>
      <c r="R966" s="421"/>
      <c r="S966" s="421"/>
      <c r="T966" s="517"/>
    </row>
    <row r="967" spans="1:20" ht="21" customHeight="1">
      <c r="A967" s="516"/>
      <c r="B967" s="458"/>
      <c r="C967" s="453"/>
      <c r="D967" s="453"/>
      <c r="E967" s="206"/>
      <c r="F967" s="206"/>
      <c r="G967" s="206"/>
      <c r="H967" s="206"/>
      <c r="I967" s="206"/>
      <c r="J967" s="206"/>
      <c r="K967" s="206"/>
      <c r="L967" s="206"/>
      <c r="M967" s="3"/>
      <c r="N967" s="206"/>
      <c r="O967" s="421"/>
      <c r="P967" s="421"/>
      <c r="Q967" s="206"/>
      <c r="R967" s="421"/>
      <c r="S967" s="421"/>
      <c r="T967" s="517"/>
    </row>
    <row r="968" spans="1:20" ht="21" customHeight="1">
      <c r="A968" s="516"/>
      <c r="B968" s="457"/>
      <c r="C968" s="453"/>
      <c r="D968" s="453"/>
      <c r="E968" s="206"/>
      <c r="F968" s="206"/>
      <c r="G968" s="206"/>
      <c r="H968" s="206"/>
      <c r="I968" s="206"/>
      <c r="J968" s="206"/>
      <c r="K968" s="206"/>
      <c r="L968" s="206"/>
      <c r="M968" s="3"/>
      <c r="N968" s="206"/>
      <c r="O968" s="421"/>
      <c r="P968" s="421"/>
      <c r="Q968" s="206"/>
      <c r="R968" s="421"/>
      <c r="S968" s="421"/>
      <c r="T968" s="517"/>
    </row>
    <row r="969" spans="1:20" ht="21" customHeight="1">
      <c r="A969" s="516"/>
      <c r="B969" s="458"/>
      <c r="C969" s="453"/>
      <c r="D969" s="453"/>
      <c r="E969" s="206"/>
      <c r="F969" s="206"/>
      <c r="G969" s="206"/>
      <c r="H969" s="206"/>
      <c r="I969" s="206"/>
      <c r="J969" s="206"/>
      <c r="K969" s="206"/>
      <c r="L969" s="206"/>
      <c r="M969" s="3"/>
      <c r="N969" s="206"/>
      <c r="O969" s="421"/>
      <c r="P969" s="421"/>
      <c r="Q969" s="206"/>
      <c r="R969" s="421"/>
      <c r="S969" s="421"/>
      <c r="T969" s="517"/>
    </row>
    <row r="970" spans="1:20" ht="21" customHeight="1">
      <c r="A970" s="516"/>
      <c r="B970" s="457"/>
      <c r="C970" s="453"/>
      <c r="D970" s="453"/>
      <c r="E970" s="206"/>
      <c r="F970" s="206"/>
      <c r="G970" s="206"/>
      <c r="H970" s="206"/>
      <c r="I970" s="206"/>
      <c r="J970" s="206"/>
      <c r="K970" s="206"/>
      <c r="L970" s="206"/>
      <c r="M970" s="3"/>
      <c r="N970" s="206"/>
      <c r="O970" s="421"/>
      <c r="P970" s="421"/>
      <c r="Q970" s="206"/>
      <c r="R970" s="421"/>
      <c r="S970" s="421"/>
      <c r="T970" s="517"/>
    </row>
    <row r="971" spans="1:20" ht="21" customHeight="1">
      <c r="A971" s="516"/>
      <c r="B971" s="457"/>
      <c r="C971" s="453"/>
      <c r="D971" s="453"/>
      <c r="E971" s="206"/>
      <c r="F971" s="206"/>
      <c r="G971" s="206"/>
      <c r="H971" s="206"/>
      <c r="I971" s="206"/>
      <c r="J971" s="206"/>
      <c r="K971" s="206"/>
      <c r="L971" s="206"/>
      <c r="M971" s="3"/>
      <c r="N971" s="206"/>
      <c r="O971" s="421"/>
      <c r="P971" s="421"/>
      <c r="Q971" s="206"/>
      <c r="R971" s="421"/>
      <c r="S971" s="421"/>
      <c r="T971" s="517"/>
    </row>
    <row r="972" spans="1:20" ht="21" customHeight="1">
      <c r="A972" s="516"/>
      <c r="B972" s="458"/>
      <c r="C972" s="453"/>
      <c r="D972" s="453"/>
      <c r="E972" s="206"/>
      <c r="F972" s="206"/>
      <c r="G972" s="206"/>
      <c r="H972" s="206"/>
      <c r="I972" s="206"/>
      <c r="J972" s="206"/>
      <c r="K972" s="206"/>
      <c r="L972" s="206"/>
      <c r="M972" s="3"/>
      <c r="N972" s="206"/>
      <c r="O972" s="421"/>
      <c r="P972" s="421"/>
      <c r="Q972" s="206"/>
      <c r="R972" s="421"/>
      <c r="S972" s="421"/>
      <c r="T972" s="517"/>
    </row>
    <row r="973" spans="1:20" customFormat="1" ht="21" customHeight="1">
      <c r="A973" s="516"/>
      <c r="B973" s="458"/>
      <c r="C973" s="453"/>
      <c r="D973" s="453"/>
      <c r="E973" s="206"/>
      <c r="F973" s="206"/>
      <c r="G973" s="206"/>
      <c r="H973" s="206"/>
      <c r="I973" s="206"/>
      <c r="J973" s="206"/>
      <c r="K973" s="206"/>
      <c r="L973" s="206"/>
      <c r="M973" s="3"/>
      <c r="N973" s="206"/>
      <c r="O973" s="421"/>
      <c r="P973" s="421"/>
      <c r="Q973" s="206"/>
      <c r="R973" s="421"/>
      <c r="S973" s="421"/>
      <c r="T973" s="517"/>
    </row>
    <row r="974" spans="1:20" ht="21" customHeight="1">
      <c r="A974" s="516"/>
      <c r="B974" s="457"/>
      <c r="C974" s="453"/>
      <c r="D974" s="453"/>
      <c r="E974" s="206"/>
      <c r="F974" s="206"/>
      <c r="G974" s="206"/>
      <c r="H974" s="206"/>
      <c r="I974" s="206"/>
      <c r="J974" s="206"/>
      <c r="K974" s="206"/>
      <c r="L974" s="206"/>
      <c r="M974" s="3"/>
      <c r="N974" s="206"/>
      <c r="O974" s="421"/>
      <c r="P974" s="421"/>
      <c r="Q974" s="206"/>
      <c r="R974" s="421"/>
      <c r="S974" s="421"/>
      <c r="T974" s="517"/>
    </row>
    <row r="975" spans="1:20" ht="21" customHeight="1">
      <c r="A975" s="516"/>
      <c r="B975" s="457"/>
      <c r="C975" s="453"/>
      <c r="D975" s="453"/>
      <c r="E975" s="206"/>
      <c r="F975" s="206"/>
      <c r="G975" s="206"/>
      <c r="H975" s="206"/>
      <c r="I975" s="206"/>
      <c r="J975" s="206"/>
      <c r="K975" s="206"/>
      <c r="L975" s="206"/>
      <c r="M975" s="3"/>
      <c r="N975" s="206"/>
      <c r="O975" s="421"/>
      <c r="P975" s="421"/>
      <c r="Q975" s="206"/>
      <c r="R975" s="421"/>
      <c r="S975" s="421"/>
      <c r="T975" s="517"/>
    </row>
    <row r="976" spans="1:20" ht="21" customHeight="1">
      <c r="A976" s="520"/>
      <c r="B976" s="562"/>
      <c r="C976" s="521"/>
      <c r="D976" s="521"/>
      <c r="E976" s="199"/>
      <c r="F976" s="199"/>
      <c r="G976" s="199"/>
      <c r="H976" s="199"/>
      <c r="I976" s="199"/>
      <c r="J976" s="199"/>
      <c r="K976" s="199"/>
      <c r="L976" s="199"/>
      <c r="M976" s="108"/>
      <c r="N976" s="199"/>
      <c r="O976" s="464"/>
      <c r="P976" s="421"/>
      <c r="Q976" s="199"/>
      <c r="R976" s="464"/>
      <c r="S976" s="464"/>
      <c r="T976" s="522"/>
    </row>
    <row r="977" spans="1:20" ht="21" customHeight="1">
      <c r="A977" s="516"/>
      <c r="B977" s="457"/>
      <c r="C977" s="453"/>
      <c r="D977" s="453"/>
      <c r="E977" s="206"/>
      <c r="F977" s="206"/>
      <c r="G977" s="206"/>
      <c r="H977" s="206"/>
      <c r="I977" s="206"/>
      <c r="J977" s="206"/>
      <c r="K977" s="206"/>
      <c r="L977" s="206"/>
      <c r="M977" s="3"/>
      <c r="N977" s="206"/>
      <c r="O977" s="421"/>
      <c r="P977" s="421"/>
      <c r="Q977" s="206"/>
      <c r="R977" s="421"/>
      <c r="S977" s="421"/>
      <c r="T977" s="517"/>
    </row>
    <row r="978" spans="1:20" ht="21" customHeight="1">
      <c r="A978" s="516"/>
      <c r="B978" s="458"/>
      <c r="C978" s="453"/>
      <c r="D978" s="453"/>
      <c r="E978" s="206"/>
      <c r="F978" s="206"/>
      <c r="G978" s="206"/>
      <c r="H978" s="206"/>
      <c r="I978" s="206"/>
      <c r="J978" s="206"/>
      <c r="K978" s="206"/>
      <c r="L978" s="206"/>
      <c r="M978" s="3"/>
      <c r="N978" s="206"/>
      <c r="O978" s="421"/>
      <c r="P978" s="421"/>
      <c r="Q978" s="206"/>
      <c r="R978" s="421"/>
      <c r="S978" s="421"/>
      <c r="T978" s="517"/>
    </row>
    <row r="979" spans="1:20" ht="21" customHeight="1">
      <c r="A979" s="516"/>
      <c r="B979" s="458"/>
      <c r="C979" s="453"/>
      <c r="D979" s="453"/>
      <c r="E979" s="206"/>
      <c r="F979" s="206"/>
      <c r="G979" s="206"/>
      <c r="H979" s="206"/>
      <c r="I979" s="206"/>
      <c r="J979" s="206"/>
      <c r="K979" s="206"/>
      <c r="L979" s="206"/>
      <c r="M979" s="3"/>
      <c r="N979" s="206"/>
      <c r="O979" s="421"/>
      <c r="P979" s="421"/>
      <c r="Q979" s="206"/>
      <c r="R979" s="421"/>
      <c r="S979" s="421"/>
      <c r="T979" s="517"/>
    </row>
    <row r="980" spans="1:20" ht="21" customHeight="1">
      <c r="A980" s="516"/>
      <c r="B980" s="457"/>
      <c r="C980" s="453"/>
      <c r="D980" s="453"/>
      <c r="E980" s="206"/>
      <c r="F980" s="206"/>
      <c r="G980" s="206"/>
      <c r="H980" s="206"/>
      <c r="I980" s="206"/>
      <c r="J980" s="206"/>
      <c r="K980" s="206"/>
      <c r="L980" s="206"/>
      <c r="M980" s="3"/>
      <c r="N980" s="206"/>
      <c r="O980" s="421"/>
      <c r="P980" s="421"/>
      <c r="Q980" s="206"/>
      <c r="R980" s="421"/>
      <c r="S980" s="421"/>
      <c r="T980" s="517"/>
    </row>
    <row r="981" spans="1:20" ht="21" customHeight="1">
      <c r="A981" s="516"/>
      <c r="B981" s="458"/>
      <c r="C981" s="453"/>
      <c r="D981" s="453"/>
      <c r="E981" s="206"/>
      <c r="F981" s="206"/>
      <c r="G981" s="206"/>
      <c r="H981" s="206"/>
      <c r="I981" s="206"/>
      <c r="J981" s="206"/>
      <c r="K981" s="206"/>
      <c r="L981" s="206"/>
      <c r="M981" s="3"/>
      <c r="N981" s="206"/>
      <c r="O981" s="421"/>
      <c r="P981" s="421"/>
      <c r="Q981" s="206"/>
      <c r="R981" s="421"/>
      <c r="S981" s="421"/>
      <c r="T981" s="517"/>
    </row>
    <row r="982" spans="1:20" ht="21" customHeight="1">
      <c r="A982" s="516"/>
      <c r="B982" s="457"/>
      <c r="C982" s="453"/>
      <c r="D982" s="453"/>
      <c r="E982" s="206"/>
      <c r="F982" s="206"/>
      <c r="G982" s="206"/>
      <c r="H982" s="206"/>
      <c r="I982" s="206"/>
      <c r="J982" s="206"/>
      <c r="K982" s="206"/>
      <c r="L982" s="206"/>
      <c r="M982" s="3"/>
      <c r="N982" s="206"/>
      <c r="O982" s="421"/>
      <c r="P982" s="421"/>
      <c r="Q982" s="206"/>
      <c r="R982" s="421"/>
      <c r="S982" s="421"/>
      <c r="T982" s="517"/>
    </row>
    <row r="983" spans="1:20" ht="21" customHeight="1">
      <c r="A983" s="516"/>
      <c r="B983" s="458"/>
      <c r="C983" s="453"/>
      <c r="D983" s="453"/>
      <c r="E983" s="206"/>
      <c r="F983" s="206"/>
      <c r="G983" s="206"/>
      <c r="H983" s="206"/>
      <c r="I983" s="206"/>
      <c r="J983" s="206"/>
      <c r="K983" s="206"/>
      <c r="L983" s="206"/>
      <c r="M983" s="3"/>
      <c r="N983" s="206"/>
      <c r="O983" s="421"/>
      <c r="P983" s="421"/>
      <c r="Q983" s="206"/>
      <c r="R983" s="421"/>
      <c r="S983" s="421"/>
      <c r="T983" s="517"/>
    </row>
    <row r="984" spans="1:20" ht="21" customHeight="1">
      <c r="A984" s="516"/>
      <c r="B984" s="457"/>
      <c r="C984" s="453"/>
      <c r="D984" s="453"/>
      <c r="E984" s="206"/>
      <c r="F984" s="206"/>
      <c r="G984" s="206"/>
      <c r="H984" s="206"/>
      <c r="I984" s="206"/>
      <c r="J984" s="206"/>
      <c r="K984" s="206"/>
      <c r="L984" s="206"/>
      <c r="M984" s="3"/>
      <c r="N984" s="206"/>
      <c r="O984" s="421"/>
      <c r="P984" s="421"/>
      <c r="Q984" s="206"/>
      <c r="R984" s="421"/>
      <c r="S984" s="421"/>
      <c r="T984" s="517"/>
    </row>
    <row r="985" spans="1:20" ht="21" customHeight="1">
      <c r="A985" s="516"/>
      <c r="B985" s="458"/>
      <c r="C985" s="453"/>
      <c r="D985" s="453"/>
      <c r="E985" s="206"/>
      <c r="F985" s="206"/>
      <c r="G985" s="206"/>
      <c r="H985" s="206"/>
      <c r="I985" s="206"/>
      <c r="J985" s="206"/>
      <c r="K985" s="206"/>
      <c r="L985" s="206"/>
      <c r="M985" s="3"/>
      <c r="N985" s="206"/>
      <c r="O985" s="421"/>
      <c r="P985" s="421"/>
      <c r="Q985" s="206"/>
      <c r="R985" s="421"/>
      <c r="S985" s="421"/>
      <c r="T985" s="517"/>
    </row>
    <row r="986" spans="1:20" ht="21" customHeight="1">
      <c r="A986" s="516"/>
      <c r="B986" s="457"/>
      <c r="C986" s="453"/>
      <c r="D986" s="453"/>
      <c r="E986" s="206"/>
      <c r="F986" s="206"/>
      <c r="G986" s="206"/>
      <c r="H986" s="206"/>
      <c r="I986" s="206"/>
      <c r="J986" s="206"/>
      <c r="K986" s="206"/>
      <c r="L986" s="206"/>
      <c r="M986" s="3"/>
      <c r="N986" s="206"/>
      <c r="O986" s="421"/>
      <c r="P986" s="421"/>
      <c r="Q986" s="206"/>
      <c r="R986" s="421"/>
      <c r="S986" s="421"/>
      <c r="T986" s="517"/>
    </row>
    <row r="987" spans="1:20" ht="21" customHeight="1">
      <c r="A987" s="516"/>
      <c r="B987" s="457"/>
      <c r="C987" s="453"/>
      <c r="D987" s="453"/>
      <c r="E987" s="206"/>
      <c r="F987" s="206"/>
      <c r="G987" s="206"/>
      <c r="H987" s="206"/>
      <c r="I987" s="206"/>
      <c r="J987" s="206"/>
      <c r="K987" s="206"/>
      <c r="L987" s="206"/>
      <c r="M987" s="3"/>
      <c r="N987" s="206"/>
      <c r="O987" s="421"/>
      <c r="P987" s="421"/>
      <c r="Q987" s="206"/>
      <c r="R987" s="421"/>
      <c r="S987" s="421"/>
      <c r="T987" s="517"/>
    </row>
    <row r="988" spans="1:20" ht="21" customHeight="1">
      <c r="A988" s="516"/>
      <c r="B988" s="458"/>
      <c r="C988" s="453"/>
      <c r="D988" s="453"/>
      <c r="E988" s="206"/>
      <c r="F988" s="206"/>
      <c r="G988" s="206"/>
      <c r="H988" s="206"/>
      <c r="I988" s="206"/>
      <c r="J988" s="206"/>
      <c r="K988" s="206"/>
      <c r="L988" s="206"/>
      <c r="M988" s="3"/>
      <c r="N988" s="206"/>
      <c r="O988" s="421"/>
      <c r="P988" s="421"/>
      <c r="Q988" s="206"/>
      <c r="R988" s="421"/>
      <c r="S988" s="421"/>
      <c r="T988" s="517"/>
    </row>
    <row r="989" spans="1:20" ht="21" customHeight="1">
      <c r="A989" s="516"/>
      <c r="B989" s="458"/>
      <c r="C989" s="453"/>
      <c r="D989" s="453"/>
      <c r="E989" s="206"/>
      <c r="F989" s="206"/>
      <c r="G989" s="206"/>
      <c r="H989" s="206"/>
      <c r="I989" s="206"/>
      <c r="J989" s="206"/>
      <c r="K989" s="206"/>
      <c r="L989" s="206"/>
      <c r="M989" s="3"/>
      <c r="N989" s="206"/>
      <c r="O989" s="421"/>
      <c r="P989" s="421"/>
      <c r="Q989" s="206"/>
      <c r="R989" s="421"/>
      <c r="S989" s="421"/>
      <c r="T989" s="517"/>
    </row>
    <row r="990" spans="1:20" ht="21" customHeight="1">
      <c r="A990" s="516"/>
      <c r="B990" s="458"/>
      <c r="C990" s="453"/>
      <c r="D990" s="453"/>
      <c r="E990" s="206"/>
      <c r="F990" s="206"/>
      <c r="G990" s="206"/>
      <c r="H990" s="206"/>
      <c r="I990" s="206"/>
      <c r="J990" s="206"/>
      <c r="K990" s="206"/>
      <c r="L990" s="206"/>
      <c r="M990" s="3"/>
      <c r="N990" s="206"/>
      <c r="O990" s="421"/>
      <c r="P990" s="421"/>
      <c r="Q990" s="206"/>
      <c r="R990" s="421"/>
      <c r="S990" s="421"/>
      <c r="T990" s="517"/>
    </row>
    <row r="991" spans="1:20" ht="21" customHeight="1">
      <c r="A991" s="516"/>
      <c r="B991" s="457"/>
      <c r="C991" s="453"/>
      <c r="D991" s="453"/>
      <c r="E991" s="206"/>
      <c r="F991" s="206"/>
      <c r="G991" s="206"/>
      <c r="H991" s="206"/>
      <c r="I991" s="206"/>
      <c r="J991" s="206"/>
      <c r="K991" s="206"/>
      <c r="L991" s="206"/>
      <c r="M991" s="3"/>
      <c r="N991" s="206"/>
      <c r="O991" s="421"/>
      <c r="P991" s="421"/>
      <c r="Q991" s="206"/>
      <c r="R991" s="421"/>
      <c r="S991" s="421"/>
      <c r="T991" s="517"/>
    </row>
    <row r="992" spans="1:20" ht="21" customHeight="1">
      <c r="A992" s="516"/>
      <c r="B992" s="457"/>
      <c r="C992" s="453"/>
      <c r="D992" s="453"/>
      <c r="E992" s="206"/>
      <c r="F992" s="206"/>
      <c r="G992" s="206"/>
      <c r="H992" s="206"/>
      <c r="I992" s="206"/>
      <c r="J992" s="206"/>
      <c r="K992" s="206"/>
      <c r="L992" s="206"/>
      <c r="M992" s="3"/>
      <c r="N992" s="206"/>
      <c r="O992" s="421"/>
      <c r="P992" s="421"/>
      <c r="Q992" s="206"/>
      <c r="R992" s="421"/>
      <c r="S992" s="421"/>
      <c r="T992" s="517"/>
    </row>
    <row r="993" spans="1:20" s="534" customFormat="1" ht="21" customHeight="1">
      <c r="A993" s="516"/>
      <c r="B993" s="458"/>
      <c r="C993" s="453"/>
      <c r="D993" s="453"/>
      <c r="E993" s="206"/>
      <c r="F993" s="206"/>
      <c r="G993" s="206"/>
      <c r="H993" s="206"/>
      <c r="I993" s="206"/>
      <c r="J993" s="206"/>
      <c r="K993" s="206"/>
      <c r="L993" s="206"/>
      <c r="M993" s="3"/>
      <c r="N993" s="206"/>
      <c r="O993" s="421"/>
      <c r="P993" s="421"/>
      <c r="Q993" s="206"/>
      <c r="R993" s="421"/>
      <c r="S993" s="421"/>
      <c r="T993" s="517"/>
    </row>
    <row r="994" spans="1:20" ht="21" customHeight="1">
      <c r="A994" s="516"/>
      <c r="B994" s="457"/>
      <c r="C994" s="453"/>
      <c r="D994" s="453"/>
      <c r="E994" s="206"/>
      <c r="F994" s="206"/>
      <c r="G994" s="206"/>
      <c r="H994" s="206"/>
      <c r="I994" s="206"/>
      <c r="J994" s="206"/>
      <c r="K994" s="206"/>
      <c r="L994" s="206"/>
      <c r="M994" s="3"/>
      <c r="N994" s="206"/>
      <c r="O994" s="421"/>
      <c r="P994" s="421"/>
      <c r="Q994" s="206"/>
      <c r="R994" s="421"/>
      <c r="S994" s="421"/>
      <c r="T994" s="517"/>
    </row>
    <row r="995" spans="1:20" ht="21" customHeight="1">
      <c r="A995" s="516"/>
      <c r="B995" s="457"/>
      <c r="C995" s="453"/>
      <c r="D995" s="453"/>
      <c r="E995" s="206"/>
      <c r="F995" s="206"/>
      <c r="G995" s="206"/>
      <c r="H995" s="206"/>
      <c r="I995" s="206"/>
      <c r="J995" s="206"/>
      <c r="K995" s="206"/>
      <c r="L995" s="206"/>
      <c r="M995" s="3"/>
      <c r="N995" s="206"/>
      <c r="O995" s="421"/>
      <c r="P995" s="421"/>
      <c r="Q995" s="206"/>
      <c r="R995" s="421"/>
      <c r="S995" s="421"/>
      <c r="T995" s="517"/>
    </row>
    <row r="996" spans="1:20" ht="21" customHeight="1">
      <c r="A996" s="516"/>
      <c r="B996" s="457"/>
      <c r="C996" s="453"/>
      <c r="D996" s="453"/>
      <c r="E996" s="206"/>
      <c r="F996" s="206"/>
      <c r="G996" s="206"/>
      <c r="H996" s="206"/>
      <c r="I996" s="206"/>
      <c r="J996" s="206"/>
      <c r="K996" s="206"/>
      <c r="L996" s="206"/>
      <c r="M996" s="3"/>
      <c r="N996" s="206"/>
      <c r="O996" s="421"/>
      <c r="P996" s="421"/>
      <c r="Q996" s="206"/>
      <c r="R996" s="421"/>
      <c r="S996" s="421"/>
      <c r="T996" s="517"/>
    </row>
    <row r="997" spans="1:20" ht="21" customHeight="1">
      <c r="A997" s="516"/>
      <c r="B997" s="457"/>
      <c r="C997" s="453"/>
      <c r="D997" s="453"/>
      <c r="E997" s="206"/>
      <c r="F997" s="206"/>
      <c r="G997" s="206"/>
      <c r="H997" s="206"/>
      <c r="I997" s="206"/>
      <c r="J997" s="206"/>
      <c r="K997" s="206"/>
      <c r="L997" s="206"/>
      <c r="M997" s="3"/>
      <c r="N997" s="206"/>
      <c r="O997" s="421"/>
      <c r="P997" s="421"/>
      <c r="Q997" s="206"/>
      <c r="R997" s="421"/>
      <c r="S997" s="421"/>
      <c r="T997" s="517"/>
    </row>
    <row r="998" spans="1:20" ht="21" customHeight="1">
      <c r="A998" s="516"/>
      <c r="B998" s="457"/>
      <c r="C998" s="453"/>
      <c r="D998" s="453"/>
      <c r="E998" s="206"/>
      <c r="F998" s="206"/>
      <c r="G998" s="206"/>
      <c r="H998" s="206"/>
      <c r="I998" s="206"/>
      <c r="J998" s="206"/>
      <c r="K998" s="206"/>
      <c r="L998" s="206"/>
      <c r="M998" s="3"/>
      <c r="N998" s="206"/>
      <c r="O998" s="421"/>
      <c r="P998" s="421"/>
      <c r="Q998" s="206"/>
      <c r="R998" s="421"/>
      <c r="S998" s="421"/>
      <c r="T998" s="517"/>
    </row>
    <row r="999" spans="1:20" ht="21" customHeight="1">
      <c r="A999" s="516"/>
      <c r="B999" s="457"/>
      <c r="C999" s="453"/>
      <c r="D999" s="453"/>
      <c r="E999" s="206"/>
      <c r="F999" s="206"/>
      <c r="G999" s="206"/>
      <c r="H999" s="206"/>
      <c r="I999" s="206"/>
      <c r="J999" s="206"/>
      <c r="K999" s="206"/>
      <c r="L999" s="206"/>
      <c r="M999" s="3"/>
      <c r="N999" s="206"/>
      <c r="O999" s="421"/>
      <c r="P999" s="421"/>
      <c r="Q999" s="206"/>
      <c r="R999" s="421"/>
      <c r="S999" s="421"/>
      <c r="T999" s="517"/>
    </row>
    <row r="1000" spans="1:20" ht="21" customHeight="1">
      <c r="A1000" s="516"/>
      <c r="B1000" s="457"/>
      <c r="C1000" s="453"/>
      <c r="D1000" s="453"/>
      <c r="E1000" s="206"/>
      <c r="F1000" s="206"/>
      <c r="G1000" s="206"/>
      <c r="H1000" s="206"/>
      <c r="I1000" s="206"/>
      <c r="J1000" s="206"/>
      <c r="K1000" s="206"/>
      <c r="L1000" s="206"/>
      <c r="M1000" s="3"/>
      <c r="N1000" s="206"/>
      <c r="O1000" s="421"/>
      <c r="P1000" s="421"/>
      <c r="Q1000" s="206"/>
      <c r="R1000" s="421"/>
      <c r="S1000" s="421"/>
      <c r="T1000" s="517"/>
    </row>
    <row r="1001" spans="1:20" ht="21" customHeight="1">
      <c r="A1001" s="516"/>
      <c r="B1001" s="457"/>
      <c r="C1001" s="453"/>
      <c r="D1001" s="453"/>
      <c r="E1001" s="206"/>
      <c r="F1001" s="206"/>
      <c r="G1001" s="206"/>
      <c r="H1001" s="206"/>
      <c r="I1001" s="206"/>
      <c r="J1001" s="206"/>
      <c r="K1001" s="206"/>
      <c r="L1001" s="206"/>
      <c r="M1001" s="3"/>
      <c r="N1001" s="206"/>
      <c r="O1001" s="421"/>
      <c r="P1001" s="421"/>
      <c r="Q1001" s="206"/>
      <c r="R1001" s="421"/>
      <c r="S1001" s="421"/>
      <c r="T1001" s="517"/>
    </row>
    <row r="1002" spans="1:20" ht="21" customHeight="1">
      <c r="A1002" s="516"/>
      <c r="B1002" s="457"/>
      <c r="C1002" s="453"/>
      <c r="D1002" s="453"/>
      <c r="E1002" s="206"/>
      <c r="F1002" s="206"/>
      <c r="G1002" s="206"/>
      <c r="H1002" s="206"/>
      <c r="I1002" s="206"/>
      <c r="J1002" s="206"/>
      <c r="K1002" s="206"/>
      <c r="L1002" s="206"/>
      <c r="M1002" s="3"/>
      <c r="N1002" s="206"/>
      <c r="O1002" s="421"/>
      <c r="P1002" s="421"/>
      <c r="Q1002" s="206"/>
      <c r="R1002" s="421"/>
      <c r="S1002" s="421"/>
      <c r="T1002" s="517"/>
    </row>
    <row r="1003" spans="1:20" ht="21" customHeight="1">
      <c r="A1003" s="516"/>
      <c r="B1003" s="458"/>
      <c r="C1003" s="453"/>
      <c r="D1003" s="453"/>
      <c r="E1003" s="206"/>
      <c r="F1003" s="206"/>
      <c r="G1003" s="206"/>
      <c r="H1003" s="206"/>
      <c r="I1003" s="206"/>
      <c r="J1003" s="206"/>
      <c r="K1003" s="206"/>
      <c r="L1003" s="206"/>
      <c r="M1003" s="3"/>
      <c r="N1003" s="206"/>
      <c r="O1003" s="421"/>
      <c r="P1003" s="421"/>
      <c r="Q1003" s="206"/>
      <c r="R1003" s="421"/>
      <c r="S1003" s="421"/>
      <c r="T1003" s="517"/>
    </row>
    <row r="1004" spans="1:20" ht="21" customHeight="1">
      <c r="A1004" s="516"/>
      <c r="B1004" s="458"/>
      <c r="C1004" s="453"/>
      <c r="D1004" s="453"/>
      <c r="E1004" s="206"/>
      <c r="F1004" s="206"/>
      <c r="G1004" s="206"/>
      <c r="H1004" s="206"/>
      <c r="I1004" s="206"/>
      <c r="J1004" s="206"/>
      <c r="K1004" s="206"/>
      <c r="L1004" s="206"/>
      <c r="M1004" s="3"/>
      <c r="N1004" s="206"/>
      <c r="O1004" s="421"/>
      <c r="P1004" s="421"/>
      <c r="Q1004" s="206"/>
      <c r="R1004" s="421"/>
      <c r="S1004" s="421"/>
      <c r="T1004" s="517"/>
    </row>
    <row r="1005" spans="1:20" ht="21" customHeight="1">
      <c r="A1005" s="516"/>
      <c r="B1005" s="457"/>
      <c r="C1005" s="453"/>
      <c r="D1005" s="453"/>
      <c r="E1005" s="206"/>
      <c r="F1005" s="206"/>
      <c r="G1005" s="206"/>
      <c r="H1005" s="206"/>
      <c r="I1005" s="206"/>
      <c r="J1005" s="206"/>
      <c r="K1005" s="206"/>
      <c r="L1005" s="206"/>
      <c r="M1005" s="3"/>
      <c r="N1005" s="206"/>
      <c r="O1005" s="421"/>
      <c r="P1005" s="421"/>
      <c r="Q1005" s="206"/>
      <c r="R1005" s="421"/>
      <c r="S1005" s="421"/>
      <c r="T1005" s="517"/>
    </row>
    <row r="1006" spans="1:20" ht="21" customHeight="1">
      <c r="A1006" s="516"/>
      <c r="B1006" s="457"/>
      <c r="C1006" s="453"/>
      <c r="D1006" s="453"/>
      <c r="E1006" s="206"/>
      <c r="F1006" s="206"/>
      <c r="G1006" s="206"/>
      <c r="H1006" s="206"/>
      <c r="I1006" s="206"/>
      <c r="J1006" s="206"/>
      <c r="K1006" s="206"/>
      <c r="L1006" s="206"/>
      <c r="M1006" s="3"/>
      <c r="N1006" s="206"/>
      <c r="O1006" s="421"/>
      <c r="P1006" s="421"/>
      <c r="Q1006" s="206"/>
      <c r="R1006" s="421"/>
      <c r="S1006" s="421"/>
      <c r="T1006" s="517"/>
    </row>
    <row r="1007" spans="1:20" ht="21" customHeight="1">
      <c r="A1007" s="516"/>
      <c r="B1007" s="458"/>
      <c r="C1007" s="453"/>
      <c r="D1007" s="453"/>
      <c r="E1007" s="206"/>
      <c r="F1007" s="206"/>
      <c r="G1007" s="206"/>
      <c r="H1007" s="206"/>
      <c r="I1007" s="206"/>
      <c r="J1007" s="206"/>
      <c r="K1007" s="206"/>
      <c r="L1007" s="206"/>
      <c r="M1007" s="3"/>
      <c r="N1007" s="206"/>
      <c r="O1007" s="421"/>
      <c r="P1007" s="421"/>
      <c r="Q1007" s="206"/>
      <c r="R1007" s="421"/>
      <c r="S1007" s="421"/>
      <c r="T1007" s="517"/>
    </row>
    <row r="1008" spans="1:20" ht="21" customHeight="1">
      <c r="A1008" s="516"/>
      <c r="B1008" s="206"/>
      <c r="C1008" s="453"/>
      <c r="D1008" s="453"/>
      <c r="E1008" s="206"/>
      <c r="F1008" s="206"/>
      <c r="G1008" s="206"/>
      <c r="H1008" s="206"/>
      <c r="I1008" s="206"/>
      <c r="J1008" s="206"/>
      <c r="K1008" s="206"/>
      <c r="L1008" s="206"/>
      <c r="M1008" s="3"/>
      <c r="N1008" s="206"/>
      <c r="O1008" s="421"/>
      <c r="P1008" s="421"/>
      <c r="Q1008" s="206"/>
      <c r="R1008" s="206"/>
      <c r="S1008" s="421"/>
      <c r="T1008" s="517"/>
    </row>
    <row r="1009" spans="1:20" ht="21" customHeight="1">
      <c r="A1009" s="516"/>
      <c r="B1009" s="206"/>
      <c r="C1009" s="453"/>
      <c r="D1009" s="453"/>
      <c r="E1009" s="206"/>
      <c r="F1009" s="206"/>
      <c r="G1009" s="206"/>
      <c r="H1009" s="206"/>
      <c r="I1009" s="206"/>
      <c r="J1009" s="206"/>
      <c r="K1009" s="206"/>
      <c r="L1009" s="206"/>
      <c r="M1009" s="3"/>
      <c r="N1009" s="206"/>
      <c r="O1009" s="422"/>
      <c r="P1009" s="421"/>
      <c r="Q1009" s="206"/>
      <c r="R1009" s="421"/>
      <c r="S1009" s="421"/>
      <c r="T1009" s="517"/>
    </row>
    <row r="1010" spans="1:20" ht="21" customHeight="1">
      <c r="A1010" s="516"/>
      <c r="B1010" s="206"/>
      <c r="C1010" s="453"/>
      <c r="D1010" s="453"/>
      <c r="E1010" s="206"/>
      <c r="F1010" s="206"/>
      <c r="G1010" s="206"/>
      <c r="H1010" s="206"/>
      <c r="I1010" s="206"/>
      <c r="J1010" s="206"/>
      <c r="K1010" s="206"/>
      <c r="L1010" s="206"/>
      <c r="M1010" s="3"/>
      <c r="N1010" s="206"/>
      <c r="O1010" s="421"/>
      <c r="P1010" s="421"/>
      <c r="Q1010" s="206"/>
      <c r="R1010" s="421"/>
      <c r="S1010" s="421"/>
      <c r="T1010" s="517"/>
    </row>
    <row r="1011" spans="1:20" ht="21" customHeight="1">
      <c r="A1011" s="516"/>
      <c r="B1011" s="206"/>
      <c r="C1011" s="453"/>
      <c r="D1011" s="453"/>
      <c r="E1011" s="206"/>
      <c r="F1011" s="206"/>
      <c r="G1011" s="206"/>
      <c r="H1011" s="206"/>
      <c r="I1011" s="206"/>
      <c r="J1011" s="206"/>
      <c r="K1011" s="206"/>
      <c r="L1011" s="206"/>
      <c r="M1011" s="3"/>
      <c r="N1011" s="206"/>
      <c r="O1011" s="421"/>
      <c r="P1011" s="421"/>
      <c r="Q1011" s="206"/>
      <c r="R1011" s="421"/>
      <c r="S1011" s="421"/>
      <c r="T1011" s="517"/>
    </row>
    <row r="1012" spans="1:20" ht="21" customHeight="1">
      <c r="A1012" s="516"/>
      <c r="B1012" s="206"/>
      <c r="C1012" s="459"/>
      <c r="D1012" s="459"/>
      <c r="E1012" s="206"/>
      <c r="F1012" s="206"/>
      <c r="G1012" s="206"/>
      <c r="H1012" s="206"/>
      <c r="I1012" s="206"/>
      <c r="J1012" s="206"/>
      <c r="K1012" s="206"/>
      <c r="L1012" s="206"/>
      <c r="M1012" s="3"/>
      <c r="N1012" s="206"/>
      <c r="O1012" s="421"/>
      <c r="P1012" s="421"/>
      <c r="Q1012" s="206"/>
      <c r="R1012" s="421"/>
      <c r="S1012" s="421"/>
      <c r="T1012" s="517"/>
    </row>
    <row r="1013" spans="1:20" ht="21" customHeight="1">
      <c r="A1013" s="516"/>
      <c r="B1013" s="206"/>
      <c r="C1013" s="459"/>
      <c r="D1013" s="459"/>
      <c r="E1013" s="206"/>
      <c r="F1013" s="206"/>
      <c r="G1013" s="206"/>
      <c r="H1013" s="206"/>
      <c r="I1013" s="206"/>
      <c r="J1013" s="206"/>
      <c r="K1013" s="206"/>
      <c r="L1013" s="206"/>
      <c r="M1013" s="3"/>
      <c r="N1013" s="206"/>
      <c r="O1013" s="421"/>
      <c r="P1013" s="421"/>
      <c r="Q1013" s="206"/>
      <c r="R1013" s="421"/>
      <c r="S1013" s="421"/>
      <c r="T1013" s="517"/>
    </row>
    <row r="1014" spans="1:20" ht="21" customHeight="1">
      <c r="A1014" s="516"/>
      <c r="B1014" s="206"/>
      <c r="C1014" s="459"/>
      <c r="D1014" s="459"/>
      <c r="E1014" s="206"/>
      <c r="F1014" s="206"/>
      <c r="G1014" s="206"/>
      <c r="H1014" s="206"/>
      <c r="I1014" s="206"/>
      <c r="J1014" s="206"/>
      <c r="K1014" s="206"/>
      <c r="L1014" s="206"/>
      <c r="M1014" s="3"/>
      <c r="N1014" s="206"/>
      <c r="O1014" s="421"/>
      <c r="P1014" s="421"/>
      <c r="Q1014" s="206"/>
      <c r="R1014" s="421"/>
      <c r="S1014" s="421"/>
      <c r="T1014" s="517"/>
    </row>
    <row r="1015" spans="1:20" ht="21" customHeight="1">
      <c r="A1015" s="516"/>
      <c r="B1015" s="206"/>
      <c r="C1015" s="459"/>
      <c r="D1015" s="459"/>
      <c r="E1015" s="206"/>
      <c r="F1015" s="206"/>
      <c r="G1015" s="206"/>
      <c r="H1015" s="206"/>
      <c r="I1015" s="206"/>
      <c r="J1015" s="206"/>
      <c r="K1015" s="206"/>
      <c r="L1015" s="206"/>
      <c r="M1015" s="3"/>
      <c r="N1015" s="206"/>
      <c r="O1015" s="421"/>
      <c r="P1015" s="421"/>
      <c r="Q1015" s="206"/>
      <c r="R1015" s="421"/>
      <c r="S1015" s="421"/>
      <c r="T1015" s="517"/>
    </row>
    <row r="1016" spans="1:20" ht="21" customHeight="1">
      <c r="A1016" s="516"/>
      <c r="B1016" s="206"/>
      <c r="C1016" s="459"/>
      <c r="D1016" s="459"/>
      <c r="E1016" s="206"/>
      <c r="F1016" s="206"/>
      <c r="G1016" s="206"/>
      <c r="H1016" s="206"/>
      <c r="I1016" s="206"/>
      <c r="J1016" s="206"/>
      <c r="K1016" s="206"/>
      <c r="L1016" s="206"/>
      <c r="M1016" s="3"/>
      <c r="N1016" s="206"/>
      <c r="O1016" s="421"/>
      <c r="P1016" s="421"/>
      <c r="Q1016" s="206"/>
      <c r="R1016" s="421"/>
      <c r="S1016" s="421"/>
      <c r="T1016" s="517"/>
    </row>
    <row r="1017" spans="1:20" ht="21" customHeight="1">
      <c r="A1017" s="516"/>
      <c r="B1017" s="206"/>
      <c r="C1017" s="459"/>
      <c r="D1017" s="459"/>
      <c r="E1017" s="206"/>
      <c r="F1017" s="206"/>
      <c r="G1017" s="206"/>
      <c r="H1017" s="206"/>
      <c r="I1017" s="206"/>
      <c r="J1017" s="206"/>
      <c r="K1017" s="206"/>
      <c r="L1017" s="206"/>
      <c r="M1017" s="3"/>
      <c r="N1017" s="206"/>
      <c r="O1017" s="421"/>
      <c r="P1017" s="421"/>
      <c r="Q1017" s="206"/>
      <c r="R1017" s="421"/>
      <c r="S1017" s="421"/>
      <c r="T1017" s="517"/>
    </row>
    <row r="1018" spans="1:20" ht="21" customHeight="1">
      <c r="A1018" s="516"/>
      <c r="B1018" s="206"/>
      <c r="C1018" s="459"/>
      <c r="D1018" s="459"/>
      <c r="E1018" s="206"/>
      <c r="F1018" s="206"/>
      <c r="G1018" s="206"/>
      <c r="H1018" s="206"/>
      <c r="I1018" s="206"/>
      <c r="J1018" s="206"/>
      <c r="K1018" s="206"/>
      <c r="L1018" s="206"/>
      <c r="M1018" s="3"/>
      <c r="N1018" s="206"/>
      <c r="O1018" s="421"/>
      <c r="P1018" s="421"/>
      <c r="Q1018" s="206"/>
      <c r="R1018" s="421"/>
      <c r="S1018" s="421"/>
      <c r="T1018" s="517"/>
    </row>
    <row r="1019" spans="1:20" ht="21" customHeight="1">
      <c r="A1019" s="516"/>
      <c r="B1019" s="206"/>
      <c r="C1019" s="459"/>
      <c r="D1019" s="459"/>
      <c r="E1019" s="206"/>
      <c r="F1019" s="206"/>
      <c r="G1019" s="206"/>
      <c r="H1019" s="206"/>
      <c r="I1019" s="206"/>
      <c r="J1019" s="206"/>
      <c r="K1019" s="206"/>
      <c r="L1019" s="206"/>
      <c r="M1019" s="3"/>
      <c r="N1019" s="206"/>
      <c r="O1019" s="421"/>
      <c r="P1019" s="421"/>
      <c r="Q1019" s="206"/>
      <c r="R1019" s="421"/>
      <c r="S1019" s="421"/>
      <c r="T1019" s="517"/>
    </row>
    <row r="1020" spans="1:20" ht="21" customHeight="1">
      <c r="A1020" s="516"/>
      <c r="B1020" s="206"/>
      <c r="C1020" s="453"/>
      <c r="D1020" s="453"/>
      <c r="E1020" s="206"/>
      <c r="F1020" s="206"/>
      <c r="G1020" s="206"/>
      <c r="H1020" s="206"/>
      <c r="I1020" s="206"/>
      <c r="J1020" s="206"/>
      <c r="K1020" s="206"/>
      <c r="L1020" s="206"/>
      <c r="M1020" s="3"/>
      <c r="N1020" s="206"/>
      <c r="O1020" s="421"/>
      <c r="P1020" s="421"/>
      <c r="Q1020" s="206"/>
      <c r="R1020" s="421"/>
      <c r="S1020" s="421"/>
      <c r="T1020" s="517"/>
    </row>
    <row r="1021" spans="1:20" ht="21" customHeight="1">
      <c r="A1021" s="516"/>
      <c r="B1021" s="206"/>
      <c r="C1021" s="453"/>
      <c r="D1021" s="453"/>
      <c r="E1021" s="206"/>
      <c r="F1021" s="206"/>
      <c r="G1021" s="206"/>
      <c r="H1021" s="206"/>
      <c r="I1021" s="206"/>
      <c r="J1021" s="206"/>
      <c r="K1021" s="206"/>
      <c r="L1021" s="206"/>
      <c r="M1021" s="3"/>
      <c r="N1021" s="206"/>
      <c r="O1021" s="421"/>
      <c r="P1021" s="421"/>
      <c r="Q1021" s="206"/>
      <c r="R1021" s="421"/>
      <c r="S1021" s="421"/>
      <c r="T1021" s="517"/>
    </row>
    <row r="1022" spans="1:20" ht="21" customHeight="1">
      <c r="A1022" s="516"/>
      <c r="B1022" s="206"/>
      <c r="C1022" s="453"/>
      <c r="D1022" s="453"/>
      <c r="E1022" s="206"/>
      <c r="F1022" s="206"/>
      <c r="G1022" s="206"/>
      <c r="H1022" s="206"/>
      <c r="I1022" s="206"/>
      <c r="J1022" s="206"/>
      <c r="K1022" s="206"/>
      <c r="L1022" s="206"/>
      <c r="M1022" s="3"/>
      <c r="N1022" s="206"/>
      <c r="O1022" s="421"/>
      <c r="P1022" s="421"/>
      <c r="Q1022" s="206"/>
      <c r="R1022" s="421"/>
      <c r="S1022" s="421"/>
      <c r="T1022" s="517"/>
    </row>
    <row r="1023" spans="1:20" ht="21" customHeight="1">
      <c r="A1023" s="516"/>
      <c r="B1023" s="206"/>
      <c r="C1023" s="453"/>
      <c r="D1023" s="453"/>
      <c r="E1023" s="206"/>
      <c r="F1023" s="206"/>
      <c r="G1023" s="206"/>
      <c r="H1023" s="206"/>
      <c r="I1023" s="206"/>
      <c r="J1023" s="206"/>
      <c r="K1023" s="206"/>
      <c r="L1023" s="206"/>
      <c r="M1023" s="3"/>
      <c r="N1023" s="206"/>
      <c r="O1023" s="421"/>
      <c r="P1023" s="421"/>
      <c r="Q1023" s="206"/>
      <c r="R1023" s="421"/>
      <c r="S1023" s="421"/>
      <c r="T1023" s="517"/>
    </row>
    <row r="1024" spans="1:20" ht="21" customHeight="1">
      <c r="A1024" s="516"/>
      <c r="B1024" s="206"/>
      <c r="C1024" s="453"/>
      <c r="D1024" s="453"/>
      <c r="E1024" s="206"/>
      <c r="F1024" s="206"/>
      <c r="G1024" s="206"/>
      <c r="H1024" s="206"/>
      <c r="I1024" s="206"/>
      <c r="J1024" s="206"/>
      <c r="K1024" s="206"/>
      <c r="L1024" s="206"/>
      <c r="M1024" s="3"/>
      <c r="N1024" s="206"/>
      <c r="O1024" s="421"/>
      <c r="P1024" s="421"/>
      <c r="Q1024" s="206"/>
      <c r="R1024" s="206"/>
      <c r="S1024" s="421"/>
      <c r="T1024" s="527"/>
    </row>
    <row r="1025" spans="1:20" ht="21" customHeight="1">
      <c r="A1025" s="516"/>
      <c r="B1025" s="206"/>
      <c r="C1025" s="453"/>
      <c r="D1025" s="453"/>
      <c r="E1025" s="206"/>
      <c r="F1025" s="206"/>
      <c r="G1025" s="206"/>
      <c r="H1025" s="206"/>
      <c r="I1025" s="206"/>
      <c r="J1025" s="206"/>
      <c r="K1025" s="206"/>
      <c r="L1025" s="206"/>
      <c r="M1025" s="3"/>
      <c r="N1025" s="206"/>
      <c r="O1025" s="421"/>
      <c r="P1025" s="421"/>
      <c r="Q1025" s="206"/>
      <c r="R1025" s="206"/>
      <c r="S1025" s="421"/>
      <c r="T1025" s="517"/>
    </row>
    <row r="1026" spans="1:20" ht="21" customHeight="1">
      <c r="A1026" s="516"/>
      <c r="B1026" s="206"/>
      <c r="C1026" s="453"/>
      <c r="D1026" s="453"/>
      <c r="E1026" s="206"/>
      <c r="F1026" s="206"/>
      <c r="G1026" s="206"/>
      <c r="H1026" s="206"/>
      <c r="I1026" s="206"/>
      <c r="J1026" s="206"/>
      <c r="K1026" s="206"/>
      <c r="L1026" s="206"/>
      <c r="M1026" s="3"/>
      <c r="N1026" s="206"/>
      <c r="O1026" s="421"/>
      <c r="P1026" s="421"/>
      <c r="Q1026" s="206"/>
      <c r="R1026" s="421"/>
      <c r="S1026" s="421"/>
      <c r="T1026" s="517"/>
    </row>
    <row r="1027" spans="1:20" ht="21" customHeight="1">
      <c r="A1027" s="516"/>
      <c r="B1027" s="206"/>
      <c r="C1027" s="453"/>
      <c r="D1027" s="453"/>
      <c r="E1027" s="206"/>
      <c r="F1027" s="206"/>
      <c r="G1027" s="206"/>
      <c r="H1027" s="206"/>
      <c r="I1027" s="206"/>
      <c r="J1027" s="206"/>
      <c r="K1027" s="206"/>
      <c r="L1027" s="206"/>
      <c r="M1027" s="3"/>
      <c r="N1027" s="206"/>
      <c r="O1027" s="421"/>
      <c r="P1027" s="421"/>
      <c r="Q1027" s="206"/>
      <c r="R1027" s="421"/>
      <c r="S1027" s="421"/>
      <c r="T1027" s="517"/>
    </row>
    <row r="1028" spans="1:20" ht="21" customHeight="1">
      <c r="A1028" s="516"/>
      <c r="B1028" s="206"/>
      <c r="C1028" s="453"/>
      <c r="D1028" s="453"/>
      <c r="E1028" s="206"/>
      <c r="F1028" s="206"/>
      <c r="G1028" s="206"/>
      <c r="H1028" s="206"/>
      <c r="I1028" s="206"/>
      <c r="J1028" s="206"/>
      <c r="K1028" s="206"/>
      <c r="L1028" s="206"/>
      <c r="M1028" s="3"/>
      <c r="N1028" s="206"/>
      <c r="O1028" s="421"/>
      <c r="P1028" s="421"/>
      <c r="Q1028" s="206"/>
      <c r="R1028" s="206"/>
      <c r="S1028" s="421"/>
      <c r="T1028" s="517"/>
    </row>
    <row r="1029" spans="1:20" ht="21" customHeight="1">
      <c r="A1029" s="516"/>
      <c r="B1029" s="206"/>
      <c r="C1029" s="453"/>
      <c r="D1029" s="453"/>
      <c r="E1029" s="206"/>
      <c r="F1029" s="206"/>
      <c r="G1029" s="206"/>
      <c r="H1029" s="206"/>
      <c r="I1029" s="206"/>
      <c r="J1029" s="206"/>
      <c r="K1029" s="206"/>
      <c r="L1029" s="206"/>
      <c r="M1029" s="3"/>
      <c r="N1029" s="206"/>
      <c r="O1029" s="421"/>
      <c r="P1029" s="421"/>
      <c r="Q1029" s="206"/>
      <c r="R1029" s="421"/>
      <c r="S1029" s="421"/>
      <c r="T1029" s="517"/>
    </row>
    <row r="1030" spans="1:20" ht="21" customHeight="1">
      <c r="A1030" s="516"/>
      <c r="B1030" s="206"/>
      <c r="C1030" s="453"/>
      <c r="D1030" s="453"/>
      <c r="E1030" s="206"/>
      <c r="F1030" s="206"/>
      <c r="G1030" s="206"/>
      <c r="H1030" s="206"/>
      <c r="I1030" s="206"/>
      <c r="J1030" s="206"/>
      <c r="K1030" s="206"/>
      <c r="L1030" s="206"/>
      <c r="M1030" s="3"/>
      <c r="N1030" s="206"/>
      <c r="O1030" s="421"/>
      <c r="P1030" s="421"/>
      <c r="Q1030" s="206"/>
      <c r="R1030" s="206"/>
      <c r="S1030" s="421"/>
      <c r="T1030" s="517"/>
    </row>
    <row r="1031" spans="1:20" ht="21" customHeight="1">
      <c r="A1031" s="516"/>
      <c r="B1031" s="206"/>
      <c r="C1031" s="453"/>
      <c r="D1031" s="453"/>
      <c r="E1031" s="206"/>
      <c r="F1031" s="206"/>
      <c r="G1031" s="206"/>
      <c r="H1031" s="206"/>
      <c r="I1031" s="206"/>
      <c r="J1031" s="206"/>
      <c r="K1031" s="206"/>
      <c r="L1031" s="206"/>
      <c r="M1031" s="3"/>
      <c r="N1031" s="206"/>
      <c r="O1031" s="421"/>
      <c r="P1031" s="421"/>
      <c r="Q1031" s="206"/>
      <c r="R1031" s="206"/>
      <c r="S1031" s="421"/>
      <c r="T1031" s="517"/>
    </row>
    <row r="1032" spans="1:20" ht="21" customHeight="1">
      <c r="A1032" s="516"/>
      <c r="B1032" s="206"/>
      <c r="C1032" s="453"/>
      <c r="D1032" s="453"/>
      <c r="E1032" s="206"/>
      <c r="F1032" s="206"/>
      <c r="G1032" s="206"/>
      <c r="H1032" s="206"/>
      <c r="I1032" s="206"/>
      <c r="J1032" s="206"/>
      <c r="K1032" s="206"/>
      <c r="L1032" s="206"/>
      <c r="M1032" s="3"/>
      <c r="N1032" s="206"/>
      <c r="O1032" s="421"/>
      <c r="P1032" s="421"/>
      <c r="Q1032" s="206"/>
      <c r="R1032" s="206"/>
      <c r="S1032" s="421"/>
      <c r="T1032" s="517"/>
    </row>
    <row r="1033" spans="1:20" ht="21" customHeight="1">
      <c r="A1033" s="516"/>
      <c r="B1033" s="206"/>
      <c r="C1033" s="453"/>
      <c r="D1033" s="453"/>
      <c r="E1033" s="206"/>
      <c r="F1033" s="206"/>
      <c r="G1033" s="206"/>
      <c r="H1033" s="206"/>
      <c r="I1033" s="206"/>
      <c r="J1033" s="206"/>
      <c r="K1033" s="206"/>
      <c r="L1033" s="206"/>
      <c r="M1033" s="3"/>
      <c r="N1033" s="206"/>
      <c r="O1033" s="421"/>
      <c r="P1033" s="421"/>
      <c r="Q1033" s="206"/>
      <c r="R1033" s="206"/>
      <c r="S1033" s="421"/>
      <c r="T1033" s="517"/>
    </row>
    <row r="1034" spans="1:20" ht="21" customHeight="1">
      <c r="A1034" s="516"/>
      <c r="B1034" s="206"/>
      <c r="C1034" s="453"/>
      <c r="D1034" s="453"/>
      <c r="E1034" s="206"/>
      <c r="F1034" s="206"/>
      <c r="G1034" s="206"/>
      <c r="H1034" s="206"/>
      <c r="I1034" s="206"/>
      <c r="J1034" s="206"/>
      <c r="K1034" s="206"/>
      <c r="L1034" s="206"/>
      <c r="M1034" s="3"/>
      <c r="N1034" s="206"/>
      <c r="O1034" s="421"/>
      <c r="P1034" s="421"/>
      <c r="Q1034" s="206"/>
      <c r="R1034" s="206"/>
      <c r="S1034" s="421"/>
      <c r="T1034" s="517"/>
    </row>
    <row r="1035" spans="1:20" ht="21" customHeight="1">
      <c r="A1035" s="516"/>
      <c r="B1035" s="206"/>
      <c r="C1035" s="453"/>
      <c r="D1035" s="453"/>
      <c r="E1035" s="206"/>
      <c r="F1035" s="206"/>
      <c r="G1035" s="206"/>
      <c r="H1035" s="206"/>
      <c r="I1035" s="206"/>
      <c r="J1035" s="206"/>
      <c r="K1035" s="206"/>
      <c r="L1035" s="206"/>
      <c r="M1035" s="3"/>
      <c r="N1035" s="206"/>
      <c r="O1035" s="421"/>
      <c r="P1035" s="421"/>
      <c r="Q1035" s="206"/>
      <c r="R1035" s="206"/>
      <c r="S1035" s="421"/>
      <c r="T1035" s="517"/>
    </row>
    <row r="1036" spans="1:20" ht="21" customHeight="1">
      <c r="A1036" s="516"/>
      <c r="B1036" s="206"/>
      <c r="C1036" s="453"/>
      <c r="D1036" s="453"/>
      <c r="E1036" s="206"/>
      <c r="F1036" s="206"/>
      <c r="G1036" s="206"/>
      <c r="H1036" s="206"/>
      <c r="I1036" s="206"/>
      <c r="J1036" s="206"/>
      <c r="K1036" s="206"/>
      <c r="L1036" s="206"/>
      <c r="M1036" s="3"/>
      <c r="N1036" s="206"/>
      <c r="O1036" s="421"/>
      <c r="P1036" s="421"/>
      <c r="Q1036" s="206"/>
      <c r="R1036" s="206"/>
      <c r="S1036" s="421"/>
      <c r="T1036" s="517"/>
    </row>
    <row r="1037" spans="1:20" ht="21" customHeight="1">
      <c r="A1037" s="516"/>
      <c r="B1037" s="206"/>
      <c r="C1037" s="453"/>
      <c r="D1037" s="453"/>
      <c r="E1037" s="206"/>
      <c r="F1037" s="206"/>
      <c r="G1037" s="206"/>
      <c r="H1037" s="206"/>
      <c r="I1037" s="206"/>
      <c r="J1037" s="206"/>
      <c r="K1037" s="206"/>
      <c r="L1037" s="206"/>
      <c r="M1037" s="3"/>
      <c r="N1037" s="206"/>
      <c r="O1037" s="421"/>
      <c r="P1037" s="421"/>
      <c r="Q1037" s="206"/>
      <c r="R1037" s="206"/>
      <c r="S1037" s="421"/>
      <c r="T1037" s="517"/>
    </row>
    <row r="1038" spans="1:20" ht="21" customHeight="1">
      <c r="A1038" s="516"/>
      <c r="B1038" s="206"/>
      <c r="C1038" s="453"/>
      <c r="D1038" s="453"/>
      <c r="E1038" s="206"/>
      <c r="F1038" s="206"/>
      <c r="G1038" s="206"/>
      <c r="H1038" s="206"/>
      <c r="I1038" s="206"/>
      <c r="J1038" s="206"/>
      <c r="K1038" s="206"/>
      <c r="L1038" s="206"/>
      <c r="M1038" s="3"/>
      <c r="N1038" s="206"/>
      <c r="O1038" s="421"/>
      <c r="P1038" s="421"/>
      <c r="Q1038" s="206"/>
      <c r="R1038" s="206"/>
      <c r="S1038" s="421"/>
      <c r="T1038" s="517"/>
    </row>
    <row r="1039" spans="1:20" ht="21" customHeight="1">
      <c r="A1039" s="516"/>
      <c r="B1039" s="206"/>
      <c r="C1039" s="453"/>
      <c r="D1039" s="453"/>
      <c r="E1039" s="206"/>
      <c r="F1039" s="206"/>
      <c r="G1039" s="206"/>
      <c r="H1039" s="206"/>
      <c r="I1039" s="206"/>
      <c r="J1039" s="206"/>
      <c r="K1039" s="206"/>
      <c r="L1039" s="206"/>
      <c r="M1039" s="3"/>
      <c r="N1039" s="206"/>
      <c r="O1039" s="421"/>
      <c r="P1039" s="421"/>
      <c r="Q1039" s="206"/>
      <c r="R1039" s="206"/>
      <c r="S1039" s="421"/>
      <c r="T1039" s="517"/>
    </row>
    <row r="1040" spans="1:20" ht="21" customHeight="1">
      <c r="A1040" s="516"/>
      <c r="B1040" s="206"/>
      <c r="C1040" s="453"/>
      <c r="D1040" s="453"/>
      <c r="E1040" s="206"/>
      <c r="F1040" s="206"/>
      <c r="G1040" s="206"/>
      <c r="H1040" s="206"/>
      <c r="I1040" s="206"/>
      <c r="J1040" s="206"/>
      <c r="K1040" s="206"/>
      <c r="L1040" s="206"/>
      <c r="M1040" s="3"/>
      <c r="N1040" s="206"/>
      <c r="O1040" s="421"/>
      <c r="P1040" s="421"/>
      <c r="Q1040" s="206"/>
      <c r="R1040" s="206"/>
      <c r="S1040" s="421"/>
      <c r="T1040" s="517"/>
    </row>
    <row r="1041" spans="1:20" ht="21" customHeight="1">
      <c r="A1041" s="516"/>
      <c r="B1041" s="206"/>
      <c r="C1041" s="453"/>
      <c r="D1041" s="453"/>
      <c r="E1041" s="206"/>
      <c r="F1041" s="206"/>
      <c r="G1041" s="206"/>
      <c r="H1041" s="206"/>
      <c r="I1041" s="206"/>
      <c r="J1041" s="206"/>
      <c r="K1041" s="206"/>
      <c r="L1041" s="206"/>
      <c r="M1041" s="3"/>
      <c r="N1041" s="206"/>
      <c r="O1041" s="421"/>
      <c r="P1041" s="421"/>
      <c r="Q1041" s="206"/>
      <c r="R1041" s="206"/>
      <c r="S1041" s="421"/>
      <c r="T1041" s="517"/>
    </row>
    <row r="1042" spans="1:20" ht="21" customHeight="1">
      <c r="A1042" s="516"/>
      <c r="B1042" s="206"/>
      <c r="C1042" s="453"/>
      <c r="D1042" s="453"/>
      <c r="E1042" s="206"/>
      <c r="F1042" s="206"/>
      <c r="G1042" s="206"/>
      <c r="H1042" s="206"/>
      <c r="I1042" s="206"/>
      <c r="J1042" s="206"/>
      <c r="K1042" s="206"/>
      <c r="L1042" s="206"/>
      <c r="M1042" s="3"/>
      <c r="N1042" s="206"/>
      <c r="O1042" s="421"/>
      <c r="P1042" s="421"/>
      <c r="Q1042" s="206"/>
      <c r="R1042" s="206"/>
      <c r="S1042" s="421"/>
      <c r="T1042" s="517"/>
    </row>
    <row r="1043" spans="1:20" ht="21" customHeight="1">
      <c r="A1043" s="516"/>
      <c r="B1043" s="206"/>
      <c r="C1043" s="453"/>
      <c r="D1043" s="453"/>
      <c r="E1043" s="206"/>
      <c r="F1043" s="206"/>
      <c r="G1043" s="206"/>
      <c r="H1043" s="206"/>
      <c r="I1043" s="206"/>
      <c r="J1043" s="206"/>
      <c r="K1043" s="206"/>
      <c r="L1043" s="206"/>
      <c r="M1043" s="3"/>
      <c r="N1043" s="206"/>
      <c r="O1043" s="421"/>
      <c r="P1043" s="421"/>
      <c r="Q1043" s="206"/>
      <c r="R1043" s="206"/>
      <c r="S1043" s="421"/>
      <c r="T1043" s="517"/>
    </row>
    <row r="1044" spans="1:20" ht="21" customHeight="1">
      <c r="A1044" s="516"/>
      <c r="B1044" s="206"/>
      <c r="C1044" s="453"/>
      <c r="D1044" s="453"/>
      <c r="E1044" s="206"/>
      <c r="F1044" s="206"/>
      <c r="G1044" s="206"/>
      <c r="H1044" s="206"/>
      <c r="I1044" s="206"/>
      <c r="J1044" s="206"/>
      <c r="K1044" s="206"/>
      <c r="L1044" s="206"/>
      <c r="M1044" s="3"/>
      <c r="N1044" s="206"/>
      <c r="O1044" s="421"/>
      <c r="P1044" s="421"/>
      <c r="Q1044" s="206"/>
      <c r="R1044" s="206"/>
      <c r="S1044" s="421"/>
      <c r="T1044" s="517"/>
    </row>
    <row r="1045" spans="1:20" ht="21" customHeight="1">
      <c r="A1045" s="516"/>
      <c r="B1045" s="206"/>
      <c r="C1045" s="453"/>
      <c r="D1045" s="453"/>
      <c r="E1045" s="206"/>
      <c r="F1045" s="206"/>
      <c r="G1045" s="206"/>
      <c r="H1045" s="206"/>
      <c r="I1045" s="206"/>
      <c r="J1045" s="206"/>
      <c r="K1045" s="206"/>
      <c r="L1045" s="206"/>
      <c r="M1045" s="3"/>
      <c r="N1045" s="206"/>
      <c r="O1045" s="421"/>
      <c r="P1045" s="421"/>
      <c r="Q1045" s="206"/>
      <c r="R1045" s="206"/>
      <c r="S1045" s="421"/>
      <c r="T1045" s="517"/>
    </row>
    <row r="1046" spans="1:20" ht="21" customHeight="1">
      <c r="A1046" s="516"/>
      <c r="B1046" s="206"/>
      <c r="C1046" s="453"/>
      <c r="D1046" s="453"/>
      <c r="E1046" s="206"/>
      <c r="F1046" s="206"/>
      <c r="G1046" s="206"/>
      <c r="H1046" s="206"/>
      <c r="I1046" s="206"/>
      <c r="J1046" s="206"/>
      <c r="K1046" s="206"/>
      <c r="L1046" s="206"/>
      <c r="M1046" s="3"/>
      <c r="N1046" s="206"/>
      <c r="O1046" s="421"/>
      <c r="P1046" s="421"/>
      <c r="Q1046" s="206"/>
      <c r="R1046" s="206"/>
      <c r="S1046" s="421"/>
      <c r="T1046" s="517"/>
    </row>
    <row r="1047" spans="1:20" ht="21" customHeight="1">
      <c r="A1047" s="516"/>
      <c r="B1047" s="206"/>
      <c r="C1047" s="453"/>
      <c r="D1047" s="453"/>
      <c r="E1047" s="206"/>
      <c r="F1047" s="206"/>
      <c r="G1047" s="206"/>
      <c r="H1047" s="206"/>
      <c r="I1047" s="206"/>
      <c r="J1047" s="206"/>
      <c r="K1047" s="206"/>
      <c r="L1047" s="206"/>
      <c r="M1047" s="3"/>
      <c r="N1047" s="206"/>
      <c r="O1047" s="421"/>
      <c r="P1047" s="421"/>
      <c r="Q1047" s="206"/>
      <c r="R1047" s="206"/>
      <c r="S1047" s="421"/>
      <c r="T1047" s="517"/>
    </row>
    <row r="1048" spans="1:20" ht="21" customHeight="1">
      <c r="A1048" s="516"/>
      <c r="B1048" s="206"/>
      <c r="C1048" s="453"/>
      <c r="D1048" s="453"/>
      <c r="E1048" s="206"/>
      <c r="F1048" s="206"/>
      <c r="G1048" s="206"/>
      <c r="H1048" s="206"/>
      <c r="I1048" s="206"/>
      <c r="J1048" s="206"/>
      <c r="K1048" s="206"/>
      <c r="L1048" s="206"/>
      <c r="M1048" s="3"/>
      <c r="N1048" s="206"/>
      <c r="O1048" s="421"/>
      <c r="P1048" s="421"/>
      <c r="Q1048" s="206"/>
      <c r="R1048" s="206"/>
      <c r="S1048" s="421"/>
      <c r="T1048" s="517"/>
    </row>
    <row r="1049" spans="1:20" ht="21" customHeight="1">
      <c r="A1049" s="516"/>
      <c r="B1049" s="206"/>
      <c r="C1049" s="453"/>
      <c r="D1049" s="453"/>
      <c r="E1049" s="206"/>
      <c r="F1049" s="206"/>
      <c r="G1049" s="206"/>
      <c r="H1049" s="206"/>
      <c r="I1049" s="206"/>
      <c r="J1049" s="206"/>
      <c r="K1049" s="206"/>
      <c r="L1049" s="206"/>
      <c r="M1049" s="3"/>
      <c r="N1049" s="206"/>
      <c r="O1049" s="421"/>
      <c r="P1049" s="421"/>
      <c r="Q1049" s="206"/>
      <c r="R1049" s="206"/>
      <c r="S1049" s="421"/>
      <c r="T1049" s="517"/>
    </row>
    <row r="1050" spans="1:20" ht="21" customHeight="1">
      <c r="A1050" s="516"/>
      <c r="B1050" s="206"/>
      <c r="C1050" s="453"/>
      <c r="D1050" s="453"/>
      <c r="E1050" s="206"/>
      <c r="F1050" s="206"/>
      <c r="G1050" s="206"/>
      <c r="H1050" s="206"/>
      <c r="I1050" s="206"/>
      <c r="J1050" s="206"/>
      <c r="K1050" s="206"/>
      <c r="L1050" s="206"/>
      <c r="M1050" s="3"/>
      <c r="N1050" s="206"/>
      <c r="O1050" s="421"/>
      <c r="P1050" s="421"/>
      <c r="Q1050" s="206"/>
      <c r="R1050" s="206"/>
      <c r="S1050" s="421"/>
      <c r="T1050" s="517"/>
    </row>
    <row r="1051" spans="1:20" ht="21" customHeight="1">
      <c r="A1051" s="516"/>
      <c r="B1051" s="206"/>
      <c r="C1051" s="453"/>
      <c r="D1051" s="453"/>
      <c r="E1051" s="206"/>
      <c r="F1051" s="206"/>
      <c r="G1051" s="206"/>
      <c r="H1051" s="206"/>
      <c r="I1051" s="206"/>
      <c r="J1051" s="206"/>
      <c r="K1051" s="206"/>
      <c r="L1051" s="206"/>
      <c r="M1051" s="3"/>
      <c r="N1051" s="206"/>
      <c r="O1051" s="421"/>
      <c r="P1051" s="421"/>
      <c r="Q1051" s="206"/>
      <c r="R1051" s="206"/>
      <c r="S1051" s="421"/>
      <c r="T1051" s="517"/>
    </row>
    <row r="1052" spans="1:20" ht="21" customHeight="1">
      <c r="A1052" s="516"/>
      <c r="B1052" s="206"/>
      <c r="C1052" s="453"/>
      <c r="D1052" s="453"/>
      <c r="E1052" s="206"/>
      <c r="F1052" s="206"/>
      <c r="G1052" s="206"/>
      <c r="H1052" s="206"/>
      <c r="I1052" s="206"/>
      <c r="J1052" s="206"/>
      <c r="K1052" s="206"/>
      <c r="L1052" s="206"/>
      <c r="M1052" s="3"/>
      <c r="N1052" s="206"/>
      <c r="O1052" s="421"/>
      <c r="P1052" s="421"/>
      <c r="Q1052" s="206"/>
      <c r="R1052" s="206"/>
      <c r="S1052" s="421"/>
      <c r="T1052" s="517"/>
    </row>
    <row r="1053" spans="1:20" ht="21" customHeight="1">
      <c r="A1053" s="516"/>
      <c r="B1053" s="206"/>
      <c r="C1053" s="453"/>
      <c r="D1053" s="453"/>
      <c r="E1053" s="206"/>
      <c r="F1053" s="206"/>
      <c r="G1053" s="206"/>
      <c r="H1053" s="206"/>
      <c r="I1053" s="206"/>
      <c r="J1053" s="206"/>
      <c r="K1053" s="206"/>
      <c r="L1053" s="206"/>
      <c r="M1053" s="3"/>
      <c r="N1053" s="206"/>
      <c r="O1053" s="421"/>
      <c r="P1053" s="421"/>
      <c r="Q1053" s="206"/>
      <c r="R1053" s="206"/>
      <c r="S1053" s="421"/>
      <c r="T1053" s="517"/>
    </row>
    <row r="1054" spans="1:20" ht="21" customHeight="1">
      <c r="A1054" s="516"/>
      <c r="B1054" s="206"/>
      <c r="C1054" s="453"/>
      <c r="D1054" s="453"/>
      <c r="E1054" s="206"/>
      <c r="F1054" s="206"/>
      <c r="G1054" s="206"/>
      <c r="H1054" s="206"/>
      <c r="I1054" s="206"/>
      <c r="J1054" s="206"/>
      <c r="K1054" s="206"/>
      <c r="L1054" s="206"/>
      <c r="M1054" s="3"/>
      <c r="N1054" s="206"/>
      <c r="O1054" s="421"/>
      <c r="P1054" s="421"/>
      <c r="Q1054" s="206"/>
      <c r="R1054" s="206"/>
      <c r="S1054" s="421"/>
      <c r="T1054" s="517"/>
    </row>
    <row r="1055" spans="1:20" ht="21" customHeight="1">
      <c r="A1055" s="516"/>
      <c r="B1055" s="206"/>
      <c r="C1055" s="453"/>
      <c r="D1055" s="453"/>
      <c r="E1055" s="206"/>
      <c r="F1055" s="206"/>
      <c r="G1055" s="206"/>
      <c r="H1055" s="206"/>
      <c r="I1055" s="206"/>
      <c r="J1055" s="206"/>
      <c r="K1055" s="206"/>
      <c r="L1055" s="206"/>
      <c r="M1055" s="3"/>
      <c r="N1055" s="206"/>
      <c r="O1055" s="421"/>
      <c r="P1055" s="421"/>
      <c r="Q1055" s="206"/>
      <c r="R1055" s="206"/>
      <c r="S1055" s="421"/>
      <c r="T1055" s="517"/>
    </row>
    <row r="1056" spans="1:20" ht="21" customHeight="1">
      <c r="A1056" s="516"/>
      <c r="B1056" s="206"/>
      <c r="C1056" s="453"/>
      <c r="D1056" s="453"/>
      <c r="E1056" s="206"/>
      <c r="F1056" s="206"/>
      <c r="G1056" s="206"/>
      <c r="H1056" s="206"/>
      <c r="I1056" s="206"/>
      <c r="J1056" s="206"/>
      <c r="K1056" s="206"/>
      <c r="L1056" s="206"/>
      <c r="M1056" s="3"/>
      <c r="N1056" s="206"/>
      <c r="O1056" s="421"/>
      <c r="P1056" s="421"/>
      <c r="Q1056" s="206"/>
      <c r="R1056" s="206"/>
      <c r="S1056" s="421"/>
      <c r="T1056" s="517"/>
    </row>
    <row r="1057" spans="1:20" ht="21" customHeight="1">
      <c r="A1057" s="516"/>
      <c r="B1057" s="206"/>
      <c r="C1057" s="453"/>
      <c r="D1057" s="453"/>
      <c r="E1057" s="206"/>
      <c r="F1057" s="206"/>
      <c r="G1057" s="206"/>
      <c r="H1057" s="206"/>
      <c r="I1057" s="206"/>
      <c r="J1057" s="206"/>
      <c r="K1057" s="206"/>
      <c r="L1057" s="206"/>
      <c r="M1057" s="3"/>
      <c r="N1057" s="206"/>
      <c r="O1057" s="421"/>
      <c r="P1057" s="421"/>
      <c r="Q1057" s="206"/>
      <c r="R1057" s="206"/>
      <c r="S1057" s="421"/>
      <c r="T1057" s="517"/>
    </row>
    <row r="1058" spans="1:20" ht="21" customHeight="1">
      <c r="A1058" s="516"/>
      <c r="B1058" s="206"/>
      <c r="C1058" s="453"/>
      <c r="D1058" s="453"/>
      <c r="E1058" s="206"/>
      <c r="F1058" s="206"/>
      <c r="G1058" s="206"/>
      <c r="H1058" s="206"/>
      <c r="I1058" s="206"/>
      <c r="J1058" s="206"/>
      <c r="K1058" s="206"/>
      <c r="L1058" s="206"/>
      <c r="M1058" s="3"/>
      <c r="N1058" s="206"/>
      <c r="O1058" s="421"/>
      <c r="P1058" s="421"/>
      <c r="Q1058" s="206"/>
      <c r="R1058" s="206"/>
      <c r="S1058" s="421"/>
      <c r="T1058" s="517"/>
    </row>
    <row r="1059" spans="1:20" ht="21" customHeight="1">
      <c r="A1059" s="516"/>
      <c r="B1059" s="206"/>
      <c r="C1059" s="453"/>
      <c r="D1059" s="453"/>
      <c r="E1059" s="206"/>
      <c r="F1059" s="206"/>
      <c r="G1059" s="206"/>
      <c r="H1059" s="206"/>
      <c r="I1059" s="206"/>
      <c r="J1059" s="206"/>
      <c r="K1059" s="206"/>
      <c r="L1059" s="206"/>
      <c r="M1059" s="3"/>
      <c r="N1059" s="206"/>
      <c r="O1059" s="421"/>
      <c r="P1059" s="421"/>
      <c r="Q1059" s="206"/>
      <c r="R1059" s="206"/>
      <c r="S1059" s="421"/>
      <c r="T1059" s="517"/>
    </row>
    <row r="1060" spans="1:20" ht="21" customHeight="1">
      <c r="A1060" s="516"/>
      <c r="B1060" s="206"/>
      <c r="C1060" s="453"/>
      <c r="D1060" s="453"/>
      <c r="E1060" s="206"/>
      <c r="F1060" s="206"/>
      <c r="G1060" s="206"/>
      <c r="H1060" s="206"/>
      <c r="I1060" s="206"/>
      <c r="J1060" s="206"/>
      <c r="K1060" s="206"/>
      <c r="L1060" s="206"/>
      <c r="M1060" s="3"/>
      <c r="N1060" s="206"/>
      <c r="O1060" s="421"/>
      <c r="P1060" s="421"/>
      <c r="Q1060" s="206"/>
      <c r="R1060" s="206"/>
      <c r="S1060" s="421"/>
      <c r="T1060" s="517"/>
    </row>
    <row r="1061" spans="1:20" s="553" customFormat="1" ht="21" customHeight="1">
      <c r="A1061" s="516"/>
      <c r="B1061" s="206"/>
      <c r="C1061" s="453"/>
      <c r="D1061" s="453"/>
      <c r="E1061" s="206"/>
      <c r="F1061" s="206"/>
      <c r="G1061" s="206"/>
      <c r="H1061" s="206"/>
      <c r="I1061" s="206"/>
      <c r="J1061" s="206"/>
      <c r="K1061" s="206"/>
      <c r="L1061" s="206"/>
      <c r="M1061" s="3"/>
      <c r="N1061" s="206"/>
      <c r="O1061" s="421"/>
      <c r="P1061" s="421"/>
      <c r="Q1061" s="206"/>
      <c r="R1061" s="206"/>
      <c r="S1061" s="421"/>
      <c r="T1061" s="517"/>
    </row>
    <row r="1062" spans="1:20" ht="21" customHeight="1">
      <c r="A1062" s="516"/>
      <c r="B1062" s="206"/>
      <c r="C1062" s="453"/>
      <c r="D1062" s="453"/>
      <c r="E1062" s="206"/>
      <c r="F1062" s="206"/>
      <c r="G1062" s="206"/>
      <c r="H1062" s="206"/>
      <c r="I1062" s="206"/>
      <c r="J1062" s="206"/>
      <c r="K1062" s="206"/>
      <c r="L1062" s="206"/>
      <c r="M1062" s="3"/>
      <c r="N1062" s="206"/>
      <c r="O1062" s="421"/>
      <c r="P1062" s="421"/>
      <c r="Q1062" s="206"/>
      <c r="R1062" s="206"/>
      <c r="S1062" s="421"/>
      <c r="T1062" s="517"/>
    </row>
    <row r="1063" spans="1:20" ht="21" customHeight="1">
      <c r="A1063" s="516"/>
      <c r="B1063" s="206"/>
      <c r="C1063" s="453"/>
      <c r="D1063" s="453"/>
      <c r="E1063" s="206"/>
      <c r="F1063" s="206"/>
      <c r="G1063" s="206"/>
      <c r="H1063" s="206"/>
      <c r="I1063" s="206"/>
      <c r="J1063" s="206"/>
      <c r="K1063" s="206"/>
      <c r="L1063" s="206"/>
      <c r="M1063" s="3"/>
      <c r="N1063" s="206"/>
      <c r="O1063" s="421"/>
      <c r="P1063" s="421"/>
      <c r="Q1063" s="206"/>
      <c r="R1063" s="206"/>
      <c r="S1063" s="421"/>
      <c r="T1063" s="517"/>
    </row>
    <row r="1064" spans="1:20" ht="21" customHeight="1">
      <c r="A1064" s="516"/>
      <c r="B1064" s="206"/>
      <c r="C1064" s="453"/>
      <c r="D1064" s="453"/>
      <c r="E1064" s="206"/>
      <c r="F1064" s="206"/>
      <c r="G1064" s="206"/>
      <c r="H1064" s="206"/>
      <c r="I1064" s="206"/>
      <c r="J1064" s="206"/>
      <c r="K1064" s="206"/>
      <c r="L1064" s="206"/>
      <c r="M1064" s="3"/>
      <c r="N1064" s="206"/>
      <c r="O1064" s="421"/>
      <c r="P1064" s="421"/>
      <c r="Q1064" s="206"/>
      <c r="R1064" s="206"/>
      <c r="S1064" s="8"/>
      <c r="T1064" s="517"/>
    </row>
    <row r="1065" spans="1:20" ht="21" customHeight="1">
      <c r="A1065" s="516"/>
      <c r="B1065" s="206"/>
      <c r="C1065" s="453"/>
      <c r="D1065" s="453"/>
      <c r="E1065" s="206"/>
      <c r="F1065" s="206"/>
      <c r="G1065" s="206"/>
      <c r="H1065" s="206"/>
      <c r="I1065" s="206"/>
      <c r="J1065" s="206"/>
      <c r="K1065" s="206"/>
      <c r="L1065" s="206"/>
      <c r="M1065" s="3"/>
      <c r="N1065" s="206"/>
      <c r="O1065" s="421"/>
      <c r="P1065" s="421"/>
      <c r="Q1065" s="206"/>
      <c r="R1065" s="206"/>
      <c r="S1065" s="421"/>
      <c r="T1065" s="517"/>
    </row>
    <row r="1066" spans="1:20" ht="21" customHeight="1">
      <c r="A1066" s="516"/>
      <c r="B1066" s="206"/>
      <c r="C1066" s="453"/>
      <c r="D1066" s="453"/>
      <c r="E1066" s="206"/>
      <c r="F1066" s="206"/>
      <c r="G1066" s="206"/>
      <c r="H1066" s="206"/>
      <c r="I1066" s="206"/>
      <c r="J1066" s="206"/>
      <c r="K1066" s="206"/>
      <c r="L1066" s="206"/>
      <c r="M1066" s="3"/>
      <c r="N1066" s="206"/>
      <c r="O1066" s="421"/>
      <c r="P1066" s="421"/>
      <c r="Q1066" s="206"/>
      <c r="R1066" s="421"/>
      <c r="S1066" s="421"/>
      <c r="T1066" s="517"/>
    </row>
    <row r="1067" spans="1:20" ht="21" customHeight="1">
      <c r="A1067" s="516"/>
      <c r="B1067" s="206"/>
      <c r="C1067" s="453"/>
      <c r="D1067" s="453"/>
      <c r="E1067" s="206"/>
      <c r="F1067" s="206"/>
      <c r="G1067" s="206"/>
      <c r="H1067" s="206"/>
      <c r="I1067" s="206"/>
      <c r="J1067" s="206"/>
      <c r="K1067" s="206"/>
      <c r="L1067" s="206"/>
      <c r="M1067" s="3"/>
      <c r="N1067" s="206"/>
      <c r="O1067" s="421"/>
      <c r="P1067" s="421"/>
      <c r="Q1067" s="206"/>
      <c r="R1067" s="421"/>
      <c r="S1067" s="421"/>
      <c r="T1067" s="517"/>
    </row>
    <row r="1068" spans="1:20" ht="21" customHeight="1">
      <c r="A1068" s="516"/>
      <c r="B1068" s="206"/>
      <c r="C1068" s="453"/>
      <c r="D1068" s="453"/>
      <c r="E1068" s="206"/>
      <c r="F1068" s="206"/>
      <c r="G1068" s="206"/>
      <c r="H1068" s="206"/>
      <c r="I1068" s="206"/>
      <c r="J1068" s="206"/>
      <c r="K1068" s="206"/>
      <c r="L1068" s="206"/>
      <c r="M1068" s="3"/>
      <c r="N1068" s="206"/>
      <c r="O1068" s="421"/>
      <c r="P1068" s="421"/>
      <c r="Q1068" s="206"/>
      <c r="R1068" s="206"/>
      <c r="S1068" s="421"/>
      <c r="T1068" s="527"/>
    </row>
    <row r="1069" spans="1:20" ht="21" customHeight="1">
      <c r="A1069" s="516"/>
      <c r="B1069" s="206"/>
      <c r="C1069" s="453"/>
      <c r="D1069" s="453"/>
      <c r="E1069" s="206"/>
      <c r="F1069" s="206"/>
      <c r="G1069" s="206"/>
      <c r="H1069" s="206"/>
      <c r="I1069" s="206"/>
      <c r="J1069" s="206"/>
      <c r="K1069" s="206"/>
      <c r="L1069" s="206"/>
      <c r="M1069" s="3"/>
      <c r="N1069" s="206"/>
      <c r="O1069" s="421"/>
      <c r="P1069" s="421"/>
      <c r="Q1069" s="206"/>
      <c r="R1069" s="206"/>
      <c r="S1069" s="421"/>
      <c r="T1069" s="517"/>
    </row>
    <row r="1070" spans="1:20" ht="21" customHeight="1">
      <c r="A1070" s="516"/>
      <c r="B1070" s="206"/>
      <c r="C1070" s="453"/>
      <c r="D1070" s="453"/>
      <c r="E1070" s="206"/>
      <c r="F1070" s="206"/>
      <c r="G1070" s="206"/>
      <c r="H1070" s="206"/>
      <c r="I1070" s="206"/>
      <c r="J1070" s="206"/>
      <c r="K1070" s="206"/>
      <c r="L1070" s="206"/>
      <c r="M1070" s="3"/>
      <c r="N1070" s="206"/>
      <c r="O1070" s="421"/>
      <c r="P1070" s="421"/>
      <c r="Q1070" s="206"/>
      <c r="R1070" s="421"/>
      <c r="S1070" s="421"/>
      <c r="T1070" s="517"/>
    </row>
    <row r="1071" spans="1:20" ht="21" customHeight="1">
      <c r="A1071" s="516"/>
      <c r="B1071" s="206"/>
      <c r="C1071" s="453"/>
      <c r="D1071" s="453"/>
      <c r="E1071" s="206"/>
      <c r="F1071" s="206"/>
      <c r="G1071" s="206"/>
      <c r="H1071" s="206"/>
      <c r="I1071" s="206"/>
      <c r="J1071" s="206"/>
      <c r="K1071" s="206"/>
      <c r="L1071" s="206"/>
      <c r="M1071" s="3"/>
      <c r="N1071" s="206"/>
      <c r="O1071" s="421"/>
      <c r="P1071" s="421"/>
      <c r="Q1071" s="206"/>
      <c r="R1071" s="421"/>
      <c r="S1071" s="421"/>
      <c r="T1071" s="517"/>
    </row>
    <row r="1072" spans="1:20" ht="21" customHeight="1">
      <c r="A1072" s="516"/>
      <c r="B1072" s="206"/>
      <c r="C1072" s="453"/>
      <c r="D1072" s="453"/>
      <c r="E1072" s="206"/>
      <c r="F1072" s="206"/>
      <c r="G1072" s="206"/>
      <c r="H1072" s="206"/>
      <c r="I1072" s="206"/>
      <c r="J1072" s="206"/>
      <c r="K1072" s="206"/>
      <c r="L1072" s="206"/>
      <c r="M1072" s="3"/>
      <c r="N1072" s="206"/>
      <c r="O1072" s="421"/>
      <c r="P1072" s="421"/>
      <c r="Q1072" s="206"/>
      <c r="R1072" s="206"/>
      <c r="S1072" s="421"/>
      <c r="T1072" s="527"/>
    </row>
    <row r="1073" spans="1:20" ht="21" customHeight="1">
      <c r="A1073" s="516"/>
      <c r="B1073" s="206"/>
      <c r="C1073" s="453"/>
      <c r="D1073" s="453"/>
      <c r="E1073" s="206"/>
      <c r="F1073" s="206"/>
      <c r="G1073" s="206"/>
      <c r="H1073" s="206"/>
      <c r="I1073" s="206"/>
      <c r="J1073" s="206"/>
      <c r="K1073" s="206"/>
      <c r="L1073" s="206"/>
      <c r="M1073" s="3"/>
      <c r="N1073" s="206"/>
      <c r="O1073" s="421"/>
      <c r="P1073" s="421"/>
      <c r="Q1073" s="206"/>
      <c r="R1073" s="206"/>
      <c r="S1073" s="421"/>
      <c r="T1073" s="527"/>
    </row>
    <row r="1074" spans="1:20" ht="21" customHeight="1">
      <c r="A1074" s="516"/>
      <c r="B1074" s="206"/>
      <c r="C1074" s="453"/>
      <c r="D1074" s="453"/>
      <c r="E1074" s="206"/>
      <c r="F1074" s="206"/>
      <c r="G1074" s="206"/>
      <c r="H1074" s="206"/>
      <c r="I1074" s="206"/>
      <c r="J1074" s="206"/>
      <c r="K1074" s="206"/>
      <c r="L1074" s="206"/>
      <c r="M1074" s="3"/>
      <c r="N1074" s="206"/>
      <c r="O1074" s="422"/>
      <c r="P1074" s="421"/>
      <c r="Q1074" s="206"/>
      <c r="R1074" s="206"/>
      <c r="S1074" s="421"/>
      <c r="T1074" s="517"/>
    </row>
    <row r="1075" spans="1:20" ht="21" customHeight="1">
      <c r="A1075" s="516"/>
      <c r="B1075" s="206"/>
      <c r="C1075" s="453"/>
      <c r="D1075" s="453"/>
      <c r="E1075" s="206"/>
      <c r="F1075" s="206"/>
      <c r="G1075" s="206"/>
      <c r="H1075" s="206"/>
      <c r="I1075" s="206"/>
      <c r="J1075" s="206"/>
      <c r="K1075" s="206"/>
      <c r="L1075" s="206"/>
      <c r="M1075" s="3"/>
      <c r="N1075" s="206"/>
      <c r="O1075" s="421"/>
      <c r="P1075" s="421"/>
      <c r="Q1075" s="206"/>
      <c r="R1075" s="206"/>
      <c r="S1075" s="421"/>
      <c r="T1075" s="517"/>
    </row>
    <row r="1076" spans="1:20" ht="21" customHeight="1">
      <c r="A1076" s="531"/>
      <c r="B1076" s="519"/>
      <c r="C1076" s="532"/>
      <c r="D1076" s="532"/>
      <c r="E1076" s="519"/>
      <c r="F1076" s="519"/>
      <c r="G1076" s="519"/>
      <c r="H1076" s="519"/>
      <c r="I1076" s="519"/>
      <c r="J1076" s="519"/>
      <c r="K1076" s="519"/>
      <c r="L1076" s="519"/>
      <c r="M1076" s="519"/>
      <c r="N1076" s="519"/>
      <c r="O1076" s="421"/>
      <c r="P1076" s="421"/>
      <c r="Q1076" s="519"/>
      <c r="R1076" s="536"/>
      <c r="S1076" s="533"/>
      <c r="T1076" s="537"/>
    </row>
    <row r="1077" spans="1:20" ht="21" customHeight="1">
      <c r="A1077" s="520"/>
      <c r="B1077" s="206"/>
      <c r="C1077" s="453"/>
      <c r="D1077" s="453"/>
      <c r="E1077" s="199"/>
      <c r="F1077" s="206"/>
      <c r="G1077" s="199"/>
      <c r="H1077" s="199"/>
      <c r="I1077" s="199"/>
      <c r="J1077" s="199"/>
      <c r="K1077" s="206"/>
      <c r="L1077" s="199"/>
      <c r="M1077" s="108"/>
      <c r="N1077" s="199"/>
      <c r="O1077" s="422"/>
      <c r="P1077" s="421"/>
      <c r="Q1077" s="199"/>
      <c r="R1077" s="199"/>
      <c r="S1077" s="464"/>
      <c r="T1077" s="522"/>
    </row>
    <row r="1078" spans="1:20" ht="21" customHeight="1">
      <c r="A1078" s="520"/>
      <c r="B1078" s="199"/>
      <c r="C1078" s="521"/>
      <c r="D1078" s="521"/>
      <c r="E1078" s="199"/>
      <c r="F1078" s="199"/>
      <c r="G1078" s="199"/>
      <c r="H1078" s="199"/>
      <c r="I1078" s="199"/>
      <c r="J1078" s="199"/>
      <c r="K1078" s="199"/>
      <c r="L1078" s="199"/>
      <c r="M1078" s="108"/>
      <c r="N1078" s="199"/>
      <c r="O1078" s="421"/>
      <c r="P1078" s="421"/>
      <c r="Q1078" s="199"/>
      <c r="R1078" s="199"/>
      <c r="S1078" s="464"/>
      <c r="T1078" s="522"/>
    </row>
    <row r="1079" spans="1:20" ht="21" customHeight="1">
      <c r="A1079" s="520"/>
      <c r="B1079" s="199"/>
      <c r="C1079" s="521"/>
      <c r="D1079" s="521"/>
      <c r="E1079" s="199"/>
      <c r="F1079" s="199"/>
      <c r="G1079" s="199"/>
      <c r="H1079" s="199"/>
      <c r="I1079" s="199"/>
      <c r="J1079" s="199"/>
      <c r="K1079" s="199"/>
      <c r="L1079" s="199"/>
      <c r="M1079" s="108"/>
      <c r="N1079" s="199"/>
      <c r="O1079" s="421"/>
      <c r="P1079" s="421"/>
      <c r="Q1079" s="199"/>
      <c r="R1079" s="199"/>
      <c r="S1079" s="464"/>
      <c r="T1079" s="522"/>
    </row>
    <row r="1080" spans="1:20" ht="21" customHeight="1">
      <c r="A1080" s="520"/>
      <c r="B1080" s="199"/>
      <c r="C1080" s="521"/>
      <c r="D1080" s="521"/>
      <c r="E1080" s="199"/>
      <c r="F1080" s="199"/>
      <c r="G1080" s="199"/>
      <c r="H1080" s="199"/>
      <c r="I1080" s="199"/>
      <c r="J1080" s="199"/>
      <c r="K1080" s="199"/>
      <c r="L1080" s="199"/>
      <c r="M1080" s="108"/>
      <c r="N1080" s="199"/>
      <c r="O1080" s="421"/>
      <c r="P1080" s="421"/>
      <c r="Q1080" s="199"/>
      <c r="R1080" s="199"/>
      <c r="S1080" s="464"/>
      <c r="T1080" s="529"/>
    </row>
    <row r="1081" spans="1:20" ht="21" customHeight="1">
      <c r="A1081" s="520"/>
      <c r="B1081" s="199"/>
      <c r="C1081" s="521"/>
      <c r="D1081" s="521"/>
      <c r="E1081" s="199"/>
      <c r="F1081" s="199"/>
      <c r="G1081" s="199"/>
      <c r="H1081" s="199"/>
      <c r="I1081" s="199"/>
      <c r="J1081" s="199"/>
      <c r="K1081" s="199"/>
      <c r="L1081" s="199"/>
      <c r="M1081" s="108"/>
      <c r="N1081" s="199"/>
      <c r="O1081" s="421"/>
      <c r="P1081" s="421"/>
      <c r="Q1081" s="199"/>
      <c r="R1081" s="199"/>
      <c r="S1081" s="464"/>
      <c r="T1081" s="522"/>
    </row>
    <row r="1082" spans="1:20" ht="21" customHeight="1">
      <c r="A1082" s="520"/>
      <c r="B1082" s="199"/>
      <c r="C1082" s="521"/>
      <c r="D1082" s="521"/>
      <c r="E1082" s="199"/>
      <c r="F1082" s="206"/>
      <c r="G1082" s="199"/>
      <c r="H1082" s="199"/>
      <c r="I1082" s="199"/>
      <c r="J1082" s="199"/>
      <c r="K1082" s="199"/>
      <c r="L1082" s="199"/>
      <c r="M1082" s="108"/>
      <c r="N1082" s="199"/>
      <c r="O1082" s="421"/>
      <c r="P1082" s="421"/>
      <c r="Q1082" s="199"/>
      <c r="R1082" s="199"/>
      <c r="S1082" s="464"/>
      <c r="T1082" s="522"/>
    </row>
    <row r="1083" spans="1:20" ht="21" customHeight="1">
      <c r="A1083" s="520"/>
      <c r="B1083" s="199"/>
      <c r="C1083" s="521"/>
      <c r="D1083" s="521"/>
      <c r="E1083" s="199"/>
      <c r="F1083" s="199"/>
      <c r="G1083" s="199"/>
      <c r="H1083" s="199"/>
      <c r="I1083" s="199"/>
      <c r="J1083" s="199"/>
      <c r="K1083" s="199"/>
      <c r="L1083" s="199"/>
      <c r="M1083" s="108"/>
      <c r="N1083" s="199"/>
      <c r="O1083" s="421"/>
      <c r="P1083" s="421"/>
      <c r="Q1083" s="199"/>
      <c r="R1083" s="199"/>
      <c r="S1083" s="464"/>
      <c r="T1083" s="529"/>
    </row>
    <row r="1084" spans="1:20" ht="21" customHeight="1">
      <c r="A1084" s="516"/>
      <c r="B1084" s="206"/>
      <c r="C1084" s="521"/>
      <c r="D1084" s="521"/>
      <c r="E1084" s="206"/>
      <c r="F1084" s="206"/>
      <c r="G1084" s="206"/>
      <c r="H1084" s="206"/>
      <c r="I1084" s="206"/>
      <c r="J1084" s="206"/>
      <c r="K1084" s="199"/>
      <c r="L1084" s="206"/>
      <c r="M1084" s="3"/>
      <c r="N1084" s="199"/>
      <c r="O1084" s="421"/>
      <c r="P1084" s="421"/>
      <c r="Q1084" s="206"/>
      <c r="R1084" s="206"/>
      <c r="S1084" s="421"/>
      <c r="T1084" s="522"/>
    </row>
    <row r="1085" spans="1:20" ht="21" customHeight="1">
      <c r="A1085" s="516"/>
      <c r="B1085" s="206"/>
      <c r="C1085" s="521"/>
      <c r="D1085" s="521"/>
      <c r="E1085" s="206"/>
      <c r="F1085" s="206"/>
      <c r="G1085" s="206"/>
      <c r="H1085" s="206"/>
      <c r="I1085" s="206"/>
      <c r="J1085" s="206"/>
      <c r="K1085" s="199"/>
      <c r="L1085" s="206"/>
      <c r="M1085" s="3"/>
      <c r="N1085" s="199"/>
      <c r="O1085" s="421"/>
      <c r="P1085" s="421"/>
      <c r="Q1085" s="206"/>
      <c r="R1085" s="206"/>
      <c r="S1085" s="421"/>
      <c r="T1085" s="529"/>
    </row>
    <row r="1086" spans="1:20" ht="21" customHeight="1">
      <c r="A1086" s="520"/>
      <c r="B1086" s="199"/>
      <c r="C1086" s="521"/>
      <c r="D1086" s="521"/>
      <c r="E1086" s="199"/>
      <c r="F1086" s="199"/>
      <c r="G1086" s="199"/>
      <c r="H1086" s="199"/>
      <c r="I1086" s="199"/>
      <c r="J1086" s="199"/>
      <c r="K1086" s="199"/>
      <c r="L1086" s="199"/>
      <c r="M1086" s="108"/>
      <c r="N1086" s="199"/>
      <c r="O1086" s="421"/>
      <c r="P1086" s="421"/>
      <c r="Q1086" s="199"/>
      <c r="R1086" s="199"/>
      <c r="S1086" s="464"/>
      <c r="T1086" s="522"/>
    </row>
    <row r="1087" spans="1:20" ht="21" customHeight="1">
      <c r="A1087" s="516"/>
      <c r="B1087" s="206"/>
      <c r="C1087" s="521"/>
      <c r="D1087" s="521"/>
      <c r="E1087" s="206"/>
      <c r="F1087" s="206"/>
      <c r="G1087" s="206"/>
      <c r="H1087" s="206"/>
      <c r="I1087" s="206"/>
      <c r="J1087" s="206"/>
      <c r="K1087" s="199"/>
      <c r="L1087" s="206"/>
      <c r="M1087" s="3"/>
      <c r="N1087" s="199"/>
      <c r="O1087" s="421"/>
      <c r="P1087" s="421"/>
      <c r="Q1087" s="206"/>
      <c r="R1087" s="206"/>
      <c r="S1087" s="421"/>
      <c r="T1087" s="522"/>
    </row>
    <row r="1088" spans="1:20" ht="21" customHeight="1">
      <c r="A1088" s="520"/>
      <c r="B1088" s="199"/>
      <c r="C1088" s="521"/>
      <c r="D1088" s="521"/>
      <c r="E1088" s="199"/>
      <c r="F1088" s="199"/>
      <c r="G1088" s="199"/>
      <c r="H1088" s="199"/>
      <c r="I1088" s="199"/>
      <c r="J1088" s="199"/>
      <c r="K1088" s="199"/>
      <c r="L1088" s="199"/>
      <c r="M1088" s="108"/>
      <c r="N1088" s="199"/>
      <c r="O1088" s="421"/>
      <c r="P1088" s="421"/>
      <c r="Q1088" s="199"/>
      <c r="R1088" s="199"/>
      <c r="S1088" s="464"/>
      <c r="T1088" s="529"/>
    </row>
    <row r="1089" spans="1:20" ht="21" customHeight="1">
      <c r="A1089" s="520"/>
      <c r="B1089" s="199"/>
      <c r="C1089" s="521"/>
      <c r="D1089" s="521"/>
      <c r="E1089" s="199"/>
      <c r="F1089" s="199"/>
      <c r="G1089" s="199"/>
      <c r="H1089" s="199"/>
      <c r="I1089" s="199"/>
      <c r="J1089" s="199"/>
      <c r="K1089" s="199"/>
      <c r="L1089" s="199"/>
      <c r="M1089" s="108"/>
      <c r="N1089" s="199"/>
      <c r="O1089" s="421"/>
      <c r="P1089" s="421"/>
      <c r="Q1089" s="199"/>
      <c r="R1089" s="199"/>
      <c r="S1089" s="464"/>
      <c r="T1089" s="522"/>
    </row>
    <row r="1090" spans="1:20" ht="21" customHeight="1">
      <c r="A1090" s="520"/>
      <c r="B1090" s="199"/>
      <c r="C1090" s="521"/>
      <c r="D1090" s="521"/>
      <c r="E1090" s="199"/>
      <c r="F1090" s="199"/>
      <c r="G1090" s="199"/>
      <c r="H1090" s="199"/>
      <c r="I1090" s="199"/>
      <c r="J1090" s="199"/>
      <c r="K1090" s="199"/>
      <c r="L1090" s="199"/>
      <c r="M1090" s="108"/>
      <c r="N1090" s="199"/>
      <c r="O1090" s="421"/>
      <c r="P1090" s="421"/>
      <c r="Q1090" s="199"/>
      <c r="R1090" s="199"/>
      <c r="S1090" s="464"/>
      <c r="T1090" s="529"/>
    </row>
    <row r="1091" spans="1:20" ht="21" customHeight="1">
      <c r="A1091" s="520"/>
      <c r="B1091" s="199"/>
      <c r="C1091" s="521"/>
      <c r="D1091" s="521"/>
      <c r="E1091" s="199"/>
      <c r="F1091" s="199"/>
      <c r="G1091" s="199"/>
      <c r="H1091" s="199"/>
      <c r="I1091" s="199"/>
      <c r="J1091" s="199"/>
      <c r="K1091" s="199"/>
      <c r="L1091" s="199"/>
      <c r="M1091" s="108"/>
      <c r="N1091" s="199"/>
      <c r="O1091" s="421"/>
      <c r="P1091" s="421"/>
      <c r="Q1091" s="199"/>
      <c r="R1091" s="199"/>
      <c r="S1091" s="464"/>
      <c r="T1091" s="522"/>
    </row>
    <row r="1092" spans="1:20" ht="21" customHeight="1">
      <c r="A1092" s="516"/>
      <c r="B1092" s="206"/>
      <c r="C1092" s="521"/>
      <c r="D1092" s="521"/>
      <c r="E1092" s="206"/>
      <c r="F1092" s="206"/>
      <c r="G1092" s="206"/>
      <c r="H1092" s="206"/>
      <c r="I1092" s="206"/>
      <c r="J1092" s="206"/>
      <c r="K1092" s="199"/>
      <c r="L1092" s="206"/>
      <c r="M1092" s="3"/>
      <c r="N1092" s="199"/>
      <c r="O1092" s="421"/>
      <c r="P1092" s="421"/>
      <c r="Q1092" s="206"/>
      <c r="R1092" s="206"/>
      <c r="S1092" s="421"/>
      <c r="T1092" s="529"/>
    </row>
    <row r="1093" spans="1:20" ht="21" customHeight="1">
      <c r="A1093" s="520"/>
      <c r="B1093" s="199"/>
      <c r="C1093" s="521"/>
      <c r="D1093" s="521"/>
      <c r="E1093" s="199"/>
      <c r="F1093" s="199"/>
      <c r="G1093" s="199"/>
      <c r="H1093" s="199"/>
      <c r="I1093" s="199"/>
      <c r="J1093" s="199"/>
      <c r="K1093" s="199"/>
      <c r="L1093" s="199"/>
      <c r="M1093" s="108"/>
      <c r="N1093" s="199"/>
      <c r="O1093" s="422"/>
      <c r="P1093" s="421"/>
      <c r="Q1093" s="199"/>
      <c r="R1093" s="199"/>
      <c r="S1093" s="464"/>
      <c r="T1093" s="522"/>
    </row>
    <row r="1094" spans="1:20" ht="21" customHeight="1">
      <c r="A1094" s="520"/>
      <c r="B1094" s="199"/>
      <c r="C1094" s="521"/>
      <c r="D1094" s="521"/>
      <c r="E1094" s="199"/>
      <c r="F1094" s="199"/>
      <c r="G1094" s="199"/>
      <c r="H1094" s="199"/>
      <c r="I1094" s="199"/>
      <c r="J1094" s="199"/>
      <c r="K1094" s="199"/>
      <c r="L1094" s="199"/>
      <c r="M1094" s="108"/>
      <c r="N1094" s="199"/>
      <c r="O1094" s="421"/>
      <c r="P1094" s="421"/>
      <c r="Q1094" s="199"/>
      <c r="R1094" s="199"/>
      <c r="S1094" s="464"/>
      <c r="T1094" s="522"/>
    </row>
    <row r="1095" spans="1:20" ht="21" customHeight="1">
      <c r="A1095" s="520"/>
      <c r="B1095" s="199"/>
      <c r="C1095" s="521"/>
      <c r="D1095" s="521"/>
      <c r="E1095" s="199"/>
      <c r="F1095" s="199"/>
      <c r="G1095" s="199"/>
      <c r="H1095" s="199"/>
      <c r="I1095" s="199"/>
      <c r="J1095" s="199"/>
      <c r="K1095" s="199"/>
      <c r="L1095" s="199"/>
      <c r="M1095" s="108"/>
      <c r="N1095" s="199"/>
      <c r="O1095" s="421"/>
      <c r="P1095" s="421"/>
      <c r="Q1095" s="199"/>
      <c r="R1095" s="199"/>
      <c r="S1095" s="464"/>
      <c r="T1095" s="522"/>
    </row>
    <row r="1096" spans="1:20" ht="21" customHeight="1">
      <c r="A1096" s="554"/>
      <c r="B1096" s="555"/>
      <c r="C1096" s="556"/>
      <c r="D1096" s="556"/>
      <c r="E1096" s="555"/>
      <c r="F1096" s="555"/>
      <c r="G1096" s="555"/>
      <c r="H1096" s="555"/>
      <c r="I1096" s="555"/>
      <c r="J1096" s="555"/>
      <c r="K1096" s="555"/>
      <c r="L1096" s="555"/>
      <c r="M1096" s="555"/>
      <c r="N1096" s="555"/>
      <c r="O1096" s="551"/>
      <c r="P1096" s="421"/>
      <c r="Q1096" s="555"/>
      <c r="R1096" s="555"/>
      <c r="S1096" s="557"/>
      <c r="T1096" s="558"/>
    </row>
    <row r="1097" spans="1:20" ht="21" customHeight="1">
      <c r="A1097" s="520"/>
      <c r="B1097" s="199"/>
      <c r="C1097" s="521"/>
      <c r="D1097" s="521"/>
      <c r="E1097" s="199"/>
      <c r="F1097" s="199"/>
      <c r="G1097" s="199"/>
      <c r="H1097" s="199"/>
      <c r="I1097" s="199"/>
      <c r="J1097" s="199"/>
      <c r="K1097" s="199"/>
      <c r="L1097" s="199"/>
      <c r="M1097" s="108"/>
      <c r="N1097" s="199"/>
      <c r="O1097" s="421"/>
      <c r="P1097" s="421"/>
      <c r="Q1097" s="199"/>
      <c r="R1097" s="199"/>
      <c r="S1097" s="464"/>
      <c r="T1097" s="522"/>
    </row>
    <row r="1098" spans="1:20" ht="21" customHeight="1">
      <c r="A1098" s="516"/>
      <c r="B1098" s="206"/>
      <c r="C1098" s="521"/>
      <c r="D1098" s="521"/>
      <c r="E1098" s="206"/>
      <c r="F1098" s="206"/>
      <c r="G1098" s="206"/>
      <c r="H1098" s="206"/>
      <c r="I1098" s="206"/>
      <c r="J1098" s="206"/>
      <c r="K1098" s="199"/>
      <c r="L1098" s="206"/>
      <c r="M1098" s="3"/>
      <c r="N1098" s="199"/>
      <c r="O1098" s="421"/>
      <c r="P1098" s="421"/>
      <c r="Q1098" s="206"/>
      <c r="R1098" s="206"/>
      <c r="S1098" s="421"/>
      <c r="T1098" s="529"/>
    </row>
    <row r="1099" spans="1:20" ht="21" customHeight="1">
      <c r="A1099" s="520"/>
      <c r="B1099" s="199"/>
      <c r="C1099" s="521"/>
      <c r="D1099" s="521"/>
      <c r="E1099" s="199"/>
      <c r="F1099" s="199"/>
      <c r="G1099" s="199"/>
      <c r="H1099" s="199"/>
      <c r="I1099" s="199"/>
      <c r="J1099" s="199"/>
      <c r="K1099" s="199"/>
      <c r="L1099" s="199"/>
      <c r="M1099" s="108"/>
      <c r="N1099" s="199"/>
      <c r="O1099" s="422"/>
      <c r="P1099" s="421"/>
      <c r="Q1099" s="199"/>
      <c r="R1099" s="199"/>
      <c r="S1099" s="464"/>
      <c r="T1099" s="522"/>
    </row>
    <row r="1100" spans="1:20" ht="21" customHeight="1">
      <c r="A1100" s="520"/>
      <c r="B1100" s="199"/>
      <c r="C1100" s="521"/>
      <c r="D1100" s="521"/>
      <c r="E1100" s="199"/>
      <c r="F1100" s="199"/>
      <c r="G1100" s="199"/>
      <c r="H1100" s="199"/>
      <c r="I1100" s="199"/>
      <c r="J1100" s="199"/>
      <c r="K1100" s="199"/>
      <c r="L1100" s="199"/>
      <c r="M1100" s="108"/>
      <c r="N1100" s="199"/>
      <c r="O1100" s="421"/>
      <c r="P1100" s="421"/>
      <c r="Q1100" s="199"/>
      <c r="R1100" s="199"/>
      <c r="S1100" s="464"/>
      <c r="T1100" s="522"/>
    </row>
    <row r="1101" spans="1:20" ht="21" customHeight="1">
      <c r="A1101" s="520"/>
      <c r="B1101" s="199"/>
      <c r="C1101" s="521"/>
      <c r="D1101" s="521"/>
      <c r="E1101" s="199"/>
      <c r="F1101" s="199"/>
      <c r="G1101" s="199"/>
      <c r="H1101" s="199"/>
      <c r="I1101" s="199"/>
      <c r="J1101" s="199"/>
      <c r="K1101" s="199"/>
      <c r="L1101" s="199"/>
      <c r="M1101" s="108"/>
      <c r="N1101" s="199"/>
      <c r="O1101" s="421"/>
      <c r="P1101" s="421"/>
      <c r="Q1101" s="199"/>
      <c r="R1101" s="199"/>
      <c r="S1101" s="464"/>
      <c r="T1101" s="529"/>
    </row>
    <row r="1102" spans="1:20" ht="21" customHeight="1">
      <c r="A1102" s="516"/>
      <c r="B1102" s="206"/>
      <c r="C1102" s="521"/>
      <c r="D1102" s="521"/>
      <c r="E1102" s="206"/>
      <c r="F1102" s="206"/>
      <c r="G1102" s="206"/>
      <c r="H1102" s="206"/>
      <c r="I1102" s="206"/>
      <c r="J1102" s="206"/>
      <c r="K1102" s="199"/>
      <c r="L1102" s="206"/>
      <c r="M1102" s="3"/>
      <c r="N1102" s="199"/>
      <c r="O1102" s="421"/>
      <c r="P1102" s="421"/>
      <c r="Q1102" s="206"/>
      <c r="R1102" s="206"/>
      <c r="S1102" s="421"/>
      <c r="T1102" s="522"/>
    </row>
    <row r="1103" spans="1:20" ht="21" customHeight="1">
      <c r="A1103" s="520"/>
      <c r="B1103" s="199"/>
      <c r="C1103" s="521"/>
      <c r="D1103" s="521"/>
      <c r="E1103" s="199"/>
      <c r="F1103" s="199"/>
      <c r="G1103" s="199"/>
      <c r="H1103" s="199"/>
      <c r="I1103" s="199"/>
      <c r="J1103" s="199"/>
      <c r="K1103" s="199"/>
      <c r="L1103" s="199"/>
      <c r="M1103" s="108"/>
      <c r="N1103" s="199"/>
      <c r="O1103" s="421"/>
      <c r="P1103" s="421"/>
      <c r="Q1103" s="199"/>
      <c r="R1103" s="199"/>
      <c r="S1103" s="464"/>
      <c r="T1103" s="529"/>
    </row>
    <row r="1104" spans="1:20" s="553" customFormat="1" ht="21" customHeight="1">
      <c r="A1104" s="520"/>
      <c r="B1104" s="199"/>
      <c r="C1104" s="521"/>
      <c r="D1104" s="521"/>
      <c r="E1104" s="199"/>
      <c r="F1104" s="199"/>
      <c r="G1104" s="199"/>
      <c r="H1104" s="199"/>
      <c r="I1104" s="199"/>
      <c r="J1104" s="199"/>
      <c r="K1104" s="199"/>
      <c r="L1104" s="199"/>
      <c r="M1104" s="108"/>
      <c r="N1104" s="199"/>
      <c r="O1104" s="421"/>
      <c r="P1104" s="421"/>
      <c r="Q1104" s="199"/>
      <c r="R1104" s="199"/>
      <c r="S1104" s="464"/>
      <c r="T1104" s="522"/>
    </row>
    <row r="1105" spans="1:20" ht="21" customHeight="1">
      <c r="A1105" s="520"/>
      <c r="B1105" s="199"/>
      <c r="C1105" s="521"/>
      <c r="D1105" s="521"/>
      <c r="E1105" s="199"/>
      <c r="F1105" s="199"/>
      <c r="G1105" s="199"/>
      <c r="H1105" s="199"/>
      <c r="I1105" s="199"/>
      <c r="J1105" s="199"/>
      <c r="K1105" s="199"/>
      <c r="L1105" s="199"/>
      <c r="M1105" s="108"/>
      <c r="N1105" s="199"/>
      <c r="O1105" s="421"/>
      <c r="P1105" s="421"/>
      <c r="Q1105" s="199"/>
      <c r="R1105" s="199"/>
      <c r="S1105" s="464"/>
      <c r="T1105" s="529"/>
    </row>
    <row r="1106" spans="1:20" ht="21" customHeight="1">
      <c r="A1106" s="520"/>
      <c r="B1106" s="199"/>
      <c r="C1106" s="521"/>
      <c r="D1106" s="521"/>
      <c r="E1106" s="199"/>
      <c r="F1106" s="199"/>
      <c r="G1106" s="199"/>
      <c r="H1106" s="199"/>
      <c r="I1106" s="199"/>
      <c r="J1106" s="199"/>
      <c r="K1106" s="199"/>
      <c r="L1106" s="199"/>
      <c r="M1106" s="108"/>
      <c r="N1106" s="199"/>
      <c r="O1106" s="421"/>
      <c r="P1106" s="421"/>
      <c r="Q1106" s="199"/>
      <c r="R1106" s="199"/>
      <c r="S1106" s="464"/>
      <c r="T1106" s="522"/>
    </row>
    <row r="1107" spans="1:20" ht="21" customHeight="1">
      <c r="A1107" s="516"/>
      <c r="B1107" s="206"/>
      <c r="C1107" s="521"/>
      <c r="D1107" s="521"/>
      <c r="E1107" s="206"/>
      <c r="F1107" s="206"/>
      <c r="G1107" s="206"/>
      <c r="H1107" s="206"/>
      <c r="I1107" s="206"/>
      <c r="J1107" s="206"/>
      <c r="K1107" s="199"/>
      <c r="L1107" s="206"/>
      <c r="M1107" s="3"/>
      <c r="N1107" s="199"/>
      <c r="O1107" s="421"/>
      <c r="P1107" s="421"/>
      <c r="Q1107" s="206"/>
      <c r="R1107" s="525"/>
      <c r="S1107" s="421"/>
      <c r="T1107" s="529"/>
    </row>
    <row r="1108" spans="1:20" ht="21" customHeight="1">
      <c r="A1108" s="520"/>
      <c r="B1108" s="199"/>
      <c r="C1108" s="521"/>
      <c r="D1108" s="521"/>
      <c r="E1108" s="199"/>
      <c r="F1108" s="199"/>
      <c r="G1108" s="199"/>
      <c r="H1108" s="199"/>
      <c r="I1108" s="199"/>
      <c r="J1108" s="199"/>
      <c r="K1108" s="199"/>
      <c r="L1108" s="199"/>
      <c r="M1108" s="108"/>
      <c r="N1108" s="199"/>
      <c r="O1108" s="421"/>
      <c r="P1108" s="421"/>
      <c r="Q1108" s="199"/>
      <c r="R1108" s="199"/>
      <c r="S1108" s="464"/>
      <c r="T1108" s="522"/>
    </row>
    <row r="1109" spans="1:20" ht="21" customHeight="1">
      <c r="A1109" s="520"/>
      <c r="B1109" s="199"/>
      <c r="C1109" s="521"/>
      <c r="D1109" s="521"/>
      <c r="E1109" s="199"/>
      <c r="F1109" s="199"/>
      <c r="G1109" s="199"/>
      <c r="H1109" s="199"/>
      <c r="I1109" s="199"/>
      <c r="J1109" s="199"/>
      <c r="K1109" s="199"/>
      <c r="L1109" s="199"/>
      <c r="M1109" s="108"/>
      <c r="N1109" s="199"/>
      <c r="O1109" s="421"/>
      <c r="P1109" s="421"/>
      <c r="Q1109" s="199"/>
      <c r="R1109" s="199"/>
      <c r="S1109" s="464"/>
      <c r="T1109" s="529"/>
    </row>
    <row r="1110" spans="1:20" ht="21" customHeight="1">
      <c r="A1110" s="516"/>
      <c r="B1110" s="206"/>
      <c r="C1110" s="521"/>
      <c r="D1110" s="521"/>
      <c r="E1110" s="206"/>
      <c r="F1110" s="206"/>
      <c r="G1110" s="206"/>
      <c r="H1110" s="206"/>
      <c r="I1110" s="206"/>
      <c r="J1110" s="206"/>
      <c r="K1110" s="199"/>
      <c r="L1110" s="206"/>
      <c r="M1110" s="3"/>
      <c r="N1110" s="199"/>
      <c r="O1110" s="421"/>
      <c r="P1110" s="421"/>
      <c r="Q1110" s="206"/>
      <c r="R1110" s="421"/>
      <c r="S1110" s="421"/>
      <c r="T1110" s="522"/>
    </row>
    <row r="1111" spans="1:20" ht="21" customHeight="1">
      <c r="A1111" s="520"/>
      <c r="B1111" s="199"/>
      <c r="C1111" s="521"/>
      <c r="D1111" s="521"/>
      <c r="E1111" s="199"/>
      <c r="F1111" s="199"/>
      <c r="G1111" s="199"/>
      <c r="H1111" s="199"/>
      <c r="I1111" s="199"/>
      <c r="J1111" s="199"/>
      <c r="K1111" s="199"/>
      <c r="L1111" s="199"/>
      <c r="M1111" s="108"/>
      <c r="N1111" s="199"/>
      <c r="O1111" s="421"/>
      <c r="P1111" s="421"/>
      <c r="Q1111" s="199"/>
      <c r="R1111" s="199"/>
      <c r="S1111" s="464"/>
      <c r="T1111" s="529"/>
    </row>
    <row r="1112" spans="1:20" ht="21" customHeight="1">
      <c r="A1112" s="516"/>
      <c r="B1112" s="206"/>
      <c r="C1112" s="521"/>
      <c r="D1112" s="521"/>
      <c r="E1112" s="206"/>
      <c r="F1112" s="206"/>
      <c r="G1112" s="206"/>
      <c r="H1112" s="206"/>
      <c r="I1112" s="206"/>
      <c r="J1112" s="206"/>
      <c r="K1112" s="199"/>
      <c r="L1112" s="206"/>
      <c r="M1112" s="3"/>
      <c r="N1112" s="199"/>
      <c r="O1112" s="421"/>
      <c r="P1112" s="421"/>
      <c r="Q1112" s="206"/>
      <c r="R1112" s="206"/>
      <c r="S1112" s="421"/>
      <c r="T1112" s="529"/>
    </row>
    <row r="1113" spans="1:20" ht="21" customHeight="1">
      <c r="A1113" s="516"/>
      <c r="B1113" s="206"/>
      <c r="C1113" s="521"/>
      <c r="D1113" s="521"/>
      <c r="E1113" s="206"/>
      <c r="F1113" s="206"/>
      <c r="G1113" s="206"/>
      <c r="H1113" s="206"/>
      <c r="I1113" s="206"/>
      <c r="J1113" s="206"/>
      <c r="K1113" s="199"/>
      <c r="L1113" s="206"/>
      <c r="M1113" s="3"/>
      <c r="N1113" s="199"/>
      <c r="O1113" s="421"/>
      <c r="P1113" s="421"/>
      <c r="Q1113" s="206"/>
      <c r="R1113" s="206"/>
      <c r="S1113" s="421"/>
      <c r="T1113" s="529"/>
    </row>
    <row r="1114" spans="1:20" ht="21" customHeight="1">
      <c r="A1114" s="520"/>
      <c r="B1114" s="199"/>
      <c r="C1114" s="521"/>
      <c r="D1114" s="521"/>
      <c r="E1114" s="199"/>
      <c r="F1114" s="199"/>
      <c r="G1114" s="199"/>
      <c r="H1114" s="199"/>
      <c r="I1114" s="199"/>
      <c r="J1114" s="199"/>
      <c r="K1114" s="199"/>
      <c r="L1114" s="199"/>
      <c r="M1114" s="108"/>
      <c r="N1114" s="199"/>
      <c r="O1114" s="421"/>
      <c r="P1114" s="421"/>
      <c r="Q1114" s="199"/>
      <c r="R1114" s="199"/>
      <c r="S1114" s="464"/>
      <c r="T1114" s="529"/>
    </row>
    <row r="1115" spans="1:20" ht="21" customHeight="1">
      <c r="A1115" s="516"/>
      <c r="B1115" s="206"/>
      <c r="C1115" s="521"/>
      <c r="D1115" s="521"/>
      <c r="E1115" s="206"/>
      <c r="F1115" s="206"/>
      <c r="G1115" s="206"/>
      <c r="H1115" s="206"/>
      <c r="I1115" s="206"/>
      <c r="J1115" s="206"/>
      <c r="K1115" s="199"/>
      <c r="L1115" s="206"/>
      <c r="M1115" s="3"/>
      <c r="N1115" s="199"/>
      <c r="O1115" s="421"/>
      <c r="P1115" s="421"/>
      <c r="Q1115" s="206"/>
      <c r="R1115" s="206"/>
      <c r="S1115" s="421"/>
      <c r="T1115" s="529"/>
    </row>
    <row r="1116" spans="1:20" ht="21" customHeight="1">
      <c r="A1116" s="520"/>
      <c r="B1116" s="199"/>
      <c r="C1116" s="521"/>
      <c r="D1116" s="521"/>
      <c r="E1116" s="199"/>
      <c r="F1116" s="199"/>
      <c r="G1116" s="199"/>
      <c r="H1116" s="199"/>
      <c r="I1116" s="199"/>
      <c r="J1116" s="199"/>
      <c r="K1116" s="199"/>
      <c r="L1116" s="199"/>
      <c r="M1116" s="108"/>
      <c r="N1116" s="199"/>
      <c r="O1116" s="421"/>
      <c r="P1116" s="421"/>
      <c r="Q1116" s="199"/>
      <c r="R1116" s="199"/>
      <c r="S1116" s="464"/>
      <c r="T1116" s="529"/>
    </row>
    <row r="1117" spans="1:20" ht="21" customHeight="1">
      <c r="A1117" s="520"/>
      <c r="B1117" s="199"/>
      <c r="C1117" s="521"/>
      <c r="D1117" s="521"/>
      <c r="E1117" s="199"/>
      <c r="F1117" s="199"/>
      <c r="G1117" s="199"/>
      <c r="H1117" s="199"/>
      <c r="I1117" s="199"/>
      <c r="J1117" s="199"/>
      <c r="K1117" s="199"/>
      <c r="L1117" s="199"/>
      <c r="M1117" s="108"/>
      <c r="N1117" s="199"/>
      <c r="O1117" s="421"/>
      <c r="P1117" s="421"/>
      <c r="Q1117" s="199"/>
      <c r="R1117" s="199"/>
      <c r="S1117" s="464"/>
      <c r="T1117" s="529"/>
    </row>
    <row r="1118" spans="1:20" ht="21" customHeight="1">
      <c r="A1118" s="520"/>
      <c r="B1118" s="199"/>
      <c r="C1118" s="521"/>
      <c r="D1118" s="521"/>
      <c r="E1118" s="199"/>
      <c r="F1118" s="199"/>
      <c r="G1118" s="199"/>
      <c r="H1118" s="199"/>
      <c r="I1118" s="199"/>
      <c r="J1118" s="199"/>
      <c r="K1118" s="199"/>
      <c r="L1118" s="199"/>
      <c r="M1118" s="108"/>
      <c r="N1118" s="199"/>
      <c r="O1118" s="421"/>
      <c r="P1118" s="421"/>
      <c r="Q1118" s="199"/>
      <c r="R1118" s="199"/>
      <c r="S1118" s="464"/>
      <c r="T1118" s="529"/>
    </row>
    <row r="1119" spans="1:20" ht="21" customHeight="1">
      <c r="A1119" s="520"/>
      <c r="B1119" s="199"/>
      <c r="C1119" s="521"/>
      <c r="D1119" s="521"/>
      <c r="E1119" s="199"/>
      <c r="F1119" s="199"/>
      <c r="G1119" s="199"/>
      <c r="H1119" s="199"/>
      <c r="I1119" s="199"/>
      <c r="J1119" s="199"/>
      <c r="K1119" s="199"/>
      <c r="L1119" s="199"/>
      <c r="M1119" s="108"/>
      <c r="N1119" s="199"/>
      <c r="O1119" s="421"/>
      <c r="P1119" s="421"/>
      <c r="Q1119" s="199"/>
      <c r="R1119" s="199"/>
      <c r="S1119" s="464"/>
      <c r="T1119" s="529"/>
    </row>
    <row r="1120" spans="1:20" ht="21" customHeight="1">
      <c r="A1120" s="520"/>
      <c r="B1120" s="199"/>
      <c r="C1120" s="521"/>
      <c r="D1120" s="521"/>
      <c r="E1120" s="199"/>
      <c r="F1120" s="199"/>
      <c r="G1120" s="199"/>
      <c r="H1120" s="199"/>
      <c r="I1120" s="199"/>
      <c r="J1120" s="199"/>
      <c r="K1120" s="199"/>
      <c r="L1120" s="199"/>
      <c r="M1120" s="108"/>
      <c r="N1120" s="199"/>
      <c r="O1120" s="421"/>
      <c r="P1120" s="421"/>
      <c r="Q1120" s="199"/>
      <c r="R1120" s="199"/>
      <c r="S1120" s="464"/>
      <c r="T1120" s="529"/>
    </row>
    <row r="1121" spans="1:20" ht="21" customHeight="1">
      <c r="A1121" s="554"/>
      <c r="B1121" s="555"/>
      <c r="C1121" s="556"/>
      <c r="D1121" s="556"/>
      <c r="E1121" s="555"/>
      <c r="F1121" s="199"/>
      <c r="G1121" s="199"/>
      <c r="H1121" s="199"/>
      <c r="I1121" s="199"/>
      <c r="J1121" s="199"/>
      <c r="K1121" s="199"/>
      <c r="L1121" s="199"/>
      <c r="M1121" s="555"/>
      <c r="N1121" s="555"/>
      <c r="O1121" s="551"/>
      <c r="P1121" s="421"/>
      <c r="Q1121" s="555"/>
      <c r="R1121" s="555"/>
      <c r="S1121" s="557"/>
      <c r="T1121" s="558"/>
    </row>
    <row r="1122" spans="1:20" ht="21" customHeight="1">
      <c r="A1122" s="520"/>
      <c r="B1122" s="199"/>
      <c r="C1122" s="521"/>
      <c r="D1122" s="521"/>
      <c r="E1122" s="199"/>
      <c r="F1122" s="199"/>
      <c r="G1122" s="199"/>
      <c r="H1122" s="199"/>
      <c r="I1122" s="199"/>
      <c r="J1122" s="199"/>
      <c r="K1122" s="199"/>
      <c r="L1122" s="199"/>
      <c r="M1122" s="108"/>
      <c r="N1122" s="199"/>
      <c r="O1122" s="421"/>
      <c r="P1122" s="421"/>
      <c r="Q1122" s="199"/>
      <c r="R1122" s="199"/>
      <c r="S1122" s="464"/>
      <c r="T1122" s="529"/>
    </row>
    <row r="1123" spans="1:20" ht="21" customHeight="1">
      <c r="A1123" s="520"/>
      <c r="B1123" s="199"/>
      <c r="C1123" s="521"/>
      <c r="D1123" s="521"/>
      <c r="E1123" s="199"/>
      <c r="F1123" s="199"/>
      <c r="G1123" s="199"/>
      <c r="H1123" s="199"/>
      <c r="I1123" s="199"/>
      <c r="J1123" s="199"/>
      <c r="K1123" s="199"/>
      <c r="L1123" s="199"/>
      <c r="M1123" s="108"/>
      <c r="N1123" s="199"/>
      <c r="O1123" s="421"/>
      <c r="P1123" s="421"/>
      <c r="Q1123" s="199"/>
      <c r="R1123" s="547"/>
      <c r="S1123" s="464"/>
      <c r="T1123" s="529"/>
    </row>
    <row r="1124" spans="1:20" ht="21" customHeight="1">
      <c r="A1124" s="520"/>
      <c r="B1124" s="199"/>
      <c r="C1124" s="521"/>
      <c r="D1124" s="521"/>
      <c r="E1124" s="199"/>
      <c r="F1124" s="199"/>
      <c r="G1124" s="199"/>
      <c r="H1124" s="199"/>
      <c r="I1124" s="199"/>
      <c r="J1124" s="199"/>
      <c r="K1124" s="199"/>
      <c r="L1124" s="199"/>
      <c r="M1124" s="108"/>
      <c r="N1124" s="199"/>
      <c r="O1124" s="421"/>
      <c r="P1124" s="421"/>
      <c r="Q1124" s="199"/>
      <c r="R1124" s="199"/>
      <c r="S1124" s="464"/>
      <c r="T1124" s="522"/>
    </row>
    <row r="1125" spans="1:20" ht="21" customHeight="1">
      <c r="A1125" s="520"/>
      <c r="B1125" s="199"/>
      <c r="C1125" s="521"/>
      <c r="D1125" s="521"/>
      <c r="E1125" s="199"/>
      <c r="F1125" s="199"/>
      <c r="G1125" s="199"/>
      <c r="H1125" s="199"/>
      <c r="I1125" s="199"/>
      <c r="J1125" s="199"/>
      <c r="K1125" s="199"/>
      <c r="L1125" s="199"/>
      <c r="M1125" s="108"/>
      <c r="N1125" s="199"/>
      <c r="O1125" s="421"/>
      <c r="P1125" s="421"/>
      <c r="Q1125" s="199"/>
      <c r="R1125" s="199"/>
      <c r="S1125" s="464"/>
      <c r="T1125" s="529"/>
    </row>
    <row r="1126" spans="1:20" ht="21" customHeight="1">
      <c r="A1126" s="516"/>
      <c r="B1126" s="206"/>
      <c r="C1126" s="521"/>
      <c r="D1126" s="521"/>
      <c r="E1126" s="206"/>
      <c r="F1126" s="206"/>
      <c r="G1126" s="206"/>
      <c r="H1126" s="206"/>
      <c r="I1126" s="206"/>
      <c r="J1126" s="206"/>
      <c r="K1126" s="199"/>
      <c r="L1126" s="206"/>
      <c r="M1126" s="3"/>
      <c r="N1126" s="199"/>
      <c r="O1126" s="421"/>
      <c r="P1126" s="421"/>
      <c r="Q1126" s="206"/>
      <c r="R1126" s="206"/>
      <c r="S1126" s="421"/>
      <c r="T1126" s="529"/>
    </row>
    <row r="1127" spans="1:20" ht="21" customHeight="1">
      <c r="A1127" s="520"/>
      <c r="B1127" s="199"/>
      <c r="C1127" s="521"/>
      <c r="D1127" s="521"/>
      <c r="E1127" s="199"/>
      <c r="F1127" s="199"/>
      <c r="G1127" s="199"/>
      <c r="H1127" s="199"/>
      <c r="I1127" s="199"/>
      <c r="J1127" s="199"/>
      <c r="K1127" s="199"/>
      <c r="L1127" s="199"/>
      <c r="M1127" s="108"/>
      <c r="N1127" s="199"/>
      <c r="O1127" s="421"/>
      <c r="P1127" s="421"/>
      <c r="Q1127" s="199"/>
      <c r="R1127" s="199"/>
      <c r="S1127" s="464"/>
      <c r="T1127" s="529"/>
    </row>
    <row r="1128" spans="1:20" ht="21" customHeight="1">
      <c r="A1128" s="520"/>
      <c r="B1128" s="199"/>
      <c r="C1128" s="521"/>
      <c r="D1128" s="521"/>
      <c r="E1128" s="199"/>
      <c r="F1128" s="199"/>
      <c r="G1128" s="199"/>
      <c r="H1128" s="199"/>
      <c r="I1128" s="199"/>
      <c r="J1128" s="199"/>
      <c r="K1128" s="199"/>
      <c r="L1128" s="199"/>
      <c r="M1128" s="108"/>
      <c r="N1128" s="199"/>
      <c r="O1128" s="421"/>
      <c r="P1128" s="421"/>
      <c r="Q1128" s="199"/>
      <c r="R1128" s="199"/>
      <c r="S1128" s="464"/>
      <c r="T1128" s="529"/>
    </row>
    <row r="1129" spans="1:20" ht="21" customHeight="1">
      <c r="A1129" s="520"/>
      <c r="B1129" s="199"/>
      <c r="C1129" s="521"/>
      <c r="D1129" s="521"/>
      <c r="E1129" s="199"/>
      <c r="F1129" s="199"/>
      <c r="G1129" s="199"/>
      <c r="H1129" s="199"/>
      <c r="I1129" s="199"/>
      <c r="J1129" s="199"/>
      <c r="K1129" s="199"/>
      <c r="L1129" s="199"/>
      <c r="M1129" s="108"/>
      <c r="N1129" s="199"/>
      <c r="O1129" s="421"/>
      <c r="P1129" s="421"/>
      <c r="Q1129" s="199"/>
      <c r="R1129" s="199"/>
      <c r="S1129" s="464"/>
      <c r="T1129" s="522"/>
    </row>
    <row r="1130" spans="1:20" ht="21" customHeight="1">
      <c r="A1130" s="520"/>
      <c r="B1130" s="199"/>
      <c r="C1130" s="521"/>
      <c r="D1130" s="521"/>
      <c r="E1130" s="199"/>
      <c r="F1130" s="199"/>
      <c r="G1130" s="199"/>
      <c r="H1130" s="199"/>
      <c r="I1130" s="199"/>
      <c r="J1130" s="199"/>
      <c r="K1130" s="199"/>
      <c r="L1130" s="199"/>
      <c r="M1130" s="108"/>
      <c r="N1130" s="199"/>
      <c r="O1130" s="421"/>
      <c r="P1130" s="421"/>
      <c r="Q1130" s="199"/>
      <c r="R1130" s="199"/>
      <c r="S1130" s="464"/>
      <c r="T1130" s="529"/>
    </row>
    <row r="1131" spans="1:20" ht="21" customHeight="1">
      <c r="A1131" s="520"/>
      <c r="B1131" s="199"/>
      <c r="C1131" s="521"/>
      <c r="D1131" s="521"/>
      <c r="E1131" s="199"/>
      <c r="F1131" s="199"/>
      <c r="G1131" s="199"/>
      <c r="H1131" s="199"/>
      <c r="I1131" s="199"/>
      <c r="J1131" s="199"/>
      <c r="K1131" s="199"/>
      <c r="L1131" s="199"/>
      <c r="M1131" s="108"/>
      <c r="N1131" s="199"/>
      <c r="O1131" s="421"/>
      <c r="P1131" s="421"/>
      <c r="Q1131" s="199"/>
      <c r="R1131" s="199"/>
      <c r="S1131" s="464"/>
      <c r="T1131" s="529"/>
    </row>
    <row r="1132" spans="1:20" ht="21" customHeight="1">
      <c r="A1132" s="520"/>
      <c r="B1132" s="199"/>
      <c r="C1132" s="521"/>
      <c r="D1132" s="521"/>
      <c r="E1132" s="199"/>
      <c r="F1132" s="199"/>
      <c r="G1132" s="199"/>
      <c r="H1132" s="199"/>
      <c r="I1132" s="199"/>
      <c r="J1132" s="199"/>
      <c r="K1132" s="199"/>
      <c r="L1132" s="199"/>
      <c r="M1132" s="108"/>
      <c r="N1132" s="199"/>
      <c r="O1132" s="421"/>
      <c r="P1132" s="421"/>
      <c r="Q1132" s="199"/>
      <c r="R1132" s="199"/>
      <c r="S1132" s="464"/>
      <c r="T1132" s="529"/>
    </row>
    <row r="1133" spans="1:20" ht="21" customHeight="1">
      <c r="A1133" s="516"/>
      <c r="B1133" s="206"/>
      <c r="C1133" s="453"/>
      <c r="D1133" s="453"/>
      <c r="E1133" s="206"/>
      <c r="F1133" s="206"/>
      <c r="G1133" s="206"/>
      <c r="H1133" s="206"/>
      <c r="I1133" s="206"/>
      <c r="J1133" s="206"/>
      <c r="K1133" s="206"/>
      <c r="L1133" s="206"/>
      <c r="M1133" s="3"/>
      <c r="N1133" s="206"/>
      <c r="O1133" s="421"/>
      <c r="P1133" s="421"/>
      <c r="Q1133" s="206"/>
      <c r="R1133" s="206"/>
      <c r="S1133" s="421"/>
      <c r="T1133" s="527"/>
    </row>
    <row r="1134" spans="1:20" ht="21" customHeight="1">
      <c r="A1134" s="516"/>
      <c r="B1134" s="206"/>
      <c r="C1134" s="453"/>
      <c r="D1134" s="453"/>
      <c r="E1134" s="206"/>
      <c r="F1134" s="206"/>
      <c r="G1134" s="206"/>
      <c r="H1134" s="206"/>
      <c r="I1134" s="206"/>
      <c r="J1134" s="206"/>
      <c r="K1134" s="206"/>
      <c r="L1134" s="206"/>
      <c r="M1134" s="3"/>
      <c r="N1134" s="206"/>
      <c r="O1134" s="421"/>
      <c r="P1134" s="421"/>
      <c r="Q1134" s="206"/>
      <c r="R1134" s="206"/>
      <c r="S1134" s="421"/>
      <c r="T1134" s="527"/>
    </row>
    <row r="1135" spans="1:20" ht="21" customHeight="1">
      <c r="A1135" s="516"/>
      <c r="B1135" s="206"/>
      <c r="C1135" s="453"/>
      <c r="D1135" s="453"/>
      <c r="E1135" s="206"/>
      <c r="F1135" s="206"/>
      <c r="G1135" s="206"/>
      <c r="H1135" s="206"/>
      <c r="I1135" s="206"/>
      <c r="J1135" s="206"/>
      <c r="K1135" s="206"/>
      <c r="L1135" s="206"/>
      <c r="M1135" s="3"/>
      <c r="N1135" s="206"/>
      <c r="O1135" s="421"/>
      <c r="P1135" s="421"/>
      <c r="Q1135" s="206"/>
      <c r="R1135" s="206"/>
      <c r="S1135" s="421"/>
      <c r="T1135" s="527"/>
    </row>
    <row r="1136" spans="1:20" ht="21" customHeight="1">
      <c r="A1136" s="516"/>
      <c r="B1136" s="206"/>
      <c r="C1136" s="453"/>
      <c r="D1136" s="453"/>
      <c r="E1136" s="206"/>
      <c r="F1136" s="206"/>
      <c r="G1136" s="206"/>
      <c r="H1136" s="206"/>
      <c r="I1136" s="206"/>
      <c r="J1136" s="206"/>
      <c r="K1136" s="206"/>
      <c r="L1136" s="206"/>
      <c r="M1136" s="3"/>
      <c r="N1136" s="206"/>
      <c r="O1136" s="421"/>
      <c r="P1136" s="421"/>
      <c r="Q1136" s="206"/>
      <c r="R1136" s="206"/>
      <c r="S1136" s="421"/>
      <c r="T1136" s="527"/>
    </row>
    <row r="1137" spans="1:20" ht="21" customHeight="1">
      <c r="A1137" s="516"/>
      <c r="B1137" s="206"/>
      <c r="C1137" s="453"/>
      <c r="D1137" s="453"/>
      <c r="E1137" s="206"/>
      <c r="F1137" s="206"/>
      <c r="G1137" s="206"/>
      <c r="H1137" s="206"/>
      <c r="I1137" s="206"/>
      <c r="J1137" s="206"/>
      <c r="K1137" s="206"/>
      <c r="L1137" s="206"/>
      <c r="M1137" s="3"/>
      <c r="N1137" s="206"/>
      <c r="O1137" s="421"/>
      <c r="P1137" s="421"/>
      <c r="Q1137" s="206"/>
      <c r="R1137" s="206"/>
      <c r="S1137" s="421"/>
      <c r="T1137" s="546"/>
    </row>
    <row r="1138" spans="1:20" ht="21" customHeight="1">
      <c r="A1138" s="516"/>
      <c r="B1138" s="206"/>
      <c r="C1138" s="453"/>
      <c r="D1138" s="453"/>
      <c r="E1138" s="206"/>
      <c r="F1138" s="206"/>
      <c r="G1138" s="206"/>
      <c r="H1138" s="206"/>
      <c r="I1138" s="206"/>
      <c r="J1138" s="206"/>
      <c r="K1138" s="206"/>
      <c r="L1138" s="206"/>
      <c r="M1138" s="3"/>
      <c r="N1138" s="206"/>
      <c r="O1138" s="421"/>
      <c r="P1138" s="421"/>
      <c r="Q1138" s="206"/>
      <c r="R1138" s="206"/>
      <c r="S1138" s="421"/>
      <c r="T1138" s="527"/>
    </row>
    <row r="1139" spans="1:20" ht="21" customHeight="1">
      <c r="A1139" s="516"/>
      <c r="B1139" s="206"/>
      <c r="C1139" s="453"/>
      <c r="D1139" s="453"/>
      <c r="E1139" s="206"/>
      <c r="F1139" s="206"/>
      <c r="G1139" s="206"/>
      <c r="H1139" s="206"/>
      <c r="I1139" s="206"/>
      <c r="J1139" s="206"/>
      <c r="K1139" s="206"/>
      <c r="L1139" s="206"/>
      <c r="M1139" s="3"/>
      <c r="N1139" s="206"/>
      <c r="O1139" s="421"/>
      <c r="P1139" s="421"/>
      <c r="Q1139" s="206"/>
      <c r="R1139" s="206"/>
      <c r="S1139" s="421"/>
      <c r="T1139" s="517"/>
    </row>
    <row r="1140" spans="1:20" ht="21" customHeight="1">
      <c r="A1140" s="520"/>
      <c r="B1140" s="199"/>
      <c r="C1140" s="453"/>
      <c r="D1140" s="453"/>
      <c r="E1140" s="206"/>
      <c r="F1140" s="199"/>
      <c r="G1140" s="199"/>
      <c r="H1140" s="199"/>
      <c r="I1140" s="199"/>
      <c r="J1140" s="199"/>
      <c r="K1140" s="199"/>
      <c r="L1140" s="199"/>
      <c r="M1140" s="108"/>
      <c r="N1140" s="206"/>
      <c r="O1140" s="464"/>
      <c r="P1140" s="421"/>
      <c r="Q1140" s="199"/>
      <c r="R1140" s="199"/>
      <c r="S1140" s="464"/>
      <c r="T1140" s="529"/>
    </row>
  </sheetData>
  <sheetProtection sort="0" autoFilter="0" pivotTables="0"/>
  <phoneticPr fontId="77" type="noConversion"/>
  <conditionalFormatting sqref="B1133:B1140">
    <cfRule type="expression" dxfId="181" priority="53">
      <formula>#REF!&lt;=TODAY()</formula>
    </cfRule>
  </conditionalFormatting>
  <pageMargins left="0.7" right="0.7" top="0.75" bottom="0.75" header="0.3" footer="0.3"/>
  <pageSetup orientation="portrait" horizontalDpi="360" verticalDpi="360" r:id="rId1"/>
  <headerFooter>
    <oddFooter>&amp;R&amp;"Calibri"&amp;11&amp;K000000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748-F975-4896-B4E9-E01DF6C6D13C}">
  <sheetPr codeName="Feuil16">
    <tabColor rgb="FFDF41C8"/>
  </sheetPr>
  <dimension ref="A1:V297"/>
  <sheetViews>
    <sheetView topLeftCell="F1" workbookViewId="0">
      <selection activeCell="L279" sqref="L279"/>
    </sheetView>
  </sheetViews>
  <sheetFormatPr baseColWidth="10" defaultColWidth="11.42578125" defaultRowHeight="15" outlineLevelCol="1"/>
  <cols>
    <col min="1" max="1" width="38.42578125" customWidth="1" outlineLevel="1"/>
    <col min="2" max="2" width="64.42578125" customWidth="1" outlineLevel="1"/>
    <col min="3" max="3" width="21" style="48" bestFit="1" customWidth="1"/>
    <col min="4" max="4" width="14.42578125" style="48" bestFit="1" customWidth="1"/>
    <col min="5" max="5" width="26.42578125" style="48" customWidth="1"/>
    <col min="6" max="6" width="14.42578125" style="48" customWidth="1"/>
    <col min="7" max="7" width="17.42578125" style="48" customWidth="1"/>
    <col min="8" max="8" width="15.42578125" style="48" customWidth="1"/>
    <col min="9" max="15" width="14.42578125" style="48" customWidth="1"/>
    <col min="16" max="16" width="14.42578125" customWidth="1"/>
    <col min="17" max="17" width="94.5703125" customWidth="1"/>
  </cols>
  <sheetData>
    <row r="1" spans="1:22" ht="43.35" customHeight="1">
      <c r="A1" s="209" t="s">
        <v>625</v>
      </c>
      <c r="B1" s="210" t="s">
        <v>626</v>
      </c>
      <c r="C1" s="211" t="s">
        <v>627</v>
      </c>
      <c r="D1" s="212" t="s">
        <v>107</v>
      </c>
      <c r="E1" s="140" t="s">
        <v>628</v>
      </c>
      <c r="F1" s="141" t="s">
        <v>113</v>
      </c>
      <c r="G1" s="161" t="s">
        <v>629</v>
      </c>
      <c r="H1" s="213" t="s">
        <v>105</v>
      </c>
      <c r="I1" s="161" t="s">
        <v>108</v>
      </c>
      <c r="J1" s="212" t="s">
        <v>109</v>
      </c>
      <c r="K1" s="213" t="s">
        <v>110</v>
      </c>
      <c r="L1" s="143" t="s">
        <v>41</v>
      </c>
      <c r="M1" s="141" t="s">
        <v>111</v>
      </c>
      <c r="N1" s="141" t="s">
        <v>42</v>
      </c>
      <c r="O1" s="142" t="s">
        <v>114</v>
      </c>
      <c r="P1" s="144" t="s">
        <v>43</v>
      </c>
      <c r="Q1" s="144" t="s">
        <v>630</v>
      </c>
    </row>
    <row r="2" spans="1:22" ht="15.75" hidden="1" thickBot="1">
      <c r="A2" s="113"/>
      <c r="B2" s="369"/>
      <c r="C2" s="211">
        <v>6</v>
      </c>
      <c r="D2" s="214">
        <v>7</v>
      </c>
      <c r="E2" s="211">
        <v>15</v>
      </c>
      <c r="F2" s="213">
        <v>16</v>
      </c>
      <c r="G2" s="211"/>
      <c r="H2" s="213" t="str">
        <f>IF(Tableau2[[#This Row],[Name Consignee]]=0,"",VLOOKUP(Tableau2[[#This Row],[Name Consignee]],Plant_AILN!A:C,3,FALSE))</f>
        <v/>
      </c>
      <c r="I2" s="140">
        <v>8</v>
      </c>
      <c r="J2" s="141">
        <v>9</v>
      </c>
      <c r="K2" s="142">
        <v>10</v>
      </c>
      <c r="L2" s="215">
        <v>11</v>
      </c>
      <c r="M2" s="162">
        <v>12</v>
      </c>
      <c r="N2" s="162">
        <v>13</v>
      </c>
      <c r="O2" s="160">
        <v>18</v>
      </c>
      <c r="P2" s="215">
        <v>14</v>
      </c>
      <c r="R2" t="s">
        <v>631</v>
      </c>
    </row>
    <row r="3" spans="1:22" hidden="1">
      <c r="A3" s="243" t="str">
        <f>_xlfn.CONCAT(Tableau2[[#This Row],[Compte ILN]],"-",Tableau2[[#This Row],[Compte Shipper]],"-",Tableau2[[#This Row],[POL]],"-",Tableau2[[#This Row],[Compte Consignee]])</f>
        <v>95112-95112-TRIZT-26549500</v>
      </c>
      <c r="B3" s="370" t="str">
        <f>IF(Tableau2[[#This Row],[Name Consignee]]="",_xlfn.CONCAT(Tableau2[[#This Row],[Compte ILN]],"-",Tableau2[[#This Row],[Compte Shipper]],"-",Tableau2[[#This Row],[POL]]),"-")</f>
        <v>-</v>
      </c>
      <c r="C3" s="216" t="s">
        <v>167</v>
      </c>
      <c r="D3" s="217">
        <f>VLOOKUP(Tableau2[[#This Row],[ Name ILN]],Plant_AILN!F:G,2,FALSE)</f>
        <v>95112</v>
      </c>
      <c r="E3" s="216" t="s">
        <v>167</v>
      </c>
      <c r="F3" s="218">
        <f>IFERROR(VLOOKUP(Tableau2[[#This Row],[Name of shipper]],Plant_AILN!L:M,2,FALSE),0)</f>
        <v>95112</v>
      </c>
      <c r="G3" s="219" t="s">
        <v>221</v>
      </c>
      <c r="H3" s="218">
        <f>IF(Tableau2[[#This Row],[Name Consignee]]=0,"",VLOOKUP(Tableau2[[#This Row],[Name Consignee]],Plant_AILN!A:C,3,FALSE))</f>
        <v>26549500</v>
      </c>
      <c r="I3" s="52">
        <v>9</v>
      </c>
      <c r="J3" s="220">
        <v>14</v>
      </c>
      <c r="K3" s="96">
        <v>5</v>
      </c>
      <c r="L3" s="216">
        <v>7</v>
      </c>
      <c r="M3" s="221">
        <f>Tableau2[[#This Row],[Delivery time to ILN/Shipper]]+Tableau2[[#This Row],[Day ILN Order]]-1</f>
        <v>22</v>
      </c>
      <c r="N3" s="222">
        <v>3</v>
      </c>
      <c r="O3" s="223" t="s">
        <v>551</v>
      </c>
      <c r="P3" s="60">
        <v>4</v>
      </c>
      <c r="R3" t="s">
        <v>632</v>
      </c>
      <c r="V3" s="224" t="s">
        <v>633</v>
      </c>
    </row>
    <row r="4" spans="1:22" hidden="1">
      <c r="A4" s="243" t="str">
        <f>_xlfn.CONCAT(Tableau2[[#This Row],[Compte ILN]],"-",Tableau2[[#This Row],[Compte Shipper]],"-",Tableau2[[#This Row],[POL]],"-",Tableau2[[#This Row],[Compte Consignee]])</f>
        <v>95112-95112-TRIZT-26549502</v>
      </c>
      <c r="B4" s="370" t="str">
        <f>IF(Tableau2[[#This Row],[Name Consignee]]="",_xlfn.CONCAT(Tableau2[[#This Row],[Compte ILN]],"-",Tableau2[[#This Row],[Compte Shipper]],"-",Tableau2[[#This Row],[POL]]),"-")</f>
        <v>-</v>
      </c>
      <c r="C4" s="216" t="s">
        <v>167</v>
      </c>
      <c r="D4" s="217">
        <f>VLOOKUP(Tableau2[[#This Row],[ Name ILN]],Plant_AILN!F:G,2,FALSE)</f>
        <v>95112</v>
      </c>
      <c r="E4" s="216" t="s">
        <v>167</v>
      </c>
      <c r="F4" s="218">
        <f>IFERROR(VLOOKUP(Tableau2[[#This Row],[Name of shipper]],Plant_AILN!L:M,2,FALSE),0)</f>
        <v>95112</v>
      </c>
      <c r="G4" s="219" t="s">
        <v>159</v>
      </c>
      <c r="H4" s="218">
        <f>IF(Tableau2[[#This Row],[Name Consignee]]=0,"",VLOOKUP(Tableau2[[#This Row],[Name Consignee]],Plant_AILN!A:C,3,FALSE))</f>
        <v>26549502</v>
      </c>
      <c r="I4" s="52">
        <v>9</v>
      </c>
      <c r="J4" s="220">
        <v>14</v>
      </c>
      <c r="K4" s="96">
        <v>5</v>
      </c>
      <c r="L4" s="216">
        <v>7</v>
      </c>
      <c r="M4" s="221">
        <f>Tableau2[[#This Row],[Delivery time to ILN/Shipper]]+Tableau2[[#This Row],[Day ILN Order]]-1</f>
        <v>22</v>
      </c>
      <c r="N4" s="222">
        <v>3</v>
      </c>
      <c r="O4" s="223" t="s">
        <v>551</v>
      </c>
      <c r="P4" s="60">
        <v>4</v>
      </c>
      <c r="R4" t="s">
        <v>632</v>
      </c>
      <c r="V4" s="224" t="s">
        <v>633</v>
      </c>
    </row>
    <row r="5" spans="1:22" hidden="1">
      <c r="A5" s="243" t="str">
        <f>_xlfn.CONCAT(Tableau2[[#This Row],[Compte ILN]],"-",Tableau2[[#This Row],[Compte Shipper]],"-",Tableau2[[#This Row],[POL]],"-",Tableau2[[#This Row],[Compte Consignee]])</f>
        <v>95112-95112-TRGEM-90016000</v>
      </c>
      <c r="B5" s="370" t="str">
        <f>IF(Tableau2[[#This Row],[Name Consignee]]="",_xlfn.CONCAT(Tableau2[[#This Row],[Compte ILN]],"-",Tableau2[[#This Row],[Compte Shipper]],"-",Tableau2[[#This Row],[POL]]),"-")</f>
        <v>-</v>
      </c>
      <c r="C5" s="225" t="s">
        <v>167</v>
      </c>
      <c r="D5" s="226">
        <f>VLOOKUP(Tableau2[[#This Row],[ Name ILN]],Plant_AILN!F:G,2,FALSE)</f>
        <v>95112</v>
      </c>
      <c r="E5" s="225" t="s">
        <v>167</v>
      </c>
      <c r="F5" s="227">
        <f>IFERROR(VLOOKUP(Tableau2[[#This Row],[Name of shipper]],Plant_AILN!L:M,2,FALSE),0)</f>
        <v>95112</v>
      </c>
      <c r="G5" s="139" t="s">
        <v>158</v>
      </c>
      <c r="H5" s="227">
        <f>IF(Tableau2[[#This Row],[Name Consignee]]=0,"",VLOOKUP(Tableau2[[#This Row],[Name Consignee]],Plant_AILN!A:C,3,FALSE))</f>
        <v>90016000</v>
      </c>
      <c r="I5" s="52">
        <v>9</v>
      </c>
      <c r="J5" s="220">
        <v>14</v>
      </c>
      <c r="K5" s="96">
        <v>5</v>
      </c>
      <c r="L5" s="228">
        <v>7</v>
      </c>
      <c r="M5" s="229">
        <f>Tableau2[[#This Row],[Delivery time to ILN/Shipper]]+Tableau2[[#This Row],[Day ILN Order]]-1</f>
        <v>22</v>
      </c>
      <c r="N5" s="230">
        <v>1</v>
      </c>
      <c r="O5" s="231" t="s">
        <v>558</v>
      </c>
      <c r="P5" s="60">
        <v>2</v>
      </c>
      <c r="Q5" t="s">
        <v>634</v>
      </c>
      <c r="R5" t="s">
        <v>635</v>
      </c>
      <c r="V5" s="224" t="s">
        <v>636</v>
      </c>
    </row>
    <row r="6" spans="1:22" hidden="1">
      <c r="A6" s="243" t="str">
        <f>_xlfn.CONCAT(Tableau2[[#This Row],[Compte ILN]],"-",Tableau2[[#This Row],[Compte Shipper]],"-",Tableau2[[#This Row],[POL]],"-",Tableau2[[#This Row],[Compte Consignee]])</f>
        <v>95112-95112-TRGEM-25079500</v>
      </c>
      <c r="B6" s="370" t="str">
        <f>IF(Tableau2[[#This Row],[Name Consignee]]="",_xlfn.CONCAT(Tableau2[[#This Row],[Compte ILN]],"-",Tableau2[[#This Row],[Compte Shipper]],"-",Tableau2[[#This Row],[POL]]),"-")</f>
        <v>-</v>
      </c>
      <c r="C6" s="225" t="s">
        <v>167</v>
      </c>
      <c r="D6" s="226">
        <f>VLOOKUP(Tableau2[[#This Row],[ Name ILN]],Plant_AILN!F:G,2,FALSE)</f>
        <v>95112</v>
      </c>
      <c r="E6" s="225" t="s">
        <v>167</v>
      </c>
      <c r="F6" s="227">
        <f>IFERROR(VLOOKUP(Tableau2[[#This Row],[Name of shipper]],Plant_AILN!L:M,2,FALSE),0)</f>
        <v>95112</v>
      </c>
      <c r="G6" s="139" t="s">
        <v>637</v>
      </c>
      <c r="H6" s="227">
        <f>IF(Tableau2[[#This Row],[Name Consignee]]=0,"",VLOOKUP(Tableau2[[#This Row],[Name Consignee]],Plant_AILN!A:C,3,FALSE))</f>
        <v>25079500</v>
      </c>
      <c r="I6" s="52">
        <v>9</v>
      </c>
      <c r="J6" s="220">
        <v>14</v>
      </c>
      <c r="K6" s="96">
        <v>5</v>
      </c>
      <c r="L6" s="228">
        <v>7</v>
      </c>
      <c r="M6" s="229">
        <f>Tableau2[[#This Row],[Delivery time to ILN/Shipper]]+Tableau2[[#This Row],[Day ILN Order]]-1</f>
        <v>22</v>
      </c>
      <c r="N6" s="230">
        <v>1</v>
      </c>
      <c r="O6" s="231" t="s">
        <v>558</v>
      </c>
      <c r="P6" s="60">
        <v>2</v>
      </c>
      <c r="R6" t="s">
        <v>638</v>
      </c>
    </row>
    <row r="7" spans="1:22" hidden="1">
      <c r="A7" s="243" t="str">
        <f>_xlfn.CONCAT(Tableau2[[#This Row],[Compte ILN]],"-",Tableau2[[#This Row],[Compte Shipper]],"-",Tableau2[[#This Row],[POL]],"-",Tableau2[[#This Row],[Compte Consignee]])</f>
        <v>95112-95112-TRIZT-92002200</v>
      </c>
      <c r="B7" s="370" t="str">
        <f>IF(Tableau2[[#This Row],[Name Consignee]]="",_xlfn.CONCAT(Tableau2[[#This Row],[Compte ILN]],"-",Tableau2[[#This Row],[Compte Shipper]],"-",Tableau2[[#This Row],[POL]]),"-")</f>
        <v>-</v>
      </c>
      <c r="C7" s="225" t="s">
        <v>167</v>
      </c>
      <c r="D7" s="226">
        <f>VLOOKUP(Tableau2[[#This Row],[ Name ILN]],Plant_AILN!F:G,2,FALSE)</f>
        <v>95112</v>
      </c>
      <c r="E7" s="225" t="s">
        <v>167</v>
      </c>
      <c r="F7" s="227">
        <f>IFERROR(VLOOKUP(Tableau2[[#This Row],[Name of shipper]],Plant_AILN!L:M,2,FALSE),0)</f>
        <v>95112</v>
      </c>
      <c r="G7" s="139" t="s">
        <v>145</v>
      </c>
      <c r="H7" s="227">
        <f>IF(Tableau2[[#This Row],[Name Consignee]]=0,"",VLOOKUP(Tableau2[[#This Row],[Name Consignee]],Plant_AILN!A:C,3,FALSE))</f>
        <v>92002200</v>
      </c>
      <c r="I7" s="52">
        <v>9</v>
      </c>
      <c r="J7" s="220">
        <v>14</v>
      </c>
      <c r="K7" s="96">
        <v>5</v>
      </c>
      <c r="L7" s="228">
        <v>7</v>
      </c>
      <c r="M7" s="229">
        <f>Tableau2[[#This Row],[Delivery time to ILN/Shipper]]+Tableau2[[#This Row],[Day ILN Order]]-1</f>
        <v>22</v>
      </c>
      <c r="N7" s="230">
        <v>2</v>
      </c>
      <c r="O7" s="231" t="s">
        <v>551</v>
      </c>
      <c r="P7" s="60">
        <v>4</v>
      </c>
      <c r="Q7" t="s">
        <v>634</v>
      </c>
    </row>
    <row r="8" spans="1:22" hidden="1">
      <c r="A8" s="243" t="str">
        <f>_xlfn.CONCAT(Tableau2[[#This Row],[Compte ILN]],"-",Tableau2[[#This Row],[Compte Shipper]],"-",Tableau2[[#This Row],[POL]],"-",Tableau2[[#This Row],[Compte Consignee]])</f>
        <v>95112-95112-TRGEM-90038200</v>
      </c>
      <c r="B8" s="370" t="str">
        <f>IF(Tableau2[[#This Row],[Name Consignee]]="",_xlfn.CONCAT(Tableau2[[#This Row],[Compte ILN]],"-",Tableau2[[#This Row],[Compte Shipper]],"-",Tableau2[[#This Row],[POL]]),"-")</f>
        <v>-</v>
      </c>
      <c r="C8" s="225" t="s">
        <v>167</v>
      </c>
      <c r="D8" s="226">
        <f>VLOOKUP(Tableau2[[#This Row],[ Name ILN]],Plant_AILN!F:G,2,FALSE)</f>
        <v>95112</v>
      </c>
      <c r="E8" s="225" t="s">
        <v>167</v>
      </c>
      <c r="F8" s="227">
        <f>IFERROR(VLOOKUP(Tableau2[[#This Row],[Name of shipper]],Plant_AILN!L:M,2,FALSE),0)</f>
        <v>95112</v>
      </c>
      <c r="G8" s="139" t="s">
        <v>179</v>
      </c>
      <c r="H8" s="227">
        <f>IF(Tableau2[[#This Row],[Name Consignee]]=0,"",VLOOKUP(Tableau2[[#This Row],[Name Consignee]],Plant_AILN!A:C,3,FALSE))</f>
        <v>90038200</v>
      </c>
      <c r="I8" s="52">
        <v>9</v>
      </c>
      <c r="J8" s="220">
        <v>14</v>
      </c>
      <c r="K8" s="96">
        <v>5</v>
      </c>
      <c r="L8" s="228">
        <v>7</v>
      </c>
      <c r="M8" s="229">
        <f>Tableau2[[#This Row],[Delivery time to ILN/Shipper]]+Tableau2[[#This Row],[Day ILN Order]]-1</f>
        <v>22</v>
      </c>
      <c r="N8" s="230">
        <v>1</v>
      </c>
      <c r="O8" s="231" t="s">
        <v>558</v>
      </c>
      <c r="P8" s="60">
        <v>2</v>
      </c>
    </row>
    <row r="9" spans="1:22" hidden="1">
      <c r="A9" s="243" t="str">
        <f>_xlfn.CONCAT(Tableau2[[#This Row],[Compte ILN]],"-",Tableau2[[#This Row],[Compte Shipper]],"-",Tableau2[[#This Row],[POL]],"-",Tableau2[[#This Row],[Compte Consignee]])</f>
        <v>95112-95112-TRGEM-900383</v>
      </c>
      <c r="B9" s="370" t="str">
        <f>IF(Tableau2[[#This Row],[Name Consignee]]="",_xlfn.CONCAT(Tableau2[[#This Row],[Compte ILN]],"-",Tableau2[[#This Row],[Compte Shipper]],"-",Tableau2[[#This Row],[POL]]),"-")</f>
        <v>-</v>
      </c>
      <c r="C9" s="225" t="s">
        <v>167</v>
      </c>
      <c r="D9" s="226">
        <f>VLOOKUP(Tableau2[[#This Row],[ Name ILN]],Plant_AILN!F:G,2,FALSE)</f>
        <v>95112</v>
      </c>
      <c r="E9" s="225" t="s">
        <v>167</v>
      </c>
      <c r="F9" s="227">
        <f>IFERROR(VLOOKUP(Tableau2[[#This Row],[Name of shipper]],Plant_AILN!L:M,2,FALSE),0)</f>
        <v>95112</v>
      </c>
      <c r="G9" s="139" t="s">
        <v>180</v>
      </c>
      <c r="H9" s="227">
        <f>IF(Tableau2[[#This Row],[Name Consignee]]=0,"",VLOOKUP(Tableau2[[#This Row],[Name Consignee]],Plant_AILN!A:C,3,FALSE))</f>
        <v>900383</v>
      </c>
      <c r="I9" s="52">
        <v>9</v>
      </c>
      <c r="J9" s="220">
        <v>14</v>
      </c>
      <c r="K9" s="96">
        <v>5</v>
      </c>
      <c r="L9" s="228">
        <v>7</v>
      </c>
      <c r="M9" s="229">
        <f>Tableau2[[#This Row],[Delivery time to ILN/Shipper]]+Tableau2[[#This Row],[Day ILN Order]]-1</f>
        <v>22</v>
      </c>
      <c r="N9" s="230">
        <v>1</v>
      </c>
      <c r="O9" s="231" t="s">
        <v>558</v>
      </c>
      <c r="P9" s="60">
        <v>4</v>
      </c>
    </row>
    <row r="10" spans="1:22" hidden="1">
      <c r="A10" s="243" t="str">
        <f>_xlfn.CONCAT(Tableau2[[#This Row],[Compte ILN]],"-",Tableau2[[#This Row],[Compte Shipper]],"-",Tableau2[[#This Row],[POL]],"-",Tableau2[[#This Row],[Compte Consignee]])</f>
        <v>95436-95436-KRPUS-26549500</v>
      </c>
      <c r="B10" s="370" t="str">
        <f>IF(Tableau2[[#This Row],[Name Consignee]]="",_xlfn.CONCAT(Tableau2[[#This Row],[Compte ILN]],"-",Tableau2[[#This Row],[Compte Shipper]],"-",Tableau2[[#This Row],[POL]]),"-")</f>
        <v>-</v>
      </c>
      <c r="C10" s="225" t="s">
        <v>166</v>
      </c>
      <c r="D10" s="226">
        <f>VLOOKUP(Tableau2[[#This Row],[ Name ILN]],Plant_AILN!F:G,2,FALSE)</f>
        <v>95436</v>
      </c>
      <c r="E10" s="225" t="s">
        <v>166</v>
      </c>
      <c r="F10" s="227">
        <f>IFERROR(VLOOKUP(Tableau2[[#This Row],[Name of shipper]],Plant_AILN!L:M,2,FALSE),0)</f>
        <v>95436</v>
      </c>
      <c r="G10" s="139" t="s">
        <v>221</v>
      </c>
      <c r="H10" s="227">
        <f>IF(Tableau2[[#This Row],[Name Consignee]]=0,"",VLOOKUP(Tableau2[[#This Row],[Name Consignee]],Plant_AILN!A:C,3,FALSE))</f>
        <v>26549500</v>
      </c>
      <c r="I10" s="52">
        <v>9</v>
      </c>
      <c r="J10" s="220">
        <v>14</v>
      </c>
      <c r="K10" s="96">
        <v>5</v>
      </c>
      <c r="L10" s="228">
        <v>7</v>
      </c>
      <c r="M10" s="229">
        <f>Tableau2[[#This Row],[Delivery time to ILN/Shipper]]+Tableau2[[#This Row],[Day ILN Order]]-1</f>
        <v>22</v>
      </c>
      <c r="N10" s="230">
        <v>1</v>
      </c>
      <c r="O10" s="231" t="s">
        <v>496</v>
      </c>
      <c r="P10" s="60">
        <v>5</v>
      </c>
    </row>
    <row r="11" spans="1:22" hidden="1">
      <c r="A11" s="243" t="str">
        <f>_xlfn.CONCAT(Tableau2[[#This Row],[Compte ILN]],"-",Tableau2[[#This Row],[Compte Shipper]],"-",Tableau2[[#This Row],[POL]],"-",Tableau2[[#This Row],[Compte Consignee]])</f>
        <v>95436-95436-KRPUS-26549502</v>
      </c>
      <c r="B11" s="370" t="str">
        <f>IF(Tableau2[[#This Row],[Name Consignee]]="",_xlfn.CONCAT(Tableau2[[#This Row],[Compte ILN]],"-",Tableau2[[#This Row],[Compte Shipper]],"-",Tableau2[[#This Row],[POL]]),"-")</f>
        <v>-</v>
      </c>
      <c r="C11" s="225" t="s">
        <v>166</v>
      </c>
      <c r="D11" s="226">
        <f>VLOOKUP(Tableau2[[#This Row],[ Name ILN]],Plant_AILN!F:G,2,FALSE)</f>
        <v>95436</v>
      </c>
      <c r="E11" s="225" t="s">
        <v>166</v>
      </c>
      <c r="F11" s="227">
        <f>IFERROR(VLOOKUP(Tableau2[[#This Row],[Name of shipper]],Plant_AILN!L:M,2,FALSE),0)</f>
        <v>95436</v>
      </c>
      <c r="G11" s="139" t="s">
        <v>159</v>
      </c>
      <c r="H11" s="227">
        <f>IF(Tableau2[[#This Row],[Name Consignee]]=0,"",VLOOKUP(Tableau2[[#This Row],[Name Consignee]],Plant_AILN!A:C,3,FALSE))</f>
        <v>26549502</v>
      </c>
      <c r="I11" s="52">
        <v>9</v>
      </c>
      <c r="J11" s="220">
        <v>14</v>
      </c>
      <c r="K11" s="96">
        <v>5</v>
      </c>
      <c r="L11" s="228">
        <v>7</v>
      </c>
      <c r="M11" s="229">
        <f>Tableau2[[#This Row],[Delivery time to ILN/Shipper]]+Tableau2[[#This Row],[Day ILN Order]]-1</f>
        <v>22</v>
      </c>
      <c r="N11" s="230">
        <v>1</v>
      </c>
      <c r="O11" s="231" t="s">
        <v>496</v>
      </c>
      <c r="P11" s="60">
        <v>5</v>
      </c>
    </row>
    <row r="12" spans="1:22" hidden="1">
      <c r="A12" s="243" t="str">
        <f>_xlfn.CONCAT(Tableau2[[#This Row],[Compte ILN]],"-",Tableau2[[#This Row],[Compte Shipper]],"-",Tableau2[[#This Row],[POL]],"-",Tableau2[[#This Row],[Compte Consignee]])</f>
        <v>95436-95436-KRPUS-</v>
      </c>
      <c r="B12" s="370" t="str">
        <f>IF(Tableau2[[#This Row],[Name Consignee]]="",_xlfn.CONCAT(Tableau2[[#This Row],[Compte ILN]],"-",Tableau2[[#This Row],[Compte Shipper]],"-",Tableau2[[#This Row],[POL]]),"-")</f>
        <v>95436-95436-KRPUS</v>
      </c>
      <c r="C12" s="225" t="s">
        <v>166</v>
      </c>
      <c r="D12" s="226">
        <f>VLOOKUP(Tableau2[[#This Row],[ Name ILN]],Plant_AILN!F:G,2,FALSE)</f>
        <v>95436</v>
      </c>
      <c r="E12" s="225" t="s">
        <v>166</v>
      </c>
      <c r="F12" s="227">
        <f>IFERROR(VLOOKUP(Tableau2[[#This Row],[Name of shipper]],Plant_AILN!L:M,2,FALSE),0)</f>
        <v>95436</v>
      </c>
      <c r="G12" s="139"/>
      <c r="H12" s="227" t="str">
        <f>IF(Tableau2[[#This Row],[Name Consignee]]=0,"",VLOOKUP(Tableau2[[#This Row],[Name Consignee]],Plant_AILN!A:C,3,FALSE))</f>
        <v/>
      </c>
      <c r="I12" s="52">
        <v>9</v>
      </c>
      <c r="J12" s="220">
        <v>14</v>
      </c>
      <c r="K12" s="96">
        <v>5</v>
      </c>
      <c r="L12" s="228">
        <v>7</v>
      </c>
      <c r="M12" s="229">
        <f>Tableau2[[#This Row],[Delivery time to ILN/Shipper]]+Tableau2[[#This Row],[Day ILN Order]]-1</f>
        <v>22</v>
      </c>
      <c r="N12" s="230">
        <v>1</v>
      </c>
      <c r="O12" s="231" t="s">
        <v>496</v>
      </c>
      <c r="P12" s="60">
        <v>5</v>
      </c>
    </row>
    <row r="13" spans="1:22" hidden="1">
      <c r="A13" s="243" t="str">
        <f>_xlfn.CONCAT(Tableau2[[#This Row],[Compte ILN]],"-",Tableau2[[#This Row],[Compte Shipper]],"-",Tableau2[[#This Row],[POL]],"-",Tableau2[[#This Row],[Compte Consignee]])</f>
        <v>95436-95436-KRPUS-90016000</v>
      </c>
      <c r="B13" s="370" t="str">
        <f>IF(Tableau2[[#This Row],[Name Consignee]]="",_xlfn.CONCAT(Tableau2[[#This Row],[Compte ILN]],"-",Tableau2[[#This Row],[Compte Shipper]],"-",Tableau2[[#This Row],[POL]]),"-")</f>
        <v>-</v>
      </c>
      <c r="C13" s="225" t="s">
        <v>166</v>
      </c>
      <c r="D13" s="226">
        <f>VLOOKUP(Tableau2[[#This Row],[ Name ILN]],Plant_AILN!F:G,2,FALSE)</f>
        <v>95436</v>
      </c>
      <c r="E13" s="225" t="s">
        <v>166</v>
      </c>
      <c r="F13" s="227">
        <f>IFERROR(VLOOKUP(Tableau2[[#This Row],[Name of shipper]],Plant_AILN!L:M,2,FALSE),0)</f>
        <v>95436</v>
      </c>
      <c r="G13" s="139" t="s">
        <v>158</v>
      </c>
      <c r="H13" s="227">
        <f>IF(Tableau2[[#This Row],[Name Consignee]]=0,"",VLOOKUP(Tableau2[[#This Row],[Name Consignee]],Plant_AILN!A:C,3,FALSE))</f>
        <v>90016000</v>
      </c>
      <c r="I13" s="52">
        <v>9</v>
      </c>
      <c r="J13" s="220">
        <v>14</v>
      </c>
      <c r="K13" s="96">
        <v>5</v>
      </c>
      <c r="L13" s="228">
        <v>7</v>
      </c>
      <c r="M13" s="229">
        <f>Tableau2[[#This Row],[Delivery time to ILN/Shipper]]+Tableau2[[#This Row],[Day ILN Order]]-1</f>
        <v>22</v>
      </c>
      <c r="N13" s="230">
        <v>1</v>
      </c>
      <c r="O13" s="231" t="s">
        <v>496</v>
      </c>
      <c r="P13" s="60">
        <v>5</v>
      </c>
    </row>
    <row r="14" spans="1:22" hidden="1">
      <c r="A14" s="243" t="str">
        <f>_xlfn.CONCAT(Tableau2[[#This Row],[Compte ILN]],"-",Tableau2[[#This Row],[Compte Shipper]],"-",Tableau2[[#This Row],[POL]],"-",Tableau2[[#This Row],[Compte Consignee]])</f>
        <v>95436-95436-KRPUS-90018000</v>
      </c>
      <c r="B14" s="370" t="str">
        <f>IF(Tableau2[[#This Row],[Name Consignee]]="",_xlfn.CONCAT(Tableau2[[#This Row],[Compte ILN]],"-",Tableau2[[#This Row],[Compte Shipper]],"-",Tableau2[[#This Row],[POL]]),"-")</f>
        <v>-</v>
      </c>
      <c r="C14" s="225" t="s">
        <v>166</v>
      </c>
      <c r="D14" s="226">
        <f>VLOOKUP(Tableau2[[#This Row],[ Name ILN]],Plant_AILN!F:G,2,FALSE)</f>
        <v>95436</v>
      </c>
      <c r="E14" s="225" t="s">
        <v>166</v>
      </c>
      <c r="F14" s="227">
        <f>IFERROR(VLOOKUP(Tableau2[[#This Row],[Name of shipper]],Plant_AILN!L:M,2,FALSE),0)</f>
        <v>95436</v>
      </c>
      <c r="G14" s="139" t="s">
        <v>152</v>
      </c>
      <c r="H14" s="227">
        <f>IF(Tableau2[[#This Row],[Name Consignee]]=0,"",VLOOKUP(Tableau2[[#This Row],[Name Consignee]],Plant_AILN!A:C,3,FALSE))</f>
        <v>90018000</v>
      </c>
      <c r="I14" s="52">
        <v>9</v>
      </c>
      <c r="J14" s="220">
        <v>14</v>
      </c>
      <c r="K14" s="96">
        <v>5</v>
      </c>
      <c r="L14" s="228">
        <v>7</v>
      </c>
      <c r="M14" s="229">
        <f>Tableau2[[#This Row],[Delivery time to ILN/Shipper]]+Tableau2[[#This Row],[Day ILN Order]]-1</f>
        <v>22</v>
      </c>
      <c r="N14" s="230">
        <v>1</v>
      </c>
      <c r="O14" s="231" t="s">
        <v>496</v>
      </c>
      <c r="P14" s="60">
        <v>5</v>
      </c>
    </row>
    <row r="15" spans="1:22" hidden="1">
      <c r="A15" s="243" t="str">
        <f>_xlfn.CONCAT(Tableau2[[#This Row],[Compte ILN]],"-",Tableau2[[#This Row],[Compte Shipper]],"-",Tableau2[[#This Row],[POL]],"-",Tableau2[[#This Row],[Compte Consignee]])</f>
        <v>95436-95436-KRPUS-90016800</v>
      </c>
      <c r="B15" s="370" t="str">
        <f>IF(Tableau2[[#This Row],[Name Consignee]]="",_xlfn.CONCAT(Tableau2[[#This Row],[Compte ILN]],"-",Tableau2[[#This Row],[Compte Shipper]],"-",Tableau2[[#This Row],[POL]]),"-")</f>
        <v>-</v>
      </c>
      <c r="C15" s="225" t="s">
        <v>166</v>
      </c>
      <c r="D15" s="226">
        <f>VLOOKUP(Tableau2[[#This Row],[ Name ILN]],Plant_AILN!F:G,2,FALSE)</f>
        <v>95436</v>
      </c>
      <c r="E15" s="225" t="s">
        <v>166</v>
      </c>
      <c r="F15" s="227">
        <f>IFERROR(VLOOKUP(Tableau2[[#This Row],[Name of shipper]],Plant_AILN!L:M,2,FALSE),0)</f>
        <v>95436</v>
      </c>
      <c r="G15" s="139" t="s">
        <v>185</v>
      </c>
      <c r="H15" s="227">
        <f>IF(Tableau2[[#This Row],[Name Consignee]]=0,"",VLOOKUP(Tableau2[[#This Row],[Name Consignee]],Plant_AILN!A:C,3,FALSE))</f>
        <v>90016800</v>
      </c>
      <c r="I15" s="52">
        <v>9</v>
      </c>
      <c r="J15" s="220">
        <v>14</v>
      </c>
      <c r="K15" s="96">
        <v>5</v>
      </c>
      <c r="L15" s="228">
        <v>7</v>
      </c>
      <c r="M15" s="229">
        <f>Tableau2[[#This Row],[Delivery time to ILN/Shipper]]+Tableau2[[#This Row],[Day ILN Order]]-1</f>
        <v>22</v>
      </c>
      <c r="N15" s="230">
        <v>1</v>
      </c>
      <c r="O15" s="231" t="s">
        <v>496</v>
      </c>
      <c r="P15" s="60">
        <v>3</v>
      </c>
    </row>
    <row r="16" spans="1:22" hidden="1">
      <c r="A16" s="243" t="str">
        <f>_xlfn.CONCAT(Tableau2[[#This Row],[Compte ILN]],"-",Tableau2[[#This Row],[Compte Shipper]],"-",Tableau2[[#This Row],[POL]],"-",Tableau2[[#This Row],[Compte Consignee]])</f>
        <v>95436-95436-KRPUS-90012500</v>
      </c>
      <c r="B16" s="243" t="str">
        <f>IF(Tableau2[[#This Row],[Name Consignee]]="",_xlfn.CONCAT(Tableau2[[#This Row],[Compte ILN]],"-",Tableau2[[#This Row],[Compte Shipper]],"-",Tableau2[[#This Row],[POL]]),"-")</f>
        <v>-</v>
      </c>
      <c r="C16" s="225" t="s">
        <v>166</v>
      </c>
      <c r="D16" s="229">
        <f>VLOOKUP(Tableau2[[#This Row],[ Name ILN]],Plant_AILN!F:G,2,FALSE)</f>
        <v>95436</v>
      </c>
      <c r="E16" s="225" t="s">
        <v>166</v>
      </c>
      <c r="F16" s="236">
        <f>IFERROR(VLOOKUP(Tableau2[[#This Row],[Name of shipper]],Plant_AILN!L:M,2,FALSE),0)</f>
        <v>95436</v>
      </c>
      <c r="G16" s="234" t="s">
        <v>162</v>
      </c>
      <c r="H16" s="236">
        <f>IF(Tableau2[[#This Row],[Name Consignee]]=0,"",VLOOKUP(Tableau2[[#This Row],[Name Consignee]],Plant_AILN!A:C,3,FALSE))</f>
        <v>90012500</v>
      </c>
      <c r="I16" s="52">
        <v>9</v>
      </c>
      <c r="J16" s="220">
        <v>14</v>
      </c>
      <c r="K16" s="96">
        <v>5</v>
      </c>
      <c r="L16" s="228">
        <v>7</v>
      </c>
      <c r="M16" s="229">
        <f>Tableau2[[#This Row],[Delivery time to ILN/Shipper]]+Tableau2[[#This Row],[Day ILN Order]]-1</f>
        <v>22</v>
      </c>
      <c r="N16" s="230">
        <v>1</v>
      </c>
      <c r="O16" s="231" t="s">
        <v>496</v>
      </c>
      <c r="P16" s="60">
        <v>3</v>
      </c>
    </row>
    <row r="17" spans="1:16" hidden="1">
      <c r="A17" s="243" t="str">
        <f>_xlfn.CONCAT(Tableau2[[#This Row],[Compte ILN]],"-",Tableau2[[#This Row],[Compte Shipper]],"-",Tableau2[[#This Row],[POL]],"-",Tableau2[[#This Row],[Compte Consignee]])</f>
        <v>95436-95436-KRPUS-90019100</v>
      </c>
      <c r="B17" s="370" t="str">
        <f>IF(Tableau2[[#This Row],[Name Consignee]]="",_xlfn.CONCAT(Tableau2[[#This Row],[Compte ILN]],"-",Tableau2[[#This Row],[Compte Shipper]],"-",Tableau2[[#This Row],[POL]]),"-")</f>
        <v>-</v>
      </c>
      <c r="C17" s="225" t="s">
        <v>166</v>
      </c>
      <c r="D17" s="226">
        <f>VLOOKUP(Tableau2[[#This Row],[ Name ILN]],Plant_AILN!F:G,2,FALSE)</f>
        <v>95436</v>
      </c>
      <c r="E17" s="225" t="s">
        <v>166</v>
      </c>
      <c r="F17" s="227">
        <f>IFERROR(VLOOKUP(Tableau2[[#This Row],[Name of shipper]],Plant_AILN!L:M,2,FALSE),0)</f>
        <v>95436</v>
      </c>
      <c r="G17" s="139" t="s">
        <v>188</v>
      </c>
      <c r="H17" s="227">
        <f>IF(Tableau2[[#This Row],[Name Consignee]]=0,"",VLOOKUP(Tableau2[[#This Row],[Name Consignee]],Plant_AILN!A:C,3,FALSE))</f>
        <v>90019100</v>
      </c>
      <c r="I17" s="52">
        <v>9</v>
      </c>
      <c r="J17" s="220">
        <v>14</v>
      </c>
      <c r="K17" s="96">
        <v>5</v>
      </c>
      <c r="L17" s="228">
        <v>7</v>
      </c>
      <c r="M17" s="229">
        <f>Tableau2[[#This Row],[Delivery time to ILN/Shipper]]+Tableau2[[#This Row],[Day ILN Order]]-1</f>
        <v>22</v>
      </c>
      <c r="N17" s="230">
        <v>1</v>
      </c>
      <c r="O17" s="231" t="s">
        <v>496</v>
      </c>
      <c r="P17" s="60">
        <v>3</v>
      </c>
    </row>
    <row r="18" spans="1:16" hidden="1">
      <c r="A18" s="243" t="str">
        <f>_xlfn.CONCAT(Tableau2[[#This Row],[Compte ILN]],"-",Tableau2[[#This Row],[Compte Shipper]],"-",Tableau2[[#This Row],[POL]],"-",Tableau2[[#This Row],[Compte Consignee]])</f>
        <v>95436-95436-KRPUS-90015100</v>
      </c>
      <c r="B18" s="370" t="str">
        <f>IF(Tableau2[[#This Row],[Name Consignee]]="",_xlfn.CONCAT(Tableau2[[#This Row],[Compte ILN]],"-",Tableau2[[#This Row],[Compte Shipper]],"-",Tableau2[[#This Row],[POL]]),"-")</f>
        <v>-</v>
      </c>
      <c r="C18" s="225" t="s">
        <v>166</v>
      </c>
      <c r="D18" s="226">
        <f>VLOOKUP(Tableau2[[#This Row],[ Name ILN]],Plant_AILN!F:G,2,FALSE)</f>
        <v>95436</v>
      </c>
      <c r="E18" s="225" t="s">
        <v>166</v>
      </c>
      <c r="F18" s="227">
        <f>IFERROR(VLOOKUP(Tableau2[[#This Row],[Name of shipper]],Plant_AILN!L:M,2,FALSE),0)</f>
        <v>95436</v>
      </c>
      <c r="G18" s="139" t="s">
        <v>209</v>
      </c>
      <c r="H18" s="227">
        <f>IF(Tableau2[[#This Row],[Name Consignee]]=0,"",VLOOKUP(Tableau2[[#This Row],[Name Consignee]],Plant_AILN!A:C,3,FALSE))</f>
        <v>90015100</v>
      </c>
      <c r="I18" s="52">
        <v>9</v>
      </c>
      <c r="J18" s="220">
        <v>14</v>
      </c>
      <c r="K18" s="96">
        <v>5</v>
      </c>
      <c r="L18" s="228">
        <v>7</v>
      </c>
      <c r="M18" s="229">
        <f>Tableau2[[#This Row],[Delivery time to ILN/Shipper]]+Tableau2[[#This Row],[Day ILN Order]]-1</f>
        <v>22</v>
      </c>
      <c r="N18" s="230">
        <v>1</v>
      </c>
      <c r="O18" s="231" t="s">
        <v>496</v>
      </c>
      <c r="P18" s="60">
        <v>3</v>
      </c>
    </row>
    <row r="19" spans="1:16" hidden="1">
      <c r="A19" s="243" t="str">
        <f>_xlfn.CONCAT(Tableau2[[#This Row],[Compte ILN]],"-",Tableau2[[#This Row],[Compte Shipper]],"-",Tableau2[[#This Row],[POL]],"-",Tableau2[[#This Row],[Compte Consignee]])</f>
        <v>95436-95436-KRPUS-90017000</v>
      </c>
      <c r="B19" s="370" t="str">
        <f>IF(Tableau2[[#This Row],[Name Consignee]]="",_xlfn.CONCAT(Tableau2[[#This Row],[Compte ILN]],"-",Tableau2[[#This Row],[Compte Shipper]],"-",Tableau2[[#This Row],[POL]]),"-")</f>
        <v>-</v>
      </c>
      <c r="C19" s="225" t="s">
        <v>166</v>
      </c>
      <c r="D19" s="226">
        <f>VLOOKUP(Tableau2[[#This Row],[ Name ILN]],Plant_AILN!F:G,2,FALSE)</f>
        <v>95436</v>
      </c>
      <c r="E19" s="225" t="s">
        <v>166</v>
      </c>
      <c r="F19" s="227">
        <f>IFERROR(VLOOKUP(Tableau2[[#This Row],[Name of shipper]],Plant_AILN!L:M,2,FALSE),0)</f>
        <v>95436</v>
      </c>
      <c r="G19" s="139" t="s">
        <v>173</v>
      </c>
      <c r="H19" s="227">
        <f>IF(Tableau2[[#This Row],[Name Consignee]]=0,"",VLOOKUP(Tableau2[[#This Row],[Name Consignee]],Plant_AILN!A:C,3,FALSE))</f>
        <v>90017000</v>
      </c>
      <c r="I19" s="52">
        <v>9</v>
      </c>
      <c r="J19" s="220">
        <v>14</v>
      </c>
      <c r="K19" s="96">
        <v>5</v>
      </c>
      <c r="L19" s="228">
        <v>7</v>
      </c>
      <c r="M19" s="229">
        <f>Tableau2[[#This Row],[Delivery time to ILN/Shipper]]+Tableau2[[#This Row],[Day ILN Order]]-1</f>
        <v>22</v>
      </c>
      <c r="N19" s="230">
        <v>1</v>
      </c>
      <c r="O19" s="231" t="s">
        <v>496</v>
      </c>
      <c r="P19" s="60">
        <v>3</v>
      </c>
    </row>
    <row r="20" spans="1:16" hidden="1">
      <c r="A20" s="243" t="str">
        <f>_xlfn.CONCAT(Tableau2[[#This Row],[Compte ILN]],"-",Tableau2[[#This Row],[Compte Shipper]],"-",Tableau2[[#This Row],[POL]],"-",Tableau2[[#This Row],[Compte Consignee]])</f>
        <v>95436-95436-KRPUS-90014400</v>
      </c>
      <c r="B20" s="243" t="str">
        <f>IF(Tableau2[[#This Row],[Name Consignee]]="",_xlfn.CONCAT(Tableau2[[#This Row],[Compte ILN]],"-",Tableau2[[#This Row],[Compte Shipper]],"-",Tableau2[[#This Row],[POL]]),"-")</f>
        <v>-</v>
      </c>
      <c r="C20" s="225" t="s">
        <v>166</v>
      </c>
      <c r="D20" s="229">
        <f>VLOOKUP(Tableau2[[#This Row],[ Name ILN]],Plant_AILN!F:G,2,FALSE)</f>
        <v>95436</v>
      </c>
      <c r="E20" s="225" t="s">
        <v>166</v>
      </c>
      <c r="F20" s="236">
        <f>IFERROR(VLOOKUP(Tableau2[[#This Row],[Name of shipper]],Plant_AILN!L:M,2,FALSE),0)</f>
        <v>95436</v>
      </c>
      <c r="G20" s="234" t="s">
        <v>165</v>
      </c>
      <c r="H20" s="236">
        <f>IF(Tableau2[[#This Row],[Name Consignee]]=0,"",VLOOKUP(Tableau2[[#This Row],[Name Consignee]],Plant_AILN!A:C,3,FALSE))</f>
        <v>90014400</v>
      </c>
      <c r="I20" s="52">
        <v>9</v>
      </c>
      <c r="J20" s="220">
        <v>14</v>
      </c>
      <c r="K20" s="96">
        <v>5</v>
      </c>
      <c r="L20" s="228">
        <v>7</v>
      </c>
      <c r="M20" s="229">
        <f>Tableau2[[#This Row],[Delivery time to ILN/Shipper]]+Tableau2[[#This Row],[Day ILN Order]]-1</f>
        <v>22</v>
      </c>
      <c r="N20" s="230">
        <v>1</v>
      </c>
      <c r="O20" s="231" t="s">
        <v>496</v>
      </c>
      <c r="P20" s="60">
        <v>3</v>
      </c>
    </row>
    <row r="21" spans="1:16" hidden="1">
      <c r="A21" s="243" t="str">
        <f>_xlfn.CONCAT(Tableau2[[#This Row],[Compte ILN]],"-",Tableau2[[#This Row],[Compte Shipper]],"-",Tableau2[[#This Row],[POL]],"-",Tableau2[[#This Row],[Compte Consignee]])</f>
        <v>95436-95436-KRPUS-90016700</v>
      </c>
      <c r="B21" s="370" t="str">
        <f>IF(Tableau2[[#This Row],[Name Consignee]]="",_xlfn.CONCAT(Tableau2[[#This Row],[Compte ILN]],"-",Tableau2[[#This Row],[Compte Shipper]],"-",Tableau2[[#This Row],[POL]]),"-")</f>
        <v>-</v>
      </c>
      <c r="C21" s="225" t="s">
        <v>166</v>
      </c>
      <c r="D21" s="226">
        <f>VLOOKUP(Tableau2[[#This Row],[ Name ILN]],Plant_AILN!F:G,2,FALSE)</f>
        <v>95436</v>
      </c>
      <c r="E21" s="225" t="s">
        <v>166</v>
      </c>
      <c r="F21" s="227">
        <f>IFERROR(VLOOKUP(Tableau2[[#This Row],[Name of shipper]],Plant_AILN!L:M,2,FALSE),0)</f>
        <v>95436</v>
      </c>
      <c r="G21" s="139" t="s">
        <v>35</v>
      </c>
      <c r="H21" s="227">
        <f>IF(Tableau2[[#This Row],[Name Consignee]]=0,"",VLOOKUP(Tableau2[[#This Row],[Name Consignee]],Plant_AILN!A:C,3,FALSE))</f>
        <v>90016700</v>
      </c>
      <c r="I21" s="52">
        <v>9</v>
      </c>
      <c r="J21" s="220">
        <v>14</v>
      </c>
      <c r="K21" s="96">
        <v>5</v>
      </c>
      <c r="L21" s="228">
        <v>7</v>
      </c>
      <c r="M21" s="229">
        <f>Tableau2[[#This Row],[Delivery time to ILN/Shipper]]+Tableau2[[#This Row],[Day ILN Order]]-1</f>
        <v>22</v>
      </c>
      <c r="N21" s="230">
        <v>1</v>
      </c>
      <c r="O21" s="231" t="s">
        <v>496</v>
      </c>
      <c r="P21" s="60">
        <v>3</v>
      </c>
    </row>
    <row r="22" spans="1:16" hidden="1">
      <c r="A22" s="243" t="str">
        <f>_xlfn.CONCAT(Tableau2[[#This Row],[Compte ILN]],"-",Tableau2[[#This Row],[Compte Shipper]],"-",Tableau2[[#This Row],[POL]],"-",Tableau2[[#This Row],[Compte Consignee]])</f>
        <v>95436-95436-KRPUS-9510600</v>
      </c>
      <c r="B22" s="370" t="str">
        <f>IF(Tableau2[[#This Row],[Name Consignee]]="",_xlfn.CONCAT(Tableau2[[#This Row],[Compte ILN]],"-",Tableau2[[#This Row],[Compte Shipper]],"-",Tableau2[[#This Row],[POL]]),"-")</f>
        <v>-</v>
      </c>
      <c r="C22" s="225" t="s">
        <v>166</v>
      </c>
      <c r="D22" s="226">
        <f>VLOOKUP(Tableau2[[#This Row],[ Name ILN]],Plant_AILN!F:G,2,FALSE)</f>
        <v>95436</v>
      </c>
      <c r="E22" s="225" t="s">
        <v>166</v>
      </c>
      <c r="F22" s="227">
        <f>IFERROR(VLOOKUP(Tableau2[[#This Row],[Name of shipper]],Plant_AILN!L:M,2,FALSE),0)</f>
        <v>95436</v>
      </c>
      <c r="G22" s="139" t="s">
        <v>177</v>
      </c>
      <c r="H22" s="227">
        <f>IF(Tableau2[[#This Row],[Name Consignee]]=0,"",VLOOKUP(Tableau2[[#This Row],[Name Consignee]],Plant_AILN!A:C,3,FALSE))</f>
        <v>9510600</v>
      </c>
      <c r="I22" s="52">
        <v>9</v>
      </c>
      <c r="J22" s="220">
        <v>14</v>
      </c>
      <c r="K22" s="96">
        <v>5</v>
      </c>
      <c r="L22" s="228">
        <v>7</v>
      </c>
      <c r="M22" s="229">
        <f>Tableau2[[#This Row],[Delivery time to ILN/Shipper]]+Tableau2[[#This Row],[Day ILN Order]]-1</f>
        <v>22</v>
      </c>
      <c r="N22" s="230">
        <v>1</v>
      </c>
      <c r="O22" s="231" t="s">
        <v>496</v>
      </c>
      <c r="P22" s="60">
        <v>3</v>
      </c>
    </row>
    <row r="23" spans="1:16" hidden="1">
      <c r="A23" s="243" t="str">
        <f>_xlfn.CONCAT(Tableau2[[#This Row],[Compte ILN]],"-",Tableau2[[#This Row],[Compte Shipper]],"-",Tableau2[[#This Row],[POL]],"-",Tableau2[[#This Row],[Compte Consignee]])</f>
        <v>95436-95436-KRPUS-900383</v>
      </c>
      <c r="B23" s="370" t="str">
        <f>IF(Tableau2[[#This Row],[Name Consignee]]="",_xlfn.CONCAT(Tableau2[[#This Row],[Compte ILN]],"-",Tableau2[[#This Row],[Compte Shipper]],"-",Tableau2[[#This Row],[POL]]),"-")</f>
        <v>-</v>
      </c>
      <c r="C23" s="225" t="s">
        <v>166</v>
      </c>
      <c r="D23" s="226">
        <f>VLOOKUP(Tableau2[[#This Row],[ Name ILN]],Plant_AILN!F:G,2,FALSE)</f>
        <v>95436</v>
      </c>
      <c r="E23" s="225" t="s">
        <v>166</v>
      </c>
      <c r="F23" s="227">
        <f>IFERROR(VLOOKUP(Tableau2[[#This Row],[Name of shipper]],Plant_AILN!L:M,2,FALSE),0)</f>
        <v>95436</v>
      </c>
      <c r="G23" s="139" t="s">
        <v>180</v>
      </c>
      <c r="H23" s="227">
        <f>IF(Tableau2[[#This Row],[Name Consignee]]=0,"",VLOOKUP(Tableau2[[#This Row],[Name Consignee]],Plant_AILN!A:C,3,FALSE))</f>
        <v>900383</v>
      </c>
      <c r="I23" s="52">
        <v>9</v>
      </c>
      <c r="J23" s="220">
        <v>14</v>
      </c>
      <c r="K23" s="96">
        <v>5</v>
      </c>
      <c r="L23" s="228">
        <v>7</v>
      </c>
      <c r="M23" s="229">
        <f>Tableau2[[#This Row],[Delivery time to ILN/Shipper]]+Tableau2[[#This Row],[Day ILN Order]]-1</f>
        <v>22</v>
      </c>
      <c r="N23" s="230">
        <v>1</v>
      </c>
      <c r="O23" s="231" t="s">
        <v>496</v>
      </c>
      <c r="P23" s="60">
        <v>5</v>
      </c>
    </row>
    <row r="24" spans="1:16" hidden="1">
      <c r="A24" s="243" t="str">
        <f>_xlfn.CONCAT(Tableau2[[#This Row],[Compte ILN]],"-",Tableau2[[#This Row],[Compte Shipper]],"-",Tableau2[[#This Row],[POL]],"-",Tableau2[[#This Row],[Compte Consignee]])</f>
        <v>95436-95436-KRPUS-91017700</v>
      </c>
      <c r="B24" s="243" t="str">
        <f>IF(Tableau2[[#This Row],[Name Consignee]]="",_xlfn.CONCAT(Tableau2[[#This Row],[Compte ILN]],"-",Tableau2[[#This Row],[Compte Shipper]],"-",Tableau2[[#This Row],[POL]]),"-")</f>
        <v>-</v>
      </c>
      <c r="C24" s="225" t="s">
        <v>166</v>
      </c>
      <c r="D24" s="229">
        <f>VLOOKUP(Tableau2[[#This Row],[ Name ILN]],Plant_AILN!F:G,2,FALSE)</f>
        <v>95436</v>
      </c>
      <c r="E24" s="225" t="s">
        <v>166</v>
      </c>
      <c r="F24" s="236">
        <f>IFERROR(VLOOKUP(Tableau2[[#This Row],[Name of shipper]],Plant_AILN!L:M,2,FALSE),0)</f>
        <v>95436</v>
      </c>
      <c r="G24" s="234" t="s">
        <v>63</v>
      </c>
      <c r="H24" s="236">
        <f>IF(Tableau2[[#This Row],[Name Consignee]]=0,"",VLOOKUP(Tableau2[[#This Row],[Name Consignee]],Plant_AILN!A:C,3,FALSE))</f>
        <v>91017700</v>
      </c>
      <c r="I24" s="52">
        <v>9</v>
      </c>
      <c r="J24" s="220">
        <v>14</v>
      </c>
      <c r="K24" s="96">
        <v>5</v>
      </c>
      <c r="L24" s="228">
        <v>7</v>
      </c>
      <c r="M24" s="229">
        <f>Tableau2[[#This Row],[Delivery time to ILN/Shipper]]+Tableau2[[#This Row],[Day ILN Order]]-1</f>
        <v>22</v>
      </c>
      <c r="N24" s="230">
        <v>1</v>
      </c>
      <c r="O24" s="231" t="s">
        <v>496</v>
      </c>
      <c r="P24" s="60">
        <v>3</v>
      </c>
    </row>
    <row r="25" spans="1:16" hidden="1">
      <c r="A25" s="243" t="str">
        <f>_xlfn.CONCAT(Tableau2[[#This Row],[Compte ILN]],"-",Tableau2[[#This Row],[Compte Shipper]],"-",Tableau2[[#This Row],[POL]],"-",Tableau2[[#This Row],[Compte Consignee]])</f>
        <v>95436-95436-KRPUS-91017300</v>
      </c>
      <c r="B25" s="370" t="str">
        <f>IF(Tableau2[[#This Row],[Name Consignee]]="",_xlfn.CONCAT(Tableau2[[#This Row],[Compte ILN]],"-",Tableau2[[#This Row],[Compte Shipper]],"-",Tableau2[[#This Row],[POL]]),"-")</f>
        <v>-</v>
      </c>
      <c r="C25" s="225" t="s">
        <v>166</v>
      </c>
      <c r="D25" s="226">
        <f>VLOOKUP(Tableau2[[#This Row],[ Name ILN]],Plant_AILN!F:G,2,FALSE)</f>
        <v>95436</v>
      </c>
      <c r="E25" s="225" t="s">
        <v>166</v>
      </c>
      <c r="F25" s="227">
        <f>IFERROR(VLOOKUP(Tableau2[[#This Row],[Name of shipper]],Plant_AILN!L:M,2,FALSE),0)</f>
        <v>95436</v>
      </c>
      <c r="G25" s="139" t="s">
        <v>175</v>
      </c>
      <c r="H25" s="227">
        <f>IF(Tableau2[[#This Row],[Name Consignee]]=0,"",VLOOKUP(Tableau2[[#This Row],[Name Consignee]],Plant_AILN!A:C,3,FALSE))</f>
        <v>91017300</v>
      </c>
      <c r="I25" s="52">
        <v>9</v>
      </c>
      <c r="J25" s="220">
        <v>14</v>
      </c>
      <c r="K25" s="96">
        <v>5</v>
      </c>
      <c r="L25" s="228">
        <v>7</v>
      </c>
      <c r="M25" s="229">
        <f>Tableau2[[#This Row],[Delivery time to ILN/Shipper]]+Tableau2[[#This Row],[Day ILN Order]]-1</f>
        <v>22</v>
      </c>
      <c r="N25" s="230">
        <v>1</v>
      </c>
      <c r="O25" s="231" t="s">
        <v>496</v>
      </c>
      <c r="P25" s="60">
        <v>3</v>
      </c>
    </row>
    <row r="26" spans="1:16" hidden="1">
      <c r="A26" s="243" t="str">
        <f>_xlfn.CONCAT(Tableau2[[#This Row],[Compte ILN]],"-",Tableau2[[#This Row],[Compte Shipper]],"-",Tableau2[[#This Row],[POL]],"-",Tableau2[[#This Row],[Compte Consignee]])</f>
        <v>92000100-92000100-FRLEH-26549500</v>
      </c>
      <c r="B26" s="370" t="str">
        <f>IF(Tableau2[[#This Row],[Name Consignee]]="",_xlfn.CONCAT(Tableau2[[#This Row],[Compte ILN]],"-",Tableau2[[#This Row],[Compte Shipper]],"-",Tableau2[[#This Row],[POL]]),"-")</f>
        <v>-</v>
      </c>
      <c r="C26" s="225" t="s">
        <v>143</v>
      </c>
      <c r="D26" s="226">
        <f>VLOOKUP(Tableau2[[#This Row],[ Name ILN]],Plant_AILN!F:G,2,FALSE)</f>
        <v>92000100</v>
      </c>
      <c r="E26" s="225" t="s">
        <v>143</v>
      </c>
      <c r="F26" s="227">
        <f>IFERROR(VLOOKUP(Tableau2[[#This Row],[Name of shipper]],Plant_AILN!L:M,2,FALSE),0)</f>
        <v>92000100</v>
      </c>
      <c r="G26" s="139" t="s">
        <v>221</v>
      </c>
      <c r="H26" s="227">
        <f>IF(Tableau2[[#This Row],[Name Consignee]]=0,"",VLOOKUP(Tableau2[[#This Row],[Name Consignee]],Plant_AILN!A:C,3,FALSE))</f>
        <v>26549500</v>
      </c>
      <c r="I26" s="52">
        <v>9</v>
      </c>
      <c r="J26" s="220">
        <v>14</v>
      </c>
      <c r="K26" s="96">
        <v>5</v>
      </c>
      <c r="L26" s="228">
        <v>7</v>
      </c>
      <c r="M26" s="229">
        <f>Tableau2[[#This Row],[Delivery time to ILN/Shipper]]+Tableau2[[#This Row],[Day ILN Order]]-1</f>
        <v>22</v>
      </c>
      <c r="N26" s="230">
        <v>1</v>
      </c>
      <c r="O26" s="231" t="s">
        <v>483</v>
      </c>
      <c r="P26" s="60">
        <v>3</v>
      </c>
    </row>
    <row r="27" spans="1:16" hidden="1">
      <c r="A27" s="243" t="str">
        <f>_xlfn.CONCAT(Tableau2[[#This Row],[Compte ILN]],"-",Tableau2[[#This Row],[Compte Shipper]],"-",Tableau2[[#This Row],[POL]],"-",Tableau2[[#This Row],[Compte Consignee]])</f>
        <v>92000100-92000100-FRLEH-26549502</v>
      </c>
      <c r="B27" s="370" t="str">
        <f>IF(Tableau2[[#This Row],[Name Consignee]]="",_xlfn.CONCAT(Tableau2[[#This Row],[Compte ILN]],"-",Tableau2[[#This Row],[Compte Shipper]],"-",Tableau2[[#This Row],[POL]]),"-")</f>
        <v>-</v>
      </c>
      <c r="C27" s="225" t="s">
        <v>143</v>
      </c>
      <c r="D27" s="226">
        <f>VLOOKUP(Tableau2[[#This Row],[ Name ILN]],Plant_AILN!F:G,2,FALSE)</f>
        <v>92000100</v>
      </c>
      <c r="E27" s="225" t="s">
        <v>143</v>
      </c>
      <c r="F27" s="227">
        <f>IFERROR(VLOOKUP(Tableau2[[#This Row],[Name of shipper]],Plant_AILN!L:M,2,FALSE),0)</f>
        <v>92000100</v>
      </c>
      <c r="G27" s="139" t="s">
        <v>159</v>
      </c>
      <c r="H27" s="227">
        <f>IF(Tableau2[[#This Row],[Name Consignee]]=0,"",VLOOKUP(Tableau2[[#This Row],[Name Consignee]],Plant_AILN!A:C,3,FALSE))</f>
        <v>26549502</v>
      </c>
      <c r="I27" s="52">
        <v>9</v>
      </c>
      <c r="J27" s="220">
        <v>14</v>
      </c>
      <c r="K27" s="96">
        <v>5</v>
      </c>
      <c r="L27" s="228">
        <v>7</v>
      </c>
      <c r="M27" s="229">
        <f>Tableau2[[#This Row],[Delivery time to ILN/Shipper]]+Tableau2[[#This Row],[Day ILN Order]]-1</f>
        <v>22</v>
      </c>
      <c r="N27" s="230">
        <v>1</v>
      </c>
      <c r="O27" s="231" t="s">
        <v>483</v>
      </c>
      <c r="P27" s="60">
        <v>3</v>
      </c>
    </row>
    <row r="28" spans="1:16" hidden="1">
      <c r="A28" s="243" t="str">
        <f>_xlfn.CONCAT(Tableau2[[#This Row],[Compte ILN]],"-",Tableau2[[#This Row],[Compte Shipper]],"-",Tableau2[[#This Row],[POL]],"-",Tableau2[[#This Row],[Compte Consignee]])</f>
        <v>92000100-92000100-FRLEH-90016000</v>
      </c>
      <c r="B28" s="370" t="str">
        <f>IF(Tableau2[[#This Row],[Name Consignee]]="",_xlfn.CONCAT(Tableau2[[#This Row],[Compte ILN]],"-",Tableau2[[#This Row],[Compte Shipper]],"-",Tableau2[[#This Row],[POL]]),"-")</f>
        <v>-</v>
      </c>
      <c r="C28" s="225" t="s">
        <v>143</v>
      </c>
      <c r="D28" s="226">
        <f>VLOOKUP(Tableau2[[#This Row],[ Name ILN]],Plant_AILN!F:G,2,FALSE)</f>
        <v>92000100</v>
      </c>
      <c r="E28" s="225" t="s">
        <v>143</v>
      </c>
      <c r="F28" s="227">
        <f>IFERROR(VLOOKUP(Tableau2[[#This Row],[Name of shipper]],Plant_AILN!L:M,2,FALSE),0)</f>
        <v>92000100</v>
      </c>
      <c r="G28" s="139" t="s">
        <v>158</v>
      </c>
      <c r="H28" s="227">
        <f>IF(Tableau2[[#This Row],[Name Consignee]]=0,"",VLOOKUP(Tableau2[[#This Row],[Name Consignee]],Plant_AILN!A:C,3,FALSE))</f>
        <v>90016000</v>
      </c>
      <c r="I28" s="52">
        <v>9</v>
      </c>
      <c r="J28" s="220">
        <v>14</v>
      </c>
      <c r="K28" s="96">
        <v>5</v>
      </c>
      <c r="L28" s="228">
        <v>7</v>
      </c>
      <c r="M28" s="229">
        <f>Tableau2[[#This Row],[Delivery time to ILN/Shipper]]+Tableau2[[#This Row],[Day ILN Order]]-1</f>
        <v>22</v>
      </c>
      <c r="N28" s="230">
        <v>1</v>
      </c>
      <c r="O28" s="231" t="s">
        <v>483</v>
      </c>
      <c r="P28" s="60">
        <v>2</v>
      </c>
    </row>
    <row r="29" spans="1:16" hidden="1">
      <c r="A29" s="243" t="str">
        <f>_xlfn.CONCAT(Tableau2[[#This Row],[Compte ILN]],"-",Tableau2[[#This Row],[Compte Shipper]],"-",Tableau2[[#This Row],[POL]],"-",Tableau2[[#This Row],[Compte Consignee]])</f>
        <v>92000100-90016100-FRLEH-90016000</v>
      </c>
      <c r="B29" s="243" t="str">
        <f>IF(Tableau2[[#This Row],[Name Consignee]]="",_xlfn.CONCAT(Tableau2[[#This Row],[Compte ILN]],"-",Tableau2[[#This Row],[Compte Shipper]],"-",Tableau2[[#This Row],[POL]]),"-")</f>
        <v>-</v>
      </c>
      <c r="C29" s="225" t="s">
        <v>143</v>
      </c>
      <c r="D29" s="229">
        <f>VLOOKUP(Tableau2[[#This Row],[ Name ILN]],Plant_AILN!F:G,2,FALSE)</f>
        <v>92000100</v>
      </c>
      <c r="E29" s="168" t="s">
        <v>291</v>
      </c>
      <c r="F29" s="236">
        <f>IFERROR(VLOOKUP(Tableau2[[#This Row],[Name of shipper]],Plant_AILN!L:M,2,FALSE),0)</f>
        <v>90016100</v>
      </c>
      <c r="G29" s="139" t="s">
        <v>158</v>
      </c>
      <c r="H29" s="236">
        <f>IF(Tableau2[[#This Row],[Name Consignee]]=0,"",VLOOKUP(Tableau2[[#This Row],[Name Consignee]],Plant_AILN!A:C,3,FALSE))</f>
        <v>90016000</v>
      </c>
      <c r="I29" s="220">
        <v>9</v>
      </c>
      <c r="J29" s="220">
        <v>14</v>
      </c>
      <c r="K29" s="96">
        <v>5</v>
      </c>
      <c r="L29" s="225">
        <v>7</v>
      </c>
      <c r="M29" s="229">
        <f>Tableau2[[#This Row],[Delivery time to ILN/Shipper]]+Tableau2[[#This Row],[Day ILN Order]]-1</f>
        <v>22</v>
      </c>
      <c r="N29" s="220">
        <v>1</v>
      </c>
      <c r="O29" s="96" t="s">
        <v>483</v>
      </c>
      <c r="P29" s="220">
        <v>3</v>
      </c>
    </row>
    <row r="30" spans="1:16" hidden="1">
      <c r="A30" s="243" t="str">
        <f>_xlfn.CONCAT(Tableau2[[#This Row],[Compte ILN]],"-",Tableau2[[#This Row],[Compte Shipper]],"-",Tableau2[[#This Row],[POL]],"-",Tableau2[[#This Row],[Compte Consignee]])</f>
        <v>92000100-92000100-FRLEH-90018000</v>
      </c>
      <c r="B30" s="370" t="str">
        <f>IF(Tableau2[[#This Row],[Name Consignee]]="",_xlfn.CONCAT(Tableau2[[#This Row],[Compte ILN]],"-",Tableau2[[#This Row],[Compte Shipper]],"-",Tableau2[[#This Row],[POL]]),"-")</f>
        <v>-</v>
      </c>
      <c r="C30" s="225" t="s">
        <v>143</v>
      </c>
      <c r="D30" s="226">
        <f>VLOOKUP(Tableau2[[#This Row],[ Name ILN]],Plant_AILN!F:G,2,FALSE)</f>
        <v>92000100</v>
      </c>
      <c r="E30" s="168" t="s">
        <v>143</v>
      </c>
      <c r="F30" s="227">
        <f>IFERROR(VLOOKUP(Tableau2[[#This Row],[Name of shipper]],Plant_AILN!L:M,2,FALSE),0)</f>
        <v>92000100</v>
      </c>
      <c r="G30" s="232" t="s">
        <v>152</v>
      </c>
      <c r="H30" s="227">
        <f>IF(Tableau2[[#This Row],[Name Consignee]]=0,"",VLOOKUP(Tableau2[[#This Row],[Name Consignee]],Plant_AILN!A:C,3,FALSE))</f>
        <v>90018000</v>
      </c>
      <c r="I30" s="52">
        <v>9</v>
      </c>
      <c r="J30" s="220">
        <v>14</v>
      </c>
      <c r="K30" s="96">
        <v>5</v>
      </c>
      <c r="L30" s="228">
        <v>7</v>
      </c>
      <c r="M30" s="229">
        <f>Tableau2[[#This Row],[Delivery time to ILN/Shipper]]+Tableau2[[#This Row],[Day ILN Order]]-1</f>
        <v>22</v>
      </c>
      <c r="N30" s="230">
        <v>1</v>
      </c>
      <c r="O30" s="231" t="s">
        <v>483</v>
      </c>
      <c r="P30" s="60">
        <v>8</v>
      </c>
    </row>
    <row r="31" spans="1:16" hidden="1">
      <c r="A31" s="243" t="str">
        <f>_xlfn.CONCAT(Tableau2[[#This Row],[Compte ILN]],"-",Tableau2[[#This Row],[Compte Shipper]],"-",Tableau2[[#This Row],[POL]],"-",Tableau2[[#This Row],[Compte Consignee]])</f>
        <v>92000100-92000100-FRLEH-92002200</v>
      </c>
      <c r="B31" s="370" t="str">
        <f>IF(Tableau2[[#This Row],[Name Consignee]]="",_xlfn.CONCAT(Tableau2[[#This Row],[Compte ILN]],"-",Tableau2[[#This Row],[Compte Shipper]],"-",Tableau2[[#This Row],[POL]]),"-")</f>
        <v>-</v>
      </c>
      <c r="C31" s="225" t="s">
        <v>143</v>
      </c>
      <c r="D31" s="226">
        <f>VLOOKUP(Tableau2[[#This Row],[ Name ILN]],Plant_AILN!F:G,2,FALSE)</f>
        <v>92000100</v>
      </c>
      <c r="E31" s="168" t="s">
        <v>143</v>
      </c>
      <c r="F31" s="227">
        <f>IFERROR(VLOOKUP(Tableau2[[#This Row],[Name of shipper]],Plant_AILN!L:M,2,FALSE),0)</f>
        <v>92000100</v>
      </c>
      <c r="G31" s="232" t="s">
        <v>145</v>
      </c>
      <c r="H31" s="227">
        <f>IF(Tableau2[[#This Row],[Name Consignee]]=0,"",VLOOKUP(Tableau2[[#This Row],[Name Consignee]],Plant_AILN!A:C,3,FALSE))</f>
        <v>92002200</v>
      </c>
      <c r="I31" s="52">
        <v>9</v>
      </c>
      <c r="J31" s="220">
        <v>14</v>
      </c>
      <c r="K31" s="96">
        <v>5</v>
      </c>
      <c r="L31" s="228">
        <v>7</v>
      </c>
      <c r="M31" s="229">
        <f>Tableau2[[#This Row],[Delivery time to ILN/Shipper]]+Tableau2[[#This Row],[Day ILN Order]]-1</f>
        <v>22</v>
      </c>
      <c r="N31" s="230">
        <v>3</v>
      </c>
      <c r="O31" s="231" t="s">
        <v>483</v>
      </c>
      <c r="P31" s="60">
        <v>5</v>
      </c>
    </row>
    <row r="32" spans="1:16" hidden="1">
      <c r="A32" s="243" t="str">
        <f>_xlfn.CONCAT(Tableau2[[#This Row],[Compte ILN]],"-",Tableau2[[#This Row],[Compte Shipper]],"-",Tableau2[[#This Row],[POL]],"-",Tableau2[[#This Row],[Compte Consignee]])</f>
        <v>28390-28390-ROCND-26549500</v>
      </c>
      <c r="B32" s="370" t="str">
        <f>IF(Tableau2[[#This Row],[Name Consignee]]="",_xlfn.CONCAT(Tableau2[[#This Row],[Compte ILN]],"-",Tableau2[[#This Row],[Compte Shipper]],"-",Tableau2[[#This Row],[POL]]),"-")</f>
        <v>-</v>
      </c>
      <c r="C32" s="225" t="s">
        <v>168</v>
      </c>
      <c r="D32" s="226">
        <f>VLOOKUP(Tableau2[[#This Row],[ Name ILN]],Plant_AILN!F:G,2,FALSE)</f>
        <v>28390</v>
      </c>
      <c r="E32" s="225" t="s">
        <v>168</v>
      </c>
      <c r="F32" s="227">
        <f>IFERROR(VLOOKUP(Tableau2[[#This Row],[Name of shipper]],Plant_AILN!L:M,2,FALSE),0)</f>
        <v>28390</v>
      </c>
      <c r="G32" s="139" t="s">
        <v>221</v>
      </c>
      <c r="H32" s="227">
        <f>IF(Tableau2[[#This Row],[Name Consignee]]=0,"",VLOOKUP(Tableau2[[#This Row],[Name Consignee]],Plant_AILN!A:C,3,FALSE))</f>
        <v>26549500</v>
      </c>
      <c r="I32" s="52">
        <v>9</v>
      </c>
      <c r="J32" s="220">
        <v>14</v>
      </c>
      <c r="K32" s="96">
        <v>5</v>
      </c>
      <c r="L32" s="228">
        <v>7</v>
      </c>
      <c r="M32" s="229">
        <f>Tableau2[[#This Row],[Delivery time to ILN/Shipper]]+Tableau2[[#This Row],[Day ILN Order]]-1</f>
        <v>22</v>
      </c>
      <c r="N32" s="230">
        <v>4</v>
      </c>
      <c r="O32" s="231" t="s">
        <v>547</v>
      </c>
      <c r="P32" s="60">
        <v>5</v>
      </c>
    </row>
    <row r="33" spans="1:16" hidden="1">
      <c r="A33" s="243" t="str">
        <f>_xlfn.CONCAT(Tableau2[[#This Row],[Compte ILN]],"-",Tableau2[[#This Row],[Compte Shipper]],"-",Tableau2[[#This Row],[POL]],"-",Tableau2[[#This Row],[Compte Consignee]])</f>
        <v>28390-28390-ROCND-26549502</v>
      </c>
      <c r="B33" s="370" t="str">
        <f>IF(Tableau2[[#This Row],[Name Consignee]]="",_xlfn.CONCAT(Tableau2[[#This Row],[Compte ILN]],"-",Tableau2[[#This Row],[Compte Shipper]],"-",Tableau2[[#This Row],[POL]]),"-")</f>
        <v>-</v>
      </c>
      <c r="C33" s="225" t="s">
        <v>168</v>
      </c>
      <c r="D33" s="226">
        <f>VLOOKUP(Tableau2[[#This Row],[ Name ILN]],Plant_AILN!F:G,2,FALSE)</f>
        <v>28390</v>
      </c>
      <c r="E33" s="225" t="s">
        <v>168</v>
      </c>
      <c r="F33" s="227">
        <f>IFERROR(VLOOKUP(Tableau2[[#This Row],[Name of shipper]],Plant_AILN!L:M,2,FALSE),0)</f>
        <v>28390</v>
      </c>
      <c r="G33" s="139" t="s">
        <v>159</v>
      </c>
      <c r="H33" s="227">
        <f>IF(Tableau2[[#This Row],[Name Consignee]]=0,"",VLOOKUP(Tableau2[[#This Row],[Name Consignee]],Plant_AILN!A:C,3,FALSE))</f>
        <v>26549502</v>
      </c>
      <c r="I33" s="52">
        <v>9</v>
      </c>
      <c r="J33" s="220">
        <v>14</v>
      </c>
      <c r="K33" s="96">
        <v>5</v>
      </c>
      <c r="L33" s="228">
        <v>7</v>
      </c>
      <c r="M33" s="229">
        <f>Tableau2[[#This Row],[Delivery time to ILN/Shipper]]+Tableau2[[#This Row],[Day ILN Order]]-1</f>
        <v>22</v>
      </c>
      <c r="N33" s="230">
        <v>4</v>
      </c>
      <c r="O33" s="231" t="s">
        <v>547</v>
      </c>
      <c r="P33" s="60">
        <v>5</v>
      </c>
    </row>
    <row r="34" spans="1:16" hidden="1">
      <c r="A34" s="243" t="str">
        <f>_xlfn.CONCAT(Tableau2[[#This Row],[Compte ILN]],"-",Tableau2[[#This Row],[Compte Shipper]],"-",Tableau2[[#This Row],[POL]],"-",Tableau2[[#This Row],[Compte Consignee]])</f>
        <v>28390-28390-ROCND-90016000</v>
      </c>
      <c r="B34" s="370" t="str">
        <f>IF(Tableau2[[#This Row],[Name Consignee]]="",_xlfn.CONCAT(Tableau2[[#This Row],[Compte ILN]],"-",Tableau2[[#This Row],[Compte Shipper]],"-",Tableau2[[#This Row],[POL]]),"-")</f>
        <v>-</v>
      </c>
      <c r="C34" s="225" t="s">
        <v>168</v>
      </c>
      <c r="D34" s="226">
        <f>VLOOKUP(Tableau2[[#This Row],[ Name ILN]],Plant_AILN!F:G,2,FALSE)</f>
        <v>28390</v>
      </c>
      <c r="E34" s="225" t="s">
        <v>168</v>
      </c>
      <c r="F34" s="227">
        <f>IFERROR(VLOOKUP(Tableau2[[#This Row],[Name of shipper]],Plant_AILN!L:M,2,FALSE),0)</f>
        <v>28390</v>
      </c>
      <c r="G34" s="139" t="s">
        <v>158</v>
      </c>
      <c r="H34" s="227">
        <f>IF(Tableau2[[#This Row],[Name Consignee]]=0,"",VLOOKUP(Tableau2[[#This Row],[Name Consignee]],Plant_AILN!A:C,3,FALSE))</f>
        <v>90016000</v>
      </c>
      <c r="I34" s="52">
        <v>9</v>
      </c>
      <c r="J34" s="220">
        <v>14</v>
      </c>
      <c r="K34" s="96">
        <v>5</v>
      </c>
      <c r="L34" s="228">
        <v>7</v>
      </c>
      <c r="M34" s="229">
        <f>Tableau2[[#This Row],[Delivery time to ILN/Shipper]]+Tableau2[[#This Row],[Day ILN Order]]-1</f>
        <v>22</v>
      </c>
      <c r="N34" s="230">
        <v>4</v>
      </c>
      <c r="O34" s="231" t="s">
        <v>547</v>
      </c>
      <c r="P34" s="60">
        <v>5</v>
      </c>
    </row>
    <row r="35" spans="1:16" hidden="1">
      <c r="A35" s="243" t="str">
        <f>_xlfn.CONCAT(Tableau2[[#This Row],[Compte ILN]],"-",Tableau2[[#This Row],[Compte Shipper]],"-",Tableau2[[#This Row],[POL]],"-",Tableau2[[#This Row],[Compte Consignee]])</f>
        <v>28390-28390-ROCND-90018600</v>
      </c>
      <c r="B35" s="370" t="str">
        <f>IF(Tableau2[[#This Row],[Name Consignee]]="",_xlfn.CONCAT(Tableau2[[#This Row],[Compte ILN]],"-",Tableau2[[#This Row],[Compte Shipper]],"-",Tableau2[[#This Row],[POL]]),"-")</f>
        <v>-</v>
      </c>
      <c r="C35" s="225" t="s">
        <v>168</v>
      </c>
      <c r="D35" s="226">
        <f>VLOOKUP(Tableau2[[#This Row],[ Name ILN]],Plant_AILN!F:G,2,FALSE)</f>
        <v>28390</v>
      </c>
      <c r="E35" s="225" t="s">
        <v>168</v>
      </c>
      <c r="F35" s="227">
        <f>IFERROR(VLOOKUP(Tableau2[[#This Row],[Name of shipper]],Plant_AILN!L:M,2,FALSE),0)</f>
        <v>28390</v>
      </c>
      <c r="G35" s="139" t="s">
        <v>160</v>
      </c>
      <c r="H35" s="227">
        <f>IF(Tableau2[[#This Row],[Name Consignee]]=0,"",VLOOKUP(Tableau2[[#This Row],[Name Consignee]],Plant_AILN!A:C,3,FALSE))</f>
        <v>90018600</v>
      </c>
      <c r="I35" s="52">
        <v>9</v>
      </c>
      <c r="J35" s="220">
        <v>14</v>
      </c>
      <c r="K35" s="96">
        <v>5</v>
      </c>
      <c r="L35" s="228">
        <v>7</v>
      </c>
      <c r="M35" s="229">
        <f>Tableau2[[#This Row],[Delivery time to ILN/Shipper]]+Tableau2[[#This Row],[Day ILN Order]]-1</f>
        <v>22</v>
      </c>
      <c r="N35" s="230">
        <v>4</v>
      </c>
      <c r="O35" s="231" t="s">
        <v>547</v>
      </c>
      <c r="P35" s="60">
        <v>5</v>
      </c>
    </row>
    <row r="36" spans="1:16" hidden="1">
      <c r="A36" s="243" t="str">
        <f>_xlfn.CONCAT(Tableau2[[#This Row],[Compte ILN]],"-",Tableau2[[#This Row],[Compte Shipper]],"-",Tableau2[[#This Row],[POL]],"-",Tableau2[[#This Row],[Compte Consignee]])</f>
        <v>28390-28390-ROCND-90018000</v>
      </c>
      <c r="B36" s="370" t="str">
        <f>IF(Tableau2[[#This Row],[Name Consignee]]="",_xlfn.CONCAT(Tableau2[[#This Row],[Compte ILN]],"-",Tableau2[[#This Row],[Compte Shipper]],"-",Tableau2[[#This Row],[POL]]),"-")</f>
        <v>-</v>
      </c>
      <c r="C36" s="225" t="s">
        <v>168</v>
      </c>
      <c r="D36" s="226">
        <f>VLOOKUP(Tableau2[[#This Row],[ Name ILN]],Plant_AILN!F:G,2,FALSE)</f>
        <v>28390</v>
      </c>
      <c r="E36" s="225" t="s">
        <v>168</v>
      </c>
      <c r="F36" s="227">
        <f>IFERROR(VLOOKUP(Tableau2[[#This Row],[Name of shipper]],Plant_AILN!L:M,2,FALSE),0)</f>
        <v>28390</v>
      </c>
      <c r="G36" s="139" t="s">
        <v>152</v>
      </c>
      <c r="H36" s="227">
        <f>IF(Tableau2[[#This Row],[Name Consignee]]=0,"",VLOOKUP(Tableau2[[#This Row],[Name Consignee]],Plant_AILN!A:C,3,FALSE))</f>
        <v>90018000</v>
      </c>
      <c r="I36" s="52">
        <v>9</v>
      </c>
      <c r="J36" s="220">
        <v>14</v>
      </c>
      <c r="K36" s="96">
        <v>5</v>
      </c>
      <c r="L36" s="228">
        <v>7</v>
      </c>
      <c r="M36" s="229">
        <f>Tableau2[[#This Row],[Delivery time to ILN/Shipper]]+Tableau2[[#This Row],[Day ILN Order]]-1</f>
        <v>22</v>
      </c>
      <c r="N36" s="230">
        <v>4</v>
      </c>
      <c r="O36" s="231" t="s">
        <v>547</v>
      </c>
      <c r="P36" s="60">
        <v>5</v>
      </c>
    </row>
    <row r="37" spans="1:16" hidden="1">
      <c r="A37" s="243" t="str">
        <f>_xlfn.CONCAT(Tableau2[[#This Row],[Compte ILN]],"-",Tableau2[[#This Row],[Compte Shipper]],"-",Tableau2[[#This Row],[POL]],"-",Tableau2[[#This Row],[Compte Consignee]])</f>
        <v>28390-28390-ROCND-90018500</v>
      </c>
      <c r="B37" s="370" t="str">
        <f>IF(Tableau2[[#This Row],[Name Consignee]]="",_xlfn.CONCAT(Tableau2[[#This Row],[Compte ILN]],"-",Tableau2[[#This Row],[Compte Shipper]],"-",Tableau2[[#This Row],[POL]]),"-")</f>
        <v>-</v>
      </c>
      <c r="C37" s="225" t="s">
        <v>168</v>
      </c>
      <c r="D37" s="226">
        <f>VLOOKUP(Tableau2[[#This Row],[ Name ILN]],Plant_AILN!F:G,2,FALSE)</f>
        <v>28390</v>
      </c>
      <c r="E37" s="225" t="s">
        <v>168</v>
      </c>
      <c r="F37" s="227">
        <f>IFERROR(VLOOKUP(Tableau2[[#This Row],[Name of shipper]],Plant_AILN!L:M,2,FALSE),0)</f>
        <v>28390</v>
      </c>
      <c r="G37" s="139" t="s">
        <v>639</v>
      </c>
      <c r="H37" s="227">
        <f>IF(Tableau2[[#This Row],[Name Consignee]]=0,"",VLOOKUP(Tableau2[[#This Row],[Name Consignee]],Plant_AILN!A:C,3,FALSE))</f>
        <v>90018500</v>
      </c>
      <c r="I37" s="52">
        <v>9</v>
      </c>
      <c r="J37" s="220">
        <v>14</v>
      </c>
      <c r="K37" s="96">
        <v>5</v>
      </c>
      <c r="L37" s="228">
        <v>7</v>
      </c>
      <c r="M37" s="229">
        <f>Tableau2[[#This Row],[Delivery time to ILN/Shipper]]+Tableau2[[#This Row],[Day ILN Order]]-1</f>
        <v>22</v>
      </c>
      <c r="N37" s="230">
        <v>4</v>
      </c>
      <c r="O37" s="231" t="s">
        <v>547</v>
      </c>
      <c r="P37" s="60">
        <v>5</v>
      </c>
    </row>
    <row r="38" spans="1:16" hidden="1">
      <c r="A38" s="243" t="str">
        <f>_xlfn.CONCAT(Tableau2[[#This Row],[Compte ILN]],"-",Tableau2[[#This Row],[Compte Shipper]],"-",Tableau2[[#This Row],[POL]],"-",Tableau2[[#This Row],[Compte Consignee]])</f>
        <v>28390-28390-ROCND-25079500</v>
      </c>
      <c r="B38" s="370" t="str">
        <f>IF(Tableau2[[#This Row],[Name Consignee]]="",_xlfn.CONCAT(Tableau2[[#This Row],[Compte ILN]],"-",Tableau2[[#This Row],[Compte Shipper]],"-",Tableau2[[#This Row],[POL]]),"-")</f>
        <v>-</v>
      </c>
      <c r="C38" s="225" t="s">
        <v>168</v>
      </c>
      <c r="D38" s="226">
        <f>VLOOKUP(Tableau2[[#This Row],[ Name ILN]],Plant_AILN!F:G,2,FALSE)</f>
        <v>28390</v>
      </c>
      <c r="E38" s="225" t="s">
        <v>168</v>
      </c>
      <c r="F38" s="227">
        <f>IFERROR(VLOOKUP(Tableau2[[#This Row],[Name of shipper]],Plant_AILN!L:M,2,FALSE),0)</f>
        <v>28390</v>
      </c>
      <c r="G38" s="139" t="s">
        <v>637</v>
      </c>
      <c r="H38" s="227">
        <f>IF(Tableau2[[#This Row],[Name Consignee]]=0,"",VLOOKUP(Tableau2[[#This Row],[Name Consignee]],Plant_AILN!A:C,3,FALSE))</f>
        <v>25079500</v>
      </c>
      <c r="I38" s="52">
        <v>9</v>
      </c>
      <c r="J38" s="220">
        <v>14</v>
      </c>
      <c r="K38" s="96">
        <v>5</v>
      </c>
      <c r="L38" s="228">
        <v>7</v>
      </c>
      <c r="M38" s="229">
        <f>Tableau2[[#This Row],[Delivery time to ILN/Shipper]]+Tableau2[[#This Row],[Day ILN Order]]-1</f>
        <v>22</v>
      </c>
      <c r="N38" s="230">
        <v>4</v>
      </c>
      <c r="O38" s="231" t="s">
        <v>547</v>
      </c>
      <c r="P38" s="60">
        <v>5</v>
      </c>
    </row>
    <row r="39" spans="1:16" hidden="1">
      <c r="A39" s="243" t="str">
        <f>_xlfn.CONCAT(Tableau2[[#This Row],[Compte ILN]],"-",Tableau2[[#This Row],[Compte Shipper]],"-",Tableau2[[#This Row],[POL]],"-",Tableau2[[#This Row],[Compte Consignee]])</f>
        <v>28390-28390-ROCND-92002200</v>
      </c>
      <c r="B39" s="370" t="str">
        <f>IF(Tableau2[[#This Row],[Name Consignee]]="",_xlfn.CONCAT(Tableau2[[#This Row],[Compte ILN]],"-",Tableau2[[#This Row],[Compte Shipper]],"-",Tableau2[[#This Row],[POL]]),"-")</f>
        <v>-</v>
      </c>
      <c r="C39" s="225" t="s">
        <v>168</v>
      </c>
      <c r="D39" s="226">
        <f>VLOOKUP(Tableau2[[#This Row],[ Name ILN]],Plant_AILN!F:G,2,FALSE)</f>
        <v>28390</v>
      </c>
      <c r="E39" s="225" t="s">
        <v>168</v>
      </c>
      <c r="F39" s="227">
        <f>IFERROR(VLOOKUP(Tableau2[[#This Row],[Name of shipper]],Plant_AILN!L:M,2,FALSE),0)</f>
        <v>28390</v>
      </c>
      <c r="G39" s="139" t="s">
        <v>145</v>
      </c>
      <c r="H39" s="227">
        <f>IF(Tableau2[[#This Row],[Name Consignee]]=0,"",VLOOKUP(Tableau2[[#This Row],[Name Consignee]],Plant_AILN!A:C,3,FALSE))</f>
        <v>92002200</v>
      </c>
      <c r="I39" s="52">
        <v>9</v>
      </c>
      <c r="J39" s="220">
        <v>14</v>
      </c>
      <c r="K39" s="96">
        <v>5</v>
      </c>
      <c r="L39" s="228">
        <v>7</v>
      </c>
      <c r="M39" s="229">
        <f>Tableau2[[#This Row],[Delivery time to ILN/Shipper]]+Tableau2[[#This Row],[Day ILN Order]]-1</f>
        <v>22</v>
      </c>
      <c r="N39" s="230">
        <v>4</v>
      </c>
      <c r="O39" s="231" t="s">
        <v>547</v>
      </c>
      <c r="P39" s="60">
        <v>5</v>
      </c>
    </row>
    <row r="40" spans="1:16" hidden="1">
      <c r="A40" s="243" t="str">
        <f>_xlfn.CONCAT(Tableau2[[#This Row],[Compte ILN]],"-",Tableau2[[#This Row],[Compte Shipper]],"-",Tableau2[[#This Row],[POL]],"-",Tableau2[[#This Row],[Compte Consignee]])</f>
        <v>28390-28390-ROCND-9510600</v>
      </c>
      <c r="B40" s="370" t="str">
        <f>IF(Tableau2[[#This Row],[Name Consignee]]="",_xlfn.CONCAT(Tableau2[[#This Row],[Compte ILN]],"-",Tableau2[[#This Row],[Compte Shipper]],"-",Tableau2[[#This Row],[POL]]),"-")</f>
        <v>-</v>
      </c>
      <c r="C40" s="225" t="s">
        <v>168</v>
      </c>
      <c r="D40" s="226">
        <f>VLOOKUP(Tableau2[[#This Row],[ Name ILN]],Plant_AILN!F:G,2,FALSE)</f>
        <v>28390</v>
      </c>
      <c r="E40" s="225" t="s">
        <v>168</v>
      </c>
      <c r="F40" s="227">
        <f>IFERROR(VLOOKUP(Tableau2[[#This Row],[Name of shipper]],Plant_AILN!L:M,2,FALSE),0)</f>
        <v>28390</v>
      </c>
      <c r="G40" s="139" t="s">
        <v>177</v>
      </c>
      <c r="H40" s="227">
        <f>IF(Tableau2[[#This Row],[Name Consignee]]=0,"",VLOOKUP(Tableau2[[#This Row],[Name Consignee]],Plant_AILN!A:C,3,FALSE))</f>
        <v>9510600</v>
      </c>
      <c r="I40" s="52">
        <v>9</v>
      </c>
      <c r="J40" s="220">
        <v>14</v>
      </c>
      <c r="K40" s="96">
        <v>5</v>
      </c>
      <c r="L40" s="228">
        <v>7</v>
      </c>
      <c r="M40" s="229">
        <f>Tableau2[[#This Row],[Delivery time to ILN/Shipper]]+Tableau2[[#This Row],[Day ILN Order]]-1</f>
        <v>22</v>
      </c>
      <c r="N40" s="230">
        <v>4</v>
      </c>
      <c r="O40" s="231" t="s">
        <v>547</v>
      </c>
      <c r="P40" s="60">
        <v>5</v>
      </c>
    </row>
    <row r="41" spans="1:16" hidden="1">
      <c r="A41" s="243" t="str">
        <f>_xlfn.CONCAT(Tableau2[[#This Row],[Compte ILN]],"-",Tableau2[[#This Row],[Compte Shipper]],"-",Tableau2[[#This Row],[POL]],"-",Tableau2[[#This Row],[Compte Consignee]])</f>
        <v>28390-28390-ROCND-90038200</v>
      </c>
      <c r="B41" s="370" t="str">
        <f>IF(Tableau2[[#This Row],[Name Consignee]]="",_xlfn.CONCAT(Tableau2[[#This Row],[Compte ILN]],"-",Tableau2[[#This Row],[Compte Shipper]],"-",Tableau2[[#This Row],[POL]]),"-")</f>
        <v>-</v>
      </c>
      <c r="C41" s="225" t="s">
        <v>168</v>
      </c>
      <c r="D41" s="226">
        <f>VLOOKUP(Tableau2[[#This Row],[ Name ILN]],Plant_AILN!F:G,2,FALSE)</f>
        <v>28390</v>
      </c>
      <c r="E41" s="225" t="s">
        <v>168</v>
      </c>
      <c r="F41" s="227">
        <f>IFERROR(VLOOKUP(Tableau2[[#This Row],[Name of shipper]],Plant_AILN!L:M,2,FALSE),0)</f>
        <v>28390</v>
      </c>
      <c r="G41" s="139" t="s">
        <v>179</v>
      </c>
      <c r="H41" s="227">
        <f>IF(Tableau2[[#This Row],[Name Consignee]]=0,"",VLOOKUP(Tableau2[[#This Row],[Name Consignee]],Plant_AILN!A:C,3,FALSE))</f>
        <v>90038200</v>
      </c>
      <c r="I41" s="52">
        <v>9</v>
      </c>
      <c r="J41" s="220">
        <v>14</v>
      </c>
      <c r="K41" s="96">
        <v>5</v>
      </c>
      <c r="L41" s="228">
        <v>7</v>
      </c>
      <c r="M41" s="229">
        <f>Tableau2[[#This Row],[Delivery time to ILN/Shipper]]+Tableau2[[#This Row],[Day ILN Order]]-1</f>
        <v>22</v>
      </c>
      <c r="N41" s="230">
        <v>4</v>
      </c>
      <c r="O41" s="231" t="s">
        <v>547</v>
      </c>
      <c r="P41" s="60">
        <v>5</v>
      </c>
    </row>
    <row r="42" spans="1:16" hidden="1">
      <c r="A42" s="243" t="str">
        <f>_xlfn.CONCAT(Tableau2[[#This Row],[Compte ILN]],"-",Tableau2[[#This Row],[Compte Shipper]],"-",Tableau2[[#This Row],[POL]],"-",Tableau2[[#This Row],[Compte Consignee]])</f>
        <v>28390-28390-ROCND-900383</v>
      </c>
      <c r="B42" s="370" t="str">
        <f>IF(Tableau2[[#This Row],[Name Consignee]]="",_xlfn.CONCAT(Tableau2[[#This Row],[Compte ILN]],"-",Tableau2[[#This Row],[Compte Shipper]],"-",Tableau2[[#This Row],[POL]]),"-")</f>
        <v>-</v>
      </c>
      <c r="C42" s="225" t="s">
        <v>168</v>
      </c>
      <c r="D42" s="226">
        <f>VLOOKUP(Tableau2[[#This Row],[ Name ILN]],Plant_AILN!F:G,2,FALSE)</f>
        <v>28390</v>
      </c>
      <c r="E42" s="225" t="s">
        <v>168</v>
      </c>
      <c r="F42" s="227">
        <f>IFERROR(VLOOKUP(Tableau2[[#This Row],[Name of shipper]],Plant_AILN!L:M,2,FALSE),0)</f>
        <v>28390</v>
      </c>
      <c r="G42" s="139" t="s">
        <v>180</v>
      </c>
      <c r="H42" s="227">
        <f>IF(Tableau2[[#This Row],[Name Consignee]]=0,"",VLOOKUP(Tableau2[[#This Row],[Name Consignee]],Plant_AILN!A:C,3,FALSE))</f>
        <v>900383</v>
      </c>
      <c r="I42" s="52">
        <v>9</v>
      </c>
      <c r="J42" s="220">
        <v>14</v>
      </c>
      <c r="K42" s="96">
        <v>5</v>
      </c>
      <c r="L42" s="228">
        <v>7</v>
      </c>
      <c r="M42" s="229">
        <f>Tableau2[[#This Row],[Delivery time to ILN/Shipper]]+Tableau2[[#This Row],[Day ILN Order]]-1</f>
        <v>22</v>
      </c>
      <c r="N42" s="230">
        <v>4</v>
      </c>
      <c r="O42" s="231" t="s">
        <v>547</v>
      </c>
      <c r="P42" s="60">
        <v>5</v>
      </c>
    </row>
    <row r="43" spans="1:16" hidden="1">
      <c r="A43" s="243" t="str">
        <f>_xlfn.CONCAT(Tableau2[[#This Row],[Compte ILN]],"-",Tableau2[[#This Row],[Compte Shipper]],"-",Tableau2[[#This Row],[POL]],"-",Tableau2[[#This Row],[Compte Consignee]])</f>
        <v>2533780535-2533780535-INNSA-90018300</v>
      </c>
      <c r="B43" s="370" t="str">
        <f>IF(Tableau2[[#This Row],[Name Consignee]]="",_xlfn.CONCAT(Tableau2[[#This Row],[Compte ILN]],"-",Tableau2[[#This Row],[Compte Shipper]],"-",Tableau2[[#This Row],[POL]]),"-")</f>
        <v>-</v>
      </c>
      <c r="C43" s="225" t="s">
        <v>150</v>
      </c>
      <c r="D43" s="226">
        <f>VLOOKUP(Tableau2[[#This Row],[ Name ILN]],Plant_AILN!F:G,2,FALSE)</f>
        <v>2533780535</v>
      </c>
      <c r="E43" s="225" t="s">
        <v>150</v>
      </c>
      <c r="F43" s="227">
        <f>IFERROR(VLOOKUP(Tableau2[[#This Row],[Name of shipper]],Plant_AILN!L:M,2,FALSE),0)</f>
        <v>2533780535</v>
      </c>
      <c r="G43" s="139" t="s">
        <v>220</v>
      </c>
      <c r="H43" s="227">
        <f>IF(Tableau2[[#This Row],[Name Consignee]]=0,"",VLOOKUP(Tableau2[[#This Row],[Name Consignee]],Plant_AILN!A:C,3,FALSE))</f>
        <v>90018300</v>
      </c>
      <c r="I43" s="52">
        <v>9</v>
      </c>
      <c r="J43" s="220">
        <v>14</v>
      </c>
      <c r="K43" s="96">
        <v>5</v>
      </c>
      <c r="L43" s="228">
        <v>7</v>
      </c>
      <c r="M43" s="229">
        <f>Tableau2[[#This Row],[Delivery time to ILN/Shipper]]+Tableau2[[#This Row],[Day ILN Order]]-1</f>
        <v>22</v>
      </c>
      <c r="N43" s="230">
        <v>2</v>
      </c>
      <c r="O43" s="231" t="s">
        <v>511</v>
      </c>
      <c r="P43" s="60">
        <v>2</v>
      </c>
    </row>
    <row r="44" spans="1:16" hidden="1">
      <c r="A44" s="243" t="str">
        <f>_xlfn.CONCAT(Tableau2[[#This Row],[Compte ILN]],"-",Tableau2[[#This Row],[Compte Shipper]],"-",Tableau2[[#This Row],[POL]],"-",Tableau2[[#This Row],[Compte Consignee]])</f>
        <v>2533780535-2533780535-INMUN-90016500</v>
      </c>
      <c r="B44" s="370" t="str">
        <f>IF(Tableau2[[#This Row],[Name Consignee]]="",_xlfn.CONCAT(Tableau2[[#This Row],[Compte ILN]],"-",Tableau2[[#This Row],[Compte Shipper]],"-",Tableau2[[#This Row],[POL]]),"-")</f>
        <v>-</v>
      </c>
      <c r="C44" s="225" t="s">
        <v>150</v>
      </c>
      <c r="D44" s="226">
        <f>VLOOKUP(Tableau2[[#This Row],[ Name ILN]],Plant_AILN!F:G,2,FALSE)</f>
        <v>2533780535</v>
      </c>
      <c r="E44" s="225" t="s">
        <v>150</v>
      </c>
      <c r="F44" s="227">
        <f>IFERROR(VLOOKUP(Tableau2[[#This Row],[Name of shipper]],Plant_AILN!L:M,2,FALSE),0)</f>
        <v>2533780535</v>
      </c>
      <c r="G44" s="139" t="s">
        <v>170</v>
      </c>
      <c r="H44" s="227">
        <f>IF(Tableau2[[#This Row],[Name Consignee]]=0,"",VLOOKUP(Tableau2[[#This Row],[Name Consignee]],Plant_AILN!A:C,3,FALSE))</f>
        <v>90016500</v>
      </c>
      <c r="I44" s="52">
        <v>9</v>
      </c>
      <c r="J44" s="220">
        <v>14</v>
      </c>
      <c r="K44" s="96">
        <v>5</v>
      </c>
      <c r="L44" s="228">
        <v>7</v>
      </c>
      <c r="M44" s="229">
        <f>Tableau2[[#This Row],[Delivery time to ILN/Shipper]]+Tableau2[[#This Row],[Day ILN Order]]-1</f>
        <v>22</v>
      </c>
      <c r="N44" s="230">
        <v>2</v>
      </c>
      <c r="O44" s="231" t="s">
        <v>640</v>
      </c>
      <c r="P44" s="60">
        <v>3</v>
      </c>
    </row>
    <row r="45" spans="1:16" hidden="1">
      <c r="A45" s="243" t="str">
        <f>_xlfn.CONCAT(Tableau2[[#This Row],[Compte ILN]],"-",Tableau2[[#This Row],[Compte Shipper]],"-",Tableau2[[#This Row],[POL]],"-",Tableau2[[#This Row],[Compte Consignee]])</f>
        <v>2533780535-2533780535-INMUN-92000100</v>
      </c>
      <c r="B45" s="370" t="str">
        <f>IF(Tableau2[[#This Row],[Name Consignee]]="",_xlfn.CONCAT(Tableau2[[#This Row],[Compte ILN]],"-",Tableau2[[#This Row],[Compte Shipper]],"-",Tableau2[[#This Row],[POL]]),"-")</f>
        <v>-</v>
      </c>
      <c r="C45" s="225" t="s">
        <v>150</v>
      </c>
      <c r="D45" s="226">
        <f>VLOOKUP(Tableau2[[#This Row],[ Name ILN]],Plant_AILN!F:G,2,FALSE)</f>
        <v>2533780535</v>
      </c>
      <c r="E45" s="225" t="s">
        <v>150</v>
      </c>
      <c r="F45" s="227">
        <f>IFERROR(VLOOKUP(Tableau2[[#This Row],[Name of shipper]],Plant_AILN!L:M,2,FALSE),0)</f>
        <v>2533780535</v>
      </c>
      <c r="G45" s="139" t="s">
        <v>183</v>
      </c>
      <c r="H45" s="227">
        <f>IF(Tableau2[[#This Row],[Name Consignee]]=0,"",VLOOKUP(Tableau2[[#This Row],[Name Consignee]],Plant_AILN!A:C,3,FALSE))</f>
        <v>92000100</v>
      </c>
      <c r="I45" s="52">
        <v>9</v>
      </c>
      <c r="J45" s="220">
        <v>14</v>
      </c>
      <c r="K45" s="96">
        <v>5</v>
      </c>
      <c r="L45" s="228">
        <v>7</v>
      </c>
      <c r="M45" s="229">
        <f>Tableau2[[#This Row],[Delivery time to ILN/Shipper]]+Tableau2[[#This Row],[Day ILN Order]]-1</f>
        <v>22</v>
      </c>
      <c r="N45" s="230">
        <v>2</v>
      </c>
      <c r="O45" s="231" t="s">
        <v>640</v>
      </c>
      <c r="P45" s="60">
        <v>3</v>
      </c>
    </row>
    <row r="46" spans="1:16" hidden="1">
      <c r="A46" s="243" t="str">
        <f>_xlfn.CONCAT(Tableau2[[#This Row],[Compte ILN]],"-",Tableau2[[#This Row],[Compte Shipper]],"-",Tableau2[[#This Row],[POL]],"-",Tableau2[[#This Row],[Compte Consignee]])</f>
        <v>2533780535-2533780535-INNSA-90018600</v>
      </c>
      <c r="B46" s="370" t="str">
        <f>IF(Tableau2[[#This Row],[Name Consignee]]="",_xlfn.CONCAT(Tableau2[[#This Row],[Compte ILN]],"-",Tableau2[[#This Row],[Compte Shipper]],"-",Tableau2[[#This Row],[POL]]),"-")</f>
        <v>-</v>
      </c>
      <c r="C46" s="225" t="s">
        <v>150</v>
      </c>
      <c r="D46" s="226">
        <f>VLOOKUP(Tableau2[[#This Row],[ Name ILN]],Plant_AILN!F:G,2,FALSE)</f>
        <v>2533780535</v>
      </c>
      <c r="E46" s="225" t="s">
        <v>150</v>
      </c>
      <c r="F46" s="227">
        <f>IFERROR(VLOOKUP(Tableau2[[#This Row],[Name of shipper]],Plant_AILN!L:M,2,FALSE),0)</f>
        <v>2533780535</v>
      </c>
      <c r="G46" s="139" t="s">
        <v>160</v>
      </c>
      <c r="H46" s="227">
        <f>IF(Tableau2[[#This Row],[Name Consignee]]=0,"",VLOOKUP(Tableau2[[#This Row],[Name Consignee]],Plant_AILN!A:C,3,FALSE))</f>
        <v>90018600</v>
      </c>
      <c r="I46" s="52">
        <v>9</v>
      </c>
      <c r="J46" s="220">
        <v>14</v>
      </c>
      <c r="K46" s="96">
        <v>5</v>
      </c>
      <c r="L46" s="228">
        <v>7</v>
      </c>
      <c r="M46" s="229">
        <f>Tableau2[[#This Row],[Delivery time to ILN/Shipper]]+Tableau2[[#This Row],[Day ILN Order]]-1</f>
        <v>22</v>
      </c>
      <c r="N46" s="230">
        <v>4</v>
      </c>
      <c r="O46" s="231" t="s">
        <v>511</v>
      </c>
      <c r="P46" s="60">
        <v>5</v>
      </c>
    </row>
    <row r="47" spans="1:16" hidden="1">
      <c r="A47" s="243" t="str">
        <f>_xlfn.CONCAT(Tableau2[[#This Row],[Compte ILN]],"-",Tableau2[[#This Row],[Compte Shipper]],"-",Tableau2[[#This Row],[POL]],"-",Tableau2[[#This Row],[Compte Consignee]])</f>
        <v>2533780535-2533780535-INMUN-90018000</v>
      </c>
      <c r="B47" s="370" t="str">
        <f>IF(Tableau2[[#This Row],[Name Consignee]]="",_xlfn.CONCAT(Tableau2[[#This Row],[Compte ILN]],"-",Tableau2[[#This Row],[Compte Shipper]],"-",Tableau2[[#This Row],[POL]]),"-")</f>
        <v>-</v>
      </c>
      <c r="C47" s="225" t="s">
        <v>150</v>
      </c>
      <c r="D47" s="226">
        <f>VLOOKUP(Tableau2[[#This Row],[ Name ILN]],Plant_AILN!F:G,2,FALSE)</f>
        <v>2533780535</v>
      </c>
      <c r="E47" s="168" t="s">
        <v>284</v>
      </c>
      <c r="F47" s="227">
        <f>IFERROR(VLOOKUP(Tableau2[[#This Row],[Name of shipper]],Plant_AILN!L:M,2,FALSE),0)</f>
        <v>2533780535</v>
      </c>
      <c r="G47" s="232" t="s">
        <v>181</v>
      </c>
      <c r="H47" s="227">
        <f>IF(Tableau2[[#This Row],[Name Consignee]]=0,"",VLOOKUP(Tableau2[[#This Row],[Name Consignee]],Plant_AILN!A:C,3,FALSE))</f>
        <v>90018000</v>
      </c>
      <c r="I47" s="52">
        <v>9</v>
      </c>
      <c r="J47" s="220">
        <v>14</v>
      </c>
      <c r="K47" s="96">
        <v>5</v>
      </c>
      <c r="L47" s="228">
        <v>7</v>
      </c>
      <c r="M47" s="229">
        <f>Tableau2[[#This Row],[Delivery time to ILN/Shipper]]+Tableau2[[#This Row],[Day ILN Order]]-1</f>
        <v>22</v>
      </c>
      <c r="N47" s="230">
        <v>4</v>
      </c>
      <c r="O47" s="231" t="s">
        <v>640</v>
      </c>
      <c r="P47" s="60">
        <v>5</v>
      </c>
    </row>
    <row r="48" spans="1:16" hidden="1">
      <c r="A48" s="243" t="str">
        <f>_xlfn.CONCAT(Tableau2[[#This Row],[Compte ILN]],"-",Tableau2[[#This Row],[Compte Shipper]],"-",Tableau2[[#This Row],[POL]],"-",Tableau2[[#This Row],[Compte Consignee]])</f>
        <v>2533780535-2533780535-INNSA-90016800</v>
      </c>
      <c r="B48" s="370" t="str">
        <f>IF(Tableau2[[#This Row],[Name Consignee]]="",_xlfn.CONCAT(Tableau2[[#This Row],[Compte ILN]],"-",Tableau2[[#This Row],[Compte Shipper]],"-",Tableau2[[#This Row],[POL]]),"-")</f>
        <v>-</v>
      </c>
      <c r="C48" s="225" t="s">
        <v>150</v>
      </c>
      <c r="D48" s="226">
        <f>VLOOKUP(Tableau2[[#This Row],[ Name ILN]],Plant_AILN!F:G,2,FALSE)</f>
        <v>2533780535</v>
      </c>
      <c r="E48" s="225" t="s">
        <v>150</v>
      </c>
      <c r="F48" s="227">
        <f>IFERROR(VLOOKUP(Tableau2[[#This Row],[Name of shipper]],Plant_AILN!L:M,2,FALSE),0)</f>
        <v>2533780535</v>
      </c>
      <c r="G48" s="139" t="s">
        <v>185</v>
      </c>
      <c r="H48" s="227">
        <f>IF(Tableau2[[#This Row],[Name Consignee]]=0,"",VLOOKUP(Tableau2[[#This Row],[Name Consignee]],Plant_AILN!A:C,3,FALSE))</f>
        <v>90016800</v>
      </c>
      <c r="I48" s="52">
        <v>9</v>
      </c>
      <c r="J48" s="220">
        <v>14</v>
      </c>
      <c r="K48" s="96">
        <v>5</v>
      </c>
      <c r="L48" s="228">
        <v>7</v>
      </c>
      <c r="M48" s="229">
        <f>Tableau2[[#This Row],[Delivery time to ILN/Shipper]]+Tableau2[[#This Row],[Day ILN Order]]-1</f>
        <v>22</v>
      </c>
      <c r="N48" s="230">
        <v>2</v>
      </c>
      <c r="O48" s="231" t="s">
        <v>511</v>
      </c>
      <c r="P48" s="60">
        <v>2</v>
      </c>
    </row>
    <row r="49" spans="1:16" hidden="1">
      <c r="A49" s="243" t="str">
        <f>_xlfn.CONCAT(Tableau2[[#This Row],[Compte ILN]],"-",Tableau2[[#This Row],[Compte Shipper]],"-",Tableau2[[#This Row],[POL]],"-",Tableau2[[#This Row],[Compte Consignee]])</f>
        <v>2533780535-2533780535-INNSA-90019100</v>
      </c>
      <c r="B49" s="370" t="str">
        <f>IF(Tableau2[[#This Row],[Name Consignee]]="",_xlfn.CONCAT(Tableau2[[#This Row],[Compte ILN]],"-",Tableau2[[#This Row],[Compte Shipper]],"-",Tableau2[[#This Row],[POL]]),"-")</f>
        <v>-</v>
      </c>
      <c r="C49" s="225" t="s">
        <v>150</v>
      </c>
      <c r="D49" s="226">
        <f>VLOOKUP(Tableau2[[#This Row],[ Name ILN]],Plant_AILN!F:G,2,FALSE)</f>
        <v>2533780535</v>
      </c>
      <c r="E49" s="225" t="s">
        <v>150</v>
      </c>
      <c r="F49" s="227">
        <f>IFERROR(VLOOKUP(Tableau2[[#This Row],[Name of shipper]],Plant_AILN!L:M,2,FALSE),0)</f>
        <v>2533780535</v>
      </c>
      <c r="G49" s="139" t="s">
        <v>188</v>
      </c>
      <c r="H49" s="227">
        <f>IF(Tableau2[[#This Row],[Name Consignee]]=0,"",VLOOKUP(Tableau2[[#This Row],[Name Consignee]],Plant_AILN!A:C,3,FALSE))</f>
        <v>90019100</v>
      </c>
      <c r="I49" s="52">
        <v>9</v>
      </c>
      <c r="J49" s="220">
        <v>14</v>
      </c>
      <c r="K49" s="96">
        <v>5</v>
      </c>
      <c r="L49" s="228">
        <v>7</v>
      </c>
      <c r="M49" s="229">
        <f>Tableau2[[#This Row],[Delivery time to ILN/Shipper]]+Tableau2[[#This Row],[Day ILN Order]]-1</f>
        <v>22</v>
      </c>
      <c r="N49" s="230">
        <v>2</v>
      </c>
      <c r="O49" s="231" t="s">
        <v>511</v>
      </c>
      <c r="P49" s="60">
        <v>2</v>
      </c>
    </row>
    <row r="50" spans="1:16" hidden="1">
      <c r="A50" s="243" t="str">
        <f>_xlfn.CONCAT(Tableau2[[#This Row],[Compte ILN]],"-",Tableau2[[#This Row],[Compte Shipper]],"-",Tableau2[[#This Row],[POL]],"-",Tableau2[[#This Row],[Compte Consignee]])</f>
        <v>2533780535-2533780535-INNSA-90015100</v>
      </c>
      <c r="B50" s="370" t="str">
        <f>IF(Tableau2[[#This Row],[Name Consignee]]="",_xlfn.CONCAT(Tableau2[[#This Row],[Compte ILN]],"-",Tableau2[[#This Row],[Compte Shipper]],"-",Tableau2[[#This Row],[POL]]),"-")</f>
        <v>-</v>
      </c>
      <c r="C50" s="225" t="s">
        <v>150</v>
      </c>
      <c r="D50" s="226">
        <f>VLOOKUP(Tableau2[[#This Row],[ Name ILN]],Plant_AILN!F:G,2,FALSE)</f>
        <v>2533780535</v>
      </c>
      <c r="E50" s="225" t="s">
        <v>150</v>
      </c>
      <c r="F50" s="227">
        <f>IFERROR(VLOOKUP(Tableau2[[#This Row],[Name of shipper]],Plant_AILN!L:M,2,FALSE),0)</f>
        <v>2533780535</v>
      </c>
      <c r="G50" s="139" t="s">
        <v>209</v>
      </c>
      <c r="H50" s="227">
        <f>IF(Tableau2[[#This Row],[Name Consignee]]=0,"",VLOOKUP(Tableau2[[#This Row],[Name Consignee]],Plant_AILN!A:C,3,FALSE))</f>
        <v>90015100</v>
      </c>
      <c r="I50" s="52">
        <v>9</v>
      </c>
      <c r="J50" s="220">
        <v>14</v>
      </c>
      <c r="K50" s="96">
        <v>5</v>
      </c>
      <c r="L50" s="228">
        <v>7</v>
      </c>
      <c r="M50" s="229">
        <f>Tableau2[[#This Row],[Delivery time to ILN/Shipper]]+Tableau2[[#This Row],[Day ILN Order]]-1</f>
        <v>22</v>
      </c>
      <c r="N50" s="230">
        <v>2</v>
      </c>
      <c r="O50" s="231" t="s">
        <v>511</v>
      </c>
      <c r="P50" s="60">
        <v>2</v>
      </c>
    </row>
    <row r="51" spans="1:16" hidden="1">
      <c r="A51" s="243" t="str">
        <f>_xlfn.CONCAT(Tableau2[[#This Row],[Compte ILN]],"-",Tableau2[[#This Row],[Compte Shipper]],"-",Tableau2[[#This Row],[POL]],"-",Tableau2[[#This Row],[Compte Consignee]])</f>
        <v>2533780535-2533780535-INNSA-90016600</v>
      </c>
      <c r="B51" s="370" t="str">
        <f>IF(Tableau2[[#This Row],[Name Consignee]]="",_xlfn.CONCAT(Tableau2[[#This Row],[Compte ILN]],"-",Tableau2[[#This Row],[Compte Shipper]],"-",Tableau2[[#This Row],[POL]]),"-")</f>
        <v>-</v>
      </c>
      <c r="C51" s="225" t="s">
        <v>150</v>
      </c>
      <c r="D51" s="226">
        <f>VLOOKUP(Tableau2[[#This Row],[ Name ILN]],Plant_AILN!F:G,2,FALSE)</f>
        <v>2533780535</v>
      </c>
      <c r="E51" s="225" t="s">
        <v>150</v>
      </c>
      <c r="F51" s="227">
        <f>IFERROR(VLOOKUP(Tableau2[[#This Row],[Name of shipper]],Plant_AILN!L:M,2,FALSE),0)</f>
        <v>2533780535</v>
      </c>
      <c r="G51" s="139" t="s">
        <v>143</v>
      </c>
      <c r="H51" s="227">
        <f>IF(Tableau2[[#This Row],[Name Consignee]]=0,"",VLOOKUP(Tableau2[[#This Row],[Name Consignee]],Plant_AILN!A:C,3,FALSE))</f>
        <v>90016600</v>
      </c>
      <c r="I51" s="52">
        <v>9</v>
      </c>
      <c r="J51" s="220">
        <v>14</v>
      </c>
      <c r="K51" s="96">
        <v>5</v>
      </c>
      <c r="L51" s="228">
        <v>7</v>
      </c>
      <c r="M51" s="229">
        <f>Tableau2[[#This Row],[Delivery time to ILN/Shipper]]+Tableau2[[#This Row],[Day ILN Order]]-1</f>
        <v>22</v>
      </c>
      <c r="N51" s="230">
        <v>2</v>
      </c>
      <c r="O51" s="231" t="s">
        <v>511</v>
      </c>
      <c r="P51" s="60">
        <v>2</v>
      </c>
    </row>
    <row r="52" spans="1:16" hidden="1">
      <c r="A52" s="243" t="str">
        <f>_xlfn.CONCAT(Tableau2[[#This Row],[Compte ILN]],"-",Tableau2[[#This Row],[Compte Shipper]],"-",Tableau2[[#This Row],[POL]],"-",Tableau2[[#This Row],[Compte Consignee]])</f>
        <v>2533780535-2533780535-INNSA-90016200</v>
      </c>
      <c r="B52" s="370" t="str">
        <f>IF(Tableau2[[#This Row],[Name Consignee]]="",_xlfn.CONCAT(Tableau2[[#This Row],[Compte ILN]],"-",Tableau2[[#This Row],[Compte Shipper]],"-",Tableau2[[#This Row],[POL]]),"-")</f>
        <v>-</v>
      </c>
      <c r="C52" s="225" t="s">
        <v>150</v>
      </c>
      <c r="D52" s="226">
        <f>VLOOKUP(Tableau2[[#This Row],[ Name ILN]],Plant_AILN!F:G,2,FALSE)</f>
        <v>2533780535</v>
      </c>
      <c r="E52" s="225" t="s">
        <v>150</v>
      </c>
      <c r="F52" s="227">
        <f>IFERROR(VLOOKUP(Tableau2[[#This Row],[Name of shipper]],Plant_AILN!L:M,2,FALSE),0)</f>
        <v>2533780535</v>
      </c>
      <c r="G52" s="139" t="s">
        <v>210</v>
      </c>
      <c r="H52" s="227">
        <f>IF(Tableau2[[#This Row],[Name Consignee]]=0,"",VLOOKUP(Tableau2[[#This Row],[Name Consignee]],Plant_AILN!A:C,3,FALSE))</f>
        <v>90016200</v>
      </c>
      <c r="I52" s="52">
        <v>9</v>
      </c>
      <c r="J52" s="220">
        <v>14</v>
      </c>
      <c r="K52" s="96">
        <v>5</v>
      </c>
      <c r="L52" s="228">
        <v>7</v>
      </c>
      <c r="M52" s="229">
        <f>Tableau2[[#This Row],[Delivery time to ILN/Shipper]]+Tableau2[[#This Row],[Day ILN Order]]-1</f>
        <v>22</v>
      </c>
      <c r="N52" s="230">
        <v>2</v>
      </c>
      <c r="O52" s="231" t="s">
        <v>511</v>
      </c>
      <c r="P52" s="60">
        <v>2</v>
      </c>
    </row>
    <row r="53" spans="1:16" hidden="1">
      <c r="A53" s="243" t="str">
        <f>_xlfn.CONCAT(Tableau2[[#This Row],[Compte ILN]],"-",Tableau2[[#This Row],[Compte Shipper]],"-",Tableau2[[#This Row],[POL]],"-",Tableau2[[#This Row],[Compte Consignee]])</f>
        <v>2533780535-2533780535-INNSA-25079500</v>
      </c>
      <c r="B53" s="370" t="str">
        <f>IF(Tableau2[[#This Row],[Name Consignee]]="",_xlfn.CONCAT(Tableau2[[#This Row],[Compte ILN]],"-",Tableau2[[#This Row],[Compte Shipper]],"-",Tableau2[[#This Row],[POL]]),"-")</f>
        <v>-</v>
      </c>
      <c r="C53" s="225" t="s">
        <v>150</v>
      </c>
      <c r="D53" s="226">
        <f>VLOOKUP(Tableau2[[#This Row],[ Name ILN]],Plant_AILN!F:G,2,FALSE)</f>
        <v>2533780535</v>
      </c>
      <c r="E53" s="225" t="s">
        <v>150</v>
      </c>
      <c r="F53" s="227">
        <f>IFERROR(VLOOKUP(Tableau2[[#This Row],[Name of shipper]],Plant_AILN!L:M,2,FALSE),0)</f>
        <v>2533780535</v>
      </c>
      <c r="G53" s="139" t="s">
        <v>637</v>
      </c>
      <c r="H53" s="227">
        <f>IF(Tableau2[[#This Row],[Name Consignee]]=0,"",VLOOKUP(Tableau2[[#This Row],[Name Consignee]],Plant_AILN!A:C,3,FALSE))</f>
        <v>25079500</v>
      </c>
      <c r="I53" s="52">
        <v>9</v>
      </c>
      <c r="J53" s="220">
        <v>14</v>
      </c>
      <c r="K53" s="96">
        <v>5</v>
      </c>
      <c r="L53" s="228">
        <v>7</v>
      </c>
      <c r="M53" s="229">
        <f>Tableau2[[#This Row],[Delivery time to ILN/Shipper]]+Tableau2[[#This Row],[Day ILN Order]]-1</f>
        <v>22</v>
      </c>
      <c r="N53" s="230">
        <v>2</v>
      </c>
      <c r="O53" s="231" t="s">
        <v>511</v>
      </c>
      <c r="P53" s="60">
        <v>3</v>
      </c>
    </row>
    <row r="54" spans="1:16" hidden="1">
      <c r="A54" s="243" t="str">
        <f>_xlfn.CONCAT(Tableau2[[#This Row],[Compte ILN]],"-",Tableau2[[#This Row],[Compte Shipper]],"-",Tableau2[[#This Row],[POL]],"-",Tableau2[[#This Row],[Compte Consignee]])</f>
        <v>2533780535-2533780535-INNSA-90017000</v>
      </c>
      <c r="B54" s="370" t="str">
        <f>IF(Tableau2[[#This Row],[Name Consignee]]="",_xlfn.CONCAT(Tableau2[[#This Row],[Compte ILN]],"-",Tableau2[[#This Row],[Compte Shipper]],"-",Tableau2[[#This Row],[POL]]),"-")</f>
        <v>-</v>
      </c>
      <c r="C54" s="225" t="s">
        <v>150</v>
      </c>
      <c r="D54" s="226">
        <f>VLOOKUP(Tableau2[[#This Row],[ Name ILN]],Plant_AILN!F:G,2,FALSE)</f>
        <v>2533780535</v>
      </c>
      <c r="E54" s="225" t="s">
        <v>150</v>
      </c>
      <c r="F54" s="227">
        <f>IFERROR(VLOOKUP(Tableau2[[#This Row],[Name of shipper]],Plant_AILN!L:M,2,FALSE),0)</f>
        <v>2533780535</v>
      </c>
      <c r="G54" s="139" t="s">
        <v>173</v>
      </c>
      <c r="H54" s="227">
        <f>IF(Tableau2[[#This Row],[Name Consignee]]=0,"",VLOOKUP(Tableau2[[#This Row],[Name Consignee]],Plant_AILN!A:C,3,FALSE))</f>
        <v>90017000</v>
      </c>
      <c r="I54" s="52">
        <v>9</v>
      </c>
      <c r="J54" s="220">
        <v>14</v>
      </c>
      <c r="K54" s="96">
        <v>5</v>
      </c>
      <c r="L54" s="228">
        <v>7</v>
      </c>
      <c r="M54" s="229">
        <f>Tableau2[[#This Row],[Delivery time to ILN/Shipper]]+Tableau2[[#This Row],[Day ILN Order]]-1</f>
        <v>22</v>
      </c>
      <c r="N54" s="230">
        <v>0</v>
      </c>
      <c r="O54" s="231" t="s">
        <v>511</v>
      </c>
      <c r="P54" s="60">
        <v>3</v>
      </c>
    </row>
    <row r="55" spans="1:16" hidden="1">
      <c r="A55" s="243" t="str">
        <f>_xlfn.CONCAT(Tableau2[[#This Row],[Compte ILN]],"-",Tableau2[[#This Row],[Compte Shipper]],"-",Tableau2[[#This Row],[POL]],"-",Tableau2[[#This Row],[Compte Consignee]])</f>
        <v>2533780535-2533780535-INMUN-91017200</v>
      </c>
      <c r="B55" s="370" t="str">
        <f>IF(Tableau2[[#This Row],[Name Consignee]]="",_xlfn.CONCAT(Tableau2[[#This Row],[Compte ILN]],"-",Tableau2[[#This Row],[Compte Shipper]],"-",Tableau2[[#This Row],[POL]]),"-")</f>
        <v>-</v>
      </c>
      <c r="C55" s="225" t="s">
        <v>150</v>
      </c>
      <c r="D55" s="226">
        <f>VLOOKUP(Tableau2[[#This Row],[ Name ILN]],Plant_AILN!F:G,2,FALSE)</f>
        <v>2533780535</v>
      </c>
      <c r="E55" s="225" t="s">
        <v>150</v>
      </c>
      <c r="F55" s="227">
        <f>IFERROR(VLOOKUP(Tableau2[[#This Row],[Name of shipper]],Plant_AILN!L:M,2,FALSE),0)</f>
        <v>2533780535</v>
      </c>
      <c r="G55" s="139" t="s">
        <v>184</v>
      </c>
      <c r="H55" s="227">
        <f>IF(Tableau2[[#This Row],[Name Consignee]]=0,"",VLOOKUP(Tableau2[[#This Row],[Name Consignee]],Plant_AILN!A:C,3,FALSE))</f>
        <v>91017200</v>
      </c>
      <c r="I55" s="52">
        <v>9</v>
      </c>
      <c r="J55" s="220">
        <v>14</v>
      </c>
      <c r="K55" s="96">
        <v>5</v>
      </c>
      <c r="L55" s="228">
        <v>7</v>
      </c>
      <c r="M55" s="229">
        <f>Tableau2[[#This Row],[Delivery time to ILN/Shipper]]+Tableau2[[#This Row],[Day ILN Order]]-1</f>
        <v>22</v>
      </c>
      <c r="N55" s="230">
        <v>2</v>
      </c>
      <c r="O55" s="231" t="s">
        <v>640</v>
      </c>
      <c r="P55" s="60">
        <v>3</v>
      </c>
    </row>
    <row r="56" spans="1:16" hidden="1">
      <c r="A56" s="243" t="str">
        <f>_xlfn.CONCAT(Tableau2[[#This Row],[Compte ILN]],"-",Tableau2[[#This Row],[Compte Shipper]],"-",Tableau2[[#This Row],[POL]],"-",Tableau2[[#This Row],[Compte Consignee]])</f>
        <v>2533780535-2533780535-INNSA-90017100</v>
      </c>
      <c r="B56" s="370" t="str">
        <f>IF(Tableau2[[#This Row],[Name Consignee]]="",_xlfn.CONCAT(Tableau2[[#This Row],[Compte ILN]],"-",Tableau2[[#This Row],[Compte Shipper]],"-",Tableau2[[#This Row],[POL]]),"-")</f>
        <v>-</v>
      </c>
      <c r="C56" s="225" t="s">
        <v>150</v>
      </c>
      <c r="D56" s="226">
        <f>VLOOKUP(Tableau2[[#This Row],[ Name ILN]],Plant_AILN!F:G,2,FALSE)</f>
        <v>2533780535</v>
      </c>
      <c r="E56" s="225" t="s">
        <v>150</v>
      </c>
      <c r="F56" s="227">
        <f>IFERROR(VLOOKUP(Tableau2[[#This Row],[Name of shipper]],Plant_AILN!L:M,2,FALSE),0)</f>
        <v>2533780535</v>
      </c>
      <c r="G56" s="139" t="s">
        <v>196</v>
      </c>
      <c r="H56" s="227">
        <f>IF(Tableau2[[#This Row],[Name Consignee]]=0,"",VLOOKUP(Tableau2[[#This Row],[Name Consignee]],Plant_AILN!A:C,3,FALSE))</f>
        <v>90017100</v>
      </c>
      <c r="I56" s="52">
        <v>9</v>
      </c>
      <c r="J56" s="220">
        <v>14</v>
      </c>
      <c r="K56" s="96">
        <v>5</v>
      </c>
      <c r="L56" s="228">
        <v>7</v>
      </c>
      <c r="M56" s="229">
        <f>Tableau2[[#This Row],[Delivery time to ILN/Shipper]]+Tableau2[[#This Row],[Day ILN Order]]-1</f>
        <v>22</v>
      </c>
      <c r="N56" s="230">
        <v>2</v>
      </c>
      <c r="O56" s="231" t="s">
        <v>511</v>
      </c>
      <c r="P56" s="60">
        <v>2</v>
      </c>
    </row>
    <row r="57" spans="1:16" hidden="1">
      <c r="A57" s="243" t="str">
        <f>_xlfn.CONCAT(Tableau2[[#This Row],[Compte ILN]],"-",Tableau2[[#This Row],[Compte Shipper]],"-",Tableau2[[#This Row],[POL]],"-",Tableau2[[#This Row],[Compte Consignee]])</f>
        <v>2533780535-2533780535-INMUN-91017500</v>
      </c>
      <c r="B57" s="370" t="str">
        <f>IF(Tableau2[[#This Row],[Name Consignee]]="",_xlfn.CONCAT(Tableau2[[#This Row],[Compte ILN]],"-",Tableau2[[#This Row],[Compte Shipper]],"-",Tableau2[[#This Row],[POL]]),"-")</f>
        <v>-</v>
      </c>
      <c r="C57" s="225" t="s">
        <v>150</v>
      </c>
      <c r="D57" s="226">
        <f>VLOOKUP(Tableau2[[#This Row],[ Name ILN]],Plant_AILN!F:G,2,FALSE)</f>
        <v>2533780535</v>
      </c>
      <c r="E57" s="225" t="s">
        <v>150</v>
      </c>
      <c r="F57" s="227">
        <f>IFERROR(VLOOKUP(Tableau2[[#This Row],[Name of shipper]],Plant_AILN!L:M,2,FALSE),0)</f>
        <v>2533780535</v>
      </c>
      <c r="G57" s="139" t="s">
        <v>172</v>
      </c>
      <c r="H57" s="227">
        <f>IF(Tableau2[[#This Row],[Name Consignee]]=0,"",VLOOKUP(Tableau2[[#This Row],[Name Consignee]],Plant_AILN!A:C,3,FALSE))</f>
        <v>91017500</v>
      </c>
      <c r="I57" s="52">
        <v>9</v>
      </c>
      <c r="J57" s="220">
        <v>14</v>
      </c>
      <c r="K57" s="96">
        <v>5</v>
      </c>
      <c r="L57" s="228">
        <v>7</v>
      </c>
      <c r="M57" s="229">
        <f>Tableau2[[#This Row],[Delivery time to ILN/Shipper]]+Tableau2[[#This Row],[Day ILN Order]]-1</f>
        <v>22</v>
      </c>
      <c r="N57" s="230">
        <v>2</v>
      </c>
      <c r="O57" s="231" t="s">
        <v>640</v>
      </c>
      <c r="P57" s="60">
        <v>3</v>
      </c>
    </row>
    <row r="58" spans="1:16" hidden="1">
      <c r="A58" s="243" t="str">
        <f>_xlfn.CONCAT(Tableau2[[#This Row],[Compte ILN]],"-",Tableau2[[#This Row],[Compte Shipper]],"-",Tableau2[[#This Row],[POL]],"-",Tableau2[[#This Row],[Compte Consignee]])</f>
        <v>2533780535-2533780535-INNSA-90016900</v>
      </c>
      <c r="B58" s="370" t="str">
        <f>IF(Tableau2[[#This Row],[Name Consignee]]="",_xlfn.CONCAT(Tableau2[[#This Row],[Compte ILN]],"-",Tableau2[[#This Row],[Compte Shipper]],"-",Tableau2[[#This Row],[POL]]),"-")</f>
        <v>-</v>
      </c>
      <c r="C58" s="225" t="s">
        <v>150</v>
      </c>
      <c r="D58" s="226">
        <f>VLOOKUP(Tableau2[[#This Row],[ Name ILN]],Plant_AILN!F:G,2,FALSE)</f>
        <v>2533780535</v>
      </c>
      <c r="E58" s="225" t="s">
        <v>150</v>
      </c>
      <c r="F58" s="227">
        <f>IFERROR(VLOOKUP(Tableau2[[#This Row],[Name of shipper]],Plant_AILN!L:M,2,FALSE),0)</f>
        <v>2533780535</v>
      </c>
      <c r="G58" s="139" t="s">
        <v>154</v>
      </c>
      <c r="H58" s="227">
        <f>IF(Tableau2[[#This Row],[Name Consignee]]=0,"",VLOOKUP(Tableau2[[#This Row],[Name Consignee]],Plant_AILN!A:C,3,FALSE))</f>
        <v>90016900</v>
      </c>
      <c r="I58" s="52">
        <v>9</v>
      </c>
      <c r="J58" s="220">
        <v>14</v>
      </c>
      <c r="K58" s="96">
        <v>5</v>
      </c>
      <c r="L58" s="228">
        <v>7</v>
      </c>
      <c r="M58" s="229">
        <f>Tableau2[[#This Row],[Delivery time to ILN/Shipper]]+Tableau2[[#This Row],[Day ILN Order]]-1</f>
        <v>22</v>
      </c>
      <c r="N58" s="230">
        <v>2</v>
      </c>
      <c r="O58" s="231" t="s">
        <v>511</v>
      </c>
      <c r="P58" s="60">
        <v>2</v>
      </c>
    </row>
    <row r="59" spans="1:16" hidden="1">
      <c r="A59" s="243" t="str">
        <f>_xlfn.CONCAT(Tableau2[[#This Row],[Compte ILN]],"-",Tableau2[[#This Row],[Compte Shipper]],"-",Tableau2[[#This Row],[POL]],"-",Tableau2[[#This Row],[Compte Consignee]])</f>
        <v>2533780535-2533780535-INNSA-90018400</v>
      </c>
      <c r="B59" s="370" t="str">
        <f>IF(Tableau2[[#This Row],[Name Consignee]]="",_xlfn.CONCAT(Tableau2[[#This Row],[Compte ILN]],"-",Tableau2[[#This Row],[Compte Shipper]],"-",Tableau2[[#This Row],[POL]]),"-")</f>
        <v>-</v>
      </c>
      <c r="C59" s="225" t="s">
        <v>150</v>
      </c>
      <c r="D59" s="226">
        <f>VLOOKUP(Tableau2[[#This Row],[ Name ILN]],Plant_AILN!F:G,2,FALSE)</f>
        <v>2533780535</v>
      </c>
      <c r="E59" s="225" t="s">
        <v>150</v>
      </c>
      <c r="F59" s="227">
        <f>IFERROR(VLOOKUP(Tableau2[[#This Row],[Name of shipper]],Plant_AILN!L:M,2,FALSE),0)</f>
        <v>2533780535</v>
      </c>
      <c r="G59" s="139" t="s">
        <v>219</v>
      </c>
      <c r="H59" s="227">
        <f>IF(Tableau2[[#This Row],[Name Consignee]]=0,"",VLOOKUP(Tableau2[[#This Row],[Name Consignee]],Plant_AILN!A:C,3,FALSE))</f>
        <v>90018400</v>
      </c>
      <c r="I59" s="52">
        <v>9</v>
      </c>
      <c r="J59" s="220">
        <v>14</v>
      </c>
      <c r="K59" s="96">
        <v>5</v>
      </c>
      <c r="L59" s="228">
        <v>7</v>
      </c>
      <c r="M59" s="229">
        <f>Tableau2[[#This Row],[Delivery time to ILN/Shipper]]+Tableau2[[#This Row],[Day ILN Order]]-1</f>
        <v>22</v>
      </c>
      <c r="N59" s="230">
        <v>2</v>
      </c>
      <c r="O59" s="231" t="s">
        <v>511</v>
      </c>
      <c r="P59" s="60">
        <v>2</v>
      </c>
    </row>
    <row r="60" spans="1:16" hidden="1">
      <c r="A60" s="243" t="str">
        <f>_xlfn.CONCAT(Tableau2[[#This Row],[Compte ILN]],"-",Tableau2[[#This Row],[Compte Shipper]],"-",Tableau2[[#This Row],[POL]],"-",Tableau2[[#This Row],[Compte Consignee]])</f>
        <v>2533780535-2533780535-INNSA-900383</v>
      </c>
      <c r="B60" s="370" t="str">
        <f>IF(Tableau2[[#This Row],[Name Consignee]]="",_xlfn.CONCAT(Tableau2[[#This Row],[Compte ILN]],"-",Tableau2[[#This Row],[Compte Shipper]],"-",Tableau2[[#This Row],[POL]]),"-")</f>
        <v>-</v>
      </c>
      <c r="C60" s="225" t="s">
        <v>150</v>
      </c>
      <c r="D60" s="226">
        <f>VLOOKUP(Tableau2[[#This Row],[ Name ILN]],Plant_AILN!F:G,2,FALSE)</f>
        <v>2533780535</v>
      </c>
      <c r="E60" s="225" t="s">
        <v>150</v>
      </c>
      <c r="F60" s="227">
        <f>IFERROR(VLOOKUP(Tableau2[[#This Row],[Name of shipper]],Plant_AILN!L:M,2,FALSE),0)</f>
        <v>2533780535</v>
      </c>
      <c r="G60" s="139" t="s">
        <v>180</v>
      </c>
      <c r="H60" s="227">
        <f>IF(Tableau2[[#This Row],[Name Consignee]]=0,"",VLOOKUP(Tableau2[[#This Row],[Name Consignee]],Plant_AILN!A:C,3,FALSE))</f>
        <v>900383</v>
      </c>
      <c r="I60" s="52">
        <v>9</v>
      </c>
      <c r="J60" s="220">
        <v>14</v>
      </c>
      <c r="K60" s="96">
        <v>5</v>
      </c>
      <c r="L60" s="228">
        <v>7</v>
      </c>
      <c r="M60" s="229">
        <f>Tableau2[[#This Row],[Delivery time to ILN/Shipper]]+Tableau2[[#This Row],[Day ILN Order]]-1</f>
        <v>22</v>
      </c>
      <c r="N60" s="230">
        <v>2</v>
      </c>
      <c r="O60" s="231" t="s">
        <v>511</v>
      </c>
      <c r="P60" s="60">
        <v>3</v>
      </c>
    </row>
    <row r="61" spans="1:16" hidden="1">
      <c r="A61" s="243" t="str">
        <f>_xlfn.CONCAT(Tableau2[[#This Row],[Compte ILN]],"-",Tableau2[[#This Row],[Compte Shipper]],"-",Tableau2[[#This Row],[POL]],"-",Tableau2[[#This Row],[Compte Consignee]])</f>
        <v>2533780535-2533780535-INNSA-91017300</v>
      </c>
      <c r="B61" s="370" t="str">
        <f>IF(Tableau2[[#This Row],[Name Consignee]]="",_xlfn.CONCAT(Tableau2[[#This Row],[Compte ILN]],"-",Tableau2[[#This Row],[Compte Shipper]],"-",Tableau2[[#This Row],[POL]]),"-")</f>
        <v>-</v>
      </c>
      <c r="C61" s="225" t="s">
        <v>150</v>
      </c>
      <c r="D61" s="226">
        <f>VLOOKUP(Tableau2[[#This Row],[ Name ILN]],Plant_AILN!F:G,2,FALSE)</f>
        <v>2533780535</v>
      </c>
      <c r="E61" s="225" t="s">
        <v>150</v>
      </c>
      <c r="F61" s="227">
        <f>IFERROR(VLOOKUP(Tableau2[[#This Row],[Name of shipper]],Plant_AILN!L:M,2,FALSE),0)</f>
        <v>2533780535</v>
      </c>
      <c r="G61" s="139" t="s">
        <v>175</v>
      </c>
      <c r="H61" s="227">
        <f>IF(Tableau2[[#This Row],[Name Consignee]]=0,"",VLOOKUP(Tableau2[[#This Row],[Name Consignee]],Plant_AILN!A:C,3,FALSE))</f>
        <v>91017300</v>
      </c>
      <c r="I61" s="52">
        <v>9</v>
      </c>
      <c r="J61" s="220">
        <v>14</v>
      </c>
      <c r="K61" s="96">
        <v>5</v>
      </c>
      <c r="L61" s="228">
        <v>7</v>
      </c>
      <c r="M61" s="229">
        <f>Tableau2[[#This Row],[Delivery time to ILN/Shipper]]+Tableau2[[#This Row],[Day ILN Order]]-1</f>
        <v>22</v>
      </c>
      <c r="N61" s="230">
        <v>2</v>
      </c>
      <c r="O61" s="231" t="s">
        <v>511</v>
      </c>
      <c r="P61" s="60">
        <v>3</v>
      </c>
    </row>
    <row r="62" spans="1:16" hidden="1">
      <c r="A62" s="243" t="str">
        <f>_xlfn.CONCAT(Tableau2[[#This Row],[Compte ILN]],"-",Tableau2[[#This Row],[Compte Shipper]],"-",Tableau2[[#This Row],[POL]],"-",Tableau2[[#This Row],[Compte Consignee]])</f>
        <v>2533780535-0-INMUN-91017300</v>
      </c>
      <c r="B62" s="370" t="str">
        <f>IF(Tableau2[[#This Row],[Name Consignee]]="",_xlfn.CONCAT(Tableau2[[#This Row],[Compte ILN]],"-",Tableau2[[#This Row],[Compte Shipper]],"-",Tableau2[[#This Row],[POL]]),"-")</f>
        <v>-</v>
      </c>
      <c r="C62" s="225" t="s">
        <v>150</v>
      </c>
      <c r="D62" s="226">
        <f>VLOOKUP(Tableau2[[#This Row],[ Name ILN]],Plant_AILN!F:G,2,FALSE)</f>
        <v>2533780535</v>
      </c>
      <c r="E62" s="168" t="s">
        <v>262</v>
      </c>
      <c r="F62" s="227">
        <f>IFERROR(VLOOKUP(Tableau2[[#This Row],[Name of shipper]],Plant_AILN!L:M,2,FALSE),0)</f>
        <v>0</v>
      </c>
      <c r="G62" s="232" t="s">
        <v>175</v>
      </c>
      <c r="H62" s="227">
        <f>IF(Tableau2[[#This Row],[Name Consignee]]=0,"",VLOOKUP(Tableau2[[#This Row],[Name Consignee]],Plant_AILN!A:C,3,FALSE))</f>
        <v>91017300</v>
      </c>
      <c r="I62" s="52">
        <v>9</v>
      </c>
      <c r="J62" s="220">
        <v>14</v>
      </c>
      <c r="K62" s="96">
        <v>5</v>
      </c>
      <c r="L62" s="228">
        <v>7</v>
      </c>
      <c r="M62" s="229">
        <f>Tableau2[[#This Row],[Delivery time to ILN/Shipper]]+Tableau2[[#This Row],[Day ILN Order]]-1</f>
        <v>22</v>
      </c>
      <c r="N62" s="230">
        <v>2</v>
      </c>
      <c r="O62" s="231" t="s">
        <v>640</v>
      </c>
      <c r="P62" s="60">
        <v>3</v>
      </c>
    </row>
    <row r="63" spans="1:16" hidden="1">
      <c r="A63" s="243" t="str">
        <f>_xlfn.CONCAT(Tableau2[[#This Row],[Compte ILN]],"-",Tableau2[[#This Row],[Compte Shipper]],"-",Tableau2[[#This Row],[POL]],"-",Tableau2[[#This Row],[Compte Consignee]])</f>
        <v>91018400-91018400-ESVLC-26549500</v>
      </c>
      <c r="B63" s="370" t="str">
        <f>IF(Tableau2[[#This Row],[Name Consignee]]="",_xlfn.CONCAT(Tableau2[[#This Row],[Compte ILN]],"-",Tableau2[[#This Row],[Compte Shipper]],"-",Tableau2[[#This Row],[POL]]),"-")</f>
        <v>-</v>
      </c>
      <c r="C63" s="225" t="s">
        <v>151</v>
      </c>
      <c r="D63" s="226">
        <f>VLOOKUP(Tableau2[[#This Row],[ Name ILN]],Plant_AILN!F:G,2,FALSE)</f>
        <v>91018400</v>
      </c>
      <c r="E63" s="225" t="s">
        <v>151</v>
      </c>
      <c r="F63" s="227">
        <f>IFERROR(VLOOKUP(Tableau2[[#This Row],[Name of shipper]],Plant_AILN!L:M,2,FALSE),0)</f>
        <v>91018400</v>
      </c>
      <c r="G63" s="139" t="s">
        <v>221</v>
      </c>
      <c r="H63" s="227">
        <f>IF(Tableau2[[#This Row],[Name Consignee]]=0,"",VLOOKUP(Tableau2[[#This Row],[Name Consignee]],Plant_AILN!A:C,3,FALSE))</f>
        <v>26549500</v>
      </c>
      <c r="I63" s="52">
        <v>9</v>
      </c>
      <c r="J63" s="220">
        <v>14</v>
      </c>
      <c r="K63" s="96">
        <v>5</v>
      </c>
      <c r="L63" s="228">
        <v>7</v>
      </c>
      <c r="M63" s="229">
        <f>Tableau2[[#This Row],[Delivery time to ILN/Shipper]]+Tableau2[[#This Row],[Day ILN Order]]-1</f>
        <v>22</v>
      </c>
      <c r="N63" s="230">
        <v>2</v>
      </c>
      <c r="O63" s="231" t="s">
        <v>519</v>
      </c>
      <c r="P63" s="60">
        <v>5</v>
      </c>
    </row>
    <row r="64" spans="1:16" hidden="1">
      <c r="A64" s="243" t="str">
        <f>_xlfn.CONCAT(Tableau2[[#This Row],[Compte ILN]],"-",Tableau2[[#This Row],[Compte Shipper]],"-",Tableau2[[#This Row],[POL]],"-",Tableau2[[#This Row],[Compte Consignee]])</f>
        <v>91018400-91018400-ESVLC-26549502</v>
      </c>
      <c r="B64" s="370" t="str">
        <f>IF(Tableau2[[#This Row],[Name Consignee]]="",_xlfn.CONCAT(Tableau2[[#This Row],[Compte ILN]],"-",Tableau2[[#This Row],[Compte Shipper]],"-",Tableau2[[#This Row],[POL]]),"-")</f>
        <v>-</v>
      </c>
      <c r="C64" s="225" t="s">
        <v>151</v>
      </c>
      <c r="D64" s="226">
        <f>VLOOKUP(Tableau2[[#This Row],[ Name ILN]],Plant_AILN!F:G,2,FALSE)</f>
        <v>91018400</v>
      </c>
      <c r="E64" s="225" t="s">
        <v>151</v>
      </c>
      <c r="F64" s="227">
        <f>IFERROR(VLOOKUP(Tableau2[[#This Row],[Name of shipper]],Plant_AILN!L:M,2,FALSE),0)</f>
        <v>91018400</v>
      </c>
      <c r="G64" s="139" t="s">
        <v>159</v>
      </c>
      <c r="H64" s="227">
        <f>IF(Tableau2[[#This Row],[Name Consignee]]=0,"",VLOOKUP(Tableau2[[#This Row],[Name Consignee]],Plant_AILN!A:C,3,FALSE))</f>
        <v>26549502</v>
      </c>
      <c r="I64" s="52">
        <v>9</v>
      </c>
      <c r="J64" s="220">
        <v>14</v>
      </c>
      <c r="K64" s="96">
        <v>5</v>
      </c>
      <c r="L64" s="228">
        <v>7</v>
      </c>
      <c r="M64" s="229">
        <f>Tableau2[[#This Row],[Delivery time to ILN/Shipper]]+Tableau2[[#This Row],[Day ILN Order]]-1</f>
        <v>22</v>
      </c>
      <c r="N64" s="230">
        <v>2</v>
      </c>
      <c r="O64" s="231" t="s">
        <v>519</v>
      </c>
      <c r="P64" s="60">
        <v>5</v>
      </c>
    </row>
    <row r="65" spans="1:17" hidden="1">
      <c r="A65" s="243" t="str">
        <f>_xlfn.CONCAT(Tableau2[[#This Row],[Compte ILN]],"-",Tableau2[[#This Row],[Compte Shipper]],"-",Tableau2[[#This Row],[POL]],"-",Tableau2[[#This Row],[Compte Consignee]])</f>
        <v>91018400-91018400-ESVLC-0</v>
      </c>
      <c r="B65" s="370" t="str">
        <f>IF(Tableau2[[#This Row],[Name Consignee]]="",_xlfn.CONCAT(Tableau2[[#This Row],[Compte ILN]],"-",Tableau2[[#This Row],[Compte Shipper]],"-",Tableau2[[#This Row],[POL]]),"-")</f>
        <v>-</v>
      </c>
      <c r="C65" s="225" t="s">
        <v>151</v>
      </c>
      <c r="D65" s="226">
        <f>VLOOKUP(Tableau2[[#This Row],[ Name ILN]],Plant_AILN!F:G,2,FALSE)</f>
        <v>91018400</v>
      </c>
      <c r="E65" s="225" t="s">
        <v>151</v>
      </c>
      <c r="F65" s="227">
        <f>IFERROR(VLOOKUP(Tableau2[[#This Row],[Name of shipper]],Plant_AILN!L:M,2,FALSE),0)</f>
        <v>91018400</v>
      </c>
      <c r="G65" s="139" t="s">
        <v>227</v>
      </c>
      <c r="H65" s="227">
        <f>IF(Tableau2[[#This Row],[Name Consignee]]=0,"",VLOOKUP(Tableau2[[#This Row],[Name Consignee]],Plant_AILN!A:C,3,FALSE))</f>
        <v>0</v>
      </c>
      <c r="I65" s="52">
        <v>9</v>
      </c>
      <c r="J65" s="220">
        <v>21</v>
      </c>
      <c r="K65" s="96">
        <v>5</v>
      </c>
      <c r="L65" s="228">
        <v>7</v>
      </c>
      <c r="M65" s="229">
        <f>Tableau2[[#This Row],[Delivery time to ILN/Shipper]]+Tableau2[[#This Row],[Day ILN Order]]-1</f>
        <v>29</v>
      </c>
      <c r="N65" s="230">
        <v>2</v>
      </c>
      <c r="O65" s="231" t="s">
        <v>519</v>
      </c>
      <c r="P65" s="60">
        <v>5</v>
      </c>
    </row>
    <row r="66" spans="1:17" hidden="1">
      <c r="A66" s="243" t="str">
        <f>_xlfn.CONCAT(Tableau2[[#This Row],[Compte ILN]],"-",Tableau2[[#This Row],[Compte Shipper]],"-",Tableau2[[#This Row],[POL]],"-",Tableau2[[#This Row],[Compte Consignee]])</f>
        <v>91018400-91017500-ESALG-90101300</v>
      </c>
      <c r="B66" s="370" t="str">
        <f>IF(Tableau2[[#This Row],[Name Consignee]]="",_xlfn.CONCAT(Tableau2[[#This Row],[Compte ILN]],"-",Tableau2[[#This Row],[Compte Shipper]],"-",Tableau2[[#This Row],[POL]]),"-")</f>
        <v>-</v>
      </c>
      <c r="C66" s="225" t="s">
        <v>151</v>
      </c>
      <c r="D66" s="226">
        <f>VLOOKUP(Tableau2[[#This Row],[ Name ILN]],Plant_AILN!F:G,2,FALSE)</f>
        <v>91018400</v>
      </c>
      <c r="E66" s="225" t="s">
        <v>156</v>
      </c>
      <c r="F66" s="227">
        <f>IFERROR(VLOOKUP(Tableau2[[#This Row],[Name of shipper]],Plant_AILN!L:M,2,FALSE),0)</f>
        <v>91017500</v>
      </c>
      <c r="G66" s="139" t="s">
        <v>229</v>
      </c>
      <c r="H66" s="227">
        <f>IF(Tableau2[[#This Row],[Name Consignee]]=0,"",VLOOKUP(Tableau2[[#This Row],[Name Consignee]],Plant_AILN!A:C,3,FALSE))</f>
        <v>90101300</v>
      </c>
      <c r="I66" s="52">
        <v>9</v>
      </c>
      <c r="J66" s="220">
        <v>14</v>
      </c>
      <c r="K66" s="96">
        <v>5</v>
      </c>
      <c r="L66" s="228">
        <v>7</v>
      </c>
      <c r="M66" s="229">
        <f>Tableau2[[#This Row],[Delivery time to ILN/Shipper]]+Tableau2[[#This Row],[Day ILN Order]]-1</f>
        <v>22</v>
      </c>
      <c r="N66" s="230">
        <v>1</v>
      </c>
      <c r="O66" s="231" t="s">
        <v>531</v>
      </c>
      <c r="P66" s="60">
        <v>2</v>
      </c>
    </row>
    <row r="67" spans="1:17" hidden="1">
      <c r="A67" s="243" t="str">
        <f>_xlfn.CONCAT(Tableau2[[#This Row],[Compte ILN]],"-",Tableau2[[#This Row],[Compte Shipper]],"-",Tableau2[[#This Row],[POL]],"-",Tableau2[[#This Row],[Compte Consignee]])</f>
        <v>91018400-91018400-ESVLC-25079500</v>
      </c>
      <c r="B67" s="370" t="str">
        <f>IF(Tableau2[[#This Row],[Name Consignee]]="",_xlfn.CONCAT(Tableau2[[#This Row],[Compte ILN]],"-",Tableau2[[#This Row],[Compte Shipper]],"-",Tableau2[[#This Row],[POL]]),"-")</f>
        <v>-</v>
      </c>
      <c r="C67" s="225" t="s">
        <v>151</v>
      </c>
      <c r="D67" s="226">
        <f>VLOOKUP(Tableau2[[#This Row],[ Name ILN]],Plant_AILN!F:G,2,FALSE)</f>
        <v>91018400</v>
      </c>
      <c r="E67" s="225" t="s">
        <v>151</v>
      </c>
      <c r="F67" s="227">
        <f>IFERROR(VLOOKUP(Tableau2[[#This Row],[Name of shipper]],Plant_AILN!L:M,2,FALSE),0)</f>
        <v>91018400</v>
      </c>
      <c r="G67" s="139" t="s">
        <v>637</v>
      </c>
      <c r="H67" s="227">
        <f>IF(Tableau2[[#This Row],[Name Consignee]]=0,"",VLOOKUP(Tableau2[[#This Row],[Name Consignee]],Plant_AILN!A:C,3,FALSE))</f>
        <v>25079500</v>
      </c>
      <c r="I67" s="52">
        <v>9</v>
      </c>
      <c r="J67" s="220">
        <v>14</v>
      </c>
      <c r="K67" s="96">
        <v>5</v>
      </c>
      <c r="L67" s="228">
        <v>7</v>
      </c>
      <c r="M67" s="229">
        <f>Tableau2[[#This Row],[Delivery time to ILN/Shipper]]+Tableau2[[#This Row],[Day ILN Order]]-1</f>
        <v>22</v>
      </c>
      <c r="N67" s="230">
        <v>2</v>
      </c>
      <c r="O67" s="231" t="s">
        <v>519</v>
      </c>
      <c r="P67" s="60">
        <v>3</v>
      </c>
    </row>
    <row r="68" spans="1:17" hidden="1">
      <c r="A68" s="243" t="str">
        <f>_xlfn.CONCAT(Tableau2[[#This Row],[Compte ILN]],"-",Tableau2[[#This Row],[Compte Shipper]],"-",Tableau2[[#This Row],[POL]],"-",Tableau2[[#This Row],[Compte Consignee]])</f>
        <v>91018400-91017500-ESALG-25048500</v>
      </c>
      <c r="B68" s="370" t="str">
        <f>IF(Tableau2[[#This Row],[Name Consignee]]="",_xlfn.CONCAT(Tableau2[[#This Row],[Compte ILN]],"-",Tableau2[[#This Row],[Compte Shipper]],"-",Tableau2[[#This Row],[POL]]),"-")</f>
        <v>-</v>
      </c>
      <c r="C68" s="225" t="s">
        <v>151</v>
      </c>
      <c r="D68" s="226">
        <f>VLOOKUP(Tableau2[[#This Row],[ Name ILN]],Plant_AILN!F:G,2,FALSE)</f>
        <v>91018400</v>
      </c>
      <c r="E68" s="168" t="s">
        <v>156</v>
      </c>
      <c r="F68" s="227">
        <f>IFERROR(VLOOKUP(Tableau2[[#This Row],[Name of shipper]],Plant_AILN!L:M,2,FALSE),0)</f>
        <v>91017500</v>
      </c>
      <c r="G68" s="232" t="s">
        <v>641</v>
      </c>
      <c r="H68" s="227">
        <f>IF(Tableau2[[#This Row],[Name Consignee]]=0,"",VLOOKUP(Tableau2[[#This Row],[Name Consignee]],Plant_AILN!A:C,3,FALSE))</f>
        <v>25048500</v>
      </c>
      <c r="I68" s="52">
        <v>9</v>
      </c>
      <c r="J68" s="220">
        <v>14</v>
      </c>
      <c r="K68" s="96">
        <v>5</v>
      </c>
      <c r="L68" s="228">
        <v>7</v>
      </c>
      <c r="M68" s="229">
        <f>Tableau2[[#This Row],[Delivery time to ILN/Shipper]]+Tableau2[[#This Row],[Day ILN Order]]-1</f>
        <v>22</v>
      </c>
      <c r="N68" s="230">
        <v>4</v>
      </c>
      <c r="O68" s="231" t="s">
        <v>531</v>
      </c>
      <c r="P68" s="60">
        <v>5</v>
      </c>
    </row>
    <row r="69" spans="1:17" hidden="1">
      <c r="A69" s="243" t="str">
        <f>_xlfn.CONCAT(Tableau2[[#This Row],[Compte ILN]],"-",Tableau2[[#This Row],[Compte Shipper]],"-",Tableau2[[#This Row],[POL]],"-",Tableau2[[#This Row],[Compte Consignee]])</f>
        <v>91018400-91018400-ESVLC-92002200</v>
      </c>
      <c r="B69" s="370" t="str">
        <f>IF(Tableau2[[#This Row],[Name Consignee]]="",_xlfn.CONCAT(Tableau2[[#This Row],[Compte ILN]],"-",Tableau2[[#This Row],[Compte Shipper]],"-",Tableau2[[#This Row],[POL]]),"-")</f>
        <v>-</v>
      </c>
      <c r="C69" s="225" t="s">
        <v>151</v>
      </c>
      <c r="D69" s="226">
        <f>VLOOKUP(Tableau2[[#This Row],[ Name ILN]],Plant_AILN!F:G,2,FALSE)</f>
        <v>91018400</v>
      </c>
      <c r="E69" s="225" t="s">
        <v>151</v>
      </c>
      <c r="F69" s="227">
        <f>IFERROR(VLOOKUP(Tableau2[[#This Row],[Name of shipper]],Plant_AILN!L:M,2,FALSE),0)</f>
        <v>91018400</v>
      </c>
      <c r="G69" s="139" t="s">
        <v>145</v>
      </c>
      <c r="H69" s="227">
        <f>IF(Tableau2[[#This Row],[Name Consignee]]=0,"",VLOOKUP(Tableau2[[#This Row],[Name Consignee]],Plant_AILN!A:C,3,FALSE))</f>
        <v>92002200</v>
      </c>
      <c r="I69" s="52">
        <v>9</v>
      </c>
      <c r="J69" s="220">
        <v>14</v>
      </c>
      <c r="K69" s="96">
        <v>5</v>
      </c>
      <c r="L69" s="228">
        <v>7</v>
      </c>
      <c r="M69" s="229">
        <f>Tableau2[[#This Row],[Delivery time to ILN/Shipper]]+Tableau2[[#This Row],[Day ILN Order]]-1</f>
        <v>22</v>
      </c>
      <c r="N69" s="230">
        <v>2</v>
      </c>
      <c r="O69" s="231" t="s">
        <v>519</v>
      </c>
      <c r="P69" s="60">
        <v>4</v>
      </c>
      <c r="Q69" t="s">
        <v>642</v>
      </c>
    </row>
    <row r="70" spans="1:17" hidden="1">
      <c r="A70" s="243" t="str">
        <f>_xlfn.CONCAT(Tableau2[[#This Row],[Compte ILN]],"-",Tableau2[[#This Row],[Compte Shipper]],"-",Tableau2[[#This Row],[POL]],"-",Tableau2[[#This Row],[Compte Consignee]])</f>
        <v>91018400-91017500-ESALG-92002200</v>
      </c>
      <c r="B70" s="370" t="str">
        <f>IF(Tableau2[[#This Row],[Name Consignee]]="",_xlfn.CONCAT(Tableau2[[#This Row],[Compte ILN]],"-",Tableau2[[#This Row],[Compte Shipper]],"-",Tableau2[[#This Row],[POL]]),"-")</f>
        <v>-</v>
      </c>
      <c r="C70" s="225" t="s">
        <v>151</v>
      </c>
      <c r="D70" s="226">
        <f>VLOOKUP(Tableau2[[#This Row],[ Name ILN]],Plant_AILN!F:G,2,FALSE)</f>
        <v>91018400</v>
      </c>
      <c r="E70" s="168" t="s">
        <v>156</v>
      </c>
      <c r="F70" s="227">
        <f>IFERROR(VLOOKUP(Tableau2[[#This Row],[Name of shipper]],Plant_AILN!L:M,2,FALSE),0)</f>
        <v>91017500</v>
      </c>
      <c r="G70" s="232" t="s">
        <v>145</v>
      </c>
      <c r="H70" s="227">
        <f>IF(Tableau2[[#This Row],[Name Consignee]]=0,"",VLOOKUP(Tableau2[[#This Row],[Name Consignee]],Plant_AILN!A:C,3,FALSE))</f>
        <v>92002200</v>
      </c>
      <c r="I70" s="52">
        <v>9</v>
      </c>
      <c r="J70" s="220">
        <v>14</v>
      </c>
      <c r="K70" s="96">
        <v>5</v>
      </c>
      <c r="L70" s="228">
        <v>7</v>
      </c>
      <c r="M70" s="229">
        <f>Tableau2[[#This Row],[Delivery time to ILN/Shipper]]+Tableau2[[#This Row],[Day ILN Order]]-1</f>
        <v>22</v>
      </c>
      <c r="N70" s="230">
        <v>2</v>
      </c>
      <c r="O70" s="231" t="s">
        <v>531</v>
      </c>
      <c r="P70" s="60">
        <v>3</v>
      </c>
    </row>
    <row r="71" spans="1:17" hidden="1">
      <c r="A71" s="243" t="str">
        <f>_xlfn.CONCAT(Tableau2[[#This Row],[Compte ILN]],"-",Tableau2[[#This Row],[Compte Shipper]],"-",Tableau2[[#This Row],[POL]],"-",Tableau2[[#This Row],[Compte Consignee]])</f>
        <v>91018400-91018400-ESVLC-9510600</v>
      </c>
      <c r="B71" s="370" t="str">
        <f>IF(Tableau2[[#This Row],[Name Consignee]]="",_xlfn.CONCAT(Tableau2[[#This Row],[Compte ILN]],"-",Tableau2[[#This Row],[Compte Shipper]],"-",Tableau2[[#This Row],[POL]]),"-")</f>
        <v>-</v>
      </c>
      <c r="C71" s="225" t="s">
        <v>151</v>
      </c>
      <c r="D71" s="226">
        <f>VLOOKUP(Tableau2[[#This Row],[ Name ILN]],Plant_AILN!F:G,2,FALSE)</f>
        <v>91018400</v>
      </c>
      <c r="E71" s="225" t="s">
        <v>151</v>
      </c>
      <c r="F71" s="227">
        <f>IFERROR(VLOOKUP(Tableau2[[#This Row],[Name of shipper]],Plant_AILN!L:M,2,FALSE),0)</f>
        <v>91018400</v>
      </c>
      <c r="G71" s="139" t="s">
        <v>177</v>
      </c>
      <c r="H71" s="227">
        <f>IF(Tableau2[[#This Row],[Name Consignee]]=0,"",VLOOKUP(Tableau2[[#This Row],[Name Consignee]],Plant_AILN!A:C,3,FALSE))</f>
        <v>9510600</v>
      </c>
      <c r="I71" s="52">
        <v>9</v>
      </c>
      <c r="J71" s="220">
        <v>14</v>
      </c>
      <c r="K71" s="96">
        <v>5</v>
      </c>
      <c r="L71" s="228">
        <v>7</v>
      </c>
      <c r="M71" s="229">
        <f>Tableau2[[#This Row],[Delivery time to ILN/Shipper]]+Tableau2[[#This Row],[Day ILN Order]]-1</f>
        <v>22</v>
      </c>
      <c r="N71" s="230">
        <v>3</v>
      </c>
      <c r="O71" s="231" t="s">
        <v>519</v>
      </c>
      <c r="P71" s="60">
        <v>5</v>
      </c>
    </row>
    <row r="72" spans="1:17" hidden="1">
      <c r="A72" s="243" t="str">
        <f>_xlfn.CONCAT(Tableau2[[#This Row],[Compte ILN]],"-",Tableau2[[#This Row],[Compte Shipper]],"-",Tableau2[[#This Row],[POL]],"-",Tableau2[[#This Row],[Compte Consignee]])</f>
        <v>26037000-26037000-CNSHA-90018000</v>
      </c>
      <c r="B72" s="370" t="str">
        <f>IF(Tableau2[[#This Row],[Name Consignee]]="",_xlfn.CONCAT(Tableau2[[#This Row],[Compte ILN]],"-",Tableau2[[#This Row],[Compte Shipper]],"-",Tableau2[[#This Row],[POL]]),"-")</f>
        <v>-</v>
      </c>
      <c r="C72" s="225" t="s">
        <v>62</v>
      </c>
      <c r="D72" s="226">
        <f>VLOOKUP(Tableau2[[#This Row],[ Name ILN]],Plant_AILN!F:G,2,FALSE)</f>
        <v>26037000</v>
      </c>
      <c r="E72" s="225" t="s">
        <v>62</v>
      </c>
      <c r="F72" s="227">
        <f>IFERROR(VLOOKUP(Tableau2[[#This Row],[Name of shipper]],Plant_AILN!L:M,2,FALSE),0)</f>
        <v>26037000</v>
      </c>
      <c r="G72" s="139" t="s">
        <v>152</v>
      </c>
      <c r="H72" s="227">
        <f>IF(Tableau2[[#This Row],[Name Consignee]]=0,"",VLOOKUP(Tableau2[[#This Row],[Name Consignee]],Plant_AILN!A:C,3,FALSE))</f>
        <v>90018000</v>
      </c>
      <c r="I72" s="52">
        <v>9</v>
      </c>
      <c r="J72" s="220">
        <v>14</v>
      </c>
      <c r="K72" s="96">
        <v>5</v>
      </c>
      <c r="L72" s="228">
        <v>7</v>
      </c>
      <c r="M72" s="229">
        <f>Tableau2[[#This Row],[Delivery time to ILN/Shipper]]+Tableau2[[#This Row],[Day ILN Order]]-1</f>
        <v>22</v>
      </c>
      <c r="N72" s="230">
        <v>1</v>
      </c>
      <c r="O72" s="231" t="s">
        <v>524</v>
      </c>
      <c r="P72" s="60">
        <v>2</v>
      </c>
    </row>
    <row r="73" spans="1:17" hidden="1">
      <c r="A73" s="243" t="str">
        <f>_xlfn.CONCAT(Tableau2[[#This Row],[Compte ILN]],"-",Tableau2[[#This Row],[Compte Shipper]],"-",Tableau2[[#This Row],[POL]],"-",Tableau2[[#This Row],[Compte Consignee]])</f>
        <v>26037000-26037000-CNSHA-9510600</v>
      </c>
      <c r="B73" s="370" t="str">
        <f>IF(Tableau2[[#This Row],[Name Consignee]]="",_xlfn.CONCAT(Tableau2[[#This Row],[Compte ILN]],"-",Tableau2[[#This Row],[Compte Shipper]],"-",Tableau2[[#This Row],[POL]]),"-")</f>
        <v>-</v>
      </c>
      <c r="C73" s="168" t="s">
        <v>62</v>
      </c>
      <c r="D73" s="226">
        <f>VLOOKUP(Tableau2[[#This Row],[ Name ILN]],Plant_AILN!F:G,2,FALSE)</f>
        <v>26037000</v>
      </c>
      <c r="E73" s="168" t="s">
        <v>62</v>
      </c>
      <c r="F73" s="227">
        <f>IFERROR(VLOOKUP(Tableau2[[#This Row],[Name of shipper]],Plant_AILN!L:M,2,FALSE),0)</f>
        <v>26037000</v>
      </c>
      <c r="G73" s="233" t="s">
        <v>177</v>
      </c>
      <c r="H73" s="227">
        <f>IF(Tableau2[[#This Row],[Name Consignee]]=0,"",VLOOKUP(Tableau2[[#This Row],[Name Consignee]],Plant_AILN!A:C,3,FALSE))</f>
        <v>9510600</v>
      </c>
      <c r="I73" s="52">
        <v>9</v>
      </c>
      <c r="J73" s="220">
        <v>8</v>
      </c>
      <c r="K73" s="96">
        <v>12</v>
      </c>
      <c r="L73" s="228">
        <v>13</v>
      </c>
      <c r="M73" s="229">
        <f>Tableau2[[#This Row],[Delivery time to ILN/Shipper]]+Tableau2[[#This Row],[Day ILN Order]]-1</f>
        <v>16</v>
      </c>
      <c r="N73" s="230">
        <v>1</v>
      </c>
      <c r="O73" s="231" t="s">
        <v>524</v>
      </c>
      <c r="P73" s="60">
        <v>2</v>
      </c>
    </row>
    <row r="74" spans="1:17" hidden="1">
      <c r="A74" s="243" t="str">
        <f>_xlfn.CONCAT(Tableau2[[#This Row],[Compte ILN]],"-",Tableau2[[#This Row],[Compte Shipper]],"-",Tableau2[[#This Row],[POL]],"-",Tableau2[[#This Row],[Compte Consignee]])</f>
        <v>26037000-26037000-CNSHA-</v>
      </c>
      <c r="B74" s="370" t="str">
        <f>IF(Tableau2[[#This Row],[Name Consignee]]="",_xlfn.CONCAT(Tableau2[[#This Row],[Compte ILN]],"-",Tableau2[[#This Row],[Compte Shipper]],"-",Tableau2[[#This Row],[POL]]),"-")</f>
        <v>26037000-26037000-CNSHA</v>
      </c>
      <c r="C74" s="225" t="s">
        <v>62</v>
      </c>
      <c r="D74" s="226">
        <f>VLOOKUP(Tableau2[[#This Row],[ Name ILN]],Plant_AILN!F:G,2,FALSE)</f>
        <v>26037000</v>
      </c>
      <c r="E74" s="225" t="s">
        <v>62</v>
      </c>
      <c r="F74" s="227">
        <f>IFERROR(VLOOKUP(Tableau2[[#This Row],[Name of shipper]],Plant_AILN!L:M,2,FALSE),0)</f>
        <v>26037000</v>
      </c>
      <c r="G74" s="139"/>
      <c r="H74" s="227" t="str">
        <f>IF(Tableau2[[#This Row],[Name Consignee]]=0,"",VLOOKUP(Tableau2[[#This Row],[Name Consignee]],Plant_AILN!A:C,3,FALSE))</f>
        <v/>
      </c>
      <c r="I74" s="52">
        <v>9</v>
      </c>
      <c r="J74" s="220">
        <v>14</v>
      </c>
      <c r="K74" s="96">
        <v>5</v>
      </c>
      <c r="L74" s="228">
        <v>7</v>
      </c>
      <c r="M74" s="229">
        <f>Tableau2[[#This Row],[Delivery time to ILN/Shipper]]+Tableau2[[#This Row],[Day ILN Order]]-1</f>
        <v>22</v>
      </c>
      <c r="N74" s="230">
        <v>1</v>
      </c>
      <c r="O74" s="231" t="s">
        <v>524</v>
      </c>
      <c r="P74" s="60">
        <v>2</v>
      </c>
    </row>
    <row r="75" spans="1:17" hidden="1">
      <c r="A75" s="243" t="str">
        <f>_xlfn.CONCAT(Tableau2[[#This Row],[Compte ILN]],"-",Tableau2[[#This Row],[Compte Shipper]],"-",Tableau2[[#This Row],[POL]],"-",Tableau2[[#This Row],[Compte Consignee]])</f>
        <v>26037000-26037000-CNSHA-900383</v>
      </c>
      <c r="B75" s="370" t="str">
        <f>IF(Tableau2[[#This Row],[Name Consignee]]="",_xlfn.CONCAT(Tableau2[[#This Row],[Compte ILN]],"-",Tableau2[[#This Row],[Compte Shipper]],"-",Tableau2[[#This Row],[POL]]),"-")</f>
        <v>-</v>
      </c>
      <c r="C75" s="225" t="s">
        <v>62</v>
      </c>
      <c r="D75" s="226">
        <f>VLOOKUP(Tableau2[[#This Row],[ Name ILN]],Plant_AILN!F:G,2,FALSE)</f>
        <v>26037000</v>
      </c>
      <c r="E75" s="225" t="s">
        <v>62</v>
      </c>
      <c r="F75" s="227">
        <f>IFERROR(VLOOKUP(Tableau2[[#This Row],[Name of shipper]],Plant_AILN!L:M,2,FALSE),0)</f>
        <v>26037000</v>
      </c>
      <c r="G75" s="139" t="s">
        <v>180</v>
      </c>
      <c r="H75" s="227">
        <f>IF(Tableau2[[#This Row],[Name Consignee]]=0,"",VLOOKUP(Tableau2[[#This Row],[Name Consignee]],Plant_AILN!A:C,3,FALSE))</f>
        <v>900383</v>
      </c>
      <c r="I75" s="52">
        <v>9</v>
      </c>
      <c r="J75" s="220">
        <v>14</v>
      </c>
      <c r="K75" s="96">
        <v>5</v>
      </c>
      <c r="L75" s="228">
        <v>7</v>
      </c>
      <c r="M75" s="229">
        <f>Tableau2[[#This Row],[Delivery time to ILN/Shipper]]+Tableau2[[#This Row],[Day ILN Order]]-1</f>
        <v>22</v>
      </c>
      <c r="N75" s="230">
        <v>1</v>
      </c>
      <c r="O75" s="231" t="s">
        <v>524</v>
      </c>
      <c r="P75" s="60">
        <v>2</v>
      </c>
    </row>
    <row r="76" spans="1:17" hidden="1">
      <c r="A76" s="243" t="str">
        <f>_xlfn.CONCAT(Tableau2[[#This Row],[Compte ILN]],"-",Tableau2[[#This Row],[Compte Shipper]],"-",Tableau2[[#This Row],[POL]],"-",Tableau2[[#This Row],[Compte Consignee]])</f>
        <v>0-0-MYTPP-90016000</v>
      </c>
      <c r="B76" s="370" t="str">
        <f>IF(Tableau2[[#This Row],[Name Consignee]]="",_xlfn.CONCAT(Tableau2[[#This Row],[Compte ILN]],"-",Tableau2[[#This Row],[Compte Shipper]],"-",Tableau2[[#This Row],[POL]]),"-")</f>
        <v>-</v>
      </c>
      <c r="C76" s="225" t="s">
        <v>146</v>
      </c>
      <c r="D76" s="226">
        <f>VLOOKUP(Tableau2[[#This Row],[ Name ILN]],Plant_AILN!F:G,2,FALSE)</f>
        <v>0</v>
      </c>
      <c r="E76" s="225" t="s">
        <v>146</v>
      </c>
      <c r="F76" s="227">
        <f>IFERROR(VLOOKUP(Tableau2[[#This Row],[Name of shipper]],Plant_AILN!L:M,2,FALSE),0)</f>
        <v>0</v>
      </c>
      <c r="G76" s="139" t="s">
        <v>158</v>
      </c>
      <c r="H76" s="227">
        <f>IF(Tableau2[[#This Row],[Name Consignee]]=0,"",VLOOKUP(Tableau2[[#This Row],[Name Consignee]],Plant_AILN!A:C,3,FALSE))</f>
        <v>90016000</v>
      </c>
      <c r="I76" s="52">
        <v>9</v>
      </c>
      <c r="J76" s="220">
        <v>28</v>
      </c>
      <c r="K76" s="96">
        <v>4</v>
      </c>
      <c r="L76" s="228">
        <v>6</v>
      </c>
      <c r="M76" s="229">
        <f>Tableau2[[#This Row],[Delivery time to ILN/Shipper]]+Tableau2[[#This Row],[Day ILN Order]]-1</f>
        <v>36</v>
      </c>
      <c r="N76" s="230">
        <v>1</v>
      </c>
      <c r="O76" s="231" t="s">
        <v>643</v>
      </c>
      <c r="P76" s="60">
        <v>1</v>
      </c>
    </row>
    <row r="77" spans="1:17" hidden="1">
      <c r="A77" s="243" t="str">
        <f>_xlfn.CONCAT(Tableau2[[#This Row],[Compte ILN]],"-",Tableau2[[#This Row],[Compte Shipper]],"-",Tableau2[[#This Row],[POL]],"-",Tableau2[[#This Row],[Compte Consignee]])</f>
        <v>0-27002800-MYTPP-90016000</v>
      </c>
      <c r="B77" s="370" t="str">
        <f>IF(Tableau2[[#This Row],[Name Consignee]]="",_xlfn.CONCAT(Tableau2[[#This Row],[Compte ILN]],"-",Tableau2[[#This Row],[Compte Shipper]],"-",Tableau2[[#This Row],[POL]]),"-")</f>
        <v>-</v>
      </c>
      <c r="C77" s="225" t="s">
        <v>146</v>
      </c>
      <c r="D77" s="226">
        <f>VLOOKUP(Tableau2[[#This Row],[ Name ILN]],Plant_AILN!F:G,2,FALSE)</f>
        <v>0</v>
      </c>
      <c r="E77" s="168" t="s">
        <v>322</v>
      </c>
      <c r="F77" s="227">
        <f>IFERROR(VLOOKUP(Tableau2[[#This Row],[Name of shipper]],Plant_AILN!L:M,2,FALSE),0)</f>
        <v>27002800</v>
      </c>
      <c r="G77" s="232" t="s">
        <v>158</v>
      </c>
      <c r="H77" s="227">
        <f>IF(Tableau2[[#This Row],[Name Consignee]]=0,"",VLOOKUP(Tableau2[[#This Row],[Name Consignee]],Plant_AILN!A:C,3,FALSE))</f>
        <v>90016000</v>
      </c>
      <c r="I77" s="52">
        <v>9</v>
      </c>
      <c r="J77" s="220">
        <v>28</v>
      </c>
      <c r="K77" s="96">
        <v>4</v>
      </c>
      <c r="L77" s="228">
        <v>6</v>
      </c>
      <c r="M77" s="229">
        <f>Tableau2[[#This Row],[Delivery time to ILN/Shipper]]+Tableau2[[#This Row],[Day ILN Order]]-1</f>
        <v>36</v>
      </c>
      <c r="N77" s="230">
        <v>1</v>
      </c>
      <c r="O77" s="231" t="s">
        <v>643</v>
      </c>
      <c r="P77" s="60">
        <v>1</v>
      </c>
    </row>
    <row r="78" spans="1:17" hidden="1">
      <c r="A78" s="243" t="str">
        <f>_xlfn.CONCAT(Tableau2[[#This Row],[Compte ILN]],"-",Tableau2[[#This Row],[Compte Shipper]],"-",Tableau2[[#This Row],[POL]],"-",Tableau2[[#This Row],[Compte Consignee]])</f>
        <v>0-487230-MYPEN-90018000</v>
      </c>
      <c r="B78" s="370" t="str">
        <f>IF(Tableau2[[#This Row],[Name Consignee]]="",_xlfn.CONCAT(Tableau2[[#This Row],[Compte ILN]],"-",Tableau2[[#This Row],[Compte Shipper]],"-",Tableau2[[#This Row],[POL]]),"-")</f>
        <v>-</v>
      </c>
      <c r="C78" s="225" t="s">
        <v>146</v>
      </c>
      <c r="D78" s="226">
        <f>VLOOKUP(Tableau2[[#This Row],[ Name ILN]],Plant_AILN!F:G,2,FALSE)</f>
        <v>0</v>
      </c>
      <c r="E78" s="168" t="s">
        <v>395</v>
      </c>
      <c r="F78" s="227">
        <f>IFERROR(VLOOKUP(Tableau2[[#This Row],[Name of shipper]],Plant_AILN!L:M,2,FALSE),0)</f>
        <v>487230</v>
      </c>
      <c r="G78" s="232" t="s">
        <v>152</v>
      </c>
      <c r="H78" s="227">
        <f>IF(Tableau2[[#This Row],[Name Consignee]]=0,"",VLOOKUP(Tableau2[[#This Row],[Name Consignee]],Plant_AILN!A:C,3,FALSE))</f>
        <v>90018000</v>
      </c>
      <c r="I78" s="52">
        <v>9</v>
      </c>
      <c r="J78" s="220">
        <v>28</v>
      </c>
      <c r="K78" s="96">
        <v>5</v>
      </c>
      <c r="L78" s="228">
        <v>7</v>
      </c>
      <c r="M78" s="229">
        <f>Tableau2[[#This Row],[Delivery time to ILN/Shipper]]+Tableau2[[#This Row],[Day ILN Order]]-1</f>
        <v>36</v>
      </c>
      <c r="N78" s="230">
        <v>2</v>
      </c>
      <c r="O78" s="231" t="s">
        <v>644</v>
      </c>
      <c r="P78" s="60">
        <v>3</v>
      </c>
    </row>
    <row r="79" spans="1:17" hidden="1">
      <c r="A79" s="243" t="str">
        <f>_xlfn.CONCAT(Tableau2[[#This Row],[Compte ILN]],"-",Tableau2[[#This Row],[Compte Shipper]],"-",Tableau2[[#This Row],[POL]],"-",Tableau2[[#This Row],[Compte Consignee]])</f>
        <v>0-27002800-MYPGU-90016800</v>
      </c>
      <c r="B79" s="370" t="str">
        <f>IF(Tableau2[[#This Row],[Name Consignee]]="",_xlfn.CONCAT(Tableau2[[#This Row],[Compte ILN]],"-",Tableau2[[#This Row],[Compte Shipper]],"-",Tableau2[[#This Row],[POL]]),"-")</f>
        <v>-</v>
      </c>
      <c r="C79" s="225" t="s">
        <v>146</v>
      </c>
      <c r="D79" s="226">
        <f>VLOOKUP(Tableau2[[#This Row],[ Name ILN]],Plant_AILN!F:G,2,FALSE)</f>
        <v>0</v>
      </c>
      <c r="E79" s="168" t="s">
        <v>322</v>
      </c>
      <c r="F79" s="227">
        <f>IFERROR(VLOOKUP(Tableau2[[#This Row],[Name of shipper]],Plant_AILN!L:M,2,FALSE),0)</f>
        <v>27002800</v>
      </c>
      <c r="G79" s="232" t="s">
        <v>185</v>
      </c>
      <c r="H79" s="227">
        <f>IF(Tableau2[[#This Row],[Name Consignee]]=0,"",VLOOKUP(Tableau2[[#This Row],[Name Consignee]],Plant_AILN!A:C,3,FALSE))</f>
        <v>90016800</v>
      </c>
      <c r="I79" s="52">
        <v>9</v>
      </c>
      <c r="J79" s="220">
        <v>14</v>
      </c>
      <c r="K79" s="96">
        <v>5</v>
      </c>
      <c r="L79" s="228">
        <v>7</v>
      </c>
      <c r="M79" s="229">
        <f>Tableau2[[#This Row],[Delivery time to ILN/Shipper]]+Tableau2[[#This Row],[Day ILN Order]]-1</f>
        <v>22</v>
      </c>
      <c r="N79" s="230">
        <v>3</v>
      </c>
      <c r="O79" s="231" t="s">
        <v>645</v>
      </c>
      <c r="P79" s="60">
        <v>5</v>
      </c>
    </row>
    <row r="80" spans="1:17" hidden="1">
      <c r="A80" s="243" t="str">
        <f>_xlfn.CONCAT(Tableau2[[#This Row],[Compte ILN]],"-",Tableau2[[#This Row],[Compte Shipper]],"-",Tableau2[[#This Row],[POL]],"-",Tableau2[[#This Row],[Compte Consignee]])</f>
        <v>0-487230-MYPEN-9510600</v>
      </c>
      <c r="B80" s="370" t="str">
        <f>IF(Tableau2[[#This Row],[Name Consignee]]="",_xlfn.CONCAT(Tableau2[[#This Row],[Compte ILN]],"-",Tableau2[[#This Row],[Compte Shipper]],"-",Tableau2[[#This Row],[POL]]),"-")</f>
        <v>-</v>
      </c>
      <c r="C80" s="225" t="s">
        <v>146</v>
      </c>
      <c r="D80" s="226">
        <f>VLOOKUP(Tableau2[[#This Row],[ Name ILN]],Plant_AILN!F:G,2,FALSE)</f>
        <v>0</v>
      </c>
      <c r="E80" s="168" t="s">
        <v>395</v>
      </c>
      <c r="F80" s="227">
        <f>IFERROR(VLOOKUP(Tableau2[[#This Row],[Name of shipper]],Plant_AILN!L:M,2,FALSE),0)</f>
        <v>487230</v>
      </c>
      <c r="G80" s="139" t="s">
        <v>177</v>
      </c>
      <c r="H80" s="227">
        <f>IF(Tableau2[[#This Row],[Name Consignee]]=0,"",VLOOKUP(Tableau2[[#This Row],[Name Consignee]],Plant_AILN!A:C,3,FALSE))</f>
        <v>9510600</v>
      </c>
      <c r="I80" s="52">
        <v>9</v>
      </c>
      <c r="J80" s="220">
        <v>28</v>
      </c>
      <c r="K80" s="96">
        <v>5</v>
      </c>
      <c r="L80" s="228">
        <v>7</v>
      </c>
      <c r="M80" s="229">
        <f>Tableau2[[#This Row],[Delivery time to ILN/Shipper]]+Tableau2[[#This Row],[Day ILN Order]]-1</f>
        <v>36</v>
      </c>
      <c r="N80" s="230">
        <v>2</v>
      </c>
      <c r="O80" s="231" t="s">
        <v>644</v>
      </c>
      <c r="P80" s="60">
        <v>3</v>
      </c>
    </row>
    <row r="81" spans="1:17" hidden="1">
      <c r="A81" s="243" t="str">
        <f>_xlfn.CONCAT(Tableau2[[#This Row],[Compte ILN]],"-",Tableau2[[#This Row],[Compte Shipper]],"-",Tableau2[[#This Row],[POL]],"-",Tableau2[[#This Row],[Compte Consignee]])</f>
        <v>0-29179903-CNFUG-90038200</v>
      </c>
      <c r="B81" s="370" t="str">
        <f>IF(Tableau2[[#This Row],[Name Consignee]]="",_xlfn.CONCAT(Tableau2[[#This Row],[Compte ILN]],"-",Tableau2[[#This Row],[Compte Shipper]],"-",Tableau2[[#This Row],[POL]]),"-")</f>
        <v>-</v>
      </c>
      <c r="C81" s="225" t="s">
        <v>146</v>
      </c>
      <c r="D81" s="226">
        <f>VLOOKUP(Tableau2[[#This Row],[ Name ILN]],Plant_AILN!F:G,2,FALSE)</f>
        <v>0</v>
      </c>
      <c r="E81" s="225" t="s">
        <v>286</v>
      </c>
      <c r="F81" s="227">
        <f>IFERROR(VLOOKUP(Tableau2[[#This Row],[Name of shipper]],Plant_AILN!L:M,2,FALSE),0)</f>
        <v>29179903</v>
      </c>
      <c r="G81" s="232" t="s">
        <v>179</v>
      </c>
      <c r="H81" s="227">
        <f>IF(Tableau2[[#This Row],[Name Consignee]]=0,"",VLOOKUP(Tableau2[[#This Row],[Name Consignee]],Plant_AILN!A:C,3,FALSE))</f>
        <v>90038200</v>
      </c>
      <c r="I81" s="52">
        <v>9</v>
      </c>
      <c r="J81" s="220">
        <v>21</v>
      </c>
      <c r="K81" s="96">
        <v>5</v>
      </c>
      <c r="L81" s="228">
        <v>7</v>
      </c>
      <c r="M81" s="229">
        <f>Tableau2[[#This Row],[Delivery time to ILN/Shipper]]+Tableau2[[#This Row],[Day ILN Order]]-1</f>
        <v>29</v>
      </c>
      <c r="N81" s="230">
        <v>3</v>
      </c>
      <c r="O81" s="231" t="s">
        <v>646</v>
      </c>
      <c r="P81" s="60">
        <v>5</v>
      </c>
    </row>
    <row r="82" spans="1:17" hidden="1">
      <c r="A82" s="243" t="str">
        <f>_xlfn.CONCAT(Tableau2[[#This Row],[Compte ILN]],"-",Tableau2[[#This Row],[Compte Shipper]],"-",Tableau2[[#This Row],[POL]],"-",Tableau2[[#This Row],[Compte Consignee]])</f>
        <v>0-27002800-MYTPP-900383</v>
      </c>
      <c r="B82" s="370" t="str">
        <f>IF(Tableau2[[#This Row],[Name Consignee]]="",_xlfn.CONCAT(Tableau2[[#This Row],[Compte ILN]],"-",Tableau2[[#This Row],[Compte Shipper]],"-",Tableau2[[#This Row],[POL]]),"-")</f>
        <v>-</v>
      </c>
      <c r="C82" s="225" t="s">
        <v>146</v>
      </c>
      <c r="D82" s="226">
        <f>VLOOKUP(Tableau2[[#This Row],[ Name ILN]],Plant_AILN!F:G,2,FALSE)</f>
        <v>0</v>
      </c>
      <c r="E82" s="168" t="s">
        <v>322</v>
      </c>
      <c r="F82" s="227">
        <f>IFERROR(VLOOKUP(Tableau2[[#This Row],[Name of shipper]],Plant_AILN!L:M,2,FALSE),0)</f>
        <v>27002800</v>
      </c>
      <c r="G82" s="232" t="s">
        <v>180</v>
      </c>
      <c r="H82" s="227">
        <f>IF(Tableau2[[#This Row],[Name Consignee]]=0,"",VLOOKUP(Tableau2[[#This Row],[Name Consignee]],Plant_AILN!A:C,3,FALSE))</f>
        <v>900383</v>
      </c>
      <c r="I82" s="52">
        <v>9</v>
      </c>
      <c r="J82" s="220">
        <v>28</v>
      </c>
      <c r="K82" s="96">
        <v>5</v>
      </c>
      <c r="L82" s="228">
        <v>7</v>
      </c>
      <c r="M82" s="229">
        <f>Tableau2[[#This Row],[Delivery time to ILN/Shipper]]+Tableau2[[#This Row],[Day ILN Order]]-1</f>
        <v>36</v>
      </c>
      <c r="N82" s="230">
        <v>3</v>
      </c>
      <c r="O82" s="231" t="s">
        <v>643</v>
      </c>
      <c r="P82" s="60">
        <v>5</v>
      </c>
    </row>
    <row r="83" spans="1:17" hidden="1">
      <c r="A83" s="243" t="str">
        <f>_xlfn.CONCAT(Tableau2[[#This Row],[Compte ILN]],"-",Tableau2[[#This Row],[Compte Shipper]],"-",Tableau2[[#This Row],[POL]],"-",Tableau2[[#This Row],[Compte Consignee]])</f>
        <v>0-29179903-CNFQG-90038200</v>
      </c>
      <c r="B83" s="243" t="str">
        <f>IF(Tableau2[[#This Row],[Name Consignee]]="",_xlfn.CONCAT(Tableau2[[#This Row],[Compte ILN]],"-",Tableau2[[#This Row],[Compte Shipper]],"-",Tableau2[[#This Row],[POL]]),"-")</f>
        <v>-</v>
      </c>
      <c r="C83" s="225" t="s">
        <v>146</v>
      </c>
      <c r="D83" s="229">
        <f>VLOOKUP(Tableau2[[#This Row],[ Name ILN]],Plant_AILN!F:G,2,FALSE)</f>
        <v>0</v>
      </c>
      <c r="E83" s="225" t="s">
        <v>286</v>
      </c>
      <c r="F83" s="236">
        <f>IFERROR(VLOOKUP(Tableau2[[#This Row],[Name of shipper]],Plant_AILN!L:M,2,FALSE),0)</f>
        <v>29179903</v>
      </c>
      <c r="G83" s="232" t="s">
        <v>179</v>
      </c>
      <c r="H83" s="236">
        <f>IF(Tableau2[[#This Row],[Name Consignee]]=0,"",VLOOKUP(Tableau2[[#This Row],[Name Consignee]],Plant_AILN!A:C,3,FALSE))</f>
        <v>90038200</v>
      </c>
      <c r="I83" s="52">
        <v>9</v>
      </c>
      <c r="J83" s="220">
        <v>21</v>
      </c>
      <c r="K83" s="96">
        <v>5</v>
      </c>
      <c r="L83" s="228">
        <v>7</v>
      </c>
      <c r="M83" s="229">
        <f>Tableau2[[#This Row],[Delivery time to ILN/Shipper]]+Tableau2[[#This Row],[Day ILN Order]]-1</f>
        <v>29</v>
      </c>
      <c r="N83" s="230">
        <v>3</v>
      </c>
      <c r="O83" s="231" t="s">
        <v>647</v>
      </c>
      <c r="P83" s="60">
        <v>5</v>
      </c>
    </row>
    <row r="84" spans="1:17" hidden="1">
      <c r="A84" s="243" t="str">
        <f>_xlfn.CONCAT(Tableau2[[#This Row],[Compte ILN]],"-",Tableau2[[#This Row],[Compte Shipper]],"-",Tableau2[[#This Row],[POL]],"-",Tableau2[[#This Row],[Compte Consignee]])</f>
        <v>0-29179903-CNFQG-900383</v>
      </c>
      <c r="B84" s="243" t="str">
        <f>IF(Tableau2[[#This Row],[Name Consignee]]="",_xlfn.CONCAT(Tableau2[[#This Row],[Compte ILN]],"-",Tableau2[[#This Row],[Compte Shipper]],"-",Tableau2[[#This Row],[POL]]),"-")</f>
        <v>-</v>
      </c>
      <c r="C84" s="225" t="s">
        <v>146</v>
      </c>
      <c r="D84" s="229">
        <f>VLOOKUP(Tableau2[[#This Row],[ Name ILN]],Plant_AILN!F:G,2,FALSE)</f>
        <v>0</v>
      </c>
      <c r="E84" s="225" t="s">
        <v>286</v>
      </c>
      <c r="F84" s="236">
        <f>IFERROR(VLOOKUP(Tableau2[[#This Row],[Name of shipper]],Plant_AILN!L:M,2,FALSE),0)</f>
        <v>29179903</v>
      </c>
      <c r="G84" s="232" t="s">
        <v>180</v>
      </c>
      <c r="H84" s="236">
        <f>IF(Tableau2[[#This Row],[Name Consignee]]=0,"",VLOOKUP(Tableau2[[#This Row],[Name Consignee]],Plant_AILN!A:C,3,FALSE))</f>
        <v>900383</v>
      </c>
      <c r="I84" s="52">
        <v>9</v>
      </c>
      <c r="J84" s="220">
        <v>14</v>
      </c>
      <c r="K84" s="96">
        <v>5</v>
      </c>
      <c r="L84" s="228">
        <v>7</v>
      </c>
      <c r="M84" s="229">
        <f>Tableau2[[#This Row],[Delivery time to ILN/Shipper]]+Tableau2[[#This Row],[Day ILN Order]]-1</f>
        <v>22</v>
      </c>
      <c r="N84" s="230">
        <v>3</v>
      </c>
      <c r="O84" s="231" t="s">
        <v>647</v>
      </c>
      <c r="P84" s="60">
        <v>5</v>
      </c>
    </row>
    <row r="85" spans="1:17" hidden="1">
      <c r="A85" s="243" t="str">
        <f>_xlfn.CONCAT(Tableau2[[#This Row],[Compte ILN]],"-",Tableau2[[#This Row],[Compte Shipper]],"-",Tableau2[[#This Row],[POL]],"-",Tableau2[[#This Row],[Compte Consignee]])</f>
        <v>0-29179903-CNFUG-900383</v>
      </c>
      <c r="B85" s="370" t="str">
        <f>IF(Tableau2[[#This Row],[Name Consignee]]="",_xlfn.CONCAT(Tableau2[[#This Row],[Compte ILN]],"-",Tableau2[[#This Row],[Compte Shipper]],"-",Tableau2[[#This Row],[POL]]),"-")</f>
        <v>-</v>
      </c>
      <c r="C85" s="168" t="s">
        <v>146</v>
      </c>
      <c r="D85" s="226">
        <f>VLOOKUP(Tableau2[[#This Row],[ Name ILN]],Plant_AILN!F:G,2,FALSE)</f>
        <v>0</v>
      </c>
      <c r="E85" s="225" t="s">
        <v>286</v>
      </c>
      <c r="F85" s="227">
        <f>IFERROR(VLOOKUP(Tableau2[[#This Row],[Name of shipper]],Plant_AILN!L:M,2,FALSE),0)</f>
        <v>29179903</v>
      </c>
      <c r="G85" s="232" t="s">
        <v>180</v>
      </c>
      <c r="H85" s="227">
        <f>IF(Tableau2[[#This Row],[Name Consignee]]=0,"",VLOOKUP(Tableau2[[#This Row],[Name Consignee]],Plant_AILN!A:C,3,FALSE))</f>
        <v>900383</v>
      </c>
      <c r="I85" s="52">
        <v>9</v>
      </c>
      <c r="J85" s="220">
        <v>14</v>
      </c>
      <c r="K85" s="96">
        <v>5</v>
      </c>
      <c r="L85" s="228">
        <v>7</v>
      </c>
      <c r="M85" s="229">
        <f>Tableau2[[#This Row],[Delivery time to ILN/Shipper]]+Tableau2[[#This Row],[Day ILN Order]]-1</f>
        <v>22</v>
      </c>
      <c r="N85" s="230">
        <v>3</v>
      </c>
      <c r="O85" s="231" t="s">
        <v>646</v>
      </c>
      <c r="P85" s="60">
        <v>5</v>
      </c>
    </row>
    <row r="86" spans="1:17" hidden="1">
      <c r="A86" s="243" t="str">
        <f>_xlfn.CONCAT(Tableau2[[#This Row],[Compte ILN]],"-",Tableau2[[#This Row],[Compte Shipper]],"-",Tableau2[[#This Row],[POL]],"-",Tableau2[[#This Row],[Compte Consignee]])</f>
        <v>0-42631300-IDJKT-900383</v>
      </c>
      <c r="B86" s="370" t="str">
        <f>IF(Tableau2[[#This Row],[Name Consignee]]="",_xlfn.CONCAT(Tableau2[[#This Row],[Compte ILN]],"-",Tableau2[[#This Row],[Compte Shipper]],"-",Tableau2[[#This Row],[POL]]),"-")</f>
        <v>-</v>
      </c>
      <c r="C86" s="168" t="s">
        <v>146</v>
      </c>
      <c r="D86" s="226">
        <f>VLOOKUP(Tableau2[[#This Row],[ Name ILN]],Plant_AILN!F:G,2,FALSE)</f>
        <v>0</v>
      </c>
      <c r="E86" s="168" t="s">
        <v>316</v>
      </c>
      <c r="F86" s="227">
        <f>IFERROR(VLOOKUP(Tableau2[[#This Row],[Name of shipper]],Plant_AILN!L:M,2,FALSE),0)</f>
        <v>42631300</v>
      </c>
      <c r="G86" s="232" t="s">
        <v>180</v>
      </c>
      <c r="H86" s="227">
        <f>IF(Tableau2[[#This Row],[Name Consignee]]=0,"",VLOOKUP(Tableau2[[#This Row],[Name Consignee]],Plant_AILN!A:C,3,FALSE))</f>
        <v>900383</v>
      </c>
      <c r="I86" s="52">
        <v>9</v>
      </c>
      <c r="J86" s="220">
        <v>14</v>
      </c>
      <c r="K86" s="96">
        <v>5</v>
      </c>
      <c r="L86" s="228">
        <v>7</v>
      </c>
      <c r="M86" s="229">
        <f>Tableau2[[#This Row],[Delivery time to ILN/Shipper]]+Tableau2[[#This Row],[Day ILN Order]]-1</f>
        <v>22</v>
      </c>
      <c r="N86" s="230">
        <v>1</v>
      </c>
      <c r="O86" s="231" t="s">
        <v>648</v>
      </c>
      <c r="P86" s="60">
        <v>5</v>
      </c>
    </row>
    <row r="87" spans="1:17" hidden="1">
      <c r="A87" s="243" t="str">
        <f>_xlfn.CONCAT(Tableau2[[#This Row],[Compte ILN]],"-",Tableau2[[#This Row],[Compte Shipper]],"-",Tableau2[[#This Row],[POL]],"-",Tableau2[[#This Row],[Compte Consignee]])</f>
        <v>95112-95112-TRIZT-90016000</v>
      </c>
      <c r="B87" s="243" t="str">
        <f>IF(Tableau2[[#This Row],[Name Consignee]]="",_xlfn.CONCAT(Tableau2[[#This Row],[Compte ILN]],"-",Tableau2[[#This Row],[Compte Shipper]],"-",Tableau2[[#This Row],[POL]]),"-")</f>
        <v>-</v>
      </c>
      <c r="C87" s="168" t="s">
        <v>167</v>
      </c>
      <c r="D87" s="229">
        <f>VLOOKUP(Tableau2[[#This Row],[ Name ILN]],Plant_AILN!F:G,2,FALSE)</f>
        <v>95112</v>
      </c>
      <c r="E87" s="168" t="s">
        <v>167</v>
      </c>
      <c r="F87" s="236">
        <f>IFERROR(VLOOKUP(Tableau2[[#This Row],[Name of shipper]],Plant_AILN!L:M,2,FALSE),0)</f>
        <v>95112</v>
      </c>
      <c r="G87" s="234" t="s">
        <v>158</v>
      </c>
      <c r="H87" s="236">
        <f>IF(Tableau2[[#This Row],[Name Consignee]]=0,"",VLOOKUP(Tableau2[[#This Row],[Name Consignee]],Plant_AILN!A:C,3,FALSE))</f>
        <v>90016000</v>
      </c>
      <c r="I87" s="220">
        <v>9</v>
      </c>
      <c r="J87" s="220">
        <v>14</v>
      </c>
      <c r="K87" s="96">
        <v>5</v>
      </c>
      <c r="L87" s="225">
        <v>7</v>
      </c>
      <c r="M87" s="229">
        <f>Tableau2[[#This Row],[Delivery time to ILN/Shipper]]+Tableau2[[#This Row],[Day ILN Order]]-1</f>
        <v>22</v>
      </c>
      <c r="N87" s="220">
        <v>1</v>
      </c>
      <c r="O87" s="96" t="s">
        <v>551</v>
      </c>
      <c r="P87" s="220">
        <v>4</v>
      </c>
    </row>
    <row r="88" spans="1:17" hidden="1">
      <c r="A88" s="243" t="str">
        <f>_xlfn.CONCAT(Tableau2[[#This Row],[Compte ILN]],"-",Tableau2[[#This Row],[Compte Shipper]],"-",Tableau2[[#This Row],[POL]],"-",Tableau2[[#This Row],[Compte Consignee]])</f>
        <v>95112-95112-TRIZT-900383</v>
      </c>
      <c r="B88" s="243" t="str">
        <f>IF(Tableau2[[#This Row],[Name Consignee]]="",_xlfn.CONCAT(Tableau2[[#This Row],[Compte ILN]],"-",Tableau2[[#This Row],[Compte Shipper]],"-",Tableau2[[#This Row],[POL]]),"-")</f>
        <v>-</v>
      </c>
      <c r="C88" s="225" t="s">
        <v>167</v>
      </c>
      <c r="D88" s="226">
        <f>VLOOKUP(Tableau2[[#This Row],[ Name ILN]],Plant_AILN!F:G,2,FALSE)</f>
        <v>95112</v>
      </c>
      <c r="E88" s="234" t="s">
        <v>167</v>
      </c>
      <c r="F88" s="236">
        <f>IFERROR(VLOOKUP(Tableau2[[#This Row],[Name of shipper]],Plant_AILN!L:M,2,FALSE),0)</f>
        <v>95112</v>
      </c>
      <c r="G88" s="234" t="s">
        <v>180</v>
      </c>
      <c r="H88" s="236">
        <f>IF(Tableau2[[#This Row],[Name Consignee]]=0,"",VLOOKUP(Tableau2[[#This Row],[Name Consignee]],Plant_AILN!A:C,3,FALSE))</f>
        <v>900383</v>
      </c>
      <c r="I88" s="52">
        <v>9</v>
      </c>
      <c r="J88" s="220">
        <v>14</v>
      </c>
      <c r="K88" s="96">
        <v>5</v>
      </c>
      <c r="L88" s="228">
        <v>7</v>
      </c>
      <c r="M88" s="229">
        <f>Tableau2[[#This Row],[Delivery time to ILN/Shipper]]+Tableau2[[#This Row],[Day ILN Order]]-1</f>
        <v>22</v>
      </c>
      <c r="N88" s="230">
        <v>1</v>
      </c>
      <c r="O88" s="96" t="s">
        <v>551</v>
      </c>
      <c r="P88" s="60">
        <v>4</v>
      </c>
      <c r="Q88" t="s">
        <v>649</v>
      </c>
    </row>
    <row r="89" spans="1:17" hidden="1">
      <c r="A89" s="243" t="str">
        <f>_xlfn.CONCAT(Tableau2[[#This Row],[Compte ILN]],"-",Tableau2[[#This Row],[Compte Shipper]],"-",Tableau2[[#This Row],[POL]],"-",Tableau2[[#This Row],[Compte Consignee]])</f>
        <v>95112-95112-TRIZT-</v>
      </c>
      <c r="B89" s="370" t="str">
        <f>IF(Tableau2[[#This Row],[Name Consignee]]="",_xlfn.CONCAT(Tableau2[[#This Row],[Compte ILN]],"-",Tableau2[[#This Row],[Compte Shipper]],"-",Tableau2[[#This Row],[POL]]),"-")</f>
        <v>95112-95112-TRIZT</v>
      </c>
      <c r="C89" s="168" t="s">
        <v>167</v>
      </c>
      <c r="D89" s="226">
        <f>VLOOKUP(Tableau2[[#This Row],[ Name ILN]],Plant_AILN!F:G,2,FALSE)</f>
        <v>95112</v>
      </c>
      <c r="E89" s="168" t="s">
        <v>167</v>
      </c>
      <c r="F89" s="227">
        <f>IFERROR(VLOOKUP(Tableau2[[#This Row],[Name of shipper]],Plant_AILN!L:M,2,FALSE),0)</f>
        <v>95112</v>
      </c>
      <c r="G89" s="232"/>
      <c r="H89" s="227" t="str">
        <f>IF(Tableau2[[#This Row],[Name Consignee]]=0,"",VLOOKUP(Tableau2[[#This Row],[Name Consignee]],Plant_AILN!A:C,3,FALSE))</f>
        <v/>
      </c>
      <c r="I89" s="52">
        <v>9</v>
      </c>
      <c r="J89" s="220">
        <v>7</v>
      </c>
      <c r="K89" s="96">
        <v>5</v>
      </c>
      <c r="L89" s="228">
        <v>7</v>
      </c>
      <c r="M89" s="229">
        <f>Tableau2[[#This Row],[Delivery time to ILN/Shipper]]+Tableau2[[#This Row],[Day ILN Order]]-1</f>
        <v>15</v>
      </c>
      <c r="N89" s="230">
        <v>1</v>
      </c>
      <c r="O89" s="231" t="s">
        <v>551</v>
      </c>
      <c r="P89" s="60">
        <v>2</v>
      </c>
    </row>
    <row r="90" spans="1:17" hidden="1">
      <c r="A90" s="243" t="str">
        <f>_xlfn.CONCAT(Tableau2[[#This Row],[Compte ILN]],"-",Tableau2[[#This Row],[Compte Shipper]],"-",Tableau2[[#This Row],[POL]],"-",Tableau2[[#This Row],[Compte Consignee]])</f>
        <v>95112-95112-TRGEM-</v>
      </c>
      <c r="B90" s="370" t="str">
        <f>IF(Tableau2[[#This Row],[Name Consignee]]="",_xlfn.CONCAT(Tableau2[[#This Row],[Compte ILN]],"-",Tableau2[[#This Row],[Compte Shipper]],"-",Tableau2[[#This Row],[POL]]),"-")</f>
        <v>95112-95112-TRGEM</v>
      </c>
      <c r="C90" s="168" t="s">
        <v>167</v>
      </c>
      <c r="D90" s="226">
        <f>VLOOKUP(Tableau2[[#This Row],[ Name ILN]],Plant_AILN!F:G,2,FALSE)</f>
        <v>95112</v>
      </c>
      <c r="E90" s="168" t="s">
        <v>167</v>
      </c>
      <c r="F90" s="227">
        <f>IFERROR(VLOOKUP(Tableau2[[#This Row],[Name of shipper]],Plant_AILN!L:M,2,FALSE),0)</f>
        <v>95112</v>
      </c>
      <c r="G90" s="232"/>
      <c r="H90" s="227" t="str">
        <f>IF(Tableau2[[#This Row],[Name Consignee]]=0,"",VLOOKUP(Tableau2[[#This Row],[Name Consignee]],Plant_AILN!A:C,3,FALSE))</f>
        <v/>
      </c>
      <c r="I90" s="52">
        <v>9</v>
      </c>
      <c r="J90" s="220">
        <v>7</v>
      </c>
      <c r="K90" s="96">
        <v>5</v>
      </c>
      <c r="L90" s="228">
        <v>7</v>
      </c>
      <c r="M90" s="229">
        <f>Tableau2[[#This Row],[Delivery time to ILN/Shipper]]+Tableau2[[#This Row],[Day ILN Order]]-1</f>
        <v>15</v>
      </c>
      <c r="N90" s="230">
        <v>1</v>
      </c>
      <c r="O90" s="231" t="s">
        <v>558</v>
      </c>
      <c r="P90" s="60">
        <v>2</v>
      </c>
    </row>
    <row r="91" spans="1:17" hidden="1">
      <c r="A91" s="243" t="str">
        <f>_xlfn.CONCAT(Tableau2[[#This Row],[Compte ILN]],"-",Tableau2[[#This Row],[Compte Shipper]],"-",Tableau2[[#This Row],[POL]],"-",Tableau2[[#This Row],[Compte Consignee]])</f>
        <v>95436-95436-KRPUS-90018600</v>
      </c>
      <c r="B91" s="370" t="str">
        <f>IF(Tableau2[[#This Row],[Name Consignee]]="",_xlfn.CONCAT(Tableau2[[#This Row],[Compte ILN]],"-",Tableau2[[#This Row],[Compte Shipper]],"-",Tableau2[[#This Row],[POL]]),"-")</f>
        <v>-</v>
      </c>
      <c r="C91" s="168" t="s">
        <v>166</v>
      </c>
      <c r="D91" s="226">
        <f>VLOOKUP(Tableau2[[#This Row],[ Name ILN]],Plant_AILN!F:G,2,FALSE)</f>
        <v>95436</v>
      </c>
      <c r="E91" s="168" t="s">
        <v>166</v>
      </c>
      <c r="F91" s="227">
        <f>IFERROR(VLOOKUP(Tableau2[[#This Row],[Name of shipper]],Plant_AILN!L:M,2,FALSE),0)</f>
        <v>95436</v>
      </c>
      <c r="G91" s="232" t="s">
        <v>174</v>
      </c>
      <c r="H91" s="227">
        <f>IF(Tableau2[[#This Row],[Name Consignee]]=0,"",VLOOKUP(Tableau2[[#This Row],[Name Consignee]],Plant_AILN!A:C,3,FALSE))</f>
        <v>90018600</v>
      </c>
      <c r="I91" s="52">
        <v>9</v>
      </c>
      <c r="J91" s="220">
        <v>14</v>
      </c>
      <c r="K91" s="96">
        <v>5</v>
      </c>
      <c r="L91" s="228">
        <v>7</v>
      </c>
      <c r="M91" s="229">
        <f>Tableau2[[#This Row],[Delivery time to ILN/Shipper]]+Tableau2[[#This Row],[Day ILN Order]]-1</f>
        <v>22</v>
      </c>
      <c r="N91" s="230">
        <v>1</v>
      </c>
      <c r="O91" s="231" t="s">
        <v>496</v>
      </c>
      <c r="P91" s="60">
        <v>5</v>
      </c>
    </row>
    <row r="92" spans="1:17" hidden="1">
      <c r="A92" s="243" t="str">
        <f>_xlfn.CONCAT(Tableau2[[#This Row],[Compte ILN]],"-",Tableau2[[#This Row],[Compte Shipper]],"-",Tableau2[[#This Row],[POL]],"-",Tableau2[[#This Row],[Compte Consignee]])</f>
        <v>95436-95436-KRPUS-92000100</v>
      </c>
      <c r="B92" s="370" t="str">
        <f>IF(Tableau2[[#This Row],[Name Consignee]]="",_xlfn.CONCAT(Tableau2[[#This Row],[Compte ILN]],"-",Tableau2[[#This Row],[Compte Shipper]],"-",Tableau2[[#This Row],[POL]]),"-")</f>
        <v>-</v>
      </c>
      <c r="C92" s="168" t="s">
        <v>166</v>
      </c>
      <c r="D92" s="226">
        <f>VLOOKUP(Tableau2[[#This Row],[ Name ILN]],Plant_AILN!F:G,2,FALSE)</f>
        <v>95436</v>
      </c>
      <c r="E92" s="168" t="s">
        <v>166</v>
      </c>
      <c r="F92" s="227">
        <f>IFERROR(VLOOKUP(Tableau2[[#This Row],[Name of shipper]],Plant_AILN!L:M,2,FALSE),0)</f>
        <v>95436</v>
      </c>
      <c r="G92" s="232" t="s">
        <v>183</v>
      </c>
      <c r="H92" s="227">
        <f>IF(Tableau2[[#This Row],[Name Consignee]]=0,"",VLOOKUP(Tableau2[[#This Row],[Name Consignee]],Plant_AILN!A:C,3,FALSE))</f>
        <v>92000100</v>
      </c>
      <c r="I92" s="52">
        <v>9</v>
      </c>
      <c r="J92" s="220">
        <v>14</v>
      </c>
      <c r="K92" s="96">
        <v>5</v>
      </c>
      <c r="L92" s="228">
        <v>7</v>
      </c>
      <c r="M92" s="229">
        <f>Tableau2[[#This Row],[Delivery time to ILN/Shipper]]+Tableau2[[#This Row],[Day ILN Order]]-1</f>
        <v>22</v>
      </c>
      <c r="N92" s="230">
        <v>1</v>
      </c>
      <c r="O92" s="231" t="s">
        <v>496</v>
      </c>
      <c r="P92" s="60">
        <v>3</v>
      </c>
    </row>
    <row r="93" spans="1:17" hidden="1">
      <c r="A93" s="243" t="str">
        <f>_xlfn.CONCAT(Tableau2[[#This Row],[Compte ILN]],"-",Tableau2[[#This Row],[Compte Shipper]],"-",Tableau2[[#This Row],[POL]],"-",Tableau2[[#This Row],[Compte Consignee]])</f>
        <v>2533780546-2533780546-INENR-90016500</v>
      </c>
      <c r="B93" s="370" t="str">
        <f>IF(Tableau2[[#This Row],[Name Consignee]]="",_xlfn.CONCAT(Tableau2[[#This Row],[Compte ILN]],"-",Tableau2[[#This Row],[Compte Shipper]],"-",Tableau2[[#This Row],[POL]]),"-")</f>
        <v>-</v>
      </c>
      <c r="C93" s="225" t="s">
        <v>149</v>
      </c>
      <c r="D93" s="226">
        <f>VLOOKUP(Tableau2[[#This Row],[ Name ILN]],Plant_AILN!F:G,2,FALSE)</f>
        <v>2533780546</v>
      </c>
      <c r="E93" s="225" t="s">
        <v>149</v>
      </c>
      <c r="F93" s="227">
        <f>IFERROR(VLOOKUP(Tableau2[[#This Row],[Name of shipper]],Plant_AILN!L:M,2,FALSE),0)</f>
        <v>2533780546</v>
      </c>
      <c r="G93" s="225" t="s">
        <v>170</v>
      </c>
      <c r="H93" s="227">
        <f>IF(Tableau2[[#This Row],[Name Consignee]]=0,"",VLOOKUP(Tableau2[[#This Row],[Name Consignee]],Plant_AILN!A:C,3,FALSE))</f>
        <v>90016500</v>
      </c>
      <c r="I93" s="52">
        <v>9</v>
      </c>
      <c r="J93" s="220">
        <v>21</v>
      </c>
      <c r="K93" s="96">
        <v>5</v>
      </c>
      <c r="L93" s="228">
        <v>7</v>
      </c>
      <c r="M93" s="229">
        <f>Tableau2[[#This Row],[Delivery time to ILN/Shipper]]+Tableau2[[#This Row],[Day ILN Order]]-1</f>
        <v>29</v>
      </c>
      <c r="N93" s="230">
        <v>2</v>
      </c>
      <c r="O93" s="231" t="s">
        <v>502</v>
      </c>
      <c r="P93" s="60">
        <v>3</v>
      </c>
      <c r="Q93" t="s">
        <v>650</v>
      </c>
    </row>
    <row r="94" spans="1:17" hidden="1">
      <c r="A94" s="243" t="str">
        <f>_xlfn.CONCAT(Tableau2[[#This Row],[Compte ILN]],"-",Tableau2[[#This Row],[Compte Shipper]],"-",Tableau2[[#This Row],[POL]],"-",Tableau2[[#This Row],[Compte Consignee]])</f>
        <v>2533780546-2533780546-INKAT-90016500</v>
      </c>
      <c r="B94" s="370" t="str">
        <f>IF(Tableau2[[#This Row],[Name Consignee]]="",_xlfn.CONCAT(Tableau2[[#This Row],[Compte ILN]],"-",Tableau2[[#This Row],[Compte Shipper]],"-",Tableau2[[#This Row],[POL]]),"-")</f>
        <v>-</v>
      </c>
      <c r="C94" s="225" t="s">
        <v>149</v>
      </c>
      <c r="D94" s="226">
        <f>VLOOKUP(Tableau2[[#This Row],[ Name ILN]],Plant_AILN!F:G,2,FALSE)</f>
        <v>2533780546</v>
      </c>
      <c r="E94" s="225" t="s">
        <v>149</v>
      </c>
      <c r="F94" s="227">
        <f>IFERROR(VLOOKUP(Tableau2[[#This Row],[Name of shipper]],Plant_AILN!L:M,2,FALSE),0)</f>
        <v>2533780546</v>
      </c>
      <c r="G94" s="225" t="s">
        <v>170</v>
      </c>
      <c r="H94" s="227">
        <f>IF(Tableau2[[#This Row],[Name Consignee]]=0,"",VLOOKUP(Tableau2[[#This Row],[Name Consignee]],Plant_AILN!A:C,3,FALSE))</f>
        <v>90016500</v>
      </c>
      <c r="I94" s="52">
        <v>9</v>
      </c>
      <c r="J94" s="220">
        <v>21</v>
      </c>
      <c r="K94" s="96">
        <v>5</v>
      </c>
      <c r="L94" s="228">
        <v>7</v>
      </c>
      <c r="M94" s="229">
        <f>Tableau2[[#This Row],[Delivery time to ILN/Shipper]]+Tableau2[[#This Row],[Day ILN Order]]-1</f>
        <v>29</v>
      </c>
      <c r="N94" s="230">
        <v>2</v>
      </c>
      <c r="O94" s="231" t="s">
        <v>571</v>
      </c>
      <c r="P94" s="60">
        <v>3</v>
      </c>
      <c r="Q94" t="s">
        <v>650</v>
      </c>
    </row>
    <row r="95" spans="1:17" hidden="1">
      <c r="A95" s="243" t="str">
        <f>_xlfn.CONCAT(Tableau2[[#This Row],[Compte ILN]],"-",Tableau2[[#This Row],[Compte Shipper]],"-",Tableau2[[#This Row],[POL]],"-",Tableau2[[#This Row],[Compte Consignee]])</f>
        <v>2533780546-2533780546-INMAA-90016500</v>
      </c>
      <c r="B95" s="370" t="str">
        <f>IF(Tableau2[[#This Row],[Name Consignee]]="",_xlfn.CONCAT(Tableau2[[#This Row],[Compte ILN]],"-",Tableau2[[#This Row],[Compte Shipper]],"-",Tableau2[[#This Row],[POL]]),"-")</f>
        <v>-</v>
      </c>
      <c r="C95" s="225" t="s">
        <v>149</v>
      </c>
      <c r="D95" s="226">
        <f>VLOOKUP(Tableau2[[#This Row],[ Name ILN]],Plant_AILN!F:G,2,FALSE)</f>
        <v>2533780546</v>
      </c>
      <c r="E95" s="225" t="s">
        <v>149</v>
      </c>
      <c r="F95" s="227">
        <f>IFERROR(VLOOKUP(Tableau2[[#This Row],[Name of shipper]],Plant_AILN!L:M,2,FALSE),0)</f>
        <v>2533780546</v>
      </c>
      <c r="G95" s="225" t="s">
        <v>170</v>
      </c>
      <c r="H95" s="227">
        <f>IF(Tableau2[[#This Row],[Name Consignee]]=0,"",VLOOKUP(Tableau2[[#This Row],[Name Consignee]],Plant_AILN!A:C,3,FALSE))</f>
        <v>90016500</v>
      </c>
      <c r="I95" s="52">
        <v>9</v>
      </c>
      <c r="J95" s="220">
        <v>21</v>
      </c>
      <c r="K95" s="96">
        <v>5</v>
      </c>
      <c r="L95" s="228">
        <v>7</v>
      </c>
      <c r="M95" s="229">
        <f>Tableau2[[#This Row],[Delivery time to ILN/Shipper]]+Tableau2[[#This Row],[Day ILN Order]]-1</f>
        <v>29</v>
      </c>
      <c r="N95" s="230">
        <v>2</v>
      </c>
      <c r="O95" s="231" t="s">
        <v>537</v>
      </c>
      <c r="P95" s="60">
        <v>3</v>
      </c>
      <c r="Q95" t="s">
        <v>650</v>
      </c>
    </row>
    <row r="96" spans="1:17" hidden="1">
      <c r="A96" s="243" t="str">
        <f>_xlfn.CONCAT(Tableau2[[#This Row],[Compte ILN]],"-",Tableau2[[#This Row],[Compte Shipper]],"-",Tableau2[[#This Row],[POL]],"-",Tableau2[[#This Row],[Compte Consignee]])</f>
        <v>26376-26376-ARROS-</v>
      </c>
      <c r="B96" s="370" t="str">
        <f>IF(Tableau2[[#This Row],[Name Consignee]]="",_xlfn.CONCAT(Tableau2[[#This Row],[Compte ILN]],"-",Tableau2[[#This Row],[Compte Shipper]],"-",Tableau2[[#This Row],[POL]]),"-")</f>
        <v>26376-26376-ARROS</v>
      </c>
      <c r="C96" s="168" t="s">
        <v>199</v>
      </c>
      <c r="D96" s="226">
        <f>VLOOKUP(Tableau2[[#This Row],[ Name ILN]],Plant_AILN!F:G,2,FALSE)</f>
        <v>26376</v>
      </c>
      <c r="E96" s="168" t="s">
        <v>199</v>
      </c>
      <c r="F96" s="227">
        <f>IFERROR(VLOOKUP(Tableau2[[#This Row],[Name of shipper]],Plant_AILN!L:M,2,FALSE),0)</f>
        <v>26376</v>
      </c>
      <c r="G96" s="232"/>
      <c r="H96" s="227" t="str">
        <f>IF(Tableau2[[#This Row],[Name Consignee]]=0,"",VLOOKUP(Tableau2[[#This Row],[Name Consignee]],Plant_AILN!A:C,3,FALSE))</f>
        <v/>
      </c>
      <c r="I96" s="52">
        <v>9</v>
      </c>
      <c r="J96" s="220">
        <v>14</v>
      </c>
      <c r="K96" s="96">
        <v>5</v>
      </c>
      <c r="L96" s="228">
        <v>7</v>
      </c>
      <c r="M96" s="229">
        <f>Tableau2[[#This Row],[Delivery time to ILN/Shipper]]+Tableau2[[#This Row],[Day ILN Order]]-1</f>
        <v>22</v>
      </c>
      <c r="N96" s="230">
        <v>3</v>
      </c>
      <c r="O96" s="231" t="s">
        <v>651</v>
      </c>
      <c r="P96" s="60">
        <v>5</v>
      </c>
    </row>
    <row r="97" spans="1:16" hidden="1">
      <c r="A97" s="243" t="str">
        <f>_xlfn.CONCAT(Tableau2[[#This Row],[Compte ILN]],"-",Tableau2[[#This Row],[Compte Shipper]],"-",Tableau2[[#This Row],[POL]],"-",Tableau2[[#This Row],[Compte Consignee]])</f>
        <v>26376-26376-ARBUE-</v>
      </c>
      <c r="B97" s="370" t="str">
        <f>IF(Tableau2[[#This Row],[Name Consignee]]="",_xlfn.CONCAT(Tableau2[[#This Row],[Compte ILN]],"-",Tableau2[[#This Row],[Compte Shipper]],"-",Tableau2[[#This Row],[POL]]),"-")</f>
        <v>26376-26376-ARBUE</v>
      </c>
      <c r="C97" s="168" t="s">
        <v>199</v>
      </c>
      <c r="D97" s="226">
        <f>VLOOKUP(Tableau2[[#This Row],[ Name ILN]],Plant_AILN!F:G,2,FALSE)</f>
        <v>26376</v>
      </c>
      <c r="E97" s="168" t="s">
        <v>199</v>
      </c>
      <c r="F97" s="227">
        <f>IFERROR(VLOOKUP(Tableau2[[#This Row],[Name of shipper]],Plant_AILN!L:M,2,FALSE),0)</f>
        <v>26376</v>
      </c>
      <c r="G97" s="232"/>
      <c r="H97" s="227" t="str">
        <f>IF(Tableau2[[#This Row],[Name Consignee]]=0,"",VLOOKUP(Tableau2[[#This Row],[Name Consignee]],Plant_AILN!A:C,3,FALSE))</f>
        <v/>
      </c>
      <c r="I97" s="52">
        <v>9</v>
      </c>
      <c r="J97" s="220">
        <v>7</v>
      </c>
      <c r="K97" s="96">
        <v>5</v>
      </c>
      <c r="L97" s="228">
        <v>7</v>
      </c>
      <c r="M97" s="229">
        <f>Tableau2[[#This Row],[Delivery time to ILN/Shipper]]+Tableau2[[#This Row],[Day ILN Order]]-1</f>
        <v>15</v>
      </c>
      <c r="N97" s="230">
        <v>7</v>
      </c>
      <c r="O97" s="231" t="s">
        <v>534</v>
      </c>
      <c r="P97" s="60">
        <v>1</v>
      </c>
    </row>
    <row r="98" spans="1:16" hidden="1">
      <c r="A98" s="243" t="str">
        <f>_xlfn.CONCAT(Tableau2[[#This Row],[Compte ILN]],"-",Tableau2[[#This Row],[Compte Shipper]],"-",Tableau2[[#This Row],[POL]],"-",Tableau2[[#This Row],[Compte Consignee]])</f>
        <v>95207-95207-BRPNG-</v>
      </c>
      <c r="B98" s="370" t="str">
        <f>IF(Tableau2[[#This Row],[Name Consignee]]="",_xlfn.CONCAT(Tableau2[[#This Row],[Compte ILN]],"-",Tableau2[[#This Row],[Compte Shipper]],"-",Tableau2[[#This Row],[POL]]),"-")</f>
        <v>95207-95207-BRPNG</v>
      </c>
      <c r="C98" s="168" t="s">
        <v>163</v>
      </c>
      <c r="D98" s="226">
        <f>VLOOKUP(Tableau2[[#This Row],[ Name ILN]],Plant_AILN!F:G,2,FALSE)</f>
        <v>95207</v>
      </c>
      <c r="E98" s="168" t="s">
        <v>163</v>
      </c>
      <c r="F98" s="227">
        <f>IFERROR(VLOOKUP(Tableau2[[#This Row],[Name of shipper]],Plant_AILN!L:M,2,FALSE),0)</f>
        <v>95207</v>
      </c>
      <c r="G98" s="232"/>
      <c r="H98" s="227" t="str">
        <f>IF(Tableau2[[#This Row],[Name Consignee]]=0,"",VLOOKUP(Tableau2[[#This Row],[Name Consignee]],Plant_AILN!A:C,3,FALSE))</f>
        <v/>
      </c>
      <c r="I98" s="52">
        <v>9</v>
      </c>
      <c r="J98" s="220">
        <v>7</v>
      </c>
      <c r="K98" s="96">
        <v>5</v>
      </c>
      <c r="L98" s="228">
        <v>7</v>
      </c>
      <c r="M98" s="229">
        <f>Tableau2[[#This Row],[Delivery time to ILN/Shipper]]+Tableau2[[#This Row],[Day ILN Order]]-1</f>
        <v>15</v>
      </c>
      <c r="N98" s="230">
        <v>4</v>
      </c>
      <c r="O98" s="231" t="s">
        <v>525</v>
      </c>
      <c r="P98" s="60">
        <v>5</v>
      </c>
    </row>
    <row r="99" spans="1:16" hidden="1">
      <c r="A99" s="243" t="str">
        <f>_xlfn.CONCAT(Tableau2[[#This Row],[Compte ILN]],"-",Tableau2[[#This Row],[Compte Shipper]],"-",Tableau2[[#This Row],[POL]],"-",Tableau2[[#This Row],[Compte Consignee]])</f>
        <v>95207-0-BRPNG-</v>
      </c>
      <c r="B99" s="370" t="str">
        <f>IF(Tableau2[[#This Row],[Name Consignee]]="",_xlfn.CONCAT(Tableau2[[#This Row],[Compte ILN]],"-",Tableau2[[#This Row],[Compte Shipper]],"-",Tableau2[[#This Row],[POL]]),"-")</f>
        <v>95207-0-BRPNG</v>
      </c>
      <c r="C99" s="168" t="s">
        <v>163</v>
      </c>
      <c r="D99" s="226">
        <f>VLOOKUP(Tableau2[[#This Row],[ Name ILN]],Plant_AILN!F:G,2,FALSE)</f>
        <v>95207</v>
      </c>
      <c r="E99" s="168" t="s">
        <v>652</v>
      </c>
      <c r="F99" s="227">
        <f>IFERROR(VLOOKUP(Tableau2[[#This Row],[Name of shipper]],Plant_AILN!L:M,2,FALSE),0)</f>
        <v>0</v>
      </c>
      <c r="G99" s="232"/>
      <c r="H99" s="227" t="str">
        <f>IF(Tableau2[[#This Row],[Name Consignee]]=0,"",VLOOKUP(Tableau2[[#This Row],[Name Consignee]],Plant_AILN!A:C,3,FALSE))</f>
        <v/>
      </c>
      <c r="I99" s="52">
        <v>9</v>
      </c>
      <c r="J99" s="220">
        <v>7</v>
      </c>
      <c r="K99" s="96">
        <v>5</v>
      </c>
      <c r="L99" s="228">
        <v>7</v>
      </c>
      <c r="M99" s="229">
        <f>Tableau2[[#This Row],[Delivery time to ILN/Shipper]]+Tableau2[[#This Row],[Day ILN Order]]-1</f>
        <v>15</v>
      </c>
      <c r="N99" s="230">
        <v>4</v>
      </c>
      <c r="O99" s="231" t="s">
        <v>525</v>
      </c>
      <c r="P99" s="60">
        <v>5</v>
      </c>
    </row>
    <row r="100" spans="1:16" hidden="1">
      <c r="A100" s="243" t="str">
        <f>_xlfn.CONCAT(Tableau2[[#This Row],[Compte ILN]],"-",Tableau2[[#This Row],[Compte Shipper]],"-",Tableau2[[#This Row],[POL]],"-",Tableau2[[#This Row],[Compte Consignee]])</f>
        <v>92000100-92000100-FRLEH-</v>
      </c>
      <c r="B100" s="370" t="str">
        <f>IF(Tableau2[[#This Row],[Name Consignee]]="",_xlfn.CONCAT(Tableau2[[#This Row],[Compte ILN]],"-",Tableau2[[#This Row],[Compte Shipper]],"-",Tableau2[[#This Row],[POL]]),"-")</f>
        <v>92000100-92000100-FRLEH</v>
      </c>
      <c r="C100" s="168" t="s">
        <v>143</v>
      </c>
      <c r="D100" s="226">
        <f>VLOOKUP(Tableau2[[#This Row],[ Name ILN]],Plant_AILN!F:G,2,FALSE)</f>
        <v>92000100</v>
      </c>
      <c r="E100" s="168" t="s">
        <v>143</v>
      </c>
      <c r="F100" s="227">
        <f>IFERROR(VLOOKUP(Tableau2[[#This Row],[Name of shipper]],Plant_AILN!L:M,2,FALSE),0)</f>
        <v>92000100</v>
      </c>
      <c r="G100" s="232"/>
      <c r="H100" s="227" t="str">
        <f>IF(Tableau2[[#This Row],[Name Consignee]]=0,"",VLOOKUP(Tableau2[[#This Row],[Name Consignee]],Plant_AILN!A:C,3,FALSE))</f>
        <v/>
      </c>
      <c r="I100" s="52">
        <v>9</v>
      </c>
      <c r="J100" s="220">
        <v>7</v>
      </c>
      <c r="K100" s="96">
        <v>5</v>
      </c>
      <c r="L100" s="228">
        <v>7</v>
      </c>
      <c r="M100" s="229">
        <f>Tableau2[[#This Row],[Delivery time to ILN/Shipper]]+Tableau2[[#This Row],[Day ILN Order]]-1</f>
        <v>15</v>
      </c>
      <c r="N100" s="230">
        <v>2</v>
      </c>
      <c r="O100" s="231" t="s">
        <v>483</v>
      </c>
      <c r="P100" s="60">
        <v>3</v>
      </c>
    </row>
    <row r="101" spans="1:16" hidden="1">
      <c r="A101" s="243" t="str">
        <f>_xlfn.CONCAT(Tableau2[[#This Row],[Compte ILN]],"-",Tableau2[[#This Row],[Compte Shipper]],"-",Tableau2[[#This Row],[POL]],"-",Tableau2[[#This Row],[Compte Consignee]])</f>
        <v>92000100-92000100-BEANR-</v>
      </c>
      <c r="B101" s="370" t="str">
        <f>IF(Tableau2[[#This Row],[Name Consignee]]="",_xlfn.CONCAT(Tableau2[[#This Row],[Compte ILN]],"-",Tableau2[[#This Row],[Compte Shipper]],"-",Tableau2[[#This Row],[POL]]),"-")</f>
        <v>92000100-92000100-BEANR</v>
      </c>
      <c r="C101" s="168" t="s">
        <v>143</v>
      </c>
      <c r="D101" s="226">
        <f>VLOOKUP(Tableau2[[#This Row],[ Name ILN]],Plant_AILN!F:G,2,FALSE)</f>
        <v>92000100</v>
      </c>
      <c r="E101" s="168" t="s">
        <v>143</v>
      </c>
      <c r="F101" s="227">
        <f>IFERROR(VLOOKUP(Tableau2[[#This Row],[Name of shipper]],Plant_AILN!L:M,2,FALSE),0)</f>
        <v>92000100</v>
      </c>
      <c r="G101" s="232"/>
      <c r="H101" s="227" t="str">
        <f>IF(Tableau2[[#This Row],[Name Consignee]]=0,"",VLOOKUP(Tableau2[[#This Row],[Name Consignee]],Plant_AILN!A:C,3,FALSE))</f>
        <v/>
      </c>
      <c r="I101" s="52">
        <v>9</v>
      </c>
      <c r="J101" s="220">
        <v>7</v>
      </c>
      <c r="K101" s="96">
        <v>5</v>
      </c>
      <c r="L101" s="228">
        <v>7</v>
      </c>
      <c r="M101" s="229">
        <f>Tableau2[[#This Row],[Delivery time to ILN/Shipper]]+Tableau2[[#This Row],[Day ILN Order]]-1</f>
        <v>15</v>
      </c>
      <c r="N101" s="230">
        <v>3</v>
      </c>
      <c r="O101" s="231" t="s">
        <v>490</v>
      </c>
      <c r="P101" s="60">
        <v>4</v>
      </c>
    </row>
    <row r="102" spans="1:16" hidden="1">
      <c r="A102" s="243" t="str">
        <f>_xlfn.CONCAT(Tableau2[[#This Row],[Compte ILN]],"-",Tableau2[[#This Row],[Compte Shipper]],"-",Tableau2[[#This Row],[POL]],"-",Tableau2[[#This Row],[Compte Consignee]])</f>
        <v>92000100-90016100-BEANR-</v>
      </c>
      <c r="B102" s="370" t="str">
        <f>IF(Tableau2[[#This Row],[Name Consignee]]="",_xlfn.CONCAT(Tableau2[[#This Row],[Compte ILN]],"-",Tableau2[[#This Row],[Compte Shipper]],"-",Tableau2[[#This Row],[POL]]),"-")</f>
        <v>92000100-90016100-BEANR</v>
      </c>
      <c r="C102" s="168" t="s">
        <v>143</v>
      </c>
      <c r="D102" s="226">
        <f>VLOOKUP(Tableau2[[#This Row],[ Name ILN]],Plant_AILN!F:G,2,FALSE)</f>
        <v>92000100</v>
      </c>
      <c r="E102" s="168" t="s">
        <v>291</v>
      </c>
      <c r="F102" s="227">
        <f>IFERROR(VLOOKUP(Tableau2[[#This Row],[Name of shipper]],Plant_AILN!L:M,2,FALSE),0)</f>
        <v>90016100</v>
      </c>
      <c r="G102" s="232"/>
      <c r="H102" s="227" t="str">
        <f>IF(Tableau2[[#This Row],[Name Consignee]]=0,"",VLOOKUP(Tableau2[[#This Row],[Name Consignee]],Plant_AILN!A:C,3,FALSE))</f>
        <v/>
      </c>
      <c r="I102" s="52">
        <v>9</v>
      </c>
      <c r="J102" s="220">
        <v>14</v>
      </c>
      <c r="K102" s="96">
        <v>5</v>
      </c>
      <c r="L102" s="228">
        <v>7</v>
      </c>
      <c r="M102" s="229">
        <f>Tableau2[[#This Row],[Delivery time to ILN/Shipper]]+Tableau2[[#This Row],[Day ILN Order]]-1</f>
        <v>22</v>
      </c>
      <c r="N102" s="230">
        <v>3</v>
      </c>
      <c r="O102" s="231" t="s">
        <v>490</v>
      </c>
      <c r="P102" s="60">
        <v>4</v>
      </c>
    </row>
    <row r="103" spans="1:16" hidden="1">
      <c r="A103" s="243" t="str">
        <f>_xlfn.CONCAT(Tableau2[[#This Row],[Compte ILN]],"-",Tableau2[[#This Row],[Compte Shipper]],"-",Tableau2[[#This Row],[POL]],"-",Tableau2[[#This Row],[Compte Consignee]])</f>
        <v>92000100-90018400-FRDKK-</v>
      </c>
      <c r="B103" s="370" t="str">
        <f>IF(Tableau2[[#This Row],[Name Consignee]]="",_xlfn.CONCAT(Tableau2[[#This Row],[Compte ILN]],"-",Tableau2[[#This Row],[Compte Shipper]],"-",Tableau2[[#This Row],[POL]]),"-")</f>
        <v>92000100-90018400-FRDKK</v>
      </c>
      <c r="C103" s="168" t="s">
        <v>143</v>
      </c>
      <c r="D103" s="226">
        <f>VLOOKUP(Tableau2[[#This Row],[ Name ILN]],Plant_AILN!F:G,2,FALSE)</f>
        <v>92000100</v>
      </c>
      <c r="E103" s="168" t="s">
        <v>219</v>
      </c>
      <c r="F103" s="227">
        <f>IFERROR(VLOOKUP(Tableau2[[#This Row],[Name of shipper]],Plant_AILN!L:M,2,FALSE),0)</f>
        <v>90018400</v>
      </c>
      <c r="G103" s="232"/>
      <c r="H103" s="227" t="str">
        <f>IF(Tableau2[[#This Row],[Name Consignee]]=0,"",VLOOKUP(Tableau2[[#This Row],[Name Consignee]],Plant_AILN!A:C,3,FALSE))</f>
        <v/>
      </c>
      <c r="I103" s="52">
        <v>9</v>
      </c>
      <c r="J103" s="220">
        <v>7</v>
      </c>
      <c r="K103" s="96">
        <v>5</v>
      </c>
      <c r="L103" s="228">
        <v>7</v>
      </c>
      <c r="M103" s="229">
        <f>Tableau2[[#This Row],[Delivery time to ILN/Shipper]]+Tableau2[[#This Row],[Day ILN Order]]-1</f>
        <v>15</v>
      </c>
      <c r="N103" s="230">
        <v>0</v>
      </c>
      <c r="O103" s="231" t="s">
        <v>653</v>
      </c>
      <c r="P103" s="60">
        <v>4</v>
      </c>
    </row>
    <row r="104" spans="1:16" hidden="1">
      <c r="A104" s="243" t="str">
        <f>_xlfn.CONCAT(Tableau2[[#This Row],[Compte ILN]],"-",Tableau2[[#This Row],[Compte Shipper]],"-",Tableau2[[#This Row],[POL]],"-",Tableau2[[#This Row],[Compte Consignee]])</f>
        <v>92000100-25566103-ITBRI-</v>
      </c>
      <c r="B104" s="243" t="str">
        <f>IF(Tableau2[[#This Row],[Name Consignee]]="",_xlfn.CONCAT(Tableau2[[#This Row],[Compte ILN]],"-",Tableau2[[#This Row],[Compte Shipper]],"-",Tableau2[[#This Row],[POL]]),"-")</f>
        <v>92000100-25566103-ITBRI</v>
      </c>
      <c r="C104" s="168" t="s">
        <v>143</v>
      </c>
      <c r="D104" s="229">
        <f>VLOOKUP(Tableau2[[#This Row],[ Name ILN]],Plant_AILN!F:G,2,FALSE)</f>
        <v>92000100</v>
      </c>
      <c r="E104" s="168" t="s">
        <v>147</v>
      </c>
      <c r="F104" s="236">
        <f>IFERROR(VLOOKUP(Tableau2[[#This Row],[Name of shipper]],Plant_AILN!L:M,2,FALSE),0)</f>
        <v>25566103</v>
      </c>
      <c r="G104" s="234"/>
      <c r="H104" s="236" t="str">
        <f>IF(Tableau2[[#This Row],[Name Consignee]]=0,"",VLOOKUP(Tableau2[[#This Row],[Name Consignee]],Plant_AILN!A:C,3,FALSE))</f>
        <v/>
      </c>
      <c r="I104" s="220">
        <v>9</v>
      </c>
      <c r="J104" s="220">
        <v>7</v>
      </c>
      <c r="K104" s="96">
        <v>5</v>
      </c>
      <c r="L104" s="225">
        <v>7</v>
      </c>
      <c r="M104" s="229">
        <f>Tableau2[[#This Row],[Delivery time to ILN/Shipper]]+Tableau2[[#This Row],[Day ILN Order]]-1</f>
        <v>15</v>
      </c>
      <c r="N104" s="220">
        <v>2</v>
      </c>
      <c r="O104" s="96" t="s">
        <v>495</v>
      </c>
      <c r="P104" s="220">
        <v>4</v>
      </c>
    </row>
    <row r="105" spans="1:16" hidden="1">
      <c r="A105" s="243" t="str">
        <f>_xlfn.CONCAT(Tableau2[[#This Row],[Compte ILN]],"-",Tableau2[[#This Row],[Compte Shipper]],"-",Tableau2[[#This Row],[POL]],"-",Tableau2[[#This Row],[Compte Consignee]])</f>
        <v>0-25566103-ITNAP-</v>
      </c>
      <c r="B105" s="243" t="str">
        <f>IF(Tableau2[[#This Row],[Name Consignee]]="",_xlfn.CONCAT(Tableau2[[#This Row],[Compte ILN]],"-",Tableau2[[#This Row],[Compte Shipper]],"-",Tableau2[[#This Row],[POL]]),"-")</f>
        <v>0-25566103-ITNAP</v>
      </c>
      <c r="C105" s="168" t="s">
        <v>146</v>
      </c>
      <c r="D105" s="229">
        <f>VLOOKUP(Tableau2[[#This Row],[ Name ILN]],Plant_AILN!F:G,2,FALSE)</f>
        <v>0</v>
      </c>
      <c r="E105" s="168" t="s">
        <v>147</v>
      </c>
      <c r="F105" s="236">
        <f>IFERROR(VLOOKUP(Tableau2[[#This Row],[Name of shipper]],Plant_AILN!L:M,2,FALSE),0)</f>
        <v>25566103</v>
      </c>
      <c r="G105" s="234"/>
      <c r="H105" s="236" t="str">
        <f>IF(Tableau2[[#This Row],[Name Consignee]]=0,"",VLOOKUP(Tableau2[[#This Row],[Name Consignee]],Plant_AILN!A:C,3,FALSE))</f>
        <v/>
      </c>
      <c r="I105" s="220">
        <v>9</v>
      </c>
      <c r="J105" s="220">
        <v>7</v>
      </c>
      <c r="K105" s="96">
        <v>5</v>
      </c>
      <c r="L105" s="225">
        <v>7</v>
      </c>
      <c r="M105" s="229">
        <f>Tableau2[[#This Row],[Delivery time to ILN/Shipper]]+Tableau2[[#This Row],[Day ILN Order]]-1</f>
        <v>15</v>
      </c>
      <c r="N105" s="220">
        <v>2</v>
      </c>
      <c r="O105" s="96" t="s">
        <v>500</v>
      </c>
      <c r="P105" s="220">
        <v>4</v>
      </c>
    </row>
    <row r="106" spans="1:16" hidden="1">
      <c r="A106" s="243" t="str">
        <f>_xlfn.CONCAT(Tableau2[[#This Row],[Compte ILN]],"-",Tableau2[[#This Row],[Compte Shipper]],"-",Tableau2[[#This Row],[POL]],"-",Tableau2[[#This Row],[Compte Consignee]])</f>
        <v>0-25566103-ITBRI-</v>
      </c>
      <c r="B106" s="370" t="str">
        <f>IF(Tableau2[[#This Row],[Name Consignee]]="",_xlfn.CONCAT(Tableau2[[#This Row],[Compte ILN]],"-",Tableau2[[#This Row],[Compte Shipper]],"-",Tableau2[[#This Row],[POL]]),"-")</f>
        <v>0-25566103-ITBRI</v>
      </c>
      <c r="C106" s="168" t="s">
        <v>146</v>
      </c>
      <c r="D106" s="226">
        <f>VLOOKUP(Tableau2[[#This Row],[ Name ILN]],Plant_AILN!F:G,2,FALSE)</f>
        <v>0</v>
      </c>
      <c r="E106" s="168" t="s">
        <v>147</v>
      </c>
      <c r="F106" s="227">
        <f>IFERROR(VLOOKUP(Tableau2[[#This Row],[Name of shipper]],Plant_AILN!L:M,2,FALSE),0)</f>
        <v>25566103</v>
      </c>
      <c r="G106" s="232"/>
      <c r="H106" s="227" t="str">
        <f>IF(Tableau2[[#This Row],[Name Consignee]]=0,"",VLOOKUP(Tableau2[[#This Row],[Name Consignee]],Plant_AILN!A:C,3,FALSE))</f>
        <v/>
      </c>
      <c r="I106" s="52">
        <v>9</v>
      </c>
      <c r="J106" s="220">
        <v>7</v>
      </c>
      <c r="K106" s="96">
        <v>5</v>
      </c>
      <c r="L106" s="228">
        <v>7</v>
      </c>
      <c r="M106" s="229">
        <f>Tableau2[[#This Row],[Delivery time to ILN/Shipper]]+Tableau2[[#This Row],[Day ILN Order]]-1</f>
        <v>15</v>
      </c>
      <c r="N106" s="230">
        <v>2</v>
      </c>
      <c r="O106" s="231" t="s">
        <v>495</v>
      </c>
      <c r="P106" s="60">
        <v>4</v>
      </c>
    </row>
    <row r="107" spans="1:16" hidden="1">
      <c r="A107" s="243" t="str">
        <f>_xlfn.CONCAT(Tableau2[[#This Row],[Compte ILN]],"-",Tableau2[[#This Row],[Compte Shipper]],"-",Tableau2[[#This Row],[POL]],"-",Tableau2[[#This Row],[Compte Consignee]])</f>
        <v>92000100-90016100-FRLEH-90018000</v>
      </c>
      <c r="B107" s="243" t="str">
        <f>IF(Tableau2[[#This Row],[Name Consignee]]="",_xlfn.CONCAT(Tableau2[[#This Row],[Compte ILN]],"-",Tableau2[[#This Row],[Compte Shipper]],"-",Tableau2[[#This Row],[POL]]),"-")</f>
        <v>-</v>
      </c>
      <c r="C107" s="168" t="s">
        <v>143</v>
      </c>
      <c r="D107" s="229">
        <f>VLOOKUP(Tableau2[[#This Row],[ Name ILN]],Plant_AILN!F:G,2,FALSE)</f>
        <v>92000100</v>
      </c>
      <c r="E107" s="168" t="s">
        <v>291</v>
      </c>
      <c r="F107" s="236">
        <f>IFERROR(VLOOKUP(Tableau2[[#This Row],[Name of shipper]],Plant_AILN!L:M,2,FALSE),0)</f>
        <v>90016100</v>
      </c>
      <c r="G107" s="234" t="s">
        <v>181</v>
      </c>
      <c r="H107" s="236">
        <f>IF(Tableau2[[#This Row],[Name Consignee]]=0,"",VLOOKUP(Tableau2[[#This Row],[Name Consignee]],Plant_AILN!A:C,3,FALSE))</f>
        <v>90018000</v>
      </c>
      <c r="I107" s="52">
        <v>9</v>
      </c>
      <c r="J107" s="220">
        <v>14</v>
      </c>
      <c r="K107" s="96">
        <v>5</v>
      </c>
      <c r="L107" s="228">
        <v>7</v>
      </c>
      <c r="M107" s="229">
        <f>Tableau2[[#This Row],[Delivery time to ILN/Shipper]]+Tableau2[[#This Row],[Day ILN Order]]-1</f>
        <v>22</v>
      </c>
      <c r="N107" s="220">
        <v>1</v>
      </c>
      <c r="O107" s="96" t="s">
        <v>483</v>
      </c>
      <c r="P107" s="220">
        <v>8</v>
      </c>
    </row>
    <row r="108" spans="1:16" hidden="1">
      <c r="A108" s="243" t="str">
        <f>_xlfn.CONCAT(Tableau2[[#This Row],[Compte ILN]],"-",Tableau2[[#This Row],[Compte Shipper]],"-",Tableau2[[#This Row],[POL]],"-",Tableau2[[#This Row],[Compte Consignee]])</f>
        <v>92000100-900106-FRLEH-</v>
      </c>
      <c r="B108" s="370" t="str">
        <f>IF(Tableau2[[#This Row],[Name Consignee]]="",_xlfn.CONCAT(Tableau2[[#This Row],[Compte ILN]],"-",Tableau2[[#This Row],[Compte Shipper]],"-",Tableau2[[#This Row],[POL]]),"-")</f>
        <v>92000100-900106-FRLEH</v>
      </c>
      <c r="C108" s="168" t="s">
        <v>143</v>
      </c>
      <c r="D108" s="226">
        <f>VLOOKUP(Tableau2[[#This Row],[ Name ILN]],Plant_AILN!F:G,2,FALSE)</f>
        <v>92000100</v>
      </c>
      <c r="E108" s="168" t="s">
        <v>403</v>
      </c>
      <c r="F108" s="227">
        <f>IFERROR(VLOOKUP(Tableau2[[#This Row],[Name of shipper]],Plant_AILN!L:M,2,FALSE),0)</f>
        <v>900106</v>
      </c>
      <c r="G108" s="232"/>
      <c r="H108" s="227" t="str">
        <f>IF(Tableau2[[#This Row],[Name Consignee]]=0,"",VLOOKUP(Tableau2[[#This Row],[Name Consignee]],Plant_AILN!A:C,3,FALSE))</f>
        <v/>
      </c>
      <c r="I108" s="52">
        <v>9</v>
      </c>
      <c r="J108" s="220">
        <v>7</v>
      </c>
      <c r="K108" s="96">
        <v>5</v>
      </c>
      <c r="L108" s="228">
        <v>7</v>
      </c>
      <c r="M108" s="229">
        <f>Tableau2[[#This Row],[Delivery time to ILN/Shipper]]+Tableau2[[#This Row],[Day ILN Order]]-1</f>
        <v>15</v>
      </c>
      <c r="N108" s="230">
        <v>2</v>
      </c>
      <c r="O108" s="231" t="s">
        <v>483</v>
      </c>
      <c r="P108" s="60">
        <v>4</v>
      </c>
    </row>
    <row r="109" spans="1:16" hidden="1">
      <c r="A109" s="243" t="str">
        <f>_xlfn.CONCAT(Tableau2[[#This Row],[Compte ILN]],"-",Tableau2[[#This Row],[Compte Shipper]],"-",Tableau2[[#This Row],[POL]],"-",Tableau2[[#This Row],[Compte Consignee]])</f>
        <v>92000100-90016100-FRLEH-90018500</v>
      </c>
      <c r="B109" s="243" t="str">
        <f>IF(Tableau2[[#This Row],[Name Consignee]]="",_xlfn.CONCAT(Tableau2[[#This Row],[Compte ILN]],"-",Tableau2[[#This Row],[Compte Shipper]],"-",Tableau2[[#This Row],[POL]]),"-")</f>
        <v>-</v>
      </c>
      <c r="C109" s="168" t="s">
        <v>143</v>
      </c>
      <c r="D109" s="229">
        <f>VLOOKUP(Tableau2[[#This Row],[ Name ILN]],Plant_AILN!F:G,2,FALSE)</f>
        <v>92000100</v>
      </c>
      <c r="E109" s="168" t="s">
        <v>291</v>
      </c>
      <c r="F109" s="236">
        <f>IFERROR(VLOOKUP(Tableau2[[#This Row],[Name of shipper]],Plant_AILN!L:M,2,FALSE),0)</f>
        <v>90016100</v>
      </c>
      <c r="G109" s="234" t="s">
        <v>206</v>
      </c>
      <c r="H109" s="236">
        <f>IF(Tableau2[[#This Row],[Name Consignee]]=0,"",VLOOKUP(Tableau2[[#This Row],[Name Consignee]],Plant_AILN!A:C,3,FALSE))</f>
        <v>90018500</v>
      </c>
      <c r="I109" s="52">
        <v>9</v>
      </c>
      <c r="J109" s="220">
        <v>14</v>
      </c>
      <c r="K109" s="96">
        <v>5</v>
      </c>
      <c r="L109" s="228">
        <v>7</v>
      </c>
      <c r="M109" s="229">
        <f>Tableau2[[#This Row],[Delivery time to ILN/Shipper]]+Tableau2[[#This Row],[Day ILN Order]]-1</f>
        <v>22</v>
      </c>
      <c r="N109" s="220">
        <v>1</v>
      </c>
      <c r="O109" s="96" t="s">
        <v>483</v>
      </c>
      <c r="P109" s="220">
        <v>8</v>
      </c>
    </row>
    <row r="110" spans="1:16" hidden="1">
      <c r="A110" s="243" t="str">
        <f>_xlfn.CONCAT(Tableau2[[#This Row],[Compte ILN]],"-",Tableau2[[#This Row],[Compte Shipper]],"-",Tableau2[[#This Row],[POL]],"-",Tableau2[[#This Row],[Compte Consignee]])</f>
        <v>92000100-90016100-FRLEH-</v>
      </c>
      <c r="B110" s="370" t="str">
        <f>IF(Tableau2[[#This Row],[Name Consignee]]="",_xlfn.CONCAT(Tableau2[[#This Row],[Compte ILN]],"-",Tableau2[[#This Row],[Compte Shipper]],"-",Tableau2[[#This Row],[POL]]),"-")</f>
        <v>92000100-90016100-FRLEH</v>
      </c>
      <c r="C110" s="168" t="s">
        <v>143</v>
      </c>
      <c r="D110" s="226">
        <f>VLOOKUP(Tableau2[[#This Row],[ Name ILN]],Plant_AILN!F:G,2,FALSE)</f>
        <v>92000100</v>
      </c>
      <c r="E110" s="168" t="s">
        <v>291</v>
      </c>
      <c r="F110" s="227">
        <f>IFERROR(VLOOKUP(Tableau2[[#This Row],[Name of shipper]],Plant_AILN!L:M,2,FALSE),0)</f>
        <v>90016100</v>
      </c>
      <c r="G110" s="232"/>
      <c r="H110" s="227" t="str">
        <f>IF(Tableau2[[#This Row],[Name Consignee]]=0,"",VLOOKUP(Tableau2[[#This Row],[Name Consignee]],Plant_AILN!A:C,3,FALSE))</f>
        <v/>
      </c>
      <c r="I110" s="52">
        <v>9</v>
      </c>
      <c r="J110" s="220">
        <v>14</v>
      </c>
      <c r="K110" s="96">
        <v>5</v>
      </c>
      <c r="L110" s="228">
        <v>7</v>
      </c>
      <c r="M110" s="229">
        <f>Tableau2[[#This Row],[Delivery time to ILN/Shipper]]+Tableau2[[#This Row],[Day ILN Order]]-1</f>
        <v>22</v>
      </c>
      <c r="N110" s="230">
        <v>2</v>
      </c>
      <c r="O110" s="231" t="s">
        <v>483</v>
      </c>
      <c r="P110" s="60">
        <v>5</v>
      </c>
    </row>
    <row r="111" spans="1:16" hidden="1">
      <c r="A111" s="243" t="str">
        <f>_xlfn.CONCAT(Tableau2[[#This Row],[Compte ILN]],"-",Tableau2[[#This Row],[Compte Shipper]],"-",Tableau2[[#This Row],[POL]],"-",Tableau2[[#This Row],[Compte Consignee]])</f>
        <v>92000100-90018400-FRLEH-</v>
      </c>
      <c r="B111" s="370" t="str">
        <f>IF(Tableau2[[#This Row],[Name Consignee]]="",_xlfn.CONCAT(Tableau2[[#This Row],[Compte ILN]],"-",Tableau2[[#This Row],[Compte Shipper]],"-",Tableau2[[#This Row],[POL]]),"-")</f>
        <v>92000100-90018400-FRLEH</v>
      </c>
      <c r="C111" s="168" t="s">
        <v>143</v>
      </c>
      <c r="D111" s="226">
        <f>VLOOKUP(Tableau2[[#This Row],[ Name ILN]],Plant_AILN!F:G,2,FALSE)</f>
        <v>92000100</v>
      </c>
      <c r="E111" s="168" t="s">
        <v>219</v>
      </c>
      <c r="F111" s="227">
        <f>IFERROR(VLOOKUP(Tableau2[[#This Row],[Name of shipper]],Plant_AILN!L:M,2,FALSE),0)</f>
        <v>90018400</v>
      </c>
      <c r="G111" s="232"/>
      <c r="H111" s="227" t="str">
        <f>IF(Tableau2[[#This Row],[Name Consignee]]=0,"",VLOOKUP(Tableau2[[#This Row],[Name Consignee]],Plant_AILN!A:C,3,FALSE))</f>
        <v/>
      </c>
      <c r="I111" s="52">
        <v>9</v>
      </c>
      <c r="J111" s="220">
        <v>7</v>
      </c>
      <c r="K111" s="96">
        <v>5</v>
      </c>
      <c r="L111" s="228">
        <v>7</v>
      </c>
      <c r="M111" s="229">
        <f>Tableau2[[#This Row],[Delivery time to ILN/Shipper]]+Tableau2[[#This Row],[Day ILN Order]]-1</f>
        <v>15</v>
      </c>
      <c r="N111" s="230">
        <v>0</v>
      </c>
      <c r="O111" s="231" t="s">
        <v>483</v>
      </c>
      <c r="P111" s="60">
        <v>4</v>
      </c>
    </row>
    <row r="112" spans="1:16" hidden="1">
      <c r="A112" s="243" t="str">
        <f>_xlfn.CONCAT(Tableau2[[#This Row],[Compte ILN]],"-",Tableau2[[#This Row],[Compte Shipper]],"-",Tableau2[[#This Row],[POL]],"-",Tableau2[[#This Row],[Compte Consignee]])</f>
        <v>28390-28390-ROCND-</v>
      </c>
      <c r="B112" s="370" t="str">
        <f>IF(Tableau2[[#This Row],[Name Consignee]]="",_xlfn.CONCAT(Tableau2[[#This Row],[Compte ILN]],"-",Tableau2[[#This Row],[Compte Shipper]],"-",Tableau2[[#This Row],[POL]]),"-")</f>
        <v>28390-28390-ROCND</v>
      </c>
      <c r="C112" s="168" t="s">
        <v>168</v>
      </c>
      <c r="D112" s="226">
        <f>VLOOKUP(Tableau2[[#This Row],[ Name ILN]],Plant_AILN!F:G,2,FALSE)</f>
        <v>28390</v>
      </c>
      <c r="E112" s="168" t="s">
        <v>168</v>
      </c>
      <c r="F112" s="227">
        <f>IFERROR(VLOOKUP(Tableau2[[#This Row],[Name of shipper]],Plant_AILN!L:M,2,FALSE),0)</f>
        <v>28390</v>
      </c>
      <c r="G112" s="232"/>
      <c r="H112" s="227" t="str">
        <f>IF(Tableau2[[#This Row],[Name Consignee]]=0,"",VLOOKUP(Tableau2[[#This Row],[Name Consignee]],Plant_AILN!A:C,3,FALSE))</f>
        <v/>
      </c>
      <c r="I112" s="52">
        <v>9</v>
      </c>
      <c r="J112" s="220">
        <v>7</v>
      </c>
      <c r="K112" s="96">
        <v>5</v>
      </c>
      <c r="L112" s="228">
        <v>7</v>
      </c>
      <c r="M112" s="229">
        <f>Tableau2[[#This Row],[Delivery time to ILN/Shipper]]+Tableau2[[#This Row],[Day ILN Order]]-1</f>
        <v>15</v>
      </c>
      <c r="N112" s="230">
        <v>4</v>
      </c>
      <c r="O112" s="231" t="s">
        <v>547</v>
      </c>
      <c r="P112" s="60">
        <v>5</v>
      </c>
    </row>
    <row r="113" spans="1:17" hidden="1">
      <c r="A113" s="243" t="str">
        <f>_xlfn.CONCAT(Tableau2[[#This Row],[Compte ILN]],"-",Tableau2[[#This Row],[Compte Shipper]],"-",Tableau2[[#This Row],[POL]],"-",Tableau2[[#This Row],[Compte Consignee]])</f>
        <v>2533780535-2533780535-INNSA-</v>
      </c>
      <c r="B113" s="370" t="str">
        <f>IF(Tableau2[[#This Row],[Name Consignee]]="",_xlfn.CONCAT(Tableau2[[#This Row],[Compte ILN]],"-",Tableau2[[#This Row],[Compte Shipper]],"-",Tableau2[[#This Row],[POL]]),"-")</f>
        <v>2533780535-2533780535-INNSA</v>
      </c>
      <c r="C113" s="168" t="s">
        <v>150</v>
      </c>
      <c r="D113" s="226">
        <f>VLOOKUP(Tableau2[[#This Row],[ Name ILN]],Plant_AILN!F:G,2,FALSE)</f>
        <v>2533780535</v>
      </c>
      <c r="E113" s="168" t="s">
        <v>150</v>
      </c>
      <c r="F113" s="227">
        <f>IFERROR(VLOOKUP(Tableau2[[#This Row],[Name of shipper]],Plant_AILN!L:M,2,FALSE),0)</f>
        <v>2533780535</v>
      </c>
      <c r="G113" s="232"/>
      <c r="H113" s="227" t="str">
        <f>IF(Tableau2[[#This Row],[Name Consignee]]=0,"",VLOOKUP(Tableau2[[#This Row],[Name Consignee]],Plant_AILN!A:C,3,FALSE))</f>
        <v/>
      </c>
      <c r="I113" s="52">
        <v>9</v>
      </c>
      <c r="J113" s="220">
        <v>14</v>
      </c>
      <c r="K113" s="96">
        <v>5</v>
      </c>
      <c r="L113" s="228">
        <v>7</v>
      </c>
      <c r="M113" s="229">
        <f>Tableau2[[#This Row],[Delivery time to ILN/Shipper]]+Tableau2[[#This Row],[Day ILN Order]]-1</f>
        <v>22</v>
      </c>
      <c r="N113" s="230">
        <v>3</v>
      </c>
      <c r="O113" s="231" t="s">
        <v>511</v>
      </c>
      <c r="P113" s="60">
        <v>5</v>
      </c>
      <c r="Q113" t="s">
        <v>654</v>
      </c>
    </row>
    <row r="114" spans="1:17" hidden="1">
      <c r="A114" s="243" t="str">
        <f>_xlfn.CONCAT(Tableau2[[#This Row],[Compte ILN]],"-",Tableau2[[#This Row],[Compte Shipper]],"-",Tableau2[[#This Row],[POL]],"-",Tableau2[[#This Row],[Compte Consignee]])</f>
        <v>2533780535-2533780535-INMUN-</v>
      </c>
      <c r="B114" s="370" t="str">
        <f>IF(Tableau2[[#This Row],[Name Consignee]]="",_xlfn.CONCAT(Tableau2[[#This Row],[Compte ILN]],"-",Tableau2[[#This Row],[Compte Shipper]],"-",Tableau2[[#This Row],[POL]]),"-")</f>
        <v>2533780535-2533780535-INMUN</v>
      </c>
      <c r="C114" s="168" t="s">
        <v>150</v>
      </c>
      <c r="D114" s="226">
        <f>VLOOKUP(Tableau2[[#This Row],[ Name ILN]],Plant_AILN!F:G,2,FALSE)</f>
        <v>2533780535</v>
      </c>
      <c r="E114" s="168" t="s">
        <v>284</v>
      </c>
      <c r="F114" s="227">
        <f>IFERROR(VLOOKUP(Tableau2[[#This Row],[Name of shipper]],Plant_AILN!L:M,2,FALSE),0)</f>
        <v>2533780535</v>
      </c>
      <c r="G114" s="232"/>
      <c r="H114" s="227" t="str">
        <f>IF(Tableau2[[#This Row],[Name Consignee]]=0,"",VLOOKUP(Tableau2[[#This Row],[Name Consignee]],Plant_AILN!A:C,3,FALSE))</f>
        <v/>
      </c>
      <c r="I114" s="52">
        <v>9</v>
      </c>
      <c r="J114" s="220">
        <v>7</v>
      </c>
      <c r="K114" s="96">
        <v>5</v>
      </c>
      <c r="L114" s="228">
        <v>7</v>
      </c>
      <c r="M114" s="229">
        <f>Tableau2[[#This Row],[Delivery time to ILN/Shipper]]+Tableau2[[#This Row],[Day ILN Order]]-1</f>
        <v>15</v>
      </c>
      <c r="N114" s="230">
        <v>3</v>
      </c>
      <c r="O114" s="231" t="s">
        <v>640</v>
      </c>
      <c r="P114" s="60">
        <v>5</v>
      </c>
    </row>
    <row r="115" spans="1:17" hidden="1">
      <c r="A115" s="243" t="str">
        <f>_xlfn.CONCAT(Tableau2[[#This Row],[Compte ILN]],"-",Tableau2[[#This Row],[Compte Shipper]],"-",Tableau2[[#This Row],[POL]],"-",Tableau2[[#This Row],[Compte Consignee]])</f>
        <v>2533780535-2533780535-INMUN-</v>
      </c>
      <c r="B115" s="370" t="str">
        <f>IF(Tableau2[[#This Row],[Name Consignee]]="",_xlfn.CONCAT(Tableau2[[#This Row],[Compte ILN]],"-",Tableau2[[#This Row],[Compte Shipper]],"-",Tableau2[[#This Row],[POL]]),"-")</f>
        <v>2533780535-2533780535-INMUN</v>
      </c>
      <c r="C115" s="168" t="s">
        <v>150</v>
      </c>
      <c r="D115" s="226">
        <f>VLOOKUP(Tableau2[[#This Row],[ Name ILN]],Plant_AILN!F:G,2,FALSE)</f>
        <v>2533780535</v>
      </c>
      <c r="E115" s="168" t="s">
        <v>150</v>
      </c>
      <c r="F115" s="227">
        <f>IFERROR(VLOOKUP(Tableau2[[#This Row],[Name of shipper]],Plant_AILN!L:M,2,FALSE),0)</f>
        <v>2533780535</v>
      </c>
      <c r="G115" s="232"/>
      <c r="H115" s="227" t="str">
        <f>IF(Tableau2[[#This Row],[Name Consignee]]=0,"",VLOOKUP(Tableau2[[#This Row],[Name Consignee]],Plant_AILN!A:C,3,FALSE))</f>
        <v/>
      </c>
      <c r="I115" s="52">
        <v>9</v>
      </c>
      <c r="J115" s="220">
        <v>7</v>
      </c>
      <c r="K115" s="96">
        <v>5</v>
      </c>
      <c r="L115" s="228">
        <v>7</v>
      </c>
      <c r="M115" s="229">
        <f>Tableau2[[#This Row],[Delivery time to ILN/Shipper]]+Tableau2[[#This Row],[Day ILN Order]]-1</f>
        <v>15</v>
      </c>
      <c r="N115" s="230">
        <v>3</v>
      </c>
      <c r="O115" s="231" t="s">
        <v>640</v>
      </c>
      <c r="P115" s="60">
        <v>5</v>
      </c>
    </row>
    <row r="116" spans="1:17" hidden="1">
      <c r="A116" s="243" t="str">
        <f>_xlfn.CONCAT(Tableau2[[#This Row],[Compte ILN]],"-",Tableau2[[#This Row],[Compte Shipper]],"-",Tableau2[[#This Row],[POL]],"-",Tableau2[[#This Row],[Compte Consignee]])</f>
        <v>2533780535-2533780535-INNSA-</v>
      </c>
      <c r="B116" s="370" t="str">
        <f>IF(Tableau2[[#This Row],[Name Consignee]]="",_xlfn.CONCAT(Tableau2[[#This Row],[Compte ILN]],"-",Tableau2[[#This Row],[Compte Shipper]],"-",Tableau2[[#This Row],[POL]]),"-")</f>
        <v>2533780535-2533780535-INNSA</v>
      </c>
      <c r="C116" s="168" t="s">
        <v>150</v>
      </c>
      <c r="D116" s="226">
        <f>VLOOKUP(Tableau2[[#This Row],[ Name ILN]],Plant_AILN!F:G,2,FALSE)</f>
        <v>2533780535</v>
      </c>
      <c r="E116" s="168" t="s">
        <v>284</v>
      </c>
      <c r="F116" s="227">
        <f>IFERROR(VLOOKUP(Tableau2[[#This Row],[Name of shipper]],Plant_AILN!L:M,2,FALSE),0)</f>
        <v>2533780535</v>
      </c>
      <c r="G116" s="232"/>
      <c r="H116" s="227" t="str">
        <f>IF(Tableau2[[#This Row],[Name Consignee]]=0,"",VLOOKUP(Tableau2[[#This Row],[Name Consignee]],Plant_AILN!A:C,3,FALSE))</f>
        <v/>
      </c>
      <c r="I116" s="52">
        <v>9</v>
      </c>
      <c r="J116" s="220">
        <v>7</v>
      </c>
      <c r="K116" s="96">
        <v>5</v>
      </c>
      <c r="L116" s="228">
        <v>7</v>
      </c>
      <c r="M116" s="229">
        <f>Tableau2[[#This Row],[Delivery time to ILN/Shipper]]+Tableau2[[#This Row],[Day ILN Order]]-1</f>
        <v>15</v>
      </c>
      <c r="N116" s="230">
        <v>3</v>
      </c>
      <c r="O116" s="231" t="s">
        <v>511</v>
      </c>
      <c r="P116" s="60">
        <v>5</v>
      </c>
    </row>
    <row r="117" spans="1:17" hidden="1">
      <c r="A117" s="243" t="e">
        <f>_xlfn.CONCAT(Tableau2[[#This Row],[Compte ILN]],"-",Tableau2[[#This Row],[Compte Shipper]],"-",Tableau2[[#This Row],[POL]],"-",Tableau2[[#This Row],[Compte Consignee]])</f>
        <v>#N/A</v>
      </c>
      <c r="B117" s="370" t="e">
        <f>IF(Tableau2[[#This Row],[Name Consignee]]="",_xlfn.CONCAT(Tableau2[[#This Row],[Compte ILN]],"-",Tableau2[[#This Row],[Compte Shipper]],"-",Tableau2[[#This Row],[POL]]),"-")</f>
        <v>#N/A</v>
      </c>
      <c r="C117" s="168" t="s">
        <v>655</v>
      </c>
      <c r="D117" s="226" t="e">
        <f>VLOOKUP(Tableau2[[#This Row],[ Name ILN]],Plant_AILN!F:G,2,FALSE)</f>
        <v>#N/A</v>
      </c>
      <c r="E117" s="168" t="s">
        <v>655</v>
      </c>
      <c r="F117" s="227">
        <f>IFERROR(VLOOKUP(Tableau2[[#This Row],[Name of shipper]],Plant_AILN!L:M,2,FALSE),0)</f>
        <v>0</v>
      </c>
      <c r="G117" s="232"/>
      <c r="H117" s="227" t="str">
        <f>IF(Tableau2[[#This Row],[Name Consignee]]=0,"",VLOOKUP(Tableau2[[#This Row],[Name Consignee]],Plant_AILN!A:C,3,FALSE))</f>
        <v/>
      </c>
      <c r="I117" s="52">
        <v>9</v>
      </c>
      <c r="J117" s="220">
        <v>14</v>
      </c>
      <c r="K117" s="96">
        <v>5</v>
      </c>
      <c r="L117" s="228">
        <v>7</v>
      </c>
      <c r="M117" s="229">
        <f>Tableau2[[#This Row],[Delivery time to ILN/Shipper]]+Tableau2[[#This Row],[Day ILN Order]]-1</f>
        <v>22</v>
      </c>
      <c r="N117" s="230">
        <v>7</v>
      </c>
      <c r="O117" s="231" t="s">
        <v>524</v>
      </c>
      <c r="P117" s="60">
        <v>1</v>
      </c>
    </row>
    <row r="118" spans="1:17" hidden="1">
      <c r="A118" s="243" t="str">
        <f>_xlfn.CONCAT(Tableau2[[#This Row],[Compte ILN]],"-",Tableau2[[#This Row],[Compte Shipper]],"-",Tableau2[[#This Row],[POL]],"-",Tableau2[[#This Row],[Compte Consignee]])</f>
        <v>92050300-92050300-MAPTM-</v>
      </c>
      <c r="B118" s="370" t="str">
        <f>IF(Tableau2[[#This Row],[Name Consignee]]="",_xlfn.CONCAT(Tableau2[[#This Row],[Compte ILN]],"-",Tableau2[[#This Row],[Compte Shipper]],"-",Tableau2[[#This Row],[POL]]),"-")</f>
        <v>92050300-92050300-MAPTM</v>
      </c>
      <c r="C118" s="168" t="s">
        <v>161</v>
      </c>
      <c r="D118" s="226">
        <f>VLOOKUP(Tableau2[[#This Row],[ Name ILN]],Plant_AILN!F:G,2,FALSE)</f>
        <v>92050300</v>
      </c>
      <c r="E118" s="168" t="s">
        <v>161</v>
      </c>
      <c r="F118" s="227">
        <f>IFERROR(VLOOKUP(Tableau2[[#This Row],[Name of shipper]],Plant_AILN!L:M,2,FALSE),0)</f>
        <v>92050300</v>
      </c>
      <c r="G118" s="232"/>
      <c r="H118" s="227" t="str">
        <f>IF(Tableau2[[#This Row],[Name Consignee]]=0,"",VLOOKUP(Tableau2[[#This Row],[Name Consignee]],Plant_AILN!A:C,3,FALSE))</f>
        <v/>
      </c>
      <c r="I118" s="52">
        <v>9</v>
      </c>
      <c r="J118" s="220">
        <v>7</v>
      </c>
      <c r="K118" s="96">
        <v>5</v>
      </c>
      <c r="L118" s="228">
        <v>7</v>
      </c>
      <c r="M118" s="229">
        <f>Tableau2[[#This Row],[Delivery time to ILN/Shipper]]+Tableau2[[#This Row],[Day ILN Order]]-1</f>
        <v>15</v>
      </c>
      <c r="N118" s="230">
        <v>3</v>
      </c>
      <c r="O118" s="231" t="s">
        <v>539</v>
      </c>
      <c r="P118" s="60">
        <v>4</v>
      </c>
    </row>
    <row r="119" spans="1:17" hidden="1">
      <c r="A119" s="243" t="str">
        <f>_xlfn.CONCAT(Tableau2[[#This Row],[Compte ILN]],"-",Tableau2[[#This Row],[Compte Shipper]],"-",Tableau2[[#This Row],[POL]],"-",Tableau2[[#This Row],[Compte Consignee]])</f>
        <v>91018400-91017500-ESALG-</v>
      </c>
      <c r="B119" s="370" t="str">
        <f>IF(Tableau2[[#This Row],[Name Consignee]]="",_xlfn.CONCAT(Tableau2[[#This Row],[Compte ILN]],"-",Tableau2[[#This Row],[Compte Shipper]],"-",Tableau2[[#This Row],[POL]]),"-")</f>
        <v>91018400-91017500-ESALG</v>
      </c>
      <c r="C119" s="168" t="s">
        <v>151</v>
      </c>
      <c r="D119" s="226">
        <f>VLOOKUP(Tableau2[[#This Row],[ Name ILN]],Plant_AILN!F:G,2,FALSE)</f>
        <v>91018400</v>
      </c>
      <c r="E119" s="168" t="s">
        <v>156</v>
      </c>
      <c r="F119" s="227">
        <f>IFERROR(VLOOKUP(Tableau2[[#This Row],[Name of shipper]],Plant_AILN!L:M,2,FALSE),0)</f>
        <v>91017500</v>
      </c>
      <c r="G119" s="232"/>
      <c r="H119" s="227" t="str">
        <f>IF(Tableau2[[#This Row],[Name Consignee]]=0,"",VLOOKUP(Tableau2[[#This Row],[Name Consignee]],Plant_AILN!A:C,3,FALSE))</f>
        <v/>
      </c>
      <c r="I119" s="52">
        <v>9</v>
      </c>
      <c r="J119" s="220">
        <v>7</v>
      </c>
      <c r="K119" s="96">
        <v>5</v>
      </c>
      <c r="L119" s="228">
        <v>7</v>
      </c>
      <c r="M119" s="229">
        <f>Tableau2[[#This Row],[Delivery time to ILN/Shipper]]+Tableau2[[#This Row],[Day ILN Order]]-1</f>
        <v>15</v>
      </c>
      <c r="N119" s="230">
        <v>1</v>
      </c>
      <c r="O119" s="231" t="s">
        <v>531</v>
      </c>
      <c r="P119" s="60">
        <v>2</v>
      </c>
    </row>
    <row r="120" spans="1:17" hidden="1">
      <c r="A120" s="243" t="str">
        <f>_xlfn.CONCAT(Tableau2[[#This Row],[Compte ILN]],"-",Tableau2[[#This Row],[Compte Shipper]],"-",Tableau2[[#This Row],[POL]],"-",Tableau2[[#This Row],[Compte Consignee]])</f>
        <v>91018400-91018400-ESVLC-</v>
      </c>
      <c r="B120" s="370" t="str">
        <f>IF(Tableau2[[#This Row],[Name Consignee]]="",_xlfn.CONCAT(Tableau2[[#This Row],[Compte ILN]],"-",Tableau2[[#This Row],[Compte Shipper]],"-",Tableau2[[#This Row],[POL]]),"-")</f>
        <v>91018400-91018400-ESVLC</v>
      </c>
      <c r="C120" s="168" t="s">
        <v>151</v>
      </c>
      <c r="D120" s="226">
        <f>VLOOKUP(Tableau2[[#This Row],[ Name ILN]],Plant_AILN!F:G,2,FALSE)</f>
        <v>91018400</v>
      </c>
      <c r="E120" s="168" t="s">
        <v>151</v>
      </c>
      <c r="F120" s="227">
        <f>IFERROR(VLOOKUP(Tableau2[[#This Row],[Name of shipper]],Plant_AILN!L:M,2,FALSE),0)</f>
        <v>91018400</v>
      </c>
      <c r="G120" s="232"/>
      <c r="H120" s="227" t="str">
        <f>IF(Tableau2[[#This Row],[Name Consignee]]=0,"",VLOOKUP(Tableau2[[#This Row],[Name Consignee]],Plant_AILN!A:C,3,FALSE))</f>
        <v/>
      </c>
      <c r="I120" s="52">
        <v>9</v>
      </c>
      <c r="J120" s="220">
        <v>7</v>
      </c>
      <c r="K120" s="96">
        <v>5</v>
      </c>
      <c r="L120" s="228">
        <v>7</v>
      </c>
      <c r="M120" s="229">
        <f>Tableau2[[#This Row],[Delivery time to ILN/Shipper]]+Tableau2[[#This Row],[Day ILN Order]]-1</f>
        <v>15</v>
      </c>
      <c r="N120" s="230">
        <v>2</v>
      </c>
      <c r="O120" s="231" t="s">
        <v>519</v>
      </c>
      <c r="P120" s="60">
        <v>5</v>
      </c>
    </row>
    <row r="121" spans="1:17" hidden="1">
      <c r="A121" s="243" t="str">
        <f>_xlfn.CONCAT(Tableau2[[#This Row],[Compte ILN]],"-",Tableau2[[#This Row],[Compte Shipper]],"-",Tableau2[[#This Row],[POL]],"-",Tableau2[[#This Row],[Compte Consignee]])</f>
        <v>91018400-9521000-PTLEI-</v>
      </c>
      <c r="B121" s="370" t="str">
        <f>IF(Tableau2[[#This Row],[Name Consignee]]="",_xlfn.CONCAT(Tableau2[[#This Row],[Compte ILN]],"-",Tableau2[[#This Row],[Compte Shipper]],"-",Tableau2[[#This Row],[POL]]),"-")</f>
        <v>91018400-9521000-PTLEI</v>
      </c>
      <c r="C121" s="168" t="s">
        <v>151</v>
      </c>
      <c r="D121" s="226">
        <f>VLOOKUP(Tableau2[[#This Row],[ Name ILN]],Plant_AILN!F:G,2,FALSE)</f>
        <v>91018400</v>
      </c>
      <c r="E121" s="168" t="s">
        <v>248</v>
      </c>
      <c r="F121" s="227">
        <f>IFERROR(VLOOKUP(Tableau2[[#This Row],[Name of shipper]],Plant_AILN!L:M,2,FALSE),0)</f>
        <v>9521000</v>
      </c>
      <c r="G121" s="232"/>
      <c r="H121" s="227" t="str">
        <f>IF(Tableau2[[#This Row],[Name Consignee]]=0,"",VLOOKUP(Tableau2[[#This Row],[Name Consignee]],Plant_AILN!A:C,3,FALSE))</f>
        <v/>
      </c>
      <c r="I121" s="52">
        <v>9</v>
      </c>
      <c r="J121" s="220">
        <v>7</v>
      </c>
      <c r="K121" s="96">
        <v>5</v>
      </c>
      <c r="L121" s="228">
        <v>7</v>
      </c>
      <c r="M121" s="229">
        <f>Tableau2[[#This Row],[Delivery time to ILN/Shipper]]+Tableau2[[#This Row],[Day ILN Order]]-1</f>
        <v>15</v>
      </c>
      <c r="N121" s="230">
        <v>1</v>
      </c>
      <c r="O121" s="231" t="s">
        <v>656</v>
      </c>
      <c r="P121" s="60">
        <v>3</v>
      </c>
    </row>
    <row r="122" spans="1:17" hidden="1">
      <c r="A122" s="243" t="str">
        <f>_xlfn.CONCAT(Tableau2[[#This Row],[Compte ILN]],"-",Tableau2[[#This Row],[Compte Shipper]],"-",Tableau2[[#This Row],[POL]],"-",Tableau2[[#This Row],[Compte Consignee]])</f>
        <v>26037000-26037000-CNSHA-90016000</v>
      </c>
      <c r="B122" s="370" t="str">
        <f>IF(Tableau2[[#This Row],[Name Consignee]]="",_xlfn.CONCAT(Tableau2[[#This Row],[Compte ILN]],"-",Tableau2[[#This Row],[Compte Shipper]],"-",Tableau2[[#This Row],[POL]]),"-")</f>
        <v>-</v>
      </c>
      <c r="C122" s="168" t="s">
        <v>62</v>
      </c>
      <c r="D122" s="226">
        <f>VLOOKUP(Tableau2[[#This Row],[ Name ILN]],Plant_AILN!F:G,2,FALSE)</f>
        <v>26037000</v>
      </c>
      <c r="E122" s="168" t="s">
        <v>62</v>
      </c>
      <c r="F122" s="227">
        <f>IFERROR(VLOOKUP(Tableau2[[#This Row],[Name of shipper]],Plant_AILN!L:M,2,FALSE),0)</f>
        <v>26037000</v>
      </c>
      <c r="G122" s="232" t="s">
        <v>158</v>
      </c>
      <c r="H122" s="227">
        <f>IF(Tableau2[[#This Row],[Name Consignee]]=0,"",VLOOKUP(Tableau2[[#This Row],[Name Consignee]],Plant_AILN!A:C,3,FALSE))</f>
        <v>90016000</v>
      </c>
      <c r="I122" s="52">
        <v>9</v>
      </c>
      <c r="J122" s="220">
        <v>7</v>
      </c>
      <c r="K122" s="96">
        <v>5</v>
      </c>
      <c r="L122" s="228">
        <v>7</v>
      </c>
      <c r="M122" s="229">
        <f>Tableau2[[#This Row],[Delivery time to ILN/Shipper]]+Tableau2[[#This Row],[Day ILN Order]]-1</f>
        <v>15</v>
      </c>
      <c r="N122" s="230">
        <v>1</v>
      </c>
      <c r="O122" s="231" t="s">
        <v>524</v>
      </c>
      <c r="P122" s="60">
        <v>2</v>
      </c>
    </row>
    <row r="123" spans="1:17" hidden="1">
      <c r="A123" s="243" t="str">
        <f>_xlfn.CONCAT(Tableau2[[#This Row],[Compte ILN]],"-",Tableau2[[#This Row],[Compte Shipper]],"-",Tableau2[[#This Row],[POL]],"-",Tableau2[[#This Row],[Compte Consignee]])</f>
        <v>0-27002800-MYPEN-</v>
      </c>
      <c r="B123" s="370" t="str">
        <f>IF(Tableau2[[#This Row],[Name Consignee]]="",_xlfn.CONCAT(Tableau2[[#This Row],[Compte ILN]],"-",Tableau2[[#This Row],[Compte Shipper]],"-",Tableau2[[#This Row],[POL]]),"-")</f>
        <v>0-27002800-MYPEN</v>
      </c>
      <c r="C123" s="168" t="s">
        <v>146</v>
      </c>
      <c r="D123" s="226">
        <f>VLOOKUP(Tableau2[[#This Row],[ Name ILN]],Plant_AILN!F:G,2,FALSE)</f>
        <v>0</v>
      </c>
      <c r="E123" s="168" t="s">
        <v>322</v>
      </c>
      <c r="F123" s="227">
        <f>IFERROR(VLOOKUP(Tableau2[[#This Row],[Name of shipper]],Plant_AILN!L:M,2,FALSE),0)</f>
        <v>27002800</v>
      </c>
      <c r="G123" s="232"/>
      <c r="H123" s="227" t="str">
        <f>IF(Tableau2[[#This Row],[Name Consignee]]=0,"",VLOOKUP(Tableau2[[#This Row],[Name Consignee]],Plant_AILN!A:C,3,FALSE))</f>
        <v/>
      </c>
      <c r="I123" s="52">
        <v>9</v>
      </c>
      <c r="J123" s="220">
        <v>7</v>
      </c>
      <c r="K123" s="96">
        <v>5</v>
      </c>
      <c r="L123" s="228">
        <v>7</v>
      </c>
      <c r="M123" s="229">
        <f>Tableau2[[#This Row],[Delivery time to ILN/Shipper]]+Tableau2[[#This Row],[Day ILN Order]]-1</f>
        <v>15</v>
      </c>
      <c r="N123" s="230">
        <v>4</v>
      </c>
      <c r="O123" s="231" t="s">
        <v>644</v>
      </c>
      <c r="P123" s="60">
        <v>3</v>
      </c>
    </row>
    <row r="124" spans="1:17" hidden="1">
      <c r="A124" s="243" t="str">
        <f>_xlfn.CONCAT(Tableau2[[#This Row],[Compte ILN]],"-",Tableau2[[#This Row],[Compte Shipper]],"-",Tableau2[[#This Row],[POL]],"-",Tableau2[[#This Row],[Compte Consignee]])</f>
        <v>0-0-JPMOJ-</v>
      </c>
      <c r="B124" s="370" t="str">
        <f>IF(Tableau2[[#This Row],[Name Consignee]]="",_xlfn.CONCAT(Tableau2[[#This Row],[Compte ILN]],"-",Tableau2[[#This Row],[Compte Shipper]],"-",Tableau2[[#This Row],[POL]]),"-")</f>
        <v>0-0-JPMOJ</v>
      </c>
      <c r="C124" s="168" t="s">
        <v>146</v>
      </c>
      <c r="D124" s="226">
        <f>VLOOKUP(Tableau2[[#This Row],[ Name ILN]],Plant_AILN!F:G,2,FALSE)</f>
        <v>0</v>
      </c>
      <c r="E124" s="168" t="s">
        <v>146</v>
      </c>
      <c r="F124" s="227">
        <f>IFERROR(VLOOKUP(Tableau2[[#This Row],[Name of shipper]],Plant_AILN!L:M,2,FALSE),0)</f>
        <v>0</v>
      </c>
      <c r="G124" s="232"/>
      <c r="H124" s="227" t="str">
        <f>IF(Tableau2[[#This Row],[Name Consignee]]=0,"",VLOOKUP(Tableau2[[#This Row],[Name Consignee]],Plant_AILN!A:C,3,FALSE))</f>
        <v/>
      </c>
      <c r="I124" s="52">
        <v>9</v>
      </c>
      <c r="J124" s="220">
        <v>7</v>
      </c>
      <c r="K124" s="96">
        <v>5</v>
      </c>
      <c r="L124" s="228">
        <v>7</v>
      </c>
      <c r="M124" s="229">
        <f>Tableau2[[#This Row],[Delivery time to ILN/Shipper]]+Tableau2[[#This Row],[Day ILN Order]]-1</f>
        <v>15</v>
      </c>
      <c r="N124" s="230">
        <v>3</v>
      </c>
      <c r="O124" s="231" t="s">
        <v>657</v>
      </c>
      <c r="P124" s="60">
        <v>5</v>
      </c>
    </row>
    <row r="125" spans="1:17" hidden="1">
      <c r="A125" s="243" t="str">
        <f>_xlfn.CONCAT(Tableau2[[#This Row],[Compte ILN]],"-",Tableau2[[#This Row],[Compte Shipper]],"-",Tableau2[[#This Row],[POL]],"-",Tableau2[[#This Row],[Compte Consignee]])</f>
        <v>0-29179903-CNFUG-</v>
      </c>
      <c r="B125" s="370" t="str">
        <f>IF(Tableau2[[#This Row],[Name Consignee]]="",_xlfn.CONCAT(Tableau2[[#This Row],[Compte ILN]],"-",Tableau2[[#This Row],[Compte Shipper]],"-",Tableau2[[#This Row],[POL]]),"-")</f>
        <v>0-29179903-CNFUG</v>
      </c>
      <c r="C125" s="168" t="s">
        <v>146</v>
      </c>
      <c r="D125" s="226">
        <f>VLOOKUP(Tableau2[[#This Row],[ Name ILN]],Plant_AILN!F:G,2,FALSE)</f>
        <v>0</v>
      </c>
      <c r="E125" s="225" t="s">
        <v>286</v>
      </c>
      <c r="F125" s="227">
        <f>IFERROR(VLOOKUP(Tableau2[[#This Row],[Name of shipper]],Plant_AILN!L:M,2,FALSE),0)</f>
        <v>29179903</v>
      </c>
      <c r="G125" s="232"/>
      <c r="H125" s="227" t="str">
        <f>IF(Tableau2[[#This Row],[Name Consignee]]=0,"",VLOOKUP(Tableau2[[#This Row],[Name Consignee]],Plant_AILN!A:C,3,FALSE))</f>
        <v/>
      </c>
      <c r="I125" s="52">
        <v>9</v>
      </c>
      <c r="J125" s="220">
        <v>7</v>
      </c>
      <c r="K125" s="96">
        <v>5</v>
      </c>
      <c r="L125" s="228">
        <v>7</v>
      </c>
      <c r="M125" s="229">
        <f>Tableau2[[#This Row],[Delivery time to ILN/Shipper]]+Tableau2[[#This Row],[Day ILN Order]]-1</f>
        <v>15</v>
      </c>
      <c r="N125" s="230">
        <v>3</v>
      </c>
      <c r="O125" s="231" t="s">
        <v>646</v>
      </c>
      <c r="P125" s="60">
        <v>5</v>
      </c>
    </row>
    <row r="126" spans="1:17" hidden="1">
      <c r="A126" s="243" t="str">
        <f>_xlfn.CONCAT(Tableau2[[#This Row],[Compte ILN]],"-",Tableau2[[#This Row],[Compte Shipper]],"-",Tableau2[[#This Row],[POL]],"-",Tableau2[[#This Row],[Compte Consignee]])</f>
        <v>0-29179903-CNXAM-</v>
      </c>
      <c r="B126" s="243" t="str">
        <f>IF(Tableau2[[#This Row],[Name Consignee]]="",_xlfn.CONCAT(Tableau2[[#This Row],[Compte ILN]],"-",Tableau2[[#This Row],[Compte Shipper]],"-",Tableau2[[#This Row],[POL]]),"-")</f>
        <v>0-29179903-CNXAM</v>
      </c>
      <c r="C126" s="168" t="s">
        <v>146</v>
      </c>
      <c r="D126" s="229">
        <f>VLOOKUP(Tableau2[[#This Row],[ Name ILN]],Plant_AILN!F:G,2,FALSE)</f>
        <v>0</v>
      </c>
      <c r="E126" s="168" t="s">
        <v>304</v>
      </c>
      <c r="F126" s="236">
        <f>IFERROR(VLOOKUP(Tableau2[[#This Row],[Name of shipper]],Plant_AILN!L:M,2,FALSE),0)</f>
        <v>29179903</v>
      </c>
      <c r="G126" s="234"/>
      <c r="H126" s="236" t="str">
        <f>IF(Tableau2[[#This Row],[Name Consignee]]=0,"",VLOOKUP(Tableau2[[#This Row],[Name Consignee]],Plant_AILN!A:C,3,FALSE))</f>
        <v/>
      </c>
      <c r="I126" s="52">
        <v>9</v>
      </c>
      <c r="J126" s="220">
        <v>7</v>
      </c>
      <c r="K126" s="96">
        <v>5</v>
      </c>
      <c r="L126" s="228">
        <v>7</v>
      </c>
      <c r="M126" s="229">
        <f>Tableau2[[#This Row],[Delivery time to ILN/Shipper]]+Tableau2[[#This Row],[Day ILN Order]]-1</f>
        <v>15</v>
      </c>
      <c r="N126" s="230">
        <v>3</v>
      </c>
      <c r="O126" s="231" t="s">
        <v>658</v>
      </c>
      <c r="P126" s="60">
        <v>5</v>
      </c>
    </row>
    <row r="127" spans="1:17" hidden="1">
      <c r="A127" s="243" t="str">
        <f>_xlfn.CONCAT(Tableau2[[#This Row],[Compte ILN]],"-",Tableau2[[#This Row],[Compte Shipper]],"-",Tableau2[[#This Row],[POL]],"-",Tableau2[[#This Row],[Compte Consignee]])</f>
        <v>0-29179901-CNXAM-</v>
      </c>
      <c r="B127" s="243" t="str">
        <f>IF(Tableau2[[#This Row],[Name Consignee]]="",_xlfn.CONCAT(Tableau2[[#This Row],[Compte ILN]],"-",Tableau2[[#This Row],[Compte Shipper]],"-",Tableau2[[#This Row],[POL]]),"-")</f>
        <v>0-29179901-CNXAM</v>
      </c>
      <c r="C127" s="168" t="s">
        <v>146</v>
      </c>
      <c r="D127" s="229">
        <f>VLOOKUP(Tableau2[[#This Row],[ Name ILN]],Plant_AILN!F:G,2,FALSE)</f>
        <v>0</v>
      </c>
      <c r="E127" s="168" t="s">
        <v>310</v>
      </c>
      <c r="F127" s="236">
        <f>IFERROR(VLOOKUP(Tableau2[[#This Row],[Name of shipper]],Plant_AILN!L:M,2,FALSE),0)</f>
        <v>29179901</v>
      </c>
      <c r="G127" s="234"/>
      <c r="H127" s="236" t="str">
        <f>IF(Tableau2[[#This Row],[Name Consignee]]=0,"",VLOOKUP(Tableau2[[#This Row],[Name Consignee]],Plant_AILN!A:C,3,FALSE))</f>
        <v/>
      </c>
      <c r="I127" s="52">
        <v>9</v>
      </c>
      <c r="J127" s="220">
        <v>7</v>
      </c>
      <c r="K127" s="96">
        <v>5</v>
      </c>
      <c r="L127" s="228">
        <v>7</v>
      </c>
      <c r="M127" s="229">
        <f>Tableau2[[#This Row],[Delivery time to ILN/Shipper]]+Tableau2[[#This Row],[Day ILN Order]]-1</f>
        <v>15</v>
      </c>
      <c r="N127" s="230">
        <v>3</v>
      </c>
      <c r="O127" s="231" t="s">
        <v>658</v>
      </c>
      <c r="P127" s="60">
        <v>5</v>
      </c>
    </row>
    <row r="128" spans="1:17" hidden="1">
      <c r="A128" s="243" t="str">
        <f>_xlfn.CONCAT(Tableau2[[#This Row],[Compte ILN]],"-",Tableau2[[#This Row],[Compte Shipper]],"-",Tableau2[[#This Row],[POL]],"-",Tableau2[[#This Row],[Compte Consignee]])</f>
        <v>0-29179903-CNXMN-</v>
      </c>
      <c r="B128" s="370" t="str">
        <f>IF(Tableau2[[#This Row],[Name Consignee]]="",_xlfn.CONCAT(Tableau2[[#This Row],[Compte ILN]],"-",Tableau2[[#This Row],[Compte Shipper]],"-",Tableau2[[#This Row],[POL]]),"-")</f>
        <v>0-29179903-CNXMN</v>
      </c>
      <c r="C128" s="168" t="s">
        <v>146</v>
      </c>
      <c r="D128" s="226">
        <f>VLOOKUP(Tableau2[[#This Row],[ Name ILN]],Plant_AILN!F:G,2,FALSE)</f>
        <v>0</v>
      </c>
      <c r="E128" s="168" t="s">
        <v>304</v>
      </c>
      <c r="F128" s="227">
        <f>IFERROR(VLOOKUP(Tableau2[[#This Row],[Name of shipper]],Plant_AILN!L:M,2,FALSE),0)</f>
        <v>29179903</v>
      </c>
      <c r="G128" s="232"/>
      <c r="H128" s="227" t="str">
        <f>IF(Tableau2[[#This Row],[Name Consignee]]=0,"",VLOOKUP(Tableau2[[#This Row],[Name Consignee]],Plant_AILN!A:C,3,FALSE))</f>
        <v/>
      </c>
      <c r="I128" s="52">
        <v>9</v>
      </c>
      <c r="J128" s="220">
        <v>7</v>
      </c>
      <c r="K128" s="96">
        <v>5</v>
      </c>
      <c r="L128" s="228">
        <v>7</v>
      </c>
      <c r="M128" s="229">
        <f>Tableau2[[#This Row],[Delivery time to ILN/Shipper]]+Tableau2[[#This Row],[Day ILN Order]]-1</f>
        <v>15</v>
      </c>
      <c r="N128" s="230">
        <v>3</v>
      </c>
      <c r="O128" s="231" t="s">
        <v>659</v>
      </c>
      <c r="P128" s="60">
        <v>5</v>
      </c>
    </row>
    <row r="129" spans="1:16" hidden="1">
      <c r="A129" s="243" t="str">
        <f>_xlfn.CONCAT(Tableau2[[#This Row],[Compte ILN]],"-",Tableau2[[#This Row],[Compte Shipper]],"-",Tableau2[[#This Row],[POL]],"-",Tableau2[[#This Row],[Compte Consignee]])</f>
        <v>0-42631300-IDJKT-</v>
      </c>
      <c r="B129" s="370" t="str">
        <f>IF(Tableau2[[#This Row],[Name Consignee]]="",_xlfn.CONCAT(Tableau2[[#This Row],[Compte ILN]],"-",Tableau2[[#This Row],[Compte Shipper]],"-",Tableau2[[#This Row],[POL]]),"-")</f>
        <v>0-42631300-IDJKT</v>
      </c>
      <c r="C129" s="168" t="s">
        <v>146</v>
      </c>
      <c r="D129" s="226">
        <f>VLOOKUP(Tableau2[[#This Row],[ Name ILN]],Plant_AILN!F:G,2,FALSE)</f>
        <v>0</v>
      </c>
      <c r="E129" s="168" t="s">
        <v>316</v>
      </c>
      <c r="F129" s="227">
        <f>IFERROR(VLOOKUP(Tableau2[[#This Row],[Name of shipper]],Plant_AILN!L:M,2,FALSE),0)</f>
        <v>42631300</v>
      </c>
      <c r="G129" s="232"/>
      <c r="H129" s="227" t="str">
        <f>IF(Tableau2[[#This Row],[Name Consignee]]=0,"",VLOOKUP(Tableau2[[#This Row],[Name Consignee]],Plant_AILN!A:C,3,FALSE))</f>
        <v/>
      </c>
      <c r="I129" s="52">
        <v>9</v>
      </c>
      <c r="J129" s="220">
        <v>7</v>
      </c>
      <c r="K129" s="96">
        <v>5</v>
      </c>
      <c r="L129" s="228">
        <v>7</v>
      </c>
      <c r="M129" s="229">
        <f>Tableau2[[#This Row],[Delivery time to ILN/Shipper]]+Tableau2[[#This Row],[Day ILN Order]]-1</f>
        <v>15</v>
      </c>
      <c r="N129" s="230">
        <v>2</v>
      </c>
      <c r="O129" s="231" t="s">
        <v>648</v>
      </c>
      <c r="P129" s="60">
        <v>5</v>
      </c>
    </row>
    <row r="130" spans="1:16" hidden="1">
      <c r="A130" s="243" t="str">
        <f>_xlfn.CONCAT(Tableau2[[#This Row],[Compte ILN]],"-",Tableau2[[#This Row],[Compte Shipper]],"-",Tableau2[[#This Row],[POL]],"-",Tableau2[[#This Row],[Compte Consignee]])</f>
        <v>0-29179903-CNNGB-</v>
      </c>
      <c r="B130" s="370" t="str">
        <f>IF(Tableau2[[#This Row],[Name Consignee]]="",_xlfn.CONCAT(Tableau2[[#This Row],[Compte ILN]],"-",Tableau2[[#This Row],[Compte Shipper]],"-",Tableau2[[#This Row],[POL]]),"-")</f>
        <v>0-29179903-CNNGB</v>
      </c>
      <c r="C130" s="168" t="s">
        <v>146</v>
      </c>
      <c r="D130" s="226">
        <f>VLOOKUP(Tableau2[[#This Row],[ Name ILN]],Plant_AILN!F:G,2,FALSE)</f>
        <v>0</v>
      </c>
      <c r="E130" s="168" t="s">
        <v>292</v>
      </c>
      <c r="F130" s="227">
        <f>IFERROR(VLOOKUP(Tableau2[[#This Row],[Name of shipper]],Plant_AILN!L:M,2,FALSE),0)</f>
        <v>29179903</v>
      </c>
      <c r="G130" s="232"/>
      <c r="H130" s="227" t="str">
        <f>IF(Tableau2[[#This Row],[Name Consignee]]=0,"",VLOOKUP(Tableau2[[#This Row],[Name Consignee]],Plant_AILN!A:C,3,FALSE))</f>
        <v/>
      </c>
      <c r="I130" s="52">
        <v>9</v>
      </c>
      <c r="J130" s="220">
        <v>7</v>
      </c>
      <c r="K130" s="96">
        <v>5</v>
      </c>
      <c r="L130" s="228">
        <v>7</v>
      </c>
      <c r="M130" s="229">
        <f>Tableau2[[#This Row],[Delivery time to ILN/Shipper]]+Tableau2[[#This Row],[Day ILN Order]]-1</f>
        <v>15</v>
      </c>
      <c r="N130" s="230">
        <v>3</v>
      </c>
      <c r="O130" s="231" t="s">
        <v>660</v>
      </c>
      <c r="P130" s="60">
        <v>5</v>
      </c>
    </row>
    <row r="131" spans="1:16" hidden="1">
      <c r="A131" s="243" t="str">
        <f>_xlfn.CONCAT(Tableau2[[#This Row],[Compte ILN]],"-",Tableau2[[#This Row],[Compte Shipper]],"-",Tableau2[[#This Row],[POL]],"-",Tableau2[[#This Row],[Compte Consignee]])</f>
        <v>0-27002800-MYTPP-9510600</v>
      </c>
      <c r="B131" s="243" t="str">
        <f>IF(Tableau2[[#This Row],[Name Consignee]]="",_xlfn.CONCAT(Tableau2[[#This Row],[Compte ILN]],"-",Tableau2[[#This Row],[Compte Shipper]],"-",Tableau2[[#This Row],[POL]]),"-")</f>
        <v>-</v>
      </c>
      <c r="C131" s="168" t="s">
        <v>146</v>
      </c>
      <c r="D131" s="229">
        <f>VLOOKUP(Tableau2[[#This Row],[ Name ILN]],Plant_AILN!F:G,2,FALSE)</f>
        <v>0</v>
      </c>
      <c r="E131" s="168" t="s">
        <v>322</v>
      </c>
      <c r="F131" s="236">
        <f>IFERROR(VLOOKUP(Tableau2[[#This Row],[Name of shipper]],Plant_AILN!L:M,2,FALSE),0)</f>
        <v>27002800</v>
      </c>
      <c r="G131" s="234" t="s">
        <v>177</v>
      </c>
      <c r="H131" s="236">
        <f>IF(Tableau2[[#This Row],[Name Consignee]]=0,"",VLOOKUP(Tableau2[[#This Row],[Name Consignee]],Plant_AILN!A:C,3,FALSE))</f>
        <v>9510600</v>
      </c>
      <c r="I131" s="220">
        <v>9</v>
      </c>
      <c r="J131" s="220">
        <v>14</v>
      </c>
      <c r="K131" s="96">
        <v>5</v>
      </c>
      <c r="L131" s="225">
        <v>7</v>
      </c>
      <c r="M131" s="229">
        <f>Tableau2[[#This Row],[Delivery time to ILN/Shipper]]+Tableau2[[#This Row],[Day ILN Order]]-1</f>
        <v>22</v>
      </c>
      <c r="N131" s="220">
        <v>4</v>
      </c>
      <c r="O131" s="231" t="s">
        <v>643</v>
      </c>
      <c r="P131" s="220">
        <v>5</v>
      </c>
    </row>
    <row r="132" spans="1:16" hidden="1">
      <c r="A132" s="243" t="str">
        <f>_xlfn.CONCAT(Tableau2[[#This Row],[Compte ILN]],"-",Tableau2[[#This Row],[Compte Shipper]],"-",Tableau2[[#This Row],[POL]],"-",Tableau2[[#This Row],[Compte Consignee]])</f>
        <v>0-27002800-MYTPP-</v>
      </c>
      <c r="B132" s="370" t="str">
        <f>IF(Tableau2[[#This Row],[Name Consignee]]="",_xlfn.CONCAT(Tableau2[[#This Row],[Compte ILN]],"-",Tableau2[[#This Row],[Compte Shipper]],"-",Tableau2[[#This Row],[POL]]),"-")</f>
        <v>0-27002800-MYTPP</v>
      </c>
      <c r="C132" s="168" t="s">
        <v>146</v>
      </c>
      <c r="D132" s="226">
        <f>VLOOKUP(Tableau2[[#This Row],[ Name ILN]],Plant_AILN!F:G,2,FALSE)</f>
        <v>0</v>
      </c>
      <c r="E132" s="168" t="s">
        <v>322</v>
      </c>
      <c r="F132" s="227">
        <f>IFERROR(VLOOKUP(Tableau2[[#This Row],[Name of shipper]],Plant_AILN!L:M,2,FALSE),0)</f>
        <v>27002800</v>
      </c>
      <c r="G132" s="232"/>
      <c r="H132" s="227" t="str">
        <f>IF(Tableau2[[#This Row],[Name Consignee]]=0,"",VLOOKUP(Tableau2[[#This Row],[Name Consignee]],Plant_AILN!A:C,3,FALSE))</f>
        <v/>
      </c>
      <c r="I132" s="52">
        <v>9</v>
      </c>
      <c r="J132" s="220">
        <v>7</v>
      </c>
      <c r="K132" s="96">
        <v>5</v>
      </c>
      <c r="L132" s="228">
        <v>7</v>
      </c>
      <c r="M132" s="229">
        <f>Tableau2[[#This Row],[Delivery time to ILN/Shipper]]+Tableau2[[#This Row],[Day ILN Order]]-1</f>
        <v>15</v>
      </c>
      <c r="N132" s="230">
        <v>2</v>
      </c>
      <c r="O132" s="231" t="s">
        <v>643</v>
      </c>
      <c r="P132" s="60">
        <v>5</v>
      </c>
    </row>
    <row r="133" spans="1:16" hidden="1">
      <c r="A133" s="243" t="str">
        <f>_xlfn.CONCAT(Tableau2[[#This Row],[Compte ILN]],"-",Tableau2[[#This Row],[Compte Shipper]],"-",Tableau2[[#This Row],[POL]],"-",Tableau2[[#This Row],[Compte Consignee]])</f>
        <v>0-27002800-MYPGU-</v>
      </c>
      <c r="B133" s="370" t="str">
        <f>IF(Tableau2[[#This Row],[Name Consignee]]="",_xlfn.CONCAT(Tableau2[[#This Row],[Compte ILN]],"-",Tableau2[[#This Row],[Compte Shipper]],"-",Tableau2[[#This Row],[POL]]),"-")</f>
        <v>0-27002800-MYPGU</v>
      </c>
      <c r="C133" s="168" t="s">
        <v>146</v>
      </c>
      <c r="D133" s="226">
        <f>VLOOKUP(Tableau2[[#This Row],[ Name ILN]],Plant_AILN!F:G,2,FALSE)</f>
        <v>0</v>
      </c>
      <c r="E133" s="168" t="s">
        <v>322</v>
      </c>
      <c r="F133" s="227">
        <f>IFERROR(VLOOKUP(Tableau2[[#This Row],[Name of shipper]],Plant_AILN!L:M,2,FALSE),0)</f>
        <v>27002800</v>
      </c>
      <c r="G133" s="232"/>
      <c r="H133" s="227" t="str">
        <f>IF(Tableau2[[#This Row],[Name Consignee]]=0,"",VLOOKUP(Tableau2[[#This Row],[Name Consignee]],Plant_AILN!A:C,3,FALSE))</f>
        <v/>
      </c>
      <c r="I133" s="52">
        <v>9</v>
      </c>
      <c r="J133" s="220">
        <v>7</v>
      </c>
      <c r="K133" s="96">
        <v>5</v>
      </c>
      <c r="L133" s="228">
        <v>7</v>
      </c>
      <c r="M133" s="229">
        <f>Tableau2[[#This Row],[Delivery time to ILN/Shipper]]+Tableau2[[#This Row],[Day ILN Order]]-1</f>
        <v>15</v>
      </c>
      <c r="N133" s="230">
        <v>3</v>
      </c>
      <c r="O133" s="231" t="s">
        <v>645</v>
      </c>
      <c r="P133" s="60">
        <v>5</v>
      </c>
    </row>
    <row r="134" spans="1:16" hidden="1">
      <c r="A134" s="243" t="str">
        <f>_xlfn.CONCAT(Tableau2[[#This Row],[Compte ILN]],"-",Tableau2[[#This Row],[Compte Shipper]],"-",Tableau2[[#This Row],[POL]],"-",Tableau2[[#This Row],[Compte Consignee]])</f>
        <v>0-487230-MYPEN-</v>
      </c>
      <c r="B134" s="370" t="str">
        <f>IF(Tableau2[[#This Row],[Name Consignee]]="",_xlfn.CONCAT(Tableau2[[#This Row],[Compte ILN]],"-",Tableau2[[#This Row],[Compte Shipper]],"-",Tableau2[[#This Row],[POL]]),"-")</f>
        <v>0-487230-MYPEN</v>
      </c>
      <c r="C134" s="168" t="s">
        <v>146</v>
      </c>
      <c r="D134" s="226">
        <f>VLOOKUP(Tableau2[[#This Row],[ Name ILN]],Plant_AILN!F:G,2,FALSE)</f>
        <v>0</v>
      </c>
      <c r="E134" s="168" t="s">
        <v>395</v>
      </c>
      <c r="F134" s="227">
        <f>IFERROR(VLOOKUP(Tableau2[[#This Row],[Name of shipper]],Plant_AILN!L:M,2,FALSE),0)</f>
        <v>487230</v>
      </c>
      <c r="G134" s="232"/>
      <c r="H134" s="227" t="str">
        <f>IF(Tableau2[[#This Row],[Name Consignee]]=0,"",VLOOKUP(Tableau2[[#This Row],[Name Consignee]],Plant_AILN!A:C,3,FALSE))</f>
        <v/>
      </c>
      <c r="I134" s="52">
        <v>9</v>
      </c>
      <c r="J134" s="220">
        <v>7</v>
      </c>
      <c r="K134" s="96">
        <v>5</v>
      </c>
      <c r="L134" s="228">
        <v>7</v>
      </c>
      <c r="M134" s="229">
        <f>Tableau2[[#This Row],[Delivery time to ILN/Shipper]]+Tableau2[[#This Row],[Day ILN Order]]-1</f>
        <v>15</v>
      </c>
      <c r="N134" s="230">
        <v>2</v>
      </c>
      <c r="O134" s="231" t="s">
        <v>644</v>
      </c>
      <c r="P134" s="60">
        <v>3</v>
      </c>
    </row>
    <row r="135" spans="1:16" hidden="1">
      <c r="A135" s="243" t="str">
        <f>_xlfn.CONCAT(Tableau2[[#This Row],[Compte ILN]],"-",Tableau2[[#This Row],[Compte Shipper]],"-",Tableau2[[#This Row],[POL]],"-",Tableau2[[#This Row],[Compte Consignee]])</f>
        <v>0-25566103-CNSHA-</v>
      </c>
      <c r="B135" s="370" t="str">
        <f>IF(Tableau2[[#This Row],[Name Consignee]]="",_xlfn.CONCAT(Tableau2[[#This Row],[Compte ILN]],"-",Tableau2[[#This Row],[Compte Shipper]],"-",Tableau2[[#This Row],[POL]]),"-")</f>
        <v>0-25566103-CNSHA</v>
      </c>
      <c r="C135" s="168" t="s">
        <v>146</v>
      </c>
      <c r="D135" s="226">
        <f>VLOOKUP(Tableau2[[#This Row],[ Name ILN]],Plant_AILN!F:G,2,FALSE)</f>
        <v>0</v>
      </c>
      <c r="E135" s="168" t="s">
        <v>147</v>
      </c>
      <c r="F135" s="227">
        <f>IFERROR(VLOOKUP(Tableau2[[#This Row],[Name of shipper]],Plant_AILN!L:M,2,FALSE),0)</f>
        <v>25566103</v>
      </c>
      <c r="G135" s="232"/>
      <c r="H135" s="227" t="str">
        <f>IF(Tableau2[[#This Row],[Name Consignee]]=0,"",VLOOKUP(Tableau2[[#This Row],[Name Consignee]],Plant_AILN!A:C,3,FALSE))</f>
        <v/>
      </c>
      <c r="I135" s="52">
        <v>9</v>
      </c>
      <c r="J135" s="220">
        <v>7</v>
      </c>
      <c r="K135" s="96">
        <v>5</v>
      </c>
      <c r="L135" s="228">
        <v>4</v>
      </c>
      <c r="M135" s="229">
        <f>Tableau2[[#This Row],[Delivery time to ILN/Shipper]]+Tableau2[[#This Row],[Day ILN Order]]-1</f>
        <v>15</v>
      </c>
      <c r="N135" s="230">
        <v>5</v>
      </c>
      <c r="O135" s="231" t="s">
        <v>524</v>
      </c>
      <c r="P135" s="60">
        <v>5</v>
      </c>
    </row>
    <row r="136" spans="1:16" hidden="1">
      <c r="A136" s="243" t="str">
        <f>_xlfn.CONCAT(Tableau2[[#This Row],[Compte ILN]],"-",Tableau2[[#This Row],[Compte Shipper]],"-",Tableau2[[#This Row],[POL]],"-",Tableau2[[#This Row],[Compte Consignee]])</f>
        <v>0-42838303-CNKHN-</v>
      </c>
      <c r="B136" s="370" t="str">
        <f>IF(Tableau2[[#This Row],[Name Consignee]]="",_xlfn.CONCAT(Tableau2[[#This Row],[Compte ILN]],"-",Tableau2[[#This Row],[Compte Shipper]],"-",Tableau2[[#This Row],[POL]]),"-")</f>
        <v>0-42838303-CNKHN</v>
      </c>
      <c r="C136" s="168" t="s">
        <v>146</v>
      </c>
      <c r="D136" s="226">
        <f>VLOOKUP(Tableau2[[#This Row],[ Name ILN]],Plant_AILN!F:G,2,FALSE)</f>
        <v>0</v>
      </c>
      <c r="E136" s="168" t="s">
        <v>369</v>
      </c>
      <c r="F136" s="227">
        <f>IFERROR(VLOOKUP(Tableau2[[#This Row],[Name of shipper]],Plant_AILN!L:M,2,FALSE),0)</f>
        <v>42838303</v>
      </c>
      <c r="G136" s="232"/>
      <c r="H136" s="227" t="str">
        <f>IF(Tableau2[[#This Row],[Name Consignee]]=0,"",VLOOKUP(Tableau2[[#This Row],[Name Consignee]],Plant_AILN!A:C,3,FALSE))</f>
        <v/>
      </c>
      <c r="I136" s="52">
        <v>9</v>
      </c>
      <c r="J136" s="220">
        <v>7</v>
      </c>
      <c r="K136" s="96">
        <v>5</v>
      </c>
      <c r="L136" s="228">
        <v>7</v>
      </c>
      <c r="M136" s="229">
        <f>Tableau2[[#This Row],[Delivery time to ILN/Shipper]]+Tableau2[[#This Row],[Day ILN Order]]-1</f>
        <v>15</v>
      </c>
      <c r="N136" s="230">
        <v>3</v>
      </c>
      <c r="O136" s="231" t="s">
        <v>661</v>
      </c>
      <c r="P136" s="60">
        <v>2</v>
      </c>
    </row>
    <row r="137" spans="1:16" hidden="1">
      <c r="A137" s="243" t="str">
        <f>_xlfn.CONCAT(Tableau2[[#This Row],[Compte ILN]],"-",Tableau2[[#This Row],[Compte Shipper]],"-",Tableau2[[#This Row],[POL]],"-",Tableau2[[#This Row],[Compte Consignee]])</f>
        <v>0-42838303-CNSHA-</v>
      </c>
      <c r="B137" s="370" t="str">
        <f>IF(Tableau2[[#This Row],[Name Consignee]]="",_xlfn.CONCAT(Tableau2[[#This Row],[Compte ILN]],"-",Tableau2[[#This Row],[Compte Shipper]],"-",Tableau2[[#This Row],[POL]]),"-")</f>
        <v>0-42838303-CNSHA</v>
      </c>
      <c r="C137" s="168" t="s">
        <v>146</v>
      </c>
      <c r="D137" s="226">
        <f>VLOOKUP(Tableau2[[#This Row],[ Name ILN]],Plant_AILN!F:G,2,FALSE)</f>
        <v>0</v>
      </c>
      <c r="E137" s="168" t="s">
        <v>153</v>
      </c>
      <c r="F137" s="227">
        <f>IFERROR(VLOOKUP(Tableau2[[#This Row],[Name of shipper]],Plant_AILN!L:M,2,FALSE),0)</f>
        <v>42838303</v>
      </c>
      <c r="G137" s="232"/>
      <c r="H137" s="227" t="str">
        <f>IF(Tableau2[[#This Row],[Name Consignee]]=0,"",VLOOKUP(Tableau2[[#This Row],[Name Consignee]],Plant_AILN!A:C,3,FALSE))</f>
        <v/>
      </c>
      <c r="I137" s="52">
        <v>9</v>
      </c>
      <c r="J137" s="220">
        <v>7</v>
      </c>
      <c r="K137" s="96">
        <v>5</v>
      </c>
      <c r="L137" s="228">
        <v>7</v>
      </c>
      <c r="M137" s="229">
        <f>Tableau2[[#This Row],[Delivery time to ILN/Shipper]]+Tableau2[[#This Row],[Day ILN Order]]-1</f>
        <v>15</v>
      </c>
      <c r="N137" s="230">
        <v>8</v>
      </c>
      <c r="O137" s="231" t="s">
        <v>524</v>
      </c>
      <c r="P137" s="60">
        <v>3</v>
      </c>
    </row>
    <row r="138" spans="1:16" hidden="1">
      <c r="A138" s="243" t="str">
        <f>_xlfn.CONCAT(Tableau2[[#This Row],[Compte ILN]],"-",Tableau2[[#This Row],[Compte Shipper]],"-",Tableau2[[#This Row],[POL]],"-",Tableau2[[#This Row],[Compte Consignee]])</f>
        <v>0-29179900-CNSHA-</v>
      </c>
      <c r="B138" s="370" t="str">
        <f>IF(Tableau2[[#This Row],[Name Consignee]]="",_xlfn.CONCAT(Tableau2[[#This Row],[Compte ILN]],"-",Tableau2[[#This Row],[Compte Shipper]],"-",Tableau2[[#This Row],[POL]]),"-")</f>
        <v>0-29179900-CNSHA</v>
      </c>
      <c r="C138" s="168" t="s">
        <v>146</v>
      </c>
      <c r="D138" s="226">
        <f>VLOOKUP(Tableau2[[#This Row],[ Name ILN]],Plant_AILN!F:G,2,FALSE)</f>
        <v>0</v>
      </c>
      <c r="E138" s="168" t="s">
        <v>298</v>
      </c>
      <c r="F138" s="227">
        <f>IFERROR(VLOOKUP(Tableau2[[#This Row],[Name of shipper]],Plant_AILN!L:M,2,FALSE),0)</f>
        <v>29179900</v>
      </c>
      <c r="G138" s="232"/>
      <c r="H138" s="227" t="str">
        <f>IF(Tableau2[[#This Row],[Name Consignee]]=0,"",VLOOKUP(Tableau2[[#This Row],[Name Consignee]],Plant_AILN!A:C,3,FALSE))</f>
        <v/>
      </c>
      <c r="I138" s="52">
        <v>9</v>
      </c>
      <c r="J138" s="220">
        <v>7</v>
      </c>
      <c r="K138" s="96">
        <v>5</v>
      </c>
      <c r="L138" s="228">
        <v>7</v>
      </c>
      <c r="M138" s="229">
        <f>Tableau2[[#This Row],[Delivery time to ILN/Shipper]]+Tableau2[[#This Row],[Day ILN Order]]-1</f>
        <v>15</v>
      </c>
      <c r="N138" s="230">
        <v>3</v>
      </c>
      <c r="O138" s="231" t="s">
        <v>524</v>
      </c>
      <c r="P138" s="60">
        <v>5</v>
      </c>
    </row>
    <row r="139" spans="1:16" hidden="1">
      <c r="A139" s="243" t="str">
        <f>_xlfn.CONCAT(Tableau2[[#This Row],[Compte ILN]],"-",Tableau2[[#This Row],[Compte Shipper]],"-",Tableau2[[#This Row],[POL]],"-",Tableau2[[#This Row],[Compte Consignee]])</f>
        <v>2533780546-2533780535-INENR-</v>
      </c>
      <c r="B139" s="370" t="str">
        <f>IF(Tableau2[[#This Row],[Name Consignee]]="",_xlfn.CONCAT(Tableau2[[#This Row],[Compte ILN]],"-",Tableau2[[#This Row],[Compte Shipper]],"-",Tableau2[[#This Row],[POL]]),"-")</f>
        <v>2533780546-2533780535-INENR</v>
      </c>
      <c r="C139" s="168" t="s">
        <v>149</v>
      </c>
      <c r="D139" s="226">
        <f>VLOOKUP(Tableau2[[#This Row],[ Name ILN]],Plant_AILN!F:G,2,FALSE)</f>
        <v>2533780546</v>
      </c>
      <c r="E139" s="168" t="s">
        <v>284</v>
      </c>
      <c r="F139" s="227">
        <f>IFERROR(VLOOKUP(Tableau2[[#This Row],[Name of shipper]],Plant_AILN!L:M,2,FALSE),0)</f>
        <v>2533780535</v>
      </c>
      <c r="G139" s="232"/>
      <c r="H139" s="227" t="str">
        <f>IF(Tableau2[[#This Row],[Name Consignee]]=0,"",VLOOKUP(Tableau2[[#This Row],[Name Consignee]],Plant_AILN!A:C,3,FALSE))</f>
        <v/>
      </c>
      <c r="I139" s="52">
        <v>9</v>
      </c>
      <c r="J139" s="220">
        <v>14</v>
      </c>
      <c r="K139" s="96">
        <v>5</v>
      </c>
      <c r="L139" s="228">
        <v>7</v>
      </c>
      <c r="M139" s="229">
        <f>Tableau2[[#This Row],[Delivery time to ILN/Shipper]]+Tableau2[[#This Row],[Day ILN Order]]-1</f>
        <v>22</v>
      </c>
      <c r="N139" s="230">
        <v>2</v>
      </c>
      <c r="O139" s="231" t="s">
        <v>502</v>
      </c>
      <c r="P139" s="60">
        <v>5</v>
      </c>
    </row>
    <row r="140" spans="1:16" hidden="1">
      <c r="A140" s="243" t="str">
        <f>_xlfn.CONCAT(Tableau2[[#This Row],[Compte ILN]],"-",Tableau2[[#This Row],[Compte Shipper]],"-",Tableau2[[#This Row],[POL]],"-",Tableau2[[#This Row],[Compte Consignee]])</f>
        <v>95207-92007300-BRSSZ-90016000</v>
      </c>
      <c r="B140" s="370" t="str">
        <f>IF(Tableau2[[#This Row],[Name Consignee]]="",_xlfn.CONCAT(Tableau2[[#This Row],[Compte ILN]],"-",Tableau2[[#This Row],[Compte Shipper]],"-",Tableau2[[#This Row],[POL]]),"-")</f>
        <v>-</v>
      </c>
      <c r="C140" s="168" t="s">
        <v>163</v>
      </c>
      <c r="D140" s="226">
        <f>VLOOKUP(Tableau2[[#This Row],[ Name ILN]],Plant_AILN!F:G,2,FALSE)</f>
        <v>95207</v>
      </c>
      <c r="E140" s="168" t="s">
        <v>383</v>
      </c>
      <c r="F140" s="227">
        <f>IFERROR(VLOOKUP(Tableau2[[#This Row],[Name of shipper]],Plant_AILN!L:M,2,FALSE),0)</f>
        <v>92007300</v>
      </c>
      <c r="G140" s="232" t="s">
        <v>158</v>
      </c>
      <c r="H140" s="227">
        <f>IF(Tableau2[[#This Row],[Name Consignee]]=0,"",VLOOKUP(Tableau2[[#This Row],[Name Consignee]],Plant_AILN!A:C,3,FALSE))</f>
        <v>90016000</v>
      </c>
      <c r="I140" s="52">
        <v>9</v>
      </c>
      <c r="J140" s="220">
        <v>7</v>
      </c>
      <c r="K140" s="96">
        <v>5</v>
      </c>
      <c r="L140" s="228">
        <v>7</v>
      </c>
      <c r="M140" s="229">
        <f>Tableau2[[#This Row],[Delivery time to ILN/Shipper]]+Tableau2[[#This Row],[Day ILN Order]]-1</f>
        <v>15</v>
      </c>
      <c r="N140" s="230">
        <v>4</v>
      </c>
      <c r="O140" s="231" t="s">
        <v>662</v>
      </c>
      <c r="P140" s="60">
        <v>5</v>
      </c>
    </row>
    <row r="141" spans="1:16" hidden="1">
      <c r="A141" s="243" t="str">
        <f>_xlfn.CONCAT(Tableau2[[#This Row],[Compte ILN]],"-",Tableau2[[#This Row],[Compte Shipper]],"-",Tableau2[[#This Row],[POL]],"-",Tableau2[[#This Row],[Compte Consignee]])</f>
        <v>0-27002800-MYPGU-</v>
      </c>
      <c r="B141" s="370" t="str">
        <f>IF(Tableau2[[#This Row],[Name Consignee]]="",_xlfn.CONCAT(Tableau2[[#This Row],[Compte ILN]],"-",Tableau2[[#This Row],[Compte Shipper]],"-",Tableau2[[#This Row],[POL]]),"-")</f>
        <v>0-27002800-MYPGU</v>
      </c>
      <c r="C141" s="168" t="s">
        <v>146</v>
      </c>
      <c r="D141" s="226">
        <f>VLOOKUP(Tableau2[[#This Row],[ Name ILN]],Plant_AILN!F:G,2,FALSE)</f>
        <v>0</v>
      </c>
      <c r="E141" s="168" t="s">
        <v>322</v>
      </c>
      <c r="F141" s="227">
        <f>IFERROR(VLOOKUP(Tableau2[[#This Row],[Name of shipper]],Plant_AILN!L:M,2,FALSE),0)</f>
        <v>27002800</v>
      </c>
      <c r="G141" s="232"/>
      <c r="H141" s="227" t="str">
        <f>IF(Tableau2[[#This Row],[Name Consignee]]=0,"",VLOOKUP(Tableau2[[#This Row],[Name Consignee]],Plant_AILN!A:C,3,FALSE))</f>
        <v/>
      </c>
      <c r="I141" s="52">
        <v>9</v>
      </c>
      <c r="J141" s="220">
        <v>7</v>
      </c>
      <c r="K141" s="96">
        <v>5</v>
      </c>
      <c r="L141" s="228">
        <v>7</v>
      </c>
      <c r="M141" s="229">
        <f>Tableau2[[#This Row],[Delivery time to ILN/Shipper]]+Tableau2[[#This Row],[Day ILN Order]]-1</f>
        <v>15</v>
      </c>
      <c r="N141" s="230">
        <v>3</v>
      </c>
      <c r="O141" s="231" t="s">
        <v>645</v>
      </c>
      <c r="P141" s="60">
        <v>5</v>
      </c>
    </row>
    <row r="142" spans="1:16" hidden="1">
      <c r="A142" s="243" t="str">
        <f>_xlfn.CONCAT(Tableau2[[#This Row],[Compte ILN]],"-",Tableau2[[#This Row],[Compte Shipper]],"-",Tableau2[[#This Row],[POL]],"-",Tableau2[[#This Row],[Compte Consignee]])</f>
        <v>91018400-0-THLCH-</v>
      </c>
      <c r="B142" s="370" t="str">
        <f>IF(Tableau2[[#This Row],[Name Consignee]]="",_xlfn.CONCAT(Tableau2[[#This Row],[Compte ILN]],"-",Tableau2[[#This Row],[Compte Shipper]],"-",Tableau2[[#This Row],[POL]]),"-")</f>
        <v>91018400-0-THLCH</v>
      </c>
      <c r="C142" s="168" t="s">
        <v>151</v>
      </c>
      <c r="D142" s="226">
        <f>VLOOKUP(Tableau2[[#This Row],[ Name ILN]],Plant_AILN!F:G,2,FALSE)</f>
        <v>91018400</v>
      </c>
      <c r="E142" s="168" t="s">
        <v>663</v>
      </c>
      <c r="F142" s="227">
        <f>IFERROR(VLOOKUP(Tableau2[[#This Row],[Name of shipper]],Plant_AILN!L:M,2,FALSE),0)</f>
        <v>0</v>
      </c>
      <c r="G142" s="232"/>
      <c r="H142" s="227" t="str">
        <f>IF(Tableau2[[#This Row],[Name Consignee]]=0,"",VLOOKUP(Tableau2[[#This Row],[Name Consignee]],Plant_AILN!A:C,3,FALSE))</f>
        <v/>
      </c>
      <c r="I142" s="52">
        <v>9</v>
      </c>
      <c r="J142" s="220">
        <v>7</v>
      </c>
      <c r="K142" s="96">
        <v>5</v>
      </c>
      <c r="L142" s="228">
        <v>7</v>
      </c>
      <c r="M142" s="229">
        <f>Tableau2[[#This Row],[Delivery time to ILN/Shipper]]+Tableau2[[#This Row],[Day ILN Order]]-1</f>
        <v>15</v>
      </c>
      <c r="N142" s="230">
        <v>1</v>
      </c>
      <c r="O142" s="231" t="s">
        <v>615</v>
      </c>
      <c r="P142" s="60">
        <v>2</v>
      </c>
    </row>
    <row r="143" spans="1:16" hidden="1">
      <c r="A143" s="243" t="str">
        <f>_xlfn.CONCAT(Tableau2[[#This Row],[Compte ILN]],"-",Tableau2[[#This Row],[Compte Shipper]],"-",Tableau2[[#This Row],[POL]],"-",Tableau2[[#This Row],[Compte Consignee]])</f>
        <v>91018400-0-ZAPLZ-</v>
      </c>
      <c r="B143" s="370" t="str">
        <f>IF(Tableau2[[#This Row],[Name Consignee]]="",_xlfn.CONCAT(Tableau2[[#This Row],[Compte ILN]],"-",Tableau2[[#This Row],[Compte Shipper]],"-",Tableau2[[#This Row],[POL]]),"-")</f>
        <v>91018400-0-ZAPLZ</v>
      </c>
      <c r="C143" s="168" t="s">
        <v>151</v>
      </c>
      <c r="D143" s="226">
        <f>VLOOKUP(Tableau2[[#This Row],[ Name ILN]],Plant_AILN!F:G,2,FALSE)</f>
        <v>91018400</v>
      </c>
      <c r="E143" s="168" t="s">
        <v>664</v>
      </c>
      <c r="F143" s="227">
        <f>IFERROR(VLOOKUP(Tableau2[[#This Row],[Name of shipper]],Plant_AILN!L:M,2,FALSE),0)</f>
        <v>0</v>
      </c>
      <c r="G143" s="232"/>
      <c r="H143" s="227" t="str">
        <f>IF(Tableau2[[#This Row],[Name Consignee]]=0,"",VLOOKUP(Tableau2[[#This Row],[Name Consignee]],Plant_AILN!A:C,3,FALSE))</f>
        <v/>
      </c>
      <c r="I143" s="52">
        <v>9</v>
      </c>
      <c r="J143" s="220">
        <v>7</v>
      </c>
      <c r="K143" s="96">
        <v>5</v>
      </c>
      <c r="L143" s="228">
        <v>7</v>
      </c>
      <c r="M143" s="229">
        <f>Tableau2[[#This Row],[Delivery time to ILN/Shipper]]+Tableau2[[#This Row],[Day ILN Order]]-1</f>
        <v>15</v>
      </c>
      <c r="N143" s="230"/>
      <c r="O143" s="231" t="s">
        <v>665</v>
      </c>
      <c r="P143" s="60">
        <v>2</v>
      </c>
    </row>
    <row r="144" spans="1:16" hidden="1">
      <c r="A144" s="243" t="str">
        <f>_xlfn.CONCAT(Tableau2[[#This Row],[Compte ILN]],"-",Tableau2[[#This Row],[Compte Shipper]],"-",Tableau2[[#This Row],[POL]],"-",Tableau2[[#This Row],[Compte Consignee]])</f>
        <v>0-0-JPNGO-</v>
      </c>
      <c r="B144" s="370" t="str">
        <f>IF(Tableau2[[#This Row],[Name Consignee]]="",_xlfn.CONCAT(Tableau2[[#This Row],[Compte ILN]],"-",Tableau2[[#This Row],[Compte Shipper]],"-",Tableau2[[#This Row],[POL]]),"-")</f>
        <v>0-0-JPNGO</v>
      </c>
      <c r="C144" s="168" t="s">
        <v>146</v>
      </c>
      <c r="D144" s="226">
        <f>VLOOKUP(Tableau2[[#This Row],[ Name ILN]],Plant_AILN!F:G,2,FALSE)</f>
        <v>0</v>
      </c>
      <c r="E144" s="168" t="s">
        <v>666</v>
      </c>
      <c r="F144" s="227">
        <f>IFERROR(VLOOKUP(Tableau2[[#This Row],[Name of shipper]],Plant_AILN!L:M,2,FALSE),0)</f>
        <v>0</v>
      </c>
      <c r="G144" s="232"/>
      <c r="H144" s="227" t="str">
        <f>IF(Tableau2[[#This Row],[Name Consignee]]=0,"",VLOOKUP(Tableau2[[#This Row],[Name Consignee]],Plant_AILN!A:C,3,FALSE))</f>
        <v/>
      </c>
      <c r="I144" s="52">
        <v>9</v>
      </c>
      <c r="J144" s="220">
        <v>7</v>
      </c>
      <c r="K144" s="96">
        <v>5</v>
      </c>
      <c r="L144" s="228">
        <v>7</v>
      </c>
      <c r="M144" s="229">
        <f>Tableau2[[#This Row],[Delivery time to ILN/Shipper]]+Tableau2[[#This Row],[Day ILN Order]]-1</f>
        <v>15</v>
      </c>
      <c r="N144" s="230">
        <v>1</v>
      </c>
      <c r="O144" s="231" t="s">
        <v>667</v>
      </c>
      <c r="P144" s="60">
        <v>2</v>
      </c>
    </row>
    <row r="145" spans="1:17" hidden="1">
      <c r="A145" s="243" t="str">
        <f>_xlfn.CONCAT(Tableau2[[#This Row],[Compte ILN]],"-",Tableau2[[#This Row],[Compte Shipper]],"-",Tableau2[[#This Row],[POL]],"-",Tableau2[[#This Row],[Compte Consignee]])</f>
        <v>0-0-MYTPP-</v>
      </c>
      <c r="B145" s="370" t="str">
        <f>IF(Tableau2[[#This Row],[Name Consignee]]="",_xlfn.CONCAT(Tableau2[[#This Row],[Compte ILN]],"-",Tableau2[[#This Row],[Compte Shipper]],"-",Tableau2[[#This Row],[POL]]),"-")</f>
        <v>0-0-MYTPP</v>
      </c>
      <c r="C145" s="168" t="s">
        <v>146</v>
      </c>
      <c r="D145" s="226">
        <f>VLOOKUP(Tableau2[[#This Row],[ Name ILN]],Plant_AILN!F:G,2,FALSE)</f>
        <v>0</v>
      </c>
      <c r="E145" s="168" t="s">
        <v>146</v>
      </c>
      <c r="F145" s="227">
        <f>IFERROR(VLOOKUP(Tableau2[[#This Row],[Name of shipper]],Plant_AILN!L:M,2,FALSE),0)</f>
        <v>0</v>
      </c>
      <c r="G145" s="232"/>
      <c r="H145" s="227" t="str">
        <f>IF(Tableau2[[#This Row],[Name Consignee]]=0,"",VLOOKUP(Tableau2[[#This Row],[Name Consignee]],Plant_AILN!A:C,3,FALSE))</f>
        <v/>
      </c>
      <c r="I145" s="52">
        <v>9</v>
      </c>
      <c r="J145" s="220">
        <v>28</v>
      </c>
      <c r="K145" s="96">
        <v>5</v>
      </c>
      <c r="L145" s="228">
        <v>7</v>
      </c>
      <c r="M145" s="229">
        <f>Tableau2[[#This Row],[Delivery time to ILN/Shipper]]+Tableau2[[#This Row],[Day ILN Order]]-1</f>
        <v>36</v>
      </c>
      <c r="N145" s="230">
        <v>1</v>
      </c>
      <c r="O145" s="231" t="s">
        <v>643</v>
      </c>
      <c r="P145" s="60">
        <v>1</v>
      </c>
    </row>
    <row r="146" spans="1:17" hidden="1">
      <c r="A146" s="243" t="str">
        <f>_xlfn.CONCAT(Tableau2[[#This Row],[Compte ILN]],"-",Tableau2[[#This Row],[Compte Shipper]],"-",Tableau2[[#This Row],[POL]],"-",Tableau2[[#This Row],[Compte Consignee]])</f>
        <v>0-0-CNSHA-</v>
      </c>
      <c r="B146" s="370" t="str">
        <f>IF(Tableau2[[#This Row],[Name Consignee]]="",_xlfn.CONCAT(Tableau2[[#This Row],[Compte ILN]],"-",Tableau2[[#This Row],[Compte Shipper]],"-",Tableau2[[#This Row],[POL]]),"-")</f>
        <v>0-0-CNSHA</v>
      </c>
      <c r="C146" s="168" t="s">
        <v>146</v>
      </c>
      <c r="D146" s="226">
        <f>VLOOKUP(Tableau2[[#This Row],[ Name ILN]],Plant_AILN!F:G,2,FALSE)</f>
        <v>0</v>
      </c>
      <c r="E146" s="168" t="s">
        <v>146</v>
      </c>
      <c r="F146" s="227">
        <f>IFERROR(VLOOKUP(Tableau2[[#This Row],[Name of shipper]],Plant_AILN!L:M,2,FALSE),0)</f>
        <v>0</v>
      </c>
      <c r="G146" s="232"/>
      <c r="H146" s="227" t="str">
        <f>IF(Tableau2[[#This Row],[Name Consignee]]=0,"",VLOOKUP(Tableau2[[#This Row],[Name Consignee]],Plant_AILN!A:C,3,FALSE))</f>
        <v/>
      </c>
      <c r="I146" s="52">
        <v>7</v>
      </c>
      <c r="J146" s="220">
        <v>7</v>
      </c>
      <c r="K146" s="96">
        <v>5</v>
      </c>
      <c r="L146" s="228">
        <v>4</v>
      </c>
      <c r="M146" s="229">
        <f>Tableau2[[#This Row],[Delivery time to ILN/Shipper]]+Tableau2[[#This Row],[Day ILN Order]]-1</f>
        <v>13</v>
      </c>
      <c r="N146" s="230">
        <v>5</v>
      </c>
      <c r="O146" s="231" t="s">
        <v>524</v>
      </c>
      <c r="P146" s="60">
        <v>5</v>
      </c>
    </row>
    <row r="147" spans="1:17" hidden="1">
      <c r="A147" s="243" t="str">
        <f>_xlfn.CONCAT(Tableau2[[#This Row],[Compte ILN]],"-",Tableau2[[#This Row],[Compte Shipper]],"-",Tableau2[[#This Row],[POL]],"-",Tableau2[[#This Row],[Compte Consignee]])</f>
        <v>2533780535-2533780535-INMUN-900383</v>
      </c>
      <c r="B147" s="368" t="str">
        <f>IF(Tableau2[[#This Row],[Name Consignee]]="",_xlfn.CONCAT(Tableau2[[#This Row],[Compte ILN]],"-",Tableau2[[#This Row],[Compte Shipper]],"-",Tableau2[[#This Row],[POL]]),"-")</f>
        <v>-</v>
      </c>
      <c r="C147" s="234" t="s">
        <v>150</v>
      </c>
      <c r="D147" s="235">
        <f>VLOOKUP(Tableau2[[#This Row],[ Name ILN]],Plant_AILN!F:G,2,FALSE)</f>
        <v>2533780535</v>
      </c>
      <c r="E147" s="168" t="s">
        <v>284</v>
      </c>
      <c r="F147" s="227">
        <f>IFERROR(VLOOKUP(Tableau2[[#This Row],[Name of shipper]],Plant_AILN!L:M,2,FALSE),0)</f>
        <v>2533780535</v>
      </c>
      <c r="G147" s="139" t="s">
        <v>180</v>
      </c>
      <c r="H147" s="236">
        <f>IF(Tableau2[[#This Row],[Name Consignee]]=0,"",VLOOKUP(Tableau2[[#This Row],[Name Consignee]],Plant_AILN!A:C,3,FALSE))</f>
        <v>900383</v>
      </c>
      <c r="I147" s="105">
        <v>9</v>
      </c>
      <c r="J147" s="237">
        <v>14</v>
      </c>
      <c r="K147" s="238">
        <v>5</v>
      </c>
      <c r="L147" s="234">
        <v>7</v>
      </c>
      <c r="M147" s="239">
        <f>Tableau2[[#This Row],[Delivery time to ILN/Shipper]]+Tableau2[[#This Row],[Day ILN Order]]-1</f>
        <v>22</v>
      </c>
      <c r="N147" s="237">
        <v>3</v>
      </c>
      <c r="O147" s="96" t="s">
        <v>640</v>
      </c>
      <c r="P147" s="105">
        <v>5</v>
      </c>
    </row>
    <row r="148" spans="1:17" hidden="1">
      <c r="A148" s="243" t="str">
        <f>_xlfn.CONCAT(Tableau2[[#This Row],[Compte ILN]],"-",Tableau2[[#This Row],[Compte Shipper]],"-",Tableau2[[#This Row],[POL]],"-",Tableau2[[#This Row],[Compte Consignee]])</f>
        <v>2533780546-2533780546-INENR-90022000</v>
      </c>
      <c r="B148" s="243" t="str">
        <f>IF(Tableau2[[#This Row],[Name Consignee]]="",_xlfn.CONCAT(Tableau2[[#This Row],[Compte ILN]],"-",Tableau2[[#This Row],[Compte Shipper]],"-",Tableau2[[#This Row],[POL]]),"-")</f>
        <v>-</v>
      </c>
      <c r="C148" s="225" t="s">
        <v>149</v>
      </c>
      <c r="D148" s="229">
        <f>VLOOKUP(Tableau2[[#This Row],[ Name ILN]],Plant_AILN!F:G,2,FALSE)</f>
        <v>2533780546</v>
      </c>
      <c r="E148" s="234" t="s">
        <v>149</v>
      </c>
      <c r="F148" s="236">
        <f>IFERROR(VLOOKUP(Tableau2[[#This Row],[Name of shipper]],Plant_AILN!L:M,2,FALSE),0)</f>
        <v>2533780546</v>
      </c>
      <c r="G148" s="234" t="s">
        <v>235</v>
      </c>
      <c r="H148" s="236">
        <f>IF(Tableau2[[#This Row],[Name Consignee]]=0,"",VLOOKUP(Tableau2[[#This Row],[Name Consignee]],Plant_AILN!A:C,3,FALSE))</f>
        <v>90022000</v>
      </c>
      <c r="I148" s="105">
        <v>9</v>
      </c>
      <c r="J148" s="220">
        <v>14</v>
      </c>
      <c r="K148" s="96">
        <v>5</v>
      </c>
      <c r="L148" s="225">
        <v>14</v>
      </c>
      <c r="M148" s="229">
        <f>Tableau2[[#This Row],[Delivery time to ILN/Shipper]]+Tableau2[[#This Row],[Day ILN Order]]-1</f>
        <v>22</v>
      </c>
      <c r="N148" s="220">
        <v>2</v>
      </c>
      <c r="O148" s="96" t="s">
        <v>502</v>
      </c>
      <c r="P148" s="220">
        <v>5</v>
      </c>
      <c r="Q148" t="s">
        <v>668</v>
      </c>
    </row>
    <row r="149" spans="1:17" hidden="1">
      <c r="A149" s="243" t="str">
        <f>_xlfn.CONCAT(Tableau2[[#This Row],[Compte ILN]],"-",Tableau2[[#This Row],[Compte Shipper]],"-",Tableau2[[#This Row],[POL]],"-",Tableau2[[#This Row],[Compte Consignee]])</f>
        <v>2533780546-2533780546-INKAT-90022000</v>
      </c>
      <c r="B149" s="243" t="str">
        <f>IF(Tableau2[[#This Row],[Name Consignee]]="",_xlfn.CONCAT(Tableau2[[#This Row],[Compte ILN]],"-",Tableau2[[#This Row],[Compte Shipper]],"-",Tableau2[[#This Row],[POL]]),"-")</f>
        <v>-</v>
      </c>
      <c r="C149" s="225" t="s">
        <v>149</v>
      </c>
      <c r="D149" s="229">
        <f>VLOOKUP(Tableau2[[#This Row],[ Name ILN]],Plant_AILN!F:G,2,FALSE)</f>
        <v>2533780546</v>
      </c>
      <c r="E149" s="234" t="s">
        <v>149</v>
      </c>
      <c r="F149" s="236">
        <f>IFERROR(VLOOKUP(Tableau2[[#This Row],[Name of shipper]],Plant_AILN!L:M,2,FALSE),0)</f>
        <v>2533780546</v>
      </c>
      <c r="G149" s="234" t="s">
        <v>235</v>
      </c>
      <c r="H149" s="236">
        <f>IF(Tableau2[[#This Row],[Name Consignee]]=0,"",VLOOKUP(Tableau2[[#This Row],[Name Consignee]],Plant_AILN!A:C,3,FALSE))</f>
        <v>90022000</v>
      </c>
      <c r="I149" s="105">
        <v>9</v>
      </c>
      <c r="J149" s="220">
        <v>14</v>
      </c>
      <c r="K149" s="96">
        <v>5</v>
      </c>
      <c r="L149" s="225">
        <v>14</v>
      </c>
      <c r="M149" s="229">
        <f>Tableau2[[#This Row],[Delivery time to ILN/Shipper]]+Tableau2[[#This Row],[Day ILN Order]]-1</f>
        <v>22</v>
      </c>
      <c r="N149" s="220">
        <v>2</v>
      </c>
      <c r="O149" s="96" t="s">
        <v>571</v>
      </c>
      <c r="P149" s="220">
        <v>5</v>
      </c>
      <c r="Q149" t="s">
        <v>668</v>
      </c>
    </row>
    <row r="150" spans="1:17" hidden="1">
      <c r="A150" s="243" t="str">
        <f>_xlfn.CONCAT(Tableau2[[#This Row],[Compte ILN]],"-",Tableau2[[#This Row],[Compte Shipper]],"-",Tableau2[[#This Row],[POL]],"-",Tableau2[[#This Row],[Compte Consignee]])</f>
        <v>2533780546-2533780546-INMAA-90022000</v>
      </c>
      <c r="B150" s="368" t="str">
        <f>IF(Tableau2[[#This Row],[Name Consignee]]="",_xlfn.CONCAT(Tableau2[[#This Row],[Compte ILN]],"-",Tableau2[[#This Row],[Compte Shipper]],"-",Tableau2[[#This Row],[POL]]),"-")</f>
        <v>-</v>
      </c>
      <c r="C150" s="234" t="s">
        <v>149</v>
      </c>
      <c r="D150" s="235">
        <f>VLOOKUP(Tableau2[[#This Row],[ Name ILN]],Plant_AILN!F:G,2,FALSE)</f>
        <v>2533780546</v>
      </c>
      <c r="E150" s="225" t="s">
        <v>149</v>
      </c>
      <c r="F150" s="227">
        <f>IFERROR(VLOOKUP(Tableau2[[#This Row],[Name of shipper]],Plant_AILN!L:M,2,FALSE),0)</f>
        <v>2533780546</v>
      </c>
      <c r="G150" s="225" t="s">
        <v>235</v>
      </c>
      <c r="H150" s="236">
        <f>IF(Tableau2[[#This Row],[Name Consignee]]=0,"",VLOOKUP(Tableau2[[#This Row],[Name Consignee]],Plant_AILN!A:C,3,FALSE))</f>
        <v>90022000</v>
      </c>
      <c r="I150" s="105">
        <v>9</v>
      </c>
      <c r="J150" s="237">
        <v>14</v>
      </c>
      <c r="K150" s="238">
        <v>5</v>
      </c>
      <c r="L150" s="234">
        <v>14</v>
      </c>
      <c r="M150" s="239">
        <f>Tableau2[[#This Row],[Delivery time to ILN/Shipper]]+Tableau2[[#This Row],[Day ILN Order]]-1</f>
        <v>22</v>
      </c>
      <c r="N150" s="237">
        <v>2</v>
      </c>
      <c r="O150" s="238" t="s">
        <v>537</v>
      </c>
      <c r="P150" s="105">
        <v>5</v>
      </c>
      <c r="Q150" t="s">
        <v>668</v>
      </c>
    </row>
    <row r="151" spans="1:17" hidden="1">
      <c r="A151" s="243" t="str">
        <f>_xlfn.CONCAT(Tableau2[[#This Row],[Compte ILN]],"-",Tableau2[[#This Row],[Compte Shipper]],"-",Tableau2[[#This Row],[POL]],"-",Tableau2[[#This Row],[Compte Consignee]])</f>
        <v>95207-95207-BRPNG-26549500</v>
      </c>
      <c r="B151" s="368" t="str">
        <f>IF(Tableau2[[#This Row],[Name Consignee]]="",_xlfn.CONCAT(Tableau2[[#This Row],[Compte ILN]],"-",Tableau2[[#This Row],[Compte Shipper]],"-",Tableau2[[#This Row],[POL]]),"-")</f>
        <v>-</v>
      </c>
      <c r="C151" s="225" t="s">
        <v>163</v>
      </c>
      <c r="D151" s="235">
        <f>VLOOKUP(Tableau2[[#This Row],[ Name ILN]],Plant_AILN!F:G,2,FALSE)</f>
        <v>95207</v>
      </c>
      <c r="E151" s="168" t="s">
        <v>163</v>
      </c>
      <c r="F151" s="227">
        <f>IFERROR(VLOOKUP(Tableau2[[#This Row],[Name of shipper]],Plant_AILN!L:M,2,FALSE),0)</f>
        <v>95207</v>
      </c>
      <c r="G151" s="225" t="s">
        <v>221</v>
      </c>
      <c r="H151" s="236">
        <f>IF(Tableau2[[#This Row],[Name Consignee]]=0,"",VLOOKUP(Tableau2[[#This Row],[Name Consignee]],Plant_AILN!A:C,3,FALSE))</f>
        <v>26549500</v>
      </c>
      <c r="I151" s="105">
        <v>9</v>
      </c>
      <c r="J151" s="237">
        <v>14</v>
      </c>
      <c r="K151" s="238">
        <v>5</v>
      </c>
      <c r="L151" s="234">
        <v>7</v>
      </c>
      <c r="M151" s="239">
        <f>Tableau2[[#This Row],[Delivery time to ILN/Shipper]]+Tableau2[[#This Row],[Day ILN Order]]-1</f>
        <v>22</v>
      </c>
      <c r="N151" s="237">
        <v>10</v>
      </c>
      <c r="O151" s="238" t="s">
        <v>525</v>
      </c>
      <c r="P151" s="105">
        <v>4</v>
      </c>
    </row>
    <row r="152" spans="1:17" hidden="1">
      <c r="A152" s="243" t="str">
        <f>_xlfn.CONCAT(Tableau2[[#This Row],[Compte ILN]],"-",Tableau2[[#This Row],[Compte Shipper]],"-",Tableau2[[#This Row],[POL]],"-",Tableau2[[#This Row],[Compte Consignee]])</f>
        <v>95207-95207-BRPNG-26549502</v>
      </c>
      <c r="B152" s="368" t="str">
        <f>IF(Tableau2[[#This Row],[Name Consignee]]="",_xlfn.CONCAT(Tableau2[[#This Row],[Compte ILN]],"-",Tableau2[[#This Row],[Compte Shipper]],"-",Tableau2[[#This Row],[POL]]),"-")</f>
        <v>-</v>
      </c>
      <c r="C152" s="225" t="s">
        <v>163</v>
      </c>
      <c r="D152" s="235">
        <f>VLOOKUP(Tableau2[[#This Row],[ Name ILN]],Plant_AILN!F:G,2,FALSE)</f>
        <v>95207</v>
      </c>
      <c r="E152" s="168" t="s">
        <v>163</v>
      </c>
      <c r="F152" s="227">
        <f>IFERROR(VLOOKUP(Tableau2[[#This Row],[Name of shipper]],Plant_AILN!L:M,2,FALSE),0)</f>
        <v>95207</v>
      </c>
      <c r="G152" s="225" t="s">
        <v>159</v>
      </c>
      <c r="H152" s="236">
        <f>IF(Tableau2[[#This Row],[Name Consignee]]=0,"",VLOOKUP(Tableau2[[#This Row],[Name Consignee]],Plant_AILN!A:C,3,FALSE))</f>
        <v>26549502</v>
      </c>
      <c r="I152" s="105">
        <v>9</v>
      </c>
      <c r="J152" s="237">
        <v>14</v>
      </c>
      <c r="K152" s="238">
        <v>5</v>
      </c>
      <c r="L152" s="234">
        <v>7</v>
      </c>
      <c r="M152" s="239">
        <f>Tableau2[[#This Row],[Delivery time to ILN/Shipper]]+Tableau2[[#This Row],[Day ILN Order]]-1</f>
        <v>22</v>
      </c>
      <c r="N152" s="237">
        <v>10</v>
      </c>
      <c r="O152" s="238" t="s">
        <v>525</v>
      </c>
      <c r="P152" s="105">
        <v>4</v>
      </c>
    </row>
    <row r="153" spans="1:17" hidden="1">
      <c r="A153" s="243" t="str">
        <f>_xlfn.CONCAT(Tableau2[[#This Row],[Compte ILN]],"-",Tableau2[[#This Row],[Compte Shipper]],"-",Tableau2[[#This Row],[POL]],"-",Tableau2[[#This Row],[Compte Consignee]])</f>
        <v>95207-95207-BRPNG-9510600</v>
      </c>
      <c r="B153" s="368" t="str">
        <f>IF(Tableau2[[#This Row],[Name Consignee]]="",_xlfn.CONCAT(Tableau2[[#This Row],[Compte ILN]],"-",Tableau2[[#This Row],[Compte Shipper]],"-",Tableau2[[#This Row],[POL]]),"-")</f>
        <v>-</v>
      </c>
      <c r="C153" s="234" t="s">
        <v>163</v>
      </c>
      <c r="D153" s="235">
        <f>VLOOKUP(Tableau2[[#This Row],[ Name ILN]],Plant_AILN!F:G,2,FALSE)</f>
        <v>95207</v>
      </c>
      <c r="E153" s="168" t="s">
        <v>163</v>
      </c>
      <c r="F153" s="227">
        <f>IFERROR(VLOOKUP(Tableau2[[#This Row],[Name of shipper]],Plant_AILN!L:M,2,FALSE),0)</f>
        <v>95207</v>
      </c>
      <c r="G153" s="225" t="s">
        <v>177</v>
      </c>
      <c r="H153" s="236">
        <f>IF(Tableau2[[#This Row],[Name Consignee]]=0,"",VLOOKUP(Tableau2[[#This Row],[Name Consignee]],Plant_AILN!A:C,3,FALSE))</f>
        <v>9510600</v>
      </c>
      <c r="I153" s="105">
        <v>9</v>
      </c>
      <c r="J153" s="237">
        <v>7</v>
      </c>
      <c r="K153" s="238">
        <v>5</v>
      </c>
      <c r="L153" s="234">
        <v>7</v>
      </c>
      <c r="M153" s="239">
        <f>Tableau2[[#This Row],[Delivery time to ILN/Shipper]]+Tableau2[[#This Row],[Day ILN Order]]-1</f>
        <v>15</v>
      </c>
      <c r="N153" s="237">
        <v>3</v>
      </c>
      <c r="O153" s="238" t="s">
        <v>525</v>
      </c>
      <c r="P153" s="105">
        <v>4</v>
      </c>
    </row>
    <row r="154" spans="1:17" hidden="1">
      <c r="A154" s="243" t="str">
        <f>_xlfn.CONCAT(Tableau2[[#This Row],[Compte ILN]],"-",Tableau2[[#This Row],[Compte Shipper]],"-",Tableau2[[#This Row],[POL]],"-",Tableau2[[#This Row],[Compte Consignee]])</f>
        <v>26037000-26037000-CNSHA-90018600</v>
      </c>
      <c r="B154" s="368" t="str">
        <f>IF(Tableau2[[#This Row],[Name Consignee]]="",_xlfn.CONCAT(Tableau2[[#This Row],[Compte ILN]],"-",Tableau2[[#This Row],[Compte Shipper]],"-",Tableau2[[#This Row],[POL]]),"-")</f>
        <v>-</v>
      </c>
      <c r="C154" s="234" t="s">
        <v>62</v>
      </c>
      <c r="D154" s="235">
        <f>VLOOKUP(Tableau2[[#This Row],[ Name ILN]],Plant_AILN!F:G,2,FALSE)</f>
        <v>26037000</v>
      </c>
      <c r="E154" s="168" t="s">
        <v>62</v>
      </c>
      <c r="F154" s="227">
        <f>IFERROR(VLOOKUP(Tableau2[[#This Row],[Name of shipper]],Plant_AILN!L:M,2,FALSE),0)</f>
        <v>26037000</v>
      </c>
      <c r="G154" s="225" t="s">
        <v>174</v>
      </c>
      <c r="H154" s="236">
        <f>IF(Tableau2[[#This Row],[Name Consignee]]=0,"",VLOOKUP(Tableau2[[#This Row],[Name Consignee]],Plant_AILN!A:C,3,FALSE))</f>
        <v>90018600</v>
      </c>
      <c r="I154" s="105">
        <v>9</v>
      </c>
      <c r="J154" s="237">
        <v>14</v>
      </c>
      <c r="K154" s="238">
        <v>5</v>
      </c>
      <c r="L154" s="234">
        <v>7</v>
      </c>
      <c r="M154" s="239">
        <f>Tableau2[[#This Row],[Delivery time to ILN/Shipper]]+Tableau2[[#This Row],[Day ILN Order]]-1</f>
        <v>22</v>
      </c>
      <c r="N154" s="237">
        <v>1</v>
      </c>
      <c r="O154" s="231" t="s">
        <v>524</v>
      </c>
      <c r="P154" s="105">
        <v>2</v>
      </c>
    </row>
    <row r="155" spans="1:17" hidden="1">
      <c r="A155" s="243" t="str">
        <f>_xlfn.CONCAT(Tableau2[[#This Row],[Compte ILN]],"-",Tableau2[[#This Row],[Compte Shipper]],"-",Tableau2[[#This Row],[POL]],"-",Tableau2[[#This Row],[Compte Consignee]])</f>
        <v>26037000-26037000-CNSHA-90018500</v>
      </c>
      <c r="B155" s="368" t="str">
        <f>IF(Tableau2[[#This Row],[Name Consignee]]="",_xlfn.CONCAT(Tableau2[[#This Row],[Compte ILN]],"-",Tableau2[[#This Row],[Compte Shipper]],"-",Tableau2[[#This Row],[POL]]),"-")</f>
        <v>-</v>
      </c>
      <c r="C155" s="234" t="s">
        <v>62</v>
      </c>
      <c r="D155" s="235">
        <f>VLOOKUP(Tableau2[[#This Row],[ Name ILN]],Plant_AILN!F:G,2,FALSE)</f>
        <v>26037000</v>
      </c>
      <c r="E155" s="168" t="s">
        <v>62</v>
      </c>
      <c r="F155" s="227">
        <f>IFERROR(VLOOKUP(Tableau2[[#This Row],[Name of shipper]],Plant_AILN!L:M,2,FALSE),0)</f>
        <v>26037000</v>
      </c>
      <c r="G155" s="225" t="s">
        <v>206</v>
      </c>
      <c r="H155" s="236">
        <f>IF(Tableau2[[#This Row],[Name Consignee]]=0,"",VLOOKUP(Tableau2[[#This Row],[Name Consignee]],Plant_AILN!A:C,3,FALSE))</f>
        <v>90018500</v>
      </c>
      <c r="I155" s="105">
        <v>9</v>
      </c>
      <c r="J155" s="237">
        <v>14</v>
      </c>
      <c r="K155" s="238">
        <v>5</v>
      </c>
      <c r="L155" s="234">
        <v>7</v>
      </c>
      <c r="M155" s="239">
        <f>Tableau2[[#This Row],[Delivery time to ILN/Shipper]]+Tableau2[[#This Row],[Day ILN Order]]-1</f>
        <v>22</v>
      </c>
      <c r="N155" s="237">
        <v>1</v>
      </c>
      <c r="O155" s="231" t="s">
        <v>524</v>
      </c>
      <c r="P155" s="105">
        <v>2</v>
      </c>
    </row>
    <row r="156" spans="1:17" hidden="1">
      <c r="A156" s="243" t="str">
        <f>_xlfn.CONCAT(Tableau2[[#This Row],[Compte ILN]],"-",Tableau2[[#This Row],[Compte Shipper]],"-",Tableau2[[#This Row],[POL]],"-",Tableau2[[#This Row],[Compte Consignee]])</f>
        <v>26037000-26037000-CNSHA-90038200</v>
      </c>
      <c r="B156" s="368" t="str">
        <f>IF(Tableau2[[#This Row],[Name Consignee]]="",_xlfn.CONCAT(Tableau2[[#This Row],[Compte ILN]],"-",Tableau2[[#This Row],[Compte Shipper]],"-",Tableau2[[#This Row],[POL]]),"-")</f>
        <v>-</v>
      </c>
      <c r="C156" s="234" t="s">
        <v>62</v>
      </c>
      <c r="D156" s="235">
        <f>VLOOKUP(Tableau2[[#This Row],[ Name ILN]],Plant_AILN!F:G,2,FALSE)</f>
        <v>26037000</v>
      </c>
      <c r="E156" s="168" t="s">
        <v>62</v>
      </c>
      <c r="F156" s="227">
        <f>IFERROR(VLOOKUP(Tableau2[[#This Row],[Name of shipper]],Plant_AILN!L:M,2,FALSE),0)</f>
        <v>26037000</v>
      </c>
      <c r="G156" s="225" t="s">
        <v>179</v>
      </c>
      <c r="H156" s="236">
        <f>IF(Tableau2[[#This Row],[Name Consignee]]=0,"",VLOOKUP(Tableau2[[#This Row],[Name Consignee]],Plant_AILN!A:C,3,FALSE))</f>
        <v>90038200</v>
      </c>
      <c r="I156" s="105">
        <v>9</v>
      </c>
      <c r="J156" s="237">
        <v>14</v>
      </c>
      <c r="K156" s="238">
        <v>5</v>
      </c>
      <c r="L156" s="234">
        <v>7</v>
      </c>
      <c r="M156" s="239">
        <f>Tableau2[[#This Row],[Delivery time to ILN/Shipper]]+Tableau2[[#This Row],[Day ILN Order]]-1</f>
        <v>22</v>
      </c>
      <c r="N156" s="237">
        <v>1</v>
      </c>
      <c r="O156" s="231" t="s">
        <v>524</v>
      </c>
      <c r="P156" s="105">
        <v>2</v>
      </c>
    </row>
    <row r="157" spans="1:17" hidden="1">
      <c r="A157" s="243" t="str">
        <f>_xlfn.CONCAT(Tableau2[[#This Row],[Compte ILN]],"-",Tableau2[[#This Row],[Compte Shipper]],"-",Tableau2[[#This Row],[POL]],"-",Tableau2[[#This Row],[Compte Consignee]])</f>
        <v>26037001-26037001-CNSHA/CNNGB-90014400</v>
      </c>
      <c r="B157" s="368" t="str">
        <f>IF(Tableau2[[#This Row],[Name Consignee]]="",_xlfn.CONCAT(Tableau2[[#This Row],[Compte ILN]],"-",Tableau2[[#This Row],[Compte Shipper]],"-",Tableau2[[#This Row],[POL]]),"-")</f>
        <v>-</v>
      </c>
      <c r="C157" s="234" t="s">
        <v>201</v>
      </c>
      <c r="D157" s="235">
        <f>VLOOKUP(Tableau2[[#This Row],[ Name ILN]],Plant_AILN!F:G,2,FALSE)</f>
        <v>26037001</v>
      </c>
      <c r="E157" s="168" t="s">
        <v>201</v>
      </c>
      <c r="F157" s="227">
        <f>IFERROR(VLOOKUP(Tableau2[[#This Row],[Name of shipper]],Plant_AILN!L:M,2,FALSE),0)</f>
        <v>26037001</v>
      </c>
      <c r="G157" s="225" t="s">
        <v>165</v>
      </c>
      <c r="H157" s="236">
        <f>IF(Tableau2[[#This Row],[Name Consignee]]=0,"",VLOOKUP(Tableau2[[#This Row],[Name Consignee]],Plant_AILN!A:C,3,FALSE))</f>
        <v>90014400</v>
      </c>
      <c r="I157" s="105">
        <v>16</v>
      </c>
      <c r="J157" s="237">
        <v>14</v>
      </c>
      <c r="K157" s="238">
        <v>5</v>
      </c>
      <c r="L157" s="234">
        <v>7</v>
      </c>
      <c r="M157" s="239">
        <f>Tableau2[[#This Row],[Delivery time to ILN/Shipper]]+Tableau2[[#This Row],[Day ILN Order]]-1</f>
        <v>29</v>
      </c>
      <c r="N157" s="237">
        <v>7</v>
      </c>
      <c r="O157" s="238" t="s">
        <v>669</v>
      </c>
      <c r="P157" s="105">
        <v>1</v>
      </c>
    </row>
    <row r="158" spans="1:17" hidden="1">
      <c r="A158" s="243" t="str">
        <f>_xlfn.CONCAT(Tableau2[[#This Row],[Compte ILN]],"-",Tableau2[[#This Row],[Compte Shipper]],"-",Tableau2[[#This Row],[POL]],"-",Tableau2[[#This Row],[Compte Consignee]])</f>
        <v>2533780535-2533780535-INNSA-90016800</v>
      </c>
      <c r="B158" s="368" t="str">
        <f>IF(Tableau2[[#This Row],[Name Consignee]]="",_xlfn.CONCAT(Tableau2[[#This Row],[Compte ILN]],"-",Tableau2[[#This Row],[Compte Shipper]],"-",Tableau2[[#This Row],[POL]]),"-")</f>
        <v>-</v>
      </c>
      <c r="C158" s="234" t="s">
        <v>150</v>
      </c>
      <c r="D158" s="235">
        <f>VLOOKUP(Tableau2[[#This Row],[ Name ILN]],Plant_AILN!F:G,2,FALSE)</f>
        <v>2533780535</v>
      </c>
      <c r="E158" s="168" t="s">
        <v>284</v>
      </c>
      <c r="F158" s="227">
        <f>IFERROR(VLOOKUP(Tableau2[[#This Row],[Name of shipper]],Plant_AILN!L:M,2,FALSE),0)</f>
        <v>2533780535</v>
      </c>
      <c r="G158" s="225" t="s">
        <v>185</v>
      </c>
      <c r="H158" s="236">
        <f>IF(Tableau2[[#This Row],[Name Consignee]]=0,"",VLOOKUP(Tableau2[[#This Row],[Name Consignee]],Plant_AILN!A:C,3,FALSE))</f>
        <v>90016800</v>
      </c>
      <c r="I158" s="105">
        <v>9</v>
      </c>
      <c r="J158" s="237">
        <v>14</v>
      </c>
      <c r="K158" s="238">
        <v>5</v>
      </c>
      <c r="L158" s="234">
        <v>7</v>
      </c>
      <c r="M158" s="239">
        <f>Tableau2[[#This Row],[Delivery time to ILN/Shipper]]+Tableau2[[#This Row],[Day ILN Order]]-1</f>
        <v>22</v>
      </c>
      <c r="N158" s="237">
        <v>2</v>
      </c>
      <c r="O158" s="240" t="s">
        <v>511</v>
      </c>
      <c r="P158" s="105">
        <v>5</v>
      </c>
    </row>
    <row r="159" spans="1:17" hidden="1">
      <c r="A159" s="243" t="str">
        <f>_xlfn.CONCAT(Tableau2[[#This Row],[Compte ILN]],"-",Tableau2[[#This Row],[Compte Shipper]],"-",Tableau2[[#This Row],[POL]],"-",Tableau2[[#This Row],[Compte Consignee]])</f>
        <v>2533780535-2533780535-INNSA-90017000</v>
      </c>
      <c r="B159" s="368" t="str">
        <f>IF(Tableau2[[#This Row],[Name Consignee]]="",_xlfn.CONCAT(Tableau2[[#This Row],[Compte ILN]],"-",Tableau2[[#This Row],[Compte Shipper]],"-",Tableau2[[#This Row],[POL]]),"-")</f>
        <v>-</v>
      </c>
      <c r="C159" s="234" t="s">
        <v>150</v>
      </c>
      <c r="D159" s="235">
        <f>VLOOKUP(Tableau2[[#This Row],[ Name ILN]],Plant_AILN!F:G,2,FALSE)</f>
        <v>2533780535</v>
      </c>
      <c r="E159" s="168" t="s">
        <v>284</v>
      </c>
      <c r="F159" s="227">
        <f>IFERROR(VLOOKUP(Tableau2[[#This Row],[Name of shipper]],Plant_AILN!L:M,2,FALSE),0)</f>
        <v>2533780535</v>
      </c>
      <c r="G159" s="225" t="s">
        <v>173</v>
      </c>
      <c r="H159" s="236">
        <f>IF(Tableau2[[#This Row],[Name Consignee]]=0,"",VLOOKUP(Tableau2[[#This Row],[Name Consignee]],Plant_AILN!A:C,3,FALSE))</f>
        <v>90017000</v>
      </c>
      <c r="I159" s="105">
        <v>9</v>
      </c>
      <c r="J159" s="237">
        <v>14</v>
      </c>
      <c r="K159" s="238">
        <v>5</v>
      </c>
      <c r="L159" s="234">
        <v>7</v>
      </c>
      <c r="M159" s="239">
        <f>Tableau2[[#This Row],[Delivery time to ILN/Shipper]]+Tableau2[[#This Row],[Day ILN Order]]-1</f>
        <v>22</v>
      </c>
      <c r="N159" s="237">
        <v>2</v>
      </c>
      <c r="O159" s="240" t="s">
        <v>511</v>
      </c>
      <c r="P159" s="105">
        <v>5</v>
      </c>
    </row>
    <row r="160" spans="1:17" hidden="1">
      <c r="A160" s="243" t="str">
        <f>_xlfn.CONCAT(Tableau2[[#This Row],[Compte ILN]],"-",Tableau2[[#This Row],[Compte Shipper]],"-",Tableau2[[#This Row],[POL]],"-",Tableau2[[#This Row],[Compte Consignee]])</f>
        <v>95207-95207-BRPNG-90018400</v>
      </c>
      <c r="B160" s="371" t="str">
        <f>IF(Tableau2[[#This Row],[Name Consignee]]="",_xlfn.CONCAT(Tableau2[[#This Row],[Compte ILN]],"-",Tableau2[[#This Row],[Compte Shipper]],"-",Tableau2[[#This Row],[POL]]),"-")</f>
        <v>-</v>
      </c>
      <c r="C160" s="234" t="s">
        <v>163</v>
      </c>
      <c r="D160" s="235">
        <f>VLOOKUP(Tableau2[[#This Row],[ Name ILN]],Plant_AILN!F:G,2,FALSE)</f>
        <v>95207</v>
      </c>
      <c r="E160" s="168" t="s">
        <v>163</v>
      </c>
      <c r="F160" s="227">
        <f>IFERROR(VLOOKUP(Tableau2[[#This Row],[Name of shipper]],Plant_AILN!L:M,2,FALSE),0)</f>
        <v>95207</v>
      </c>
      <c r="G160" s="225" t="s">
        <v>219</v>
      </c>
      <c r="H160" s="236">
        <f>IF(Tableau2[[#This Row],[Name Consignee]]=0,"",VLOOKUP(Tableau2[[#This Row],[Name Consignee]],Plant_AILN!A:C,3,FALSE))</f>
        <v>90018400</v>
      </c>
      <c r="I160" s="105">
        <v>9</v>
      </c>
      <c r="J160" s="237">
        <v>7</v>
      </c>
      <c r="K160" s="96">
        <v>5</v>
      </c>
      <c r="L160" s="234">
        <v>7</v>
      </c>
      <c r="M160" s="239">
        <f>Tableau2[[#This Row],[Delivery time to ILN/Shipper]]+Tableau2[[#This Row],[Day ILN Order]]-1</f>
        <v>15</v>
      </c>
      <c r="N160" s="237">
        <v>13</v>
      </c>
      <c r="O160" s="238" t="s">
        <v>525</v>
      </c>
      <c r="P160" s="241">
        <v>7</v>
      </c>
    </row>
    <row r="161" spans="1:16" hidden="1">
      <c r="A161" s="243" t="str">
        <f>_xlfn.CONCAT(Tableau2[[#This Row],[Compte ILN]],"-",Tableau2[[#This Row],[Compte Shipper]],"-",Tableau2[[#This Row],[POL]],"-",Tableau2[[#This Row],[Compte Consignee]])</f>
        <v>95207-95207-BRPNG-90017100</v>
      </c>
      <c r="B161" s="371" t="str">
        <f>IF(Tableau2[[#This Row],[Name Consignee]]="",_xlfn.CONCAT(Tableau2[[#This Row],[Compte ILN]],"-",Tableau2[[#This Row],[Compte Shipper]],"-",Tableau2[[#This Row],[POL]]),"-")</f>
        <v>-</v>
      </c>
      <c r="C161" s="234" t="s">
        <v>163</v>
      </c>
      <c r="D161" s="235">
        <f>VLOOKUP(Tableau2[[#This Row],[ Name ILN]],Plant_AILN!F:G,2,FALSE)</f>
        <v>95207</v>
      </c>
      <c r="E161" s="168" t="s">
        <v>163</v>
      </c>
      <c r="F161" s="227">
        <f>IFERROR(VLOOKUP(Tableau2[[#This Row],[Name of shipper]],Plant_AILN!L:M,2,FALSE),0)</f>
        <v>95207</v>
      </c>
      <c r="G161" s="225" t="s">
        <v>670</v>
      </c>
      <c r="H161" s="236">
        <f>IF(Tableau2[[#This Row],[Name Consignee]]=0,"",VLOOKUP(Tableau2[[#This Row],[Name Consignee]],Plant_AILN!A:C,3,FALSE))</f>
        <v>90017100</v>
      </c>
      <c r="I161" s="105">
        <v>9</v>
      </c>
      <c r="J161" s="237">
        <v>7</v>
      </c>
      <c r="K161" s="96">
        <v>5</v>
      </c>
      <c r="L161" s="234">
        <v>7</v>
      </c>
      <c r="M161" s="239">
        <f>Tableau2[[#This Row],[Delivery time to ILN/Shipper]]+Tableau2[[#This Row],[Day ILN Order]]-1</f>
        <v>15</v>
      </c>
      <c r="N161" s="237">
        <v>13</v>
      </c>
      <c r="O161" s="238" t="s">
        <v>525</v>
      </c>
      <c r="P161" s="241">
        <v>7</v>
      </c>
    </row>
    <row r="162" spans="1:16" hidden="1">
      <c r="A162" s="243" t="str">
        <f>_xlfn.CONCAT(Tableau2[[#This Row],[Compte ILN]],"-",Tableau2[[#This Row],[Compte Shipper]],"-",Tableau2[[#This Row],[POL]],"-",Tableau2[[#This Row],[Compte Consignee]])</f>
        <v>95207-95207-BRPNG-90016200</v>
      </c>
      <c r="B162" s="371" t="str">
        <f>IF(Tableau2[[#This Row],[Name Consignee]]="",_xlfn.CONCAT(Tableau2[[#This Row],[Compte ILN]],"-",Tableau2[[#This Row],[Compte Shipper]],"-",Tableau2[[#This Row],[POL]]),"-")</f>
        <v>-</v>
      </c>
      <c r="C162" s="234" t="s">
        <v>163</v>
      </c>
      <c r="D162" s="235">
        <f>VLOOKUP(Tableau2[[#This Row],[ Name ILN]],Plant_AILN!F:G,2,FALSE)</f>
        <v>95207</v>
      </c>
      <c r="E162" s="168" t="s">
        <v>163</v>
      </c>
      <c r="F162" s="227">
        <f>IFERROR(VLOOKUP(Tableau2[[#This Row],[Name of shipper]],Plant_AILN!L:M,2,FALSE),0)</f>
        <v>95207</v>
      </c>
      <c r="G162" s="225" t="s">
        <v>210</v>
      </c>
      <c r="H162" s="236">
        <f>IF(Tableau2[[#This Row],[Name Consignee]]=0,"",VLOOKUP(Tableau2[[#This Row],[Name Consignee]],Plant_AILN!A:C,3,FALSE))</f>
        <v>90016200</v>
      </c>
      <c r="I162" s="105">
        <v>9</v>
      </c>
      <c r="J162" s="237">
        <v>7</v>
      </c>
      <c r="K162" s="96">
        <v>5</v>
      </c>
      <c r="L162" s="234">
        <v>7</v>
      </c>
      <c r="M162" s="239">
        <f>Tableau2[[#This Row],[Delivery time to ILN/Shipper]]+Tableau2[[#This Row],[Day ILN Order]]-1</f>
        <v>15</v>
      </c>
      <c r="N162" s="237">
        <v>13</v>
      </c>
      <c r="O162" s="238" t="s">
        <v>525</v>
      </c>
      <c r="P162" s="241">
        <v>7</v>
      </c>
    </row>
    <row r="163" spans="1:16" hidden="1">
      <c r="A163" s="243" t="str">
        <f>_xlfn.CONCAT(Tableau2[[#This Row],[Compte ILN]],"-",Tableau2[[#This Row],[Compte Shipper]],"-",Tableau2[[#This Row],[POL]],"-",Tableau2[[#This Row],[Compte Consignee]])</f>
        <v>95207-95207-BRPNG-90015100</v>
      </c>
      <c r="B163" s="371" t="str">
        <f>IF(Tableau2[[#This Row],[Name Consignee]]="",_xlfn.CONCAT(Tableau2[[#This Row],[Compte ILN]],"-",Tableau2[[#This Row],[Compte Shipper]],"-",Tableau2[[#This Row],[POL]]),"-")</f>
        <v>-</v>
      </c>
      <c r="C163" s="234" t="s">
        <v>163</v>
      </c>
      <c r="D163" s="235">
        <f>VLOOKUP(Tableau2[[#This Row],[ Name ILN]],Plant_AILN!F:G,2,FALSE)</f>
        <v>95207</v>
      </c>
      <c r="E163" s="168" t="s">
        <v>163</v>
      </c>
      <c r="F163" s="227">
        <f>IFERROR(VLOOKUP(Tableau2[[#This Row],[Name of shipper]],Plant_AILN!L:M,2,FALSE),0)</f>
        <v>95207</v>
      </c>
      <c r="G163" s="225" t="s">
        <v>209</v>
      </c>
      <c r="H163" s="236">
        <f>IF(Tableau2[[#This Row],[Name Consignee]]=0,"",VLOOKUP(Tableau2[[#This Row],[Name Consignee]],Plant_AILN!A:C,3,FALSE))</f>
        <v>90015100</v>
      </c>
      <c r="I163" s="105">
        <v>9</v>
      </c>
      <c r="J163" s="237">
        <v>7</v>
      </c>
      <c r="K163" s="238">
        <v>5</v>
      </c>
      <c r="L163" s="234">
        <v>7</v>
      </c>
      <c r="M163" s="239">
        <f>Tableau2[[#This Row],[Delivery time to ILN/Shipper]]+Tableau2[[#This Row],[Day ILN Order]]-1</f>
        <v>15</v>
      </c>
      <c r="N163" s="237">
        <v>13</v>
      </c>
      <c r="O163" s="238" t="s">
        <v>525</v>
      </c>
      <c r="P163" s="242">
        <v>7</v>
      </c>
    </row>
    <row r="164" spans="1:16" hidden="1">
      <c r="A164" s="243" t="str">
        <f>_xlfn.CONCAT(Tableau2[[#This Row],[Compte ILN]],"-",Tableau2[[#This Row],[Compte Shipper]],"-",Tableau2[[#This Row],[POL]],"-",Tableau2[[#This Row],[Compte Consignee]])</f>
        <v>95207-95207-BRPNG-90019100</v>
      </c>
      <c r="B164" s="371" t="str">
        <f>IF(Tableau2[[#This Row],[Name Consignee]]="",_xlfn.CONCAT(Tableau2[[#This Row],[Compte ILN]],"-",Tableau2[[#This Row],[Compte Shipper]],"-",Tableau2[[#This Row],[POL]]),"-")</f>
        <v>-</v>
      </c>
      <c r="C164" s="234" t="s">
        <v>163</v>
      </c>
      <c r="D164" s="235">
        <f>VLOOKUP(Tableau2[[#This Row],[ Name ILN]],Plant_AILN!F:G,2,FALSE)</f>
        <v>95207</v>
      </c>
      <c r="E164" s="168" t="s">
        <v>163</v>
      </c>
      <c r="F164" s="227">
        <f>IFERROR(VLOOKUP(Tableau2[[#This Row],[Name of shipper]],Plant_AILN!L:M,2,FALSE),0)</f>
        <v>95207</v>
      </c>
      <c r="G164" s="225" t="s">
        <v>188</v>
      </c>
      <c r="H164" s="236">
        <f>IF(Tableau2[[#This Row],[Name Consignee]]=0,"",VLOOKUP(Tableau2[[#This Row],[Name Consignee]],Plant_AILN!A:C,3,FALSE))</f>
        <v>90019100</v>
      </c>
      <c r="I164" s="105">
        <v>9</v>
      </c>
      <c r="J164" s="237">
        <v>7</v>
      </c>
      <c r="K164" s="238">
        <v>5</v>
      </c>
      <c r="L164" s="234">
        <v>7</v>
      </c>
      <c r="M164" s="239">
        <f>Tableau2[[#This Row],[Delivery time to ILN/Shipper]]+Tableau2[[#This Row],[Day ILN Order]]-1</f>
        <v>15</v>
      </c>
      <c r="N164" s="237">
        <v>13</v>
      </c>
      <c r="O164" s="238" t="s">
        <v>525</v>
      </c>
      <c r="P164" s="242">
        <v>7</v>
      </c>
    </row>
    <row r="165" spans="1:16" hidden="1">
      <c r="A165" s="243" t="str">
        <f>_xlfn.CONCAT(Tableau2[[#This Row],[Compte ILN]],"-",Tableau2[[#This Row],[Compte Shipper]],"-",Tableau2[[#This Row],[POL]],"-",Tableau2[[#This Row],[Compte Consignee]])</f>
        <v>95207-95207-BRPNG-90018300</v>
      </c>
      <c r="B165" s="372" t="str">
        <f>IF(Tableau2[[#This Row],[Name Consignee]]="",_xlfn.CONCAT(Tableau2[[#This Row],[Compte ILN]],"-",Tableau2[[#This Row],[Compte Shipper]],"-",Tableau2[[#This Row],[POL]]),"-")</f>
        <v>-</v>
      </c>
      <c r="C165" s="234" t="s">
        <v>163</v>
      </c>
      <c r="D165" s="226">
        <f>VLOOKUP(Tableau2[[#This Row],[ Name ILN]],Plant_AILN!F:G,2,FALSE)</f>
        <v>95207</v>
      </c>
      <c r="E165" s="168" t="s">
        <v>163</v>
      </c>
      <c r="F165" s="227">
        <f>IFERROR(VLOOKUP(Tableau2[[#This Row],[Name of shipper]],Plant_AILN!L:M,2,FALSE),0)</f>
        <v>95207</v>
      </c>
      <c r="G165" s="225" t="s">
        <v>220</v>
      </c>
      <c r="H165" s="236">
        <f>IF(Tableau2[[#This Row],[Name Consignee]]=0,"",VLOOKUP(Tableau2[[#This Row],[Name Consignee]],Plant_AILN!A:C,3,FALSE))</f>
        <v>90018300</v>
      </c>
      <c r="I165" s="105">
        <v>9</v>
      </c>
      <c r="J165" s="220">
        <v>7</v>
      </c>
      <c r="K165" s="238">
        <v>5</v>
      </c>
      <c r="L165" s="225">
        <v>7</v>
      </c>
      <c r="M165" s="229">
        <f>Tableau2[[#This Row],[Delivery time to ILN/Shipper]]+Tableau2[[#This Row],[Day ILN Order]]-1</f>
        <v>15</v>
      </c>
      <c r="N165" s="220">
        <v>13</v>
      </c>
      <c r="O165" s="238" t="s">
        <v>525</v>
      </c>
      <c r="P165" s="242">
        <v>7</v>
      </c>
    </row>
    <row r="166" spans="1:16" hidden="1">
      <c r="A166" s="243" t="str">
        <f>_xlfn.CONCAT(Tableau2[[#This Row],[Compte ILN]],"-",Tableau2[[#This Row],[Compte Shipper]],"-",Tableau2[[#This Row],[POL]],"-",Tableau2[[#This Row],[Compte Consignee]])</f>
        <v>95207-95207-BRPNG-92000100</v>
      </c>
      <c r="B166" s="372" t="str">
        <f>IF(Tableau2[[#This Row],[Name Consignee]]="",_xlfn.CONCAT(Tableau2[[#This Row],[Compte ILN]],"-",Tableau2[[#This Row],[Compte Shipper]],"-",Tableau2[[#This Row],[POL]]),"-")</f>
        <v>-</v>
      </c>
      <c r="C166" s="234" t="s">
        <v>163</v>
      </c>
      <c r="D166" s="226">
        <f>VLOOKUP(Tableau2[[#This Row],[ Name ILN]],Plant_AILN!F:G,2,FALSE)</f>
        <v>95207</v>
      </c>
      <c r="E166" s="168" t="s">
        <v>163</v>
      </c>
      <c r="F166" s="227">
        <f>IFERROR(VLOOKUP(Tableau2[[#This Row],[Name of shipper]],Plant_AILN!L:M,2,FALSE),0)</f>
        <v>95207</v>
      </c>
      <c r="G166" s="225" t="s">
        <v>183</v>
      </c>
      <c r="H166" s="236">
        <f>IF(Tableau2[[#This Row],[Name Consignee]]=0,"",VLOOKUP(Tableau2[[#This Row],[Name Consignee]],Plant_AILN!A:C,3,FALSE))</f>
        <v>92000100</v>
      </c>
      <c r="I166" s="105">
        <v>9</v>
      </c>
      <c r="J166" s="220">
        <v>7</v>
      </c>
      <c r="K166" s="238">
        <v>5</v>
      </c>
      <c r="L166" s="225">
        <v>7</v>
      </c>
      <c r="M166" s="229">
        <f>Tableau2[[#This Row],[Delivery time to ILN/Shipper]]+Tableau2[[#This Row],[Day ILN Order]]-1</f>
        <v>15</v>
      </c>
      <c r="N166" s="220">
        <v>13</v>
      </c>
      <c r="O166" s="238" t="s">
        <v>525</v>
      </c>
      <c r="P166" s="242">
        <v>7</v>
      </c>
    </row>
    <row r="167" spans="1:16" hidden="1">
      <c r="A167" s="243" t="str">
        <f>_xlfn.CONCAT(Tableau2[[#This Row],[Compte ILN]],"-",Tableau2[[#This Row],[Compte Shipper]],"-",Tableau2[[#This Row],[POL]],"-",Tableau2[[#This Row],[Compte Consignee]])</f>
        <v>95207-95207-BRPNG-91017200</v>
      </c>
      <c r="B167" s="372" t="str">
        <f>IF(Tableau2[[#This Row],[Name Consignee]]="",_xlfn.CONCAT(Tableau2[[#This Row],[Compte ILN]],"-",Tableau2[[#This Row],[Compte Shipper]],"-",Tableau2[[#This Row],[POL]]),"-")</f>
        <v>-</v>
      </c>
      <c r="C167" s="234" t="s">
        <v>163</v>
      </c>
      <c r="D167" s="226">
        <f>VLOOKUP(Tableau2[[#This Row],[ Name ILN]],Plant_AILN!F:G,2,FALSE)</f>
        <v>95207</v>
      </c>
      <c r="E167" s="168" t="s">
        <v>163</v>
      </c>
      <c r="F167" s="227">
        <f>IFERROR(VLOOKUP(Tableau2[[#This Row],[Name of shipper]],Plant_AILN!L:M,2,FALSE),0)</f>
        <v>95207</v>
      </c>
      <c r="G167" s="225" t="s">
        <v>184</v>
      </c>
      <c r="H167" s="236">
        <f>IF(Tableau2[[#This Row],[Name Consignee]]=0,"",VLOOKUP(Tableau2[[#This Row],[Name Consignee]],Plant_AILN!A:C,3,FALSE))</f>
        <v>91017200</v>
      </c>
      <c r="I167" s="105">
        <v>9</v>
      </c>
      <c r="J167" s="220">
        <v>7</v>
      </c>
      <c r="K167" s="238">
        <v>5</v>
      </c>
      <c r="L167" s="225">
        <v>7</v>
      </c>
      <c r="M167" s="229">
        <f>Tableau2[[#This Row],[Delivery time to ILN/Shipper]]+Tableau2[[#This Row],[Day ILN Order]]-1</f>
        <v>15</v>
      </c>
      <c r="N167" s="237">
        <v>13</v>
      </c>
      <c r="O167" s="238" t="s">
        <v>525</v>
      </c>
      <c r="P167" s="242">
        <v>7</v>
      </c>
    </row>
    <row r="168" spans="1:16" hidden="1">
      <c r="A168" s="243" t="str">
        <f>_xlfn.CONCAT(Tableau2[[#This Row],[Compte ILN]],"-",Tableau2[[#This Row],[Compte Shipper]],"-",Tableau2[[#This Row],[POL]],"-",Tableau2[[#This Row],[Compte Consignee]])</f>
        <v>95207-95207-BRPNG-91017500</v>
      </c>
      <c r="B168" s="372" t="str">
        <f>IF(Tableau2[[#This Row],[Name Consignee]]="",_xlfn.CONCAT(Tableau2[[#This Row],[Compte ILN]],"-",Tableau2[[#This Row],[Compte Shipper]],"-",Tableau2[[#This Row],[POL]]),"-")</f>
        <v>-</v>
      </c>
      <c r="C168" s="234" t="s">
        <v>163</v>
      </c>
      <c r="D168" s="226">
        <f>VLOOKUP(Tableau2[[#This Row],[ Name ILN]],Plant_AILN!F:G,2,FALSE)</f>
        <v>95207</v>
      </c>
      <c r="E168" s="168" t="s">
        <v>163</v>
      </c>
      <c r="F168" s="227">
        <f>IFERROR(VLOOKUP(Tableau2[[#This Row],[Name of shipper]],Plant_AILN!L:M,2,FALSE),0)</f>
        <v>95207</v>
      </c>
      <c r="G168" s="225" t="s">
        <v>172</v>
      </c>
      <c r="H168" s="236">
        <f>IF(Tableau2[[#This Row],[Name Consignee]]=0,"",VLOOKUP(Tableau2[[#This Row],[Name Consignee]],Plant_AILN!A:C,3,FALSE))</f>
        <v>91017500</v>
      </c>
      <c r="I168" s="105">
        <v>9</v>
      </c>
      <c r="J168" s="220">
        <v>7</v>
      </c>
      <c r="K168" s="238">
        <v>5</v>
      </c>
      <c r="L168" s="225">
        <v>7</v>
      </c>
      <c r="M168" s="229">
        <f>Tableau2[[#This Row],[Delivery time to ILN/Shipper]]+Tableau2[[#This Row],[Day ILN Order]]-1</f>
        <v>15</v>
      </c>
      <c r="N168" s="237">
        <v>13</v>
      </c>
      <c r="O168" s="238" t="s">
        <v>525</v>
      </c>
      <c r="P168" s="242">
        <v>7</v>
      </c>
    </row>
    <row r="169" spans="1:16" hidden="1">
      <c r="A169" s="243" t="str">
        <f>_xlfn.CONCAT(Tableau2[[#This Row],[Compte ILN]],"-",Tableau2[[#This Row],[Compte Shipper]],"-",Tableau2[[#This Row],[POL]],"-",Tableau2[[#This Row],[Compte Consignee]])</f>
        <v>95207-95207-BRPNG-91017300</v>
      </c>
      <c r="B169" s="372" t="str">
        <f>IF(Tableau2[[#This Row],[Name Consignee]]="",_xlfn.CONCAT(Tableau2[[#This Row],[Compte ILN]],"-",Tableau2[[#This Row],[Compte Shipper]],"-",Tableau2[[#This Row],[POL]]),"-")</f>
        <v>-</v>
      </c>
      <c r="C169" s="234" t="s">
        <v>163</v>
      </c>
      <c r="D169" s="226">
        <f>VLOOKUP(Tableau2[[#This Row],[ Name ILN]],Plant_AILN!F:G,2,FALSE)</f>
        <v>95207</v>
      </c>
      <c r="E169" s="168" t="s">
        <v>163</v>
      </c>
      <c r="F169" s="227">
        <f>IFERROR(VLOOKUP(Tableau2[[#This Row],[Name of shipper]],Plant_AILN!L:M,2,FALSE),0)</f>
        <v>95207</v>
      </c>
      <c r="G169" s="225" t="s">
        <v>175</v>
      </c>
      <c r="H169" s="236">
        <f>IF(Tableau2[[#This Row],[Name Consignee]]=0,"",VLOOKUP(Tableau2[[#This Row],[Name Consignee]],Plant_AILN!A:C,3,FALSE))</f>
        <v>91017300</v>
      </c>
      <c r="I169" s="52">
        <v>9</v>
      </c>
      <c r="J169" s="220">
        <v>7</v>
      </c>
      <c r="K169" s="238">
        <v>5</v>
      </c>
      <c r="L169" s="225">
        <v>7</v>
      </c>
      <c r="M169" s="229">
        <f>Tableau2[[#This Row],[Delivery time to ILN/Shipper]]+Tableau2[[#This Row],[Day ILN Order]]-1</f>
        <v>15</v>
      </c>
      <c r="N169" s="237">
        <v>13</v>
      </c>
      <c r="O169" s="238" t="s">
        <v>525</v>
      </c>
      <c r="P169" s="242">
        <v>7</v>
      </c>
    </row>
    <row r="170" spans="1:16" hidden="1">
      <c r="A170" s="243" t="str">
        <f>_xlfn.CONCAT(Tableau2[[#This Row],[Compte ILN]],"-",Tableau2[[#This Row],[Compte Shipper]],"-",Tableau2[[#This Row],[POL]],"-",Tableau2[[#This Row],[Compte Consignee]])</f>
        <v>95207-95207-BRPNG-90016900</v>
      </c>
      <c r="B170" s="372" t="str">
        <f>IF(Tableau2[[#This Row],[Name Consignee]]="",_xlfn.CONCAT(Tableau2[[#This Row],[Compte ILN]],"-",Tableau2[[#This Row],[Compte Shipper]],"-",Tableau2[[#This Row],[POL]]),"-")</f>
        <v>-</v>
      </c>
      <c r="C170" s="234" t="s">
        <v>163</v>
      </c>
      <c r="D170" s="226">
        <f>VLOOKUP(Tableau2[[#This Row],[ Name ILN]],Plant_AILN!F:G,2,FALSE)</f>
        <v>95207</v>
      </c>
      <c r="E170" s="168" t="s">
        <v>163</v>
      </c>
      <c r="F170" s="227">
        <f>IFERROR(VLOOKUP(Tableau2[[#This Row],[Name of shipper]],Plant_AILN!L:M,2,FALSE),0)</f>
        <v>95207</v>
      </c>
      <c r="G170" s="225" t="s">
        <v>154</v>
      </c>
      <c r="H170" s="236">
        <f>IF(Tableau2[[#This Row],[Name Consignee]]=0,"",VLOOKUP(Tableau2[[#This Row],[Name Consignee]],Plant_AILN!A:C,3,FALSE))</f>
        <v>90016900</v>
      </c>
      <c r="I170" s="52">
        <v>9</v>
      </c>
      <c r="J170" s="220">
        <v>7</v>
      </c>
      <c r="K170" s="238">
        <v>5</v>
      </c>
      <c r="L170" s="225">
        <v>7</v>
      </c>
      <c r="M170" s="229">
        <f>Tableau2[[#This Row],[Delivery time to ILN/Shipper]]+Tableau2[[#This Row],[Day ILN Order]]-1</f>
        <v>15</v>
      </c>
      <c r="N170" s="237">
        <v>13</v>
      </c>
      <c r="O170" s="238" t="s">
        <v>525</v>
      </c>
      <c r="P170" s="242">
        <v>7</v>
      </c>
    </row>
    <row r="171" spans="1:16" hidden="1">
      <c r="A171" s="243" t="str">
        <f>_xlfn.CONCAT(Tableau2[[#This Row],[Compte ILN]],"-",Tableau2[[#This Row],[Compte Shipper]],"-",Tableau2[[#This Row],[POL]],"-",Tableau2[[#This Row],[Compte Consignee]])</f>
        <v>95207-95207-BRPNG-90016500</v>
      </c>
      <c r="B171" s="372" t="str">
        <f>IF(Tableau2[[#This Row],[Name Consignee]]="",_xlfn.CONCAT(Tableau2[[#This Row],[Compte ILN]],"-",Tableau2[[#This Row],[Compte Shipper]],"-",Tableau2[[#This Row],[POL]]),"-")</f>
        <v>-</v>
      </c>
      <c r="C171" s="234" t="s">
        <v>163</v>
      </c>
      <c r="D171" s="226">
        <f>VLOOKUP(Tableau2[[#This Row],[ Name ILN]],Plant_AILN!F:G,2,FALSE)</f>
        <v>95207</v>
      </c>
      <c r="E171" s="168" t="s">
        <v>163</v>
      </c>
      <c r="F171" s="227">
        <f>IFERROR(VLOOKUP(Tableau2[[#This Row],[Name of shipper]],Plant_AILN!L:M,2,FALSE),0)</f>
        <v>95207</v>
      </c>
      <c r="G171" s="225" t="s">
        <v>170</v>
      </c>
      <c r="H171" s="236">
        <f>IF(Tableau2[[#This Row],[Name Consignee]]=0,"",VLOOKUP(Tableau2[[#This Row],[Name Consignee]],Plant_AILN!A:C,3,FALSE))</f>
        <v>90016500</v>
      </c>
      <c r="I171" s="52">
        <v>9</v>
      </c>
      <c r="J171" s="220">
        <v>7</v>
      </c>
      <c r="K171" s="238">
        <v>5</v>
      </c>
      <c r="L171" s="225">
        <v>7</v>
      </c>
      <c r="M171" s="229">
        <f>Tableau2[[#This Row],[Delivery time to ILN/Shipper]]+Tableau2[[#This Row],[Day ILN Order]]-1</f>
        <v>15</v>
      </c>
      <c r="N171" s="220">
        <v>13</v>
      </c>
      <c r="O171" s="96" t="s">
        <v>525</v>
      </c>
      <c r="P171" s="242">
        <v>7</v>
      </c>
    </row>
    <row r="172" spans="1:16" hidden="1">
      <c r="A172" s="243" t="str">
        <f>_xlfn.CONCAT(Tableau2[[#This Row],[Compte ILN]],"-",Tableau2[[#This Row],[Compte Shipper]],"-",Tableau2[[#This Row],[POL]],"-",Tableau2[[#This Row],[Compte Consignee]])</f>
        <v>95207-92007300-BRSSZ-9510600</v>
      </c>
      <c r="B172" s="371" t="str">
        <f>IF(Tableau2[[#This Row],[Name Consignee]]="",_xlfn.CONCAT(Tableau2[[#This Row],[Compte ILN]],"-",Tableau2[[#This Row],[Compte Shipper]],"-",Tableau2[[#This Row],[POL]]),"-")</f>
        <v>-</v>
      </c>
      <c r="C172" s="234" t="s">
        <v>163</v>
      </c>
      <c r="D172" s="226">
        <f>VLOOKUP(Tableau2[[#This Row],[ Name ILN]],Plant_AILN!F:G,2,FALSE)</f>
        <v>95207</v>
      </c>
      <c r="E172" s="168" t="s">
        <v>383</v>
      </c>
      <c r="F172" s="227">
        <f>IFERROR(VLOOKUP(Tableau2[[#This Row],[Name of shipper]],Plant_AILN!L:M,2,FALSE),0)</f>
        <v>92007300</v>
      </c>
      <c r="G172" s="225" t="s">
        <v>177</v>
      </c>
      <c r="H172" s="236">
        <f>IF(Tableau2[[#This Row],[Name Consignee]]=0,"",VLOOKUP(Tableau2[[#This Row],[Name Consignee]],Plant_AILN!A:C,3,FALSE))</f>
        <v>9510600</v>
      </c>
      <c r="I172" s="52">
        <v>9</v>
      </c>
      <c r="J172" s="237">
        <v>7</v>
      </c>
      <c r="K172" s="238">
        <v>5</v>
      </c>
      <c r="L172" s="234">
        <v>7</v>
      </c>
      <c r="M172" s="229">
        <f>Tableau2[[#This Row],[Delivery time to ILN/Shipper]]+Tableau2[[#This Row],[Day ILN Order]]-1</f>
        <v>15</v>
      </c>
      <c r="N172" s="237">
        <v>1</v>
      </c>
      <c r="O172" s="96" t="s">
        <v>662</v>
      </c>
      <c r="P172" s="105">
        <v>2</v>
      </c>
    </row>
    <row r="173" spans="1:16" hidden="1">
      <c r="A173" s="243" t="str">
        <f>_xlfn.CONCAT(Tableau2[[#This Row],[Compte ILN]],"-",Tableau2[[#This Row],[Compte Shipper]],"-",Tableau2[[#This Row],[POL]],"-",Tableau2[[#This Row],[Compte Consignee]])</f>
        <v>92000100-92000100-FRLEH-90018500</v>
      </c>
      <c r="B173" s="371" t="str">
        <f>IF(Tableau2[[#This Row],[Name Consignee]]="",_xlfn.CONCAT(Tableau2[[#This Row],[Compte ILN]],"-",Tableau2[[#This Row],[Compte Shipper]],"-",Tableau2[[#This Row],[POL]]),"-")</f>
        <v>-</v>
      </c>
      <c r="C173" s="234" t="s">
        <v>143</v>
      </c>
      <c r="D173" s="226">
        <f>VLOOKUP(Tableau2[[#This Row],[ Name ILN]],Plant_AILN!F:G,2,FALSE)</f>
        <v>92000100</v>
      </c>
      <c r="E173" s="168" t="s">
        <v>143</v>
      </c>
      <c r="F173" s="227">
        <f>IFERROR(VLOOKUP(Tableau2[[#This Row],[Name of shipper]],Plant_AILN!L:M,2,FALSE),0)</f>
        <v>92000100</v>
      </c>
      <c r="G173" s="234" t="s">
        <v>206</v>
      </c>
      <c r="H173" s="236">
        <f>IF(Tableau2[[#This Row],[Name Consignee]]=0,"",VLOOKUP(Tableau2[[#This Row],[Name Consignee]],Plant_AILN!A:C,3,FALSE))</f>
        <v>90018500</v>
      </c>
      <c r="I173" s="237">
        <v>9</v>
      </c>
      <c r="J173" s="237">
        <v>14</v>
      </c>
      <c r="K173" s="238">
        <v>5</v>
      </c>
      <c r="L173" s="234">
        <v>7</v>
      </c>
      <c r="M173" s="229">
        <f>Tableau2[[#This Row],[Delivery time to ILN/Shipper]]+Tableau2[[#This Row],[Day ILN Order]]-1</f>
        <v>22</v>
      </c>
      <c r="N173" s="237">
        <v>1</v>
      </c>
      <c r="O173" s="238" t="s">
        <v>483</v>
      </c>
      <c r="P173" s="237">
        <v>8</v>
      </c>
    </row>
    <row r="174" spans="1:16" hidden="1">
      <c r="A174" s="243" t="str">
        <f>_xlfn.CONCAT(Tableau2[[#This Row],[Compte ILN]],"-",Tableau2[[#This Row],[Compte Shipper]],"-",Tableau2[[#This Row],[POL]],"-",Tableau2[[#This Row],[Compte Consignee]])</f>
        <v>92000100-92000100-FRLEH-90018600</v>
      </c>
      <c r="B174" s="371" t="str">
        <f>IF(Tableau2[[#This Row],[Name Consignee]]="",_xlfn.CONCAT(Tableau2[[#This Row],[Compte ILN]],"-",Tableau2[[#This Row],[Compte Shipper]],"-",Tableau2[[#This Row],[POL]]),"-")</f>
        <v>-</v>
      </c>
      <c r="C174" s="234" t="s">
        <v>143</v>
      </c>
      <c r="D174" s="226">
        <f>VLOOKUP(Tableau2[[#This Row],[ Name ILN]],Plant_AILN!F:G,2,FALSE)</f>
        <v>92000100</v>
      </c>
      <c r="E174" s="168" t="s">
        <v>143</v>
      </c>
      <c r="F174" s="227">
        <f>IFERROR(VLOOKUP(Tableau2[[#This Row],[Name of shipper]],Plant_AILN!L:M,2,FALSE),0)</f>
        <v>92000100</v>
      </c>
      <c r="G174" s="234" t="s">
        <v>174</v>
      </c>
      <c r="H174" s="236">
        <f>IF(Tableau2[[#This Row],[Name Consignee]]=0,"",VLOOKUP(Tableau2[[#This Row],[Name Consignee]],Plant_AILN!A:C,3,FALSE))</f>
        <v>90018600</v>
      </c>
      <c r="I174" s="237">
        <v>9</v>
      </c>
      <c r="J174" s="237">
        <v>14</v>
      </c>
      <c r="K174" s="238">
        <v>5</v>
      </c>
      <c r="L174" s="234">
        <v>7</v>
      </c>
      <c r="M174" s="229">
        <f>Tableau2[[#This Row],[Delivery time to ILN/Shipper]]+Tableau2[[#This Row],[Day ILN Order]]-1</f>
        <v>22</v>
      </c>
      <c r="N174" s="237">
        <v>1</v>
      </c>
      <c r="O174" s="238" t="s">
        <v>483</v>
      </c>
      <c r="P174" s="237">
        <v>8</v>
      </c>
    </row>
    <row r="175" spans="1:16" hidden="1">
      <c r="A175" s="243" t="str">
        <f>_xlfn.CONCAT(Tableau2[[#This Row],[Compte ILN]],"-",Tableau2[[#This Row],[Compte Shipper]],"-",Tableau2[[#This Row],[POL]],"-",Tableau2[[#This Row],[Compte Consignee]])</f>
        <v>0-42619903-JPMOJ-92002200</v>
      </c>
      <c r="B175" s="371" t="str">
        <f>IF(Tableau2[[#This Row],[Name Consignee]]="",_xlfn.CONCAT(Tableau2[[#This Row],[Compte ILN]],"-",Tableau2[[#This Row],[Compte Shipper]],"-",Tableau2[[#This Row],[POL]]),"-")</f>
        <v>-</v>
      </c>
      <c r="C175" s="234" t="s">
        <v>146</v>
      </c>
      <c r="D175" s="226">
        <f>VLOOKUP(Tableau2[[#This Row],[ Name ILN]],Plant_AILN!F:G,2,FALSE)</f>
        <v>0</v>
      </c>
      <c r="E175" s="168" t="s">
        <v>418</v>
      </c>
      <c r="F175" s="227">
        <f>IFERROR(VLOOKUP(Tableau2[[#This Row],[Name of shipper]],Plant_AILN!L:M,2,FALSE),0)</f>
        <v>42619903</v>
      </c>
      <c r="G175" s="234" t="s">
        <v>145</v>
      </c>
      <c r="H175" s="236">
        <f>IF(Tableau2[[#This Row],[Name Consignee]]=0,"",VLOOKUP(Tableau2[[#This Row],[Name Consignee]],Plant_AILN!A:C,3,FALSE))</f>
        <v>92002200</v>
      </c>
      <c r="I175" s="237">
        <v>9</v>
      </c>
      <c r="J175" s="237">
        <v>7</v>
      </c>
      <c r="K175" s="238">
        <v>5</v>
      </c>
      <c r="L175" s="234">
        <v>7</v>
      </c>
      <c r="M175" s="229">
        <f>Tableau2[[#This Row],[Delivery time to ILN/Shipper]]+Tableau2[[#This Row],[Day ILN Order]]-1</f>
        <v>15</v>
      </c>
      <c r="N175" s="237">
        <v>3</v>
      </c>
      <c r="O175" s="238" t="s">
        <v>657</v>
      </c>
      <c r="P175" s="237">
        <v>5</v>
      </c>
    </row>
    <row r="176" spans="1:16" hidden="1">
      <c r="A176" s="243" t="str">
        <f>_xlfn.CONCAT(Tableau2[[#This Row],[Compte ILN]],"-",Tableau2[[#This Row],[Compte Shipper]],"-",Tableau2[[#This Row],[POL]],"-",Tableau2[[#This Row],[Compte Consignee]])</f>
        <v>2533780535-2533780535-INNSA-92000100</v>
      </c>
      <c r="B176" s="371" t="str">
        <f>IF(Tableau2[[#This Row],[Name Consignee]]="",_xlfn.CONCAT(Tableau2[[#This Row],[Compte ILN]],"-",Tableau2[[#This Row],[Compte Shipper]],"-",Tableau2[[#This Row],[POL]]),"-")</f>
        <v>-</v>
      </c>
      <c r="C176" s="234" t="s">
        <v>150</v>
      </c>
      <c r="D176" s="226">
        <f>VLOOKUP(Tableau2[[#This Row],[ Name ILN]],Plant_AILN!F:G,2,FALSE)</f>
        <v>2533780535</v>
      </c>
      <c r="E176" s="168" t="s">
        <v>150</v>
      </c>
      <c r="F176" s="227">
        <f>IFERROR(VLOOKUP(Tableau2[[#This Row],[Name of shipper]],Plant_AILN!L:M,2,FALSE),0)</f>
        <v>2533780535</v>
      </c>
      <c r="G176" s="234" t="s">
        <v>183</v>
      </c>
      <c r="H176" s="236">
        <f>IF(Tableau2[[#This Row],[Name Consignee]]=0,"",VLOOKUP(Tableau2[[#This Row],[Name Consignee]],Plant_AILN!A:C,3,FALSE))</f>
        <v>92000100</v>
      </c>
      <c r="I176" s="237">
        <v>9</v>
      </c>
      <c r="J176" s="237">
        <v>14</v>
      </c>
      <c r="K176" s="238">
        <v>5</v>
      </c>
      <c r="L176" s="234">
        <v>7</v>
      </c>
      <c r="M176" s="229">
        <f>Tableau2[[#This Row],[Delivery time to ILN/Shipper]]+Tableau2[[#This Row],[Day ILN Order]]-1</f>
        <v>22</v>
      </c>
      <c r="N176" s="237">
        <v>2</v>
      </c>
      <c r="O176" s="240" t="s">
        <v>511</v>
      </c>
      <c r="P176" s="237">
        <v>2</v>
      </c>
    </row>
    <row r="177" spans="1:17" hidden="1">
      <c r="A177" s="243" t="e">
        <v>#REF!</v>
      </c>
      <c r="B177" s="371" t="str">
        <f>IF(Tableau2[[#This Row],[Name Consignee]]="",_xlfn.CONCAT(Tableau2[[#This Row],[Compte ILN]],"-",Tableau2[[#This Row],[Compte Shipper]],"-",Tableau2[[#This Row],[POL]]),"-")</f>
        <v>26037001-26037001-CNSHA</v>
      </c>
      <c r="C177" s="225" t="s">
        <v>201</v>
      </c>
      <c r="D177" s="226">
        <f>VLOOKUP(Tableau2[[#This Row],[ Name ILN]],Plant_AILN!F:G,2,FALSE)</f>
        <v>26037001</v>
      </c>
      <c r="E177" s="168" t="s">
        <v>201</v>
      </c>
      <c r="F177" s="227">
        <f>IFERROR(VLOOKUP(Tableau2[[#This Row],[Name of shipper]],Plant_AILN!L:M,2,FALSE),0)</f>
        <v>26037001</v>
      </c>
      <c r="G177" s="234"/>
      <c r="H177" s="236" t="str">
        <f>IF(Tableau2[[#This Row],[Name Consignee]]=0,"",VLOOKUP(Tableau2[[#This Row],[Name Consignee]],Plant_AILN!A:C,3,FALSE))</f>
        <v/>
      </c>
      <c r="I177" s="220">
        <v>16</v>
      </c>
      <c r="J177" s="220">
        <v>14</v>
      </c>
      <c r="K177" s="96">
        <v>5</v>
      </c>
      <c r="L177" s="225">
        <v>7</v>
      </c>
      <c r="M177" s="229">
        <f>Tableau2[[#This Row],[Delivery time to ILN/Shipper]]+Tableau2[[#This Row],[Day ILN Order]]-1</f>
        <v>29</v>
      </c>
      <c r="N177" s="220">
        <v>7</v>
      </c>
      <c r="O177" s="96" t="s">
        <v>524</v>
      </c>
      <c r="P177" s="220">
        <v>1</v>
      </c>
    </row>
    <row r="178" spans="1:17" hidden="1">
      <c r="A178" s="243" t="e">
        <v>#REF!</v>
      </c>
      <c r="B178" s="371" t="str">
        <f>IF(Tableau2[[#This Row],[Name Consignee]]="",_xlfn.CONCAT(Tableau2[[#This Row],[Compte ILN]],"-",Tableau2[[#This Row],[Compte Shipper]],"-",Tableau2[[#This Row],[POL]]),"-")</f>
        <v>27261102-27261102-CNSHA</v>
      </c>
      <c r="C178" s="234" t="s">
        <v>187</v>
      </c>
      <c r="D178" s="226">
        <f>VLOOKUP(Tableau2[[#This Row],[ Name ILN]],Plant_AILN!F:G,2,FALSE)</f>
        <v>27261102</v>
      </c>
      <c r="E178" s="168" t="s">
        <v>187</v>
      </c>
      <c r="F178" s="227">
        <f>IFERROR(VLOOKUP(Tableau2[[#This Row],[Name of shipper]],Plant_AILN!L:M,2,FALSE),0)</f>
        <v>27261102</v>
      </c>
      <c r="G178" s="234"/>
      <c r="H178" s="236" t="str">
        <f>IF(Tableau2[[#This Row],[Name Consignee]]=0,"",VLOOKUP(Tableau2[[#This Row],[Name Consignee]],Plant_AILN!A:C,3,FALSE))</f>
        <v/>
      </c>
      <c r="I178" s="237">
        <v>16</v>
      </c>
      <c r="J178" s="237">
        <v>14</v>
      </c>
      <c r="K178" s="238">
        <v>5</v>
      </c>
      <c r="L178" s="234">
        <v>7</v>
      </c>
      <c r="M178" s="229">
        <f>Tableau2[[#This Row],[Delivery time to ILN/Shipper]]+Tableau2[[#This Row],[Day ILN Order]]-1</f>
        <v>29</v>
      </c>
      <c r="N178" s="237">
        <v>7</v>
      </c>
      <c r="O178" s="238" t="s">
        <v>524</v>
      </c>
      <c r="P178" s="237">
        <v>1</v>
      </c>
    </row>
    <row r="179" spans="1:17" hidden="1">
      <c r="A179" s="243" t="e">
        <v>#REF!</v>
      </c>
      <c r="B179" s="371" t="str">
        <f>IF(Tableau2[[#This Row],[Name Consignee]]="",_xlfn.CONCAT(Tableau2[[#This Row],[Compte ILN]],"-",Tableau2[[#This Row],[Compte Shipper]],"-",Tableau2[[#This Row],[POL]]),"-")</f>
        <v>-</v>
      </c>
      <c r="C179" s="234" t="s">
        <v>187</v>
      </c>
      <c r="D179" s="226">
        <f>VLOOKUP(Tableau2[[#This Row],[ Name ILN]],Plant_AILN!F:G,2,FALSE)</f>
        <v>27261102</v>
      </c>
      <c r="E179" s="168" t="s">
        <v>187</v>
      </c>
      <c r="F179" s="227">
        <f>IFERROR(VLOOKUP(Tableau2[[#This Row],[Name of shipper]],Plant_AILN!L:M,2,FALSE),0)</f>
        <v>27261102</v>
      </c>
      <c r="G179" s="234" t="s">
        <v>188</v>
      </c>
      <c r="H179" s="236">
        <f>IF(Tableau2[[#This Row],[Name Consignee]]=0,"",VLOOKUP(Tableau2[[#This Row],[Name Consignee]],Plant_AILN!A:C,3,FALSE))</f>
        <v>90019100</v>
      </c>
      <c r="I179" s="237">
        <v>16</v>
      </c>
      <c r="J179" s="237">
        <v>14</v>
      </c>
      <c r="K179" s="238">
        <v>5</v>
      </c>
      <c r="L179" s="234">
        <v>7</v>
      </c>
      <c r="M179" s="229">
        <f>Tableau2[[#This Row],[Delivery time to ILN/Shipper]]+Tableau2[[#This Row],[Day ILN Order]]-1</f>
        <v>29</v>
      </c>
      <c r="N179" s="237">
        <v>1</v>
      </c>
      <c r="O179" s="238" t="s">
        <v>524</v>
      </c>
      <c r="P179" s="237">
        <v>1</v>
      </c>
    </row>
    <row r="180" spans="1:17" ht="15.75" hidden="1" thickBot="1">
      <c r="A180" s="373" t="str">
        <f>_xlfn.CONCAT(Tableau2[[#This Row],[Compte ILN]],"-",Tableau2[[#This Row],[Compte Shipper]],"-",Tableau2[[#This Row],[POL]],"-",Tableau2[[#This Row],[Compte Consignee]])</f>
        <v>0-29179901-CNXMN-</v>
      </c>
      <c r="B180" s="371" t="str">
        <f>IF(Tableau2[[#This Row],[Name Consignee]]="",_xlfn.CONCAT(Tableau2[[#This Row],[Compte ILN]],"-",Tableau2[[#This Row],[Compte Shipper]],"-",Tableau2[[#This Row],[POL]]),"-")</f>
        <v>0-29179901-CNXMN</v>
      </c>
      <c r="C180" s="168" t="s">
        <v>146</v>
      </c>
      <c r="D180" s="226">
        <f>VLOOKUP(Tableau2[[#This Row],[ Name ILN]],Plant_AILN!F:G,2,FALSE)</f>
        <v>0</v>
      </c>
      <c r="E180" s="168" t="s">
        <v>310</v>
      </c>
      <c r="F180" s="227">
        <f>IFERROR(VLOOKUP(Tableau2[[#This Row],[Name of shipper]],Plant_AILN!L:M,2,FALSE),0)</f>
        <v>29179901</v>
      </c>
      <c r="G180" s="234"/>
      <c r="H180" s="236" t="str">
        <f>IF(Tableau2[[#This Row],[Name Consignee]]=0,"",VLOOKUP(Tableau2[[#This Row],[Name Consignee]],Plant_AILN!A:C,3,FALSE))</f>
        <v/>
      </c>
      <c r="I180" s="52">
        <v>9</v>
      </c>
      <c r="J180" s="220">
        <v>7</v>
      </c>
      <c r="K180" s="96">
        <v>5</v>
      </c>
      <c r="L180" s="228">
        <v>7</v>
      </c>
      <c r="M180" s="229">
        <f>Tableau2[[#This Row],[Delivery time to ILN/Shipper]]+Tableau2[[#This Row],[Day ILN Order]]-1</f>
        <v>15</v>
      </c>
      <c r="N180" s="230">
        <v>3</v>
      </c>
      <c r="O180" s="231" t="s">
        <v>659</v>
      </c>
      <c r="P180" s="237">
        <v>5</v>
      </c>
    </row>
    <row r="181" spans="1:17" hidden="1">
      <c r="A181" s="419" t="str">
        <f>_xlfn.CONCAT(Tableau2[[#This Row],[Compte ILN]],"-",Tableau2[[#This Row],[Compte Shipper]],"-",Tableau2[[#This Row],[POL]],"-",Tableau2[[#This Row],[Compte Consignee]])</f>
        <v>0-27084300-CNDLC-</v>
      </c>
      <c r="B181" s="419" t="str">
        <f>IF(Tableau2[[#This Row],[Name Consignee]]="",_xlfn.CONCAT(Tableau2[[#This Row],[Compte ILN]],"-",Tableau2[[#This Row],[Compte Shipper]],"-",Tableau2[[#This Row],[POL]]),"-")</f>
        <v>0-27084300-CNDLC</v>
      </c>
      <c r="C181" s="234" t="s">
        <v>146</v>
      </c>
      <c r="D181" s="239">
        <f>VLOOKUP(Tableau2[[#This Row],[ Name ILN]],Plant_AILN!F:G,2,FALSE)</f>
        <v>0</v>
      </c>
      <c r="E181" s="168" t="s">
        <v>428</v>
      </c>
      <c r="F181" s="236">
        <f>IFERROR(VLOOKUP(Tableau2[[#This Row],[Name of shipper]],Plant_AILN!L:M,2,FALSE),0)</f>
        <v>27084300</v>
      </c>
      <c r="G181" s="234"/>
      <c r="H181" s="236" t="str">
        <f>IF(Tableau2[[#This Row],[Name Consignee]]=0,"",VLOOKUP(Tableau2[[#This Row],[Name Consignee]],Plant_AILN!A:C,3,FALSE))</f>
        <v/>
      </c>
      <c r="I181" s="237">
        <v>9</v>
      </c>
      <c r="J181" s="237">
        <v>7</v>
      </c>
      <c r="K181" s="238">
        <v>5</v>
      </c>
      <c r="L181" s="234">
        <v>7</v>
      </c>
      <c r="M181" s="239">
        <f>Tableau2[[#This Row],[Delivery time to ILN/Shipper]]+Tableau2[[#This Row],[Day ILN Order]]-1</f>
        <v>15</v>
      </c>
      <c r="N181" s="237">
        <v>4</v>
      </c>
      <c r="O181" s="238" t="s">
        <v>671</v>
      </c>
      <c r="P181" s="237">
        <v>1</v>
      </c>
    </row>
    <row r="182" spans="1:17" hidden="1">
      <c r="A182" s="419" t="str">
        <f>_xlfn.CONCAT(Tableau2[[#This Row],[Compte ILN]],"-",Tableau2[[#This Row],[Compte Shipper]],"-",Tableau2[[#This Row],[POL]],"-",Tableau2[[#This Row],[Compte Consignee]])</f>
        <v>92000100-92000100-FRLEH-90009500</v>
      </c>
      <c r="B182" s="419" t="str">
        <f>IF(Tableau2[[#This Row],[Name Consignee]]="",_xlfn.CONCAT(Tableau2[[#This Row],[Compte ILN]],"-",Tableau2[[#This Row],[Compte Shipper]],"-",Tableau2[[#This Row],[POL]]),"-")</f>
        <v>-</v>
      </c>
      <c r="C182" s="234" t="s">
        <v>143</v>
      </c>
      <c r="D182" s="239">
        <f>VLOOKUP(Tableau2[[#This Row],[ Name ILN]],Plant_AILN!F:G,2,FALSE)</f>
        <v>92000100</v>
      </c>
      <c r="E182" s="168" t="s">
        <v>143</v>
      </c>
      <c r="F182" s="236">
        <f>IFERROR(VLOOKUP(Tableau2[[#This Row],[Name of shipper]],Plant_AILN!L:M,2,FALSE),0)</f>
        <v>92000100</v>
      </c>
      <c r="G182" s="234" t="s">
        <v>142</v>
      </c>
      <c r="H182" s="236">
        <f>IF(Tableau2[[#This Row],[Name Consignee]]=0,"",VLOOKUP(Tableau2[[#This Row],[Name Consignee]],Plant_AILN!A:C,3,FALSE))</f>
        <v>90009500</v>
      </c>
      <c r="I182" s="237">
        <v>9</v>
      </c>
      <c r="J182" s="237">
        <v>7</v>
      </c>
      <c r="K182" s="238">
        <v>5</v>
      </c>
      <c r="L182" s="234">
        <v>7</v>
      </c>
      <c r="M182" s="239">
        <f>Tableau2[[#This Row],[Delivery time to ILN/Shipper]]+Tableau2[[#This Row],[Day ILN Order]]-1</f>
        <v>15</v>
      </c>
      <c r="N182" s="237">
        <v>1</v>
      </c>
      <c r="O182" s="238" t="s">
        <v>483</v>
      </c>
      <c r="P182" s="237">
        <v>5</v>
      </c>
    </row>
    <row r="183" spans="1:17" hidden="1">
      <c r="A183" s="419" t="str">
        <f>_xlfn.CONCAT(Tableau2[[#This Row],[Compte ILN]],"-",Tableau2[[#This Row],[Compte Shipper]],"-",Tableau2[[#This Row],[POL]],"-",Tableau2[[#This Row],[Compte Consignee]])</f>
        <v>92000100-92000100-FRLEH-9510600</v>
      </c>
      <c r="B183" s="419" t="str">
        <f>IF(Tableau2[[#This Row],[Name Consignee]]="",_xlfn.CONCAT(Tableau2[[#This Row],[Compte ILN]],"-",Tableau2[[#This Row],[Compte Shipper]],"-",Tableau2[[#This Row],[POL]]),"-")</f>
        <v>-</v>
      </c>
      <c r="C183" s="234" t="s">
        <v>143</v>
      </c>
      <c r="D183" s="239">
        <f>VLOOKUP(Tableau2[[#This Row],[ Name ILN]],Plant_AILN!F:G,2,FALSE)</f>
        <v>92000100</v>
      </c>
      <c r="E183" s="168" t="s">
        <v>143</v>
      </c>
      <c r="F183" s="236">
        <f>IFERROR(VLOOKUP(Tableau2[[#This Row],[Name of shipper]],Plant_AILN!L:M,2,FALSE),0)</f>
        <v>92000100</v>
      </c>
      <c r="G183" s="234" t="s">
        <v>177</v>
      </c>
      <c r="H183" s="236">
        <f>IF(Tableau2[[#This Row],[Name Consignee]]=0,"",VLOOKUP(Tableau2[[#This Row],[Name Consignee]],Plant_AILN!A:C,3,FALSE))</f>
        <v>9510600</v>
      </c>
      <c r="I183" s="237">
        <v>9</v>
      </c>
      <c r="J183" s="237">
        <v>7</v>
      </c>
      <c r="K183" s="238">
        <v>5</v>
      </c>
      <c r="L183" s="234">
        <v>7</v>
      </c>
      <c r="M183" s="239">
        <f>Tableau2[[#This Row],[Delivery time to ILN/Shipper]]+Tableau2[[#This Row],[Day ILN Order]]-1</f>
        <v>15</v>
      </c>
      <c r="N183" s="237">
        <v>1</v>
      </c>
      <c r="O183" s="238" t="s">
        <v>483</v>
      </c>
      <c r="P183" s="237">
        <v>3</v>
      </c>
    </row>
    <row r="184" spans="1:17" hidden="1">
      <c r="A184" s="419" t="str">
        <f>_xlfn.CONCAT(Tableau2[[#This Row],[Compte ILN]],"-",Tableau2[[#This Row],[Compte Shipper]],"-",Tableau2[[#This Row],[POL]],"-",Tableau2[[#This Row],[Compte Consignee]])</f>
        <v>0-1111111111-CNSHA-900383</v>
      </c>
      <c r="B184" s="419" t="str">
        <f>IF(Tableau2[[#This Row],[Name Consignee]]="",_xlfn.CONCAT(Tableau2[[#This Row],[Compte ILN]],"-",Tableau2[[#This Row],[Compte Shipper]],"-",Tableau2[[#This Row],[POL]]),"-")</f>
        <v>-</v>
      </c>
      <c r="C184" s="234" t="s">
        <v>146</v>
      </c>
      <c r="D184" s="239">
        <f>VLOOKUP(Tableau2[[#This Row],[ Name ILN]],Plant_AILN!F:G,2,FALSE)</f>
        <v>0</v>
      </c>
      <c r="E184" s="168" t="s">
        <v>431</v>
      </c>
      <c r="F184" s="236">
        <f>IFERROR(VLOOKUP(Tableau2[[#This Row],[Name of shipper]],Plant_AILN!L:M,2,FALSE),0)</f>
        <v>1111111111</v>
      </c>
      <c r="G184" s="234" t="s">
        <v>180</v>
      </c>
      <c r="H184" s="236">
        <f>IF(Tableau2[[#This Row],[Name Consignee]]=0,"",VLOOKUP(Tableau2[[#This Row],[Name Consignee]],Plant_AILN!A:C,3,FALSE))</f>
        <v>900383</v>
      </c>
      <c r="I184" s="237">
        <v>9</v>
      </c>
      <c r="J184" s="237">
        <v>2</v>
      </c>
      <c r="K184" s="238">
        <v>2</v>
      </c>
      <c r="L184" s="234">
        <v>2</v>
      </c>
      <c r="M184" s="239">
        <f>Tableau2[[#This Row],[Delivery time to ILN/Shipper]]+Tableau2[[#This Row],[Day ILN Order]]-1</f>
        <v>10</v>
      </c>
      <c r="N184" s="237">
        <v>2</v>
      </c>
      <c r="O184" s="238" t="s">
        <v>524</v>
      </c>
      <c r="P184" s="237">
        <v>1</v>
      </c>
    </row>
    <row r="185" spans="1:17" hidden="1">
      <c r="A185" s="419" t="str">
        <f>_xlfn.CONCAT(Tableau2[[#This Row],[Compte ILN]],"-",Tableau2[[#This Row],[Compte Shipper]],"-",Tableau2[[#This Row],[POL]],"-",Tableau2[[#This Row],[Compte Consignee]])</f>
        <v>26037000-26037000-CNSHA-91017200</v>
      </c>
      <c r="B185" s="419" t="str">
        <f>IF(Tableau2[[#This Row],[Name Consignee]]="",_xlfn.CONCAT(Tableau2[[#This Row],[Compte ILN]],"-",Tableau2[[#This Row],[Compte Shipper]],"-",Tableau2[[#This Row],[POL]]),"-")</f>
        <v>-</v>
      </c>
      <c r="C185" s="234" t="s">
        <v>62</v>
      </c>
      <c r="D185" s="239">
        <f>VLOOKUP(Tableau2[[#This Row],[ Name ILN]],Plant_AILN!F:G,2,FALSE)</f>
        <v>26037000</v>
      </c>
      <c r="E185" s="168" t="s">
        <v>62</v>
      </c>
      <c r="F185" s="236">
        <f>IFERROR(VLOOKUP(Tableau2[[#This Row],[Name of shipper]],Plant_AILN!L:M,2,FALSE),0)</f>
        <v>26037000</v>
      </c>
      <c r="G185" s="234" t="s">
        <v>184</v>
      </c>
      <c r="H185" s="236">
        <f>IF(Tableau2[[#This Row],[Name Consignee]]=0,"",VLOOKUP(Tableau2[[#This Row],[Name Consignee]],Plant_AILN!A:C,3,FALSE))</f>
        <v>91017200</v>
      </c>
      <c r="I185" s="52">
        <v>9</v>
      </c>
      <c r="J185" s="220">
        <v>14</v>
      </c>
      <c r="K185" s="96">
        <v>5</v>
      </c>
      <c r="L185" s="228">
        <v>7</v>
      </c>
      <c r="M185" s="239">
        <f>Tableau2[[#This Row],[Delivery time to ILN/Shipper]]+Tableau2[[#This Row],[Day ILN Order]]-1</f>
        <v>22</v>
      </c>
      <c r="N185" s="237">
        <v>1</v>
      </c>
      <c r="O185" s="238" t="s">
        <v>524</v>
      </c>
      <c r="P185" s="237">
        <v>2</v>
      </c>
    </row>
    <row r="186" spans="1:17" hidden="1">
      <c r="A186" s="419" t="str">
        <f>_xlfn.CONCAT(Tableau2[[#This Row],[Compte ILN]],"-",Tableau2[[#This Row],[Compte Shipper]],"-",Tableau2[[#This Row],[POL]],"-",Tableau2[[#This Row],[Compte Consignee]])</f>
        <v>91018400-91017500-ESALG-90017000</v>
      </c>
      <c r="B186" s="419" t="str">
        <f>IF(Tableau2[[#This Row],[Name Consignee]]="",_xlfn.CONCAT(Tableau2[[#This Row],[Compte ILN]],"-",Tableau2[[#This Row],[Compte Shipper]],"-",Tableau2[[#This Row],[POL]]),"-")</f>
        <v>-</v>
      </c>
      <c r="C186" s="234" t="s">
        <v>151</v>
      </c>
      <c r="D186" s="239">
        <f>VLOOKUP(Tableau2[[#This Row],[ Name ILN]],Plant_AILN!F:G,2,FALSE)</f>
        <v>91018400</v>
      </c>
      <c r="E186" s="168" t="s">
        <v>156</v>
      </c>
      <c r="F186" s="236">
        <f>IFERROR(VLOOKUP(Tableau2[[#This Row],[Name of shipper]],Plant_AILN!L:M,2,FALSE),0)</f>
        <v>91017500</v>
      </c>
      <c r="G186" s="234" t="s">
        <v>173</v>
      </c>
      <c r="H186" s="236">
        <f>IF(Tableau2[[#This Row],[Name Consignee]]=0,"",VLOOKUP(Tableau2[[#This Row],[Name Consignee]],Plant_AILN!A:C,3,FALSE))</f>
        <v>90017000</v>
      </c>
      <c r="I186" s="52">
        <v>9</v>
      </c>
      <c r="J186" s="220">
        <v>14</v>
      </c>
      <c r="K186" s="96">
        <v>5</v>
      </c>
      <c r="L186" s="228">
        <v>7</v>
      </c>
      <c r="M186" s="239">
        <f>Tableau2[[#This Row],[Delivery time to ILN/Shipper]]+Tableau2[[#This Row],[Day ILN Order]]-1</f>
        <v>22</v>
      </c>
      <c r="N186" s="237">
        <v>2</v>
      </c>
      <c r="O186" s="231" t="s">
        <v>531</v>
      </c>
      <c r="P186" s="237">
        <v>3</v>
      </c>
    </row>
    <row r="187" spans="1:17" hidden="1">
      <c r="A187" s="419" t="str">
        <f>_xlfn.CONCAT(Tableau2[[#This Row],[Compte ILN]],"-",Tableau2[[#This Row],[Compte Shipper]],"-",Tableau2[[#This Row],[POL]],"-",Tableau2[[#This Row],[Compte Consignee]])</f>
        <v>0-43763900-HRRJK-900383</v>
      </c>
      <c r="B187" s="419" t="str">
        <f>IF(Tableau2[[#This Row],[Name Consignee]]="",_xlfn.CONCAT(Tableau2[[#This Row],[Compte ILN]],"-",Tableau2[[#This Row],[Compte Shipper]],"-",Tableau2[[#This Row],[POL]]),"-")</f>
        <v>-</v>
      </c>
      <c r="C187" s="234" t="s">
        <v>146</v>
      </c>
      <c r="D187" s="239">
        <f>VLOOKUP(Tableau2[[#This Row],[ Name ILN]],Plant_AILN!F:G,2,FALSE)</f>
        <v>0</v>
      </c>
      <c r="E187" s="168" t="s">
        <v>672</v>
      </c>
      <c r="F187" s="236">
        <f>IFERROR(VLOOKUP(Tableau2[[#This Row],[Name of shipper]],Plant_AILN!L:M,2,FALSE),0)</f>
        <v>43763900</v>
      </c>
      <c r="G187" s="234" t="s">
        <v>180</v>
      </c>
      <c r="H187" s="236">
        <f>IF(Tableau2[[#This Row],[Name Consignee]]=0,"",VLOOKUP(Tableau2[[#This Row],[Name Consignee]],Plant_AILN!A:C,3,FALSE))</f>
        <v>900383</v>
      </c>
      <c r="I187" s="237">
        <v>9</v>
      </c>
      <c r="J187" s="237">
        <v>7</v>
      </c>
      <c r="K187" s="238">
        <v>5</v>
      </c>
      <c r="L187" s="234">
        <v>7</v>
      </c>
      <c r="M187" s="239">
        <f>Tableau2[[#This Row],[Delivery time to ILN/Shipper]]+Tableau2[[#This Row],[Day ILN Order]]-1</f>
        <v>15</v>
      </c>
      <c r="N187" s="237">
        <v>2</v>
      </c>
      <c r="O187" s="238" t="s">
        <v>673</v>
      </c>
      <c r="P187" s="237">
        <v>2</v>
      </c>
    </row>
    <row r="188" spans="1:17" hidden="1">
      <c r="A188" s="243" t="str">
        <f>_xlfn.CONCAT(Tableau2[[#This Row],[Compte ILN]],"-",Tableau2[[#This Row],[Compte Shipper]],"-",Tableau2[[#This Row],[POL]],"-",Tableau2[[#This Row],[Compte Consignee]])</f>
        <v>0-43763900-HRRJK-90018000</v>
      </c>
      <c r="B188" s="243" t="str">
        <f>IF(Tableau2[[#This Row],[Name Consignee]]="",_xlfn.CONCAT(Tableau2[[#This Row],[Compte ILN]],"-",Tableau2[[#This Row],[Compte Shipper]],"-",Tableau2[[#This Row],[POL]]),"-")</f>
        <v>-</v>
      </c>
      <c r="C188" s="225" t="s">
        <v>146</v>
      </c>
      <c r="D188" s="229">
        <f>VLOOKUP(Tableau2[[#This Row],[ Name ILN]],Plant_AILN!F:G,2,FALSE)</f>
        <v>0</v>
      </c>
      <c r="E188" s="234" t="s">
        <v>434</v>
      </c>
      <c r="F188" s="236">
        <f>IFERROR(VLOOKUP(Tableau2[[#This Row],[Name of shipper]],Plant_AILN!L:M,2,FALSE),0)</f>
        <v>43763900</v>
      </c>
      <c r="G188" s="234" t="s">
        <v>181</v>
      </c>
      <c r="H188" s="236">
        <f>IF(Tableau2[[#This Row],[Name Consignee]]=0,"",VLOOKUP(Tableau2[[#This Row],[Name Consignee]],Plant_AILN!A:C,3,FALSE))</f>
        <v>90018000</v>
      </c>
      <c r="I188" s="220">
        <v>9</v>
      </c>
      <c r="J188" s="220">
        <v>7</v>
      </c>
      <c r="K188" s="96">
        <v>5</v>
      </c>
      <c r="L188" s="225">
        <v>7</v>
      </c>
      <c r="M188" s="229">
        <f>Tableau2[[#This Row],[Delivery time to ILN/Shipper]]+Tableau2[[#This Row],[Day ILN Order]]-1</f>
        <v>15</v>
      </c>
      <c r="N188" s="220">
        <v>8</v>
      </c>
      <c r="O188" s="96" t="s">
        <v>673</v>
      </c>
      <c r="P188" s="220">
        <v>2</v>
      </c>
      <c r="Q188" t="s">
        <v>674</v>
      </c>
    </row>
    <row r="189" spans="1:17" hidden="1">
      <c r="A189" s="243" t="str">
        <f>_xlfn.CONCAT(Tableau2[[#This Row],[Compte ILN]],"-",Tableau2[[#This Row],[Compte Shipper]],"-",Tableau2[[#This Row],[POL]],"-",Tableau2[[#This Row],[Compte Consignee]])</f>
        <v>0-43763900-HRRJK-90038200</v>
      </c>
      <c r="B189" s="243" t="str">
        <f>IF(Tableau2[[#This Row],[Name Consignee]]="",_xlfn.CONCAT(Tableau2[[#This Row],[Compte ILN]],"-",Tableau2[[#This Row],[Compte Shipper]],"-",Tableau2[[#This Row],[POL]]),"-")</f>
        <v>-</v>
      </c>
      <c r="C189" s="234" t="s">
        <v>146</v>
      </c>
      <c r="D189" s="229">
        <f>VLOOKUP(Tableau2[[#This Row],[ Name ILN]],Plant_AILN!F:G,2,FALSE)</f>
        <v>0</v>
      </c>
      <c r="E189" s="168" t="s">
        <v>672</v>
      </c>
      <c r="F189" s="236">
        <f>IFERROR(VLOOKUP(Tableau2[[#This Row],[Name of shipper]],Plant_AILN!L:M,2,FALSE),0)</f>
        <v>43763900</v>
      </c>
      <c r="G189" s="234" t="s">
        <v>179</v>
      </c>
      <c r="H189" s="236">
        <f>IF(Tableau2[[#This Row],[Name Consignee]]=0,"",VLOOKUP(Tableau2[[#This Row],[Name Consignee]],Plant_AILN!A:C,3,FALSE))</f>
        <v>90038200</v>
      </c>
      <c r="I189" s="237">
        <v>9</v>
      </c>
      <c r="J189" s="237">
        <v>7</v>
      </c>
      <c r="K189" s="238">
        <v>5</v>
      </c>
      <c r="L189" s="234">
        <v>7</v>
      </c>
      <c r="M189" s="229">
        <f>Tableau2[[#This Row],[Delivery time to ILN/Shipper]]+Tableau2[[#This Row],[Day ILN Order]]-1</f>
        <v>15</v>
      </c>
      <c r="N189" s="237">
        <v>2</v>
      </c>
      <c r="O189" s="238" t="s">
        <v>673</v>
      </c>
      <c r="P189" s="237">
        <v>2</v>
      </c>
    </row>
    <row r="190" spans="1:17" hidden="1">
      <c r="A190" s="243" t="str">
        <f>_xlfn.CONCAT(Tableau2[[#This Row],[Compte ILN]],"-",Tableau2[[#This Row],[Compte Shipper]],"-",Tableau2[[#This Row],[POL]],"-",Tableau2[[#This Row],[Compte Consignee]])</f>
        <v>0-43763900-HRRJK-9510600</v>
      </c>
      <c r="B190" s="243" t="str">
        <f>IF(Tableau2[[#This Row],[Name Consignee]]="",_xlfn.CONCAT(Tableau2[[#This Row],[Compte ILN]],"-",Tableau2[[#This Row],[Compte Shipper]],"-",Tableau2[[#This Row],[POL]]),"-")</f>
        <v>-</v>
      </c>
      <c r="C190" s="234" t="s">
        <v>146</v>
      </c>
      <c r="D190" s="229">
        <f>VLOOKUP(Tableau2[[#This Row],[ Name ILN]],Plant_AILN!F:G,2,FALSE)</f>
        <v>0</v>
      </c>
      <c r="E190" s="168" t="s">
        <v>672</v>
      </c>
      <c r="F190" s="236">
        <f>IFERROR(VLOOKUP(Tableau2[[#This Row],[Name of shipper]],Plant_AILN!L:M,2,FALSE),0)</f>
        <v>43763900</v>
      </c>
      <c r="G190" s="234" t="s">
        <v>177</v>
      </c>
      <c r="H190" s="236">
        <f>IF(Tableau2[[#This Row],[Name Consignee]]=0,"",VLOOKUP(Tableau2[[#This Row],[Name Consignee]],Plant_AILN!A:C,3,FALSE))</f>
        <v>9510600</v>
      </c>
      <c r="I190" s="237">
        <v>9</v>
      </c>
      <c r="J190" s="237">
        <v>7</v>
      </c>
      <c r="K190" s="238">
        <v>5</v>
      </c>
      <c r="L190" s="234">
        <v>7</v>
      </c>
      <c r="M190" s="229">
        <f>Tableau2[[#This Row],[Delivery time to ILN/Shipper]]+Tableau2[[#This Row],[Day ILN Order]]-1</f>
        <v>15</v>
      </c>
      <c r="N190" s="237">
        <v>2</v>
      </c>
      <c r="O190" s="238" t="s">
        <v>673</v>
      </c>
      <c r="P190" s="237">
        <v>2</v>
      </c>
    </row>
    <row r="191" spans="1:17" hidden="1">
      <c r="A191" s="419" t="str">
        <f>_xlfn.CONCAT(Tableau2[[#This Row],[Compte ILN]],"-",Tableau2[[#This Row],[Compte Shipper]],"-",Tableau2[[#This Row],[POL]],"-",Tableau2[[#This Row],[Compte Consignee]])</f>
        <v>0-42524701-HRRJK-900383</v>
      </c>
      <c r="B191" s="419" t="str">
        <f>IF(Tableau2[[#This Row],[Name Consignee]]="",_xlfn.CONCAT(Tableau2[[#This Row],[Compte ILN]],"-",Tableau2[[#This Row],[Compte Shipper]],"-",Tableau2[[#This Row],[POL]]),"-")</f>
        <v>-</v>
      </c>
      <c r="C191" s="234" t="s">
        <v>146</v>
      </c>
      <c r="D191" s="239">
        <f>VLOOKUP(Tableau2[[#This Row],[ Name ILN]],Plant_AILN!F:G,2,FALSE)</f>
        <v>0</v>
      </c>
      <c r="E191" s="168" t="s">
        <v>452</v>
      </c>
      <c r="F191" s="236">
        <f>IFERROR(VLOOKUP(Tableau2[[#This Row],[Name of shipper]],Plant_AILN!L:M,2,FALSE),0)</f>
        <v>42524701</v>
      </c>
      <c r="G191" s="234" t="s">
        <v>180</v>
      </c>
      <c r="H191" s="236">
        <f>IF(Tableau2[[#This Row],[Name Consignee]]=0,"",VLOOKUP(Tableau2[[#This Row],[Name Consignee]],Plant_AILN!A:C,3,FALSE))</f>
        <v>900383</v>
      </c>
      <c r="I191" s="237">
        <v>9</v>
      </c>
      <c r="J191" s="237">
        <v>2</v>
      </c>
      <c r="K191" s="238">
        <v>2</v>
      </c>
      <c r="L191" s="234">
        <v>2</v>
      </c>
      <c r="M191" s="239">
        <f>Tableau2[[#This Row],[Delivery time to ILN/Shipper]]+Tableau2[[#This Row],[Day ILN Order]]-1</f>
        <v>10</v>
      </c>
      <c r="N191" s="237">
        <v>4</v>
      </c>
      <c r="O191" s="238" t="s">
        <v>673</v>
      </c>
      <c r="P191" s="237">
        <v>2</v>
      </c>
    </row>
    <row r="192" spans="1:17" hidden="1">
      <c r="A192" s="419" t="str">
        <f>_xlfn.CONCAT(Tableau2[[#This Row],[Compte ILN]],"-",Tableau2[[#This Row],[Compte Shipper]],"-",Tableau2[[#This Row],[POL]],"-",Tableau2[[#This Row],[Compte Consignee]])</f>
        <v>28390-28390-ROCND-90021000</v>
      </c>
      <c r="B192" s="419" t="str">
        <f>IF(Tableau2[[#This Row],[Name Consignee]]="",_xlfn.CONCAT(Tableau2[[#This Row],[Compte ILN]],"-",Tableau2[[#This Row],[Compte Shipper]],"-",Tableau2[[#This Row],[POL]]),"-")</f>
        <v>-</v>
      </c>
      <c r="C192" s="234" t="s">
        <v>168</v>
      </c>
      <c r="D192" s="239">
        <f>VLOOKUP(Tableau2[[#This Row],[ Name ILN]],Plant_AILN!F:G,2,FALSE)</f>
        <v>28390</v>
      </c>
      <c r="E192" s="168" t="s">
        <v>168</v>
      </c>
      <c r="F192" s="236">
        <f>IFERROR(VLOOKUP(Tableau2[[#This Row],[Name of shipper]],Plant_AILN!L:M,2,FALSE),0)</f>
        <v>28390</v>
      </c>
      <c r="G192" s="234" t="s">
        <v>198</v>
      </c>
      <c r="H192" s="236">
        <f>IF(Tableau2[[#This Row],[Name Consignee]]=0,"",VLOOKUP(Tableau2[[#This Row],[Name Consignee]],Plant_AILN!A:C,3,FALSE))</f>
        <v>90021000</v>
      </c>
      <c r="I192" s="52">
        <v>9</v>
      </c>
      <c r="J192" s="428">
        <v>14</v>
      </c>
      <c r="K192" s="96">
        <v>5</v>
      </c>
      <c r="L192" s="228">
        <v>7</v>
      </c>
      <c r="M192" s="239">
        <f>Tableau2[[#This Row],[Delivery time to ILN/Shipper]]+Tableau2[[#This Row],[Day ILN Order]]-1</f>
        <v>22</v>
      </c>
      <c r="N192" s="230">
        <v>4</v>
      </c>
      <c r="O192" s="231" t="s">
        <v>547</v>
      </c>
      <c r="P192" s="60">
        <v>5</v>
      </c>
    </row>
    <row r="193" spans="1:16" hidden="1">
      <c r="A193" s="419" t="str">
        <f>_xlfn.CONCAT(Tableau2[[#This Row],[Compte ILN]],"-",Tableau2[[#This Row],[Compte Shipper]],"-",Tableau2[[#This Row],[POL]],"-",Tableau2[[#This Row],[Compte Consignee]])</f>
        <v>92000100-0-FRLEH-90021000</v>
      </c>
      <c r="B193" s="419" t="str">
        <f>IF(Tableau2[[#This Row],[Name Consignee]]="",_xlfn.CONCAT(Tableau2[[#This Row],[Compte ILN]],"-",Tableau2[[#This Row],[Compte Shipper]],"-",Tableau2[[#This Row],[POL]]),"-")</f>
        <v>-</v>
      </c>
      <c r="C193" s="234" t="s">
        <v>143</v>
      </c>
      <c r="D193" s="239">
        <f>VLOOKUP(Tableau2[[#This Row],[ Name ILN]],Plant_AILN!F:G,2,FALSE)</f>
        <v>92000100</v>
      </c>
      <c r="E193" s="168" t="s">
        <v>675</v>
      </c>
      <c r="F193" s="236">
        <f>IFERROR(VLOOKUP(Tableau2[[#This Row],[Name of shipper]],Plant_AILN!L:M,2,FALSE),0)</f>
        <v>0</v>
      </c>
      <c r="G193" s="234" t="s">
        <v>198</v>
      </c>
      <c r="H193" s="236">
        <f>IF(Tableau2[[#This Row],[Name Consignee]]=0,"",VLOOKUP(Tableau2[[#This Row],[Name Consignee]],Plant_AILN!A:C,3,FALSE))</f>
        <v>90021000</v>
      </c>
      <c r="I193" s="237">
        <v>9</v>
      </c>
      <c r="J193" s="429">
        <v>14</v>
      </c>
      <c r="K193" s="238">
        <v>5</v>
      </c>
      <c r="L193" s="234">
        <v>7</v>
      </c>
      <c r="M193" s="239">
        <f>Tableau2[[#This Row],[Delivery time to ILN/Shipper]]+Tableau2[[#This Row],[Day ILN Order]]-1</f>
        <v>22</v>
      </c>
      <c r="N193" s="237">
        <v>1</v>
      </c>
      <c r="O193" s="238" t="s">
        <v>483</v>
      </c>
      <c r="P193" s="237">
        <v>6</v>
      </c>
    </row>
    <row r="194" spans="1:16" hidden="1">
      <c r="A194" s="243" t="str">
        <f>_xlfn.CONCAT(Tableau2[[#This Row],[Compte ILN]],"-",Tableau2[[#This Row],[Compte Shipper]],"-",Tableau2[[#This Row],[POL]],"-",Tableau2[[#This Row],[Compte Consignee]])</f>
        <v>95112-95112-TRGEM-90018000</v>
      </c>
      <c r="B194" s="243" t="str">
        <f>IF(Tableau2[[#This Row],[Name Consignee]]="",_xlfn.CONCAT(Tableau2[[#This Row],[Compte ILN]],"-",Tableau2[[#This Row],[Compte Shipper]],"-",Tableau2[[#This Row],[POL]]),"-")</f>
        <v>-</v>
      </c>
      <c r="C194" s="168" t="s">
        <v>167</v>
      </c>
      <c r="D194" s="226">
        <f>VLOOKUP(Tableau2[[#This Row],[ Name ILN]],Plant_AILN!F:G,2,FALSE)</f>
        <v>95112</v>
      </c>
      <c r="E194" s="168" t="s">
        <v>167</v>
      </c>
      <c r="F194" s="227">
        <f>IFERROR(VLOOKUP(Tableau2[[#This Row],[Name of shipper]],Plant_AILN!L:M,2,FALSE),0)</f>
        <v>95112</v>
      </c>
      <c r="G194" s="232" t="s">
        <v>181</v>
      </c>
      <c r="H194" s="227">
        <f>IF(Tableau2[[#This Row],[Name Consignee]]=0,"",VLOOKUP(Tableau2[[#This Row],[Name Consignee]],Plant_AILN!A:C,3,FALSE))</f>
        <v>90018000</v>
      </c>
      <c r="I194" s="52">
        <v>9</v>
      </c>
      <c r="J194" s="220">
        <v>7</v>
      </c>
      <c r="K194" s="96">
        <v>5</v>
      </c>
      <c r="L194" s="228">
        <v>7</v>
      </c>
      <c r="M194" s="229">
        <f>Tableau2[[#This Row],[Delivery time to ILN/Shipper]]+Tableau2[[#This Row],[Day ILN Order]]-1</f>
        <v>15</v>
      </c>
      <c r="N194" s="230">
        <v>1</v>
      </c>
      <c r="O194" s="231" t="s">
        <v>558</v>
      </c>
      <c r="P194" s="60">
        <v>5</v>
      </c>
    </row>
    <row r="195" spans="1:16" hidden="1">
      <c r="A195" s="243" t="str">
        <f>_xlfn.CONCAT(Tableau2[[#This Row],[Compte ILN]],"-",Tableau2[[#This Row],[Compte Shipper]],"-",Tableau2[[#This Row],[POL]],"-",Tableau2[[#This Row],[Compte Consignee]])</f>
        <v>95112-95112-TRGEM-90018600</v>
      </c>
      <c r="B195" s="243" t="str">
        <f>IF(Tableau2[[#This Row],[Name Consignee]]="",_xlfn.CONCAT(Tableau2[[#This Row],[Compte ILN]],"-",Tableau2[[#This Row],[Compte Shipper]],"-",Tableau2[[#This Row],[POL]]),"-")</f>
        <v>-</v>
      </c>
      <c r="C195" s="168" t="s">
        <v>167</v>
      </c>
      <c r="D195" s="226">
        <f>VLOOKUP(Tableau2[[#This Row],[ Name ILN]],Plant_AILN!F:G,2,FALSE)</f>
        <v>95112</v>
      </c>
      <c r="E195" s="168" t="s">
        <v>167</v>
      </c>
      <c r="F195" s="227">
        <f>IFERROR(VLOOKUP(Tableau2[[#This Row],[Name of shipper]],Plant_AILN!L:M,2,FALSE),0)</f>
        <v>95112</v>
      </c>
      <c r="G195" s="232" t="s">
        <v>174</v>
      </c>
      <c r="H195" s="227">
        <f>IF(Tableau2[[#This Row],[Name Consignee]]=0,"",VLOOKUP(Tableau2[[#This Row],[Name Consignee]],Plant_AILN!A:C,3,FALSE))</f>
        <v>90018600</v>
      </c>
      <c r="I195" s="52">
        <v>9</v>
      </c>
      <c r="J195" s="220">
        <v>14</v>
      </c>
      <c r="K195" s="96">
        <v>5</v>
      </c>
      <c r="L195" s="228">
        <v>7</v>
      </c>
      <c r="M195" s="229">
        <f>Tableau2[[#This Row],[Delivery time to ILN/Shipper]]+Tableau2[[#This Row],[Day ILN Order]]-1</f>
        <v>22</v>
      </c>
      <c r="N195" s="230">
        <v>1</v>
      </c>
      <c r="O195" s="231" t="s">
        <v>558</v>
      </c>
      <c r="P195" s="60">
        <v>2</v>
      </c>
    </row>
    <row r="196" spans="1:16" hidden="1">
      <c r="A196" s="243" t="str">
        <f>_xlfn.CONCAT(Tableau2[[#This Row],[Compte ILN]],"-",Tableau2[[#This Row],[Compte Shipper]],"-",Tableau2[[#This Row],[POL]],"-",Tableau2[[#This Row],[Compte Consignee]])</f>
        <v>95112-95112-TRGEM-9510600</v>
      </c>
      <c r="B196" s="243" t="str">
        <f>IF(Tableau2[[#This Row],[Name Consignee]]="",_xlfn.CONCAT(Tableau2[[#This Row],[Compte ILN]],"-",Tableau2[[#This Row],[Compte Shipper]],"-",Tableau2[[#This Row],[POL]]),"-")</f>
        <v>-</v>
      </c>
      <c r="C196" s="168" t="s">
        <v>167</v>
      </c>
      <c r="D196" s="226">
        <f>VLOOKUP(Tableau2[[#This Row],[ Name ILN]],Plant_AILN!F:G,2,FALSE)</f>
        <v>95112</v>
      </c>
      <c r="E196" s="168" t="s">
        <v>167</v>
      </c>
      <c r="F196" s="227">
        <f>IFERROR(VLOOKUP(Tableau2[[#This Row],[Name of shipper]],Plant_AILN!L:M,2,FALSE),0)</f>
        <v>95112</v>
      </c>
      <c r="G196" s="232" t="s">
        <v>177</v>
      </c>
      <c r="H196" s="227">
        <f>IF(Tableau2[[#This Row],[Name Consignee]]=0,"",VLOOKUP(Tableau2[[#This Row],[Name Consignee]],Plant_AILN!A:C,3,FALSE))</f>
        <v>9510600</v>
      </c>
      <c r="I196" s="52">
        <v>9</v>
      </c>
      <c r="J196" s="220">
        <v>14</v>
      </c>
      <c r="K196" s="96">
        <v>5</v>
      </c>
      <c r="L196" s="228">
        <v>7</v>
      </c>
      <c r="M196" s="229">
        <f>Tableau2[[#This Row],[Delivery time to ILN/Shipper]]+Tableau2[[#This Row],[Day ILN Order]]-1</f>
        <v>22</v>
      </c>
      <c r="N196" s="230">
        <v>1</v>
      </c>
      <c r="O196" s="231" t="s">
        <v>558</v>
      </c>
      <c r="P196" s="60">
        <v>3</v>
      </c>
    </row>
    <row r="197" spans="1:16" hidden="1">
      <c r="A197" s="419" t="str">
        <f>_xlfn.CONCAT(Tableau2[[#This Row],[Compte ILN]],"-",Tableau2[[#This Row],[Compte Shipper]],"-",Tableau2[[#This Row],[POL]],"-",Tableau2[[#This Row],[Compte Consignee]])</f>
        <v>95112-95112-TRGEM-90021000</v>
      </c>
      <c r="B197" s="419" t="str">
        <f>IF(Tableau2[[#This Row],[Name Consignee]]="",_xlfn.CONCAT(Tableau2[[#This Row],[Compte ILN]],"-",Tableau2[[#This Row],[Compte Shipper]],"-",Tableau2[[#This Row],[POL]]),"-")</f>
        <v>-</v>
      </c>
      <c r="C197" s="234" t="s">
        <v>167</v>
      </c>
      <c r="D197" s="239">
        <f>VLOOKUP(Tableau2[[#This Row],[ Name ILN]],Plant_AILN!F:G,2,FALSE)</f>
        <v>95112</v>
      </c>
      <c r="E197" s="168" t="s">
        <v>167</v>
      </c>
      <c r="F197" s="236">
        <f>IFERROR(VLOOKUP(Tableau2[[#This Row],[Name of shipper]],Plant_AILN!L:M,2,FALSE),0)</f>
        <v>95112</v>
      </c>
      <c r="G197" s="234" t="s">
        <v>198</v>
      </c>
      <c r="H197" s="236">
        <f>IF(Tableau2[[#This Row],[Name Consignee]]=0,"",VLOOKUP(Tableau2[[#This Row],[Name Consignee]],Plant_AILN!A:C,3,FALSE))</f>
        <v>90021000</v>
      </c>
      <c r="I197" s="237">
        <v>9</v>
      </c>
      <c r="J197" s="425">
        <v>14</v>
      </c>
      <c r="K197" s="238">
        <v>5</v>
      </c>
      <c r="L197" s="234">
        <v>7</v>
      </c>
      <c r="M197" s="239">
        <f>Tableau2[[#This Row],[Delivery time to ILN/Shipper]]+Tableau2[[#This Row],[Day ILN Order]]-1</f>
        <v>22</v>
      </c>
      <c r="N197" s="237">
        <v>1</v>
      </c>
      <c r="O197" s="231" t="s">
        <v>558</v>
      </c>
      <c r="P197" s="237">
        <v>2</v>
      </c>
    </row>
    <row r="198" spans="1:16" hidden="1">
      <c r="A198" s="419" t="str">
        <f>_xlfn.CONCAT(Tableau2[[#This Row],[Compte ILN]],"-",Tableau2[[#This Row],[Compte Shipper]],"-",Tableau2[[#This Row],[POL]],"-",Tableau2[[#This Row],[Compte Consignee]])</f>
        <v>0-xxxxx-COCTG-90021000</v>
      </c>
      <c r="B198" s="419" t="str">
        <f>IF(Tableau2[[#This Row],[Name Consignee]]="",_xlfn.CONCAT(Tableau2[[#This Row],[Compte ILN]],"-",Tableau2[[#This Row],[Compte Shipper]],"-",Tableau2[[#This Row],[POL]]),"-")</f>
        <v>-</v>
      </c>
      <c r="C198" s="234" t="s">
        <v>146</v>
      </c>
      <c r="D198" s="239">
        <f>VLOOKUP(Tableau2[[#This Row],[ Name ILN]],Plant_AILN!F:G,2,FALSE)</f>
        <v>0</v>
      </c>
      <c r="E198" s="168" t="s">
        <v>447</v>
      </c>
      <c r="F198" s="236" t="str">
        <f>IFERROR(VLOOKUP(Tableau2[[#This Row],[Name of shipper]],Plant_AILN!L:M,2,FALSE),0)</f>
        <v>xxxxx</v>
      </c>
      <c r="G198" s="234" t="s">
        <v>198</v>
      </c>
      <c r="H198" s="236">
        <f>IF(Tableau2[[#This Row],[Name Consignee]]=0,"",VLOOKUP(Tableau2[[#This Row],[Name Consignee]],Plant_AILN!A:C,3,FALSE))</f>
        <v>90021000</v>
      </c>
      <c r="I198" s="425">
        <v>9</v>
      </c>
      <c r="J198" s="425">
        <v>7</v>
      </c>
      <c r="K198" s="427">
        <v>5</v>
      </c>
      <c r="L198" s="426">
        <v>7</v>
      </c>
      <c r="M198" s="239">
        <f>Tableau2[[#This Row],[Delivery time to ILN/Shipper]]+Tableau2[[#This Row],[Day ILN Order]]-1</f>
        <v>15</v>
      </c>
      <c r="N198" s="425">
        <v>6</v>
      </c>
      <c r="O198" s="238" t="s">
        <v>516</v>
      </c>
      <c r="P198" s="425">
        <v>7</v>
      </c>
    </row>
    <row r="199" spans="1:16" hidden="1">
      <c r="A199" s="419" t="str">
        <f>_xlfn.CONCAT(Tableau2[[#This Row],[Compte ILN]],"-",Tableau2[[#This Row],[Compte Shipper]],"-",Tableau2[[#This Row],[POL]],"-",Tableau2[[#This Row],[Compte Consignee]])</f>
        <v>0-xxxxxx-CLSAI-90021000</v>
      </c>
      <c r="B199" s="419" t="str">
        <f>IF(Tableau2[[#This Row],[Name Consignee]]="",_xlfn.CONCAT(Tableau2[[#This Row],[Compte ILN]],"-",Tableau2[[#This Row],[Compte Shipper]],"-",Tableau2[[#This Row],[POL]]),"-")</f>
        <v>-</v>
      </c>
      <c r="C199" s="234" t="s">
        <v>146</v>
      </c>
      <c r="D199" s="239">
        <f>VLOOKUP(Tableau2[[#This Row],[ Name ILN]],Plant_AILN!F:G,2,FALSE)</f>
        <v>0</v>
      </c>
      <c r="E199" s="168" t="s">
        <v>350</v>
      </c>
      <c r="F199" s="236" t="str">
        <f>IFERROR(VLOOKUP(Tableau2[[#This Row],[Name of shipper]],Plant_AILN!L:M,2,FALSE),0)</f>
        <v>xxxxxx</v>
      </c>
      <c r="G199" s="234" t="s">
        <v>198</v>
      </c>
      <c r="H199" s="236">
        <f>IF(Tableau2[[#This Row],[Name Consignee]]=0,"",VLOOKUP(Tableau2[[#This Row],[Name Consignee]],Plant_AILN!A:C,3,FALSE))</f>
        <v>90021000</v>
      </c>
      <c r="I199" s="425">
        <v>9</v>
      </c>
      <c r="J199" s="425">
        <v>7</v>
      </c>
      <c r="K199" s="427">
        <v>5</v>
      </c>
      <c r="L199" s="426">
        <v>7</v>
      </c>
      <c r="M199" s="239">
        <f>Tableau2[[#This Row],[Delivery time to ILN/Shipper]]+Tableau2[[#This Row],[Day ILN Order]]-1</f>
        <v>15</v>
      </c>
      <c r="N199" s="425">
        <v>2</v>
      </c>
      <c r="O199" s="238" t="s">
        <v>485</v>
      </c>
      <c r="P199" s="425">
        <v>5</v>
      </c>
    </row>
    <row r="200" spans="1:16" hidden="1">
      <c r="A200" s="419" t="str">
        <f>_xlfn.CONCAT(Tableau2[[#This Row],[Compte ILN]],"-",Tableau2[[#This Row],[Compte Shipper]],"-",Tableau2[[#This Row],[POL]],"-",Tableau2[[#This Row],[Compte Consignee]])</f>
        <v>92000100-0-FRLEH-90021000</v>
      </c>
      <c r="B200" s="419" t="str">
        <f>IF(Tableau2[[#This Row],[Name Consignee]]="",_xlfn.CONCAT(Tableau2[[#This Row],[Compte ILN]],"-",Tableau2[[#This Row],[Compte Shipper]],"-",Tableau2[[#This Row],[POL]]),"-")</f>
        <v>-</v>
      </c>
      <c r="C200" s="234" t="s">
        <v>143</v>
      </c>
      <c r="D200" s="239">
        <f>VLOOKUP(Tableau2[[#This Row],[ Name ILN]],Plant_AILN!F:G,2,FALSE)</f>
        <v>92000100</v>
      </c>
      <c r="E200" s="168" t="s">
        <v>676</v>
      </c>
      <c r="F200" s="236">
        <f>IFERROR(VLOOKUP(Tableau2[[#This Row],[Name of shipper]],Plant_AILN!L:M,2,FALSE),0)</f>
        <v>0</v>
      </c>
      <c r="G200" s="234" t="s">
        <v>198</v>
      </c>
      <c r="H200" s="236">
        <f>IF(Tableau2[[#This Row],[Name Consignee]]=0,"",VLOOKUP(Tableau2[[#This Row],[Name Consignee]],Plant_AILN!A:C,3,FALSE))</f>
        <v>90021000</v>
      </c>
      <c r="I200" s="237">
        <v>9</v>
      </c>
      <c r="J200" s="429">
        <v>14</v>
      </c>
      <c r="K200" s="238">
        <v>5</v>
      </c>
      <c r="L200" s="234">
        <v>7</v>
      </c>
      <c r="M200" s="239">
        <f>Tableau2[[#This Row],[Delivery time to ILN/Shipper]]+Tableau2[[#This Row],[Day ILN Order]]-1</f>
        <v>22</v>
      </c>
      <c r="N200" s="237">
        <v>1</v>
      </c>
      <c r="O200" s="238" t="s">
        <v>483</v>
      </c>
      <c r="P200" s="237">
        <v>6</v>
      </c>
    </row>
    <row r="201" spans="1:16" hidden="1">
      <c r="A201" s="419" t="str">
        <f>_xlfn.CONCAT(Tableau2[[#This Row],[Compte ILN]],"-",Tableau2[[#This Row],[Compte Shipper]],"-",Tableau2[[#This Row],[POL]],"-",Tableau2[[#This Row],[Compte Consignee]])</f>
        <v>95207-95207-BRPNG-90021000</v>
      </c>
      <c r="B201" s="419" t="str">
        <f>IF(Tableau2[[#This Row],[Name Consignee]]="",_xlfn.CONCAT(Tableau2[[#This Row],[Compte ILN]],"-",Tableau2[[#This Row],[Compte Shipper]],"-",Tableau2[[#This Row],[POL]]),"-")</f>
        <v>-</v>
      </c>
      <c r="C201" s="234" t="s">
        <v>163</v>
      </c>
      <c r="D201" s="239">
        <f>VLOOKUP(Tableau2[[#This Row],[ Name ILN]],Plant_AILN!F:G,2,FALSE)</f>
        <v>95207</v>
      </c>
      <c r="E201" s="168" t="s">
        <v>163</v>
      </c>
      <c r="F201" s="236">
        <f>IFERROR(VLOOKUP(Tableau2[[#This Row],[Name of shipper]],Plant_AILN!L:M,2,FALSE),0)</f>
        <v>95207</v>
      </c>
      <c r="G201" s="234" t="s">
        <v>198</v>
      </c>
      <c r="H201" s="236">
        <f>IF(Tableau2[[#This Row],[Name Consignee]]=0,"",VLOOKUP(Tableau2[[#This Row],[Name Consignee]],Plant_AILN!A:C,3,FALSE))</f>
        <v>90021000</v>
      </c>
      <c r="I201" s="237">
        <v>9</v>
      </c>
      <c r="J201" s="425">
        <v>7</v>
      </c>
      <c r="K201" s="238">
        <v>5</v>
      </c>
      <c r="L201" s="234">
        <v>7</v>
      </c>
      <c r="M201" s="239">
        <f>Tableau2[[#This Row],[Delivery time to ILN/Shipper]]+Tableau2[[#This Row],[Day ILN Order]]-1</f>
        <v>15</v>
      </c>
      <c r="N201" s="237">
        <v>13</v>
      </c>
      <c r="O201" s="96" t="s">
        <v>525</v>
      </c>
      <c r="P201" s="242">
        <v>7</v>
      </c>
    </row>
    <row r="202" spans="1:16" hidden="1">
      <c r="A202" s="419" t="str">
        <f>_xlfn.CONCAT(Tableau2[[#This Row],[Compte ILN]],"-",Tableau2[[#This Row],[Compte Shipper]],"-",Tableau2[[#This Row],[POL]],"-",Tableau2[[#This Row],[Compte Consignee]])</f>
        <v>92000100-92000100-FRLEH-90021000</v>
      </c>
      <c r="B202" s="419" t="str">
        <f>IF(Tableau2[[#This Row],[Name Consignee]]="",_xlfn.CONCAT(Tableau2[[#This Row],[Compte ILN]],"-",Tableau2[[#This Row],[Compte Shipper]],"-",Tableau2[[#This Row],[POL]]),"-")</f>
        <v>-</v>
      </c>
      <c r="C202" s="234" t="s">
        <v>143</v>
      </c>
      <c r="D202" s="239">
        <f>VLOOKUP(Tableau2[[#This Row],[ Name ILN]],Plant_AILN!F:G,2,FALSE)</f>
        <v>92000100</v>
      </c>
      <c r="E202" s="168" t="s">
        <v>143</v>
      </c>
      <c r="F202" s="236">
        <f>IFERROR(VLOOKUP(Tableau2[[#This Row],[Name of shipper]],Plant_AILN!L:M,2,FALSE),0)</f>
        <v>92000100</v>
      </c>
      <c r="G202" s="234" t="s">
        <v>198</v>
      </c>
      <c r="H202" s="236">
        <f>IF(Tableau2[[#This Row],[Name Consignee]]=0,"",VLOOKUP(Tableau2[[#This Row],[Name Consignee]],Plant_AILN!A:C,3,FALSE))</f>
        <v>90021000</v>
      </c>
      <c r="I202" s="237">
        <v>9</v>
      </c>
      <c r="J202" s="237">
        <v>14</v>
      </c>
      <c r="K202" s="238">
        <v>5</v>
      </c>
      <c r="L202" s="234">
        <v>7</v>
      </c>
      <c r="M202" s="239">
        <f>Tableau2[[#This Row],[Delivery time to ILN/Shipper]]+Tableau2[[#This Row],[Day ILN Order]]-1</f>
        <v>22</v>
      </c>
      <c r="N202" s="237">
        <v>1</v>
      </c>
      <c r="O202" s="238" t="s">
        <v>483</v>
      </c>
      <c r="P202" s="237">
        <v>6</v>
      </c>
    </row>
    <row r="203" spans="1:16" hidden="1">
      <c r="A203" s="419" t="str">
        <f>_xlfn.CONCAT(Tableau2[[#This Row],[Compte ILN]],"-",Tableau2[[#This Row],[Compte Shipper]],"-",Tableau2[[#This Row],[POL]],"-",Tableau2[[#This Row],[Compte Consignee]])</f>
        <v>0-25566103-ITSAL-90017000</v>
      </c>
      <c r="B203" s="419" t="str">
        <f>IF(Tableau2[[#This Row],[Name Consignee]]="",_xlfn.CONCAT(Tableau2[[#This Row],[Compte ILN]],"-",Tableau2[[#This Row],[Compte Shipper]],"-",Tableau2[[#This Row],[POL]]),"-")</f>
        <v>-</v>
      </c>
      <c r="C203" s="234" t="s">
        <v>146</v>
      </c>
      <c r="D203" s="239">
        <f>VLOOKUP(Tableau2[[#This Row],[ Name ILN]],Plant_AILN!F:G,2,FALSE)</f>
        <v>0</v>
      </c>
      <c r="E203" s="168" t="s">
        <v>439</v>
      </c>
      <c r="F203" s="236">
        <f>IFERROR(VLOOKUP(Tableau2[[#This Row],[Name of shipper]],Plant_AILN!L:M,2,FALSE),0)</f>
        <v>25566103</v>
      </c>
      <c r="G203" s="234" t="s">
        <v>173</v>
      </c>
      <c r="H203" s="236">
        <f>IF(Tableau2[[#This Row],[Name Consignee]]=0,"",VLOOKUP(Tableau2[[#This Row],[Name Consignee]],Plant_AILN!A:C,3,FALSE))</f>
        <v>90017000</v>
      </c>
      <c r="I203" s="237">
        <v>9</v>
      </c>
      <c r="J203" s="237">
        <v>2</v>
      </c>
      <c r="K203" s="238">
        <v>2</v>
      </c>
      <c r="L203" s="234">
        <v>7</v>
      </c>
      <c r="M203" s="239">
        <f>Tableau2[[#This Row],[Delivery time to ILN/Shipper]]+Tableau2[[#This Row],[Day ILN Order]]-1</f>
        <v>10</v>
      </c>
      <c r="N203" s="237">
        <v>2</v>
      </c>
      <c r="O203" s="238" t="s">
        <v>677</v>
      </c>
      <c r="P203" s="237">
        <v>2</v>
      </c>
    </row>
    <row r="204" spans="1:16" hidden="1">
      <c r="A204" s="419" t="str">
        <f>_xlfn.CONCAT(Tableau2[[#This Row],[Compte ILN]],"-",Tableau2[[#This Row],[Compte Shipper]],"-",Tableau2[[#This Row],[POL]],"-",Tableau2[[#This Row],[Compte Consignee]])</f>
        <v>0-25566103-ITSAL-90016800</v>
      </c>
      <c r="B204" s="419" t="str">
        <f>IF(Tableau2[[#This Row],[Name Consignee]]="",_xlfn.CONCAT(Tableau2[[#This Row],[Compte ILN]],"-",Tableau2[[#This Row],[Compte Shipper]],"-",Tableau2[[#This Row],[POL]]),"-")</f>
        <v>-</v>
      </c>
      <c r="C204" s="234" t="s">
        <v>146</v>
      </c>
      <c r="D204" s="239">
        <f>VLOOKUP(Tableau2[[#This Row],[ Name ILN]],Plant_AILN!F:G,2,FALSE)</f>
        <v>0</v>
      </c>
      <c r="E204" s="168" t="s">
        <v>439</v>
      </c>
      <c r="F204" s="236">
        <f>IFERROR(VLOOKUP(Tableau2[[#This Row],[Name of shipper]],Plant_AILN!L:M,2,FALSE),0)</f>
        <v>25566103</v>
      </c>
      <c r="G204" s="234" t="s">
        <v>185</v>
      </c>
      <c r="H204" s="236">
        <f>IF(Tableau2[[#This Row],[Name Consignee]]=0,"",VLOOKUP(Tableau2[[#This Row],[Name Consignee]],Plant_AILN!A:C,3,FALSE))</f>
        <v>90016800</v>
      </c>
      <c r="I204" s="237">
        <v>9</v>
      </c>
      <c r="J204" s="237">
        <v>2</v>
      </c>
      <c r="K204" s="238">
        <v>2</v>
      </c>
      <c r="L204" s="234">
        <v>7</v>
      </c>
      <c r="M204" s="239">
        <f>Tableau2[[#This Row],[Delivery time to ILN/Shipper]]+Tableau2[[#This Row],[Day ILN Order]]-1</f>
        <v>10</v>
      </c>
      <c r="N204" s="237">
        <v>2</v>
      </c>
      <c r="O204" s="238" t="s">
        <v>677</v>
      </c>
      <c r="P204" s="237">
        <v>2</v>
      </c>
    </row>
    <row r="205" spans="1:16" hidden="1">
      <c r="A205" s="419" t="str">
        <f>_xlfn.CONCAT(Tableau2[[#This Row],[Compte ILN]],"-",Tableau2[[#This Row],[Compte Shipper]],"-",Tableau2[[#This Row],[POL]],"-",Tableau2[[#This Row],[Compte Consignee]])</f>
        <v>0-25566103-ITSAL-900383</v>
      </c>
      <c r="B205" s="419" t="str">
        <f>IF(Tableau2[[#This Row],[Name Consignee]]="",_xlfn.CONCAT(Tableau2[[#This Row],[Compte ILN]],"-",Tableau2[[#This Row],[Compte Shipper]],"-",Tableau2[[#This Row],[POL]]),"-")</f>
        <v>-</v>
      </c>
      <c r="C205" s="234" t="s">
        <v>146</v>
      </c>
      <c r="D205" s="239">
        <f>VLOOKUP(Tableau2[[#This Row],[ Name ILN]],Plant_AILN!F:G,2,FALSE)</f>
        <v>0</v>
      </c>
      <c r="E205" s="168" t="s">
        <v>439</v>
      </c>
      <c r="F205" s="236">
        <f>IFERROR(VLOOKUP(Tableau2[[#This Row],[Name of shipper]],Plant_AILN!L:M,2,FALSE),0)</f>
        <v>25566103</v>
      </c>
      <c r="G205" s="234" t="s">
        <v>180</v>
      </c>
      <c r="H205" s="236">
        <f>IF(Tableau2[[#This Row],[Name Consignee]]=0,"",VLOOKUP(Tableau2[[#This Row],[Name Consignee]],Plant_AILN!A:C,3,FALSE))</f>
        <v>900383</v>
      </c>
      <c r="I205" s="237">
        <v>9</v>
      </c>
      <c r="J205" s="237">
        <v>2</v>
      </c>
      <c r="K205" s="238">
        <v>2</v>
      </c>
      <c r="L205" s="234">
        <v>7</v>
      </c>
      <c r="M205" s="239">
        <f>Tableau2[[#This Row],[Delivery time to ILN/Shipper]]+Tableau2[[#This Row],[Day ILN Order]]-1</f>
        <v>10</v>
      </c>
      <c r="N205" s="237">
        <v>2</v>
      </c>
      <c r="O205" s="238" t="s">
        <v>677</v>
      </c>
      <c r="P205" s="237">
        <v>2</v>
      </c>
    </row>
    <row r="206" spans="1:16" hidden="1">
      <c r="A206" s="243" t="str">
        <f>_xlfn.CONCAT(Tableau2[[#This Row],[Compte ILN]],"-",Tableau2[[#This Row],[Compte Shipper]],"-",Tableau2[[#This Row],[POL]],"-",Tableau2[[#This Row],[Compte Consignee]])</f>
        <v>26037000-26037000-CNSHA-90016900</v>
      </c>
      <c r="B206" s="243" t="str">
        <f>IF(Tableau2[[#This Row],[Name Consignee]]="",_xlfn.CONCAT(Tableau2[[#This Row],[Compte ILN]],"-",Tableau2[[#This Row],[Compte Shipper]],"-",Tableau2[[#This Row],[POL]]),"-")</f>
        <v>-</v>
      </c>
      <c r="C206" s="234" t="s">
        <v>62</v>
      </c>
      <c r="D206" s="229">
        <f>VLOOKUP(Tableau2[[#This Row],[ Name ILN]],Plant_AILN!F:G,2,FALSE)</f>
        <v>26037000</v>
      </c>
      <c r="E206" s="168" t="s">
        <v>62</v>
      </c>
      <c r="F206" s="236">
        <f>IFERROR(VLOOKUP(Tableau2[[#This Row],[Name of shipper]],Plant_AILN!L:M,2,FALSE),0)</f>
        <v>26037000</v>
      </c>
      <c r="G206" s="234" t="s">
        <v>154</v>
      </c>
      <c r="H206" s="236">
        <f>IF(Tableau2[[#This Row],[Name Consignee]]=0,"",VLOOKUP(Tableau2[[#This Row],[Name Consignee]],Plant_AILN!A:C,3,FALSE))</f>
        <v>90016900</v>
      </c>
      <c r="I206" s="52">
        <v>9</v>
      </c>
      <c r="J206" s="220">
        <v>14</v>
      </c>
      <c r="K206" s="96">
        <v>5</v>
      </c>
      <c r="L206" s="228">
        <v>7</v>
      </c>
      <c r="M206" s="229">
        <f>Tableau2[[#This Row],[Delivery time to ILN/Shipper]]+Tableau2[[#This Row],[Day ILN Order]]-1</f>
        <v>22</v>
      </c>
      <c r="N206" s="237">
        <v>1</v>
      </c>
      <c r="O206" s="238" t="s">
        <v>524</v>
      </c>
      <c r="P206" s="237">
        <v>2</v>
      </c>
    </row>
    <row r="207" spans="1:16" hidden="1">
      <c r="A207" s="243" t="str">
        <f>_xlfn.CONCAT(Tableau2[[#This Row],[Compte ILN]],"-",Tableau2[[#This Row],[Compte Shipper]],"-",Tableau2[[#This Row],[POL]],"-",Tableau2[[#This Row],[Compte Consignee]])</f>
        <v>26037000-26037000-CNSHA-91017700</v>
      </c>
      <c r="B207" s="243" t="str">
        <f>IF(Tableau2[[#This Row],[Name Consignee]]="",_xlfn.CONCAT(Tableau2[[#This Row],[Compte ILN]],"-",Tableau2[[#This Row],[Compte Shipper]],"-",Tableau2[[#This Row],[POL]]),"-")</f>
        <v>-</v>
      </c>
      <c r="C207" s="234" t="s">
        <v>62</v>
      </c>
      <c r="D207" s="229">
        <f>VLOOKUP(Tableau2[[#This Row],[ Name ILN]],Plant_AILN!F:G,2,FALSE)</f>
        <v>26037000</v>
      </c>
      <c r="E207" s="168" t="s">
        <v>62</v>
      </c>
      <c r="F207" s="236">
        <f>IFERROR(VLOOKUP(Tableau2[[#This Row],[Name of shipper]],Plant_AILN!L:M,2,FALSE),0)</f>
        <v>26037000</v>
      </c>
      <c r="G207" s="234" t="s">
        <v>63</v>
      </c>
      <c r="H207" s="236">
        <f>IF(Tableau2[[#This Row],[Name Consignee]]=0,"",VLOOKUP(Tableau2[[#This Row],[Name Consignee]],Plant_AILN!A:C,3,FALSE))</f>
        <v>91017700</v>
      </c>
      <c r="I207" s="52">
        <v>9</v>
      </c>
      <c r="J207" s="220">
        <v>14</v>
      </c>
      <c r="K207" s="96">
        <v>5</v>
      </c>
      <c r="L207" s="228">
        <v>7</v>
      </c>
      <c r="M207" s="229">
        <f>Tableau2[[#This Row],[Delivery time to ILN/Shipper]]+Tableau2[[#This Row],[Day ILN Order]]-1</f>
        <v>22</v>
      </c>
      <c r="N207" s="237">
        <v>1</v>
      </c>
      <c r="O207" s="238" t="s">
        <v>524</v>
      </c>
      <c r="P207" s="237">
        <v>2</v>
      </c>
    </row>
    <row r="208" spans="1:16" hidden="1">
      <c r="A208" s="243" t="str">
        <f>_xlfn.CONCAT(Tableau2[[#This Row],[Compte ILN]],"-",Tableau2[[#This Row],[Compte Shipper]],"-",Tableau2[[#This Row],[POL]],"-",Tableau2[[#This Row],[Compte Consignee]])</f>
        <v>26037000-26037000-CNSHA-91017300</v>
      </c>
      <c r="B208" s="243" t="str">
        <f>IF(Tableau2[[#This Row],[Name Consignee]]="",_xlfn.CONCAT(Tableau2[[#This Row],[Compte ILN]],"-",Tableau2[[#This Row],[Compte Shipper]],"-",Tableau2[[#This Row],[POL]]),"-")</f>
        <v>-</v>
      </c>
      <c r="C208" s="234" t="s">
        <v>62</v>
      </c>
      <c r="D208" s="229">
        <f>VLOOKUP(Tableau2[[#This Row],[ Name ILN]],Plant_AILN!F:G,2,FALSE)</f>
        <v>26037000</v>
      </c>
      <c r="E208" s="168" t="s">
        <v>62</v>
      </c>
      <c r="F208" s="236">
        <f>IFERROR(VLOOKUP(Tableau2[[#This Row],[Name of shipper]],Plant_AILN!L:M,2,FALSE),0)</f>
        <v>26037000</v>
      </c>
      <c r="G208" s="234" t="s">
        <v>175</v>
      </c>
      <c r="H208" s="236">
        <f>IF(Tableau2[[#This Row],[Name Consignee]]=0,"",VLOOKUP(Tableau2[[#This Row],[Name Consignee]],Plant_AILN!A:C,3,FALSE))</f>
        <v>91017300</v>
      </c>
      <c r="I208" s="52">
        <v>9</v>
      </c>
      <c r="J208" s="220">
        <v>14</v>
      </c>
      <c r="K208" s="96">
        <v>5</v>
      </c>
      <c r="L208" s="228">
        <v>7</v>
      </c>
      <c r="M208" s="229">
        <f>Tableau2[[#This Row],[Delivery time to ILN/Shipper]]+Tableau2[[#This Row],[Day ILN Order]]-1</f>
        <v>22</v>
      </c>
      <c r="N208" s="237">
        <v>1</v>
      </c>
      <c r="O208" s="238" t="s">
        <v>524</v>
      </c>
      <c r="P208" s="237">
        <v>2</v>
      </c>
    </row>
    <row r="209" spans="1:17" hidden="1">
      <c r="A209" s="243" t="str">
        <f>_xlfn.CONCAT(Tableau2[[#This Row],[Compte ILN]],"-",Tableau2[[#This Row],[Compte Shipper]],"-",Tableau2[[#This Row],[POL]],"-",Tableau2[[#This Row],[Compte Consignee]])</f>
        <v>26037000-26037000-CNSHA-90016800</v>
      </c>
      <c r="B209" s="243" t="str">
        <f>IF(Tableau2[[#This Row],[Name Consignee]]="",_xlfn.CONCAT(Tableau2[[#This Row],[Compte ILN]],"-",Tableau2[[#This Row],[Compte Shipper]],"-",Tableau2[[#This Row],[POL]]),"-")</f>
        <v>-</v>
      </c>
      <c r="C209" s="234" t="s">
        <v>62</v>
      </c>
      <c r="D209" s="229">
        <f>VLOOKUP(Tableau2[[#This Row],[ Name ILN]],Plant_AILN!F:G,2,FALSE)</f>
        <v>26037000</v>
      </c>
      <c r="E209" s="168" t="s">
        <v>62</v>
      </c>
      <c r="F209" s="236">
        <f>IFERROR(VLOOKUP(Tableau2[[#This Row],[Name of shipper]],Plant_AILN!L:M,2,FALSE),0)</f>
        <v>26037000</v>
      </c>
      <c r="G209" s="234" t="s">
        <v>185</v>
      </c>
      <c r="H209" s="236">
        <f>IF(Tableau2[[#This Row],[Name Consignee]]=0,"",VLOOKUP(Tableau2[[#This Row],[Name Consignee]],Plant_AILN!A:C,3,FALSE))</f>
        <v>90016800</v>
      </c>
      <c r="I209" s="52">
        <v>9</v>
      </c>
      <c r="J209" s="220">
        <v>14</v>
      </c>
      <c r="K209" s="96">
        <v>5</v>
      </c>
      <c r="L209" s="228">
        <v>7</v>
      </c>
      <c r="M209" s="229">
        <f>Tableau2[[#This Row],[Delivery time to ILN/Shipper]]+Tableau2[[#This Row],[Day ILN Order]]-1</f>
        <v>22</v>
      </c>
      <c r="N209" s="237">
        <v>1</v>
      </c>
      <c r="O209" s="238" t="s">
        <v>524</v>
      </c>
      <c r="P209" s="237">
        <v>2</v>
      </c>
    </row>
    <row r="210" spans="1:17" hidden="1">
      <c r="A210" s="243" t="str">
        <f>_xlfn.CONCAT(Tableau2[[#This Row],[Compte ILN]],"-",Tableau2[[#This Row],[Compte Shipper]],"-",Tableau2[[#This Row],[POL]],"-",Tableau2[[#This Row],[Compte Consignee]])</f>
        <v>26037000-26037000-CNSHA-90017000</v>
      </c>
      <c r="B210" s="243" t="str">
        <f>IF(Tableau2[[#This Row],[Name Consignee]]="",_xlfn.CONCAT(Tableau2[[#This Row],[Compte ILN]],"-",Tableau2[[#This Row],[Compte Shipper]],"-",Tableau2[[#This Row],[POL]]),"-")</f>
        <v>-</v>
      </c>
      <c r="C210" s="234" t="s">
        <v>62</v>
      </c>
      <c r="D210" s="229">
        <f>VLOOKUP(Tableau2[[#This Row],[ Name ILN]],Plant_AILN!F:G,2,FALSE)</f>
        <v>26037000</v>
      </c>
      <c r="E210" s="168" t="s">
        <v>62</v>
      </c>
      <c r="F210" s="236">
        <f>IFERROR(VLOOKUP(Tableau2[[#This Row],[Name of shipper]],Plant_AILN!L:M,2,FALSE),0)</f>
        <v>26037000</v>
      </c>
      <c r="G210" s="234" t="s">
        <v>173</v>
      </c>
      <c r="H210" s="236">
        <f>IF(Tableau2[[#This Row],[Name Consignee]]=0,"",VLOOKUP(Tableau2[[#This Row],[Name Consignee]],Plant_AILN!A:C,3,FALSE))</f>
        <v>90017000</v>
      </c>
      <c r="I210" s="52">
        <v>9</v>
      </c>
      <c r="J210" s="220">
        <v>14</v>
      </c>
      <c r="K210" s="96">
        <v>5</v>
      </c>
      <c r="L210" s="228">
        <v>7</v>
      </c>
      <c r="M210" s="229">
        <f>Tableau2[[#This Row],[Delivery time to ILN/Shipper]]+Tableau2[[#This Row],[Day ILN Order]]-1</f>
        <v>22</v>
      </c>
      <c r="N210" s="237">
        <v>1</v>
      </c>
      <c r="O210" s="238" t="s">
        <v>524</v>
      </c>
      <c r="P210" s="237">
        <v>2</v>
      </c>
    </row>
    <row r="211" spans="1:17" hidden="1">
      <c r="A211" s="243" t="str">
        <f>_xlfn.CONCAT(Tableau2[[#This Row],[Compte ILN]],"-",Tableau2[[#This Row],[Compte Shipper]],"-",Tableau2[[#This Row],[POL]],"-",Tableau2[[#This Row],[Compte Consignee]])</f>
        <v>26037000-26037000-CNSHA-90014400</v>
      </c>
      <c r="B211" s="243" t="str">
        <f>IF(Tableau2[[#This Row],[Name Consignee]]="",_xlfn.CONCAT(Tableau2[[#This Row],[Compte ILN]],"-",Tableau2[[#This Row],[Compte Shipper]],"-",Tableau2[[#This Row],[POL]]),"-")</f>
        <v>-</v>
      </c>
      <c r="C211" s="234" t="s">
        <v>62</v>
      </c>
      <c r="D211" s="229">
        <f>VLOOKUP(Tableau2[[#This Row],[ Name ILN]],Plant_AILN!F:G,2,FALSE)</f>
        <v>26037000</v>
      </c>
      <c r="E211" s="168" t="s">
        <v>62</v>
      </c>
      <c r="F211" s="236">
        <f>IFERROR(VLOOKUP(Tableau2[[#This Row],[Name of shipper]],Plant_AILN!L:M,2,FALSE),0)</f>
        <v>26037000</v>
      </c>
      <c r="G211" s="234" t="s">
        <v>165</v>
      </c>
      <c r="H211" s="236">
        <f>IF(Tableau2[[#This Row],[Name Consignee]]=0,"",VLOOKUP(Tableau2[[#This Row],[Name Consignee]],Plant_AILN!A:C,3,FALSE))</f>
        <v>90014400</v>
      </c>
      <c r="I211" s="52">
        <v>9</v>
      </c>
      <c r="J211" s="220">
        <v>14</v>
      </c>
      <c r="K211" s="96">
        <v>5</v>
      </c>
      <c r="L211" s="228">
        <v>7</v>
      </c>
      <c r="M211" s="229">
        <f>Tableau2[[#This Row],[Delivery time to ILN/Shipper]]+Tableau2[[#This Row],[Day ILN Order]]-1</f>
        <v>22</v>
      </c>
      <c r="N211" s="237">
        <v>1</v>
      </c>
      <c r="O211" s="238" t="s">
        <v>524</v>
      </c>
      <c r="P211" s="237">
        <v>2</v>
      </c>
    </row>
    <row r="212" spans="1:17" hidden="1">
      <c r="A212" s="419" t="str">
        <f>_xlfn.CONCAT(Tableau2[[#This Row],[Compte ILN]],"-",Tableau2[[#This Row],[Compte Shipper]],"-",Tableau2[[#This Row],[POL]],"-",Tableau2[[#This Row],[Compte Consignee]])</f>
        <v>26037000-26037000-CNSHA-90016200</v>
      </c>
      <c r="B212" s="419" t="str">
        <f>IF(Tableau2[[#This Row],[Name Consignee]]="",_xlfn.CONCAT(Tableau2[[#This Row],[Compte ILN]],"-",Tableau2[[#This Row],[Compte Shipper]],"-",Tableau2[[#This Row],[POL]]),"-")</f>
        <v>-</v>
      </c>
      <c r="C212" s="234" t="s">
        <v>62</v>
      </c>
      <c r="D212" s="239">
        <f>VLOOKUP(Tableau2[[#This Row],[ Name ILN]],Plant_AILN!F:G,2,FALSE)</f>
        <v>26037000</v>
      </c>
      <c r="E212" s="234" t="s">
        <v>62</v>
      </c>
      <c r="F212" s="236">
        <f>IFERROR(VLOOKUP(Tableau2[[#This Row],[Name of shipper]],Plant_AILN!L:M,2,FALSE),0)</f>
        <v>26037000</v>
      </c>
      <c r="G212" s="234" t="s">
        <v>210</v>
      </c>
      <c r="H212" s="236">
        <f>IF(Tableau2[[#This Row],[Name Consignee]]=0,"",VLOOKUP(Tableau2[[#This Row],[Name Consignee]],Plant_AILN!A:C,3,FALSE))</f>
        <v>90016200</v>
      </c>
      <c r="I212" s="237">
        <v>9</v>
      </c>
      <c r="J212" s="237">
        <v>14</v>
      </c>
      <c r="K212" s="238">
        <v>5</v>
      </c>
      <c r="L212" s="234">
        <v>7</v>
      </c>
      <c r="M212" s="239">
        <f>Tableau2[[#This Row],[Delivery time to ILN/Shipper]]+Tableau2[[#This Row],[Day ILN Order]]-1</f>
        <v>22</v>
      </c>
      <c r="N212" s="237">
        <v>2</v>
      </c>
      <c r="O212" s="238" t="s">
        <v>524</v>
      </c>
      <c r="P212" s="237">
        <v>5</v>
      </c>
    </row>
    <row r="213" spans="1:17" hidden="1">
      <c r="A213" s="419" t="str">
        <f>_xlfn.CONCAT(Tableau2[[#This Row],[Compte ILN]],"-",Tableau2[[#This Row],[Compte Shipper]],"-",Tableau2[[#This Row],[POL]],"-",Tableau2[[#This Row],[Compte Consignee]])</f>
        <v>91018400-91017500-ESALG-28750500</v>
      </c>
      <c r="B213" s="419" t="str">
        <f>IF(Tableau2[[#This Row],[Name Consignee]]="",_xlfn.CONCAT(Tableau2[[#This Row],[Compte ILN]],"-",Tableau2[[#This Row],[Compte Shipper]],"-",Tableau2[[#This Row],[POL]]),"-")</f>
        <v>-</v>
      </c>
      <c r="C213" s="234" t="s">
        <v>151</v>
      </c>
      <c r="D213" s="239">
        <f>VLOOKUP(Tableau2[[#This Row],[ Name ILN]],Plant_AILN!F:G,2,FALSE)</f>
        <v>91018400</v>
      </c>
      <c r="E213" s="234" t="s">
        <v>156</v>
      </c>
      <c r="F213" s="236">
        <f>IFERROR(VLOOKUP(Tableau2[[#This Row],[Name of shipper]],Plant_AILN!L:M,2,FALSE),0)</f>
        <v>91017500</v>
      </c>
      <c r="G213" s="234" t="s">
        <v>215</v>
      </c>
      <c r="H213" s="236">
        <f>IF(Tableau2[[#This Row],[Name Consignee]]=0,"",VLOOKUP(Tableau2[[#This Row],[Name Consignee]],Plant_AILN!A:C,3,FALSE))</f>
        <v>28750500</v>
      </c>
      <c r="I213" s="237">
        <v>9</v>
      </c>
      <c r="J213" s="237">
        <v>14</v>
      </c>
      <c r="K213" s="238">
        <v>5</v>
      </c>
      <c r="L213" s="234">
        <v>7</v>
      </c>
      <c r="M213" s="239">
        <f>Tableau2[[#This Row],[Delivery time to ILN/Shipper]]+Tableau2[[#This Row],[Day ILN Order]]-1</f>
        <v>22</v>
      </c>
      <c r="N213" s="237">
        <v>2</v>
      </c>
      <c r="O213" s="238" t="s">
        <v>531</v>
      </c>
      <c r="P213" s="237">
        <v>3</v>
      </c>
    </row>
    <row r="214" spans="1:17" hidden="1">
      <c r="A214" s="419" t="str">
        <f>_xlfn.CONCAT(Tableau2[[#This Row],[Compte ILN]],"-",Tableau2[[#This Row],[Compte Shipper]],"-",Tableau2[[#This Row],[POL]],"-",Tableau2[[#This Row],[Compte Consignee]])</f>
        <v>2533780546-2533780546-INENR-91017700</v>
      </c>
      <c r="B214" s="419" t="str">
        <f>IF(Tableau2[[#This Row],[Name Consignee]]="",_xlfn.CONCAT(Tableau2[[#This Row],[Compte ILN]],"-",Tableau2[[#This Row],[Compte Shipper]],"-",Tableau2[[#This Row],[POL]]),"-")</f>
        <v>-</v>
      </c>
      <c r="C214" s="234" t="s">
        <v>149</v>
      </c>
      <c r="D214" s="239">
        <f>VLOOKUP(Tableau2[[#This Row],[ Name ILN]],Plant_AILN!F:G,2,FALSE)</f>
        <v>2533780546</v>
      </c>
      <c r="E214" s="225" t="s">
        <v>149</v>
      </c>
      <c r="F214" s="236">
        <f>IFERROR(VLOOKUP(Tableau2[[#This Row],[Name of shipper]],Plant_AILN!L:M,2,FALSE),0)</f>
        <v>2533780546</v>
      </c>
      <c r="G214" s="234" t="s">
        <v>63</v>
      </c>
      <c r="H214" s="236">
        <f>IF(Tableau2[[#This Row],[Name Consignee]]=0,"",VLOOKUP(Tableau2[[#This Row],[Name Consignee]],Plant_AILN!A:C,3,FALSE))</f>
        <v>91017700</v>
      </c>
      <c r="I214" s="105">
        <v>9</v>
      </c>
      <c r="J214" s="237">
        <v>14</v>
      </c>
      <c r="K214" s="238">
        <v>5</v>
      </c>
      <c r="L214" s="234">
        <v>7</v>
      </c>
      <c r="M214" s="239">
        <f>Tableau2[[#This Row],[Delivery time to ILN/Shipper]]+Tableau2[[#This Row],[Day ILN Order]]-1</f>
        <v>22</v>
      </c>
      <c r="N214" s="237">
        <v>2</v>
      </c>
      <c r="O214" s="238" t="s">
        <v>502</v>
      </c>
      <c r="P214" s="105">
        <v>3</v>
      </c>
      <c r="Q214" t="s">
        <v>650</v>
      </c>
    </row>
    <row r="215" spans="1:17" hidden="1">
      <c r="A215" s="419" t="str">
        <f>_xlfn.CONCAT(Tableau2[[#This Row],[Compte ILN]],"-",Tableau2[[#This Row],[Compte Shipper]],"-",Tableau2[[#This Row],[POL]],"-",Tableau2[[#This Row],[Compte Consignee]])</f>
        <v>95207-95207-BRPNG-90016700</v>
      </c>
      <c r="B215" s="419" t="str">
        <f>IF(Tableau2[[#This Row],[Name Consignee]]="",_xlfn.CONCAT(Tableau2[[#This Row],[Compte ILN]],"-",Tableau2[[#This Row],[Compte Shipper]],"-",Tableau2[[#This Row],[POL]]),"-")</f>
        <v>-</v>
      </c>
      <c r="C215" s="234" t="s">
        <v>163</v>
      </c>
      <c r="D215" s="239">
        <f>VLOOKUP(Tableau2[[#This Row],[ Name ILN]],Plant_AILN!F:G,2,FALSE)</f>
        <v>95207</v>
      </c>
      <c r="E215" s="168" t="s">
        <v>163</v>
      </c>
      <c r="F215" s="236">
        <f>IFERROR(VLOOKUP(Tableau2[[#This Row],[Name of shipper]],Plant_AILN!L:M,2,FALSE),0)</f>
        <v>95207</v>
      </c>
      <c r="G215" s="234" t="s">
        <v>35</v>
      </c>
      <c r="H215" s="236">
        <f>IF(Tableau2[[#This Row],[Name Consignee]]=0,"",VLOOKUP(Tableau2[[#This Row],[Name Consignee]],Plant_AILN!A:C,3,FALSE))</f>
        <v>90016700</v>
      </c>
      <c r="I215" s="52">
        <v>9</v>
      </c>
      <c r="J215" s="220">
        <v>14</v>
      </c>
      <c r="K215" s="238">
        <v>5</v>
      </c>
      <c r="L215" s="225">
        <v>7</v>
      </c>
      <c r="M215" s="229">
        <f>Tableau2[[#This Row],[Delivery time to ILN/Shipper]]+Tableau2[[#This Row],[Day ILN Order]]-1</f>
        <v>22</v>
      </c>
      <c r="N215" s="220">
        <v>13</v>
      </c>
      <c r="O215" s="96" t="s">
        <v>525</v>
      </c>
      <c r="P215" s="242">
        <v>7</v>
      </c>
      <c r="Q215" t="s">
        <v>678</v>
      </c>
    </row>
    <row r="216" spans="1:17" hidden="1">
      <c r="A216" s="419" t="str">
        <f>_xlfn.CONCAT(Tableau2[[#This Row],[Compte ILN]],"-",Tableau2[[#This Row],[Compte Shipper]],"-",Tableau2[[#This Row],[POL]],"-",Tableau2[[#This Row],[Compte Consignee]])</f>
        <v>26037000-26037000-CNSHA-90016700</v>
      </c>
      <c r="B216" s="419" t="str">
        <f>IF(Tableau2[[#This Row],[Name Consignee]]="",_xlfn.CONCAT(Tableau2[[#This Row],[Compte ILN]],"-",Tableau2[[#This Row],[Compte Shipper]],"-",Tableau2[[#This Row],[POL]]),"-")</f>
        <v>-</v>
      </c>
      <c r="C216" s="234" t="s">
        <v>62</v>
      </c>
      <c r="D216" s="239">
        <f>VLOOKUP(Tableau2[[#This Row],[ Name ILN]],Plant_AILN!F:G,2,FALSE)</f>
        <v>26037000</v>
      </c>
      <c r="E216" s="234" t="s">
        <v>62</v>
      </c>
      <c r="F216" s="236">
        <f>IFERROR(VLOOKUP(Tableau2[[#This Row],[Name of shipper]],Plant_AILN!L:M,2,FALSE),0)</f>
        <v>26037000</v>
      </c>
      <c r="G216" s="234" t="s">
        <v>35</v>
      </c>
      <c r="H216" s="236">
        <f>IF(Tableau2[[#This Row],[Name Consignee]]=0,"",VLOOKUP(Tableau2[[#This Row],[Name Consignee]],Plant_AILN!A:C,3,FALSE))</f>
        <v>90016700</v>
      </c>
      <c r="I216" s="52">
        <v>9</v>
      </c>
      <c r="J216" s="220">
        <v>21</v>
      </c>
      <c r="K216" s="96">
        <v>5</v>
      </c>
      <c r="L216" s="228">
        <v>7</v>
      </c>
      <c r="M216" s="229">
        <f>Tableau2[[#This Row],[Delivery time to ILN/Shipper]]+Tableau2[[#This Row],[Day ILN Order]]-1</f>
        <v>29</v>
      </c>
      <c r="N216" s="237">
        <v>1</v>
      </c>
      <c r="O216" s="238" t="s">
        <v>524</v>
      </c>
      <c r="P216" s="237">
        <v>2</v>
      </c>
      <c r="Q216" t="s">
        <v>678</v>
      </c>
    </row>
    <row r="217" spans="1:17" hidden="1">
      <c r="A217" s="243" t="str">
        <f>_xlfn.CONCAT(Tableau2[[#This Row],[Compte ILN]],"-",Tableau2[[#This Row],[Compte Shipper]],"-",Tableau2[[#This Row],[POL]],"-",Tableau2[[#This Row],[Compte Consignee]])</f>
        <v>0-43919900-CNSHA-90016500</v>
      </c>
      <c r="B217" s="243" t="str">
        <f>IF(Tableau2[[#This Row],[Name Consignee]]="",_xlfn.CONCAT(Tableau2[[#This Row],[Compte ILN]],"-",Tableau2[[#This Row],[Compte Shipper]],"-",Tableau2[[#This Row],[POL]]),"-")</f>
        <v>-</v>
      </c>
      <c r="C217" s="225" t="s">
        <v>146</v>
      </c>
      <c r="D217" s="229">
        <f>VLOOKUP(Tableau2[[#This Row],[ Name ILN]],Plant_AILN!F:G,2,FALSE)</f>
        <v>0</v>
      </c>
      <c r="E217" s="234" t="s">
        <v>469</v>
      </c>
      <c r="F217" s="236">
        <f>IFERROR(VLOOKUP(Tableau2[[#This Row],[Name of shipper]],Plant_AILN!L:M,2,FALSE),0)</f>
        <v>43919900</v>
      </c>
      <c r="G217" s="234" t="s">
        <v>170</v>
      </c>
      <c r="H217" s="236">
        <f>IF(Tableau2[[#This Row],[Name Consignee]]=0,"",VLOOKUP(Tableau2[[#This Row],[Name Consignee]],Plant_AILN!A:C,3,FALSE))</f>
        <v>90016500</v>
      </c>
      <c r="I217" s="52">
        <v>7</v>
      </c>
      <c r="J217" s="220">
        <v>4</v>
      </c>
      <c r="K217" s="96">
        <v>5</v>
      </c>
      <c r="L217" s="228">
        <v>4</v>
      </c>
      <c r="M217" s="229">
        <f>Tableau2[[#This Row],[Delivery time to ILN/Shipper]]+Tableau2[[#This Row],[Day ILN Order]]-1</f>
        <v>10</v>
      </c>
      <c r="N217" s="230">
        <v>7</v>
      </c>
      <c r="O217" s="231" t="s">
        <v>524</v>
      </c>
      <c r="P217" s="60">
        <v>5</v>
      </c>
    </row>
    <row r="218" spans="1:17" hidden="1">
      <c r="A218" s="243" t="str">
        <f>_xlfn.CONCAT(Tableau2[[#This Row],[Compte ILN]],"-",Tableau2[[#This Row],[Compte Shipper]],"-",Tableau2[[#This Row],[POL]],"-",Tableau2[[#This Row],[Compte Consignee]])</f>
        <v>0-28265100-CNFQG-90017000</v>
      </c>
      <c r="B218" s="243" t="str">
        <f>IF(Tableau2[[#This Row],[Name Consignee]]="",_xlfn.CONCAT(Tableau2[[#This Row],[Compte ILN]],"-",Tableau2[[#This Row],[Compte Shipper]],"-",Tableau2[[#This Row],[POL]]),"-")</f>
        <v>-</v>
      </c>
      <c r="C218" s="225" t="s">
        <v>146</v>
      </c>
      <c r="D218" s="229">
        <f>VLOOKUP(Tableau2[[#This Row],[ Name ILN]],Plant_AILN!F:G,2,FALSE)</f>
        <v>0</v>
      </c>
      <c r="E218" s="234" t="s">
        <v>466</v>
      </c>
      <c r="F218" s="236">
        <f>IFERROR(VLOOKUP(Tableau2[[#This Row],[Name of shipper]],Plant_AILN!L:M,2,FALSE),0)</f>
        <v>28265100</v>
      </c>
      <c r="G218" s="234" t="s">
        <v>173</v>
      </c>
      <c r="H218" s="236">
        <f>IF(Tableau2[[#This Row],[Name Consignee]]=0,"",VLOOKUP(Tableau2[[#This Row],[Name Consignee]],Plant_AILN!A:C,3,FALSE))</f>
        <v>90017000</v>
      </c>
      <c r="I218" s="52">
        <v>9</v>
      </c>
      <c r="J218" s="220">
        <v>14</v>
      </c>
      <c r="K218" s="96">
        <v>5</v>
      </c>
      <c r="L218" s="228">
        <v>4</v>
      </c>
      <c r="M218" s="229">
        <f>Tableau2[[#This Row],[Delivery time to ILN/Shipper]]+Tableau2[[#This Row],[Day ILN Order]]-1</f>
        <v>22</v>
      </c>
      <c r="N218" s="230">
        <v>3</v>
      </c>
      <c r="O218" s="231" t="s">
        <v>647</v>
      </c>
      <c r="P218" s="60">
        <v>5</v>
      </c>
    </row>
    <row r="219" spans="1:17" hidden="1">
      <c r="A219" s="243" t="str">
        <f>_xlfn.CONCAT(Tableau2[[#This Row],[Compte ILN]],"-",Tableau2[[#This Row],[Compte Shipper]],"-",Tableau2[[#This Row],[POL]],"-",Tableau2[[#This Row],[Compte Consignee]])</f>
        <v>0-41447500-CNSHA-</v>
      </c>
      <c r="B219" s="243" t="str">
        <f>IF(Tableau2[[#This Row],[Name Consignee]]="",_xlfn.CONCAT(Tableau2[[#This Row],[Compte ILN]],"-",Tableau2[[#This Row],[Compte Shipper]],"-",Tableau2[[#This Row],[POL]]),"-")</f>
        <v>0-41447500-CNSHA</v>
      </c>
      <c r="C219" s="225" t="s">
        <v>146</v>
      </c>
      <c r="D219" s="229">
        <f>VLOOKUP(Tableau2[[#This Row],[ Name ILN]],Plant_AILN!F:G,2,FALSE)</f>
        <v>0</v>
      </c>
      <c r="E219" s="234" t="s">
        <v>454</v>
      </c>
      <c r="F219" s="236">
        <f>IFERROR(VLOOKUP(Tableau2[[#This Row],[Name of shipper]],Plant_AILN!L:M,2,FALSE),0)</f>
        <v>41447500</v>
      </c>
      <c r="G219" s="234"/>
      <c r="H219" s="236" t="str">
        <f>IF(Tableau2[[#This Row],[Name Consignee]]=0,"",VLOOKUP(Tableau2[[#This Row],[Name Consignee]],Plant_AILN!A:C,3,FALSE))</f>
        <v/>
      </c>
      <c r="I219" s="52">
        <v>9</v>
      </c>
      <c r="J219" s="220">
        <v>14</v>
      </c>
      <c r="K219" s="96">
        <v>5</v>
      </c>
      <c r="L219" s="228">
        <v>4</v>
      </c>
      <c r="M219" s="229">
        <f>Tableau2[[#This Row],[Delivery time to ILN/Shipper]]+Tableau2[[#This Row],[Day ILN Order]]-1</f>
        <v>22</v>
      </c>
      <c r="N219" s="230">
        <v>3</v>
      </c>
      <c r="O219" s="231" t="s">
        <v>524</v>
      </c>
      <c r="P219" s="60">
        <v>5</v>
      </c>
    </row>
    <row r="220" spans="1:17" hidden="1">
      <c r="A220" s="419" t="str">
        <f>_xlfn.CONCAT(Tableau2[[#This Row],[Compte ILN]],"-",Tableau2[[#This Row],[Compte Shipper]],"-",Tableau2[[#This Row],[POL]],"-",Tableau2[[#This Row],[Compte Consignee]])</f>
        <v>0-119640-JPSMZ-</v>
      </c>
      <c r="B220" s="419" t="str">
        <f>IF(Tableau2[[#This Row],[Name Consignee]]="",_xlfn.CONCAT(Tableau2[[#This Row],[Compte ILN]],"-",Tableau2[[#This Row],[Compte Shipper]],"-",Tableau2[[#This Row],[POL]]),"-")</f>
        <v>0-119640-JPSMZ</v>
      </c>
      <c r="C220" s="225" t="s">
        <v>146</v>
      </c>
      <c r="D220" s="239">
        <f>VLOOKUP(Tableau2[[#This Row],[ Name ILN]],Plant_AILN!F:G,2,FALSE)</f>
        <v>0</v>
      </c>
      <c r="E220" s="234" t="s">
        <v>178</v>
      </c>
      <c r="F220" s="236">
        <f>IFERROR(VLOOKUP(Tableau2[[#This Row],[Name of shipper]],Plant_AILN!L:M,2,FALSE),0)</f>
        <v>119640</v>
      </c>
      <c r="G220" s="234"/>
      <c r="H220" s="236" t="str">
        <f>IF(Tableau2[[#This Row],[Name Consignee]]=0,"",VLOOKUP(Tableau2[[#This Row],[Name Consignee]],Plant_AILN!A:C,3,FALSE))</f>
        <v/>
      </c>
      <c r="I220" s="237">
        <v>9</v>
      </c>
      <c r="J220" s="237">
        <v>14</v>
      </c>
      <c r="K220" s="238">
        <v>5</v>
      </c>
      <c r="L220" s="234">
        <v>7</v>
      </c>
      <c r="M220" s="239">
        <f>Tableau2[[#This Row],[Delivery time to ILN/Shipper]]+Tableau2[[#This Row],[Day ILN Order]]-1</f>
        <v>22</v>
      </c>
      <c r="N220" s="237">
        <v>1</v>
      </c>
      <c r="O220" s="238" t="s">
        <v>605</v>
      </c>
      <c r="P220" s="237">
        <v>3</v>
      </c>
    </row>
    <row r="221" spans="1:17">
      <c r="A221" s="419" t="str">
        <f>_xlfn.CONCAT(Tableau2[[#This Row],[Compte ILN]],"-",Tableau2[[#This Row],[Compte Shipper]],"-",Tableau2[[#This Row],[POL]],"-",Tableau2[[#This Row],[Compte Consignee]])</f>
        <v>0-261427-MXVER-</v>
      </c>
      <c r="B221" s="419" t="str">
        <f>IF(Tableau2[[#This Row],[Name Consignee]]="",_xlfn.CONCAT(Tableau2[[#This Row],[Compte ILN]],"-",Tableau2[[#This Row],[Compte Shipper]],"-",Tableau2[[#This Row],[POL]]),"-")</f>
        <v>0-261427-MXVER</v>
      </c>
      <c r="C221" s="234" t="s">
        <v>146</v>
      </c>
      <c r="D221" s="239">
        <f>VLOOKUP(Tableau2[[#This Row],[ Name ILN]],Plant_AILN!F:G,2,FALSE)</f>
        <v>0</v>
      </c>
      <c r="E221" s="234" t="s">
        <v>176</v>
      </c>
      <c r="F221" s="236">
        <f>IFERROR(VLOOKUP(Tableau2[[#This Row],[Name of shipper]],Plant_AILN!L:M,2,FALSE),0)</f>
        <v>261427</v>
      </c>
      <c r="G221" s="234"/>
      <c r="H221" s="236" t="str">
        <f>IF(Tableau2[[#This Row],[Name Consignee]]=0,"",VLOOKUP(Tableau2[[#This Row],[Name Consignee]],Plant_AILN!A:C,3,FALSE))</f>
        <v/>
      </c>
      <c r="I221" s="237">
        <v>9</v>
      </c>
      <c r="J221" s="237">
        <v>14</v>
      </c>
      <c r="K221" s="238">
        <v>5</v>
      </c>
      <c r="L221" s="234">
        <v>7</v>
      </c>
      <c r="M221" s="239">
        <f>Tableau2[[#This Row],[Delivery time to ILN/Shipper]]+Tableau2[[#This Row],[Day ILN Order]]-1</f>
        <v>22</v>
      </c>
      <c r="N221" s="237">
        <v>2</v>
      </c>
      <c r="O221" s="238" t="s">
        <v>614</v>
      </c>
      <c r="P221" s="237">
        <v>5</v>
      </c>
    </row>
    <row r="222" spans="1:17">
      <c r="A222" s="243" t="str">
        <f>_xlfn.CONCAT(Tableau2[[#This Row],[Compte ILN]],"-",Tableau2[[#This Row],[Compte Shipper]],"-",Tableau2[[#This Row],[POL]],"-",Tableau2[[#This Row],[Compte Consignee]])</f>
        <v>0-261427-MXLZC-</v>
      </c>
      <c r="B222" s="243" t="str">
        <f>IF(Tableau2[[#This Row],[Name Consignee]]="",_xlfn.CONCAT(Tableau2[[#This Row],[Compte ILN]],"-",Tableau2[[#This Row],[Compte Shipper]],"-",Tableau2[[#This Row],[POL]]),"-")</f>
        <v>0-261427-MXLZC</v>
      </c>
      <c r="C222" s="234" t="s">
        <v>146</v>
      </c>
      <c r="D222" s="229">
        <f>VLOOKUP(Tableau2[[#This Row],[ Name ILN]],Plant_AILN!F:G,2,FALSE)</f>
        <v>0</v>
      </c>
      <c r="E222" s="234" t="s">
        <v>176</v>
      </c>
      <c r="F222" s="236">
        <f>IFERROR(VLOOKUP(Tableau2[[#This Row],[Name of shipper]],Plant_AILN!L:M,2,FALSE),0)</f>
        <v>261427</v>
      </c>
      <c r="G222" s="234"/>
      <c r="H222" s="236" t="str">
        <f>IF(Tableau2[[#This Row],[Name Consignee]]=0,"",VLOOKUP(Tableau2[[#This Row],[Name Consignee]],Plant_AILN!A:C,3,FALSE))</f>
        <v/>
      </c>
      <c r="I222" s="237">
        <v>9</v>
      </c>
      <c r="J222" s="237">
        <v>14</v>
      </c>
      <c r="K222" s="238">
        <v>5</v>
      </c>
      <c r="L222" s="234">
        <v>7</v>
      </c>
      <c r="M222" s="229">
        <f>Tableau2[[#This Row],[Delivery time to ILN/Shipper]]+Tableau2[[#This Row],[Day ILN Order]]-1</f>
        <v>22</v>
      </c>
      <c r="N222" s="220">
        <v>2</v>
      </c>
      <c r="O222" s="96" t="s">
        <v>602</v>
      </c>
      <c r="P222" s="220">
        <v>5</v>
      </c>
    </row>
    <row r="223" spans="1:17">
      <c r="A223" s="243" t="str">
        <f>_xlfn.CONCAT(Tableau2[[#This Row],[Compte ILN]],"-",Tableau2[[#This Row],[Compte Shipper]],"-",Tableau2[[#This Row],[POL]],"-",Tableau2[[#This Row],[Compte Consignee]])</f>
        <v>0-261427-MXZLO-</v>
      </c>
      <c r="B223" s="243" t="str">
        <f>IF(Tableau2[[#This Row],[Name Consignee]]="",_xlfn.CONCAT(Tableau2[[#This Row],[Compte ILN]],"-",Tableau2[[#This Row],[Compte Shipper]],"-",Tableau2[[#This Row],[POL]]),"-")</f>
        <v>0-261427-MXZLO</v>
      </c>
      <c r="C223" s="234" t="s">
        <v>146</v>
      </c>
      <c r="D223" s="229">
        <f>VLOOKUP(Tableau2[[#This Row],[ Name ILN]],Plant_AILN!F:G,2,FALSE)</f>
        <v>0</v>
      </c>
      <c r="E223" s="234" t="s">
        <v>176</v>
      </c>
      <c r="F223" s="236">
        <f>IFERROR(VLOOKUP(Tableau2[[#This Row],[Name of shipper]],Plant_AILN!L:M,2,FALSE),0)</f>
        <v>261427</v>
      </c>
      <c r="G223" s="234"/>
      <c r="H223" s="236" t="str">
        <f>IF(Tableau2[[#This Row],[Name Consignee]]=0,"",VLOOKUP(Tableau2[[#This Row],[Name Consignee]],Plant_AILN!A:C,3,FALSE))</f>
        <v/>
      </c>
      <c r="I223" s="220">
        <v>9</v>
      </c>
      <c r="J223" s="220">
        <v>14</v>
      </c>
      <c r="K223" s="96">
        <v>5</v>
      </c>
      <c r="L223" s="225">
        <v>7</v>
      </c>
      <c r="M223" s="229">
        <f>Tableau2[[#This Row],[Delivery time to ILN/Shipper]]+Tableau2[[#This Row],[Day ILN Order]]-1</f>
        <v>22</v>
      </c>
      <c r="N223" s="220">
        <v>2</v>
      </c>
      <c r="O223" s="96" t="s">
        <v>604</v>
      </c>
      <c r="P223" s="220">
        <v>5</v>
      </c>
    </row>
    <row r="224" spans="1:17">
      <c r="A224" s="243" t="str">
        <f>_xlfn.CONCAT(Tableau2[[#This Row],[Compte ILN]],"-",Tableau2[[#This Row],[Compte Shipper]],"-",Tableau2[[#This Row],[POL]],"-",Tableau2[[#This Row],[Compte Consignee]])</f>
        <v>0-261427-MXATM-</v>
      </c>
      <c r="B224" s="243" t="str">
        <f>IF(Tableau2[[#This Row],[Name Consignee]]="",_xlfn.CONCAT(Tableau2[[#This Row],[Compte ILN]],"-",Tableau2[[#This Row],[Compte Shipper]],"-",Tableau2[[#This Row],[POL]]),"-")</f>
        <v>0-261427-MXATM</v>
      </c>
      <c r="C224" s="234" t="s">
        <v>146</v>
      </c>
      <c r="D224" s="229">
        <f>VLOOKUP(Tableau2[[#This Row],[ Name ILN]],Plant_AILN!F:G,2,FALSE)</f>
        <v>0</v>
      </c>
      <c r="E224" s="234" t="s">
        <v>176</v>
      </c>
      <c r="F224" s="469">
        <f>IFERROR(VLOOKUP(Tableau2[[#This Row],[Name of shipper]],Plant_AILN!L:M,2,FALSE),0)</f>
        <v>261427</v>
      </c>
      <c r="G224" s="470"/>
      <c r="H224" s="469" t="str">
        <f>IF(Tableau2[[#This Row],[Name Consignee]]=0,"",VLOOKUP(Tableau2[[#This Row],[Name Consignee]],Plant_AILN!A:C,3,FALSE))</f>
        <v/>
      </c>
      <c r="I224" s="237">
        <v>9</v>
      </c>
      <c r="J224" s="237">
        <v>14</v>
      </c>
      <c r="K224" s="238">
        <v>5</v>
      </c>
      <c r="L224" s="234">
        <v>7</v>
      </c>
      <c r="M224" s="229">
        <f>Tableau2[[#This Row],[Delivery time to ILN/Shipper]]+Tableau2[[#This Row],[Day ILN Order]]-1</f>
        <v>22</v>
      </c>
      <c r="N224" s="220">
        <v>2</v>
      </c>
      <c r="O224" s="96" t="s">
        <v>613</v>
      </c>
      <c r="P224" s="220">
        <v>5</v>
      </c>
    </row>
    <row r="225" spans="1:17" hidden="1">
      <c r="A225" s="419" t="str">
        <f>_xlfn.CONCAT(Tableau2[[#This Row],[Compte ILN]],"-",Tableau2[[#This Row],[Compte Shipper]],"-",Tableau2[[#This Row],[POL]],"-",Tableau2[[#This Row],[Compte Consignee]])</f>
        <v>2533780546-2533780546-INKAT-91017700</v>
      </c>
      <c r="B225" s="419" t="str">
        <f>IF(Tableau2[[#This Row],[Name Consignee]]="",_xlfn.CONCAT(Tableau2[[#This Row],[Compte ILN]],"-",Tableau2[[#This Row],[Compte Shipper]],"-",Tableau2[[#This Row],[POL]]),"-")</f>
        <v>-</v>
      </c>
      <c r="C225" s="234" t="s">
        <v>149</v>
      </c>
      <c r="D225" s="239">
        <f>VLOOKUP(Tableau2[[#This Row],[ Name ILN]],Plant_AILN!F:G,2,FALSE)</f>
        <v>2533780546</v>
      </c>
      <c r="E225" s="234" t="s">
        <v>149</v>
      </c>
      <c r="F225" s="236">
        <f>IFERROR(VLOOKUP(Tableau2[[#This Row],[Name of shipper]],Plant_AILN!L:M,2,FALSE),0)</f>
        <v>2533780546</v>
      </c>
      <c r="G225" s="234" t="s">
        <v>63</v>
      </c>
      <c r="H225" s="236">
        <f>IF(Tableau2[[#This Row],[Name Consignee]]=0,"",VLOOKUP(Tableau2[[#This Row],[Name Consignee]],Plant_AILN!A:C,3,FALSE))</f>
        <v>91017700</v>
      </c>
      <c r="I225" s="105">
        <v>9</v>
      </c>
      <c r="J225" s="237">
        <v>14</v>
      </c>
      <c r="K225" s="238">
        <v>5</v>
      </c>
      <c r="L225" s="234">
        <v>7</v>
      </c>
      <c r="M225" s="239">
        <f>Tableau2[[#This Row],[Delivery time to ILN/Shipper]]+Tableau2[[#This Row],[Day ILN Order]]-1</f>
        <v>22</v>
      </c>
      <c r="N225" s="237">
        <v>2</v>
      </c>
      <c r="O225" s="238" t="s">
        <v>571</v>
      </c>
      <c r="P225" s="237">
        <v>3</v>
      </c>
      <c r="Q225" t="s">
        <v>650</v>
      </c>
    </row>
    <row r="226" spans="1:17" hidden="1">
      <c r="A226" s="419" t="str">
        <f>_xlfn.CONCAT(Tableau2[[#This Row],[Compte ILN]],"-",Tableau2[[#This Row],[Compte Shipper]],"-",Tableau2[[#This Row],[POL]],"-",Tableau2[[#This Row],[Compte Consignee]])</f>
        <v>2533780546-2533780546-INMAA-91017700</v>
      </c>
      <c r="B226" s="419" t="str">
        <f>IF(Tableau2[[#This Row],[Name Consignee]]="",_xlfn.CONCAT(Tableau2[[#This Row],[Compte ILN]],"-",Tableau2[[#This Row],[Compte Shipper]],"-",Tableau2[[#This Row],[POL]]),"-")</f>
        <v>-</v>
      </c>
      <c r="C226" s="234" t="s">
        <v>149</v>
      </c>
      <c r="D226" s="239">
        <f>VLOOKUP(Tableau2[[#This Row],[ Name ILN]],Plant_AILN!F:G,2,FALSE)</f>
        <v>2533780546</v>
      </c>
      <c r="E226" s="234" t="s">
        <v>149</v>
      </c>
      <c r="F226" s="236">
        <f>IFERROR(VLOOKUP(Tableau2[[#This Row],[Name of shipper]],Plant_AILN!L:M,2,FALSE),0)</f>
        <v>2533780546</v>
      </c>
      <c r="G226" s="234" t="s">
        <v>63</v>
      </c>
      <c r="H226" s="236">
        <f>IF(Tableau2[[#This Row],[Name Consignee]]=0,"",VLOOKUP(Tableau2[[#This Row],[Name Consignee]],Plant_AILN!A:C,3,FALSE))</f>
        <v>91017700</v>
      </c>
      <c r="I226" s="105">
        <v>9</v>
      </c>
      <c r="J226" s="237">
        <v>14</v>
      </c>
      <c r="K226" s="238">
        <v>5</v>
      </c>
      <c r="L226" s="234">
        <v>7</v>
      </c>
      <c r="M226" s="239">
        <f>Tableau2[[#This Row],[Delivery time to ILN/Shipper]]+Tableau2[[#This Row],[Day ILN Order]]-1</f>
        <v>22</v>
      </c>
      <c r="N226" s="237">
        <v>2</v>
      </c>
      <c r="O226" s="238" t="s">
        <v>537</v>
      </c>
      <c r="P226" s="237">
        <v>3</v>
      </c>
      <c r="Q226" t="s">
        <v>650</v>
      </c>
    </row>
    <row r="227" spans="1:17" hidden="1">
      <c r="A227" s="419" t="str">
        <f>_xlfn.CONCAT(Tableau2[[#This Row],[Compte ILN]],"-",Tableau2[[#This Row],[Compte Shipper]],"-",Tableau2[[#This Row],[POL]],"-",Tableau2[[#This Row],[Compte Consignee]])</f>
        <v>2533780546-2533780546-INENR-25079500</v>
      </c>
      <c r="B227" s="419" t="str">
        <f>IF(Tableau2[[#This Row],[Name Consignee]]="",_xlfn.CONCAT(Tableau2[[#This Row],[Compte ILN]],"-",Tableau2[[#This Row],[Compte Shipper]],"-",Tableau2[[#This Row],[POL]]),"-")</f>
        <v>-</v>
      </c>
      <c r="C227" s="234" t="s">
        <v>149</v>
      </c>
      <c r="D227" s="239">
        <f>VLOOKUP(Tableau2[[#This Row],[ Name ILN]],Plant_AILN!F:G,2,FALSE)</f>
        <v>2533780546</v>
      </c>
      <c r="E227" s="187" t="s">
        <v>149</v>
      </c>
      <c r="F227" s="236">
        <f>IFERROR(VLOOKUP(Tableau2[[#This Row],[Name of shipper]],Plant_AILN!L:M,2,FALSE),0)</f>
        <v>2533780546</v>
      </c>
      <c r="G227" s="234" t="s">
        <v>637</v>
      </c>
      <c r="H227" s="236">
        <f>IF(Tableau2[[#This Row],[Name Consignee]]=0,"",VLOOKUP(Tableau2[[#This Row],[Name Consignee]],Plant_AILN!A:C,3,FALSE))</f>
        <v>25079500</v>
      </c>
      <c r="I227" s="105">
        <v>9</v>
      </c>
      <c r="J227" s="237">
        <v>14</v>
      </c>
      <c r="K227" s="238">
        <v>5</v>
      </c>
      <c r="L227" s="234">
        <v>7</v>
      </c>
      <c r="M227" s="239">
        <f>Tableau2[[#This Row],[Delivery time to ILN/Shipper]]+Tableau2[[#This Row],[Day ILN Order]]-1</f>
        <v>22</v>
      </c>
      <c r="N227" s="237">
        <v>2</v>
      </c>
      <c r="O227" s="231" t="s">
        <v>502</v>
      </c>
      <c r="P227" s="237">
        <v>3</v>
      </c>
    </row>
    <row r="228" spans="1:17" hidden="1">
      <c r="A228" s="243" t="str">
        <f>_xlfn.CONCAT(Tableau2[[#This Row],[Compte ILN]],"-",Tableau2[[#This Row],[Compte Shipper]],"-",Tableau2[[#This Row],[POL]],"-",Tableau2[[#This Row],[Compte Consignee]])</f>
        <v>2533780546-2533780546-INENR-90017000</v>
      </c>
      <c r="B228" s="243" t="str">
        <f>IF(Tableau2[[#This Row],[Name Consignee]]="",_xlfn.CONCAT(Tableau2[[#This Row],[Compte ILN]],"-",Tableau2[[#This Row],[Compte Shipper]],"-",Tableau2[[#This Row],[POL]]),"-")</f>
        <v>-</v>
      </c>
      <c r="C228" s="225" t="s">
        <v>149</v>
      </c>
      <c r="D228" s="229">
        <f>VLOOKUP(Tableau2[[#This Row],[ Name ILN]],Plant_AILN!F:G,2,FALSE)</f>
        <v>2533780546</v>
      </c>
      <c r="E228" s="234" t="s">
        <v>149</v>
      </c>
      <c r="F228" s="236">
        <f>IFERROR(VLOOKUP(Tableau2[[#This Row],[Name of shipper]],Plant_AILN!L:M,2,FALSE),0)</f>
        <v>2533780546</v>
      </c>
      <c r="G228" s="234" t="s">
        <v>173</v>
      </c>
      <c r="H228" s="236">
        <f>IF(Tableau2[[#This Row],[Name Consignee]]=0,"",VLOOKUP(Tableau2[[#This Row],[Name Consignee]],Plant_AILN!A:C,3,FALSE))</f>
        <v>90017000</v>
      </c>
      <c r="I228" s="105">
        <v>9</v>
      </c>
      <c r="J228" s="237">
        <v>14</v>
      </c>
      <c r="K228" s="238">
        <v>5</v>
      </c>
      <c r="L228" s="234">
        <v>14</v>
      </c>
      <c r="M228" s="229">
        <f>Tableau2[[#This Row],[Delivery time to ILN/Shipper]]+Tableau2[[#This Row],[Day ILN Order]]-1</f>
        <v>22</v>
      </c>
      <c r="N228" s="237">
        <v>2</v>
      </c>
      <c r="O228" s="238" t="s">
        <v>502</v>
      </c>
      <c r="P228" s="237">
        <v>5</v>
      </c>
      <c r="Q228" t="s">
        <v>679</v>
      </c>
    </row>
    <row r="229" spans="1:17" hidden="1">
      <c r="A229" s="243" t="str">
        <f>_xlfn.CONCAT(Tableau2[[#This Row],[Compte ILN]],"-",Tableau2[[#This Row],[Compte Shipper]],"-",Tableau2[[#This Row],[POL]],"-",Tableau2[[#This Row],[Compte Consignee]])</f>
        <v>2533780546-2533780546-INKAT-90017000</v>
      </c>
      <c r="B229" s="243" t="str">
        <f>IF(Tableau2[[#This Row],[Name Consignee]]="",_xlfn.CONCAT(Tableau2[[#This Row],[Compte ILN]],"-",Tableau2[[#This Row],[Compte Shipper]],"-",Tableau2[[#This Row],[POL]]),"-")</f>
        <v>-</v>
      </c>
      <c r="C229" s="225" t="s">
        <v>149</v>
      </c>
      <c r="D229" s="229">
        <f>VLOOKUP(Tableau2[[#This Row],[ Name ILN]],Plant_AILN!F:G,2,FALSE)</f>
        <v>2533780546</v>
      </c>
      <c r="E229" s="234" t="s">
        <v>149</v>
      </c>
      <c r="F229" s="469">
        <f>IFERROR(VLOOKUP(Tableau2[[#This Row],[Name of shipper]],Plant_AILN!L:M,2,FALSE),0)</f>
        <v>2533780546</v>
      </c>
      <c r="G229" s="234" t="s">
        <v>173</v>
      </c>
      <c r="H229" s="469">
        <f>IF(Tableau2[[#This Row],[Name Consignee]]=0,"",VLOOKUP(Tableau2[[#This Row],[Name Consignee]],Plant_AILN!A:C,3,FALSE))</f>
        <v>90017000</v>
      </c>
      <c r="I229" s="105">
        <v>9</v>
      </c>
      <c r="J229" s="237">
        <v>14</v>
      </c>
      <c r="K229" s="238">
        <v>5</v>
      </c>
      <c r="L229" s="234">
        <v>14</v>
      </c>
      <c r="M229" s="229">
        <f>Tableau2[[#This Row],[Delivery time to ILN/Shipper]]+Tableau2[[#This Row],[Day ILN Order]]-1</f>
        <v>22</v>
      </c>
      <c r="N229" s="237">
        <v>2</v>
      </c>
      <c r="O229" s="238" t="s">
        <v>571</v>
      </c>
      <c r="P229" s="237">
        <v>5</v>
      </c>
      <c r="Q229" t="s">
        <v>679</v>
      </c>
    </row>
    <row r="230" spans="1:17" hidden="1">
      <c r="A230" s="419" t="str">
        <f>_xlfn.CONCAT(Tableau2[[#This Row],[Compte ILN]],"-",Tableau2[[#This Row],[Compte Shipper]],"-",Tableau2[[#This Row],[POL]],"-",Tableau2[[#This Row],[Compte Consignee]])</f>
        <v>2533780546-2533780546-INMAA-90017000</v>
      </c>
      <c r="B230" s="419" t="str">
        <f>IF(Tableau2[[#This Row],[Name Consignee]]="",_xlfn.CONCAT(Tableau2[[#This Row],[Compte ILN]],"-",Tableau2[[#This Row],[Compte Shipper]],"-",Tableau2[[#This Row],[POL]]),"-")</f>
        <v>-</v>
      </c>
      <c r="C230" s="234" t="s">
        <v>149</v>
      </c>
      <c r="D230" s="239">
        <f>VLOOKUP(Tableau2[[#This Row],[ Name ILN]],Plant_AILN!F:G,2,FALSE)</f>
        <v>2533780546</v>
      </c>
      <c r="E230" s="234" t="s">
        <v>149</v>
      </c>
      <c r="F230" s="469">
        <f>IFERROR(VLOOKUP(Tableau2[[#This Row],[Name of shipper]],Plant_AILN!L:M,2,FALSE),0)</f>
        <v>2533780546</v>
      </c>
      <c r="G230" s="234" t="s">
        <v>173</v>
      </c>
      <c r="H230" s="469">
        <f>IF(Tableau2[[#This Row],[Name Consignee]]=0,"",VLOOKUP(Tableau2[[#This Row],[Name Consignee]],Plant_AILN!A:C,3,FALSE))</f>
        <v>90017000</v>
      </c>
      <c r="I230" s="105">
        <v>9</v>
      </c>
      <c r="J230" s="237">
        <v>14</v>
      </c>
      <c r="K230" s="238">
        <v>5</v>
      </c>
      <c r="L230" s="234">
        <v>14</v>
      </c>
      <c r="M230" s="239">
        <f>Tableau2[[#This Row],[Delivery time to ILN/Shipper]]+Tableau2[[#This Row],[Day ILN Order]]-1</f>
        <v>22</v>
      </c>
      <c r="N230" s="237">
        <v>2</v>
      </c>
      <c r="O230" s="231" t="s">
        <v>537</v>
      </c>
      <c r="P230" s="237">
        <v>5</v>
      </c>
      <c r="Q230" t="s">
        <v>679</v>
      </c>
    </row>
    <row r="231" spans="1:17" hidden="1">
      <c r="A231" s="243" t="str">
        <f>_xlfn.CONCAT(Tableau2[[#This Row],[Compte ILN]],"-",Tableau2[[#This Row],[Compte Shipper]],"-",Tableau2[[#This Row],[POL]],"-",Tableau2[[#This Row],[Compte Consignee]])</f>
        <v>2533780546-2533780546-INENR-91017200</v>
      </c>
      <c r="B231" s="243" t="str">
        <f>IF(Tableau2[[#This Row],[Name Consignee]]="",_xlfn.CONCAT(Tableau2[[#This Row],[Compte ILN]],"-",Tableau2[[#This Row],[Compte Shipper]],"-",Tableau2[[#This Row],[POL]]),"-")</f>
        <v>-</v>
      </c>
      <c r="C231" s="225" t="s">
        <v>149</v>
      </c>
      <c r="D231" s="229">
        <f>VLOOKUP(Tableau2[[#This Row],[ Name ILN]],Plant_AILN!F:G,2,FALSE)</f>
        <v>2533780546</v>
      </c>
      <c r="E231" s="234" t="s">
        <v>149</v>
      </c>
      <c r="F231" s="236">
        <f>IFERROR(VLOOKUP(Tableau2[[#This Row],[Name of shipper]],Plant_AILN!L:M,2,FALSE),0)</f>
        <v>2533780546</v>
      </c>
      <c r="G231" s="234" t="s">
        <v>184</v>
      </c>
      <c r="H231" s="236">
        <f>IF(Tableau2[[#This Row],[Name Consignee]]=0,"",VLOOKUP(Tableau2[[#This Row],[Name Consignee]],Plant_AILN!A:C,3,FALSE))</f>
        <v>91017200</v>
      </c>
      <c r="I231" s="105">
        <v>9</v>
      </c>
      <c r="J231" s="237">
        <v>21</v>
      </c>
      <c r="K231" s="238">
        <v>5</v>
      </c>
      <c r="L231" s="234">
        <v>14</v>
      </c>
      <c r="M231" s="229">
        <f>Tableau2[[#This Row],[Delivery time to ILN/Shipper]]+Tableau2[[#This Row],[Day ILN Order]]-1</f>
        <v>29</v>
      </c>
      <c r="N231" s="237">
        <v>2</v>
      </c>
      <c r="O231" s="238" t="s">
        <v>502</v>
      </c>
      <c r="P231" s="237">
        <v>3</v>
      </c>
      <c r="Q231" t="s">
        <v>680</v>
      </c>
    </row>
    <row r="232" spans="1:17" hidden="1">
      <c r="A232" s="243" t="str">
        <f>_xlfn.CONCAT(Tableau2[[#This Row],[Compte ILN]],"-",Tableau2[[#This Row],[Compte Shipper]],"-",Tableau2[[#This Row],[POL]],"-",Tableau2[[#This Row],[Compte Consignee]])</f>
        <v>2533780546-2533780546-INKAT-91017200</v>
      </c>
      <c r="B232" s="243" t="str">
        <f>IF(Tableau2[[#This Row],[Name Consignee]]="",_xlfn.CONCAT(Tableau2[[#This Row],[Compte ILN]],"-",Tableau2[[#This Row],[Compte Shipper]],"-",Tableau2[[#This Row],[POL]]),"-")</f>
        <v>-</v>
      </c>
      <c r="C232" s="225" t="s">
        <v>149</v>
      </c>
      <c r="D232" s="229">
        <f>VLOOKUP(Tableau2[[#This Row],[ Name ILN]],Plant_AILN!F:G,2,FALSE)</f>
        <v>2533780546</v>
      </c>
      <c r="E232" s="234" t="s">
        <v>149</v>
      </c>
      <c r="F232" s="469">
        <f>IFERROR(VLOOKUP(Tableau2[[#This Row],[Name of shipper]],Plant_AILN!L:M,2,FALSE),0)</f>
        <v>2533780546</v>
      </c>
      <c r="G232" s="234" t="s">
        <v>184</v>
      </c>
      <c r="H232" s="469">
        <f>IF(Tableau2[[#This Row],[Name Consignee]]=0,"",VLOOKUP(Tableau2[[#This Row],[Name Consignee]],Plant_AILN!A:C,3,FALSE))</f>
        <v>91017200</v>
      </c>
      <c r="I232" s="105">
        <v>9</v>
      </c>
      <c r="J232" s="237">
        <v>21</v>
      </c>
      <c r="K232" s="238">
        <v>5</v>
      </c>
      <c r="L232" s="234">
        <v>14</v>
      </c>
      <c r="M232" s="229">
        <f>Tableau2[[#This Row],[Delivery time to ILN/Shipper]]+Tableau2[[#This Row],[Day ILN Order]]-1</f>
        <v>29</v>
      </c>
      <c r="N232" s="237">
        <v>2</v>
      </c>
      <c r="O232" s="238" t="s">
        <v>571</v>
      </c>
      <c r="P232" s="237">
        <v>3</v>
      </c>
      <c r="Q232" t="s">
        <v>680</v>
      </c>
    </row>
    <row r="233" spans="1:17" hidden="1">
      <c r="A233" s="419" t="str">
        <f>_xlfn.CONCAT(Tableau2[[#This Row],[Compte ILN]],"-",Tableau2[[#This Row],[Compte Shipper]],"-",Tableau2[[#This Row],[POL]],"-",Tableau2[[#This Row],[Compte Consignee]])</f>
        <v>2533780546-2533780546-INMAA-91017200</v>
      </c>
      <c r="B233" s="419" t="str">
        <f>IF(Tableau2[[#This Row],[Name Consignee]]="",_xlfn.CONCAT(Tableau2[[#This Row],[Compte ILN]],"-",Tableau2[[#This Row],[Compte Shipper]],"-",Tableau2[[#This Row],[POL]]),"-")</f>
        <v>-</v>
      </c>
      <c r="C233" s="234" t="s">
        <v>149</v>
      </c>
      <c r="D233" s="239">
        <f>VLOOKUP(Tableau2[[#This Row],[ Name ILN]],Plant_AILN!F:G,2,FALSE)</f>
        <v>2533780546</v>
      </c>
      <c r="E233" s="234" t="s">
        <v>149</v>
      </c>
      <c r="F233" s="469">
        <f>IFERROR(VLOOKUP(Tableau2[[#This Row],[Name of shipper]],Plant_AILN!L:M,2,FALSE),0)</f>
        <v>2533780546</v>
      </c>
      <c r="G233" s="234" t="s">
        <v>184</v>
      </c>
      <c r="H233" s="469">
        <f>IF(Tableau2[[#This Row],[Name Consignee]]=0,"",VLOOKUP(Tableau2[[#This Row],[Name Consignee]],Plant_AILN!A:C,3,FALSE))</f>
        <v>91017200</v>
      </c>
      <c r="I233" s="105">
        <v>9</v>
      </c>
      <c r="J233" s="237">
        <v>21</v>
      </c>
      <c r="K233" s="238">
        <v>5</v>
      </c>
      <c r="L233" s="234">
        <v>14</v>
      </c>
      <c r="M233" s="239">
        <f>Tableau2[[#This Row],[Delivery time to ILN/Shipper]]+Tableau2[[#This Row],[Day ILN Order]]-1</f>
        <v>29</v>
      </c>
      <c r="N233" s="237">
        <v>2</v>
      </c>
      <c r="O233" s="231" t="s">
        <v>537</v>
      </c>
      <c r="P233" s="237">
        <v>3</v>
      </c>
      <c r="Q233" t="s">
        <v>680</v>
      </c>
    </row>
    <row r="234" spans="1:17" hidden="1">
      <c r="A234" s="243" t="str">
        <f>_xlfn.CONCAT(Tableau2[[#This Row],[Compte ILN]],"-",Tableau2[[#This Row],[Compte Shipper]],"-",Tableau2[[#This Row],[POL]],"-",Tableau2[[#This Row],[Compte Consignee]])</f>
        <v>2533780546-2533780546-INKAT-90016700</v>
      </c>
      <c r="B234" s="243" t="str">
        <f>IF(Tableau2[[#This Row],[Name Consignee]]="",_xlfn.CONCAT(Tableau2[[#This Row],[Compte ILN]],"-",Tableau2[[#This Row],[Compte Shipper]],"-",Tableau2[[#This Row],[POL]]),"-")</f>
        <v>-</v>
      </c>
      <c r="C234" s="225" t="s">
        <v>149</v>
      </c>
      <c r="D234" s="229">
        <f>VLOOKUP(Tableau2[[#This Row],[ Name ILN]],Plant_AILN!F:G,2,FALSE)</f>
        <v>2533780546</v>
      </c>
      <c r="E234" s="187" t="s">
        <v>149</v>
      </c>
      <c r="F234" s="236">
        <f>IFERROR(VLOOKUP(Tableau2[[#This Row],[Name of shipper]],Plant_AILN!L:M,2,FALSE),0)</f>
        <v>2533780546</v>
      </c>
      <c r="G234" s="234" t="s">
        <v>35</v>
      </c>
      <c r="H234" s="236">
        <f>IF(Tableau2[[#This Row],[Name Consignee]]=0,"",VLOOKUP(Tableau2[[#This Row],[Name Consignee]],Plant_AILN!A:C,3,FALSE))</f>
        <v>90016700</v>
      </c>
      <c r="I234" s="105">
        <v>9</v>
      </c>
      <c r="J234" s="237">
        <v>21</v>
      </c>
      <c r="K234" s="238">
        <v>5</v>
      </c>
      <c r="L234" s="234">
        <v>7</v>
      </c>
      <c r="M234" s="229">
        <f>Tableau2[[#This Row],[Delivery time to ILN/Shipper]]+Tableau2[[#This Row],[Day ILN Order]]-1</f>
        <v>29</v>
      </c>
      <c r="N234" s="237">
        <v>2</v>
      </c>
      <c r="O234" s="238" t="s">
        <v>571</v>
      </c>
      <c r="P234" s="237">
        <v>3</v>
      </c>
      <c r="Q234" t="s">
        <v>678</v>
      </c>
    </row>
    <row r="235" spans="1:17" hidden="1">
      <c r="A235" s="243" t="str">
        <f>_xlfn.CONCAT(Tableau2[[#This Row],[Compte ILN]],"-",Tableau2[[#This Row],[Compte Shipper]],"-",Tableau2[[#This Row],[POL]],"-",Tableau2[[#This Row],[Compte Consignee]])</f>
        <v>2533780546-2533780546-INENR-91017500</v>
      </c>
      <c r="B235" s="243" t="str">
        <f>IF(Tableau2[[#This Row],[Name Consignee]]="",_xlfn.CONCAT(Tableau2[[#This Row],[Compte ILN]],"-",Tableau2[[#This Row],[Compte Shipper]],"-",Tableau2[[#This Row],[POL]]),"-")</f>
        <v>-</v>
      </c>
      <c r="C235" s="225" t="s">
        <v>149</v>
      </c>
      <c r="D235" s="229">
        <f>VLOOKUP(Tableau2[[#This Row],[ Name ILN]],Plant_AILN!F:G,2,FALSE)</f>
        <v>2533780546</v>
      </c>
      <c r="E235" s="234" t="s">
        <v>149</v>
      </c>
      <c r="F235" s="469">
        <f>IFERROR(VLOOKUP(Tableau2[[#This Row],[Name of shipper]],Plant_AILN!L:M,2,FALSE),0)</f>
        <v>2533780546</v>
      </c>
      <c r="G235" s="234" t="s">
        <v>172</v>
      </c>
      <c r="H235" s="469">
        <f>IF(Tableau2[[#This Row],[Name Consignee]]=0,"",VLOOKUP(Tableau2[[#This Row],[Name Consignee]],Plant_AILN!A:C,3,FALSE))</f>
        <v>91017500</v>
      </c>
      <c r="I235" s="105">
        <v>9</v>
      </c>
      <c r="J235" s="237">
        <v>21</v>
      </c>
      <c r="K235" s="238">
        <v>5</v>
      </c>
      <c r="L235" s="234">
        <v>7</v>
      </c>
      <c r="M235" s="229">
        <f>Tableau2[[#This Row],[Delivery time to ILN/Shipper]]+Tableau2[[#This Row],[Day ILN Order]]-1</f>
        <v>29</v>
      </c>
      <c r="N235" s="237">
        <v>2</v>
      </c>
      <c r="O235" s="238" t="s">
        <v>502</v>
      </c>
      <c r="P235" s="237">
        <v>3</v>
      </c>
      <c r="Q235" t="s">
        <v>650</v>
      </c>
    </row>
    <row r="236" spans="1:17" hidden="1">
      <c r="A236" s="419" t="str">
        <f>_xlfn.CONCAT(Tableau2[[#This Row],[Compte ILN]],"-",Tableau2[[#This Row],[Compte Shipper]],"-",Tableau2[[#This Row],[POL]],"-",Tableau2[[#This Row],[Compte Consignee]])</f>
        <v>2533780546-2533780546-INKAT-91017500</v>
      </c>
      <c r="B236" s="419" t="str">
        <f>IF(Tableau2[[#This Row],[Name Consignee]]="",_xlfn.CONCAT(Tableau2[[#This Row],[Compte ILN]],"-",Tableau2[[#This Row],[Compte Shipper]],"-",Tableau2[[#This Row],[POL]]),"-")</f>
        <v>-</v>
      </c>
      <c r="C236" s="234" t="s">
        <v>149</v>
      </c>
      <c r="D236" s="239">
        <f>VLOOKUP(Tableau2[[#This Row],[ Name ILN]],Plant_AILN!F:G,2,FALSE)</f>
        <v>2533780546</v>
      </c>
      <c r="E236" s="234" t="s">
        <v>149</v>
      </c>
      <c r="F236" s="469">
        <f>IFERROR(VLOOKUP(Tableau2[[#This Row],[Name of shipper]],Plant_AILN!L:M,2,FALSE),0)</f>
        <v>2533780546</v>
      </c>
      <c r="G236" s="234" t="s">
        <v>172</v>
      </c>
      <c r="H236" s="469">
        <f>IF(Tableau2[[#This Row],[Name Consignee]]=0,"",VLOOKUP(Tableau2[[#This Row],[Name Consignee]],Plant_AILN!A:C,3,FALSE))</f>
        <v>91017500</v>
      </c>
      <c r="I236" s="105">
        <v>9</v>
      </c>
      <c r="J236" s="237">
        <v>21</v>
      </c>
      <c r="K236" s="238">
        <v>5</v>
      </c>
      <c r="L236" s="234">
        <v>7</v>
      </c>
      <c r="M236" s="239">
        <f>Tableau2[[#This Row],[Delivery time to ILN/Shipper]]+Tableau2[[#This Row],[Day ILN Order]]-1</f>
        <v>29</v>
      </c>
      <c r="N236" s="237">
        <v>2</v>
      </c>
      <c r="O236" s="231" t="s">
        <v>571</v>
      </c>
      <c r="P236" s="237">
        <v>3</v>
      </c>
      <c r="Q236" t="s">
        <v>650</v>
      </c>
    </row>
    <row r="237" spans="1:17" hidden="1">
      <c r="A237" s="419" t="str">
        <f>_xlfn.CONCAT(Tableau2[[#This Row],[Compte ILN]],"-",Tableau2[[#This Row],[Compte Shipper]],"-",Tableau2[[#This Row],[POL]],"-",Tableau2[[#This Row],[Compte Consignee]])</f>
        <v>0-11274100-JPNGO-</v>
      </c>
      <c r="B237" s="419" t="str">
        <f>IF(Tableau2[[#This Row],[Name Consignee]]="",_xlfn.CONCAT(Tableau2[[#This Row],[Compte ILN]],"-",Tableau2[[#This Row],[Compte Shipper]],"-",Tableau2[[#This Row],[POL]]),"-")</f>
        <v>0-11274100-JPNGO</v>
      </c>
      <c r="C237" s="234" t="s">
        <v>146</v>
      </c>
      <c r="D237" s="239">
        <f>VLOOKUP(Tableau2[[#This Row],[ Name ILN]],Plant_AILN!F:G,2,FALSE)</f>
        <v>0</v>
      </c>
      <c r="E237" s="234" t="s">
        <v>458</v>
      </c>
      <c r="F237" s="236">
        <f>IFERROR(VLOOKUP(Tableau2[[#This Row],[Name of shipper]],Plant_AILN!L:M,2,FALSE),0)</f>
        <v>11274100</v>
      </c>
      <c r="G237" s="234"/>
      <c r="H237" s="236" t="str">
        <f>IF(Tableau2[[#This Row],[Name Consignee]]=0,"",VLOOKUP(Tableau2[[#This Row],[Name Consignee]],Plant_AILN!A:C,3,FALSE))</f>
        <v/>
      </c>
      <c r="I237" s="237">
        <v>9</v>
      </c>
      <c r="J237" s="237">
        <v>14</v>
      </c>
      <c r="K237" s="238">
        <v>5</v>
      </c>
      <c r="L237" s="234">
        <v>7</v>
      </c>
      <c r="M237" s="239">
        <f>Tableau2[[#This Row],[Delivery time to ILN/Shipper]]+Tableau2[[#This Row],[Day ILN Order]]-1</f>
        <v>22</v>
      </c>
      <c r="N237" s="237">
        <v>2</v>
      </c>
      <c r="O237" s="238" t="s">
        <v>667</v>
      </c>
      <c r="P237" s="237">
        <v>3</v>
      </c>
    </row>
    <row r="238" spans="1:17" hidden="1">
      <c r="A238" s="419" t="str">
        <f>_xlfn.CONCAT(Tableau2[[#This Row],[Compte ILN]],"-",Tableau2[[#This Row],[Compte Shipper]],"-",Tableau2[[#This Row],[POL]],"-",Tableau2[[#This Row],[Compte Consignee]])</f>
        <v>424479-424479-CNSHA-90016700</v>
      </c>
      <c r="B238" s="419" t="str">
        <f>IF(Tableau2[[#This Row],[Name Consignee]]="",_xlfn.CONCAT(Tableau2[[#This Row],[Compte ILN]],"-",Tableau2[[#This Row],[Compte Shipper]],"-",Tableau2[[#This Row],[POL]]),"-")</f>
        <v>-</v>
      </c>
      <c r="C238" s="234" t="s">
        <v>1</v>
      </c>
      <c r="D238" s="239">
        <f>VLOOKUP(Tableau2[[#This Row],[ Name ILN]],Plant_AILN!F:G,2,FALSE)</f>
        <v>424479</v>
      </c>
      <c r="E238" s="234" t="s">
        <v>1</v>
      </c>
      <c r="F238" s="236">
        <f>IFERROR(VLOOKUP(Tableau2[[#This Row],[Name of shipper]],Plant_AILN!L:M,2,FALSE),0)</f>
        <v>424479</v>
      </c>
      <c r="G238" s="234" t="s">
        <v>35</v>
      </c>
      <c r="H238" s="236">
        <f>IF(Tableau2[[#This Row],[Name Consignee]]=0,"",VLOOKUP(Tableau2[[#This Row],[Name Consignee]],Plant_AILN!A:C,3,FALSE))</f>
        <v>90016700</v>
      </c>
      <c r="I238" s="237">
        <v>9</v>
      </c>
      <c r="J238" s="237">
        <v>21</v>
      </c>
      <c r="K238" s="238">
        <v>5</v>
      </c>
      <c r="L238" s="234">
        <v>7</v>
      </c>
      <c r="M238" s="239">
        <f>Tableau2[[#This Row],[Delivery time to ILN/Shipper]]+Tableau2[[#This Row],[Day ILN Order]]-1</f>
        <v>29</v>
      </c>
      <c r="N238" s="237">
        <v>2</v>
      </c>
      <c r="O238" s="238" t="s">
        <v>524</v>
      </c>
      <c r="P238" s="237">
        <v>4</v>
      </c>
    </row>
    <row r="239" spans="1:17" hidden="1">
      <c r="A239" s="419" t="str">
        <f>_xlfn.CONCAT(Tableau2[[#This Row],[Compte ILN]],"-",Tableau2[[#This Row],[Compte Shipper]],"-",Tableau2[[#This Row],[POL]],"-",Tableau2[[#This Row],[Compte Consignee]])</f>
        <v>0-2915910-JPYOK-</v>
      </c>
      <c r="B239" s="419" t="str">
        <f>IF(Tableau2[[#This Row],[Name Consignee]]="",_xlfn.CONCAT(Tableau2[[#This Row],[Compte ILN]],"-",Tableau2[[#This Row],[Compte Shipper]],"-",Tableau2[[#This Row],[POL]]),"-")</f>
        <v>0-2915910-JPYOK</v>
      </c>
      <c r="C239" s="234" t="s">
        <v>146</v>
      </c>
      <c r="D239" s="239">
        <f>VLOOKUP(Tableau2[[#This Row],[ Name ILN]],Plant_AILN!F:G,2,FALSE)</f>
        <v>0</v>
      </c>
      <c r="E239" s="234" t="s">
        <v>460</v>
      </c>
      <c r="F239" s="236">
        <f>IFERROR(VLOOKUP(Tableau2[[#This Row],[Name of shipper]],Plant_AILN!L:M,2,FALSE),0)</f>
        <v>2915910</v>
      </c>
      <c r="G239" s="234"/>
      <c r="H239" s="236" t="str">
        <f>IF(Tableau2[[#This Row],[Name Consignee]]=0,"",VLOOKUP(Tableau2[[#This Row],[Name Consignee]],Plant_AILN!A:C,3,FALSE))</f>
        <v/>
      </c>
      <c r="I239" s="237">
        <v>9</v>
      </c>
      <c r="J239" s="237">
        <v>6</v>
      </c>
      <c r="K239" s="238">
        <v>5</v>
      </c>
      <c r="L239" s="234">
        <v>1</v>
      </c>
      <c r="M239" s="239">
        <f>Tableau2[[#This Row],[Delivery time to ILN/Shipper]]+Tableau2[[#This Row],[Day ILN Order]]-1</f>
        <v>14</v>
      </c>
      <c r="N239" s="237">
        <v>5</v>
      </c>
      <c r="O239" s="238" t="s">
        <v>681</v>
      </c>
      <c r="P239" s="237">
        <v>1</v>
      </c>
    </row>
    <row r="240" spans="1:17" hidden="1">
      <c r="A240" s="419" t="str">
        <f>_xlfn.CONCAT(Tableau2[[#This Row],[Compte ILN]],"-",Tableau2[[#This Row],[Compte Shipper]],"-",Tableau2[[#This Row],[POL]],"-",Tableau2[[#This Row],[Compte Consignee]])</f>
        <v>424479-424479-CNSHA-90019100</v>
      </c>
      <c r="B240" s="419" t="str">
        <f>IF(Tableau2[[#This Row],[Name Consignee]]="",_xlfn.CONCAT(Tableau2[[#This Row],[Compte ILN]],"-",Tableau2[[#This Row],[Compte Shipper]],"-",Tableau2[[#This Row],[POL]]),"-")</f>
        <v>-</v>
      </c>
      <c r="C240" s="234" t="s">
        <v>1</v>
      </c>
      <c r="D240" s="239">
        <f>VLOOKUP(Tableau2[[#This Row],[ Name ILN]],Plant_AILN!F:G,2,FALSE)</f>
        <v>424479</v>
      </c>
      <c r="E240" s="234" t="s">
        <v>1</v>
      </c>
      <c r="F240" s="236">
        <f>IFERROR(VLOOKUP(Tableau2[[#This Row],[Name of shipper]],Plant_AILN!L:M,2,FALSE),0)</f>
        <v>424479</v>
      </c>
      <c r="G240" s="234" t="s">
        <v>188</v>
      </c>
      <c r="H240" s="236">
        <f>IF(Tableau2[[#This Row],[Name Consignee]]=0,"",VLOOKUP(Tableau2[[#This Row],[Name Consignee]],Plant_AILN!A:C,3,FALSE))</f>
        <v>90019100</v>
      </c>
      <c r="I240" s="237">
        <v>9</v>
      </c>
      <c r="J240" s="237">
        <v>21</v>
      </c>
      <c r="K240" s="238">
        <v>5</v>
      </c>
      <c r="L240" s="234">
        <v>7</v>
      </c>
      <c r="M240" s="239">
        <f>Tableau2[[#This Row],[Delivery time to ILN/Shipper]]+Tableau2[[#This Row],[Day ILN Order]]-1</f>
        <v>29</v>
      </c>
      <c r="N240" s="237">
        <v>1</v>
      </c>
      <c r="O240" s="238" t="s">
        <v>524</v>
      </c>
      <c r="P240" s="237">
        <v>2</v>
      </c>
    </row>
    <row r="241" spans="1:17" hidden="1">
      <c r="A241" s="419" t="str">
        <f>_xlfn.CONCAT(Tableau2[[#This Row],[Compte ILN]],"-",Tableau2[[#This Row],[Compte Shipper]],"-",Tableau2[[#This Row],[POL]],"-",Tableau2[[#This Row],[Compte Consignee]])</f>
        <v>424479-424479-CNSHA-92002200</v>
      </c>
      <c r="B241" s="419" t="str">
        <f>IF(Tableau2[[#This Row],[Name Consignee]]="",_xlfn.CONCAT(Tableau2[[#This Row],[Compte ILN]],"-",Tableau2[[#This Row],[Compte Shipper]],"-",Tableau2[[#This Row],[POL]]),"-")</f>
        <v>-</v>
      </c>
      <c r="C241" s="234" t="s">
        <v>1</v>
      </c>
      <c r="D241" s="239">
        <f>VLOOKUP(Tableau2[[#This Row],[ Name ILN]],Plant_AILN!F:G,2,FALSE)</f>
        <v>424479</v>
      </c>
      <c r="E241" s="234" t="s">
        <v>1</v>
      </c>
      <c r="F241" s="236">
        <f>IFERROR(VLOOKUP(Tableau2[[#This Row],[Name of shipper]],Plant_AILN!L:M,2,FALSE),0)</f>
        <v>424479</v>
      </c>
      <c r="G241" s="234" t="s">
        <v>145</v>
      </c>
      <c r="H241" s="236">
        <f>IF(Tableau2[[#This Row],[Name Consignee]]=0,"",VLOOKUP(Tableau2[[#This Row],[Name Consignee]],Plant_AILN!A:C,3,FALSE))</f>
        <v>92002200</v>
      </c>
      <c r="I241" s="237">
        <v>9</v>
      </c>
      <c r="J241" s="237">
        <v>21</v>
      </c>
      <c r="K241" s="238">
        <v>5</v>
      </c>
      <c r="L241" s="234">
        <v>7</v>
      </c>
      <c r="M241" s="239">
        <f>Tableau2[[#This Row],[Delivery time to ILN/Shipper]]+Tableau2[[#This Row],[Day ILN Order]]-1</f>
        <v>29</v>
      </c>
      <c r="N241" s="237">
        <v>1</v>
      </c>
      <c r="O241" s="238" t="s">
        <v>524</v>
      </c>
      <c r="P241" s="237">
        <v>2</v>
      </c>
    </row>
    <row r="242" spans="1:17" hidden="1">
      <c r="A242" s="419" t="str">
        <f>_xlfn.CONCAT(Tableau2[[#This Row],[Compte ILN]],"-",Tableau2[[#This Row],[Compte Shipper]],"-",Tableau2[[#This Row],[POL]],"-",Tableau2[[#This Row],[Compte Consignee]])</f>
        <v>424479-424479-CNSHA-92000100</v>
      </c>
      <c r="B242" s="419" t="str">
        <f>IF(Tableau2[[#This Row],[Name Consignee]]="",_xlfn.CONCAT(Tableau2[[#This Row],[Compte ILN]],"-",Tableau2[[#This Row],[Compte Shipper]],"-",Tableau2[[#This Row],[POL]]),"-")</f>
        <v>-</v>
      </c>
      <c r="C242" s="234" t="s">
        <v>1</v>
      </c>
      <c r="D242" s="239">
        <f>VLOOKUP(Tableau2[[#This Row],[ Name ILN]],Plant_AILN!F:G,2,FALSE)</f>
        <v>424479</v>
      </c>
      <c r="E242" s="234" t="s">
        <v>1</v>
      </c>
      <c r="F242" s="236">
        <f>IFERROR(VLOOKUP(Tableau2[[#This Row],[Name of shipper]],Plant_AILN!L:M,2,FALSE),0)</f>
        <v>424479</v>
      </c>
      <c r="G242" s="234" t="s">
        <v>183</v>
      </c>
      <c r="H242" s="236">
        <f>IF(Tableau2[[#This Row],[Name Consignee]]=0,"",VLOOKUP(Tableau2[[#This Row],[Name Consignee]],Plant_AILN!A:C,3,FALSE))</f>
        <v>92000100</v>
      </c>
      <c r="I242" s="237">
        <v>9</v>
      </c>
      <c r="J242" s="237">
        <v>21</v>
      </c>
      <c r="K242" s="238">
        <v>5</v>
      </c>
      <c r="L242" s="234">
        <v>7</v>
      </c>
      <c r="M242" s="239">
        <f>Tableau2[[#This Row],[Delivery time to ILN/Shipper]]+Tableau2[[#This Row],[Day ILN Order]]-1</f>
        <v>29</v>
      </c>
      <c r="N242" s="237">
        <v>1</v>
      </c>
      <c r="O242" s="238" t="s">
        <v>524</v>
      </c>
      <c r="P242" s="237">
        <v>2</v>
      </c>
    </row>
    <row r="243" spans="1:17" hidden="1">
      <c r="A243" s="419" t="str">
        <f>_xlfn.CONCAT(Tableau2[[#This Row],[Compte ILN]],"-",Tableau2[[#This Row],[Compte Shipper]],"-",Tableau2[[#This Row],[POL]],"-",Tableau2[[#This Row],[Compte Consignee]])</f>
        <v>424479-424479-CNSHA-91017300</v>
      </c>
      <c r="B243" s="419" t="str">
        <f>IF(Tableau2[[#This Row],[Name Consignee]]="",_xlfn.CONCAT(Tableau2[[#This Row],[Compte ILN]],"-",Tableau2[[#This Row],[Compte Shipper]],"-",Tableau2[[#This Row],[POL]]),"-")</f>
        <v>-</v>
      </c>
      <c r="C243" s="234" t="s">
        <v>1</v>
      </c>
      <c r="D243" s="239">
        <f>VLOOKUP(Tableau2[[#This Row],[ Name ILN]],Plant_AILN!F:G,2,FALSE)</f>
        <v>424479</v>
      </c>
      <c r="E243" s="234" t="s">
        <v>1</v>
      </c>
      <c r="F243" s="236">
        <f>IFERROR(VLOOKUP(Tableau2[[#This Row],[Name of shipper]],Plant_AILN!L:M,2,FALSE),0)</f>
        <v>424479</v>
      </c>
      <c r="G243" s="234" t="s">
        <v>175</v>
      </c>
      <c r="H243" s="236">
        <f>IF(Tableau2[[#This Row],[Name Consignee]]=0,"",VLOOKUP(Tableau2[[#This Row],[Name Consignee]],Plant_AILN!A:C,3,FALSE))</f>
        <v>91017300</v>
      </c>
      <c r="I243" s="237">
        <v>9</v>
      </c>
      <c r="J243" s="237">
        <v>21</v>
      </c>
      <c r="K243" s="238">
        <v>5</v>
      </c>
      <c r="L243" s="234">
        <v>7</v>
      </c>
      <c r="M243" s="239">
        <f>Tableau2[[#This Row],[Delivery time to ILN/Shipper]]+Tableau2[[#This Row],[Day ILN Order]]-1</f>
        <v>29</v>
      </c>
      <c r="N243" s="237">
        <v>1</v>
      </c>
      <c r="O243" s="238" t="s">
        <v>524</v>
      </c>
      <c r="P243" s="237">
        <v>2</v>
      </c>
    </row>
    <row r="244" spans="1:17" hidden="1">
      <c r="A244" s="419" t="str">
        <f>_xlfn.CONCAT(Tableau2[[#This Row],[Compte ILN]],"-",Tableau2[[#This Row],[Compte Shipper]],"-",Tableau2[[#This Row],[POL]],"-",Tableau2[[#This Row],[Compte Consignee]])</f>
        <v>424479-424479-CNSHA-90017000</v>
      </c>
      <c r="B244" s="419" t="str">
        <f>IF(Tableau2[[#This Row],[Name Consignee]]="",_xlfn.CONCAT(Tableau2[[#This Row],[Compte ILN]],"-",Tableau2[[#This Row],[Compte Shipper]],"-",Tableau2[[#This Row],[POL]]),"-")</f>
        <v>-</v>
      </c>
      <c r="C244" s="234" t="s">
        <v>1</v>
      </c>
      <c r="D244" s="239">
        <f>VLOOKUP(Tableau2[[#This Row],[ Name ILN]],Plant_AILN!F:G,2,FALSE)</f>
        <v>424479</v>
      </c>
      <c r="E244" s="234" t="s">
        <v>1</v>
      </c>
      <c r="F244" s="236">
        <f>IFERROR(VLOOKUP(Tableau2[[#This Row],[Name of shipper]],Plant_AILN!L:M,2,FALSE),0)</f>
        <v>424479</v>
      </c>
      <c r="G244" s="234" t="s">
        <v>173</v>
      </c>
      <c r="H244" s="236">
        <f>IF(Tableau2[[#This Row],[Name Consignee]]=0,"",VLOOKUP(Tableau2[[#This Row],[Name Consignee]],Plant_AILN!A:C,3,FALSE))</f>
        <v>90017000</v>
      </c>
      <c r="I244" s="237">
        <v>9</v>
      </c>
      <c r="J244" s="237">
        <v>21</v>
      </c>
      <c r="K244" s="238">
        <v>5</v>
      </c>
      <c r="L244" s="234">
        <v>7</v>
      </c>
      <c r="M244" s="239">
        <f>Tableau2[[#This Row],[Delivery time to ILN/Shipper]]+Tableau2[[#This Row],[Day ILN Order]]-1</f>
        <v>29</v>
      </c>
      <c r="N244" s="237">
        <v>1</v>
      </c>
      <c r="O244" s="238" t="s">
        <v>524</v>
      </c>
      <c r="P244" s="237">
        <v>2</v>
      </c>
    </row>
    <row r="245" spans="1:17" hidden="1">
      <c r="A245" s="419" t="str">
        <f>_xlfn.CONCAT(Tableau2[[#This Row],[Compte ILN]],"-",Tableau2[[#This Row],[Compte Shipper]],"-",Tableau2[[#This Row],[POL]],"-",Tableau2[[#This Row],[Compte Consignee]])</f>
        <v>424479-424479-CNSHA-26549502</v>
      </c>
      <c r="B245" s="419" t="str">
        <f>IF(Tableau2[[#This Row],[Name Consignee]]="",_xlfn.CONCAT(Tableau2[[#This Row],[Compte ILN]],"-",Tableau2[[#This Row],[Compte Shipper]],"-",Tableau2[[#This Row],[POL]]),"-")</f>
        <v>-</v>
      </c>
      <c r="C245" s="234" t="s">
        <v>1</v>
      </c>
      <c r="D245" s="239">
        <f>VLOOKUP(Tableau2[[#This Row],[ Name ILN]],Plant_AILN!F:G,2,FALSE)</f>
        <v>424479</v>
      </c>
      <c r="E245" s="234" t="s">
        <v>1</v>
      </c>
      <c r="F245" s="236">
        <f>IFERROR(VLOOKUP(Tableau2[[#This Row],[Name of shipper]],Plant_AILN!L:M,2,FALSE),0)</f>
        <v>424479</v>
      </c>
      <c r="G245" s="234" t="s">
        <v>159</v>
      </c>
      <c r="H245" s="236">
        <f>IF(Tableau2[[#This Row],[Name Consignee]]=0,"",VLOOKUP(Tableau2[[#This Row],[Name Consignee]],Plant_AILN!A:C,3,FALSE))</f>
        <v>26549502</v>
      </c>
      <c r="I245" s="237">
        <v>9</v>
      </c>
      <c r="J245" s="237">
        <v>21</v>
      </c>
      <c r="K245" s="238">
        <v>5</v>
      </c>
      <c r="L245" s="234">
        <v>7</v>
      </c>
      <c r="M245" s="239">
        <f>Tableau2[[#This Row],[Delivery time to ILN/Shipper]]+Tableau2[[#This Row],[Day ILN Order]]-1</f>
        <v>29</v>
      </c>
      <c r="N245" s="237">
        <v>1</v>
      </c>
      <c r="O245" s="238" t="s">
        <v>524</v>
      </c>
      <c r="P245" s="237">
        <v>2</v>
      </c>
    </row>
    <row r="246" spans="1:17" hidden="1">
      <c r="A246" s="243" t="str">
        <f>_xlfn.CONCAT(Tableau2[[#This Row],[Compte ILN]],"-",Tableau2[[#This Row],[Compte Shipper]],"-",Tableau2[[#This Row],[POL]],"-",Tableau2[[#This Row],[Compte Consignee]])</f>
        <v>424479-424479-CNSHA-91017700</v>
      </c>
      <c r="B246" s="243" t="str">
        <f>IF(Tableau2[[#This Row],[Name Consignee]]="",_xlfn.CONCAT(Tableau2[[#This Row],[Compte ILN]],"-",Tableau2[[#This Row],[Compte Shipper]],"-",Tableau2[[#This Row],[POL]]),"-")</f>
        <v>-</v>
      </c>
      <c r="C246" s="234" t="s">
        <v>1</v>
      </c>
      <c r="D246" s="239">
        <f>VLOOKUP(Tableau2[[#This Row],[ Name ILN]],Plant_AILN!F:G,2,FALSE)</f>
        <v>424479</v>
      </c>
      <c r="E246" s="234" t="s">
        <v>1</v>
      </c>
      <c r="F246" s="236">
        <f>IFERROR(VLOOKUP(Tableau2[[#This Row],[Name of shipper]],Plant_AILN!L:M,2,FALSE),0)</f>
        <v>424479</v>
      </c>
      <c r="G246" s="234" t="s">
        <v>63</v>
      </c>
      <c r="H246" s="236">
        <f>IF(Tableau2[[#This Row],[Name Consignee]]=0,"",VLOOKUP(Tableau2[[#This Row],[Name Consignee]],Plant_AILN!A:C,3,FALSE))</f>
        <v>91017700</v>
      </c>
      <c r="I246" s="237">
        <v>9</v>
      </c>
      <c r="J246" s="237">
        <v>21</v>
      </c>
      <c r="K246" s="238">
        <v>5</v>
      </c>
      <c r="L246" s="234">
        <v>7</v>
      </c>
      <c r="M246" s="239">
        <f>Tableau2[[#This Row],[Delivery time to ILN/Shipper]]+Tableau2[[#This Row],[Day ILN Order]]-1</f>
        <v>29</v>
      </c>
      <c r="N246" s="237">
        <v>1</v>
      </c>
      <c r="O246" s="238" t="s">
        <v>524</v>
      </c>
      <c r="P246" s="237">
        <v>2</v>
      </c>
    </row>
    <row r="247" spans="1:17" hidden="1">
      <c r="A247" s="243" t="str">
        <f>_xlfn.CONCAT(Tableau2[[#This Row],[Compte ILN]],"-",Tableau2[[#This Row],[Compte Shipper]],"-",Tableau2[[#This Row],[POL]],"-",Tableau2[[#This Row],[Compte Consignee]])</f>
        <v>424479-424479-CNSHA-9101840000</v>
      </c>
      <c r="B247" s="243" t="str">
        <f>IF(Tableau2[[#This Row],[Name Consignee]]="",_xlfn.CONCAT(Tableau2[[#This Row],[Compte ILN]],"-",Tableau2[[#This Row],[Compte Shipper]],"-",Tableau2[[#This Row],[POL]]),"-")</f>
        <v>-</v>
      </c>
      <c r="C247" s="234" t="s">
        <v>1</v>
      </c>
      <c r="D247" s="229">
        <f>VLOOKUP(Tableau2[[#This Row],[ Name ILN]],Plant_AILN!F:G,2,FALSE)</f>
        <v>424479</v>
      </c>
      <c r="E247" s="234" t="s">
        <v>1</v>
      </c>
      <c r="F247" s="236">
        <f>IFERROR(VLOOKUP(Tableau2[[#This Row],[Name of shipper]],Plant_AILN!L:M,2,FALSE),0)</f>
        <v>424479</v>
      </c>
      <c r="G247" s="234" t="s">
        <v>151</v>
      </c>
      <c r="H247" s="236">
        <f>IF(Tableau2[[#This Row],[Name Consignee]]=0,"",VLOOKUP(Tableau2[[#This Row],[Name Consignee]],Plant_AILN!A:C,3,FALSE))</f>
        <v>9101840000</v>
      </c>
      <c r="I247" s="220">
        <v>7</v>
      </c>
      <c r="J247" s="220">
        <v>21</v>
      </c>
      <c r="K247" s="96">
        <v>5</v>
      </c>
      <c r="L247" s="225">
        <v>7</v>
      </c>
      <c r="M247" s="229">
        <f>Tableau2[[#This Row],[Delivery time to ILN/Shipper]]+Tableau2[[#This Row],[Day ILN Order]]-1</f>
        <v>27</v>
      </c>
      <c r="N247" s="220">
        <v>1</v>
      </c>
      <c r="O247" s="238" t="s">
        <v>524</v>
      </c>
      <c r="P247" s="220">
        <v>2</v>
      </c>
    </row>
    <row r="248" spans="1:17" hidden="1">
      <c r="A248" s="243" t="str">
        <f>_xlfn.CONCAT(Tableau2[[#This Row],[Compte ILN]],"-",Tableau2[[#This Row],[Compte Shipper]],"-",Tableau2[[#This Row],[POL]],"-",Tableau2[[#This Row],[Compte Consignee]])</f>
        <v>424479-424479-CNSHA-</v>
      </c>
      <c r="B248" s="243" t="str">
        <f>IF(Tableau2[[#This Row],[Name Consignee]]="",_xlfn.CONCAT(Tableau2[[#This Row],[Compte ILN]],"-",Tableau2[[#This Row],[Compte Shipper]],"-",Tableau2[[#This Row],[POL]]),"-")</f>
        <v>424479-424479-CNSHA</v>
      </c>
      <c r="C248" s="234" t="s">
        <v>1</v>
      </c>
      <c r="D248" s="239">
        <f>VLOOKUP(Tableau2[[#This Row],[ Name ILN]],Plant_AILN!F:G,2,FALSE)</f>
        <v>424479</v>
      </c>
      <c r="E248" s="234" t="s">
        <v>1</v>
      </c>
      <c r="F248" s="236">
        <f>IFERROR(VLOOKUP(Tableau2[[#This Row],[Name of shipper]],Plant_AILN!L:M,2,FALSE),0)</f>
        <v>424479</v>
      </c>
      <c r="G248" s="234"/>
      <c r="H248" s="236" t="str">
        <f>IF(Tableau2[[#This Row],[Name Consignee]]=0,"",VLOOKUP(Tableau2[[#This Row],[Name Consignee]],Plant_AILN!A:C,3,FALSE))</f>
        <v/>
      </c>
      <c r="I248" s="237">
        <v>9</v>
      </c>
      <c r="J248" s="237">
        <v>21</v>
      </c>
      <c r="K248" s="238">
        <v>5</v>
      </c>
      <c r="L248" s="234">
        <v>7</v>
      </c>
      <c r="M248" s="239">
        <f>Tableau2[[#This Row],[Delivery time to ILN/Shipper]]+Tableau2[[#This Row],[Day ILN Order]]-1</f>
        <v>29</v>
      </c>
      <c r="N248" s="237">
        <v>1</v>
      </c>
      <c r="O248" s="238" t="s">
        <v>524</v>
      </c>
      <c r="P248" s="237">
        <v>2</v>
      </c>
    </row>
    <row r="249" spans="1:17">
      <c r="A249" s="243" t="str">
        <f>_xlfn.CONCAT(Tableau2[[#This Row],[Compte ILN]],"-",Tableau2[[#This Row],[Compte Shipper]],"-",Tableau2[[#This Row],[POL]],"-",Tableau2[[#This Row],[Compte Consignee]])</f>
        <v>333333-333333-MXVER-</v>
      </c>
      <c r="B249" s="243" t="str">
        <f>IF(Tableau2[[#This Row],[Name Consignee]]="",_xlfn.CONCAT(Tableau2[[#This Row],[Compte ILN]],"-",Tableau2[[#This Row],[Compte Shipper]],"-",Tableau2[[#This Row],[POL]]),"-")</f>
        <v>333333-333333-MXVER</v>
      </c>
      <c r="C249" s="225" t="s">
        <v>186</v>
      </c>
      <c r="D249" s="229">
        <f>VLOOKUP(Tableau2[[#This Row],[ Name ILN]],Plant_AILN!F:G,2,FALSE)</f>
        <v>333333</v>
      </c>
      <c r="E249" s="234" t="s">
        <v>186</v>
      </c>
      <c r="F249" s="236">
        <f>IFERROR(VLOOKUP(Tableau2[[#This Row],[Name of shipper]],Plant_AILN!L:M,2,FALSE),0)</f>
        <v>333333</v>
      </c>
      <c r="G249" s="234"/>
      <c r="H249" s="236" t="str">
        <f>IF(Tableau2[[#This Row],[Name Consignee]]=0,"",VLOOKUP(Tableau2[[#This Row],[Name Consignee]],Plant_AILN!A:C,3,FALSE))</f>
        <v/>
      </c>
      <c r="I249" s="220">
        <v>9</v>
      </c>
      <c r="J249" s="220">
        <v>14</v>
      </c>
      <c r="K249" s="96">
        <v>5</v>
      </c>
      <c r="L249" s="225">
        <v>7</v>
      </c>
      <c r="M249" s="229">
        <f>Tableau2[[#This Row],[Delivery time to ILN/Shipper]]+Tableau2[[#This Row],[Day ILN Order]]-1</f>
        <v>22</v>
      </c>
      <c r="N249" s="220">
        <v>2</v>
      </c>
      <c r="O249" s="96" t="s">
        <v>614</v>
      </c>
      <c r="P249" s="220">
        <v>1</v>
      </c>
    </row>
    <row r="250" spans="1:17">
      <c r="A250" s="243" t="str">
        <f>_xlfn.CONCAT(Tableau2[[#This Row],[Compte ILN]],"-",Tableau2[[#This Row],[Compte Shipper]],"-",Tableau2[[#This Row],[POL]],"-",Tableau2[[#This Row],[Compte Consignee]])</f>
        <v>333333-333333-MXZLO-</v>
      </c>
      <c r="B250" s="243" t="str">
        <f>IF(Tableau2[[#This Row],[Name Consignee]]="",_xlfn.CONCAT(Tableau2[[#This Row],[Compte ILN]],"-",Tableau2[[#This Row],[Compte Shipper]],"-",Tableau2[[#This Row],[POL]]),"-")</f>
        <v>333333-333333-MXZLO</v>
      </c>
      <c r="C250" s="225" t="s">
        <v>186</v>
      </c>
      <c r="D250" s="229">
        <f>VLOOKUP(Tableau2[[#This Row],[ Name ILN]],Plant_AILN!F:G,2,FALSE)</f>
        <v>333333</v>
      </c>
      <c r="E250" s="234" t="s">
        <v>186</v>
      </c>
      <c r="F250" s="236">
        <f>IFERROR(VLOOKUP(Tableau2[[#This Row],[Name of shipper]],Plant_AILN!L:M,2,FALSE),0)</f>
        <v>333333</v>
      </c>
      <c r="G250" s="234"/>
      <c r="H250" s="236" t="str">
        <f>IF(Tableau2[[#This Row],[Name Consignee]]=0,"",VLOOKUP(Tableau2[[#This Row],[Name Consignee]],Plant_AILN!A:C,3,FALSE))</f>
        <v/>
      </c>
      <c r="I250" s="220">
        <v>9</v>
      </c>
      <c r="J250" s="220">
        <v>14</v>
      </c>
      <c r="K250" s="96">
        <v>5</v>
      </c>
      <c r="L250" s="225">
        <v>7</v>
      </c>
      <c r="M250" s="229">
        <f>Tableau2[[#This Row],[Delivery time to ILN/Shipper]]+Tableau2[[#This Row],[Day ILN Order]]-1</f>
        <v>22</v>
      </c>
      <c r="N250" s="220">
        <v>2</v>
      </c>
      <c r="O250" s="96" t="s">
        <v>604</v>
      </c>
      <c r="P250" s="220"/>
    </row>
    <row r="251" spans="1:17" hidden="1">
      <c r="A251" s="419" t="str">
        <f>_xlfn.CONCAT(Tableau2[[#This Row],[Compte ILN]],"-",Tableau2[[#This Row],[Compte Shipper]],"-",Tableau2[[#This Row],[POL]],"-",Tableau2[[#This Row],[Compte Consignee]])</f>
        <v>0-29770601-THLCH-</v>
      </c>
      <c r="B251" s="419" t="str">
        <f>IF(Tableau2[[#This Row],[Name Consignee]]="",_xlfn.CONCAT(Tableau2[[#This Row],[Compte ILN]],"-",Tableau2[[#This Row],[Compte Shipper]],"-",Tableau2[[#This Row],[POL]]),"-")</f>
        <v>0-29770601-THLCH</v>
      </c>
      <c r="C251" s="225" t="s">
        <v>146</v>
      </c>
      <c r="D251" s="239">
        <f>VLOOKUP(Tableau2[[#This Row],[ Name ILN]],Plant_AILN!F:G,2,FALSE)</f>
        <v>0</v>
      </c>
      <c r="E251" s="234" t="s">
        <v>182</v>
      </c>
      <c r="F251" s="236">
        <f>IFERROR(VLOOKUP(Tableau2[[#This Row],[Name of shipper]],Plant_AILN!L:M,2,FALSE),0)</f>
        <v>29770601</v>
      </c>
      <c r="G251" s="234"/>
      <c r="H251" s="236" t="str">
        <f>IF(Tableau2[[#This Row],[Name Consignee]]=0,"",VLOOKUP(Tableau2[[#This Row],[Name Consignee]],Plant_AILN!A:C,3,FALSE))</f>
        <v/>
      </c>
      <c r="I251" s="237">
        <v>9</v>
      </c>
      <c r="J251" s="237">
        <v>14</v>
      </c>
      <c r="K251" s="238">
        <v>5</v>
      </c>
      <c r="L251" s="234">
        <v>7</v>
      </c>
      <c r="M251" s="239">
        <f>Tableau2[[#This Row],[Delivery time to ILN/Shipper]]+Tableau2[[#This Row],[Day ILN Order]]-1</f>
        <v>22</v>
      </c>
      <c r="N251" s="237">
        <v>1</v>
      </c>
      <c r="O251" s="238" t="s">
        <v>615</v>
      </c>
      <c r="P251" s="237">
        <v>3</v>
      </c>
    </row>
    <row r="252" spans="1:17" hidden="1">
      <c r="A252" s="419" t="str">
        <f>_xlfn.CONCAT(Tableau2[[#This Row],[Compte ILN]],"-",Tableau2[[#This Row],[Compte Shipper]],"-",Tableau2[[#This Row],[POL]],"-",Tableau2[[#This Row],[Compte Consignee]])</f>
        <v>0-5915200-FRLEH-90016000</v>
      </c>
      <c r="B252" s="419" t="str">
        <f>IF(Tableau2[[#This Row],[Name Consignee]]="",_xlfn.CONCAT(Tableau2[[#This Row],[Compte ILN]],"-",Tableau2[[#This Row],[Compte Shipper]],"-",Tableau2[[#This Row],[POL]]),"-")</f>
        <v>-</v>
      </c>
      <c r="C252" s="234" t="s">
        <v>146</v>
      </c>
      <c r="D252" s="239">
        <f>VLOOKUP(Tableau2[[#This Row],[ Name ILN]],Plant_AILN!F:G,2,FALSE)</f>
        <v>0</v>
      </c>
      <c r="E252" s="234" t="s">
        <v>464</v>
      </c>
      <c r="F252" s="236">
        <f>IFERROR(VLOOKUP(Tableau2[[#This Row],[Name of shipper]],Plant_AILN!L:M,2,FALSE),0)</f>
        <v>5915200</v>
      </c>
      <c r="G252" s="234" t="s">
        <v>158</v>
      </c>
      <c r="H252" s="236">
        <f>IF(Tableau2[[#This Row],[Name Consignee]]=0,"",VLOOKUP(Tableau2[[#This Row],[Name Consignee]],Plant_AILN!A:C,3,FALSE))</f>
        <v>90016000</v>
      </c>
      <c r="I252" s="237">
        <v>9</v>
      </c>
      <c r="J252" s="237">
        <v>7</v>
      </c>
      <c r="K252" s="238">
        <v>3</v>
      </c>
      <c r="L252" s="234">
        <v>3</v>
      </c>
      <c r="M252" s="239">
        <f>Tableau2[[#This Row],[Delivery time to ILN/Shipper]]+Tableau2[[#This Row],[Day ILN Order]]-1</f>
        <v>15</v>
      </c>
      <c r="N252" s="237">
        <v>5</v>
      </c>
      <c r="O252" s="238" t="s">
        <v>483</v>
      </c>
      <c r="P252" s="237">
        <v>2</v>
      </c>
    </row>
    <row r="253" spans="1:17" hidden="1">
      <c r="A253" s="243" t="str">
        <f>_xlfn.CONCAT(Tableau2[[#This Row],[Compte ILN]],"-",Tableau2[[#This Row],[Compte Shipper]],"-",Tableau2[[#This Row],[POL]],"-",Tableau2[[#This Row],[Compte Consignee]])</f>
        <v>2533780546-2533780546-INMAA-91017500</v>
      </c>
      <c r="B253" s="243" t="str">
        <f>IF(Tableau2[[#This Row],[Name Consignee]]="",_xlfn.CONCAT(Tableau2[[#This Row],[Compte ILN]],"-",Tableau2[[#This Row],[Compte Shipper]],"-",Tableau2[[#This Row],[POL]]),"-")</f>
        <v>-</v>
      </c>
      <c r="C253" s="225" t="s">
        <v>149</v>
      </c>
      <c r="D253" s="229">
        <f>VLOOKUP(Tableau2[[#This Row],[ Name ILN]],Plant_AILN!F:G,2,FALSE)</f>
        <v>2533780546</v>
      </c>
      <c r="E253" s="234" t="s">
        <v>149</v>
      </c>
      <c r="F253" s="236">
        <f>IFERROR(VLOOKUP(Tableau2[[#This Row],[Name of shipper]],Plant_AILN!L:M,2,FALSE),0)</f>
        <v>2533780546</v>
      </c>
      <c r="G253" s="234" t="s">
        <v>172</v>
      </c>
      <c r="H253" s="236">
        <f>IF(Tableau2[[#This Row],[Name Consignee]]=0,"",VLOOKUP(Tableau2[[#This Row],[Name Consignee]],Plant_AILN!A:C,3,FALSE))</f>
        <v>91017500</v>
      </c>
      <c r="I253" s="220">
        <v>9</v>
      </c>
      <c r="J253" s="220">
        <v>21</v>
      </c>
      <c r="K253" s="96">
        <v>5</v>
      </c>
      <c r="L253" s="225">
        <v>7</v>
      </c>
      <c r="M253" s="229">
        <f>Tableau2[[#This Row],[Delivery time to ILN/Shipper]]+Tableau2[[#This Row],[Day ILN Order]]-1</f>
        <v>29</v>
      </c>
      <c r="N253" s="220">
        <v>2</v>
      </c>
      <c r="O253" s="96" t="s">
        <v>537</v>
      </c>
      <c r="P253" s="220">
        <v>3</v>
      </c>
      <c r="Q253" t="s">
        <v>650</v>
      </c>
    </row>
    <row r="254" spans="1:17" hidden="1">
      <c r="A254" s="419" t="str">
        <f>_xlfn.CONCAT(Tableau2[[#This Row],[Compte ILN]],"-",Tableau2[[#This Row],[Compte Shipper]],"-",Tableau2[[#This Row],[POL]],"-",Tableau2[[#This Row],[Compte Consignee]])</f>
        <v>2533780546-2533780546-INENR-</v>
      </c>
      <c r="B254" s="419" t="str">
        <f>IF(Tableau2[[#This Row],[Name Consignee]]="",_xlfn.CONCAT(Tableau2[[#This Row],[Compte ILN]],"-",Tableau2[[#This Row],[Compte Shipper]],"-",Tableau2[[#This Row],[POL]]),"-")</f>
        <v>2533780546-2533780546-INENR</v>
      </c>
      <c r="C254" s="187" t="s">
        <v>149</v>
      </c>
      <c r="D254" s="239">
        <f>VLOOKUP(Tableau2[[#This Row],[ Name ILN]],Plant_AILN!F:G,2,FALSE)</f>
        <v>2533780546</v>
      </c>
      <c r="E254" s="187" t="s">
        <v>149</v>
      </c>
      <c r="F254" s="236">
        <f>IFERROR(VLOOKUP(Tableau2[[#This Row],[Name of shipper]],Plant_AILN!L:M,2,FALSE),0)</f>
        <v>2533780546</v>
      </c>
      <c r="G254" s="496"/>
      <c r="H254" s="236" t="str">
        <f>IF(Tableau2[[#This Row],[Name Consignee]]=0,"",VLOOKUP(Tableau2[[#This Row],[Name Consignee]],Plant_AILN!A:C,3,FALSE))</f>
        <v/>
      </c>
      <c r="I254" s="237">
        <v>9</v>
      </c>
      <c r="J254" s="237">
        <v>14</v>
      </c>
      <c r="K254" s="238">
        <v>5</v>
      </c>
      <c r="L254" s="234">
        <v>7</v>
      </c>
      <c r="M254" s="239">
        <f>Tableau2[[#This Row],[Delivery time to ILN/Shipper]]+Tableau2[[#This Row],[Day ILN Order]]-1</f>
        <v>22</v>
      </c>
      <c r="N254" s="237">
        <v>2</v>
      </c>
      <c r="O254" s="238" t="s">
        <v>502</v>
      </c>
      <c r="P254" s="237">
        <v>5</v>
      </c>
    </row>
    <row r="255" spans="1:17" hidden="1">
      <c r="A255" s="243" t="str">
        <f>_xlfn.CONCAT(Tableau2[[#This Row],[Compte ILN]],"-",Tableau2[[#This Row],[Compte Shipper]],"-",Tableau2[[#This Row],[POL]],"-",Tableau2[[#This Row],[Compte Consignee]])</f>
        <v>2533780546-2533780546-INKAT-</v>
      </c>
      <c r="B255" s="243" t="str">
        <f>IF(Tableau2[[#This Row],[Name Consignee]]="",_xlfn.CONCAT(Tableau2[[#This Row],[Compte ILN]],"-",Tableau2[[#This Row],[Compte Shipper]],"-",Tableau2[[#This Row],[POL]]),"-")</f>
        <v>2533780546-2533780546-INKAT</v>
      </c>
      <c r="C255" s="168" t="s">
        <v>149</v>
      </c>
      <c r="D255" s="229">
        <f>VLOOKUP(Tableau2[[#This Row],[ Name ILN]],Plant_AILN!F:G,2,FALSE)</f>
        <v>2533780546</v>
      </c>
      <c r="E255" s="187" t="s">
        <v>149</v>
      </c>
      <c r="F255" s="236">
        <f>IFERROR(VLOOKUP(Tableau2[[#This Row],[Name of shipper]],Plant_AILN!L:M,2,FALSE),0)</f>
        <v>2533780546</v>
      </c>
      <c r="G255" s="496"/>
      <c r="H255" s="236" t="str">
        <f>IF(Tableau2[[#This Row],[Name Consignee]]=0,"",VLOOKUP(Tableau2[[#This Row],[Name Consignee]],Plant_AILN!A:C,3,FALSE))</f>
        <v/>
      </c>
      <c r="I255" s="220">
        <v>9</v>
      </c>
      <c r="J255" s="220">
        <v>14</v>
      </c>
      <c r="K255" s="96">
        <v>5</v>
      </c>
      <c r="L255" s="225">
        <v>7</v>
      </c>
      <c r="M255" s="229">
        <f>Tableau2[[#This Row],[Delivery time to ILN/Shipper]]+Tableau2[[#This Row],[Day ILN Order]]-1</f>
        <v>22</v>
      </c>
      <c r="N255" s="220">
        <v>2</v>
      </c>
      <c r="O255" s="96" t="s">
        <v>571</v>
      </c>
      <c r="P255" s="220">
        <v>4</v>
      </c>
    </row>
    <row r="256" spans="1:17" hidden="1">
      <c r="A256" s="419" t="str">
        <f>_xlfn.CONCAT(Tableau2[[#This Row],[Compte ILN]],"-",Tableau2[[#This Row],[Compte Shipper]],"-",Tableau2[[#This Row],[POL]],"-",Tableau2[[#This Row],[Compte Consignee]])</f>
        <v>2533780546-2533780546-INMAA-</v>
      </c>
      <c r="B256" s="419" t="str">
        <f>IF(Tableau2[[#This Row],[Name Consignee]]="",_xlfn.CONCAT(Tableau2[[#This Row],[Compte ILN]],"-",Tableau2[[#This Row],[Compte Shipper]],"-",Tableau2[[#This Row],[POL]]),"-")</f>
        <v>2533780546-2533780546-INMAA</v>
      </c>
      <c r="C256" s="187" t="s">
        <v>149</v>
      </c>
      <c r="D256" s="239">
        <f>VLOOKUP(Tableau2[[#This Row],[ Name ILN]],Plant_AILN!F:G,2,FALSE)</f>
        <v>2533780546</v>
      </c>
      <c r="E256" s="187" t="s">
        <v>149</v>
      </c>
      <c r="F256" s="236">
        <f>IFERROR(VLOOKUP(Tableau2[[#This Row],[Name of shipper]],Plant_AILN!L:M,2,FALSE),0)</f>
        <v>2533780546</v>
      </c>
      <c r="G256" s="496"/>
      <c r="H256" s="236" t="str">
        <f>IF(Tableau2[[#This Row],[Name Consignee]]=0,"",VLOOKUP(Tableau2[[#This Row],[Name Consignee]],Plant_AILN!A:C,3,FALSE))</f>
        <v/>
      </c>
      <c r="I256" s="237">
        <v>9</v>
      </c>
      <c r="J256" s="237">
        <v>14</v>
      </c>
      <c r="K256" s="238">
        <v>5</v>
      </c>
      <c r="L256" s="234">
        <v>7</v>
      </c>
      <c r="M256" s="239">
        <f>Tableau2[[#This Row],[Delivery time to ILN/Shipper]]+Tableau2[[#This Row],[Day ILN Order]]-1</f>
        <v>22</v>
      </c>
      <c r="N256" s="237">
        <v>2</v>
      </c>
      <c r="O256" s="238" t="s">
        <v>537</v>
      </c>
      <c r="P256" s="237">
        <v>3</v>
      </c>
    </row>
    <row r="257" spans="1:17" hidden="1">
      <c r="A257" s="419" t="str">
        <f>_xlfn.CONCAT(Tableau2[[#This Row],[Compte ILN]],"-",Tableau2[[#This Row],[Compte Shipper]],"-",Tableau2[[#This Row],[POL]],"-",Tableau2[[#This Row],[Compte Consignee]])</f>
        <v>2533780546-2533780546-INMAA-9101840000</v>
      </c>
      <c r="B257" s="419" t="str">
        <f>IF(Tableau2[[#This Row],[Name Consignee]]="",_xlfn.CONCAT(Tableau2[[#This Row],[Compte ILN]],"-",Tableau2[[#This Row],[Compte Shipper]],"-",Tableau2[[#This Row],[POL]]),"-")</f>
        <v>-</v>
      </c>
      <c r="C257" s="234" t="s">
        <v>149</v>
      </c>
      <c r="D257" s="239">
        <f>VLOOKUP(Tableau2[[#This Row],[ Name ILN]],Plant_AILN!F:G,2,FALSE)</f>
        <v>2533780546</v>
      </c>
      <c r="E257" s="234" t="s">
        <v>149</v>
      </c>
      <c r="F257" s="236">
        <f>IFERROR(VLOOKUP(Tableau2[[#This Row],[Name of shipper]],Plant_AILN!L:M,2,FALSE),0)</f>
        <v>2533780546</v>
      </c>
      <c r="G257" s="234" t="s">
        <v>151</v>
      </c>
      <c r="H257" s="236">
        <f>IF(Tableau2[[#This Row],[Name Consignee]]=0,"",VLOOKUP(Tableau2[[#This Row],[Name Consignee]],Plant_AILN!A:C,3,FALSE))</f>
        <v>9101840000</v>
      </c>
      <c r="I257" s="237">
        <v>9</v>
      </c>
      <c r="J257" s="237">
        <v>21</v>
      </c>
      <c r="K257" s="238">
        <v>5</v>
      </c>
      <c r="L257" s="234">
        <v>14</v>
      </c>
      <c r="M257" s="239">
        <f>Tableau2[[#This Row],[Delivery time to ILN/Shipper]]+Tableau2[[#This Row],[Day ILN Order]]-1</f>
        <v>29</v>
      </c>
      <c r="N257" s="237">
        <v>2</v>
      </c>
      <c r="O257" s="238" t="s">
        <v>537</v>
      </c>
      <c r="P257" s="237">
        <v>3</v>
      </c>
      <c r="Q257" t="s">
        <v>682</v>
      </c>
    </row>
    <row r="258" spans="1:17" hidden="1">
      <c r="A258" s="243" t="str">
        <f>_xlfn.CONCAT(Tableau2[[#This Row],[Compte ILN]],"-",Tableau2[[#This Row],[Compte Shipper]],"-",Tableau2[[#This Row],[POL]],"-",Tableau2[[#This Row],[Compte Consignee]])</f>
        <v>2533780546-2533780546-INENR-9101840000</v>
      </c>
      <c r="B258" s="243" t="str">
        <f>IF(Tableau2[[#This Row],[Name Consignee]]="",_xlfn.CONCAT(Tableau2[[#This Row],[Compte ILN]],"-",Tableau2[[#This Row],[Compte Shipper]],"-",Tableau2[[#This Row],[POL]]),"-")</f>
        <v>-</v>
      </c>
      <c r="C258" s="225" t="s">
        <v>149</v>
      </c>
      <c r="D258" s="229">
        <f>VLOOKUP(Tableau2[[#This Row],[ Name ILN]],Plant_AILN!F:G,2,FALSE)</f>
        <v>2533780546</v>
      </c>
      <c r="E258" s="234" t="s">
        <v>149</v>
      </c>
      <c r="F258" s="236">
        <f>IFERROR(VLOOKUP(Tableau2[[#This Row],[Name of shipper]],Plant_AILN!L:M,2,FALSE),0)</f>
        <v>2533780546</v>
      </c>
      <c r="G258" s="234" t="s">
        <v>151</v>
      </c>
      <c r="H258" s="236">
        <f>IF(Tableau2[[#This Row],[Name Consignee]]=0,"",VLOOKUP(Tableau2[[#This Row],[Name Consignee]],Plant_AILN!A:C,3,FALSE))</f>
        <v>9101840000</v>
      </c>
      <c r="I258" s="220">
        <v>9</v>
      </c>
      <c r="J258" s="220">
        <v>21</v>
      </c>
      <c r="K258" s="96">
        <v>5</v>
      </c>
      <c r="L258" s="225">
        <v>14</v>
      </c>
      <c r="M258" s="229">
        <f>Tableau2[[#This Row],[Delivery time to ILN/Shipper]]+Tableau2[[#This Row],[Day ILN Order]]-1</f>
        <v>29</v>
      </c>
      <c r="N258" s="220">
        <v>2</v>
      </c>
      <c r="O258" s="96" t="s">
        <v>502</v>
      </c>
      <c r="P258" s="220">
        <v>3</v>
      </c>
      <c r="Q258" t="s">
        <v>682</v>
      </c>
    </row>
    <row r="259" spans="1:17" hidden="1">
      <c r="A259" s="419" t="str">
        <f>_xlfn.CONCAT(Tableau2[[#This Row],[Compte ILN]],"-",Tableau2[[#This Row],[Compte Shipper]],"-",Tableau2[[#This Row],[POL]],"-",Tableau2[[#This Row],[Compte Consignee]])</f>
        <v>2533780546-2533780546-INKAT-9101840000</v>
      </c>
      <c r="B259" s="419" t="str">
        <f>IF(Tableau2[[#This Row],[Name Consignee]]="",_xlfn.CONCAT(Tableau2[[#This Row],[Compte ILN]],"-",Tableau2[[#This Row],[Compte Shipper]],"-",Tableau2[[#This Row],[POL]]),"-")</f>
        <v>-</v>
      </c>
      <c r="C259" s="234" t="s">
        <v>149</v>
      </c>
      <c r="D259" s="239">
        <f>VLOOKUP(Tableau2[[#This Row],[ Name ILN]],Plant_AILN!F:G,2,FALSE)</f>
        <v>2533780546</v>
      </c>
      <c r="E259" s="234" t="s">
        <v>149</v>
      </c>
      <c r="F259" s="236">
        <f>IFERROR(VLOOKUP(Tableau2[[#This Row],[Name of shipper]],Plant_AILN!L:M,2,FALSE),0)</f>
        <v>2533780546</v>
      </c>
      <c r="G259" s="234" t="s">
        <v>151</v>
      </c>
      <c r="H259" s="236">
        <f>IF(Tableau2[[#This Row],[Name Consignee]]=0,"",VLOOKUP(Tableau2[[#This Row],[Name Consignee]],Plant_AILN!A:C,3,FALSE))</f>
        <v>9101840000</v>
      </c>
      <c r="I259" s="237">
        <v>9</v>
      </c>
      <c r="J259" s="237">
        <v>21</v>
      </c>
      <c r="K259" s="238">
        <v>5</v>
      </c>
      <c r="L259" s="234">
        <v>14</v>
      </c>
      <c r="M259" s="239">
        <f>Tableau2[[#This Row],[Delivery time to ILN/Shipper]]+Tableau2[[#This Row],[Day ILN Order]]-1</f>
        <v>29</v>
      </c>
      <c r="N259" s="237">
        <v>2</v>
      </c>
      <c r="O259" s="238" t="s">
        <v>571</v>
      </c>
      <c r="P259" s="237">
        <v>3</v>
      </c>
      <c r="Q259" t="s">
        <v>682</v>
      </c>
    </row>
    <row r="260" spans="1:17" hidden="1">
      <c r="A260" s="243" t="str">
        <f>_xlfn.CONCAT(Tableau2[[#This Row],[Compte ILN]],"-",Tableau2[[#This Row],[Compte Shipper]],"-",Tableau2[[#This Row],[POL]],"-",Tableau2[[#This Row],[Compte Consignee]])</f>
        <v>2533780546-2533780546-INENR-91017300</v>
      </c>
      <c r="B260" s="243" t="str">
        <f>IF(Tableau2[[#This Row],[Name Consignee]]="",_xlfn.CONCAT(Tableau2[[#This Row],[Compte ILN]],"-",Tableau2[[#This Row],[Compte Shipper]],"-",Tableau2[[#This Row],[POL]]),"-")</f>
        <v>-</v>
      </c>
      <c r="C260" s="225" t="s">
        <v>149</v>
      </c>
      <c r="D260" s="229">
        <f>VLOOKUP(Tableau2[[#This Row],[ Name ILN]],Plant_AILN!F:G,2,FALSE)</f>
        <v>2533780546</v>
      </c>
      <c r="E260" s="234" t="s">
        <v>149</v>
      </c>
      <c r="F260" s="236">
        <f>IFERROR(VLOOKUP(Tableau2[[#This Row],[Name of shipper]],Plant_AILN!L:M,2,FALSE),0)</f>
        <v>2533780546</v>
      </c>
      <c r="G260" s="234" t="s">
        <v>175</v>
      </c>
      <c r="H260" s="236">
        <f>IF(Tableau2[[#This Row],[Name Consignee]]=0,"",VLOOKUP(Tableau2[[#This Row],[Name Consignee]],Plant_AILN!A:C,3,FALSE))</f>
        <v>91017300</v>
      </c>
      <c r="I260" s="220">
        <v>9</v>
      </c>
      <c r="J260" s="220">
        <v>21</v>
      </c>
      <c r="K260" s="96">
        <v>5</v>
      </c>
      <c r="L260" s="225">
        <v>7</v>
      </c>
      <c r="M260" s="229">
        <f>Tableau2[[#This Row],[Delivery time to ILN/Shipper]]+Tableau2[[#This Row],[Day ILN Order]]-1</f>
        <v>29</v>
      </c>
      <c r="N260" s="220">
        <v>2</v>
      </c>
      <c r="O260" s="96" t="s">
        <v>502</v>
      </c>
      <c r="P260" s="220">
        <v>3</v>
      </c>
      <c r="Q260" t="s">
        <v>668</v>
      </c>
    </row>
    <row r="261" spans="1:17" hidden="1">
      <c r="A261" s="243" t="str">
        <f>_xlfn.CONCAT(Tableau2[[#This Row],[Compte ILN]],"-",Tableau2[[#This Row],[Compte Shipper]],"-",Tableau2[[#This Row],[POL]],"-",Tableau2[[#This Row],[Compte Consignee]])</f>
        <v>2533780546-2533780546-INKAT-91017300</v>
      </c>
      <c r="B261" s="243" t="str">
        <f>IF(Tableau2[[#This Row],[Name Consignee]]="",_xlfn.CONCAT(Tableau2[[#This Row],[Compte ILN]],"-",Tableau2[[#This Row],[Compte Shipper]],"-",Tableau2[[#This Row],[POL]]),"-")</f>
        <v>-</v>
      </c>
      <c r="C261" s="225" t="s">
        <v>149</v>
      </c>
      <c r="D261" s="229">
        <f>VLOOKUP(Tableau2[[#This Row],[ Name ILN]],Plant_AILN!F:G,2,FALSE)</f>
        <v>2533780546</v>
      </c>
      <c r="E261" s="234" t="s">
        <v>149</v>
      </c>
      <c r="F261" s="469">
        <f>IFERROR(VLOOKUP(Tableau2[[#This Row],[Name of shipper]],Plant_AILN!L:M,2,FALSE),0)</f>
        <v>2533780546</v>
      </c>
      <c r="G261" s="234" t="s">
        <v>175</v>
      </c>
      <c r="H261" s="469">
        <f>IF(Tableau2[[#This Row],[Name Consignee]]=0,"",VLOOKUP(Tableau2[[#This Row],[Name Consignee]],Plant_AILN!A:C,3,FALSE))</f>
        <v>91017300</v>
      </c>
      <c r="I261" s="220">
        <v>9</v>
      </c>
      <c r="J261" s="220">
        <v>21</v>
      </c>
      <c r="K261" s="96">
        <v>5</v>
      </c>
      <c r="L261" s="225">
        <v>7</v>
      </c>
      <c r="M261" s="229">
        <f>Tableau2[[#This Row],[Delivery time to ILN/Shipper]]+Tableau2[[#This Row],[Day ILN Order]]-1</f>
        <v>29</v>
      </c>
      <c r="N261" s="220">
        <v>2</v>
      </c>
      <c r="O261" s="96" t="s">
        <v>571</v>
      </c>
      <c r="P261" s="220">
        <v>3</v>
      </c>
      <c r="Q261" t="s">
        <v>668</v>
      </c>
    </row>
    <row r="262" spans="1:17" hidden="1">
      <c r="A262" s="419" t="str">
        <f>_xlfn.CONCAT(Tableau2[[#This Row],[Compte ILN]],"-",Tableau2[[#This Row],[Compte Shipper]],"-",Tableau2[[#This Row],[POL]],"-",Tableau2[[#This Row],[Compte Consignee]])</f>
        <v>2533780546-2533780546-INMAA-91017300</v>
      </c>
      <c r="B262" s="419" t="str">
        <f>IF(Tableau2[[#This Row],[Name Consignee]]="",_xlfn.CONCAT(Tableau2[[#This Row],[Compte ILN]],"-",Tableau2[[#This Row],[Compte Shipper]],"-",Tableau2[[#This Row],[POL]]),"-")</f>
        <v>-</v>
      </c>
      <c r="C262" s="234" t="s">
        <v>149</v>
      </c>
      <c r="D262" s="239">
        <f>VLOOKUP(Tableau2[[#This Row],[ Name ILN]],Plant_AILN!F:G,2,FALSE)</f>
        <v>2533780546</v>
      </c>
      <c r="E262" s="234" t="s">
        <v>149</v>
      </c>
      <c r="F262" s="469">
        <f>IFERROR(VLOOKUP(Tableau2[[#This Row],[Name of shipper]],Plant_AILN!L:M,2,FALSE),0)</f>
        <v>2533780546</v>
      </c>
      <c r="G262" s="234" t="s">
        <v>175</v>
      </c>
      <c r="H262" s="469">
        <f>IF(Tableau2[[#This Row],[Name Consignee]]=0,"",VLOOKUP(Tableau2[[#This Row],[Name Consignee]],Plant_AILN!A:C,3,FALSE))</f>
        <v>91017300</v>
      </c>
      <c r="I262" s="237">
        <v>9</v>
      </c>
      <c r="J262" s="237">
        <v>21</v>
      </c>
      <c r="K262" s="238">
        <v>5</v>
      </c>
      <c r="L262" s="234">
        <v>7</v>
      </c>
      <c r="M262" s="239">
        <f>Tableau2[[#This Row],[Delivery time to ILN/Shipper]]+Tableau2[[#This Row],[Day ILN Order]]-1</f>
        <v>29</v>
      </c>
      <c r="N262" s="237">
        <v>2</v>
      </c>
      <c r="O262" s="238" t="s">
        <v>537</v>
      </c>
      <c r="P262" s="237">
        <v>3</v>
      </c>
      <c r="Q262" t="s">
        <v>668</v>
      </c>
    </row>
    <row r="263" spans="1:17" hidden="1">
      <c r="A263" s="419" t="str">
        <f>_xlfn.CONCAT(Tableau2[[#This Row],[Compte ILN]],"-",Tableau2[[#This Row],[Compte Shipper]],"-",Tableau2[[#This Row],[POL]],"-",Tableau2[[#This Row],[Compte Consignee]])</f>
        <v>92000100-90016900-FRLEH-90018500</v>
      </c>
      <c r="B263" s="419" t="str">
        <f>IF(Tableau2[[#This Row],[Name Consignee]]="",_xlfn.CONCAT(Tableau2[[#This Row],[Compte ILN]],"-",Tableau2[[#This Row],[Compte Shipper]],"-",Tableau2[[#This Row],[POL]]),"-")</f>
        <v>-</v>
      </c>
      <c r="C263" s="234" t="s">
        <v>143</v>
      </c>
      <c r="D263" s="239">
        <f>VLOOKUP(Tableau2[[#This Row],[ Name ILN]],Plant_AILN!F:G,2,FALSE)</f>
        <v>92000100</v>
      </c>
      <c r="E263" s="234" t="s">
        <v>154</v>
      </c>
      <c r="F263" s="236">
        <f>IFERROR(VLOOKUP(Tableau2[[#This Row],[Name of shipper]],Plant_AILN!L:M,2,FALSE),0)</f>
        <v>90016900</v>
      </c>
      <c r="G263" s="234" t="s">
        <v>206</v>
      </c>
      <c r="H263" s="236">
        <f>IF(Tableau2[[#This Row],[Name Consignee]]=0,"",VLOOKUP(Tableau2[[#This Row],[Name Consignee]],Plant_AILN!A:C,3,FALSE))</f>
        <v>90018500</v>
      </c>
      <c r="I263" s="237">
        <v>9</v>
      </c>
      <c r="J263" s="237">
        <v>7</v>
      </c>
      <c r="K263" s="238">
        <v>5</v>
      </c>
      <c r="L263" s="234">
        <v>9</v>
      </c>
      <c r="M263" s="239">
        <f>Tableau2[[#This Row],[Delivery time to ILN/Shipper]]+Tableau2[[#This Row],[Day ILN Order]]-1</f>
        <v>15</v>
      </c>
      <c r="N263" s="237">
        <v>5</v>
      </c>
      <c r="O263" s="238" t="s">
        <v>483</v>
      </c>
      <c r="P263" s="237">
        <v>1</v>
      </c>
      <c r="Q263" t="s">
        <v>683</v>
      </c>
    </row>
    <row r="264" spans="1:17" hidden="1">
      <c r="A264" s="243" t="str">
        <f>_xlfn.CONCAT(Tableau2[[#This Row],[Compte ILN]],"-",Tableau2[[#This Row],[Compte Shipper]],"-",Tableau2[[#This Row],[POL]],"-",Tableau2[[#This Row],[Compte Consignee]])</f>
        <v>0-43473200-USCHS-90018500</v>
      </c>
      <c r="B264" s="243" t="str">
        <f>IF(Tableau2[[#This Row],[Name Consignee]]="",_xlfn.CONCAT(Tableau2[[#This Row],[Compte ILN]],"-",Tableau2[[#This Row],[Compte Shipper]],"-",Tableau2[[#This Row],[POL]]),"-")</f>
        <v>-</v>
      </c>
      <c r="C264" s="225" t="s">
        <v>146</v>
      </c>
      <c r="D264" s="229">
        <f>VLOOKUP(Tableau2[[#This Row],[ Name ILN]],Plant_AILN!F:G,2,FALSE)</f>
        <v>0</v>
      </c>
      <c r="E264" s="234" t="s">
        <v>471</v>
      </c>
      <c r="F264" s="236">
        <f>IFERROR(VLOOKUP(Tableau2[[#This Row],[Name of shipper]],Plant_AILN!L:M,2,FALSE),0)</f>
        <v>43473200</v>
      </c>
      <c r="G264" s="234" t="s">
        <v>206</v>
      </c>
      <c r="H264" s="236">
        <f>IF(Tableau2[[#This Row],[Name Consignee]]=0,"",VLOOKUP(Tableau2[[#This Row],[Name Consignee]],Plant_AILN!A:C,3,FALSE))</f>
        <v>90018500</v>
      </c>
      <c r="I264" s="237">
        <v>9</v>
      </c>
      <c r="J264" s="220">
        <v>7</v>
      </c>
      <c r="K264" s="96">
        <v>5</v>
      </c>
      <c r="L264" s="225">
        <v>7</v>
      </c>
      <c r="M264" s="229">
        <f>Tableau2[[#This Row],[Delivery time to ILN/Shipper]]+Tableau2[[#This Row],[Day ILN Order]]-1</f>
        <v>15</v>
      </c>
      <c r="N264" s="220">
        <v>8</v>
      </c>
      <c r="O264" s="96" t="s">
        <v>684</v>
      </c>
      <c r="P264" s="220">
        <v>3</v>
      </c>
    </row>
    <row r="265" spans="1:17" hidden="1">
      <c r="A265" s="419" t="str">
        <f>_xlfn.CONCAT(Tableau2[[#This Row],[Compte ILN]],"-",Tableau2[[#This Row],[Compte Shipper]],"-",Tableau2[[#This Row],[POL]],"-",Tableau2[[#This Row],[Compte Consignee]])</f>
        <v>95436-27666003-VNHPH-26549502</v>
      </c>
      <c r="B265" s="419" t="str">
        <f>IF(Tableau2[[#This Row],[Name Consignee]]="",_xlfn.CONCAT(Tableau2[[#This Row],[Compte ILN]],"-",Tableau2[[#This Row],[Compte Shipper]],"-",Tableau2[[#This Row],[POL]]),"-")</f>
        <v>-</v>
      </c>
      <c r="C265" s="234" t="s">
        <v>166</v>
      </c>
      <c r="D265" s="239">
        <f>VLOOKUP(Tableau2[[#This Row],[ Name ILN]],Plant_AILN!F:G,2,FALSE)</f>
        <v>95436</v>
      </c>
      <c r="E265" s="234" t="s">
        <v>470</v>
      </c>
      <c r="F265" s="236">
        <f>IFERROR(VLOOKUP(Tableau2[[#This Row],[Name of shipper]],Plant_AILN!L:M,2,FALSE),0)</f>
        <v>27666003</v>
      </c>
      <c r="G265" s="234" t="s">
        <v>159</v>
      </c>
      <c r="H265" s="236">
        <f>IF(Tableau2[[#This Row],[Name Consignee]]=0,"",VLOOKUP(Tableau2[[#This Row],[Name Consignee]],Plant_AILN!A:C,3,FALSE))</f>
        <v>26549502</v>
      </c>
      <c r="I265" s="237">
        <v>9</v>
      </c>
      <c r="J265" s="237">
        <v>14</v>
      </c>
      <c r="K265" s="238">
        <v>5</v>
      </c>
      <c r="L265" s="234">
        <v>7</v>
      </c>
      <c r="M265" s="239">
        <f>Tableau2[[#This Row],[Delivery time to ILN/Shipper]]+Tableau2[[#This Row],[Day ILN Order]]-1</f>
        <v>22</v>
      </c>
      <c r="N265" s="237">
        <v>1</v>
      </c>
      <c r="O265" s="238" t="s">
        <v>685</v>
      </c>
      <c r="P265" s="237">
        <v>3</v>
      </c>
    </row>
    <row r="266" spans="1:17">
      <c r="C266"/>
      <c r="D266"/>
      <c r="F266"/>
      <c r="G266"/>
      <c r="H266"/>
      <c r="I266"/>
      <c r="J266"/>
      <c r="K266"/>
      <c r="L266"/>
      <c r="M266"/>
      <c r="N266"/>
      <c r="O266"/>
    </row>
    <row r="267" spans="1:17">
      <c r="C267"/>
      <c r="D267"/>
      <c r="F267"/>
      <c r="G267"/>
      <c r="H267"/>
      <c r="I267"/>
      <c r="J267"/>
      <c r="K267"/>
      <c r="L267"/>
      <c r="M267"/>
      <c r="N267"/>
      <c r="O267"/>
    </row>
    <row r="268" spans="1:17">
      <c r="C268"/>
      <c r="D268"/>
      <c r="F268"/>
      <c r="G268"/>
      <c r="H268"/>
      <c r="I268"/>
      <c r="J268"/>
      <c r="K268"/>
      <c r="L268"/>
      <c r="M268"/>
      <c r="N268"/>
      <c r="O268"/>
    </row>
    <row r="269" spans="1:17">
      <c r="C269"/>
      <c r="D269"/>
      <c r="F269"/>
      <c r="G269"/>
      <c r="H269"/>
      <c r="I269"/>
      <c r="J269"/>
      <c r="K269"/>
      <c r="L269"/>
      <c r="M269"/>
      <c r="N269"/>
      <c r="O269"/>
    </row>
    <row r="270" spans="1:17">
      <c r="C270"/>
      <c r="D270"/>
      <c r="F270"/>
      <c r="G270"/>
      <c r="H270"/>
      <c r="I270"/>
      <c r="J270"/>
      <c r="K270"/>
      <c r="L270"/>
      <c r="M270"/>
      <c r="N270"/>
      <c r="O270"/>
    </row>
    <row r="271" spans="1:17">
      <c r="C271"/>
      <c r="D271"/>
      <c r="F271"/>
      <c r="G271"/>
      <c r="H271"/>
      <c r="I271"/>
      <c r="J271"/>
      <c r="K271"/>
      <c r="L271"/>
      <c r="M271"/>
      <c r="N271"/>
      <c r="O271"/>
    </row>
    <row r="272" spans="1:17">
      <c r="C272"/>
      <c r="D272"/>
      <c r="F272"/>
      <c r="G272"/>
      <c r="H272"/>
      <c r="I272"/>
      <c r="J272"/>
      <c r="K272"/>
      <c r="L272"/>
      <c r="M272"/>
      <c r="N272"/>
      <c r="O272"/>
    </row>
    <row r="273" spans="5:5" customFormat="1">
      <c r="E273" s="48"/>
    </row>
    <row r="274" spans="5:5" customFormat="1">
      <c r="E274" s="48"/>
    </row>
    <row r="275" spans="5:5" customFormat="1">
      <c r="E275" s="48"/>
    </row>
    <row r="276" spans="5:5" customFormat="1">
      <c r="E276" s="48"/>
    </row>
    <row r="277" spans="5:5" customFormat="1">
      <c r="E277" s="48"/>
    </row>
    <row r="278" spans="5:5" customFormat="1">
      <c r="E278" s="48"/>
    </row>
    <row r="279" spans="5:5" customFormat="1">
      <c r="E279" s="48"/>
    </row>
    <row r="280" spans="5:5" customFormat="1">
      <c r="E280" s="48"/>
    </row>
    <row r="281" spans="5:5" customFormat="1">
      <c r="E281" s="48"/>
    </row>
    <row r="282" spans="5:5" customFormat="1">
      <c r="E282" s="48"/>
    </row>
    <row r="283" spans="5:5" customFormat="1">
      <c r="E283" s="48"/>
    </row>
    <row r="284" spans="5:5" customFormat="1">
      <c r="E284" s="48"/>
    </row>
    <row r="285" spans="5:5" customFormat="1">
      <c r="E285" s="48"/>
    </row>
    <row r="286" spans="5:5" customFormat="1">
      <c r="E286" s="48"/>
    </row>
    <row r="287" spans="5:5" customFormat="1">
      <c r="E287" s="48"/>
    </row>
    <row r="288" spans="5:5" customFormat="1">
      <c r="E288" s="48"/>
    </row>
    <row r="289" spans="5:5" customFormat="1">
      <c r="E289" s="48"/>
    </row>
    <row r="290" spans="5:5" customFormat="1">
      <c r="E290" s="48"/>
    </row>
    <row r="291" spans="5:5" customFormat="1">
      <c r="E291" s="48"/>
    </row>
    <row r="292" spans="5:5" customFormat="1">
      <c r="E292" s="48"/>
    </row>
    <row r="293" spans="5:5" customFormat="1">
      <c r="E293" s="48"/>
    </row>
    <row r="294" spans="5:5" customFormat="1">
      <c r="E294" s="48"/>
    </row>
    <row r="295" spans="5:5" customFormat="1">
      <c r="E295" s="48"/>
    </row>
    <row r="296" spans="5:5" customFormat="1">
      <c r="E296" s="48"/>
    </row>
    <row r="297" spans="5:5" customFormat="1">
      <c r="E297" s="48"/>
    </row>
  </sheetData>
  <sheetProtection sort="0" autoFilter="0" pivotTables="0"/>
  <phoneticPr fontId="77" type="noConversion"/>
  <dataValidations count="3">
    <dataValidation type="list" allowBlank="1" showInputMessage="1" showErrorMessage="1" sqref="G158 E160:E171 E176 E199 E201:E202 E215 C3:C1048576" xr:uid="{A52C2EC5-374B-4B40-9F7B-96A0FFA22CD5}">
      <formula1>AILNname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G3:G157 E198 G159:G1048576" xr:uid="{524F8E45-1873-4555-8F1B-E9E548C38C38}">
      <formula1>plantname</formula1>
    </dataValidation>
    <dataValidation type="list" allowBlank="1" showInputMessage="1" showErrorMessage="1" sqref="E172:E175 E200 E203:E214 E3:E159 E177:E197 E216:E1048576" xr:uid="{96D03A3D-E50B-462E-8C6B-AF46DF59E9E6}">
      <formula1>shippername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152A8-B421-4EAE-BC27-57016351318C}">
  <sheetPr codeName="Feuil14">
    <tabColor theme="7" tint="-0.249977111117893"/>
  </sheetPr>
  <dimension ref="A1:N392"/>
  <sheetViews>
    <sheetView workbookViewId="0">
      <selection activeCell="F113" sqref="F113"/>
    </sheetView>
  </sheetViews>
  <sheetFormatPr baseColWidth="10" defaultColWidth="11.42578125" defaultRowHeight="15" outlineLevelCol="1"/>
  <cols>
    <col min="1" max="1" width="27.42578125" customWidth="1" outlineLevel="1"/>
    <col min="2" max="2" width="13.42578125" customWidth="1" outlineLevel="1"/>
    <col min="3" max="3" width="21.42578125" customWidth="1" outlineLevel="1"/>
    <col min="4" max="4" width="21" customWidth="1" outlineLevel="1"/>
    <col min="5" max="5" width="11.42578125" style="48" customWidth="1"/>
    <col min="6" max="7" width="11.42578125" customWidth="1"/>
    <col min="8" max="8" width="11.42578125" style="358" customWidth="1"/>
    <col min="9" max="9" width="11.42578125" customWidth="1"/>
    <col min="10" max="10" width="15" customWidth="1"/>
    <col min="11" max="11" width="11.42578125" customWidth="1"/>
    <col min="12" max="12" width="18.42578125" customWidth="1"/>
    <col min="13" max="13" width="11.42578125" style="358" customWidth="1"/>
    <col min="14" max="14" width="14.42578125" bestFit="1" customWidth="1"/>
    <col min="15" max="15" width="11.42578125" customWidth="1"/>
  </cols>
  <sheetData>
    <row r="1" spans="1:14" ht="54" customHeight="1" thickBot="1">
      <c r="A1" s="151" t="s">
        <v>686</v>
      </c>
      <c r="B1" s="151" t="s">
        <v>687</v>
      </c>
      <c r="C1" s="152" t="s">
        <v>688</v>
      </c>
      <c r="D1" s="153" t="s">
        <v>689</v>
      </c>
      <c r="E1" s="146" t="s">
        <v>120</v>
      </c>
      <c r="F1" s="147" t="s">
        <v>124</v>
      </c>
      <c r="G1" s="154" t="s">
        <v>125</v>
      </c>
      <c r="H1" s="378" t="s">
        <v>126</v>
      </c>
      <c r="I1" s="155" t="s">
        <v>690</v>
      </c>
      <c r="J1" s="156" t="s">
        <v>129</v>
      </c>
      <c r="K1" s="146" t="s">
        <v>103</v>
      </c>
      <c r="L1" s="148" t="s">
        <v>629</v>
      </c>
      <c r="M1" s="380" t="s">
        <v>105</v>
      </c>
      <c r="N1" s="147" t="s">
        <v>130</v>
      </c>
    </row>
    <row r="2" spans="1:14" ht="15.75" hidden="1" thickBot="1">
      <c r="A2" s="157"/>
      <c r="B2" s="157"/>
      <c r="C2" s="64"/>
      <c r="D2" s="158"/>
      <c r="E2" s="159">
        <v>24</v>
      </c>
      <c r="F2" s="160">
        <v>27</v>
      </c>
      <c r="G2" s="146">
        <v>28</v>
      </c>
      <c r="H2" s="162">
        <v>29</v>
      </c>
      <c r="I2" s="161"/>
      <c r="J2" s="147" t="str">
        <f>IFERROR(IF(Tableau3[[#This Row],[type PFI/CDD]]="Direct",0,VLOOKUP(Tableau3[[#This Row],[Clé(POD-PFI)]],Transport!G:K,5,FALSE)),"")</f>
        <v/>
      </c>
      <c r="K2" s="162"/>
      <c r="L2" s="162">
        <v>31</v>
      </c>
      <c r="M2" s="162">
        <v>32</v>
      </c>
      <c r="N2" s="160">
        <v>33</v>
      </c>
    </row>
    <row r="3" spans="1:14" ht="14.1" hidden="1" customHeight="1">
      <c r="A3" s="163" t="str">
        <f>_xlfn.CONCAT(Tableau3[[#This Row],[POD]],"-",Tableau3[[#This Row],[Code PFI]],"-",Tableau3[[#This Row],[Compte Consignee]])</f>
        <v>FRLEH-90016600-90018300</v>
      </c>
      <c r="B3" s="163" t="str">
        <f>_xlfn.CONCAT(Tableau3[[#This Row],[POD]],"-",Tableau3[[#This Row],[Code PFI]])</f>
        <v>FRLEH-90016600</v>
      </c>
      <c r="C3" s="164" t="str">
        <f>IF(Tableau3[[#This Row],[Name PFI/CDD]]="",_xlfn.CONCAT(Tableau3[[#This Row],[POD]],"-",Tableau3[[#This Row],[Compte Consignee]]),"-")</f>
        <v>-</v>
      </c>
      <c r="D3" s="165" t="str">
        <f>_xlfn.CONCAT(Tableau3[[#This Row],[Code PFI]],"-",Tableau3[[#This Row],[Compte Consignee]])</f>
        <v>90016600-90018300</v>
      </c>
      <c r="E3" s="166" t="s">
        <v>483</v>
      </c>
      <c r="F3" s="167">
        <v>3</v>
      </c>
      <c r="G3" s="168" t="s">
        <v>155</v>
      </c>
      <c r="H3" s="376">
        <f>IF(Tableau3[[#This Row],[Name PFI/CDD]]&lt;&gt;"",VLOOKUP(Tableau3[[#This Row],[Name PFI/CDD]],Plant_AILN!I:J,2,FALSE),"-")</f>
        <v>90016600</v>
      </c>
      <c r="I3" s="169" t="str">
        <f>IF(Tableau3[[#This Row],[Code PFI]]="-","Direct","PFI/CDD")</f>
        <v>PFI/CDD</v>
      </c>
      <c r="J3" s="62">
        <f>IFERROR(IF(Tableau3[[#This Row],[type PFI/CDD]]="Direct",0,VLOOKUP(Tableau3[[#This Row],[Clé(POD-PFI)]],Transport!G:K,5,FALSE)),"")</f>
        <v>2</v>
      </c>
      <c r="K3" s="4" t="str">
        <f>VLOOKUP(Tableau3[[#This Row],[Name Consignee]],Tableau10[],4,FALSE)</f>
        <v>FRANCE</v>
      </c>
      <c r="L3" s="170" t="s">
        <v>220</v>
      </c>
      <c r="M3" s="381">
        <f>VLOOKUP(Tableau3[[#This Row],[Name Consignee]],Tableau10[],3,FALSE)</f>
        <v>90018300</v>
      </c>
      <c r="N3" s="61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4" spans="1:14" ht="14.1" hidden="1" customHeight="1">
      <c r="A4" s="449" t="str">
        <f>_xlfn.CONCAT(Tableau3[[#This Row],[POD]],"-",Tableau3[[#This Row],[Code PFI]],"-",Tableau3[[#This Row],[Compte Consignee]])</f>
        <v>FRLEH-90016600-9624700</v>
      </c>
      <c r="B4" s="191" t="str">
        <f>_xlfn.CONCAT(Tableau3[[#This Row],[POD]],"-",Tableau3[[#This Row],[Code PFI]])</f>
        <v>FRLEH-90016600</v>
      </c>
      <c r="C4" s="450" t="str">
        <f>IF(Tableau3[[#This Row],[Name PFI/CDD]]="",_xlfn.CONCAT(Tableau3[[#This Row],[POD]],"-",Tableau3[[#This Row],[Compte Consignee]]),"-")</f>
        <v>-</v>
      </c>
      <c r="D4" s="451" t="str">
        <f>_xlfn.CONCAT(Tableau3[[#This Row],[Code PFI]],"-",Tableau3[[#This Row],[Compte Consignee]])</f>
        <v>90016600-9624700</v>
      </c>
      <c r="E4" s="166" t="s">
        <v>483</v>
      </c>
      <c r="F4" s="452">
        <v>3</v>
      </c>
      <c r="G4" s="168" t="s">
        <v>155</v>
      </c>
      <c r="H4" s="376">
        <f>IF(Tableau3[[#This Row],[Name PFI/CDD]]&lt;&gt;"",VLOOKUP(Tableau3[[#This Row],[Name PFI/CDD]],Plant_AILN!I:J,2,FALSE),"-")</f>
        <v>90016600</v>
      </c>
      <c r="I4" s="169" t="str">
        <f>IF(Tableau3[[#This Row],[Code PFI]]="-","Direct","PFI/CDD")</f>
        <v>PFI/CDD</v>
      </c>
      <c r="J4" s="2">
        <f>IFERROR(IF(Tableau3[[#This Row],[type PFI/CDD]]="Direct",0,VLOOKUP(Tableau3[[#This Row],[Clé(POD-PFI)]],Transport!G:K,5,FALSE)),"")</f>
        <v>2</v>
      </c>
      <c r="K4" s="468" t="s">
        <v>247</v>
      </c>
      <c r="L4" s="206" t="s">
        <v>218</v>
      </c>
      <c r="M4" s="376">
        <f>VLOOKUP(Tableau3[[#This Row],[Name Consignee]],Tableau10[],3,FALSE)</f>
        <v>9624700</v>
      </c>
      <c r="N4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5" spans="1:14" ht="14.1" hidden="1" customHeight="1">
      <c r="A5" s="163" t="str">
        <f>_xlfn.CONCAT(Tableau3[[#This Row],[POD]],"-",Tableau3[[#This Row],[Code PFI]],"-",Tableau3[[#This Row],[Compte Consignee]])</f>
        <v>FRLEH-90016600-92000100</v>
      </c>
      <c r="B5" s="163" t="str">
        <f>_xlfn.CONCAT(Tableau3[[#This Row],[POD]],"-",Tableau3[[#This Row],[Code PFI]])</f>
        <v>FRLEH-90016600</v>
      </c>
      <c r="C5" s="171" t="str">
        <f>IF(Tableau3[[#This Row],[Name PFI/CDD]]="",_xlfn.CONCAT(Tableau3[[#This Row],[POD]],"-",Tableau3[[#This Row],[Compte Consignee]]),"-")</f>
        <v>-</v>
      </c>
      <c r="D5" s="172" t="str">
        <f>_xlfn.CONCAT(Tableau3[[#This Row],[Code PFI]],"-",Tableau3[[#This Row],[Compte Consignee]])</f>
        <v>90016600-92000100</v>
      </c>
      <c r="E5" s="173" t="s">
        <v>483</v>
      </c>
      <c r="F5" s="167">
        <v>3</v>
      </c>
      <c r="G5" s="168" t="s">
        <v>155</v>
      </c>
      <c r="H5" s="376">
        <f>IF(Tableau3[[#This Row],[Name PFI/CDD]]&lt;&gt;"",VLOOKUP(Tableau3[[#This Row],[Name PFI/CDD]],Plant_AILN!I:J,2,FALSE),"-")</f>
        <v>90016600</v>
      </c>
      <c r="I5" s="169" t="str">
        <f>IF(Tableau3[[#This Row],[Code PFI]]="-","Direct","PFI/CDD")</f>
        <v>PFI/CDD</v>
      </c>
      <c r="J5" s="62">
        <f>IFERROR(IF(Tableau3[[#This Row],[type PFI/CDD]]="Direct",0,VLOOKUP(Tableau3[[#This Row],[Clé(POD-PFI)]],Transport!G:K,5,FALSE)),"")</f>
        <v>2</v>
      </c>
      <c r="K5" s="4" t="str">
        <f>VLOOKUP(Tableau3[[#This Row],[Name Consignee]],Tableau10[],4,FALSE)</f>
        <v>FRANCE</v>
      </c>
      <c r="L5" s="7" t="s">
        <v>183</v>
      </c>
      <c r="M5" s="376">
        <f>VLOOKUP(Tableau3[[#This Row],[Name Consignee]],Tableau10[],3,FALSE)</f>
        <v>92000100</v>
      </c>
      <c r="N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6" spans="1:14" ht="14.1" hidden="1" customHeight="1">
      <c r="A6" s="163" t="str">
        <f>_xlfn.CONCAT(Tableau3[[#This Row],[POD]],"-",Tableau3[[#This Row],[Code PFI]],"-",Tableau3[[#This Row],[Compte Consignee]])</f>
        <v>FRLEH-90016600-90019100</v>
      </c>
      <c r="B6" s="163" t="str">
        <f>_xlfn.CONCAT(Tableau3[[#This Row],[POD]],"-",Tableau3[[#This Row],[Code PFI]])</f>
        <v>FRLEH-90016600</v>
      </c>
      <c r="C6" s="171" t="str">
        <f>IF(Tableau3[[#This Row],[Name PFI/CDD]]="",_xlfn.CONCAT(Tableau3[[#This Row],[POD]],"-",Tableau3[[#This Row],[Compte Consignee]]),"-")</f>
        <v>-</v>
      </c>
      <c r="D6" s="172" t="str">
        <f>_xlfn.CONCAT(Tableau3[[#This Row],[Code PFI]],"-",Tableau3[[#This Row],[Compte Consignee]])</f>
        <v>90016600-90019100</v>
      </c>
      <c r="E6" s="173" t="s">
        <v>483</v>
      </c>
      <c r="F6" s="167">
        <v>3</v>
      </c>
      <c r="G6" s="168" t="s">
        <v>155</v>
      </c>
      <c r="H6" s="376">
        <f>IF(Tableau3[[#This Row],[Name PFI/CDD]]&lt;&gt;"",VLOOKUP(Tableau3[[#This Row],[Name PFI/CDD]],Plant_AILN!I:J,2,FALSE),"-")</f>
        <v>90016600</v>
      </c>
      <c r="I6" s="169" t="str">
        <f>IF(Tableau3[[#This Row],[Code PFI]]="-","Direct","PFI/CDD")</f>
        <v>PFI/CDD</v>
      </c>
      <c r="J6" s="62">
        <f>IFERROR(IF(Tableau3[[#This Row],[type PFI/CDD]]="Direct",0,VLOOKUP(Tableau3[[#This Row],[Clé(POD-PFI)]],Transport!G:K,5,FALSE)),"")</f>
        <v>2</v>
      </c>
      <c r="K6" s="4" t="str">
        <f>VLOOKUP(Tableau3[[#This Row],[Name Consignee]],Tableau10[],4,FALSE)</f>
        <v>FRANCE</v>
      </c>
      <c r="L6" s="7" t="s">
        <v>188</v>
      </c>
      <c r="M6" s="376">
        <f>VLOOKUP(Tableau3[[#This Row],[Name Consignee]],Tableau10[],3,FALSE)</f>
        <v>90019100</v>
      </c>
      <c r="N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" spans="1:14" ht="14.1" hidden="1" customHeight="1">
      <c r="A7" s="163" t="str">
        <f>_xlfn.CONCAT(Tableau3[[#This Row],[POD]],"-",Tableau3[[#This Row],[Code PFI]],"-",Tableau3[[#This Row],[Compte Consignee]])</f>
        <v>FRLEH-90016600-90015100</v>
      </c>
      <c r="B7" s="163" t="str">
        <f>_xlfn.CONCAT(Tableau3[[#This Row],[POD]],"-",Tableau3[[#This Row],[Code PFI]])</f>
        <v>FRLEH-90016600</v>
      </c>
      <c r="C7" s="171" t="str">
        <f>IF(Tableau3[[#This Row],[Name PFI/CDD]]="",_xlfn.CONCAT(Tableau3[[#This Row],[POD]],"-",Tableau3[[#This Row],[Compte Consignee]]),"-")</f>
        <v>-</v>
      </c>
      <c r="D7" s="172" t="str">
        <f>_xlfn.CONCAT(Tableau3[[#This Row],[Code PFI]],"-",Tableau3[[#This Row],[Compte Consignee]])</f>
        <v>90016600-90015100</v>
      </c>
      <c r="E7" s="173" t="s">
        <v>483</v>
      </c>
      <c r="F7" s="167">
        <v>3</v>
      </c>
      <c r="G7" s="168" t="s">
        <v>155</v>
      </c>
      <c r="H7" s="376">
        <f>IF(Tableau3[[#This Row],[Name PFI/CDD]]&lt;&gt;"",VLOOKUP(Tableau3[[#This Row],[Name PFI/CDD]],Plant_AILN!I:J,2,FALSE),"-")</f>
        <v>90016600</v>
      </c>
      <c r="I7" s="169" t="str">
        <f>IF(Tableau3[[#This Row],[Code PFI]]="-","Direct","PFI/CDD")</f>
        <v>PFI/CDD</v>
      </c>
      <c r="J7" s="62">
        <f>IFERROR(IF(Tableau3[[#This Row],[type PFI/CDD]]="Direct",0,VLOOKUP(Tableau3[[#This Row],[Clé(POD-PFI)]],Transport!G:K,5,FALSE)),"")</f>
        <v>2</v>
      </c>
      <c r="K7" s="4" t="str">
        <f>VLOOKUP(Tableau3[[#This Row],[Name Consignee]],Tableau10[],4,FALSE)</f>
        <v>FRANCE</v>
      </c>
      <c r="L7" s="7" t="s">
        <v>209</v>
      </c>
      <c r="M7" s="376">
        <f>VLOOKUP(Tableau3[[#This Row],[Name Consignee]],Tableau10[],3,FALSE)</f>
        <v>90015100</v>
      </c>
      <c r="N7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8" spans="1:14" ht="14.1" hidden="1" customHeight="1">
      <c r="A8" s="163" t="str">
        <f>_xlfn.CONCAT(Tableau3[[#This Row],[POD]],"-",Tableau3[[#This Row],[Code PFI]],"-",Tableau3[[#This Row],[Compte Consignee]])</f>
        <v>FRLEH-90016600-90016200</v>
      </c>
      <c r="B8" s="163" t="str">
        <f>_xlfn.CONCAT(Tableau3[[#This Row],[POD]],"-",Tableau3[[#This Row],[Code PFI]])</f>
        <v>FRLEH-90016600</v>
      </c>
      <c r="C8" s="171" t="str">
        <f>IF(Tableau3[[#This Row],[Name PFI/CDD]]="",_xlfn.CONCAT(Tableau3[[#This Row],[POD]],"-",Tableau3[[#This Row],[Compte Consignee]]),"-")</f>
        <v>-</v>
      </c>
      <c r="D8" s="172" t="str">
        <f>_xlfn.CONCAT(Tableau3[[#This Row],[Code PFI]],"-",Tableau3[[#This Row],[Compte Consignee]])</f>
        <v>90016600-90016200</v>
      </c>
      <c r="E8" s="173" t="s">
        <v>483</v>
      </c>
      <c r="F8" s="167">
        <v>3</v>
      </c>
      <c r="G8" s="168" t="s">
        <v>155</v>
      </c>
      <c r="H8" s="376">
        <f>IF(Tableau3[[#This Row],[Name PFI/CDD]]&lt;&gt;"",VLOOKUP(Tableau3[[#This Row],[Name PFI/CDD]],Plant_AILN!I:J,2,FALSE),"-")</f>
        <v>90016600</v>
      </c>
      <c r="I8" s="169" t="str">
        <f>IF(Tableau3[[#This Row],[Code PFI]]="-","Direct","PFI/CDD")</f>
        <v>PFI/CDD</v>
      </c>
      <c r="J8" s="62">
        <f>IFERROR(IF(Tableau3[[#This Row],[type PFI/CDD]]="Direct",0,VLOOKUP(Tableau3[[#This Row],[Clé(POD-PFI)]],Transport!G:K,5,FALSE)),"")</f>
        <v>2</v>
      </c>
      <c r="K8" s="4" t="str">
        <f>VLOOKUP(Tableau3[[#This Row],[Name Consignee]],Tableau10[],4,FALSE)</f>
        <v>FRANCE</v>
      </c>
      <c r="L8" s="7" t="s">
        <v>210</v>
      </c>
      <c r="M8" s="376">
        <f>VLOOKUP(Tableau3[[#This Row],[Name Consignee]],Tableau10[],3,FALSE)</f>
        <v>90016200</v>
      </c>
      <c r="N8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" spans="1:14" ht="14.1" hidden="1" customHeight="1">
      <c r="A9" s="163" t="str">
        <f>_xlfn.CONCAT(Tableau3[[#This Row],[POD]],"-",Tableau3[[#This Row],[Code PFI]],"-",Tableau3[[#This Row],[Compte Consignee]])</f>
        <v>FRLEH-90016600-91017200</v>
      </c>
      <c r="B9" s="163" t="str">
        <f>_xlfn.CONCAT(Tableau3[[#This Row],[POD]],"-",Tableau3[[#This Row],[Code PFI]])</f>
        <v>FRLEH-90016600</v>
      </c>
      <c r="C9" s="171" t="str">
        <f>IF(Tableau3[[#This Row],[Name PFI/CDD]]="",_xlfn.CONCAT(Tableau3[[#This Row],[POD]],"-",Tableau3[[#This Row],[Compte Consignee]]),"-")</f>
        <v>-</v>
      </c>
      <c r="D9" s="172" t="str">
        <f>_xlfn.CONCAT(Tableau3[[#This Row],[Code PFI]],"-",Tableau3[[#This Row],[Compte Consignee]])</f>
        <v>90016600-91017200</v>
      </c>
      <c r="E9" s="173" t="s">
        <v>483</v>
      </c>
      <c r="F9" s="174">
        <v>2</v>
      </c>
      <c r="G9" s="168" t="s">
        <v>155</v>
      </c>
      <c r="H9" s="376">
        <f>IF(Tableau3[[#This Row],[Name PFI/CDD]]&lt;&gt;"",VLOOKUP(Tableau3[[#This Row],[Name PFI/CDD]],Plant_AILN!I:J,2,FALSE),"-")</f>
        <v>90016600</v>
      </c>
      <c r="I9" s="169" t="str">
        <f>IF(Tableau3[[#This Row],[Code PFI]]="-","Direct","PFI/CDD")</f>
        <v>PFI/CDD</v>
      </c>
      <c r="J9" s="62">
        <f>IFERROR(IF(Tableau3[[#This Row],[type PFI/CDD]]="Direct",0,VLOOKUP(Tableau3[[#This Row],[Clé(POD-PFI)]],Transport!G:K,5,FALSE)),"")</f>
        <v>2</v>
      </c>
      <c r="K9" s="4" t="str">
        <f>VLOOKUP(Tableau3[[#This Row],[Name Consignee]],Tableau10[],4,FALSE)</f>
        <v>SPAIN</v>
      </c>
      <c r="L9" s="7" t="s">
        <v>184</v>
      </c>
      <c r="M9" s="376">
        <f>VLOOKUP(Tableau3[[#This Row],[Name Consignee]],Tableau10[],3,FALSE)</f>
        <v>91017200</v>
      </c>
      <c r="N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0" spans="1:14" ht="14.1" hidden="1" customHeight="1">
      <c r="A10" s="163" t="str">
        <f>_xlfn.CONCAT(Tableau3[[#This Row],[POD]],"-",Tableau3[[#This Row],[Code PFI]],"-",Tableau3[[#This Row],[Compte Consignee]])</f>
        <v>FRLEH-90016600-90017100</v>
      </c>
      <c r="B10" s="163" t="str">
        <f>_xlfn.CONCAT(Tableau3[[#This Row],[POD]],"-",Tableau3[[#This Row],[Code PFI]])</f>
        <v>FRLEH-90016600</v>
      </c>
      <c r="C10" s="171" t="str">
        <f>IF(Tableau3[[#This Row],[Name PFI/CDD]]="",_xlfn.CONCAT(Tableau3[[#This Row],[POD]],"-",Tableau3[[#This Row],[Compte Consignee]]),"-")</f>
        <v>-</v>
      </c>
      <c r="D10" s="172" t="str">
        <f>_xlfn.CONCAT(Tableau3[[#This Row],[Code PFI]],"-",Tableau3[[#This Row],[Compte Consignee]])</f>
        <v>90016600-90017100</v>
      </c>
      <c r="E10" s="173" t="s">
        <v>483</v>
      </c>
      <c r="F10" s="167">
        <v>3</v>
      </c>
      <c r="G10" s="168" t="s">
        <v>155</v>
      </c>
      <c r="H10" s="376">
        <f>IF(Tableau3[[#This Row],[Name PFI/CDD]]&lt;&gt;"",VLOOKUP(Tableau3[[#This Row],[Name PFI/CDD]],Plant_AILN!I:J,2,FALSE),"-")</f>
        <v>90016600</v>
      </c>
      <c r="I10" s="169" t="str">
        <f>IF(Tableau3[[#This Row],[Code PFI]]="-","Direct","PFI/CDD")</f>
        <v>PFI/CDD</v>
      </c>
      <c r="J10" s="62">
        <f>IFERROR(IF(Tableau3[[#This Row],[type PFI/CDD]]="Direct",0,VLOOKUP(Tableau3[[#This Row],[Clé(POD-PFI)]],Transport!G:K,5,FALSE)),"")</f>
        <v>2</v>
      </c>
      <c r="K10" s="4" t="str">
        <f>VLOOKUP(Tableau3[[#This Row],[Name Consignee]],Tableau10[],4,FALSE)</f>
        <v>FRANCE</v>
      </c>
      <c r="L10" s="7" t="s">
        <v>196</v>
      </c>
      <c r="M10" s="376">
        <f>VLOOKUP(Tableau3[[#This Row],[Name Consignee]],Tableau10[],3,FALSE)</f>
        <v>90017100</v>
      </c>
      <c r="N10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11" spans="1:14" ht="14.1" hidden="1" customHeight="1">
      <c r="A11" s="163" t="str">
        <f>_xlfn.CONCAT(Tableau3[[#This Row],[POD]],"-",Tableau3[[#This Row],[Code PFI]],"-",Tableau3[[#This Row],[Compte Consignee]])</f>
        <v>FRLEH-90016600-91017500</v>
      </c>
      <c r="B11" s="163" t="str">
        <f>_xlfn.CONCAT(Tableau3[[#This Row],[POD]],"-",Tableau3[[#This Row],[Code PFI]])</f>
        <v>FRLEH-90016600</v>
      </c>
      <c r="C11" s="171" t="str">
        <f>IF(Tableau3[[#This Row],[Name PFI/CDD]]="",_xlfn.CONCAT(Tableau3[[#This Row],[POD]],"-",Tableau3[[#This Row],[Compte Consignee]]),"-")</f>
        <v>-</v>
      </c>
      <c r="D11" s="172" t="str">
        <f>_xlfn.CONCAT(Tableau3[[#This Row],[Code PFI]],"-",Tableau3[[#This Row],[Compte Consignee]])</f>
        <v>90016600-91017500</v>
      </c>
      <c r="E11" s="173" t="s">
        <v>483</v>
      </c>
      <c r="F11" s="174">
        <v>5</v>
      </c>
      <c r="G11" s="168" t="s">
        <v>155</v>
      </c>
      <c r="H11" s="376">
        <f>IF(Tableau3[[#This Row],[Name PFI/CDD]]&lt;&gt;"",VLOOKUP(Tableau3[[#This Row],[Name PFI/CDD]],Plant_AILN!I:J,2,FALSE),"-")</f>
        <v>90016600</v>
      </c>
      <c r="I11" s="169" t="str">
        <f>IF(Tableau3[[#This Row],[Code PFI]]="-","Direct","PFI/CDD")</f>
        <v>PFI/CDD</v>
      </c>
      <c r="J11" s="62">
        <f>IFERROR(IF(Tableau3[[#This Row],[type PFI/CDD]]="Direct",0,VLOOKUP(Tableau3[[#This Row],[Clé(POD-PFI)]],Transport!G:K,5,FALSE)),"")</f>
        <v>2</v>
      </c>
      <c r="K11" s="4" t="str">
        <f>VLOOKUP(Tableau3[[#This Row],[Name Consignee]],Tableau10[],4,FALSE)</f>
        <v>SPAIN</v>
      </c>
      <c r="L11" s="7" t="s">
        <v>172</v>
      </c>
      <c r="M11" s="376">
        <f>VLOOKUP(Tableau3[[#This Row],[Name Consignee]],Tableau10[],3,FALSE)</f>
        <v>91017500</v>
      </c>
      <c r="N11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2" spans="1:14" ht="14.1" hidden="1" customHeight="1">
      <c r="A12" s="163" t="str">
        <f>_xlfn.CONCAT(Tableau3[[#This Row],[POD]],"-",Tableau3[[#This Row],[Code PFI]],"-",Tableau3[[#This Row],[Compte Consignee]])</f>
        <v>FRLEH-90016600-90016900</v>
      </c>
      <c r="B12" s="163" t="str">
        <f>_xlfn.CONCAT(Tableau3[[#This Row],[POD]],"-",Tableau3[[#This Row],[Code PFI]])</f>
        <v>FRLEH-90016600</v>
      </c>
      <c r="C12" s="171" t="str">
        <f>IF(Tableau3[[#This Row],[Name PFI/CDD]]="",_xlfn.CONCAT(Tableau3[[#This Row],[POD]],"-",Tableau3[[#This Row],[Compte Consignee]]),"-")</f>
        <v>-</v>
      </c>
      <c r="D12" s="172" t="str">
        <f>_xlfn.CONCAT(Tableau3[[#This Row],[Code PFI]],"-",Tableau3[[#This Row],[Compte Consignee]])</f>
        <v>90016600-90016900</v>
      </c>
      <c r="E12" s="173" t="s">
        <v>483</v>
      </c>
      <c r="F12" s="167">
        <v>3</v>
      </c>
      <c r="G12" s="168" t="s">
        <v>155</v>
      </c>
      <c r="H12" s="376">
        <f>IF(Tableau3[[#This Row],[Name PFI/CDD]]&lt;&gt;"",VLOOKUP(Tableau3[[#This Row],[Name PFI/CDD]],Plant_AILN!I:J,2,FALSE),"-")</f>
        <v>90016600</v>
      </c>
      <c r="I12" s="169" t="str">
        <f>IF(Tableau3[[#This Row],[Code PFI]]="-","Direct","PFI/CDD")</f>
        <v>PFI/CDD</v>
      </c>
      <c r="J12" s="62">
        <f>IFERROR(IF(Tableau3[[#This Row],[type PFI/CDD]]="Direct",0,VLOOKUP(Tableau3[[#This Row],[Clé(POD-PFI)]],Transport!G:K,5,FALSE)),"")</f>
        <v>2</v>
      </c>
      <c r="K12" s="4" t="str">
        <f>VLOOKUP(Tableau3[[#This Row],[Name Consignee]],Tableau10[],4,FALSE)</f>
        <v>FRANCE</v>
      </c>
      <c r="L12" s="7" t="s">
        <v>154</v>
      </c>
      <c r="M12" s="376">
        <f>VLOOKUP(Tableau3[[#This Row],[Name Consignee]],Tableau10[],3,FALSE)</f>
        <v>90016900</v>
      </c>
      <c r="N12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13" spans="1:14" ht="14.1" hidden="1" customHeight="1">
      <c r="A13" s="163" t="str">
        <f>_xlfn.CONCAT(Tableau3[[#This Row],[POD]],"-",Tableau3[[#This Row],[Code PFI]],"-",Tableau3[[#This Row],[Compte Consignee]])</f>
        <v>FRLEH-90016600-90018400</v>
      </c>
      <c r="B13" s="163" t="str">
        <f>_xlfn.CONCAT(Tableau3[[#This Row],[POD]],"-",Tableau3[[#This Row],[Code PFI]])</f>
        <v>FRLEH-90016600</v>
      </c>
      <c r="C13" s="171" t="str">
        <f>IF(Tableau3[[#This Row],[Name PFI/CDD]]="",_xlfn.CONCAT(Tableau3[[#This Row],[POD]],"-",Tableau3[[#This Row],[Compte Consignee]]),"-")</f>
        <v>-</v>
      </c>
      <c r="D13" s="172" t="str">
        <f>_xlfn.CONCAT(Tableau3[[#This Row],[Code PFI]],"-",Tableau3[[#This Row],[Compte Consignee]])</f>
        <v>90016600-90018400</v>
      </c>
      <c r="E13" s="173" t="s">
        <v>483</v>
      </c>
      <c r="F13" s="167">
        <v>3</v>
      </c>
      <c r="G13" s="168" t="s">
        <v>155</v>
      </c>
      <c r="H13" s="376">
        <f>IF(Tableau3[[#This Row],[Name PFI/CDD]]&lt;&gt;"",VLOOKUP(Tableau3[[#This Row],[Name PFI/CDD]],Plant_AILN!I:J,2,FALSE),"-")</f>
        <v>90016600</v>
      </c>
      <c r="I13" s="169" t="str">
        <f>IF(Tableau3[[#This Row],[Code PFI]]="-","Direct","PFI/CDD")</f>
        <v>PFI/CDD</v>
      </c>
      <c r="J13" s="62">
        <f>IFERROR(IF(Tableau3[[#This Row],[type PFI/CDD]]="Direct",0,VLOOKUP(Tableau3[[#This Row],[Clé(POD-PFI)]],Transport!G:K,5,FALSE)),"")</f>
        <v>2</v>
      </c>
      <c r="K13" s="4" t="str">
        <f>VLOOKUP(Tableau3[[#This Row],[Name Consignee]],Tableau10[],4,FALSE)</f>
        <v>FRANCE</v>
      </c>
      <c r="L13" s="7" t="s">
        <v>219</v>
      </c>
      <c r="M13" s="376">
        <f>VLOOKUP(Tableau3[[#This Row],[Name Consignee]],Tableau10[],3,FALSE)</f>
        <v>90018400</v>
      </c>
      <c r="N13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4" spans="1:14" ht="14.1" hidden="1" customHeight="1">
      <c r="A14" s="163" t="str">
        <f>_xlfn.CONCAT(Tableau3[[#This Row],[POD]],"-",Tableau3[[#This Row],[Code PFI]],"-",Tableau3[[#This Row],[Compte Consignee]])</f>
        <v>FRLEH-90016600-91017300</v>
      </c>
      <c r="B14" s="163" t="str">
        <f>_xlfn.CONCAT(Tableau3[[#This Row],[POD]],"-",Tableau3[[#This Row],[Code PFI]])</f>
        <v>FRLEH-90016600</v>
      </c>
      <c r="C14" s="171" t="str">
        <f>IF(Tableau3[[#This Row],[Name PFI/CDD]]="",_xlfn.CONCAT(Tableau3[[#This Row],[POD]],"-",Tableau3[[#This Row],[Compte Consignee]]),"-")</f>
        <v>-</v>
      </c>
      <c r="D14" s="172" t="str">
        <f>_xlfn.CONCAT(Tableau3[[#This Row],[Code PFI]],"-",Tableau3[[#This Row],[Compte Consignee]])</f>
        <v>90016600-91017300</v>
      </c>
      <c r="E14" s="173" t="s">
        <v>483</v>
      </c>
      <c r="F14" s="174">
        <v>2</v>
      </c>
      <c r="G14" s="168" t="s">
        <v>155</v>
      </c>
      <c r="H14" s="376">
        <f>IF(Tableau3[[#This Row],[Name PFI/CDD]]&lt;&gt;"",VLOOKUP(Tableau3[[#This Row],[Name PFI/CDD]],Plant_AILN!I:J,2,FALSE),"-")</f>
        <v>90016600</v>
      </c>
      <c r="I14" s="169" t="str">
        <f>IF(Tableau3[[#This Row],[Code PFI]]="-","Direct","PFI/CDD")</f>
        <v>PFI/CDD</v>
      </c>
      <c r="J14" s="62">
        <f>IFERROR(IF(Tableau3[[#This Row],[type PFI/CDD]]="Direct",0,VLOOKUP(Tableau3[[#This Row],[Clé(POD-PFI)]],Transport!G:K,5,FALSE)),"")</f>
        <v>2</v>
      </c>
      <c r="K14" s="4" t="str">
        <f>VLOOKUP(Tableau3[[#This Row],[Name Consignee]],Tableau10[],4,FALSE)</f>
        <v>SPAIN</v>
      </c>
      <c r="L14" s="7" t="s">
        <v>175</v>
      </c>
      <c r="M14" s="376">
        <f>VLOOKUP(Tableau3[[#This Row],[Name Consignee]],Tableau10[],3,FALSE)</f>
        <v>91017300</v>
      </c>
      <c r="N14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5" spans="1:14" ht="14.1" hidden="1" customHeight="1">
      <c r="A15" s="163" t="str">
        <f>_xlfn.CONCAT(Tableau3[[#This Row],[POD]],"-",Tableau3[[#This Row],[Code PFI]],"-",Tableau3[[#This Row],[Compte Consignee]])</f>
        <v>ESVLC-91018400-91017300</v>
      </c>
      <c r="B15" s="163" t="str">
        <f>_xlfn.CONCAT(Tableau3[[#This Row],[POD]],"-",Tableau3[[#This Row],[Code PFI]])</f>
        <v>ESVLC-91018400</v>
      </c>
      <c r="C15" s="175" t="str">
        <f>IF(Tableau3[[#This Row],[Name PFI/CDD]]="",_xlfn.CONCAT(Tableau3[[#This Row],[POD]],"-",Tableau3[[#This Row],[Compte Consignee]]),"-")</f>
        <v>-</v>
      </c>
      <c r="D15" s="172" t="str">
        <f>_xlfn.CONCAT(Tableau3[[#This Row],[Code PFI]],"-",Tableau3[[#This Row],[Compte Consignee]])</f>
        <v>91018400-91017300</v>
      </c>
      <c r="E15" s="173" t="s">
        <v>519</v>
      </c>
      <c r="F15" s="174">
        <v>2</v>
      </c>
      <c r="G15" s="168" t="s">
        <v>169</v>
      </c>
      <c r="H15" s="376">
        <f>IF(Tableau3[[#This Row],[Name PFI/CDD]]&lt;&gt;"",VLOOKUP(Tableau3[[#This Row],[Name PFI/CDD]],Plant_AILN!I:J,2,FALSE),"-")</f>
        <v>91018400</v>
      </c>
      <c r="I15" s="169" t="str">
        <f>IF(Tableau3[[#This Row],[Code PFI]]="-","Direct","PFI/CDD")</f>
        <v>PFI/CDD</v>
      </c>
      <c r="J15" s="62">
        <f>IFERROR(IF(Tableau3[[#This Row],[type PFI/CDD]]="Direct",0,VLOOKUP(Tableau3[[#This Row],[Clé(POD-PFI)]],Transport!G:K,5,FALSE)),"")</f>
        <v>3</v>
      </c>
      <c r="K15" s="4" t="str">
        <f>VLOOKUP(Tableau3[[#This Row],[Name Consignee]],Tableau10[],4,FALSE)</f>
        <v>SPAIN</v>
      </c>
      <c r="L15" s="7" t="s">
        <v>175</v>
      </c>
      <c r="M15" s="376">
        <f>VLOOKUP(Tableau3[[#This Row],[Name Consignee]],Tableau10[],3,FALSE)</f>
        <v>91017300</v>
      </c>
      <c r="N15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16" spans="1:14" ht="14.1" hidden="1" customHeight="1">
      <c r="A16" s="163" t="str">
        <f>_xlfn.CONCAT(Tableau3[[#This Row],[POD]],"-",Tableau3[[#This Row],[Code PFI]],"-",Tableau3[[#This Row],[Compte Consignee]])</f>
        <v>ROCND-2839004-90012500</v>
      </c>
      <c r="B16" s="163" t="str">
        <f>_xlfn.CONCAT(Tableau3[[#This Row],[POD]],"-",Tableau3[[#This Row],[Code PFI]])</f>
        <v>ROCND-2839004</v>
      </c>
      <c r="C16" s="176" t="str">
        <f>IF(Tableau3[[#This Row],[Name PFI/CDD]]="",_xlfn.CONCAT(Tableau3[[#This Row],[POD]],"-",Tableau3[[#This Row],[Compte Consignee]]),"-")</f>
        <v>-</v>
      </c>
      <c r="D16" s="177" t="str">
        <f>_xlfn.CONCAT(Tableau3[[#This Row],[Code PFI]],"-",Tableau3[[#This Row],[Compte Consignee]])</f>
        <v>2839004-90012500</v>
      </c>
      <c r="E16" s="178" t="s">
        <v>547</v>
      </c>
      <c r="F16" s="179">
        <v>1</v>
      </c>
      <c r="G16" s="180" t="s">
        <v>164</v>
      </c>
      <c r="H16" s="379">
        <f>IF(Tableau3[[#This Row],[Name PFI/CDD]]&lt;&gt;"",VLOOKUP(Tableau3[[#This Row],[Name PFI/CDD]],Plant_AILN!I:J,2,FALSE),"-")</f>
        <v>2839004</v>
      </c>
      <c r="I16" s="169" t="str">
        <f>IF(Tableau3[[#This Row],[Code PFI]]="-","Direct","PFI/CDD")</f>
        <v>PFI/CDD</v>
      </c>
      <c r="J16" s="62">
        <f>IFERROR(IF(Tableau3[[#This Row],[type PFI/CDD]]="Direct",0,VLOOKUP(Tableau3[[#This Row],[Clé(POD-PFI)]],Transport!G:K,5,FALSE)),"")</f>
        <v>7</v>
      </c>
      <c r="K16" s="4" t="str">
        <f>VLOOKUP(Tableau3[[#This Row],[Name Consignee]],Tableau10[],4,FALSE)</f>
        <v>ROMANIA</v>
      </c>
      <c r="L16" s="182" t="s">
        <v>162</v>
      </c>
      <c r="M16" s="379">
        <f>VLOOKUP(Tableau3[[#This Row],[Name Consignee]],Tableau10[],3,FALSE)</f>
        <v>90012500</v>
      </c>
      <c r="N16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7" spans="1:14" ht="14.1" hidden="1" customHeight="1">
      <c r="A17" s="163" t="str">
        <f>_xlfn.CONCAT(Tableau3[[#This Row],[POD]],"-",Tableau3[[#This Row],[Code PFI]],"-",Tableau3[[#This Row],[Compte Consignee]])</f>
        <v>ROCND-2839004-90012300</v>
      </c>
      <c r="B17" s="163" t="str">
        <f>_xlfn.CONCAT(Tableau3[[#This Row],[POD]],"-",Tableau3[[#This Row],[Code PFI]])</f>
        <v>ROCND-2839004</v>
      </c>
      <c r="C17" s="176" t="str">
        <f>IF(Tableau3[[#This Row],[Name PFI/CDD]]="",_xlfn.CONCAT(Tableau3[[#This Row],[POD]],"-",Tableau3[[#This Row],[Compte Consignee]]),"-")</f>
        <v>-</v>
      </c>
      <c r="D17" s="177" t="str">
        <f>_xlfn.CONCAT(Tableau3[[#This Row],[Code PFI]],"-",Tableau3[[#This Row],[Compte Consignee]])</f>
        <v>2839004-90012300</v>
      </c>
      <c r="E17" s="178" t="s">
        <v>547</v>
      </c>
      <c r="F17" s="179">
        <v>1</v>
      </c>
      <c r="G17" s="180" t="s">
        <v>164</v>
      </c>
      <c r="H17" s="379">
        <f>IF(Tableau3[[#This Row],[Name PFI/CDD]]&lt;&gt;"",VLOOKUP(Tableau3[[#This Row],[Name PFI/CDD]],Plant_AILN!I:J,2,FALSE),"-")</f>
        <v>2839004</v>
      </c>
      <c r="I17" s="169" t="str">
        <f>IF(Tableau3[[#This Row],[Code PFI]]="-","Direct","PFI/CDD")</f>
        <v>PFI/CDD</v>
      </c>
      <c r="J17" s="62">
        <f>IFERROR(IF(Tableau3[[#This Row],[type PFI/CDD]]="Direct",0,VLOOKUP(Tableau3[[#This Row],[Clé(POD-PFI)]],Transport!G:K,5,FALSE)),"")</f>
        <v>7</v>
      </c>
      <c r="K17" s="4" t="str">
        <f>VLOOKUP(Tableau3[[#This Row],[Name Consignee]],Tableau10[],4,FALSE)</f>
        <v>ROMANIA</v>
      </c>
      <c r="L17" s="182" t="s">
        <v>212</v>
      </c>
      <c r="M17" s="379">
        <f>VLOOKUP(Tableau3[[#This Row],[Name Consignee]],Tableau10[],3,FALSE)</f>
        <v>90012300</v>
      </c>
      <c r="N17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8" spans="1:14" ht="14.1" hidden="1" customHeight="1">
      <c r="A18" s="163" t="str">
        <f>_xlfn.CONCAT(Tableau3[[#This Row],[POD]],"-",Tableau3[[#This Row],[Code PFI]],"-",Tableau3[[#This Row],[Compte Consignee]])</f>
        <v>ROCND-2839004-90016800</v>
      </c>
      <c r="B18" s="163" t="str">
        <f>_xlfn.CONCAT(Tableau3[[#This Row],[POD]],"-",Tableau3[[#This Row],[Code PFI]])</f>
        <v>ROCND-2839004</v>
      </c>
      <c r="C18" s="176" t="str">
        <f>IF(Tableau3[[#This Row],[Name PFI/CDD]]="",_xlfn.CONCAT(Tableau3[[#This Row],[POD]],"-",Tableau3[[#This Row],[Compte Consignee]]),"-")</f>
        <v>-</v>
      </c>
      <c r="D18" s="177" t="str">
        <f>_xlfn.CONCAT(Tableau3[[#This Row],[Code PFI]],"-",Tableau3[[#This Row],[Compte Consignee]])</f>
        <v>2839004-90016800</v>
      </c>
      <c r="E18" s="178" t="s">
        <v>547</v>
      </c>
      <c r="F18" s="179">
        <v>1</v>
      </c>
      <c r="G18" s="180" t="s">
        <v>164</v>
      </c>
      <c r="H18" s="379">
        <f>IF(Tableau3[[#This Row],[Name PFI/CDD]]&lt;&gt;"",VLOOKUP(Tableau3[[#This Row],[Name PFI/CDD]],Plant_AILN!I:J,2,FALSE),"-")</f>
        <v>2839004</v>
      </c>
      <c r="I18" s="169" t="str">
        <f>IF(Tableau3[[#This Row],[Code PFI]]="-","Direct","PFI/CDD")</f>
        <v>PFI/CDD</v>
      </c>
      <c r="J18" s="62">
        <f>IFERROR(IF(Tableau3[[#This Row],[type PFI/CDD]]="Direct",0,VLOOKUP(Tableau3[[#This Row],[Clé(POD-PFI)]],Transport!G:K,5,FALSE)),"")</f>
        <v>7</v>
      </c>
      <c r="K18" s="4" t="str">
        <f>VLOOKUP(Tableau3[[#This Row],[Name Consignee]],Tableau10[],4,FALSE)</f>
        <v>ROMANIA</v>
      </c>
      <c r="L18" s="181" t="s">
        <v>185</v>
      </c>
      <c r="M18" s="379">
        <f>VLOOKUP(Tableau3[[#This Row],[Name Consignee]],Tableau10[],3,FALSE)</f>
        <v>90016800</v>
      </c>
      <c r="N18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9" spans="1:14" ht="14.1" hidden="1" customHeight="1">
      <c r="A19" s="163" t="str">
        <f>_xlfn.CONCAT(Tableau3[[#This Row],[POD]],"-",Tableau3[[#This Row],[Code PFI]],"-",Tableau3[[#This Row],[Compte Consignee]])</f>
        <v>FRLEH-90016600-90018300</v>
      </c>
      <c r="B19" s="163" t="str">
        <f>_xlfn.CONCAT(Tableau3[[#This Row],[POD]],"-",Tableau3[[#This Row],[Code PFI]])</f>
        <v>FRLEH-90016600</v>
      </c>
      <c r="C19" s="175" t="str">
        <f>IF(Tableau3[[#This Row],[Name PFI/CDD]]="",_xlfn.CONCAT(Tableau3[[#This Row],[POD]],"-",Tableau3[[#This Row],[Compte Consignee]]),"-")</f>
        <v>-</v>
      </c>
      <c r="D19" s="172" t="str">
        <f>_xlfn.CONCAT(Tableau3[[#This Row],[Code PFI]],"-",Tableau3[[#This Row],[Compte Consignee]])</f>
        <v>90016600-90018300</v>
      </c>
      <c r="E19" s="173" t="s">
        <v>483</v>
      </c>
      <c r="F19" s="167">
        <v>3</v>
      </c>
      <c r="G19" s="168" t="s">
        <v>270</v>
      </c>
      <c r="H19" s="376">
        <f>IF(Tableau3[[#This Row],[Name PFI/CDD]]&lt;&gt;"",VLOOKUP(Tableau3[[#This Row],[Name PFI/CDD]],Plant_AILN!I:J,2,FALSE),"-")</f>
        <v>90016600</v>
      </c>
      <c r="I19" s="169" t="str">
        <f>IF(Tableau3[[#This Row],[Code PFI]]="-","Direct","PFI/CDD")</f>
        <v>PFI/CDD</v>
      </c>
      <c r="J19" s="62">
        <f>IFERROR(IF(Tableau3[[#This Row],[type PFI/CDD]]="Direct",0,VLOOKUP(Tableau3[[#This Row],[Clé(POD-PFI)]],Transport!G:K,5,FALSE)),"")</f>
        <v>2</v>
      </c>
      <c r="K19" s="4" t="str">
        <f>VLOOKUP(Tableau3[[#This Row],[Name Consignee]],Tableau10[],4,FALSE)</f>
        <v>FRANCE</v>
      </c>
      <c r="L19" s="7" t="s">
        <v>220</v>
      </c>
      <c r="M19" s="376">
        <f>VLOOKUP(Tableau3[[#This Row],[Name Consignee]],Tableau10[],3,FALSE)</f>
        <v>90018300</v>
      </c>
      <c r="N1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0" spans="1:14" ht="14.1" hidden="1" customHeight="1">
      <c r="A20" s="163" t="str">
        <f>_xlfn.CONCAT(Tableau3[[#This Row],[POD]],"-",Tableau3[[#This Row],[Code PFI]],"-",Tableau3[[#This Row],[Compte Consignee]])</f>
        <v>FRLEH-90016600-90016500</v>
      </c>
      <c r="B20" s="163" t="str">
        <f>_xlfn.CONCAT(Tableau3[[#This Row],[POD]],"-",Tableau3[[#This Row],[Code PFI]])</f>
        <v>FRLEH-90016600</v>
      </c>
      <c r="C20" s="171" t="str">
        <f>IF(Tableau3[[#This Row],[Name PFI/CDD]]="",_xlfn.CONCAT(Tableau3[[#This Row],[POD]],"-",Tableau3[[#This Row],[Compte Consignee]]),"-")</f>
        <v>-</v>
      </c>
      <c r="D20" s="172" t="str">
        <f>_xlfn.CONCAT(Tableau3[[#This Row],[Code PFI]],"-",Tableau3[[#This Row],[Compte Consignee]])</f>
        <v>90016600-90016500</v>
      </c>
      <c r="E20" s="173" t="s">
        <v>483</v>
      </c>
      <c r="F20" s="174">
        <v>3</v>
      </c>
      <c r="G20" s="168" t="s">
        <v>270</v>
      </c>
      <c r="H20" s="376">
        <f>IF(Tableau3[[#This Row],[Name PFI/CDD]]&lt;&gt;"",VLOOKUP(Tableau3[[#This Row],[Name PFI/CDD]],Plant_AILN!I:J,2,FALSE),"-")</f>
        <v>90016600</v>
      </c>
      <c r="I20" s="169" t="str">
        <f>IF(Tableau3[[#This Row],[Code PFI]]="-","Direct","PFI/CDD")</f>
        <v>PFI/CDD</v>
      </c>
      <c r="J20" s="62">
        <f>IFERROR(IF(Tableau3[[#This Row],[type PFI/CDD]]="Direct",0,VLOOKUP(Tableau3[[#This Row],[Clé(POD-PFI)]],Transport!G:K,5,FALSE)),"")</f>
        <v>2</v>
      </c>
      <c r="K20" s="4" t="str">
        <f>VLOOKUP(Tableau3[[#This Row],[Name Consignee]],Tableau10[],4,FALSE)</f>
        <v>PORTUGAL</v>
      </c>
      <c r="L20" s="7" t="s">
        <v>170</v>
      </c>
      <c r="M20" s="376">
        <f>VLOOKUP(Tableau3[[#This Row],[Name Consignee]],Tableau10[],3,FALSE)</f>
        <v>90016500</v>
      </c>
      <c r="N20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21" spans="1:14" ht="14.1" hidden="1" customHeight="1">
      <c r="A21" s="163" t="str">
        <f>_xlfn.CONCAT(Tableau3[[#This Row],[POD]],"-",Tableau3[[#This Row],[Code PFI]],"-",Tableau3[[#This Row],[Compte Consignee]])</f>
        <v>FRLEH-90016600-92000100</v>
      </c>
      <c r="B21" s="163" t="str">
        <f>_xlfn.CONCAT(Tableau3[[#This Row],[POD]],"-",Tableau3[[#This Row],[Code PFI]])</f>
        <v>FRLEH-90016600</v>
      </c>
      <c r="C21" s="171" t="str">
        <f>IF(Tableau3[[#This Row],[Name PFI/CDD]]="",_xlfn.CONCAT(Tableau3[[#This Row],[POD]],"-",Tableau3[[#This Row],[Compte Consignee]]),"-")</f>
        <v>-</v>
      </c>
      <c r="D21" s="172" t="str">
        <f>_xlfn.CONCAT(Tableau3[[#This Row],[Code PFI]],"-",Tableau3[[#This Row],[Compte Consignee]])</f>
        <v>90016600-92000100</v>
      </c>
      <c r="E21" s="173" t="s">
        <v>483</v>
      </c>
      <c r="F21" s="167">
        <v>3</v>
      </c>
      <c r="G21" s="168" t="s">
        <v>270</v>
      </c>
      <c r="H21" s="376">
        <f>IF(Tableau3[[#This Row],[Name PFI/CDD]]&lt;&gt;"",VLOOKUP(Tableau3[[#This Row],[Name PFI/CDD]],Plant_AILN!I:J,2,FALSE),"-")</f>
        <v>90016600</v>
      </c>
      <c r="I21" s="169" t="str">
        <f>IF(Tableau3[[#This Row],[Code PFI]]="-","Direct","PFI/CDD")</f>
        <v>PFI/CDD</v>
      </c>
      <c r="J21" s="62">
        <f>IFERROR(IF(Tableau3[[#This Row],[type PFI/CDD]]="Direct",0,VLOOKUP(Tableau3[[#This Row],[Clé(POD-PFI)]],Transport!G:K,5,FALSE)),"")</f>
        <v>2</v>
      </c>
      <c r="K21" s="4" t="str">
        <f>VLOOKUP(Tableau3[[#This Row],[Name Consignee]],Tableau10[],4,FALSE)</f>
        <v>FRANCE</v>
      </c>
      <c r="L21" s="7" t="s">
        <v>183</v>
      </c>
      <c r="M21" s="376">
        <f>VLOOKUP(Tableau3[[#This Row],[Name Consignee]],Tableau10[],3,FALSE)</f>
        <v>92000100</v>
      </c>
      <c r="N21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22" spans="1:14" ht="14.1" hidden="1" customHeight="1">
      <c r="A22" s="163" t="str">
        <f>_xlfn.CONCAT(Tableau3[[#This Row],[POD]],"-",Tableau3[[#This Row],[Code PFI]],"-",Tableau3[[#This Row],[Compte Consignee]])</f>
        <v>FRLEH-90016600-90015100</v>
      </c>
      <c r="B22" s="163" t="str">
        <f>_xlfn.CONCAT(Tableau3[[#This Row],[POD]],"-",Tableau3[[#This Row],[Code PFI]])</f>
        <v>FRLEH-90016600</v>
      </c>
      <c r="C22" s="171" t="str">
        <f>IF(Tableau3[[#This Row],[Name PFI/CDD]]="",_xlfn.CONCAT(Tableau3[[#This Row],[POD]],"-",Tableau3[[#This Row],[Compte Consignee]]),"-")</f>
        <v>-</v>
      </c>
      <c r="D22" s="172" t="str">
        <f>_xlfn.CONCAT(Tableau3[[#This Row],[Code PFI]],"-",Tableau3[[#This Row],[Compte Consignee]])</f>
        <v>90016600-90015100</v>
      </c>
      <c r="E22" s="173" t="s">
        <v>483</v>
      </c>
      <c r="F22" s="167">
        <v>3</v>
      </c>
      <c r="G22" s="168" t="s">
        <v>270</v>
      </c>
      <c r="H22" s="376">
        <f>IF(Tableau3[[#This Row],[Name PFI/CDD]]&lt;&gt;"",VLOOKUP(Tableau3[[#This Row],[Name PFI/CDD]],Plant_AILN!I:J,2,FALSE),"-")</f>
        <v>90016600</v>
      </c>
      <c r="I22" s="169" t="str">
        <f>IF(Tableau3[[#This Row],[Code PFI]]="-","Direct","PFI/CDD")</f>
        <v>PFI/CDD</v>
      </c>
      <c r="J22" s="62">
        <f>IFERROR(IF(Tableau3[[#This Row],[type PFI/CDD]]="Direct",0,VLOOKUP(Tableau3[[#This Row],[Clé(POD-PFI)]],Transport!G:K,5,FALSE)),"")</f>
        <v>2</v>
      </c>
      <c r="K22" s="4" t="str">
        <f>VLOOKUP(Tableau3[[#This Row],[Name Consignee]],Tableau10[],4,FALSE)</f>
        <v>FRANCE</v>
      </c>
      <c r="L22" s="7" t="s">
        <v>209</v>
      </c>
      <c r="M22" s="376">
        <f>VLOOKUP(Tableau3[[#This Row],[Name Consignee]],Tableau10[],3,FALSE)</f>
        <v>90015100</v>
      </c>
      <c r="N2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23" spans="1:14" ht="14.1" hidden="1" customHeight="1">
      <c r="A23" s="163" t="str">
        <f>_xlfn.CONCAT(Tableau3[[#This Row],[POD]],"-",Tableau3[[#This Row],[Code PFI]],"-",Tableau3[[#This Row],[Compte Consignee]])</f>
        <v>FRLEH-90016600-90017000</v>
      </c>
      <c r="B23" s="163" t="str">
        <f>_xlfn.CONCAT(Tableau3[[#This Row],[POD]],"-",Tableau3[[#This Row],[Code PFI]])</f>
        <v>FRLEH-90016600</v>
      </c>
      <c r="C23" s="171" t="str">
        <f>IF(Tableau3[[#This Row],[Name PFI/CDD]]="",_xlfn.CONCAT(Tableau3[[#This Row],[POD]],"-",Tableau3[[#This Row],[Compte Consignee]]),"-")</f>
        <v>-</v>
      </c>
      <c r="D23" s="172" t="str">
        <f>_xlfn.CONCAT(Tableau3[[#This Row],[Code PFI]],"-",Tableau3[[#This Row],[Compte Consignee]])</f>
        <v>90016600-90017000</v>
      </c>
      <c r="E23" s="173" t="s">
        <v>483</v>
      </c>
      <c r="F23" s="174">
        <v>4</v>
      </c>
      <c r="G23" s="168" t="s">
        <v>270</v>
      </c>
      <c r="H23" s="376">
        <f>IF(Tableau3[[#This Row],[Name PFI/CDD]]&lt;&gt;"",VLOOKUP(Tableau3[[#This Row],[Name PFI/CDD]],Plant_AILN!I:J,2,FALSE),"-")</f>
        <v>90016600</v>
      </c>
      <c r="I23" s="169" t="str">
        <f>IF(Tableau3[[#This Row],[Code PFI]]="-","Direct","PFI/CDD")</f>
        <v>PFI/CDD</v>
      </c>
      <c r="J23" s="62">
        <f>IFERROR(IF(Tableau3[[#This Row],[type PFI/CDD]]="Direct",0,VLOOKUP(Tableau3[[#This Row],[Clé(POD-PFI)]],Transport!G:K,5,FALSE)),"")</f>
        <v>2</v>
      </c>
      <c r="K23" s="4" t="str">
        <f>VLOOKUP(Tableau3[[#This Row],[Name Consignee]],Tableau10[],4,FALSE)</f>
        <v>TURKEY</v>
      </c>
      <c r="L23" s="7" t="s">
        <v>173</v>
      </c>
      <c r="M23" s="376">
        <f>VLOOKUP(Tableau3[[#This Row],[Name Consignee]],Tableau10[],3,FALSE)</f>
        <v>90017000</v>
      </c>
      <c r="N23" s="3">
        <f>IFERROR(IF(Tableau3[[#This Row],[type PFI/CDD]]="Direct",VLOOKUP(Tableau3[[#This Row],[Clé(POD-Compte site )]],Transport!A:E,5,FALSE),VLOOKUP(Tableau3[[#This Row],[Clé(PFI-site)]],Transport!M:S,7,FALSE)),"No information")</f>
        <v>10</v>
      </c>
    </row>
    <row r="24" spans="1:14" ht="14.1" hidden="1" customHeight="1">
      <c r="A24" s="163" t="str">
        <f>_xlfn.CONCAT(Tableau3[[#This Row],[POD]],"-",Tableau3[[#This Row],[Code PFI]],"-",Tableau3[[#This Row],[Compte Consignee]])</f>
        <v>FRLEH-90016600-90016700</v>
      </c>
      <c r="B24" s="163" t="str">
        <f>_xlfn.CONCAT(Tableau3[[#This Row],[POD]],"-",Tableau3[[#This Row],[Code PFI]])</f>
        <v>FRLEH-90016600</v>
      </c>
      <c r="C24" s="171" t="str">
        <f>IF(Tableau3[[#This Row],[Name PFI/CDD]]="",_xlfn.CONCAT(Tableau3[[#This Row],[POD]],"-",Tableau3[[#This Row],[Compte Consignee]]),"-")</f>
        <v>-</v>
      </c>
      <c r="D24" s="172" t="str">
        <f>_xlfn.CONCAT(Tableau3[[#This Row],[Code PFI]],"-",Tableau3[[#This Row],[Compte Consignee]])</f>
        <v>90016600-90016700</v>
      </c>
      <c r="E24" s="173" t="s">
        <v>483</v>
      </c>
      <c r="F24" s="174">
        <v>1</v>
      </c>
      <c r="G24" s="168" t="s">
        <v>270</v>
      </c>
      <c r="H24" s="376">
        <f>IF(Tableau3[[#This Row],[Name PFI/CDD]]&lt;&gt;"",VLOOKUP(Tableau3[[#This Row],[Name PFI/CDD]],Plant_AILN!I:J,2,FALSE),"-")</f>
        <v>90016600</v>
      </c>
      <c r="I24" s="169" t="str">
        <f>IF(Tableau3[[#This Row],[Code PFI]]="-","Direct","PFI/CDD")</f>
        <v>PFI/CDD</v>
      </c>
      <c r="J24" s="62">
        <f>IFERROR(IF(Tableau3[[#This Row],[type PFI/CDD]]="Direct",0,VLOOKUP(Tableau3[[#This Row],[Clé(POD-PFI)]],Transport!G:K,5,FALSE)),"")</f>
        <v>2</v>
      </c>
      <c r="K24" s="4" t="str">
        <f>VLOOKUP(Tableau3[[#This Row],[Name Consignee]],Tableau10[],4,FALSE)</f>
        <v>SLOVENIA</v>
      </c>
      <c r="L24" s="7" t="s">
        <v>35</v>
      </c>
      <c r="M24" s="376">
        <f>VLOOKUP(Tableau3[[#This Row],[Name Consignee]],Tableau10[],3,FALSE)</f>
        <v>90016700</v>
      </c>
      <c r="N24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5" spans="1:14" ht="14.1" hidden="1" customHeight="1">
      <c r="A25" s="163" t="str">
        <f>_xlfn.CONCAT(Tableau3[[#This Row],[POD]],"-",Tableau3[[#This Row],[Code PFI]],"-",Tableau3[[#This Row],[Compte Consignee]])</f>
        <v>FRLEH-90016600-90038200</v>
      </c>
      <c r="B25" s="163" t="str">
        <f>_xlfn.CONCAT(Tableau3[[#This Row],[POD]],"-",Tableau3[[#This Row],[Code PFI]])</f>
        <v>FRLEH-90016600</v>
      </c>
      <c r="C25" s="171" t="str">
        <f>IF(Tableau3[[#This Row],[Name PFI/CDD]]="",_xlfn.CONCAT(Tableau3[[#This Row],[POD]],"-",Tableau3[[#This Row],[Compte Consignee]]),"-")</f>
        <v>-</v>
      </c>
      <c r="D25" s="172" t="str">
        <f>_xlfn.CONCAT(Tableau3[[#This Row],[Code PFI]],"-",Tableau3[[#This Row],[Compte Consignee]])</f>
        <v>90016600-90038200</v>
      </c>
      <c r="E25" s="173" t="s">
        <v>483</v>
      </c>
      <c r="F25" s="174">
        <v>1</v>
      </c>
      <c r="G25" s="168" t="s">
        <v>270</v>
      </c>
      <c r="H25" s="376">
        <f>IF(Tableau3[[#This Row],[Name PFI/CDD]]&lt;&gt;"",VLOOKUP(Tableau3[[#This Row],[Name PFI/CDD]],Plant_AILN!I:J,2,FALSE),"-")</f>
        <v>90016600</v>
      </c>
      <c r="I25" s="169" t="str">
        <f>IF(Tableau3[[#This Row],[Code PFI]]="-","Direct","PFI/CDD")</f>
        <v>PFI/CDD</v>
      </c>
      <c r="J25" s="62">
        <f>IFERROR(IF(Tableau3[[#This Row],[type PFI/CDD]]="Direct",0,VLOOKUP(Tableau3[[#This Row],[Clé(POD-PFI)]],Transport!G:K,5,FALSE)),"")</f>
        <v>2</v>
      </c>
      <c r="K25" s="4" t="str">
        <f>VLOOKUP(Tableau3[[#This Row],[Name Consignee]],Tableau10[],4,FALSE)</f>
        <v>MOROCCO</v>
      </c>
      <c r="L25" s="7" t="s">
        <v>179</v>
      </c>
      <c r="M25" s="376">
        <f>VLOOKUP(Tableau3[[#This Row],[Name Consignee]],Tableau10[],3,FALSE)</f>
        <v>90038200</v>
      </c>
      <c r="N25" s="3">
        <f>IFERROR(IF(Tableau3[[#This Row],[type PFI/CDD]]="Direct",VLOOKUP(Tableau3[[#This Row],[Clé(POD-Compte site )]],Transport!A:E,5,FALSE),VLOOKUP(Tableau3[[#This Row],[Clé(PFI-site)]],Transport!M:S,7,FALSE)),"No information")</f>
        <v>11</v>
      </c>
    </row>
    <row r="26" spans="1:14" ht="14.1" hidden="1" customHeight="1">
      <c r="A26" s="163" t="str">
        <f>_xlfn.CONCAT(Tableau3[[#This Row],[POD]],"-",Tableau3[[#This Row],[Code PFI]],"-",Tableau3[[#This Row],[Compte Consignee]])</f>
        <v>FRLEH-90016600-90018400</v>
      </c>
      <c r="B26" s="163" t="str">
        <f>_xlfn.CONCAT(Tableau3[[#This Row],[POD]],"-",Tableau3[[#This Row],[Code PFI]])</f>
        <v>FRLEH-90016600</v>
      </c>
      <c r="C26" s="171" t="str">
        <f>IF(Tableau3[[#This Row],[Name PFI/CDD]]="",_xlfn.CONCAT(Tableau3[[#This Row],[POD]],"-",Tableau3[[#This Row],[Compte Consignee]]),"-")</f>
        <v>-</v>
      </c>
      <c r="D26" s="172" t="str">
        <f>_xlfn.CONCAT(Tableau3[[#This Row],[Code PFI]],"-",Tableau3[[#This Row],[Compte Consignee]])</f>
        <v>90016600-90018400</v>
      </c>
      <c r="E26" s="173" t="s">
        <v>483</v>
      </c>
      <c r="F26" s="167">
        <v>3</v>
      </c>
      <c r="G26" s="168" t="s">
        <v>270</v>
      </c>
      <c r="H26" s="376">
        <f>IF(Tableau3[[#This Row],[Name PFI/CDD]]&lt;&gt;"",VLOOKUP(Tableau3[[#This Row],[Name PFI/CDD]],Plant_AILN!I:J,2,FALSE),"-")</f>
        <v>90016600</v>
      </c>
      <c r="I26" s="169" t="str">
        <f>IF(Tableau3[[#This Row],[Code PFI]]="-","Direct","PFI/CDD")</f>
        <v>PFI/CDD</v>
      </c>
      <c r="J26" s="62">
        <f>IFERROR(IF(Tableau3[[#This Row],[type PFI/CDD]]="Direct",0,VLOOKUP(Tableau3[[#This Row],[Clé(POD-PFI)]],Transport!G:K,5,FALSE)),"")</f>
        <v>2</v>
      </c>
      <c r="K26" s="4" t="str">
        <f>VLOOKUP(Tableau3[[#This Row],[Name Consignee]],Tableau10[],4,FALSE)</f>
        <v>FRANCE</v>
      </c>
      <c r="L26" s="7" t="s">
        <v>219</v>
      </c>
      <c r="M26" s="376">
        <f>VLOOKUP(Tableau3[[#This Row],[Name Consignee]],Tableau10[],3,FALSE)</f>
        <v>90018400</v>
      </c>
      <c r="N26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7" spans="1:14" ht="14.1" hidden="1" customHeight="1">
      <c r="A27" s="163" t="str">
        <f>_xlfn.CONCAT(Tableau3[[#This Row],[POD]],"-",Tableau3[[#This Row],[Code PFI]],"-",Tableau3[[#This Row],[Compte Consignee]])</f>
        <v>FRLEH-90016600-900383</v>
      </c>
      <c r="B27" s="163" t="str">
        <f>_xlfn.CONCAT(Tableau3[[#This Row],[POD]],"-",Tableau3[[#This Row],[Code PFI]])</f>
        <v>FRLEH-90016600</v>
      </c>
      <c r="C27" s="171" t="str">
        <f>IF(Tableau3[[#This Row],[Name PFI/CDD]]="",_xlfn.CONCAT(Tableau3[[#This Row],[POD]],"-",Tableau3[[#This Row],[Compte Consignee]]),"-")</f>
        <v>-</v>
      </c>
      <c r="D27" s="172" t="str">
        <f>_xlfn.CONCAT(Tableau3[[#This Row],[Code PFI]],"-",Tableau3[[#This Row],[Compte Consignee]])</f>
        <v>90016600-900383</v>
      </c>
      <c r="E27" s="173" t="s">
        <v>483</v>
      </c>
      <c r="F27" s="174">
        <v>2</v>
      </c>
      <c r="G27" s="168" t="s">
        <v>270</v>
      </c>
      <c r="H27" s="376">
        <f>IF(Tableau3[[#This Row],[Name PFI/CDD]]&lt;&gt;"",VLOOKUP(Tableau3[[#This Row],[Name PFI/CDD]],Plant_AILN!I:J,2,FALSE),"-")</f>
        <v>90016600</v>
      </c>
      <c r="I27" s="169" t="str">
        <f>IF(Tableau3[[#This Row],[Code PFI]]="-","Direct","PFI/CDD")</f>
        <v>PFI/CDD</v>
      </c>
      <c r="J27" s="62">
        <f>IFERROR(IF(Tableau3[[#This Row],[type PFI/CDD]]="Direct",0,VLOOKUP(Tableau3[[#This Row],[Clé(POD-PFI)]],Transport!G:K,5,FALSE)),"")</f>
        <v>2</v>
      </c>
      <c r="K27" s="4" t="str">
        <f>VLOOKUP(Tableau3[[#This Row],[Name Consignee]],Tableau10[],4,FALSE)</f>
        <v>MOROCCO</v>
      </c>
      <c r="L27" s="7" t="s">
        <v>180</v>
      </c>
      <c r="M27" s="376">
        <f>VLOOKUP(Tableau3[[#This Row],[Name Consignee]],Tableau10[],3,FALSE)</f>
        <v>900383</v>
      </c>
      <c r="N27" s="3">
        <f>IFERROR(IF(Tableau3[[#This Row],[type PFI/CDD]]="Direct",VLOOKUP(Tableau3[[#This Row],[Clé(POD-Compte site )]],Transport!A:E,5,FALSE),VLOOKUP(Tableau3[[#This Row],[Clé(PFI-site)]],Transport!M:S,7,FALSE)),"No information")</f>
        <v>10</v>
      </c>
    </row>
    <row r="28" spans="1:14" ht="14.1" hidden="1" customHeight="1">
      <c r="A28" s="163" t="str">
        <f>_xlfn.CONCAT(Tableau3[[#This Row],[POD]],"-",Tableau3[[#This Row],[Code PFI]],"-",Tableau3[[#This Row],[Compte Consignee]])</f>
        <v>ROCND-2839004-90021000</v>
      </c>
      <c r="B28" s="163" t="str">
        <f>_xlfn.CONCAT(Tableau3[[#This Row],[POD]],"-",Tableau3[[#This Row],[Code PFI]])</f>
        <v>ROCND-2839004</v>
      </c>
      <c r="C28" s="171" t="str">
        <f>IF(Tableau3[[#This Row],[Name PFI/CDD]]="",_xlfn.CONCAT(Tableau3[[#This Row],[POD]],"-",Tableau3[[#This Row],[Compte Consignee]]),"-")</f>
        <v>-</v>
      </c>
      <c r="D28" s="172" t="str">
        <f>_xlfn.CONCAT(Tableau3[[#This Row],[Code PFI]],"-",Tableau3[[#This Row],[Compte Consignee]])</f>
        <v>2839004-90021000</v>
      </c>
      <c r="E28" s="173" t="s">
        <v>547</v>
      </c>
      <c r="F28" s="174">
        <v>10</v>
      </c>
      <c r="G28" s="168" t="s">
        <v>278</v>
      </c>
      <c r="H28" s="376">
        <f>IF(Tableau3[[#This Row],[Name PFI/CDD]]&lt;&gt;"",VLOOKUP(Tableau3[[#This Row],[Name PFI/CDD]],Plant_AILN!I:J,2,FALSE),"-")</f>
        <v>2839004</v>
      </c>
      <c r="I28" s="169" t="str">
        <f>IF(Tableau3[[#This Row],[Code PFI]]="-","Direct","PFI/CDD")</f>
        <v>PFI/CDD</v>
      </c>
      <c r="J28" s="62">
        <f>IFERROR(IF(Tableau3[[#This Row],[type PFI/CDD]]="Direct",0,VLOOKUP(Tableau3[[#This Row],[Clé(POD-PFI)]],Transport!G:K,5,FALSE)),"")</f>
        <v>7</v>
      </c>
      <c r="K28" s="4" t="str">
        <f>VLOOKUP(Tableau3[[#This Row],[Name Consignee]],Tableau10[],4,FALSE)</f>
        <v>ALGERIA</v>
      </c>
      <c r="L28" s="7" t="s">
        <v>198</v>
      </c>
      <c r="M28" s="376">
        <f>VLOOKUP(Tableau3[[#This Row],[Name Consignee]],Tableau10[],3,FALSE)</f>
        <v>90021000</v>
      </c>
      <c r="N28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9" spans="1:14" ht="14.1" hidden="1" customHeight="1">
      <c r="A29" s="163" t="str">
        <f>_xlfn.CONCAT(Tableau3[[#This Row],[POD]],"-",Tableau3[[#This Row],[Code PFI]],"-",Tableau3[[#This Row],[Compte Consignee]])</f>
        <v>ROCND-2839004-90016700</v>
      </c>
      <c r="B29" s="163" t="str">
        <f>_xlfn.CONCAT(Tableau3[[#This Row],[POD]],"-",Tableau3[[#This Row],[Code PFI]])</f>
        <v>ROCND-2839004</v>
      </c>
      <c r="C29" s="171" t="str">
        <f>IF(Tableau3[[#This Row],[Name PFI/CDD]]="",_xlfn.CONCAT(Tableau3[[#This Row],[POD]],"-",Tableau3[[#This Row],[Compte Consignee]]),"-")</f>
        <v>-</v>
      </c>
      <c r="D29" s="172" t="str">
        <f>_xlfn.CONCAT(Tableau3[[#This Row],[Code PFI]],"-",Tableau3[[#This Row],[Compte Consignee]])</f>
        <v>2839004-90016700</v>
      </c>
      <c r="E29" s="173" t="s">
        <v>547</v>
      </c>
      <c r="F29" s="174">
        <v>1</v>
      </c>
      <c r="G29" s="168" t="s">
        <v>278</v>
      </c>
      <c r="H29" s="376">
        <f>IF(Tableau3[[#This Row],[Name PFI/CDD]]&lt;&gt;"",VLOOKUP(Tableau3[[#This Row],[Name PFI/CDD]],Plant_AILN!I:J,2,FALSE),"-")</f>
        <v>2839004</v>
      </c>
      <c r="I29" s="169" t="str">
        <f>IF(Tableau3[[#This Row],[Code PFI]]="-","Direct","PFI/CDD")</f>
        <v>PFI/CDD</v>
      </c>
      <c r="J29" s="62">
        <f>IFERROR(IF(Tableau3[[#This Row],[type PFI/CDD]]="Direct",0,VLOOKUP(Tableau3[[#This Row],[Clé(POD-PFI)]],Transport!G:K,5,FALSE)),"")</f>
        <v>7</v>
      </c>
      <c r="K29" s="4" t="str">
        <f>VLOOKUP(Tableau3[[#This Row],[Name Consignee]],Tableau10[],4,FALSE)</f>
        <v>SLOVENIA</v>
      </c>
      <c r="L29" s="7" t="s">
        <v>35</v>
      </c>
      <c r="M29" s="376">
        <f>VLOOKUP(Tableau3[[#This Row],[Name Consignee]],Tableau10[],3,FALSE)</f>
        <v>90016700</v>
      </c>
      <c r="N2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0" spans="1:14" ht="14.1" hidden="1" customHeight="1">
      <c r="A30" s="163" t="str">
        <f>_xlfn.CONCAT(Tableau3[[#This Row],[POD]],"-",Tableau3[[#This Row],[Code PFI]],"-",Tableau3[[#This Row],[Compte Consignee]])</f>
        <v>ESVLC-91018400-90018300</v>
      </c>
      <c r="B30" s="163" t="str">
        <f>_xlfn.CONCAT(Tableau3[[#This Row],[POD]],"-",Tableau3[[#This Row],[Code PFI]])</f>
        <v>ESVLC-91018400</v>
      </c>
      <c r="C30" s="171" t="str">
        <f>IF(Tableau3[[#This Row],[Name PFI/CDD]]="",_xlfn.CONCAT(Tableau3[[#This Row],[POD]],"-",Tableau3[[#This Row],[Compte Consignee]]),"-")</f>
        <v>-</v>
      </c>
      <c r="D30" s="172" t="str">
        <f>_xlfn.CONCAT(Tableau3[[#This Row],[Code PFI]],"-",Tableau3[[#This Row],[Compte Consignee]])</f>
        <v>91018400-90018300</v>
      </c>
      <c r="E30" s="173" t="s">
        <v>519</v>
      </c>
      <c r="F30" s="174">
        <v>4</v>
      </c>
      <c r="G30" s="168" t="s">
        <v>171</v>
      </c>
      <c r="H30" s="376">
        <f>IF(Tableau3[[#This Row],[Name PFI/CDD]]&lt;&gt;"",VLOOKUP(Tableau3[[#This Row],[Name PFI/CDD]],Plant_AILN!I:J,2,FALSE),"-")</f>
        <v>91018400</v>
      </c>
      <c r="I30" s="169" t="str">
        <f>IF(Tableau3[[#This Row],[Code PFI]]="-","Direct","PFI/CDD")</f>
        <v>PFI/CDD</v>
      </c>
      <c r="J30" s="62">
        <f>IFERROR(IF(Tableau3[[#This Row],[type PFI/CDD]]="Direct",0,VLOOKUP(Tableau3[[#This Row],[Clé(POD-PFI)]],Transport!G:K,5,FALSE)),"")</f>
        <v>3</v>
      </c>
      <c r="K30" s="4" t="str">
        <f>VLOOKUP(Tableau3[[#This Row],[Name Consignee]],Tableau10[],4,FALSE)</f>
        <v>FRANCE</v>
      </c>
      <c r="L30" s="7" t="s">
        <v>220</v>
      </c>
      <c r="M30" s="376">
        <f>VLOOKUP(Tableau3[[#This Row],[Name Consignee]],Tableau10[],3,FALSE)</f>
        <v>90018300</v>
      </c>
      <c r="N30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1" spans="1:14" ht="14.1" hidden="1" customHeight="1">
      <c r="A31" s="163" t="str">
        <f>_xlfn.CONCAT(Tableau3[[#This Row],[POD]],"-",Tableau3[[#This Row],[Code PFI]],"-",Tableau3[[#This Row],[Compte Consignee]])</f>
        <v>ESVLC-91018400-90016500</v>
      </c>
      <c r="B31" s="163" t="str">
        <f>_xlfn.CONCAT(Tableau3[[#This Row],[POD]],"-",Tableau3[[#This Row],[Code PFI]])</f>
        <v>ESVLC-91018400</v>
      </c>
      <c r="C31" s="171" t="str">
        <f>IF(Tableau3[[#This Row],[Name PFI/CDD]]="",_xlfn.CONCAT(Tableau3[[#This Row],[POD]],"-",Tableau3[[#This Row],[Compte Consignee]]),"-")</f>
        <v>-</v>
      </c>
      <c r="D31" s="172" t="str">
        <f>_xlfn.CONCAT(Tableau3[[#This Row],[Code PFI]],"-",Tableau3[[#This Row],[Compte Consignee]])</f>
        <v>91018400-90016500</v>
      </c>
      <c r="E31" s="173" t="s">
        <v>519</v>
      </c>
      <c r="F31" s="174">
        <v>3</v>
      </c>
      <c r="G31" s="168" t="s">
        <v>171</v>
      </c>
      <c r="H31" s="376">
        <f>IF(Tableau3[[#This Row],[Name PFI/CDD]]&lt;&gt;"",VLOOKUP(Tableau3[[#This Row],[Name PFI/CDD]],Plant_AILN!I:J,2,FALSE),"-")</f>
        <v>91018400</v>
      </c>
      <c r="I31" s="169" t="str">
        <f>IF(Tableau3[[#This Row],[Code PFI]]="-","Direct","PFI/CDD")</f>
        <v>PFI/CDD</v>
      </c>
      <c r="J31" s="62">
        <f>IFERROR(IF(Tableau3[[#This Row],[type PFI/CDD]]="Direct",0,VLOOKUP(Tableau3[[#This Row],[Clé(POD-PFI)]],Transport!G:K,5,FALSE)),"")</f>
        <v>3</v>
      </c>
      <c r="K31" s="4" t="str">
        <f>VLOOKUP(Tableau3[[#This Row],[Name Consignee]],Tableau10[],4,FALSE)</f>
        <v>PORTUGAL</v>
      </c>
      <c r="L31" s="7" t="s">
        <v>170</v>
      </c>
      <c r="M31" s="376">
        <f>VLOOKUP(Tableau3[[#This Row],[Name Consignee]],Tableau10[],3,FALSE)</f>
        <v>90016500</v>
      </c>
      <c r="N31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32" spans="1:14" ht="14.1" hidden="1" customHeight="1">
      <c r="A32" s="163" t="str">
        <f>_xlfn.CONCAT(Tableau3[[#This Row],[POD]],"-",Tableau3[[#This Row],[Code PFI]],"-",Tableau3[[#This Row],[Compte Consignee]])</f>
        <v>ESVLC-91018400-9624700</v>
      </c>
      <c r="B32" s="163" t="str">
        <f>_xlfn.CONCAT(Tableau3[[#This Row],[POD]],"-",Tableau3[[#This Row],[Code PFI]])</f>
        <v>ESVLC-91018400</v>
      </c>
      <c r="C32" s="171" t="str">
        <f>IF(Tableau3[[#This Row],[Name PFI/CDD]]="",_xlfn.CONCAT(Tableau3[[#This Row],[POD]],"-",Tableau3[[#This Row],[Compte Consignee]]),"-")</f>
        <v>-</v>
      </c>
      <c r="D32" s="172" t="str">
        <f>_xlfn.CONCAT(Tableau3[[#This Row],[Code PFI]],"-",Tableau3[[#This Row],[Compte Consignee]])</f>
        <v>91018400-9624700</v>
      </c>
      <c r="E32" s="173" t="s">
        <v>519</v>
      </c>
      <c r="F32" s="174">
        <v>4</v>
      </c>
      <c r="G32" s="168" t="s">
        <v>171</v>
      </c>
      <c r="H32" s="376">
        <f>IF(Tableau3[[#This Row],[Name PFI/CDD]]&lt;&gt;"",VLOOKUP(Tableau3[[#This Row],[Name PFI/CDD]],Plant_AILN!I:J,2,FALSE),"-")</f>
        <v>91018400</v>
      </c>
      <c r="I32" s="169" t="str">
        <f>IF(Tableau3[[#This Row],[Code PFI]]="-","Direct","PFI/CDD")</f>
        <v>PFI/CDD</v>
      </c>
      <c r="J32" s="62">
        <f>IFERROR(IF(Tableau3[[#This Row],[type PFI/CDD]]="Direct",0,VLOOKUP(Tableau3[[#This Row],[Clé(POD-PFI)]],Transport!G:K,5,FALSE)),"")</f>
        <v>3</v>
      </c>
      <c r="K32" s="4" t="str">
        <f>VLOOKUP(Tableau3[[#This Row],[Name Consignee]],Tableau10[],4,FALSE)</f>
        <v>FRANCE</v>
      </c>
      <c r="L32" s="7" t="s">
        <v>218</v>
      </c>
      <c r="M32" s="376">
        <f>VLOOKUP(Tableau3[[#This Row],[Name Consignee]],Tableau10[],3,FALSE)</f>
        <v>9624700</v>
      </c>
      <c r="N32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3" spans="1:14" ht="14.1" hidden="1" customHeight="1">
      <c r="A33" s="163" t="str">
        <f>_xlfn.CONCAT(Tableau3[[#This Row],[POD]],"-",Tableau3[[#This Row],[Code PFI]],"-",Tableau3[[#This Row],[Compte Consignee]])</f>
        <v>ESVLC-91018400-92000100</v>
      </c>
      <c r="B33" s="163" t="str">
        <f>_xlfn.CONCAT(Tableau3[[#This Row],[POD]],"-",Tableau3[[#This Row],[Code PFI]])</f>
        <v>ESVLC-91018400</v>
      </c>
      <c r="C33" s="171" t="str">
        <f>IF(Tableau3[[#This Row],[Name PFI/CDD]]="",_xlfn.CONCAT(Tableau3[[#This Row],[POD]],"-",Tableau3[[#This Row],[Compte Consignee]]),"-")</f>
        <v>-</v>
      </c>
      <c r="D33" s="172" t="str">
        <f>_xlfn.CONCAT(Tableau3[[#This Row],[Code PFI]],"-",Tableau3[[#This Row],[Compte Consignee]])</f>
        <v>91018400-92000100</v>
      </c>
      <c r="E33" s="173" t="s">
        <v>519</v>
      </c>
      <c r="F33" s="174">
        <v>4</v>
      </c>
      <c r="G33" s="168" t="s">
        <v>171</v>
      </c>
      <c r="H33" s="376">
        <f>IF(Tableau3[[#This Row],[Name PFI/CDD]]&lt;&gt;"",VLOOKUP(Tableau3[[#This Row],[Name PFI/CDD]],Plant_AILN!I:J,2,FALSE),"-")</f>
        <v>91018400</v>
      </c>
      <c r="I33" s="169" t="str">
        <f>IF(Tableau3[[#This Row],[Code PFI]]="-","Direct","PFI/CDD")</f>
        <v>PFI/CDD</v>
      </c>
      <c r="J33" s="62">
        <f>IFERROR(IF(Tableau3[[#This Row],[type PFI/CDD]]="Direct",0,VLOOKUP(Tableau3[[#This Row],[Clé(POD-PFI)]],Transport!G:K,5,FALSE)),"")</f>
        <v>3</v>
      </c>
      <c r="K33" s="4" t="str">
        <f>VLOOKUP(Tableau3[[#This Row],[Name Consignee]],Tableau10[],4,FALSE)</f>
        <v>FRANCE</v>
      </c>
      <c r="L33" s="7" t="s">
        <v>183</v>
      </c>
      <c r="M33" s="376">
        <f>VLOOKUP(Tableau3[[#This Row],[Name Consignee]],Tableau10[],3,FALSE)</f>
        <v>92000100</v>
      </c>
      <c r="N33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4" spans="1:14" ht="14.1" hidden="1" customHeight="1">
      <c r="A34" s="163" t="str">
        <f>_xlfn.CONCAT(Tableau3[[#This Row],[POD]],"-",Tableau3[[#This Row],[Code PFI]],"-",Tableau3[[#This Row],[Compte Consignee]])</f>
        <v>ESVLC-91018400-90019100</v>
      </c>
      <c r="B34" s="163" t="str">
        <f>_xlfn.CONCAT(Tableau3[[#This Row],[POD]],"-",Tableau3[[#This Row],[Code PFI]])</f>
        <v>ESVLC-91018400</v>
      </c>
      <c r="C34" s="171" t="str">
        <f>IF(Tableau3[[#This Row],[Name PFI/CDD]]="",_xlfn.CONCAT(Tableau3[[#This Row],[POD]],"-",Tableau3[[#This Row],[Compte Consignee]]),"-")</f>
        <v>-</v>
      </c>
      <c r="D34" s="172" t="str">
        <f>_xlfn.CONCAT(Tableau3[[#This Row],[Code PFI]],"-",Tableau3[[#This Row],[Compte Consignee]])</f>
        <v>91018400-90019100</v>
      </c>
      <c r="E34" s="173" t="s">
        <v>519</v>
      </c>
      <c r="F34" s="174">
        <v>4</v>
      </c>
      <c r="G34" s="168" t="s">
        <v>171</v>
      </c>
      <c r="H34" s="376">
        <f>IF(Tableau3[[#This Row],[Name PFI/CDD]]&lt;&gt;"",VLOOKUP(Tableau3[[#This Row],[Name PFI/CDD]],Plant_AILN!I:J,2,FALSE),"-")</f>
        <v>91018400</v>
      </c>
      <c r="I34" s="169" t="str">
        <f>IF(Tableau3[[#This Row],[Code PFI]]="-","Direct","PFI/CDD")</f>
        <v>PFI/CDD</v>
      </c>
      <c r="J34" s="62">
        <f>IFERROR(IF(Tableau3[[#This Row],[type PFI/CDD]]="Direct",0,VLOOKUP(Tableau3[[#This Row],[Clé(POD-PFI)]],Transport!G:K,5,FALSE)),"")</f>
        <v>3</v>
      </c>
      <c r="K34" s="4" t="str">
        <f>VLOOKUP(Tableau3[[#This Row],[Name Consignee]],Tableau10[],4,FALSE)</f>
        <v>FRANCE</v>
      </c>
      <c r="L34" s="7" t="s">
        <v>188</v>
      </c>
      <c r="M34" s="376">
        <f>VLOOKUP(Tableau3[[#This Row],[Name Consignee]],Tableau10[],3,FALSE)</f>
        <v>90019100</v>
      </c>
      <c r="N34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5" spans="1:14" ht="14.1" hidden="1" customHeight="1">
      <c r="A35" s="163" t="str">
        <f>_xlfn.CONCAT(Tableau3[[#This Row],[POD]],"-",Tableau3[[#This Row],[Code PFI]],"-",Tableau3[[#This Row],[Compte Consignee]])</f>
        <v>ESVLC-91018400-90015100</v>
      </c>
      <c r="B35" s="163" t="str">
        <f>_xlfn.CONCAT(Tableau3[[#This Row],[POD]],"-",Tableau3[[#This Row],[Code PFI]])</f>
        <v>ESVLC-91018400</v>
      </c>
      <c r="C35" s="171" t="str">
        <f>IF(Tableau3[[#This Row],[Name PFI/CDD]]="",_xlfn.CONCAT(Tableau3[[#This Row],[POD]],"-",Tableau3[[#This Row],[Compte Consignee]]),"-")</f>
        <v>-</v>
      </c>
      <c r="D35" s="172" t="str">
        <f>_xlfn.CONCAT(Tableau3[[#This Row],[Code PFI]],"-",Tableau3[[#This Row],[Compte Consignee]])</f>
        <v>91018400-90015100</v>
      </c>
      <c r="E35" s="173" t="s">
        <v>519</v>
      </c>
      <c r="F35" s="174">
        <v>4</v>
      </c>
      <c r="G35" s="168" t="s">
        <v>171</v>
      </c>
      <c r="H35" s="376">
        <f>IF(Tableau3[[#This Row],[Name PFI/CDD]]&lt;&gt;"",VLOOKUP(Tableau3[[#This Row],[Name PFI/CDD]],Plant_AILN!I:J,2,FALSE),"-")</f>
        <v>91018400</v>
      </c>
      <c r="I35" s="169" t="str">
        <f>IF(Tableau3[[#This Row],[Code PFI]]="-","Direct","PFI/CDD")</f>
        <v>PFI/CDD</v>
      </c>
      <c r="J35" s="62">
        <f>IFERROR(IF(Tableau3[[#This Row],[type PFI/CDD]]="Direct",0,VLOOKUP(Tableau3[[#This Row],[Clé(POD-PFI)]],Transport!G:K,5,FALSE)),"")</f>
        <v>3</v>
      </c>
      <c r="K35" s="4" t="str">
        <f>VLOOKUP(Tableau3[[#This Row],[Name Consignee]],Tableau10[],4,FALSE)</f>
        <v>FRANCE</v>
      </c>
      <c r="L35" s="7" t="s">
        <v>209</v>
      </c>
      <c r="M35" s="376">
        <f>VLOOKUP(Tableau3[[#This Row],[Name Consignee]],Tableau10[],3,FALSE)</f>
        <v>90015100</v>
      </c>
      <c r="N35" s="3">
        <f>IFERROR(IF(Tableau3[[#This Row],[type PFI/CDD]]="Direct",VLOOKUP(Tableau3[[#This Row],[Clé(POD-Compte site )]],Transport!A:E,5,FALSE),VLOOKUP(Tableau3[[#This Row],[Clé(PFI-site)]],Transport!M:S,7,FALSE)),"No information")</f>
        <v>6</v>
      </c>
    </row>
    <row r="36" spans="1:14" ht="14.1" hidden="1" customHeight="1">
      <c r="A36" s="163" t="str">
        <f>_xlfn.CONCAT(Tableau3[[#This Row],[POD]],"-",Tableau3[[#This Row],[Code PFI]],"-",Tableau3[[#This Row],[Compte Consignee]])</f>
        <v>ESVLC-91018400-90016200</v>
      </c>
      <c r="B36" s="163" t="str">
        <f>_xlfn.CONCAT(Tableau3[[#This Row],[POD]],"-",Tableau3[[#This Row],[Code PFI]])</f>
        <v>ESVLC-91018400</v>
      </c>
      <c r="C36" s="171" t="str">
        <f>IF(Tableau3[[#This Row],[Name PFI/CDD]]="",_xlfn.CONCAT(Tableau3[[#This Row],[POD]],"-",Tableau3[[#This Row],[Compte Consignee]]),"-")</f>
        <v>-</v>
      </c>
      <c r="D36" s="172" t="str">
        <f>_xlfn.CONCAT(Tableau3[[#This Row],[Code PFI]],"-",Tableau3[[#This Row],[Compte Consignee]])</f>
        <v>91018400-90016200</v>
      </c>
      <c r="E36" s="173" t="s">
        <v>519</v>
      </c>
      <c r="F36" s="174">
        <v>4</v>
      </c>
      <c r="G36" s="168" t="s">
        <v>171</v>
      </c>
      <c r="H36" s="376">
        <f>IF(Tableau3[[#This Row],[Name PFI/CDD]]&lt;&gt;"",VLOOKUP(Tableau3[[#This Row],[Name PFI/CDD]],Plant_AILN!I:J,2,FALSE),"-")</f>
        <v>91018400</v>
      </c>
      <c r="I36" s="169" t="str">
        <f>IF(Tableau3[[#This Row],[Code PFI]]="-","Direct","PFI/CDD")</f>
        <v>PFI/CDD</v>
      </c>
      <c r="J36" s="62">
        <f>IFERROR(IF(Tableau3[[#This Row],[type PFI/CDD]]="Direct",0,VLOOKUP(Tableau3[[#This Row],[Clé(POD-PFI)]],Transport!G:K,5,FALSE)),"")</f>
        <v>3</v>
      </c>
      <c r="K36" s="4" t="str">
        <f>VLOOKUP(Tableau3[[#This Row],[Name Consignee]],Tableau10[],4,FALSE)</f>
        <v>FRANCE</v>
      </c>
      <c r="L36" s="7" t="s">
        <v>210</v>
      </c>
      <c r="M36" s="376">
        <f>VLOOKUP(Tableau3[[#This Row],[Name Consignee]],Tableau10[],3,FALSE)</f>
        <v>90016200</v>
      </c>
      <c r="N36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7" spans="1:14" ht="14.1" hidden="1" customHeight="1">
      <c r="A37" s="163" t="str">
        <f>_xlfn.CONCAT(Tableau3[[#This Row],[POD]],"-",Tableau3[[#This Row],[Code PFI]],"-",Tableau3[[#This Row],[Compte Consignee]])</f>
        <v>ESVLC-91018400-91017700</v>
      </c>
      <c r="B37" s="163" t="str">
        <f>_xlfn.CONCAT(Tableau3[[#This Row],[POD]],"-",Tableau3[[#This Row],[Code PFI]])</f>
        <v>ESVLC-91018400</v>
      </c>
      <c r="C37" s="171" t="str">
        <f>IF(Tableau3[[#This Row],[Name PFI/CDD]]="",_xlfn.CONCAT(Tableau3[[#This Row],[POD]],"-",Tableau3[[#This Row],[Compte Consignee]]),"-")</f>
        <v>-</v>
      </c>
      <c r="D37" s="172" t="str">
        <f>_xlfn.CONCAT(Tableau3[[#This Row],[Code PFI]],"-",Tableau3[[#This Row],[Compte Consignee]])</f>
        <v>91018400-91017700</v>
      </c>
      <c r="E37" s="173" t="s">
        <v>519</v>
      </c>
      <c r="F37" s="174">
        <v>2</v>
      </c>
      <c r="G37" s="168" t="s">
        <v>171</v>
      </c>
      <c r="H37" s="376">
        <f>IF(Tableau3[[#This Row],[Name PFI/CDD]]&lt;&gt;"",VLOOKUP(Tableau3[[#This Row],[Name PFI/CDD]],Plant_AILN!I:J,2,FALSE),"-")</f>
        <v>91018400</v>
      </c>
      <c r="I37" s="169" t="str">
        <f>IF(Tableau3[[#This Row],[Code PFI]]="-","Direct","PFI/CDD")</f>
        <v>PFI/CDD</v>
      </c>
      <c r="J37" s="62">
        <f>IFERROR(IF(Tableau3[[#This Row],[type PFI/CDD]]="Direct",0,VLOOKUP(Tableau3[[#This Row],[Clé(POD-PFI)]],Transport!G:K,5,FALSE)),"")</f>
        <v>3</v>
      </c>
      <c r="K37" s="4" t="str">
        <f>VLOOKUP(Tableau3[[#This Row],[Name Consignee]],Tableau10[],4,FALSE)</f>
        <v>SPAIN</v>
      </c>
      <c r="L37" s="7" t="s">
        <v>63</v>
      </c>
      <c r="M37" s="376">
        <f>VLOOKUP(Tableau3[[#This Row],[Name Consignee]],Tableau10[],3,FALSE)</f>
        <v>91017700</v>
      </c>
      <c r="N37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38" spans="1:14" ht="14.1" hidden="1" customHeight="1">
      <c r="A38" s="163" t="str">
        <f>_xlfn.CONCAT(Tableau3[[#This Row],[POD]],"-",Tableau3[[#This Row],[Code PFI]],"-",Tableau3[[#This Row],[Compte Consignee]])</f>
        <v>ESVLC-91018400-91017200</v>
      </c>
      <c r="B38" s="163" t="str">
        <f>_xlfn.CONCAT(Tableau3[[#This Row],[POD]],"-",Tableau3[[#This Row],[Code PFI]])</f>
        <v>ESVLC-91018400</v>
      </c>
      <c r="C38" s="171" t="str">
        <f>IF(Tableau3[[#This Row],[Name PFI/CDD]]="",_xlfn.CONCAT(Tableau3[[#This Row],[POD]],"-",Tableau3[[#This Row],[Compte Consignee]]),"-")</f>
        <v>-</v>
      </c>
      <c r="D38" s="172" t="str">
        <f>_xlfn.CONCAT(Tableau3[[#This Row],[Code PFI]],"-",Tableau3[[#This Row],[Compte Consignee]])</f>
        <v>91018400-91017200</v>
      </c>
      <c r="E38" s="173" t="s">
        <v>519</v>
      </c>
      <c r="F38" s="174">
        <v>2</v>
      </c>
      <c r="G38" s="168" t="s">
        <v>171</v>
      </c>
      <c r="H38" s="376">
        <f>IF(Tableau3[[#This Row],[Name PFI/CDD]]&lt;&gt;"",VLOOKUP(Tableau3[[#This Row],[Name PFI/CDD]],Plant_AILN!I:J,2,FALSE),"-")</f>
        <v>91018400</v>
      </c>
      <c r="I38" s="169" t="str">
        <f>IF(Tableau3[[#This Row],[Code PFI]]="-","Direct","PFI/CDD")</f>
        <v>PFI/CDD</v>
      </c>
      <c r="J38" s="62">
        <f>IFERROR(IF(Tableau3[[#This Row],[type PFI/CDD]]="Direct",0,VLOOKUP(Tableau3[[#This Row],[Clé(POD-PFI)]],Transport!G:K,5,FALSE)),"")</f>
        <v>3</v>
      </c>
      <c r="K38" s="4" t="str">
        <f>VLOOKUP(Tableau3[[#This Row],[Name Consignee]],Tableau10[],4,FALSE)</f>
        <v>SPAIN</v>
      </c>
      <c r="L38" s="7" t="s">
        <v>184</v>
      </c>
      <c r="M38" s="376">
        <f>VLOOKUP(Tableau3[[#This Row],[Name Consignee]],Tableau10[],3,FALSE)</f>
        <v>91017200</v>
      </c>
      <c r="N3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39" spans="1:14" ht="14.1" hidden="1" customHeight="1">
      <c r="A39" s="163" t="str">
        <f>_xlfn.CONCAT(Tableau3[[#This Row],[POD]],"-",Tableau3[[#This Row],[Code PFI]],"-",Tableau3[[#This Row],[Compte Consignee]])</f>
        <v>ESVLC-91018400-90017100</v>
      </c>
      <c r="B39" s="163" t="str">
        <f>_xlfn.CONCAT(Tableau3[[#This Row],[POD]],"-",Tableau3[[#This Row],[Code PFI]])</f>
        <v>ESVLC-91018400</v>
      </c>
      <c r="C39" s="171" t="str">
        <f>IF(Tableau3[[#This Row],[Name PFI/CDD]]="",_xlfn.CONCAT(Tableau3[[#This Row],[POD]],"-",Tableau3[[#This Row],[Compte Consignee]]),"-")</f>
        <v>-</v>
      </c>
      <c r="D39" s="172" t="str">
        <f>_xlfn.CONCAT(Tableau3[[#This Row],[Code PFI]],"-",Tableau3[[#This Row],[Compte Consignee]])</f>
        <v>91018400-90017100</v>
      </c>
      <c r="E39" s="173" t="s">
        <v>519</v>
      </c>
      <c r="F39" s="174">
        <v>4</v>
      </c>
      <c r="G39" s="168" t="s">
        <v>171</v>
      </c>
      <c r="H39" s="376">
        <f>IF(Tableau3[[#This Row],[Name PFI/CDD]]&lt;&gt;"",VLOOKUP(Tableau3[[#This Row],[Name PFI/CDD]],Plant_AILN!I:J,2,FALSE),"-")</f>
        <v>91018400</v>
      </c>
      <c r="I39" s="169" t="str">
        <f>IF(Tableau3[[#This Row],[Code PFI]]="-","Direct","PFI/CDD")</f>
        <v>PFI/CDD</v>
      </c>
      <c r="J39" s="62">
        <f>IFERROR(IF(Tableau3[[#This Row],[type PFI/CDD]]="Direct",0,VLOOKUP(Tableau3[[#This Row],[Clé(POD-PFI)]],Transport!G:K,5,FALSE)),"")</f>
        <v>3</v>
      </c>
      <c r="K39" s="4" t="str">
        <f>VLOOKUP(Tableau3[[#This Row],[Name Consignee]],Tableau10[],4,FALSE)</f>
        <v>FRANCE</v>
      </c>
      <c r="L39" s="7" t="s">
        <v>196</v>
      </c>
      <c r="M39" s="376">
        <f>VLOOKUP(Tableau3[[#This Row],[Name Consignee]],Tableau10[],3,FALSE)</f>
        <v>90017100</v>
      </c>
      <c r="N3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40" spans="1:14" ht="14.1" hidden="1" customHeight="1">
      <c r="A40" s="163" t="str">
        <f>_xlfn.CONCAT(Tableau3[[#This Row],[POD]],"-",Tableau3[[#This Row],[Code PFI]],"-",Tableau3[[#This Row],[Compte Consignee]])</f>
        <v>ESVLC-91018400-91017500</v>
      </c>
      <c r="B40" s="163" t="str">
        <f>_xlfn.CONCAT(Tableau3[[#This Row],[POD]],"-",Tableau3[[#This Row],[Code PFI]])</f>
        <v>ESVLC-91018400</v>
      </c>
      <c r="C40" s="171" t="str">
        <f>IF(Tableau3[[#This Row],[Name PFI/CDD]]="",_xlfn.CONCAT(Tableau3[[#This Row],[POD]],"-",Tableau3[[#This Row],[Compte Consignee]]),"-")</f>
        <v>-</v>
      </c>
      <c r="D40" s="172" t="str">
        <f>_xlfn.CONCAT(Tableau3[[#This Row],[Code PFI]],"-",Tableau3[[#This Row],[Compte Consignee]])</f>
        <v>91018400-91017500</v>
      </c>
      <c r="E40" s="173" t="s">
        <v>519</v>
      </c>
      <c r="F40" s="174">
        <v>2</v>
      </c>
      <c r="G40" s="168" t="s">
        <v>171</v>
      </c>
      <c r="H40" s="376">
        <f>IF(Tableau3[[#This Row],[Name PFI/CDD]]&lt;&gt;"",VLOOKUP(Tableau3[[#This Row],[Name PFI/CDD]],Plant_AILN!I:J,2,FALSE),"-")</f>
        <v>91018400</v>
      </c>
      <c r="I40" s="169" t="str">
        <f>IF(Tableau3[[#This Row],[Code PFI]]="-","Direct","PFI/CDD")</f>
        <v>PFI/CDD</v>
      </c>
      <c r="J40" s="62">
        <f>IFERROR(IF(Tableau3[[#This Row],[type PFI/CDD]]="Direct",0,VLOOKUP(Tableau3[[#This Row],[Clé(POD-PFI)]],Transport!G:K,5,FALSE)),"")</f>
        <v>3</v>
      </c>
      <c r="K40" s="4" t="str">
        <f>VLOOKUP(Tableau3[[#This Row],[Name Consignee]],Tableau10[],4,FALSE)</f>
        <v>SPAIN</v>
      </c>
      <c r="L40" s="7" t="s">
        <v>172</v>
      </c>
      <c r="M40" s="376">
        <f>VLOOKUP(Tableau3[[#This Row],[Name Consignee]],Tableau10[],3,FALSE)</f>
        <v>91017500</v>
      </c>
      <c r="N40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41" spans="1:14" ht="14.1" hidden="1" customHeight="1">
      <c r="A41" s="163" t="str">
        <f>_xlfn.CONCAT(Tableau3[[#This Row],[POD]],"-",Tableau3[[#This Row],[Code PFI]],"-",Tableau3[[#This Row],[Compte Consignee]])</f>
        <v>ESVLC-91018400-90016900</v>
      </c>
      <c r="B41" s="163" t="str">
        <f>_xlfn.CONCAT(Tableau3[[#This Row],[POD]],"-",Tableau3[[#This Row],[Code PFI]])</f>
        <v>ESVLC-91018400</v>
      </c>
      <c r="C41" s="171" t="str">
        <f>IF(Tableau3[[#This Row],[Name PFI/CDD]]="",_xlfn.CONCAT(Tableau3[[#This Row],[POD]],"-",Tableau3[[#This Row],[Compte Consignee]]),"-")</f>
        <v>-</v>
      </c>
      <c r="D41" s="172" t="str">
        <f>_xlfn.CONCAT(Tableau3[[#This Row],[Code PFI]],"-",Tableau3[[#This Row],[Compte Consignee]])</f>
        <v>91018400-90016900</v>
      </c>
      <c r="E41" s="173" t="s">
        <v>519</v>
      </c>
      <c r="F41" s="174">
        <v>4</v>
      </c>
      <c r="G41" s="168" t="s">
        <v>171</v>
      </c>
      <c r="H41" s="376">
        <f>IF(Tableau3[[#This Row],[Name PFI/CDD]]&lt;&gt;"",VLOOKUP(Tableau3[[#This Row],[Name PFI/CDD]],Plant_AILN!I:J,2,FALSE),"-")</f>
        <v>91018400</v>
      </c>
      <c r="I41" s="169" t="str">
        <f>IF(Tableau3[[#This Row],[Code PFI]]="-","Direct","PFI/CDD")</f>
        <v>PFI/CDD</v>
      </c>
      <c r="J41" s="62">
        <f>IFERROR(IF(Tableau3[[#This Row],[type PFI/CDD]]="Direct",0,VLOOKUP(Tableau3[[#This Row],[Clé(POD-PFI)]],Transport!G:K,5,FALSE)),"")</f>
        <v>3</v>
      </c>
      <c r="K41" s="4" t="str">
        <f>VLOOKUP(Tableau3[[#This Row],[Name Consignee]],Tableau10[],4,FALSE)</f>
        <v>FRANCE</v>
      </c>
      <c r="L41" s="7" t="s">
        <v>154</v>
      </c>
      <c r="M41" s="376">
        <f>VLOOKUP(Tableau3[[#This Row],[Name Consignee]],Tableau10[],3,FALSE)</f>
        <v>90016900</v>
      </c>
      <c r="N41" s="3">
        <f>IFERROR(IF(Tableau3[[#This Row],[type PFI/CDD]]="Direct",VLOOKUP(Tableau3[[#This Row],[Clé(POD-Compte site )]],Transport!A:E,5,FALSE),VLOOKUP(Tableau3[[#This Row],[Clé(PFI-site)]],Transport!M:S,7,FALSE)),"No information")</f>
        <v>6</v>
      </c>
    </row>
    <row r="42" spans="1:14" ht="14.1" hidden="1" customHeight="1">
      <c r="A42" s="163" t="str">
        <f>_xlfn.CONCAT(Tableau3[[#This Row],[POD]],"-",Tableau3[[#This Row],[Code PFI]],"-",Tableau3[[#This Row],[Compte Consignee]])</f>
        <v>ARBUE---90016000</v>
      </c>
      <c r="B42" s="163" t="str">
        <f>_xlfn.CONCAT(Tableau3[[#This Row],[POD]],"-",Tableau3[[#This Row],[Code PFI]])</f>
        <v>ARBUE--</v>
      </c>
      <c r="C42" s="171" t="str">
        <f>IF(Tableau3[[#This Row],[Name PFI/CDD]]="",_xlfn.CONCAT(Tableau3[[#This Row],[POD]],"-",Tableau3[[#This Row],[Compte Consignee]]),"-")</f>
        <v>ARBUE-90016000</v>
      </c>
      <c r="D42" s="172" t="str">
        <f>_xlfn.CONCAT(Tableau3[[#This Row],[Code PFI]],"-",Tableau3[[#This Row],[Compte Consignee]])</f>
        <v>--90016000</v>
      </c>
      <c r="E42" s="173" t="s">
        <v>534</v>
      </c>
      <c r="F42" s="174">
        <v>3</v>
      </c>
      <c r="G42" s="168"/>
      <c r="H42" s="376" t="str">
        <f>IF(Tableau3[[#This Row],[Name PFI/CDD]]&lt;&gt;"",VLOOKUP(Tableau3[[#This Row],[Name PFI/CDD]],Plant_AILN!I:J,2,FALSE),"-")</f>
        <v>-</v>
      </c>
      <c r="I42" s="169" t="str">
        <f>IF(Tableau3[[#This Row],[Code PFI]]="-","Direct","PFI/CDD")</f>
        <v>Direct</v>
      </c>
      <c r="J42" s="62">
        <f>IFERROR(IF(Tableau3[[#This Row],[type PFI/CDD]]="Direct",0,VLOOKUP(Tableau3[[#This Row],[Clé(POD-PFI)]],Transport!G:K,5,FALSE)),"")</f>
        <v>0</v>
      </c>
      <c r="K42" s="4" t="str">
        <f>VLOOKUP(Tableau3[[#This Row],[Name Consignee]],Tableau10[],4,FALSE)</f>
        <v>ARGENTINA</v>
      </c>
      <c r="L42" s="7" t="s">
        <v>158</v>
      </c>
      <c r="M42" s="376">
        <f>VLOOKUP(Tableau3[[#This Row],[Name Consignee]],Tableau10[],3,FALSE)</f>
        <v>90016000</v>
      </c>
      <c r="N4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43" spans="1:14" ht="14.1" hidden="1" customHeight="1">
      <c r="A43" s="449" t="str">
        <f>_xlfn.CONCAT(Tableau3[[#This Row],[POD]],"-",Tableau3[[#This Row],[Code PFI]],"-",Tableau3[[#This Row],[Compte Consignee]])</f>
        <v>ARZAE---90016000</v>
      </c>
      <c r="B43" s="191" t="str">
        <f>_xlfn.CONCAT(Tableau3[[#This Row],[POD]],"-",Tableau3[[#This Row],[Code PFI]])</f>
        <v>ARZAE--</v>
      </c>
      <c r="C43" s="450" t="str">
        <f>IF(Tableau3[[#This Row],[Name PFI/CDD]]="",_xlfn.CONCAT(Tableau3[[#This Row],[POD]],"-",Tableau3[[#This Row],[Compte Consignee]]),"-")</f>
        <v>ARZAE-90016000</v>
      </c>
      <c r="D43" s="451" t="str">
        <f>_xlfn.CONCAT(Tableau3[[#This Row],[Code PFI]],"-",Tableau3[[#This Row],[Compte Consignee]])</f>
        <v>--90016000</v>
      </c>
      <c r="E43" s="173" t="s">
        <v>536</v>
      </c>
      <c r="F43" s="174">
        <v>3</v>
      </c>
      <c r="G43" s="168"/>
      <c r="H43" s="376" t="str">
        <f>IF(Tableau3[[#This Row],[Name PFI/CDD]]&lt;&gt;"",VLOOKUP(Tableau3[[#This Row],[Name PFI/CDD]],Plant_AILN!I:J,2,FALSE),"-")</f>
        <v>-</v>
      </c>
      <c r="I43" s="169" t="str">
        <f>IF(Tableau3[[#This Row],[Code PFI]]="-","Direct","PFI/CDD")</f>
        <v>Direct</v>
      </c>
      <c r="J43" s="2">
        <f>IFERROR(IF(Tableau3[[#This Row],[type PFI/CDD]]="Direct",0,VLOOKUP(Tableau3[[#This Row],[Clé(POD-PFI)]],Transport!G:K,5,FALSE)),"")</f>
        <v>0</v>
      </c>
      <c r="K43" s="468" t="str">
        <f>VLOOKUP(Tableau3[[#This Row],[Name Consignee]],Tableau10[],4,FALSE)</f>
        <v>ARGENTINA</v>
      </c>
      <c r="L43" s="206" t="s">
        <v>158</v>
      </c>
      <c r="M43" s="376">
        <f>VLOOKUP(Tableau3[[#This Row],[Name Consignee]],Tableau10[],3,FALSE)</f>
        <v>90016000</v>
      </c>
      <c r="N4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44" spans="1:14" ht="14.1" hidden="1" customHeight="1">
      <c r="A44" s="163" t="str">
        <f>_xlfn.CONCAT(Tableau3[[#This Row],[POD]],"-",Tableau3[[#This Row],[Code PFI]],"-",Tableau3[[#This Row],[Compte Consignee]])</f>
        <v>ARROS---90016000</v>
      </c>
      <c r="B44" s="163" t="str">
        <f>_xlfn.CONCAT(Tableau3[[#This Row],[POD]],"-",Tableau3[[#This Row],[Code PFI]])</f>
        <v>ARROS--</v>
      </c>
      <c r="C44" s="171" t="str">
        <f>IF(Tableau3[[#This Row],[Name PFI/CDD]]="",_xlfn.CONCAT(Tableau3[[#This Row],[POD]],"-",Tableau3[[#This Row],[Compte Consignee]]),"-")</f>
        <v>ARROS-90016000</v>
      </c>
      <c r="D44" s="172" t="str">
        <f>_xlfn.CONCAT(Tableau3[[#This Row],[Code PFI]],"-",Tableau3[[#This Row],[Compte Consignee]])</f>
        <v>--90016000</v>
      </c>
      <c r="E44" s="173" t="s">
        <v>651</v>
      </c>
      <c r="F44" s="174">
        <v>3</v>
      </c>
      <c r="G44" s="168"/>
      <c r="H44" s="376" t="str">
        <f>IF(Tableau3[[#This Row],[Name PFI/CDD]]&lt;&gt;"",VLOOKUP(Tableau3[[#This Row],[Name PFI/CDD]],Plant_AILN!I:J,2,FALSE),"-")</f>
        <v>-</v>
      </c>
      <c r="I44" s="169" t="str">
        <f>IF(Tableau3[[#This Row],[Code PFI]]="-","Direct","PFI/CDD")</f>
        <v>Direct</v>
      </c>
      <c r="J44" s="62">
        <f>IFERROR(IF(Tableau3[[#This Row],[type PFI/CDD]]="Direct",0,VLOOKUP(Tableau3[[#This Row],[Clé(POD-PFI)]],Transport!G:K,5,FALSE)),"")</f>
        <v>0</v>
      </c>
      <c r="K44" s="4" t="str">
        <f>VLOOKUP(Tableau3[[#This Row],[Name Consignee]],Tableau10[],4,FALSE)</f>
        <v>ARGENTINA</v>
      </c>
      <c r="L44" s="7" t="s">
        <v>158</v>
      </c>
      <c r="M44" s="376">
        <f>VLOOKUP(Tableau3[[#This Row],[Name Consignee]],Tableau10[],3,FALSE)</f>
        <v>90016000</v>
      </c>
      <c r="N44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5" spans="1:14" ht="14.1" hidden="1" customHeight="1">
      <c r="A45" s="163" t="str">
        <f>_xlfn.CONCAT(Tableau3[[#This Row],[POD]],"-",Tableau3[[#This Row],[Code PFI]],"-",Tableau3[[#This Row],[Compte Consignee]])</f>
        <v>BRPNG---90018600</v>
      </c>
      <c r="B45" s="163" t="str">
        <f>_xlfn.CONCAT(Tableau3[[#This Row],[POD]],"-",Tableau3[[#This Row],[Code PFI]])</f>
        <v>BRPNG--</v>
      </c>
      <c r="C45" s="171" t="str">
        <f>IF(Tableau3[[#This Row],[Name PFI/CDD]]="",_xlfn.CONCAT(Tableau3[[#This Row],[POD]],"-",Tableau3[[#This Row],[Compte Consignee]]),"-")</f>
        <v>BRPNG-90018600</v>
      </c>
      <c r="D45" s="172" t="str">
        <f>_xlfn.CONCAT(Tableau3[[#This Row],[Code PFI]],"-",Tableau3[[#This Row],[Compte Consignee]])</f>
        <v>--90018600</v>
      </c>
      <c r="E45" s="173" t="s">
        <v>525</v>
      </c>
      <c r="F45" s="174">
        <v>2</v>
      </c>
      <c r="G45" s="168"/>
      <c r="H45" s="376" t="str">
        <f>IF(Tableau3[[#This Row],[Name PFI/CDD]]&lt;&gt;"",VLOOKUP(Tableau3[[#This Row],[Name PFI/CDD]],Plant_AILN!I:J,2,FALSE),"-")</f>
        <v>-</v>
      </c>
      <c r="I45" s="169" t="str">
        <f>IF(Tableau3[[#This Row],[Code PFI]]="-","Direct","PFI/CDD")</f>
        <v>Direct</v>
      </c>
      <c r="J45" s="62">
        <f>IFERROR(IF(Tableau3[[#This Row],[type PFI/CDD]]="Direct",0,VLOOKUP(Tableau3[[#This Row],[Clé(POD-PFI)]],Transport!G:K,5,FALSE)),"")</f>
        <v>0</v>
      </c>
      <c r="K45" s="4" t="str">
        <f>VLOOKUP(Tableau3[[#This Row],[Name Consignee]],Tableau10[],4,FALSE)</f>
        <v>BRAZIL</v>
      </c>
      <c r="L45" s="7" t="s">
        <v>160</v>
      </c>
      <c r="M45" s="376">
        <f>VLOOKUP(Tableau3[[#This Row],[Name Consignee]],Tableau10[],3,FALSE)</f>
        <v>90018600</v>
      </c>
      <c r="N4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6" spans="1:14" ht="14.1" hidden="1" customHeight="1">
      <c r="A46" s="163" t="str">
        <f>_xlfn.CONCAT(Tableau3[[#This Row],[POD]],"-",Tableau3[[#This Row],[Code PFI]],"-",Tableau3[[#This Row],[Compte Consignee]])</f>
        <v>BRPNG---90018000</v>
      </c>
      <c r="B46" s="163" t="str">
        <f>_xlfn.CONCAT(Tableau3[[#This Row],[POD]],"-",Tableau3[[#This Row],[Code PFI]])</f>
        <v>BRPNG--</v>
      </c>
      <c r="C46" s="171" t="str">
        <f>IF(Tableau3[[#This Row],[Name PFI/CDD]]="",_xlfn.CONCAT(Tableau3[[#This Row],[POD]],"-",Tableau3[[#This Row],[Compte Consignee]]),"-")</f>
        <v>BRPNG-90018000</v>
      </c>
      <c r="D46" s="172" t="str">
        <f>_xlfn.CONCAT(Tableau3[[#This Row],[Code PFI]],"-",Tableau3[[#This Row],[Compte Consignee]])</f>
        <v>--90018000</v>
      </c>
      <c r="E46" s="173" t="s">
        <v>525</v>
      </c>
      <c r="F46" s="174">
        <v>2</v>
      </c>
      <c r="G46" s="168"/>
      <c r="H46" s="376" t="str">
        <f>IF(Tableau3[[#This Row],[Name PFI/CDD]]&lt;&gt;"",VLOOKUP(Tableau3[[#This Row],[Name PFI/CDD]],Plant_AILN!I:J,2,FALSE),"-")</f>
        <v>-</v>
      </c>
      <c r="I46" s="169" t="str">
        <f>IF(Tableau3[[#This Row],[Code PFI]]="-","Direct","PFI/CDD")</f>
        <v>Direct</v>
      </c>
      <c r="J46" s="62">
        <f>IFERROR(IF(Tableau3[[#This Row],[type PFI/CDD]]="Direct",0,VLOOKUP(Tableau3[[#This Row],[Clé(POD-PFI)]],Transport!G:K,5,FALSE)),"")</f>
        <v>0</v>
      </c>
      <c r="K46" s="4" t="str">
        <f>VLOOKUP(Tableau3[[#This Row],[Name Consignee]],Tableau10[],4,FALSE)</f>
        <v>BRAZIL</v>
      </c>
      <c r="L46" s="7" t="s">
        <v>152</v>
      </c>
      <c r="M46" s="376">
        <f>VLOOKUP(Tableau3[[#This Row],[Name Consignee]],Tableau10[],3,FALSE)</f>
        <v>90018000</v>
      </c>
      <c r="N46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7" spans="1:14" ht="14.1" hidden="1" customHeight="1">
      <c r="A47" s="163" t="str">
        <f>_xlfn.CONCAT(Tableau3[[#This Row],[POD]],"-",Tableau3[[#This Row],[Code PFI]],"-",Tableau3[[#This Row],[Compte Consignee]])</f>
        <v>BRPNG---90018500</v>
      </c>
      <c r="B47" s="163" t="str">
        <f>_xlfn.CONCAT(Tableau3[[#This Row],[POD]],"-",Tableau3[[#This Row],[Code PFI]])</f>
        <v>BRPNG--</v>
      </c>
      <c r="C47" s="171" t="str">
        <f>IF(Tableau3[[#This Row],[Name PFI/CDD]]="",_xlfn.CONCAT(Tableau3[[#This Row],[POD]],"-",Tableau3[[#This Row],[Compte Consignee]]),"-")</f>
        <v>BRPNG-90018500</v>
      </c>
      <c r="D47" s="172" t="str">
        <f>_xlfn.CONCAT(Tableau3[[#This Row],[Code PFI]],"-",Tableau3[[#This Row],[Compte Consignee]])</f>
        <v>--90018500</v>
      </c>
      <c r="E47" s="173" t="s">
        <v>525</v>
      </c>
      <c r="F47" s="174">
        <v>2</v>
      </c>
      <c r="G47" s="168"/>
      <c r="H47" s="376" t="str">
        <f>IF(Tableau3[[#This Row],[Name PFI/CDD]]&lt;&gt;"",VLOOKUP(Tableau3[[#This Row],[Name PFI/CDD]],Plant_AILN!I:J,2,FALSE),"-")</f>
        <v>-</v>
      </c>
      <c r="I47" s="169" t="str">
        <f>IF(Tableau3[[#This Row],[Code PFI]]="-","Direct","PFI/CDD")</f>
        <v>Direct</v>
      </c>
      <c r="J47" s="62">
        <f>IFERROR(IF(Tableau3[[#This Row],[type PFI/CDD]]="Direct",0,VLOOKUP(Tableau3[[#This Row],[Clé(POD-PFI)]],Transport!G:K,5,FALSE)),"")</f>
        <v>0</v>
      </c>
      <c r="K47" s="4" t="str">
        <f>VLOOKUP(Tableau3[[#This Row],[Name Consignee]],Tableau10[],4,FALSE)</f>
        <v>BRAZIL</v>
      </c>
      <c r="L47" s="7" t="s">
        <v>639</v>
      </c>
      <c r="M47" s="376">
        <f>VLOOKUP(Tableau3[[#This Row],[Name Consignee]],Tableau10[],3,FALSE)</f>
        <v>90018500</v>
      </c>
      <c r="N4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8" spans="1:14" ht="14.1" hidden="1" customHeight="1">
      <c r="A48" s="163" t="str">
        <f>_xlfn.CONCAT(Tableau3[[#This Row],[POD]],"-",Tableau3[[#This Row],[Code PFI]],"-",Tableau3[[#This Row],[Compte Consignee]])</f>
        <v>BRRIO---28750500</v>
      </c>
      <c r="B48" s="163" t="str">
        <f>_xlfn.CONCAT(Tableau3[[#This Row],[POD]],"-",Tableau3[[#This Row],[Code PFI]])</f>
        <v>BRRIO--</v>
      </c>
      <c r="C48" s="171" t="str">
        <f>IF(Tableau3[[#This Row],[Name PFI/CDD]]="",_xlfn.CONCAT(Tableau3[[#This Row],[POD]],"-",Tableau3[[#This Row],[Compte Consignee]]),"-")</f>
        <v>BRRIO-28750500</v>
      </c>
      <c r="D48" s="172" t="str">
        <f>_xlfn.CONCAT(Tableau3[[#This Row],[Code PFI]],"-",Tableau3[[#This Row],[Compte Consignee]])</f>
        <v>--28750500</v>
      </c>
      <c r="E48" s="173" t="s">
        <v>691</v>
      </c>
      <c r="F48" s="174">
        <v>4</v>
      </c>
      <c r="G48" s="168"/>
      <c r="H48" s="376" t="str">
        <f>IF(Tableau3[[#This Row],[Name PFI/CDD]]&lt;&gt;"",VLOOKUP(Tableau3[[#This Row],[Name PFI/CDD]],Plant_AILN!I:J,2,FALSE),"-")</f>
        <v>-</v>
      </c>
      <c r="I48" s="169" t="str">
        <f>IF(Tableau3[[#This Row],[Code PFI]]="-","Direct","PFI/CDD")</f>
        <v>Direct</v>
      </c>
      <c r="J48" s="62">
        <f>IFERROR(IF(Tableau3[[#This Row],[type PFI/CDD]]="Direct",0,VLOOKUP(Tableau3[[#This Row],[Clé(POD-PFI)]],Transport!G:K,5,FALSE)),"")</f>
        <v>0</v>
      </c>
      <c r="K48" s="4" t="str">
        <f>VLOOKUP(Tableau3[[#This Row],[Name Consignee]],Tableau10[],4,FALSE)</f>
        <v>BRAZIL</v>
      </c>
      <c r="L48" s="7" t="s">
        <v>215</v>
      </c>
      <c r="M48" s="376">
        <f>VLOOKUP(Tableau3[[#This Row],[Name Consignee]],Tableau10[],3,FALSE)</f>
        <v>28750500</v>
      </c>
      <c r="N48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49" spans="1:14" ht="14.1" hidden="1" customHeight="1">
      <c r="A49" s="163" t="str">
        <f>_xlfn.CONCAT(Tableau3[[#This Row],[POD]],"-",Tableau3[[#This Row],[Code PFI]],"-",Tableau3[[#This Row],[Compte Consignee]])</f>
        <v>CLSAI---90009500</v>
      </c>
      <c r="B49" s="163" t="str">
        <f>_xlfn.CONCAT(Tableau3[[#This Row],[POD]],"-",Tableau3[[#This Row],[Code PFI]])</f>
        <v>CLSAI--</v>
      </c>
      <c r="C49" s="171" t="str">
        <f>IF(Tableau3[[#This Row],[Name PFI/CDD]]="",_xlfn.CONCAT(Tableau3[[#This Row],[POD]],"-",Tableau3[[#This Row],[Compte Consignee]]),"-")</f>
        <v>CLSAI-90009500</v>
      </c>
      <c r="D49" s="172" t="str">
        <f>_xlfn.CONCAT(Tableau3[[#This Row],[Code PFI]],"-",Tableau3[[#This Row],[Compte Consignee]])</f>
        <v>--90009500</v>
      </c>
      <c r="E49" s="173" t="s">
        <v>485</v>
      </c>
      <c r="F49" s="174">
        <v>2</v>
      </c>
      <c r="G49" s="168"/>
      <c r="H49" s="376" t="str">
        <f>IF(Tableau3[[#This Row],[Name PFI/CDD]]&lt;&gt;"",VLOOKUP(Tableau3[[#This Row],[Name PFI/CDD]],Plant_AILN!I:J,2,FALSE),"-")</f>
        <v>-</v>
      </c>
      <c r="I49" s="169" t="str">
        <f>IF(Tableau3[[#This Row],[Code PFI]]="-","Direct","PFI/CDD")</f>
        <v>Direct</v>
      </c>
      <c r="J49" s="62">
        <f>IFERROR(IF(Tableau3[[#This Row],[type PFI/CDD]]="Direct",0,VLOOKUP(Tableau3[[#This Row],[Clé(POD-PFI)]],Transport!G:K,5,FALSE)),"")</f>
        <v>0</v>
      </c>
      <c r="K49" s="4" t="str">
        <f>VLOOKUP(Tableau3[[#This Row],[Name Consignee]],Tableau10[],4,FALSE)</f>
        <v>CHILE</v>
      </c>
      <c r="L49" s="7" t="s">
        <v>142</v>
      </c>
      <c r="M49" s="376">
        <f>VLOOKUP(Tableau3[[#This Row],[Name Consignee]],Tableau10[],3,FALSE)</f>
        <v>90009500</v>
      </c>
      <c r="N49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50" spans="1:14" ht="14.1" hidden="1" customHeight="1">
      <c r="A50" s="163" t="str">
        <f>_xlfn.CONCAT(Tableau3[[#This Row],[POD]],"-",Tableau3[[#This Row],[Code PFI]],"-",Tableau3[[#This Row],[Compte Consignee]])</f>
        <v>CLVAP---90009500</v>
      </c>
      <c r="B50" s="163" t="str">
        <f>_xlfn.CONCAT(Tableau3[[#This Row],[POD]],"-",Tableau3[[#This Row],[Code PFI]])</f>
        <v>CLVAP--</v>
      </c>
      <c r="C50" s="171" t="str">
        <f>IF(Tableau3[[#This Row],[Name PFI/CDD]]="",_xlfn.CONCAT(Tableau3[[#This Row],[POD]],"-",Tableau3[[#This Row],[Compte Consignee]]),"-")</f>
        <v>CLVAP-90009500</v>
      </c>
      <c r="D50" s="172" t="str">
        <f>_xlfn.CONCAT(Tableau3[[#This Row],[Code PFI]],"-",Tableau3[[#This Row],[Compte Consignee]])</f>
        <v>--90009500</v>
      </c>
      <c r="E50" s="173" t="s">
        <v>503</v>
      </c>
      <c r="F50" s="174">
        <v>2</v>
      </c>
      <c r="G50" s="168"/>
      <c r="H50" s="376" t="str">
        <f>IF(Tableau3[[#This Row],[Name PFI/CDD]]&lt;&gt;"",VLOOKUP(Tableau3[[#This Row],[Name PFI/CDD]],Plant_AILN!I:J,2,FALSE),"-")</f>
        <v>-</v>
      </c>
      <c r="I50" s="169" t="str">
        <f>IF(Tableau3[[#This Row],[Code PFI]]="-","Direct","PFI/CDD")</f>
        <v>Direct</v>
      </c>
      <c r="J50" s="62">
        <f>IFERROR(IF(Tableau3[[#This Row],[type PFI/CDD]]="Direct",0,VLOOKUP(Tableau3[[#This Row],[Clé(POD-PFI)]],Transport!G:K,5,FALSE)),"")</f>
        <v>0</v>
      </c>
      <c r="K50" s="4" t="str">
        <f>VLOOKUP(Tableau3[[#This Row],[Name Consignee]],Tableau10[],4,FALSE)</f>
        <v>CHILE</v>
      </c>
      <c r="L50" s="7" t="s">
        <v>142</v>
      </c>
      <c r="M50" s="376">
        <f>VLOOKUP(Tableau3[[#This Row],[Name Consignee]],Tableau10[],3,FALSE)</f>
        <v>90009500</v>
      </c>
      <c r="N50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51" spans="1:14" ht="14.1" hidden="1" customHeight="1">
      <c r="A51" s="163" t="str">
        <f>_xlfn.CONCAT(Tableau3[[#This Row],[POD]],"-",Tableau3[[#This Row],[Code PFI]],"-",Tableau3[[#This Row],[Compte Consignee]])</f>
        <v>CNWUH---0</v>
      </c>
      <c r="B51" s="163" t="str">
        <f>_xlfn.CONCAT(Tableau3[[#This Row],[POD]],"-",Tableau3[[#This Row],[Code PFI]])</f>
        <v>CNWUH--</v>
      </c>
      <c r="C51" s="171" t="str">
        <f>IF(Tableau3[[#This Row],[Name PFI/CDD]]="",_xlfn.CONCAT(Tableau3[[#This Row],[POD]],"-",Tableau3[[#This Row],[Compte Consignee]]),"-")</f>
        <v>CNWUH-0</v>
      </c>
      <c r="D51" s="172" t="str">
        <f>_xlfn.CONCAT(Tableau3[[#This Row],[Code PFI]],"-",Tableau3[[#This Row],[Compte Consignee]])</f>
        <v>--0</v>
      </c>
      <c r="E51" s="173" t="s">
        <v>692</v>
      </c>
      <c r="F51" s="174">
        <v>6</v>
      </c>
      <c r="G51" s="168"/>
      <c r="H51" s="376" t="str">
        <f>IF(Tableau3[[#This Row],[Name PFI/CDD]]&lt;&gt;"",VLOOKUP(Tableau3[[#This Row],[Name PFI/CDD]],Plant_AILN!I:J,2,FALSE),"-")</f>
        <v>-</v>
      </c>
      <c r="I51" s="169" t="str">
        <f>IF(Tableau3[[#This Row],[Code PFI]]="-","Direct","PFI/CDD")</f>
        <v>Direct</v>
      </c>
      <c r="J51" s="62">
        <f>IFERROR(IF(Tableau3[[#This Row],[type PFI/CDD]]="Direct",0,VLOOKUP(Tableau3[[#This Row],[Clé(POD-PFI)]],Transport!G:K,5,FALSE)),"")</f>
        <v>0</v>
      </c>
      <c r="K51" s="4" t="str">
        <f>VLOOKUP(Tableau3[[#This Row],[Name Consignee]],Tableau10[],4,FALSE)</f>
        <v>CHINA</v>
      </c>
      <c r="L51" s="7" t="s">
        <v>216</v>
      </c>
      <c r="M51" s="376">
        <f>VLOOKUP(Tableau3[[#This Row],[Name Consignee]],Tableau10[],3,FALSE)</f>
        <v>0</v>
      </c>
      <c r="N51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2" spans="1:14" ht="14.1" hidden="1" customHeight="1">
      <c r="A52" s="163" t="str">
        <f>_xlfn.CONCAT(Tableau3[[#This Row],[POD]],"-",Tableau3[[#This Row],[Code PFI]],"-",Tableau3[[#This Row],[Compte Consignee]])</f>
        <v>CNNHN---0</v>
      </c>
      <c r="B52" s="163" t="str">
        <f>_xlfn.CONCAT(Tableau3[[#This Row],[POD]],"-",Tableau3[[#This Row],[Code PFI]])</f>
        <v>CNNHN--</v>
      </c>
      <c r="C52" s="171" t="str">
        <f>IF(Tableau3[[#This Row],[Name PFI/CDD]]="",_xlfn.CONCAT(Tableau3[[#This Row],[POD]],"-",Tableau3[[#This Row],[Compte Consignee]]),"-")</f>
        <v>CNNHN-0</v>
      </c>
      <c r="D52" s="172" t="str">
        <f>_xlfn.CONCAT(Tableau3[[#This Row],[Code PFI]],"-",Tableau3[[#This Row],[Compte Consignee]])</f>
        <v>--0</v>
      </c>
      <c r="E52" s="173" t="s">
        <v>693</v>
      </c>
      <c r="F52" s="174">
        <v>6</v>
      </c>
      <c r="G52" s="168"/>
      <c r="H52" s="376" t="str">
        <f>IF(Tableau3[[#This Row],[Name PFI/CDD]]&lt;&gt;"",VLOOKUP(Tableau3[[#This Row],[Name PFI/CDD]],Plant_AILN!I:J,2,FALSE),"-")</f>
        <v>-</v>
      </c>
      <c r="I52" s="169" t="str">
        <f>IF(Tableau3[[#This Row],[Code PFI]]="-","Direct","PFI/CDD")</f>
        <v>Direct</v>
      </c>
      <c r="J52" s="62">
        <f>IFERROR(IF(Tableau3[[#This Row],[type PFI/CDD]]="Direct",0,VLOOKUP(Tableau3[[#This Row],[Clé(POD-PFI)]],Transport!G:K,5,FALSE)),"")</f>
        <v>0</v>
      </c>
      <c r="K52" s="4" t="str">
        <f>VLOOKUP(Tableau3[[#This Row],[Name Consignee]],Tableau10[],4,FALSE)</f>
        <v>CHINA</v>
      </c>
      <c r="L52" s="7" t="s">
        <v>216</v>
      </c>
      <c r="M52" s="376">
        <f>VLOOKUP(Tableau3[[#This Row],[Name Consignee]],Tableau10[],3,FALSE)</f>
        <v>0</v>
      </c>
      <c r="N5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3" spans="1:14" ht="14.1" hidden="1" customHeight="1">
      <c r="A53" s="449" t="str">
        <f>_xlfn.CONCAT(Tableau3[[#This Row],[POD]],"-",Tableau3[[#This Row],[Code PFI]],"-",Tableau3[[#This Row],[Compte Consignee]])</f>
        <v>CNSHA---0</v>
      </c>
      <c r="B53" s="191" t="str">
        <f>_xlfn.CONCAT(Tableau3[[#This Row],[POD]],"-",Tableau3[[#This Row],[Code PFI]])</f>
        <v>CNSHA--</v>
      </c>
      <c r="C53" s="450" t="str">
        <f>IF(Tableau3[[#This Row],[Name PFI/CDD]]="",_xlfn.CONCAT(Tableau3[[#This Row],[POD]],"-",Tableau3[[#This Row],[Compte Consignee]]),"-")</f>
        <v>CNSHA-0</v>
      </c>
      <c r="D53" s="451" t="str">
        <f>_xlfn.CONCAT(Tableau3[[#This Row],[Code PFI]],"-",Tableau3[[#This Row],[Compte Consignee]])</f>
        <v>--0</v>
      </c>
      <c r="E53" s="173" t="s">
        <v>524</v>
      </c>
      <c r="F53" s="452">
        <v>6</v>
      </c>
      <c r="G53" s="168"/>
      <c r="H53" s="376" t="str">
        <f>IF(Tableau3[[#This Row],[Name PFI/CDD]]&lt;&gt;"",VLOOKUP(Tableau3[[#This Row],[Name PFI/CDD]],Plant_AILN!I:J,2,FALSE),"-")</f>
        <v>-</v>
      </c>
      <c r="I53" s="169" t="str">
        <f>IF(Tableau3[[#This Row],[Code PFI]]="-","Direct","PFI/CDD")</f>
        <v>Direct</v>
      </c>
      <c r="J53" s="2">
        <f>IFERROR(IF(Tableau3[[#This Row],[type PFI/CDD]]="Direct",0,VLOOKUP(Tableau3[[#This Row],[Clé(POD-PFI)]],Transport!G:K,5,FALSE)),"")</f>
        <v>0</v>
      </c>
      <c r="K53" s="4" t="str">
        <f>VLOOKUP(Tableau3[[#This Row],[Name Consignee]],Tableau10[],4,FALSE)</f>
        <v>CHINA</v>
      </c>
      <c r="L53" s="7" t="s">
        <v>216</v>
      </c>
      <c r="M53" s="376">
        <f>VLOOKUP(Tableau3[[#This Row],[Name Consignee]],Tableau10[],3,FALSE)</f>
        <v>0</v>
      </c>
      <c r="N5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4" spans="1:14" ht="14.1" hidden="1" customHeight="1">
      <c r="A54" s="163" t="str">
        <f>_xlfn.CONCAT(Tableau3[[#This Row],[POD]],"-",Tableau3[[#This Row],[Code PFI]],"-",Tableau3[[#This Row],[Compte Consignee]])</f>
        <v>COBUN---9510600</v>
      </c>
      <c r="B54" s="163" t="str">
        <f>_xlfn.CONCAT(Tableau3[[#This Row],[POD]],"-",Tableau3[[#This Row],[Code PFI]])</f>
        <v>COBUN--</v>
      </c>
      <c r="C54" s="171" t="str">
        <f>IF(Tableau3[[#This Row],[Name PFI/CDD]]="",_xlfn.CONCAT(Tableau3[[#This Row],[POD]],"-",Tableau3[[#This Row],[Compte Consignee]]),"-")</f>
        <v>COBUN-9510600</v>
      </c>
      <c r="D54" s="172" t="str">
        <f>_xlfn.CONCAT(Tableau3[[#This Row],[Code PFI]],"-",Tableau3[[#This Row],[Compte Consignee]])</f>
        <v>--9510600</v>
      </c>
      <c r="E54" s="173" t="s">
        <v>606</v>
      </c>
      <c r="F54" s="174">
        <v>0</v>
      </c>
      <c r="G54" s="168"/>
      <c r="H54" s="376" t="str">
        <f>IF(Tableau3[[#This Row],[Name PFI/CDD]]&lt;&gt;"",VLOOKUP(Tableau3[[#This Row],[Name PFI/CDD]],Plant_AILN!I:J,2,FALSE),"-")</f>
        <v>-</v>
      </c>
      <c r="I54" s="169" t="str">
        <f>IF(Tableau3[[#This Row],[Code PFI]]="-","Direct","PFI/CDD")</f>
        <v>Direct</v>
      </c>
      <c r="J54" s="62">
        <f>IFERROR(IF(Tableau3[[#This Row],[type PFI/CDD]]="Direct",0,VLOOKUP(Tableau3[[#This Row],[Clé(POD-PFI)]],Transport!G:K,5,FALSE)),"")</f>
        <v>0</v>
      </c>
      <c r="K54" s="4" t="str">
        <f>VLOOKUP(Tableau3[[#This Row],[Name Consignee]],Tableau10[],4,FALSE)</f>
        <v>COLOMBIA</v>
      </c>
      <c r="L54" s="7" t="s">
        <v>177</v>
      </c>
      <c r="M54" s="376">
        <f>VLOOKUP(Tableau3[[#This Row],[Name Consignee]],Tableau10[],3,FALSE)</f>
        <v>9510600</v>
      </c>
      <c r="N54" s="3">
        <f>IFERROR(IF(Tableau3[[#This Row],[type PFI/CDD]]="Direct",VLOOKUP(Tableau3[[#This Row],[Clé(POD-Compte site )]],Transport!A:E,5,FALSE),VLOOKUP(Tableau3[[#This Row],[Clé(PFI-site)]],Transport!M:S,7,FALSE)),"No information")</f>
        <v>0</v>
      </c>
    </row>
    <row r="55" spans="1:14" ht="14.1" hidden="1" customHeight="1">
      <c r="A55" s="163" t="str">
        <f>_xlfn.CONCAT(Tableau3[[#This Row],[POD]],"-",Tableau3[[#This Row],[Code PFI]],"-",Tableau3[[#This Row],[Compte Consignee]])</f>
        <v>COCTG---9510600</v>
      </c>
      <c r="B55" s="163" t="str">
        <f>_xlfn.CONCAT(Tableau3[[#This Row],[POD]],"-",Tableau3[[#This Row],[Code PFI]])</f>
        <v>COCTG--</v>
      </c>
      <c r="C55" s="171" t="str">
        <f>IF(Tableau3[[#This Row],[Name PFI/CDD]]="",_xlfn.CONCAT(Tableau3[[#This Row],[POD]],"-",Tableau3[[#This Row],[Compte Consignee]]),"-")</f>
        <v>COCTG-9510600</v>
      </c>
      <c r="D55" s="172" t="str">
        <f>_xlfn.CONCAT(Tableau3[[#This Row],[Code PFI]],"-",Tableau3[[#This Row],[Compte Consignee]])</f>
        <v>--9510600</v>
      </c>
      <c r="E55" s="173" t="s">
        <v>516</v>
      </c>
      <c r="F55" s="174">
        <v>0</v>
      </c>
      <c r="G55" s="168"/>
      <c r="H55" s="376" t="str">
        <f>IF(Tableau3[[#This Row],[Name PFI/CDD]]&lt;&gt;"",VLOOKUP(Tableau3[[#This Row],[Name PFI/CDD]],Plant_AILN!I:J,2,FALSE),"-")</f>
        <v>-</v>
      </c>
      <c r="I55" s="169" t="str">
        <f>IF(Tableau3[[#This Row],[Code PFI]]="-","Direct","PFI/CDD")</f>
        <v>Direct</v>
      </c>
      <c r="J55" s="62">
        <f>IFERROR(IF(Tableau3[[#This Row],[type PFI/CDD]]="Direct",0,VLOOKUP(Tableau3[[#This Row],[Clé(POD-PFI)]],Transport!G:K,5,FALSE)),"")</f>
        <v>0</v>
      </c>
      <c r="K55" s="4" t="str">
        <f>VLOOKUP(Tableau3[[#This Row],[Name Consignee]],Tableau10[],4,FALSE)</f>
        <v>COLOMBIA</v>
      </c>
      <c r="L55" s="7" t="s">
        <v>177</v>
      </c>
      <c r="M55" s="376">
        <f>VLOOKUP(Tableau3[[#This Row],[Name Consignee]],Tableau10[],3,FALSE)</f>
        <v>9510600</v>
      </c>
      <c r="N55" s="3">
        <f>IFERROR(IF(Tableau3[[#This Row],[type PFI/CDD]]="Direct",VLOOKUP(Tableau3[[#This Row],[Clé(POD-Compte site )]],Transport!A:E,5,FALSE),VLOOKUP(Tableau3[[#This Row],[Clé(PFI-site)]],Transport!M:S,7,FALSE)),"No information")</f>
        <v>0</v>
      </c>
    </row>
    <row r="56" spans="1:14" ht="14.1" hidden="1" customHeight="1">
      <c r="A56" s="163" t="str">
        <f>_xlfn.CONCAT(Tableau3[[#This Row],[POD]],"-",Tableau3[[#This Row],[Code PFI]],"-",Tableau3[[#This Row],[Compte Consignee]])</f>
        <v>EGALY---0</v>
      </c>
      <c r="B56" s="163" t="str">
        <f>_xlfn.CONCAT(Tableau3[[#This Row],[POD]],"-",Tableau3[[#This Row],[Code PFI]])</f>
        <v>EGALY--</v>
      </c>
      <c r="C56" s="171" t="str">
        <f>IF(Tableau3[[#This Row],[Name PFI/CDD]]="",_xlfn.CONCAT(Tableau3[[#This Row],[POD]],"-",Tableau3[[#This Row],[Compte Consignee]]),"-")</f>
        <v>EGALY-0</v>
      </c>
      <c r="D56" s="172" t="str">
        <f>_xlfn.CONCAT(Tableau3[[#This Row],[Code PFI]],"-",Tableau3[[#This Row],[Compte Consignee]])</f>
        <v>--0</v>
      </c>
      <c r="E56" s="173" t="s">
        <v>694</v>
      </c>
      <c r="F56" s="174">
        <v>5</v>
      </c>
      <c r="G56" s="168"/>
      <c r="H56" s="376" t="str">
        <f>IF(Tableau3[[#This Row],[Name PFI/CDD]]&lt;&gt;"",VLOOKUP(Tableau3[[#This Row],[Name PFI/CDD]],Plant_AILN!I:J,2,FALSE),"-")</f>
        <v>-</v>
      </c>
      <c r="I56" s="169" t="str">
        <f>IF(Tableau3[[#This Row],[Code PFI]]="-","Direct","PFI/CDD")</f>
        <v>Direct</v>
      </c>
      <c r="J56" s="62">
        <f>IFERROR(IF(Tableau3[[#This Row],[type PFI/CDD]]="Direct",0,VLOOKUP(Tableau3[[#This Row],[Clé(POD-PFI)]],Transport!G:K,5,FALSE)),"")</f>
        <v>0</v>
      </c>
      <c r="K56" s="4" t="str">
        <f>VLOOKUP(Tableau3[[#This Row],[Name Consignee]],Tableau10[],4,FALSE)</f>
        <v>EGYPT</v>
      </c>
      <c r="L56" s="7" t="s">
        <v>695</v>
      </c>
      <c r="M56" s="376">
        <f>VLOOKUP(Tableau3[[#This Row],[Name Consignee]],Tableau10[],3,FALSE)</f>
        <v>0</v>
      </c>
      <c r="N56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57" spans="1:14" ht="14.1" hidden="1" customHeight="1">
      <c r="A57" s="163" t="str">
        <f>_xlfn.CONCAT(Tableau3[[#This Row],[POD]],"-",Tableau3[[#This Row],[Code PFI]],"-",Tableau3[[#This Row],[Compte Consignee]])</f>
        <v>ESVLC---9101840000</v>
      </c>
      <c r="B57" s="163" t="str">
        <f>_xlfn.CONCAT(Tableau3[[#This Row],[POD]],"-",Tableau3[[#This Row],[Code PFI]])</f>
        <v>ESVLC--</v>
      </c>
      <c r="C57" s="171" t="str">
        <f>IF(Tableau3[[#This Row],[Name PFI/CDD]]="",_xlfn.CONCAT(Tableau3[[#This Row],[POD]],"-",Tableau3[[#This Row],[Compte Consignee]]),"-")</f>
        <v>ESVLC-9101840000</v>
      </c>
      <c r="D57" s="172" t="str">
        <f>_xlfn.CONCAT(Tableau3[[#This Row],[Code PFI]],"-",Tableau3[[#This Row],[Compte Consignee]])</f>
        <v>--9101840000</v>
      </c>
      <c r="E57" s="173" t="s">
        <v>519</v>
      </c>
      <c r="F57" s="174">
        <v>2</v>
      </c>
      <c r="G57" s="168"/>
      <c r="H57" s="376" t="str">
        <f>IF(Tableau3[[#This Row],[Name PFI/CDD]]&lt;&gt;"",VLOOKUP(Tableau3[[#This Row],[Name PFI/CDD]],Plant_AILN!I:J,2,FALSE),"-")</f>
        <v>-</v>
      </c>
      <c r="I57" s="169" t="str">
        <f>IF(Tableau3[[#This Row],[Code PFI]]="-","Direct","PFI/CDD")</f>
        <v>Direct</v>
      </c>
      <c r="J57" s="62">
        <f>IFERROR(IF(Tableau3[[#This Row],[type PFI/CDD]]="Direct",0,VLOOKUP(Tableau3[[#This Row],[Clé(POD-PFI)]],Transport!G:K,5,FALSE)),"")</f>
        <v>0</v>
      </c>
      <c r="K57" s="4" t="str">
        <f>VLOOKUP(Tableau3[[#This Row],[Name Consignee]],Tableau10[],4,FALSE)</f>
        <v>SPAIN</v>
      </c>
      <c r="L57" s="7" t="s">
        <v>151</v>
      </c>
      <c r="M57" s="376">
        <f>VLOOKUP(Tableau3[[#This Row],[Name Consignee]],Tableau10[],3,FALSE)</f>
        <v>9101840000</v>
      </c>
      <c r="N57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8" spans="1:14" ht="14.1" hidden="1" customHeight="1">
      <c r="A58" s="449" t="str">
        <f>_xlfn.CONCAT(Tableau3[[#This Row],[POD]],"-",Tableau3[[#This Row],[Code PFI]],"-",Tableau3[[#This Row],[Compte Consignee]])</f>
        <v>ESVLC---91017200</v>
      </c>
      <c r="B58" s="191" t="str">
        <f>_xlfn.CONCAT(Tableau3[[#This Row],[POD]],"-",Tableau3[[#This Row],[Code PFI]])</f>
        <v>ESVLC--</v>
      </c>
      <c r="C58" s="450" t="str">
        <f>IF(Tableau3[[#This Row],[Name PFI/CDD]]="",_xlfn.CONCAT(Tableau3[[#This Row],[POD]],"-",Tableau3[[#This Row],[Compte Consignee]]),"-")</f>
        <v>ESVLC-91017200</v>
      </c>
      <c r="D58" s="451" t="str">
        <f>_xlfn.CONCAT(Tableau3[[#This Row],[Code PFI]],"-",Tableau3[[#This Row],[Compte Consignee]])</f>
        <v>--91017200</v>
      </c>
      <c r="E58" s="173" t="s">
        <v>519</v>
      </c>
      <c r="F58" s="174">
        <v>2</v>
      </c>
      <c r="G58" s="168"/>
      <c r="H58" s="376" t="str">
        <f>IF(Tableau3[[#This Row],[Name PFI/CDD]]&lt;&gt;"",VLOOKUP(Tableau3[[#This Row],[Name PFI/CDD]],Plant_AILN!I:J,2,FALSE),"-")</f>
        <v>-</v>
      </c>
      <c r="I58" s="169" t="str">
        <f>IF(Tableau3[[#This Row],[Code PFI]]="-","Direct","PFI/CDD")</f>
        <v>Direct</v>
      </c>
      <c r="J58" s="2">
        <f>IFERROR(IF(Tableau3[[#This Row],[type PFI/CDD]]="Direct",0,VLOOKUP(Tableau3[[#This Row],[Clé(POD-PFI)]],Transport!G:K,5,FALSE)),"")</f>
        <v>0</v>
      </c>
      <c r="K58" s="468" t="str">
        <f>VLOOKUP(Tableau3[[#This Row],[Name Consignee]],Tableau10[],4,FALSE)</f>
        <v>SPAIN</v>
      </c>
      <c r="L58" s="7" t="s">
        <v>184</v>
      </c>
      <c r="M58" s="376">
        <f>VLOOKUP(Tableau3[[#This Row],[Name Consignee]],Tableau10[],3,FALSE)</f>
        <v>91017200</v>
      </c>
      <c r="N5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59" spans="1:14" ht="14.1" hidden="1" customHeight="1">
      <c r="A59" s="163" t="str">
        <f>_xlfn.CONCAT(Tableau3[[#This Row],[POD]],"-",Tableau3[[#This Row],[Code PFI]],"-",Tableau3[[#This Row],[Compte Consignee]])</f>
        <v>ESVLC---91017700</v>
      </c>
      <c r="B59" s="163" t="str">
        <f>_xlfn.CONCAT(Tableau3[[#This Row],[POD]],"-",Tableau3[[#This Row],[Code PFI]])</f>
        <v>ESVLC--</v>
      </c>
      <c r="C59" s="171" t="str">
        <f>IF(Tableau3[[#This Row],[Name PFI/CDD]]="",_xlfn.CONCAT(Tableau3[[#This Row],[POD]],"-",Tableau3[[#This Row],[Compte Consignee]]),"-")</f>
        <v>ESVLC-91017700</v>
      </c>
      <c r="D59" s="172" t="str">
        <f>_xlfn.CONCAT(Tableau3[[#This Row],[Code PFI]],"-",Tableau3[[#This Row],[Compte Consignee]])</f>
        <v>--91017700</v>
      </c>
      <c r="E59" s="173" t="s">
        <v>519</v>
      </c>
      <c r="F59" s="174">
        <v>2</v>
      </c>
      <c r="G59" s="168"/>
      <c r="H59" s="376" t="str">
        <f>IF(Tableau3[[#This Row],[Name PFI/CDD]]&lt;&gt;"",VLOOKUP(Tableau3[[#This Row],[Name PFI/CDD]],Plant_AILN!I:J,2,FALSE),"-")</f>
        <v>-</v>
      </c>
      <c r="I59" s="169" t="str">
        <f>IF(Tableau3[[#This Row],[Code PFI]]="-","Direct","PFI/CDD")</f>
        <v>Direct</v>
      </c>
      <c r="J59" s="62">
        <f>IFERROR(IF(Tableau3[[#This Row],[type PFI/CDD]]="Direct",0,VLOOKUP(Tableau3[[#This Row],[Clé(POD-PFI)]],Transport!G:K,5,FALSE)),"")</f>
        <v>0</v>
      </c>
      <c r="K59" s="4" t="str">
        <f>VLOOKUP(Tableau3[[#This Row],[Name Consignee]],Tableau10[],4,FALSE)</f>
        <v>SPAIN</v>
      </c>
      <c r="L59" s="7" t="s">
        <v>63</v>
      </c>
      <c r="M59" s="376">
        <f>VLOOKUP(Tableau3[[#This Row],[Name Consignee]],Tableau10[],3,FALSE)</f>
        <v>91017700</v>
      </c>
      <c r="N59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0" spans="1:14" ht="14.1" hidden="1" customHeight="1">
      <c r="A60" s="163" t="str">
        <f>_xlfn.CONCAT(Tableau3[[#This Row],[POD]],"-",Tableau3[[#This Row],[Code PFI]],"-",Tableau3[[#This Row],[Compte Consignee]])</f>
        <v>ESVLC---91017300</v>
      </c>
      <c r="B60" s="163" t="str">
        <f>_xlfn.CONCAT(Tableau3[[#This Row],[POD]],"-",Tableau3[[#This Row],[Code PFI]])</f>
        <v>ESVLC--</v>
      </c>
      <c r="C60" s="171" t="str">
        <f>IF(Tableau3[[#This Row],[Name PFI/CDD]]="",_xlfn.CONCAT(Tableau3[[#This Row],[POD]],"-",Tableau3[[#This Row],[Compte Consignee]]),"-")</f>
        <v>ESVLC-91017300</v>
      </c>
      <c r="D60" s="172" t="str">
        <f>_xlfn.CONCAT(Tableau3[[#This Row],[Code PFI]],"-",Tableau3[[#This Row],[Compte Consignee]])</f>
        <v>--91017300</v>
      </c>
      <c r="E60" s="173" t="s">
        <v>519</v>
      </c>
      <c r="F60" s="174">
        <v>2</v>
      </c>
      <c r="G60" s="168"/>
      <c r="H60" s="376" t="str">
        <f>IF(Tableau3[[#This Row],[Name PFI/CDD]]&lt;&gt;"",VLOOKUP(Tableau3[[#This Row],[Name PFI/CDD]],Plant_AILN!I:J,2,FALSE),"-")</f>
        <v>-</v>
      </c>
      <c r="I60" s="169" t="str">
        <f>IF(Tableau3[[#This Row],[Code PFI]]="-","Direct","PFI/CDD")</f>
        <v>Direct</v>
      </c>
      <c r="J60" s="62">
        <f>IFERROR(IF(Tableau3[[#This Row],[type PFI/CDD]]="Direct",0,VLOOKUP(Tableau3[[#This Row],[Clé(POD-PFI)]],Transport!G:K,5,FALSE)),"")</f>
        <v>0</v>
      </c>
      <c r="K60" s="4" t="str">
        <f>VLOOKUP(Tableau3[[#This Row],[Name Consignee]],Tableau10[],4,FALSE)</f>
        <v>SPAIN</v>
      </c>
      <c r="L60" s="7" t="s">
        <v>175</v>
      </c>
      <c r="M60" s="376">
        <f>VLOOKUP(Tableau3[[#This Row],[Name Consignee]],Tableau10[],3,FALSE)</f>
        <v>91017300</v>
      </c>
      <c r="N60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61" spans="1:14" ht="14.1" hidden="1" customHeight="1">
      <c r="A61" s="163" t="str">
        <f>_xlfn.CONCAT(Tableau3[[#This Row],[POD]],"-",Tableau3[[#This Row],[Code PFI]],"-",Tableau3[[#This Row],[Compte Consignee]])</f>
        <v>FRDKK---90019100</v>
      </c>
      <c r="B61" s="163" t="str">
        <f>_xlfn.CONCAT(Tableau3[[#This Row],[POD]],"-",Tableau3[[#This Row],[Code PFI]])</f>
        <v>FRDKK--</v>
      </c>
      <c r="C61" s="171" t="str">
        <f>IF(Tableau3[[#This Row],[Name PFI/CDD]]="",_xlfn.CONCAT(Tableau3[[#This Row],[POD]],"-",Tableau3[[#This Row],[Compte Consignee]]),"-")</f>
        <v>FRDKK-90019100</v>
      </c>
      <c r="D61" s="172" t="str">
        <f>_xlfn.CONCAT(Tableau3[[#This Row],[Code PFI]],"-",Tableau3[[#This Row],[Compte Consignee]])</f>
        <v>--90019100</v>
      </c>
      <c r="E61" s="173" t="s">
        <v>653</v>
      </c>
      <c r="F61" s="174">
        <v>3</v>
      </c>
      <c r="G61" s="168"/>
      <c r="H61" s="376" t="str">
        <f>IF(Tableau3[[#This Row],[Name PFI/CDD]]&lt;&gt;"",VLOOKUP(Tableau3[[#This Row],[Name PFI/CDD]],Plant_AILN!I:J,2,FALSE),"-")</f>
        <v>-</v>
      </c>
      <c r="I61" s="169" t="str">
        <f>IF(Tableau3[[#This Row],[Code PFI]]="-","Direct","PFI/CDD")</f>
        <v>Direct</v>
      </c>
      <c r="J61" s="62">
        <f>IFERROR(IF(Tableau3[[#This Row],[type PFI/CDD]]="Direct",0,VLOOKUP(Tableau3[[#This Row],[Clé(POD-PFI)]],Transport!G:K,5,FALSE)),"")</f>
        <v>0</v>
      </c>
      <c r="K61" s="4" t="str">
        <f>VLOOKUP(Tableau3[[#This Row],[Name Consignee]],Tableau10[],4,FALSE)</f>
        <v>FRANCE</v>
      </c>
      <c r="L61" s="7" t="s">
        <v>188</v>
      </c>
      <c r="M61" s="376">
        <f>VLOOKUP(Tableau3[[#This Row],[Name Consignee]],Tableau10[],3,FALSE)</f>
        <v>90019100</v>
      </c>
      <c r="N61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62" spans="1:14" ht="14.1" hidden="1" customHeight="1">
      <c r="A62" s="163" t="str">
        <f>_xlfn.CONCAT(Tableau3[[#This Row],[POD]],"-",Tableau3[[#This Row],[Code PFI]],"-",Tableau3[[#This Row],[Compte Consignee]])</f>
        <v>FRDKK---90016200</v>
      </c>
      <c r="B62" s="163" t="str">
        <f>_xlfn.CONCAT(Tableau3[[#This Row],[POD]],"-",Tableau3[[#This Row],[Code PFI]])</f>
        <v>FRDKK--</v>
      </c>
      <c r="C62" s="171" t="str">
        <f>IF(Tableau3[[#This Row],[Name PFI/CDD]]="",_xlfn.CONCAT(Tableau3[[#This Row],[POD]],"-",Tableau3[[#This Row],[Compte Consignee]]),"-")</f>
        <v>FRDKK-90016200</v>
      </c>
      <c r="D62" s="172" t="str">
        <f>_xlfn.CONCAT(Tableau3[[#This Row],[Code PFI]],"-",Tableau3[[#This Row],[Compte Consignee]])</f>
        <v>--90016200</v>
      </c>
      <c r="E62" s="173" t="s">
        <v>653</v>
      </c>
      <c r="F62" s="174">
        <v>3</v>
      </c>
      <c r="G62" s="168"/>
      <c r="H62" s="376" t="str">
        <f>IF(Tableau3[[#This Row],[Name PFI/CDD]]&lt;&gt;"",VLOOKUP(Tableau3[[#This Row],[Name PFI/CDD]],Plant_AILN!I:J,2,FALSE),"-")</f>
        <v>-</v>
      </c>
      <c r="I62" s="169" t="str">
        <f>IF(Tableau3[[#This Row],[Code PFI]]="-","Direct","PFI/CDD")</f>
        <v>Direct</v>
      </c>
      <c r="J62" s="62">
        <f>IFERROR(IF(Tableau3[[#This Row],[type PFI/CDD]]="Direct",0,VLOOKUP(Tableau3[[#This Row],[Clé(POD-PFI)]],Transport!G:K,5,FALSE)),"")</f>
        <v>0</v>
      </c>
      <c r="K62" s="4" t="str">
        <f>VLOOKUP(Tableau3[[#This Row],[Name Consignee]],Tableau10[],4,FALSE)</f>
        <v>FRANCE</v>
      </c>
      <c r="L62" s="7" t="s">
        <v>210</v>
      </c>
      <c r="M62" s="376">
        <f>VLOOKUP(Tableau3[[#This Row],[Name Consignee]],Tableau10[],3,FALSE)</f>
        <v>90016200</v>
      </c>
      <c r="N62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63" spans="1:14" ht="14.1" hidden="1" customHeight="1">
      <c r="A63" s="449" t="str">
        <f>_xlfn.CONCAT(Tableau3[[#This Row],[POD]],"-",Tableau3[[#This Row],[Code PFI]],"-",Tableau3[[#This Row],[Compte Consignee]])</f>
        <v>FRLEH-91018400-90016102</v>
      </c>
      <c r="B63" s="191" t="str">
        <f>_xlfn.CONCAT(Tableau3[[#This Row],[POD]],"-",Tableau3[[#This Row],[Code PFI]])</f>
        <v>FRLEH-91018400</v>
      </c>
      <c r="C63" s="450" t="str">
        <f>IF(Tableau3[[#This Row],[Name PFI/CDD]]="",_xlfn.CONCAT(Tableau3[[#This Row],[POD]],"-",Tableau3[[#This Row],[Compte Consignee]]),"-")</f>
        <v>-</v>
      </c>
      <c r="D63" s="451" t="str">
        <f>_xlfn.CONCAT(Tableau3[[#This Row],[Code PFI]],"-",Tableau3[[#This Row],[Compte Consignee]])</f>
        <v>91018400-90016102</v>
      </c>
      <c r="E63" s="173" t="s">
        <v>483</v>
      </c>
      <c r="F63" s="452">
        <v>3</v>
      </c>
      <c r="G63" s="168" t="s">
        <v>171</v>
      </c>
      <c r="H63" s="376">
        <f>IF(Tableau3[[#This Row],[Name PFI/CDD]]&lt;&gt;"",VLOOKUP(Tableau3[[#This Row],[Name PFI/CDD]],Plant_AILN!I:J,2,FALSE),"-")</f>
        <v>91018400</v>
      </c>
      <c r="I63" s="169" t="str">
        <f>IF(Tableau3[[#This Row],[Code PFI]]="-","Direct","PFI/CDD")</f>
        <v>PFI/CDD</v>
      </c>
      <c r="J63" s="2">
        <f>IFERROR(IF(Tableau3[[#This Row],[type PFI/CDD]]="Direct",0,VLOOKUP(Tableau3[[#This Row],[Clé(POD-PFI)]],Transport!G:K,5,FALSE)),"")</f>
        <v>5</v>
      </c>
      <c r="K63" s="468" t="str">
        <f>VLOOKUP(Tableau3[[#This Row],[Name Consignee]],Tableau10[],4,FALSE)</f>
        <v>FRANCE</v>
      </c>
      <c r="L63" s="206" t="s">
        <v>236</v>
      </c>
      <c r="M63" s="376">
        <f>VLOOKUP(Tableau3[[#This Row],[Name Consignee]],Tableau10[],3,FALSE)</f>
        <v>90016102</v>
      </c>
      <c r="N63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64" spans="1:14" ht="14.1" hidden="1" customHeight="1">
      <c r="A64" s="449" t="str">
        <f>_xlfn.CONCAT(Tableau3[[#This Row],[POD]],"-",Tableau3[[#This Row],[Code PFI]],"-",Tableau3[[#This Row],[Compte Consignee]])</f>
        <v>FRLEH---90016102</v>
      </c>
      <c r="B64" s="191" t="str">
        <f>_xlfn.CONCAT(Tableau3[[#This Row],[POD]],"-",Tableau3[[#This Row],[Code PFI]])</f>
        <v>FRLEH--</v>
      </c>
      <c r="C64" s="450" t="str">
        <f>IF(Tableau3[[#This Row],[Name PFI/CDD]]="",_xlfn.CONCAT(Tableau3[[#This Row],[POD]],"-",Tableau3[[#This Row],[Compte Consignee]]),"-")</f>
        <v>FRLEH-90016102</v>
      </c>
      <c r="D64" s="451" t="str">
        <f>_xlfn.CONCAT(Tableau3[[#This Row],[Code PFI]],"-",Tableau3[[#This Row],[Compte Consignee]])</f>
        <v>--90016102</v>
      </c>
      <c r="E64" s="173" t="s">
        <v>483</v>
      </c>
      <c r="F64" s="452">
        <v>3</v>
      </c>
      <c r="G64" s="168"/>
      <c r="H64" s="376" t="str">
        <f>IF(Tableau3[[#This Row],[Name PFI/CDD]]&lt;&gt;"",VLOOKUP(Tableau3[[#This Row],[Name PFI/CDD]],Plant_AILN!I:J,2,FALSE),"-")</f>
        <v>-</v>
      </c>
      <c r="I64" s="169" t="str">
        <f>IF(Tableau3[[#This Row],[Code PFI]]="-","Direct","PFI/CDD")</f>
        <v>Direct</v>
      </c>
      <c r="J64" s="2">
        <f>IFERROR(IF(Tableau3[[#This Row],[type PFI/CDD]]="Direct",0,VLOOKUP(Tableau3[[#This Row],[Clé(POD-PFI)]],Transport!G:K,5,FALSE)),"")</f>
        <v>0</v>
      </c>
      <c r="K64" s="468" t="str">
        <f>VLOOKUP(Tableau3[[#This Row],[Name Consignee]],Tableau10[],4,FALSE)</f>
        <v>FRANCE</v>
      </c>
      <c r="L64" s="206" t="s">
        <v>236</v>
      </c>
      <c r="M64" s="376">
        <f>VLOOKUP(Tableau3[[#This Row],[Name Consignee]],Tableau10[],3,FALSE)</f>
        <v>90016102</v>
      </c>
      <c r="N64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5" spans="1:14" ht="14.1" hidden="1" customHeight="1">
      <c r="A65" s="449" t="str">
        <f>_xlfn.CONCAT(Tableau3[[#This Row],[POD]],"-",Tableau3[[#This Row],[Code PFI]],"-",Tableau3[[#This Row],[Compte Consignee]])</f>
        <v>FRLEH-90016600-90016100</v>
      </c>
      <c r="B65" s="191" t="str">
        <f>_xlfn.CONCAT(Tableau3[[#This Row],[POD]],"-",Tableau3[[#This Row],[Code PFI]])</f>
        <v>FRLEH-90016600</v>
      </c>
      <c r="C65" s="450" t="str">
        <f>IF(Tableau3[[#This Row],[Name PFI/CDD]]="",_xlfn.CONCAT(Tableau3[[#This Row],[POD]],"-",Tableau3[[#This Row],[Compte Consignee]]),"-")</f>
        <v>-</v>
      </c>
      <c r="D65" s="451" t="str">
        <f>_xlfn.CONCAT(Tableau3[[#This Row],[Code PFI]],"-",Tableau3[[#This Row],[Compte Consignee]])</f>
        <v>90016600-90016100</v>
      </c>
      <c r="E65" s="173" t="s">
        <v>483</v>
      </c>
      <c r="F65" s="452">
        <v>3</v>
      </c>
      <c r="G65" s="168" t="s">
        <v>155</v>
      </c>
      <c r="H65" s="376">
        <f>IF(Tableau3[[#This Row],[Name PFI/CDD]]&lt;&gt;"",VLOOKUP(Tableau3[[#This Row],[Name PFI/CDD]],Plant_AILN!I:J,2,FALSE),"-")</f>
        <v>90016600</v>
      </c>
      <c r="I65" s="169" t="str">
        <f>IF(Tableau3[[#This Row],[Code PFI]]="-","Direct","PFI/CDD")</f>
        <v>PFI/CDD</v>
      </c>
      <c r="J65" s="2">
        <f>IFERROR(IF(Tableau3[[#This Row],[type PFI/CDD]]="Direct",0,VLOOKUP(Tableau3[[#This Row],[Clé(POD-PFI)]],Transport!G:K,5,FALSE)),"")</f>
        <v>2</v>
      </c>
      <c r="K65" s="468" t="str">
        <f>VLOOKUP(Tableau3[[#This Row],[Name Consignee]],Tableau10[],4,FALSE)</f>
        <v>FRANCE</v>
      </c>
      <c r="L65" s="206" t="s">
        <v>237</v>
      </c>
      <c r="M65" s="376">
        <f>VLOOKUP(Tableau3[[#This Row],[Name Consignee]],Tableau10[],3,FALSE)</f>
        <v>90016100</v>
      </c>
      <c r="N65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6" spans="1:14" ht="14.1" hidden="1" customHeight="1">
      <c r="A66" s="449" t="str">
        <f>_xlfn.CONCAT(Tableau3[[#This Row],[POD]],"-",Tableau3[[#This Row],[Code PFI]],"-",Tableau3[[#This Row],[Compte Consignee]])</f>
        <v>FRLEH---90016100</v>
      </c>
      <c r="B66" s="191" t="str">
        <f>_xlfn.CONCAT(Tableau3[[#This Row],[POD]],"-",Tableau3[[#This Row],[Code PFI]])</f>
        <v>FRLEH--</v>
      </c>
      <c r="C66" s="450" t="str">
        <f>IF(Tableau3[[#This Row],[Name PFI/CDD]]="",_xlfn.CONCAT(Tableau3[[#This Row],[POD]],"-",Tableau3[[#This Row],[Compte Consignee]]),"-")</f>
        <v>FRLEH-90016100</v>
      </c>
      <c r="D66" s="451" t="str">
        <f>_xlfn.CONCAT(Tableau3[[#This Row],[Code PFI]],"-",Tableau3[[#This Row],[Compte Consignee]])</f>
        <v>--90016100</v>
      </c>
      <c r="E66" s="173" t="s">
        <v>483</v>
      </c>
      <c r="F66" s="452">
        <v>3</v>
      </c>
      <c r="G66" s="168"/>
      <c r="H66" s="376" t="str">
        <f>IF(Tableau3[[#This Row],[Name PFI/CDD]]&lt;&gt;"",VLOOKUP(Tableau3[[#This Row],[Name PFI/CDD]],Plant_AILN!I:J,2,FALSE),"-")</f>
        <v>-</v>
      </c>
      <c r="I66" s="169" t="str">
        <f>IF(Tableau3[[#This Row],[Code PFI]]="-","Direct","PFI/CDD")</f>
        <v>Direct</v>
      </c>
      <c r="J66" s="2">
        <f>IFERROR(IF(Tableau3[[#This Row],[type PFI/CDD]]="Direct",0,VLOOKUP(Tableau3[[#This Row],[Clé(POD-PFI)]],Transport!G:K,5,FALSE)),"")</f>
        <v>0</v>
      </c>
      <c r="K66" s="468" t="str">
        <f>VLOOKUP(Tableau3[[#This Row],[Name Consignee]],Tableau10[],4,FALSE)</f>
        <v>FRANCE</v>
      </c>
      <c r="L66" s="206" t="s">
        <v>237</v>
      </c>
      <c r="M66" s="376">
        <f>VLOOKUP(Tableau3[[#This Row],[Name Consignee]],Tableau10[],3,FALSE)</f>
        <v>90016100</v>
      </c>
      <c r="N6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7" spans="1:14" ht="14.1" hidden="1" customHeight="1">
      <c r="A67" s="163" t="str">
        <f>_xlfn.CONCAT(Tableau3[[#This Row],[POD]],"-",Tableau3[[#This Row],[Code PFI]],"-",Tableau3[[#This Row],[Compte Consignee]])</f>
        <v>FRLEH---92000100</v>
      </c>
      <c r="B67" s="163" t="str">
        <f>_xlfn.CONCAT(Tableau3[[#This Row],[POD]],"-",Tableau3[[#This Row],[Code PFI]])</f>
        <v>FRLEH--</v>
      </c>
      <c r="C67" s="171" t="str">
        <f>IF(Tableau3[[#This Row],[Name PFI/CDD]]="",_xlfn.CONCAT(Tableau3[[#This Row],[POD]],"-",Tableau3[[#This Row],[Compte Consignee]]),"-")</f>
        <v>FRLEH-92000100</v>
      </c>
      <c r="D67" s="172" t="str">
        <f>_xlfn.CONCAT(Tableau3[[#This Row],[Code PFI]],"-",Tableau3[[#This Row],[Compte Consignee]])</f>
        <v>--92000100</v>
      </c>
      <c r="E67" s="173" t="s">
        <v>483</v>
      </c>
      <c r="F67" s="174">
        <v>3</v>
      </c>
      <c r="G67" s="168"/>
      <c r="H67" s="376" t="str">
        <f>IF(Tableau3[[#This Row],[Name PFI/CDD]]&lt;&gt;"",VLOOKUP(Tableau3[[#This Row],[Name PFI/CDD]],Plant_AILN!I:J,2,FALSE),"-")</f>
        <v>-</v>
      </c>
      <c r="I67" s="169" t="str">
        <f>IF(Tableau3[[#This Row],[Code PFI]]="-","Direct","PFI/CDD")</f>
        <v>Direct</v>
      </c>
      <c r="J67" s="62">
        <f>IFERROR(IF(Tableau3[[#This Row],[type PFI/CDD]]="Direct",0,VLOOKUP(Tableau3[[#This Row],[Clé(POD-PFI)]],Transport!G:K,5,FALSE)),"")</f>
        <v>0</v>
      </c>
      <c r="K67" s="4" t="str">
        <f>VLOOKUP(Tableau3[[#This Row],[Name Consignee]],Tableau10[],4,FALSE)</f>
        <v>FRANCE</v>
      </c>
      <c r="L67" s="7" t="s">
        <v>183</v>
      </c>
      <c r="M67" s="376">
        <f>VLOOKUP(Tableau3[[#This Row],[Name Consignee]],Tableau10[],3,FALSE)</f>
        <v>92000100</v>
      </c>
      <c r="N67" s="3">
        <f>IFERROR(IF(Tableau3[[#This Row],[type PFI/CDD]]="Direct",VLOOKUP(Tableau3[[#This Row],[Clé(POD-Compte site )]],Transport!A:E,5,FALSE),VLOOKUP(Tableau3[[#This Row],[Clé(PFI-site)]],Transport!M:S,7,FALSE)),"No information")</f>
        <v>8</v>
      </c>
    </row>
    <row r="68" spans="1:14" ht="14.1" hidden="1" customHeight="1">
      <c r="A68" s="163" t="str">
        <f>_xlfn.CONCAT(Tableau3[[#This Row],[POD]],"-",Tableau3[[#This Row],[Code PFI]],"-",Tableau3[[#This Row],[Compte Consignee]])</f>
        <v>FRLEH---90015100</v>
      </c>
      <c r="B68" s="163" t="str">
        <f>_xlfn.CONCAT(Tableau3[[#This Row],[POD]],"-",Tableau3[[#This Row],[Code PFI]])</f>
        <v>FRLEH--</v>
      </c>
      <c r="C68" s="171" t="str">
        <f>IF(Tableau3[[#This Row],[Name PFI/CDD]]="",_xlfn.CONCAT(Tableau3[[#This Row],[POD]],"-",Tableau3[[#This Row],[Compte Consignee]]),"-")</f>
        <v>FRLEH-90015100</v>
      </c>
      <c r="D68" s="172" t="str">
        <f>_xlfn.CONCAT(Tableau3[[#This Row],[Code PFI]],"-",Tableau3[[#This Row],[Compte Consignee]])</f>
        <v>--90015100</v>
      </c>
      <c r="E68" s="173" t="s">
        <v>483</v>
      </c>
      <c r="F68" s="174">
        <v>3</v>
      </c>
      <c r="G68" s="168"/>
      <c r="H68" s="376" t="str">
        <f>IF(Tableau3[[#This Row],[Name PFI/CDD]]&lt;&gt;"",VLOOKUP(Tableau3[[#This Row],[Name PFI/CDD]],Plant_AILN!I:J,2,FALSE),"-")</f>
        <v>-</v>
      </c>
      <c r="I68" s="169" t="str">
        <f>IF(Tableau3[[#This Row],[Code PFI]]="-","Direct","PFI/CDD")</f>
        <v>Direct</v>
      </c>
      <c r="J68" s="62">
        <f>IFERROR(IF(Tableau3[[#This Row],[type PFI/CDD]]="Direct",0,VLOOKUP(Tableau3[[#This Row],[Clé(POD-PFI)]],Transport!G:K,5,FALSE)),"")</f>
        <v>0</v>
      </c>
      <c r="K68" s="4" t="str">
        <f>VLOOKUP(Tableau3[[#This Row],[Name Consignee]],Tableau10[],4,FALSE)</f>
        <v>FRANCE</v>
      </c>
      <c r="L68" s="7" t="s">
        <v>209</v>
      </c>
      <c r="M68" s="376">
        <f>VLOOKUP(Tableau3[[#This Row],[Name Consignee]],Tableau10[],3,FALSE)</f>
        <v>90015100</v>
      </c>
      <c r="N68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9" spans="1:14" ht="14.1" hidden="1" customHeight="1">
      <c r="A69" s="163" t="str">
        <f>_xlfn.CONCAT(Tableau3[[#This Row],[POD]],"-",Tableau3[[#This Row],[Code PFI]],"-",Tableau3[[#This Row],[Compte Consignee]])</f>
        <v>FRLEH---90016600</v>
      </c>
      <c r="B69" s="163" t="str">
        <f>_xlfn.CONCAT(Tableau3[[#This Row],[POD]],"-",Tableau3[[#This Row],[Code PFI]])</f>
        <v>FRLEH--</v>
      </c>
      <c r="C69" s="171" t="str">
        <f>IF(Tableau3[[#This Row],[Name PFI/CDD]]="",_xlfn.CONCAT(Tableau3[[#This Row],[POD]],"-",Tableau3[[#This Row],[Compte Consignee]]),"-")</f>
        <v>FRLEH-90016600</v>
      </c>
      <c r="D69" s="172" t="str">
        <f>_xlfn.CONCAT(Tableau3[[#This Row],[Code PFI]],"-",Tableau3[[#This Row],[Compte Consignee]])</f>
        <v>--90016600</v>
      </c>
      <c r="E69" s="173" t="s">
        <v>483</v>
      </c>
      <c r="F69" s="174">
        <v>3</v>
      </c>
      <c r="G69" s="168"/>
      <c r="H69" s="376" t="str">
        <f>IF(Tableau3[[#This Row],[Name PFI/CDD]]&lt;&gt;"",VLOOKUP(Tableau3[[#This Row],[Name PFI/CDD]],Plant_AILN!I:J,2,FALSE),"-")</f>
        <v>-</v>
      </c>
      <c r="I69" s="169" t="str">
        <f>IF(Tableau3[[#This Row],[Code PFI]]="-","Direct","PFI/CDD")</f>
        <v>Direct</v>
      </c>
      <c r="J69" s="62">
        <f>IFERROR(IF(Tableau3[[#This Row],[type PFI/CDD]]="Direct",0,VLOOKUP(Tableau3[[#This Row],[Clé(POD-PFI)]],Transport!G:K,5,FALSE)),"")</f>
        <v>0</v>
      </c>
      <c r="K69" s="4" t="str">
        <f>VLOOKUP(Tableau3[[#This Row],[Name Consignee]],Tableau10[],4,FALSE)</f>
        <v>FRANCE</v>
      </c>
      <c r="L69" s="7" t="s">
        <v>143</v>
      </c>
      <c r="M69" s="376">
        <f>VLOOKUP(Tableau3[[#This Row],[Name Consignee]],Tableau10[],3,FALSE)</f>
        <v>90016600</v>
      </c>
      <c r="N69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0" spans="1:14" ht="14.1" hidden="1" customHeight="1">
      <c r="A70" s="163" t="str">
        <f>_xlfn.CONCAT(Tableau3[[#This Row],[POD]],"-",Tableau3[[#This Row],[Code PFI]],"-",Tableau3[[#This Row],[Compte Consignee]])</f>
        <v>INENR---26549500</v>
      </c>
      <c r="B70" s="163" t="str">
        <f>_xlfn.CONCAT(Tableau3[[#This Row],[POD]],"-",Tableau3[[#This Row],[Code PFI]])</f>
        <v>INENR--</v>
      </c>
      <c r="C70" s="171" t="str">
        <f>IF(Tableau3[[#This Row],[Name PFI/CDD]]="",_xlfn.CONCAT(Tableau3[[#This Row],[POD]],"-",Tableau3[[#This Row],[Compte Consignee]]),"-")</f>
        <v>INENR-26549500</v>
      </c>
      <c r="D70" s="172" t="str">
        <f>_xlfn.CONCAT(Tableau3[[#This Row],[Code PFI]],"-",Tableau3[[#This Row],[Compte Consignee]])</f>
        <v>--26549500</v>
      </c>
      <c r="E70" s="173" t="s">
        <v>502</v>
      </c>
      <c r="F70" s="174">
        <v>4</v>
      </c>
      <c r="G70" s="168"/>
      <c r="H70" s="376" t="str">
        <f>IF(Tableau3[[#This Row],[Name PFI/CDD]]&lt;&gt;"",VLOOKUP(Tableau3[[#This Row],[Name PFI/CDD]],Plant_AILN!I:J,2,FALSE),"-")</f>
        <v>-</v>
      </c>
      <c r="I70" s="169" t="str">
        <f>IF(Tableau3[[#This Row],[Code PFI]]="-","Direct","PFI/CDD")</f>
        <v>Direct</v>
      </c>
      <c r="J70" s="62">
        <f>IFERROR(IF(Tableau3[[#This Row],[type PFI/CDD]]="Direct",0,VLOOKUP(Tableau3[[#This Row],[Clé(POD-PFI)]],Transport!G:K,5,FALSE)),"")</f>
        <v>0</v>
      </c>
      <c r="K70" s="4" t="str">
        <f>VLOOKUP(Tableau3[[#This Row],[Name Consignee]],Tableau10[],4,FALSE)</f>
        <v>INDIA</v>
      </c>
      <c r="L70" s="7" t="s">
        <v>221</v>
      </c>
      <c r="M70" s="376">
        <f>VLOOKUP(Tableau3[[#This Row],[Name Consignee]],Tableau10[],3,FALSE)</f>
        <v>26549500</v>
      </c>
      <c r="N70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1" spans="1:14" ht="14.1" hidden="1" customHeight="1">
      <c r="A71" s="163" t="str">
        <f>_xlfn.CONCAT(Tableau3[[#This Row],[POD]],"-",Tableau3[[#This Row],[Code PFI]],"-",Tableau3[[#This Row],[Compte Consignee]])</f>
        <v>INKAT---26549500</v>
      </c>
      <c r="B71" s="163" t="str">
        <f>_xlfn.CONCAT(Tableau3[[#This Row],[POD]],"-",Tableau3[[#This Row],[Code PFI]])</f>
        <v>INKAT--</v>
      </c>
      <c r="C71" s="171" t="str">
        <f>IF(Tableau3[[#This Row],[Name PFI/CDD]]="",_xlfn.CONCAT(Tableau3[[#This Row],[POD]],"-",Tableau3[[#This Row],[Compte Consignee]]),"-")</f>
        <v>INKAT-26549500</v>
      </c>
      <c r="D71" s="172" t="str">
        <f>_xlfn.CONCAT(Tableau3[[#This Row],[Code PFI]],"-",Tableau3[[#This Row],[Compte Consignee]])</f>
        <v>--26549500</v>
      </c>
      <c r="E71" s="173" t="s">
        <v>571</v>
      </c>
      <c r="F71" s="174">
        <v>4</v>
      </c>
      <c r="G71" s="168"/>
      <c r="H71" s="376" t="str">
        <f>IF(Tableau3[[#This Row],[Name PFI/CDD]]&lt;&gt;"",VLOOKUP(Tableau3[[#This Row],[Name PFI/CDD]],Plant_AILN!I:J,2,FALSE),"-")</f>
        <v>-</v>
      </c>
      <c r="I71" s="169" t="str">
        <f>IF(Tableau3[[#This Row],[Code PFI]]="-","Direct","PFI/CDD")</f>
        <v>Direct</v>
      </c>
      <c r="J71" s="62">
        <f>IFERROR(IF(Tableau3[[#This Row],[type PFI/CDD]]="Direct",0,VLOOKUP(Tableau3[[#This Row],[Clé(POD-PFI)]],Transport!G:K,5,FALSE)),"")</f>
        <v>0</v>
      </c>
      <c r="K71" s="4" t="str">
        <f>VLOOKUP(Tableau3[[#This Row],[Name Consignee]],Tableau10[],4,FALSE)</f>
        <v>INDIA</v>
      </c>
      <c r="L71" s="7" t="s">
        <v>221</v>
      </c>
      <c r="M71" s="376">
        <f>VLOOKUP(Tableau3[[#This Row],[Name Consignee]],Tableau10[],3,FALSE)</f>
        <v>26549500</v>
      </c>
      <c r="N71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2" spans="1:14" ht="14.1" hidden="1" customHeight="1">
      <c r="A72" s="163" t="str">
        <f>_xlfn.CONCAT(Tableau3[[#This Row],[POD]],"-",Tableau3[[#This Row],[Code PFI]],"-",Tableau3[[#This Row],[Compte Consignee]])</f>
        <v>INMAA---26549500</v>
      </c>
      <c r="B72" s="163" t="str">
        <f>_xlfn.CONCAT(Tableau3[[#This Row],[POD]],"-",Tableau3[[#This Row],[Code PFI]])</f>
        <v>INMAA--</v>
      </c>
      <c r="C72" s="171" t="str">
        <f>IF(Tableau3[[#This Row],[Name PFI/CDD]]="",_xlfn.CONCAT(Tableau3[[#This Row],[POD]],"-",Tableau3[[#This Row],[Compte Consignee]]),"-")</f>
        <v>INMAA-26549500</v>
      </c>
      <c r="D72" s="172" t="str">
        <f>_xlfn.CONCAT(Tableau3[[#This Row],[Code PFI]],"-",Tableau3[[#This Row],[Compte Consignee]])</f>
        <v>--26549500</v>
      </c>
      <c r="E72" s="173" t="s">
        <v>537</v>
      </c>
      <c r="F72" s="174">
        <v>4</v>
      </c>
      <c r="G72" s="168"/>
      <c r="H72" s="376" t="str">
        <f>IF(Tableau3[[#This Row],[Name PFI/CDD]]&lt;&gt;"",VLOOKUP(Tableau3[[#This Row],[Name PFI/CDD]],Plant_AILN!I:J,2,FALSE),"-")</f>
        <v>-</v>
      </c>
      <c r="I72" s="169" t="str">
        <f>IF(Tableau3[[#This Row],[Code PFI]]="-","Direct","PFI/CDD")</f>
        <v>Direct</v>
      </c>
      <c r="J72" s="62">
        <f>IFERROR(IF(Tableau3[[#This Row],[type PFI/CDD]]="Direct",0,VLOOKUP(Tableau3[[#This Row],[Clé(POD-PFI)]],Transport!G:K,5,FALSE)),"")</f>
        <v>0</v>
      </c>
      <c r="K72" s="4" t="str">
        <f>VLOOKUP(Tableau3[[#This Row],[Name Consignee]],Tableau10[],4,FALSE)</f>
        <v>INDIA</v>
      </c>
      <c r="L72" s="7" t="s">
        <v>221</v>
      </c>
      <c r="M72" s="376">
        <f>VLOOKUP(Tableau3[[#This Row],[Name Consignee]],Tableau10[],3,FALSE)</f>
        <v>26549500</v>
      </c>
      <c r="N7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3" spans="1:14" ht="14.1" hidden="1" customHeight="1">
      <c r="A73" s="163" t="str">
        <f>_xlfn.CONCAT(Tableau3[[#This Row],[POD]],"-",Tableau3[[#This Row],[Code PFI]],"-",Tableau3[[#This Row],[Compte Consignee]])</f>
        <v>INENR---26549502</v>
      </c>
      <c r="B73" s="163" t="str">
        <f>_xlfn.CONCAT(Tableau3[[#This Row],[POD]],"-",Tableau3[[#This Row],[Code PFI]])</f>
        <v>INENR--</v>
      </c>
      <c r="C73" s="171" t="str">
        <f>IF(Tableau3[[#This Row],[Name PFI/CDD]]="",_xlfn.CONCAT(Tableau3[[#This Row],[POD]],"-",Tableau3[[#This Row],[Compte Consignee]]),"-")</f>
        <v>INENR-26549502</v>
      </c>
      <c r="D73" s="172" t="str">
        <f>_xlfn.CONCAT(Tableau3[[#This Row],[Code PFI]],"-",Tableau3[[#This Row],[Compte Consignee]])</f>
        <v>--26549502</v>
      </c>
      <c r="E73" s="173" t="s">
        <v>502</v>
      </c>
      <c r="F73" s="174">
        <v>4</v>
      </c>
      <c r="G73" s="168"/>
      <c r="H73" s="376" t="str">
        <f>IF(Tableau3[[#This Row],[Name PFI/CDD]]&lt;&gt;"",VLOOKUP(Tableau3[[#This Row],[Name PFI/CDD]],Plant_AILN!I:J,2,FALSE),"-")</f>
        <v>-</v>
      </c>
      <c r="I73" s="169" t="str">
        <f>IF(Tableau3[[#This Row],[Code PFI]]="-","Direct","PFI/CDD")</f>
        <v>Direct</v>
      </c>
      <c r="J73" s="62">
        <f>IFERROR(IF(Tableau3[[#This Row],[type PFI/CDD]]="Direct",0,VLOOKUP(Tableau3[[#This Row],[Clé(POD-PFI)]],Transport!G:K,5,FALSE)),"")</f>
        <v>0</v>
      </c>
      <c r="K73" s="4" t="str">
        <f>VLOOKUP(Tableau3[[#This Row],[Name Consignee]],Tableau10[],4,FALSE)</f>
        <v>INDIA</v>
      </c>
      <c r="L73" s="7" t="s">
        <v>159</v>
      </c>
      <c r="M73" s="376">
        <f>VLOOKUP(Tableau3[[#This Row],[Name Consignee]],Tableau10[],3,FALSE)</f>
        <v>26549502</v>
      </c>
      <c r="N7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4" spans="1:14" ht="14.1" hidden="1" customHeight="1">
      <c r="A74" s="163" t="str">
        <f>_xlfn.CONCAT(Tableau3[[#This Row],[POD]],"-",Tableau3[[#This Row],[Code PFI]],"-",Tableau3[[#This Row],[Compte Consignee]])</f>
        <v>INKAT---26549502</v>
      </c>
      <c r="B74" s="163" t="str">
        <f>_xlfn.CONCAT(Tableau3[[#This Row],[POD]],"-",Tableau3[[#This Row],[Code PFI]])</f>
        <v>INKAT--</v>
      </c>
      <c r="C74" s="171" t="str">
        <f>IF(Tableau3[[#This Row],[Name PFI/CDD]]="",_xlfn.CONCAT(Tableau3[[#This Row],[POD]],"-",Tableau3[[#This Row],[Compte Consignee]]),"-")</f>
        <v>INKAT-26549502</v>
      </c>
      <c r="D74" s="172" t="str">
        <f>_xlfn.CONCAT(Tableau3[[#This Row],[Code PFI]],"-",Tableau3[[#This Row],[Compte Consignee]])</f>
        <v>--26549502</v>
      </c>
      <c r="E74" s="173" t="s">
        <v>571</v>
      </c>
      <c r="F74" s="174">
        <v>4</v>
      </c>
      <c r="G74" s="168"/>
      <c r="H74" s="376" t="str">
        <f>IF(Tableau3[[#This Row],[Name PFI/CDD]]&lt;&gt;"",VLOOKUP(Tableau3[[#This Row],[Name PFI/CDD]],Plant_AILN!I:J,2,FALSE),"-")</f>
        <v>-</v>
      </c>
      <c r="I74" s="169" t="str">
        <f>IF(Tableau3[[#This Row],[Code PFI]]="-","Direct","PFI/CDD")</f>
        <v>Direct</v>
      </c>
      <c r="J74" s="62">
        <f>IFERROR(IF(Tableau3[[#This Row],[type PFI/CDD]]="Direct",0,VLOOKUP(Tableau3[[#This Row],[Clé(POD-PFI)]],Transport!G:K,5,FALSE)),"")</f>
        <v>0</v>
      </c>
      <c r="K74" s="4" t="str">
        <f>VLOOKUP(Tableau3[[#This Row],[Name Consignee]],Tableau10[],4,FALSE)</f>
        <v>INDIA</v>
      </c>
      <c r="L74" s="7" t="s">
        <v>159</v>
      </c>
      <c r="M74" s="376">
        <f>VLOOKUP(Tableau3[[#This Row],[Name Consignee]],Tableau10[],3,FALSE)</f>
        <v>26549502</v>
      </c>
      <c r="N74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5" spans="1:14" ht="14.1" hidden="1" customHeight="1">
      <c r="A75" s="163" t="str">
        <f>_xlfn.CONCAT(Tableau3[[#This Row],[POD]],"-",Tableau3[[#This Row],[Code PFI]],"-",Tableau3[[#This Row],[Compte Consignee]])</f>
        <v>INMAA---26549502</v>
      </c>
      <c r="B75" s="163" t="str">
        <f>_xlfn.CONCAT(Tableau3[[#This Row],[POD]],"-",Tableau3[[#This Row],[Code PFI]])</f>
        <v>INMAA--</v>
      </c>
      <c r="C75" s="171" t="str">
        <f>IF(Tableau3[[#This Row],[Name PFI/CDD]]="",_xlfn.CONCAT(Tableau3[[#This Row],[POD]],"-",Tableau3[[#This Row],[Compte Consignee]]),"-")</f>
        <v>INMAA-26549502</v>
      </c>
      <c r="D75" s="172" t="str">
        <f>_xlfn.CONCAT(Tableau3[[#This Row],[Code PFI]],"-",Tableau3[[#This Row],[Compte Consignee]])</f>
        <v>--26549502</v>
      </c>
      <c r="E75" s="173" t="s">
        <v>537</v>
      </c>
      <c r="F75" s="174">
        <v>4</v>
      </c>
      <c r="G75" s="168"/>
      <c r="H75" s="376" t="str">
        <f>IF(Tableau3[[#This Row],[Name PFI/CDD]]&lt;&gt;"",VLOOKUP(Tableau3[[#This Row],[Name PFI/CDD]],Plant_AILN!I:J,2,FALSE),"-")</f>
        <v>-</v>
      </c>
      <c r="I75" s="169" t="str">
        <f>IF(Tableau3[[#This Row],[Code PFI]]="-","Direct","PFI/CDD")</f>
        <v>Direct</v>
      </c>
      <c r="J75" s="62">
        <f>IFERROR(IF(Tableau3[[#This Row],[type PFI/CDD]]="Direct",0,VLOOKUP(Tableau3[[#This Row],[Clé(POD-PFI)]],Transport!G:K,5,FALSE)),"")</f>
        <v>0</v>
      </c>
      <c r="K75" s="4" t="str">
        <f>VLOOKUP(Tableau3[[#This Row],[Name Consignee]],Tableau10[],4,FALSE)</f>
        <v>INDIA</v>
      </c>
      <c r="L75" s="7" t="s">
        <v>159</v>
      </c>
      <c r="M75" s="376">
        <f>VLOOKUP(Tableau3[[#This Row],[Name Consignee]],Tableau10[],3,FALSE)</f>
        <v>26549502</v>
      </c>
      <c r="N75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6" spans="1:14" ht="14.1" hidden="1" customHeight="1">
      <c r="A76" s="163" t="str">
        <f>_xlfn.CONCAT(Tableau3[[#This Row],[POD]],"-",Tableau3[[#This Row],[Code PFI]],"-",Tableau3[[#This Row],[Compte Consignee]])</f>
        <v>INNSA---92049500</v>
      </c>
      <c r="B76" s="163" t="str">
        <f>_xlfn.CONCAT(Tableau3[[#This Row],[POD]],"-",Tableau3[[#This Row],[Code PFI]])</f>
        <v>INNSA--</v>
      </c>
      <c r="C76" s="171" t="str">
        <f>IF(Tableau3[[#This Row],[Name PFI/CDD]]="",_xlfn.CONCAT(Tableau3[[#This Row],[POD]],"-",Tableau3[[#This Row],[Compte Consignee]]),"-")</f>
        <v>INNSA-92049500</v>
      </c>
      <c r="D76" s="172" t="str">
        <f>_xlfn.CONCAT(Tableau3[[#This Row],[Code PFI]],"-",Tableau3[[#This Row],[Compte Consignee]])</f>
        <v>--92049500</v>
      </c>
      <c r="E76" s="173" t="s">
        <v>511</v>
      </c>
      <c r="F76" s="174">
        <v>3</v>
      </c>
      <c r="G76" s="168"/>
      <c r="H76" s="376" t="str">
        <f>IF(Tableau3[[#This Row],[Name PFI/CDD]]&lt;&gt;"",VLOOKUP(Tableau3[[#This Row],[Name PFI/CDD]],Plant_AILN!I:J,2,FALSE),"-")</f>
        <v>-</v>
      </c>
      <c r="I76" s="169" t="str">
        <f>IF(Tableau3[[#This Row],[Code PFI]]="-","Direct","PFI/CDD")</f>
        <v>Direct</v>
      </c>
      <c r="J76" s="62">
        <f>IFERROR(IF(Tableau3[[#This Row],[type PFI/CDD]]="Direct",0,VLOOKUP(Tableau3[[#This Row],[Clé(POD-PFI)]],Transport!G:K,5,FALSE)),"")</f>
        <v>0</v>
      </c>
      <c r="K76" s="4" t="str">
        <f>VLOOKUP(Tableau3[[#This Row],[Name Consignee]],Tableau10[],4,FALSE)</f>
        <v>INDIA</v>
      </c>
      <c r="L76" s="7" t="s">
        <v>223</v>
      </c>
      <c r="M76" s="376">
        <f>VLOOKUP(Tableau3[[#This Row],[Name Consignee]],Tableau10[],3,FALSE)</f>
        <v>92049500</v>
      </c>
      <c r="N76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77" spans="1:14" ht="14.1" hidden="1" customHeight="1">
      <c r="A77" s="163" t="str">
        <f>_xlfn.CONCAT(Tableau3[[#This Row],[POD]],"-",Tableau3[[#This Row],[Code PFI]],"-",Tableau3[[#This Row],[Compte Consignee]])</f>
        <v>JPMOJ---0</v>
      </c>
      <c r="B77" s="163" t="str">
        <f>_xlfn.CONCAT(Tableau3[[#This Row],[POD]],"-",Tableau3[[#This Row],[Code PFI]])</f>
        <v>JPMOJ--</v>
      </c>
      <c r="C77" s="171" t="str">
        <f>IF(Tableau3[[#This Row],[Name PFI/CDD]]="",_xlfn.CONCAT(Tableau3[[#This Row],[POD]],"-",Tableau3[[#This Row],[Compte Consignee]]),"-")</f>
        <v>JPMOJ-0</v>
      </c>
      <c r="D77" s="172" t="str">
        <f>_xlfn.CONCAT(Tableau3[[#This Row],[Code PFI]],"-",Tableau3[[#This Row],[Compte Consignee]])</f>
        <v>--0</v>
      </c>
      <c r="E77" s="173" t="s">
        <v>657</v>
      </c>
      <c r="F77" s="174">
        <v>6</v>
      </c>
      <c r="G77" s="168"/>
      <c r="H77" s="376" t="str">
        <f>IF(Tableau3[[#This Row],[Name PFI/CDD]]&lt;&gt;"",VLOOKUP(Tableau3[[#This Row],[Name PFI/CDD]],Plant_AILN!I:J,2,FALSE),"-")</f>
        <v>-</v>
      </c>
      <c r="I77" s="169" t="str">
        <f>IF(Tableau3[[#This Row],[Code PFI]]="-","Direct","PFI/CDD")</f>
        <v>Direct</v>
      </c>
      <c r="J77" s="62">
        <f>IFERROR(IF(Tableau3[[#This Row],[type PFI/CDD]]="Direct",0,VLOOKUP(Tableau3[[#This Row],[Clé(POD-PFI)]],Transport!G:K,5,FALSE)),"")</f>
        <v>0</v>
      </c>
      <c r="K77" s="4" t="str">
        <f>VLOOKUP(Tableau3[[#This Row],[Name Consignee]],Tableau10[],4,FALSE)</f>
        <v>JAPAN</v>
      </c>
      <c r="L77" s="7" t="s">
        <v>224</v>
      </c>
      <c r="M77" s="376">
        <f>VLOOKUP(Tableau3[[#This Row],[Name Consignee]],Tableau10[],3,FALSE)</f>
        <v>0</v>
      </c>
      <c r="N77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8" spans="1:14" ht="14.1" hidden="1" customHeight="1">
      <c r="A78" s="163" t="str">
        <f>_xlfn.CONCAT(Tableau3[[#This Row],[POD]],"-",Tableau3[[#This Row],[Code PFI]],"-",Tableau3[[#This Row],[Compte Consignee]])</f>
        <v>JPMOJ---2915900</v>
      </c>
      <c r="B78" s="163" t="str">
        <f>_xlfn.CONCAT(Tableau3[[#This Row],[POD]],"-",Tableau3[[#This Row],[Code PFI]])</f>
        <v>JPMOJ--</v>
      </c>
      <c r="C78" s="171" t="str">
        <f>IF(Tableau3[[#This Row],[Name PFI/CDD]]="",_xlfn.CONCAT(Tableau3[[#This Row],[POD]],"-",Tableau3[[#This Row],[Compte Consignee]]),"-")</f>
        <v>JPMOJ-2915900</v>
      </c>
      <c r="D78" s="172" t="str">
        <f>_xlfn.CONCAT(Tableau3[[#This Row],[Code PFI]],"-",Tableau3[[#This Row],[Compte Consignee]])</f>
        <v>--2915900</v>
      </c>
      <c r="E78" s="173" t="s">
        <v>657</v>
      </c>
      <c r="F78" s="174">
        <v>6</v>
      </c>
      <c r="G78" s="168"/>
      <c r="H78" s="376" t="str">
        <f>IF(Tableau3[[#This Row],[Name PFI/CDD]]&lt;&gt;"",VLOOKUP(Tableau3[[#This Row],[Name PFI/CDD]],Plant_AILN!I:J,2,FALSE),"-")</f>
        <v>-</v>
      </c>
      <c r="I78" s="169" t="str">
        <f>IF(Tableau3[[#This Row],[Code PFI]]="-","Direct","PFI/CDD")</f>
        <v>Direct</v>
      </c>
      <c r="J78" s="62">
        <f>IFERROR(IF(Tableau3[[#This Row],[type PFI/CDD]]="Direct",0,VLOOKUP(Tableau3[[#This Row],[Clé(POD-PFI)]],Transport!G:K,5,FALSE)),"")</f>
        <v>0</v>
      </c>
      <c r="K78" s="4" t="str">
        <f>VLOOKUP(Tableau3[[#This Row],[Name Consignee]],Tableau10[],4,FALSE)</f>
        <v>JAPAN</v>
      </c>
      <c r="L78" s="7" t="s">
        <v>226</v>
      </c>
      <c r="M78" s="376">
        <f>VLOOKUP(Tableau3[[#This Row],[Name Consignee]],Tableau10[],3,FALSE)</f>
        <v>2915900</v>
      </c>
      <c r="N78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9" spans="1:14" ht="14.1" hidden="1" customHeight="1">
      <c r="A79" s="163" t="str">
        <f>_xlfn.CONCAT(Tableau3[[#This Row],[POD]],"-",Tableau3[[#This Row],[Code PFI]],"-",Tableau3[[#This Row],[Compte Consignee]])</f>
        <v>JPYOK---0</v>
      </c>
      <c r="B79" s="163" t="str">
        <f>_xlfn.CONCAT(Tableau3[[#This Row],[POD]],"-",Tableau3[[#This Row],[Code PFI]])</f>
        <v>JPYOK--</v>
      </c>
      <c r="C79" s="171" t="str">
        <f>IF(Tableau3[[#This Row],[Name PFI/CDD]]="",_xlfn.CONCAT(Tableau3[[#This Row],[POD]],"-",Tableau3[[#This Row],[Compte Consignee]]),"-")</f>
        <v>JPYOK-0</v>
      </c>
      <c r="D79" s="172" t="str">
        <f>_xlfn.CONCAT(Tableau3[[#This Row],[Code PFI]],"-",Tableau3[[#This Row],[Compte Consignee]])</f>
        <v>--0</v>
      </c>
      <c r="E79" s="173" t="s">
        <v>681</v>
      </c>
      <c r="F79" s="174">
        <v>6</v>
      </c>
      <c r="G79" s="168"/>
      <c r="H79" s="376" t="str">
        <f>IF(Tableau3[[#This Row],[Name PFI/CDD]]&lt;&gt;"",VLOOKUP(Tableau3[[#This Row],[Name PFI/CDD]],Plant_AILN!I:J,2,FALSE),"-")</f>
        <v>-</v>
      </c>
      <c r="I79" s="169" t="str">
        <f>IF(Tableau3[[#This Row],[Code PFI]]="-","Direct","PFI/CDD")</f>
        <v>Direct</v>
      </c>
      <c r="J79" s="62">
        <f>IFERROR(IF(Tableau3[[#This Row],[type PFI/CDD]]="Direct",0,VLOOKUP(Tableau3[[#This Row],[Clé(POD-PFI)]],Transport!G:K,5,FALSE)),"")</f>
        <v>0</v>
      </c>
      <c r="K79" s="4" t="str">
        <f>VLOOKUP(Tableau3[[#This Row],[Name Consignee]],Tableau10[],4,FALSE)</f>
        <v>JAPAN</v>
      </c>
      <c r="L79" s="7" t="s">
        <v>227</v>
      </c>
      <c r="M79" s="376">
        <f>VLOOKUP(Tableau3[[#This Row],[Name Consignee]],Tableau10[],3,FALSE)</f>
        <v>0</v>
      </c>
      <c r="N79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80" spans="1:14" ht="14.1" hidden="1" customHeight="1">
      <c r="A80" s="163" t="str">
        <f>_xlfn.CONCAT(Tableau3[[#This Row],[POD]],"-",Tableau3[[#This Row],[Code PFI]],"-",Tableau3[[#This Row],[Compte Consignee]])</f>
        <v>JPYOK---0</v>
      </c>
      <c r="B80" s="163" t="str">
        <f>_xlfn.CONCAT(Tableau3[[#This Row],[POD]],"-",Tableau3[[#This Row],[Code PFI]])</f>
        <v>JPYOK--</v>
      </c>
      <c r="C80" s="171" t="str">
        <f>IF(Tableau3[[#This Row],[Name PFI/CDD]]="",_xlfn.CONCAT(Tableau3[[#This Row],[POD]],"-",Tableau3[[#This Row],[Compte Consignee]]),"-")</f>
        <v>JPYOK-0</v>
      </c>
      <c r="D80" s="172" t="str">
        <f>_xlfn.CONCAT(Tableau3[[#This Row],[Code PFI]],"-",Tableau3[[#This Row],[Compte Consignee]])</f>
        <v>--0</v>
      </c>
      <c r="E80" s="173" t="s">
        <v>681</v>
      </c>
      <c r="F80" s="174">
        <v>6</v>
      </c>
      <c r="G80" s="168"/>
      <c r="H80" s="376" t="str">
        <f>IF(Tableau3[[#This Row],[Name PFI/CDD]]&lt;&gt;"",VLOOKUP(Tableau3[[#This Row],[Name PFI/CDD]],Plant_AILN!I:J,2,FALSE),"-")</f>
        <v>-</v>
      </c>
      <c r="I80" s="169" t="str">
        <f>IF(Tableau3[[#This Row],[Code PFI]]="-","Direct","PFI/CDD")</f>
        <v>Direct</v>
      </c>
      <c r="J80" s="62">
        <f>IFERROR(IF(Tableau3[[#This Row],[type PFI/CDD]]="Direct",0,VLOOKUP(Tableau3[[#This Row],[Clé(POD-PFI)]],Transport!G:K,5,FALSE)),"")</f>
        <v>0</v>
      </c>
      <c r="K80" s="4" t="str">
        <f>VLOOKUP(Tableau3[[#This Row],[Name Consignee]],Tableau10[],4,FALSE)</f>
        <v>JAPAN</v>
      </c>
      <c r="L80" s="7" t="s">
        <v>225</v>
      </c>
      <c r="M80" s="376">
        <f>VLOOKUP(Tableau3[[#This Row],[Name Consignee]],Tableau10[],3,FALSE)</f>
        <v>0</v>
      </c>
      <c r="N80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81" spans="1:14" ht="14.1" hidden="1" customHeight="1">
      <c r="A81" s="163" t="str">
        <f>_xlfn.CONCAT(Tableau3[[#This Row],[POD]],"-",Tableau3[[#This Row],[Code PFI]],"-",Tableau3[[#This Row],[Compte Consignee]])</f>
        <v>KRPUS---92002200</v>
      </c>
      <c r="B81" s="163" t="str">
        <f>_xlfn.CONCAT(Tableau3[[#This Row],[POD]],"-",Tableau3[[#This Row],[Code PFI]])</f>
        <v>KRPUS--</v>
      </c>
      <c r="C81" s="171" t="str">
        <f>IF(Tableau3[[#This Row],[Name PFI/CDD]]="",_xlfn.CONCAT(Tableau3[[#This Row],[POD]],"-",Tableau3[[#This Row],[Compte Consignee]]),"-")</f>
        <v>KRPUS-92002200</v>
      </c>
      <c r="D81" s="172" t="str">
        <f>_xlfn.CONCAT(Tableau3[[#This Row],[Code PFI]],"-",Tableau3[[#This Row],[Compte Consignee]])</f>
        <v>--92002200</v>
      </c>
      <c r="E81" s="173" t="s">
        <v>496</v>
      </c>
      <c r="F81" s="174">
        <v>2</v>
      </c>
      <c r="G81" s="168"/>
      <c r="H81" s="376" t="str">
        <f>IF(Tableau3[[#This Row],[Name PFI/CDD]]&lt;&gt;"",VLOOKUP(Tableau3[[#This Row],[Name PFI/CDD]],Plant_AILN!I:J,2,FALSE),"-")</f>
        <v>-</v>
      </c>
      <c r="I81" s="169" t="str">
        <f>IF(Tableau3[[#This Row],[Code PFI]]="-","Direct","PFI/CDD")</f>
        <v>Direct</v>
      </c>
      <c r="J81" s="62">
        <f>IFERROR(IF(Tableau3[[#This Row],[type PFI/CDD]]="Direct",0,VLOOKUP(Tableau3[[#This Row],[Clé(POD-PFI)]],Transport!G:K,5,FALSE)),"")</f>
        <v>0</v>
      </c>
      <c r="K81" s="4" t="str">
        <f>VLOOKUP(Tableau3[[#This Row],[Name Consignee]],Tableau10[],4,FALSE)</f>
        <v>KOREA</v>
      </c>
      <c r="L81" s="7" t="s">
        <v>145</v>
      </c>
      <c r="M81" s="376">
        <f>VLOOKUP(Tableau3[[#This Row],[Name Consignee]],Tableau10[],3,FALSE)</f>
        <v>92002200</v>
      </c>
      <c r="N81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82" spans="1:14" ht="14.1" hidden="1" customHeight="1">
      <c r="A82" s="163" t="str">
        <f>_xlfn.CONCAT(Tableau3[[#This Row],[POD]],"-",Tableau3[[#This Row],[Code PFI]],"-",Tableau3[[#This Row],[Compte Consignee]])</f>
        <v>MACAS---90038200</v>
      </c>
      <c r="B82" s="163" t="str">
        <f>_xlfn.CONCAT(Tableau3[[#This Row],[POD]],"-",Tableau3[[#This Row],[Code PFI]])</f>
        <v>MACAS--</v>
      </c>
      <c r="C82" s="171" t="str">
        <f>IF(Tableau3[[#This Row],[Name PFI/CDD]]="",_xlfn.CONCAT(Tableau3[[#This Row],[POD]],"-",Tableau3[[#This Row],[Compte Consignee]]),"-")</f>
        <v>MACAS-90038200</v>
      </c>
      <c r="D82" s="172" t="str">
        <f>_xlfn.CONCAT(Tableau3[[#This Row],[Code PFI]],"-",Tableau3[[#This Row],[Compte Consignee]])</f>
        <v>--90038200</v>
      </c>
      <c r="E82" s="173" t="s">
        <v>608</v>
      </c>
      <c r="F82" s="174">
        <v>1</v>
      </c>
      <c r="G82" s="168"/>
      <c r="H82" s="376" t="str">
        <f>IF(Tableau3[[#This Row],[Name PFI/CDD]]&lt;&gt;"",VLOOKUP(Tableau3[[#This Row],[Name PFI/CDD]],Plant_AILN!I:J,2,FALSE),"-")</f>
        <v>-</v>
      </c>
      <c r="I82" s="169" t="str">
        <f>IF(Tableau3[[#This Row],[Code PFI]]="-","Direct","PFI/CDD")</f>
        <v>Direct</v>
      </c>
      <c r="J82" s="62">
        <f>IFERROR(IF(Tableau3[[#This Row],[type PFI/CDD]]="Direct",0,VLOOKUP(Tableau3[[#This Row],[Clé(POD-PFI)]],Transport!G:K,5,FALSE)),"")</f>
        <v>0</v>
      </c>
      <c r="K82" s="4" t="str">
        <f>VLOOKUP(Tableau3[[#This Row],[Name Consignee]],Tableau10[],4,FALSE)</f>
        <v>MOROCCO</v>
      </c>
      <c r="L82" s="7" t="s">
        <v>179</v>
      </c>
      <c r="M82" s="376">
        <f>VLOOKUP(Tableau3[[#This Row],[Name Consignee]],Tableau10[],3,FALSE)</f>
        <v>90038200</v>
      </c>
      <c r="N82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83" spans="1:14" ht="14.1" hidden="1" customHeight="1">
      <c r="A83" s="163" t="str">
        <f>_xlfn.CONCAT(Tableau3[[#This Row],[POD]],"-",Tableau3[[#This Row],[Code PFI]],"-",Tableau3[[#This Row],[Compte Consignee]])</f>
        <v>MAPTM---90038200</v>
      </c>
      <c r="B83" s="163" t="str">
        <f>_xlfn.CONCAT(Tableau3[[#This Row],[POD]],"-",Tableau3[[#This Row],[Code PFI]])</f>
        <v>MAPTM--</v>
      </c>
      <c r="C83" s="171" t="str">
        <f>IF(Tableau3[[#This Row],[Name PFI/CDD]]="",_xlfn.CONCAT(Tableau3[[#This Row],[POD]],"-",Tableau3[[#This Row],[Compte Consignee]]),"-")</f>
        <v>MAPTM-90038200</v>
      </c>
      <c r="D83" s="172" t="str">
        <f>_xlfn.CONCAT(Tableau3[[#This Row],[Code PFI]],"-",Tableau3[[#This Row],[Compte Consignee]])</f>
        <v>--90038200</v>
      </c>
      <c r="E83" s="173" t="s">
        <v>539</v>
      </c>
      <c r="F83" s="174">
        <v>3</v>
      </c>
      <c r="G83" s="168"/>
      <c r="H83" s="376" t="str">
        <f>IF(Tableau3[[#This Row],[Name PFI/CDD]]&lt;&gt;"",VLOOKUP(Tableau3[[#This Row],[Name PFI/CDD]],Plant_AILN!I:J,2,FALSE),"-")</f>
        <v>-</v>
      </c>
      <c r="I83" s="169" t="str">
        <f>IF(Tableau3[[#This Row],[Code PFI]]="-","Direct","PFI/CDD")</f>
        <v>Direct</v>
      </c>
      <c r="J83" s="62">
        <f>IFERROR(IF(Tableau3[[#This Row],[type PFI/CDD]]="Direct",0,VLOOKUP(Tableau3[[#This Row],[Clé(POD-PFI)]],Transport!G:K,5,FALSE)),"")</f>
        <v>0</v>
      </c>
      <c r="K83" s="4" t="str">
        <f>VLOOKUP(Tableau3[[#This Row],[Name Consignee]],Tableau10[],4,FALSE)</f>
        <v>MOROCCO</v>
      </c>
      <c r="L83" s="7" t="s">
        <v>179</v>
      </c>
      <c r="M83" s="376">
        <f>VLOOKUP(Tableau3[[#This Row],[Name Consignee]],Tableau10[],3,FALSE)</f>
        <v>90038200</v>
      </c>
      <c r="N83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4" spans="1:14" ht="14.1" hidden="1" customHeight="1">
      <c r="A84" s="163" t="str">
        <f>_xlfn.CONCAT(Tableau3[[#This Row],[POD]],"-",Tableau3[[#This Row],[Code PFI]],"-",Tableau3[[#This Row],[Compte Consignee]])</f>
        <v>MAPTM---900383</v>
      </c>
      <c r="B84" s="163" t="str">
        <f>_xlfn.CONCAT(Tableau3[[#This Row],[POD]],"-",Tableau3[[#This Row],[Code PFI]])</f>
        <v>MAPTM--</v>
      </c>
      <c r="C84" s="171" t="str">
        <f>IF(Tableau3[[#This Row],[Name PFI/CDD]]="",_xlfn.CONCAT(Tableau3[[#This Row],[POD]],"-",Tableau3[[#This Row],[Compte Consignee]]),"-")</f>
        <v>MAPTM-900383</v>
      </c>
      <c r="D84" s="172" t="str">
        <f>_xlfn.CONCAT(Tableau3[[#This Row],[Code PFI]],"-",Tableau3[[#This Row],[Compte Consignee]])</f>
        <v>--900383</v>
      </c>
      <c r="E84" s="173" t="s">
        <v>539</v>
      </c>
      <c r="F84" s="174">
        <v>3</v>
      </c>
      <c r="G84" s="168"/>
      <c r="H84" s="376" t="str">
        <f>IF(Tableau3[[#This Row],[Name PFI/CDD]]&lt;&gt;"",VLOOKUP(Tableau3[[#This Row],[Name PFI/CDD]],Plant_AILN!I:J,2,FALSE),"-")</f>
        <v>-</v>
      </c>
      <c r="I84" s="169" t="str">
        <f>IF(Tableau3[[#This Row],[Code PFI]]="-","Direct","PFI/CDD")</f>
        <v>Direct</v>
      </c>
      <c r="J84" s="62">
        <f>IFERROR(IF(Tableau3[[#This Row],[type PFI/CDD]]="Direct",0,VLOOKUP(Tableau3[[#This Row],[Clé(POD-PFI)]],Transport!G:K,5,FALSE)),"")</f>
        <v>0</v>
      </c>
      <c r="K84" s="4" t="str">
        <f>VLOOKUP(Tableau3[[#This Row],[Name Consignee]],Tableau10[],4,FALSE)</f>
        <v>MOROCCO</v>
      </c>
      <c r="L84" s="7" t="s">
        <v>180</v>
      </c>
      <c r="M84" s="376">
        <f>VLOOKUP(Tableau3[[#This Row],[Name Consignee]],Tableau10[],3,FALSE)</f>
        <v>900383</v>
      </c>
      <c r="N84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85" spans="1:14" ht="14.1" customHeight="1">
      <c r="A85" s="163" t="str">
        <f>_xlfn.CONCAT(Tableau3[[#This Row],[POD]],"-",Tableau3[[#This Row],[Code PFI]],"-",Tableau3[[#This Row],[Compte Consignee]])</f>
        <v>MXATM---90101300</v>
      </c>
      <c r="B85" s="163" t="str">
        <f>_xlfn.CONCAT(Tableau3[[#This Row],[POD]],"-",Tableau3[[#This Row],[Code PFI]])</f>
        <v>MXATM--</v>
      </c>
      <c r="C85" s="171" t="str">
        <f>IF(Tableau3[[#This Row],[Name PFI/CDD]]="",_xlfn.CONCAT(Tableau3[[#This Row],[POD]],"-",Tableau3[[#This Row],[Compte Consignee]]),"-")</f>
        <v>MXATM-90101300</v>
      </c>
      <c r="D85" s="172" t="str">
        <f>_xlfn.CONCAT(Tableau3[[#This Row],[Code PFI]],"-",Tableau3[[#This Row],[Compte Consignee]])</f>
        <v>--90101300</v>
      </c>
      <c r="E85" s="173" t="s">
        <v>613</v>
      </c>
      <c r="F85" s="174">
        <v>3</v>
      </c>
      <c r="G85" s="168"/>
      <c r="H85" s="376" t="str">
        <f>IF(Tableau3[[#This Row],[Name PFI/CDD]]&lt;&gt;"",VLOOKUP(Tableau3[[#This Row],[Name PFI/CDD]],Plant_AILN!I:J,2,FALSE),"-")</f>
        <v>-</v>
      </c>
      <c r="I85" s="169" t="str">
        <f>IF(Tableau3[[#This Row],[Code PFI]]="-","Direct","PFI/CDD")</f>
        <v>Direct</v>
      </c>
      <c r="J85" s="62">
        <f>IFERROR(IF(Tableau3[[#This Row],[type PFI/CDD]]="Direct",0,VLOOKUP(Tableau3[[#This Row],[Clé(POD-PFI)]],Transport!G:K,5,FALSE)),"")</f>
        <v>0</v>
      </c>
      <c r="K85" s="4" t="str">
        <f>VLOOKUP(Tableau3[[#This Row],[Name Consignee]],Tableau10[],4,FALSE)</f>
        <v>MEXICO</v>
      </c>
      <c r="L85" s="7" t="s">
        <v>229</v>
      </c>
      <c r="M85" s="376">
        <f>VLOOKUP(Tableau3[[#This Row],[Name Consignee]],Tableau10[],3,FALSE)</f>
        <v>90101300</v>
      </c>
      <c r="N8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6" spans="1:14" ht="14.1" customHeight="1">
      <c r="A86" s="163" t="str">
        <f>_xlfn.CONCAT(Tableau3[[#This Row],[POD]],"-",Tableau3[[#This Row],[Code PFI]],"-",Tableau3[[#This Row],[Compte Consignee]])</f>
        <v>MXVER---90101300</v>
      </c>
      <c r="B86" s="163" t="str">
        <f>_xlfn.CONCAT(Tableau3[[#This Row],[POD]],"-",Tableau3[[#This Row],[Code PFI]])</f>
        <v>MXVER--</v>
      </c>
      <c r="C86" s="171" t="str">
        <f>IF(Tableau3[[#This Row],[Name PFI/CDD]]="",_xlfn.CONCAT(Tableau3[[#This Row],[POD]],"-",Tableau3[[#This Row],[Compte Consignee]]),"-")</f>
        <v>MXVER-90101300</v>
      </c>
      <c r="D86" s="172" t="str">
        <f>_xlfn.CONCAT(Tableau3[[#This Row],[Code PFI]],"-",Tableau3[[#This Row],[Compte Consignee]])</f>
        <v>--90101300</v>
      </c>
      <c r="E86" s="173" t="s">
        <v>614</v>
      </c>
      <c r="F86" s="174">
        <v>3</v>
      </c>
      <c r="G86" s="168"/>
      <c r="H86" s="376" t="str">
        <f>IF(Tableau3[[#This Row],[Name PFI/CDD]]&lt;&gt;"",VLOOKUP(Tableau3[[#This Row],[Name PFI/CDD]],Plant_AILN!I:J,2,FALSE),"-")</f>
        <v>-</v>
      </c>
      <c r="I86" s="169" t="str">
        <f>IF(Tableau3[[#This Row],[Code PFI]]="-","Direct","PFI/CDD")</f>
        <v>Direct</v>
      </c>
      <c r="J86" s="62">
        <f>IFERROR(IF(Tableau3[[#This Row],[type PFI/CDD]]="Direct",0,VLOOKUP(Tableau3[[#This Row],[Clé(POD-PFI)]],Transport!G:K,5,FALSE)),"")</f>
        <v>0</v>
      </c>
      <c r="K86" s="4" t="str">
        <f>VLOOKUP(Tableau3[[#This Row],[Name Consignee]],Tableau10[],4,FALSE)</f>
        <v>MEXICO</v>
      </c>
      <c r="L86" s="7" t="s">
        <v>229</v>
      </c>
      <c r="M86" s="376">
        <f>VLOOKUP(Tableau3[[#This Row],[Name Consignee]],Tableau10[],3,FALSE)</f>
        <v>90101300</v>
      </c>
      <c r="N86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7" spans="1:14" ht="14.1" hidden="1" customHeight="1">
      <c r="A87" s="163" t="str">
        <f>_xlfn.CONCAT(Tableau3[[#This Row],[POD]],"-",Tableau3[[#This Row],[Code PFI]],"-",Tableau3[[#This Row],[Compte Consignee]])</f>
        <v>MYPKG---12300</v>
      </c>
      <c r="B87" s="163" t="str">
        <f>_xlfn.CONCAT(Tableau3[[#This Row],[POD]],"-",Tableau3[[#This Row],[Code PFI]])</f>
        <v>MYPKG--</v>
      </c>
      <c r="C87" s="171" t="str">
        <f>IF(Tableau3[[#This Row],[Name PFI/CDD]]="",_xlfn.CONCAT(Tableau3[[#This Row],[POD]],"-",Tableau3[[#This Row],[Compte Consignee]]),"-")</f>
        <v>MYPKG-12300</v>
      </c>
      <c r="D87" s="172" t="str">
        <f>_xlfn.CONCAT(Tableau3[[#This Row],[Code PFI]],"-",Tableau3[[#This Row],[Compte Consignee]])</f>
        <v>--12300</v>
      </c>
      <c r="E87" s="173" t="s">
        <v>696</v>
      </c>
      <c r="F87" s="174">
        <v>6</v>
      </c>
      <c r="G87" s="168"/>
      <c r="H87" s="376" t="str">
        <f>IF(Tableau3[[#This Row],[Name PFI/CDD]]&lt;&gt;"",VLOOKUP(Tableau3[[#This Row],[Name PFI/CDD]],Plant_AILN!I:J,2,FALSE),"-")</f>
        <v>-</v>
      </c>
      <c r="I87" s="169" t="str">
        <f>IF(Tableau3[[#This Row],[Code PFI]]="-","Direct","PFI/CDD")</f>
        <v>Direct</v>
      </c>
      <c r="J87" s="62">
        <f>IFERROR(IF(Tableau3[[#This Row],[type PFI/CDD]]="Direct",0,VLOOKUP(Tableau3[[#This Row],[Clé(POD-PFI)]],Transport!G:K,5,FALSE)),"")</f>
        <v>0</v>
      </c>
      <c r="K87" s="4" t="str">
        <f>VLOOKUP(Tableau3[[#This Row],[Name Consignee]],Tableau10[],4,FALSE)</f>
        <v xml:space="preserve">MALAYSIA </v>
      </c>
      <c r="L87" s="7" t="s">
        <v>697</v>
      </c>
      <c r="M87" s="376">
        <f>VLOOKUP(Tableau3[[#This Row],[Name Consignee]],Tableau10[],3,FALSE)</f>
        <v>12300</v>
      </c>
      <c r="N8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8" spans="1:14" ht="14.1" hidden="1" customHeight="1">
      <c r="A88" s="163" t="str">
        <f>_xlfn.CONCAT(Tableau3[[#This Row],[POD]],"-",Tableau3[[#This Row],[Code PFI]],"-",Tableau3[[#This Row],[Compte Consignee]])</f>
        <v>ROCND---90012500</v>
      </c>
      <c r="B88" s="163" t="str">
        <f>_xlfn.CONCAT(Tableau3[[#This Row],[POD]],"-",Tableau3[[#This Row],[Code PFI]])</f>
        <v>ROCND--</v>
      </c>
      <c r="C88" s="171" t="str">
        <f>IF(Tableau3[[#This Row],[Name PFI/CDD]]="",_xlfn.CONCAT(Tableau3[[#This Row],[POD]],"-",Tableau3[[#This Row],[Compte Consignee]]),"-")</f>
        <v>ROCND-90012500</v>
      </c>
      <c r="D88" s="172" t="str">
        <f>_xlfn.CONCAT(Tableau3[[#This Row],[Code PFI]],"-",Tableau3[[#This Row],[Compte Consignee]])</f>
        <v>--90012500</v>
      </c>
      <c r="E88" s="173" t="s">
        <v>547</v>
      </c>
      <c r="F88" s="174">
        <v>2</v>
      </c>
      <c r="G88" s="168"/>
      <c r="H88" s="376" t="str">
        <f>IF(Tableau3[[#This Row],[Name PFI/CDD]]&lt;&gt;"",VLOOKUP(Tableau3[[#This Row],[Name PFI/CDD]],Plant_AILN!I:J,2,FALSE),"-")</f>
        <v>-</v>
      </c>
      <c r="I88" s="169" t="str">
        <f>IF(Tableau3[[#This Row],[Code PFI]]="-","Direct","PFI/CDD")</f>
        <v>Direct</v>
      </c>
      <c r="J88" s="62">
        <f>IFERROR(IF(Tableau3[[#This Row],[type PFI/CDD]]="Direct",0,VLOOKUP(Tableau3[[#This Row],[Clé(POD-PFI)]],Transport!G:K,5,FALSE)),"")</f>
        <v>0</v>
      </c>
      <c r="K88" s="4" t="str">
        <f>VLOOKUP(Tableau3[[#This Row],[Name Consignee]],Tableau10[],4,FALSE)</f>
        <v>ROMANIA</v>
      </c>
      <c r="L88" s="7" t="s">
        <v>162</v>
      </c>
      <c r="M88" s="376">
        <f>VLOOKUP(Tableau3[[#This Row],[Name Consignee]],Tableau10[],3,FALSE)</f>
        <v>90012500</v>
      </c>
      <c r="N88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89" spans="1:14" ht="14.1" hidden="1" customHeight="1">
      <c r="A89" s="163" t="str">
        <f>_xlfn.CONCAT(Tableau3[[#This Row],[POD]],"-",Tableau3[[#This Row],[Code PFI]],"-",Tableau3[[#This Row],[Compte Consignee]])</f>
        <v>ROCND---90016800</v>
      </c>
      <c r="B89" s="163" t="str">
        <f>_xlfn.CONCAT(Tableau3[[#This Row],[POD]],"-",Tableau3[[#This Row],[Code PFI]])</f>
        <v>ROCND--</v>
      </c>
      <c r="C89" s="171" t="str">
        <f>IF(Tableau3[[#This Row],[Name PFI/CDD]]="",_xlfn.CONCAT(Tableau3[[#This Row],[POD]],"-",Tableau3[[#This Row],[Compte Consignee]]),"-")</f>
        <v>ROCND-90016800</v>
      </c>
      <c r="D89" s="172" t="str">
        <f>_xlfn.CONCAT(Tableau3[[#This Row],[Code PFI]],"-",Tableau3[[#This Row],[Compte Consignee]])</f>
        <v>--90016800</v>
      </c>
      <c r="E89" s="173" t="s">
        <v>547</v>
      </c>
      <c r="F89" s="174">
        <v>2</v>
      </c>
      <c r="G89" s="168"/>
      <c r="H89" s="376" t="str">
        <f>IF(Tableau3[[#This Row],[Name PFI/CDD]]&lt;&gt;"",VLOOKUP(Tableau3[[#This Row],[Name PFI/CDD]],Plant_AILN!I:J,2,FALSE),"-")</f>
        <v>-</v>
      </c>
      <c r="I89" s="169" t="str">
        <f>IF(Tableau3[[#This Row],[Code PFI]]="-","Direct","PFI/CDD")</f>
        <v>Direct</v>
      </c>
      <c r="J89" s="62">
        <f>IFERROR(IF(Tableau3[[#This Row],[type PFI/CDD]]="Direct",0,VLOOKUP(Tableau3[[#This Row],[Clé(POD-PFI)]],Transport!G:K,5,FALSE)),"")</f>
        <v>0</v>
      </c>
      <c r="K89" s="4" t="str">
        <f>VLOOKUP(Tableau3[[#This Row],[Name Consignee]],Tableau10[],4,FALSE)</f>
        <v>ROMANIA</v>
      </c>
      <c r="L89" s="7" t="s">
        <v>185</v>
      </c>
      <c r="M89" s="376">
        <f>VLOOKUP(Tableau3[[#This Row],[Name Consignee]],Tableau10[],3,FALSE)</f>
        <v>90016800</v>
      </c>
      <c r="N89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90" spans="1:14" ht="14.1" hidden="1" customHeight="1">
      <c r="A90" s="163" t="str">
        <f>_xlfn.CONCAT(Tableau3[[#This Row],[POD]],"-",Tableau3[[#This Row],[Code PFI]],"-",Tableau3[[#This Row],[Compte Consignee]])</f>
        <v>ROCND---283900400</v>
      </c>
      <c r="B90" s="163" t="str">
        <f>_xlfn.CONCAT(Tableau3[[#This Row],[POD]],"-",Tableau3[[#This Row],[Code PFI]])</f>
        <v>ROCND--</v>
      </c>
      <c r="C90" s="175" t="str">
        <f>IF(Tableau3[[#This Row],[Name PFI/CDD]]="",_xlfn.CONCAT(Tableau3[[#This Row],[POD]],"-",Tableau3[[#This Row],[Compte Consignee]]),"-")</f>
        <v>ROCND-283900400</v>
      </c>
      <c r="D90" s="183" t="str">
        <f>_xlfn.CONCAT(Tableau3[[#This Row],[Code PFI]],"-",Tableau3[[#This Row],[Compte Consignee]])</f>
        <v>--283900400</v>
      </c>
      <c r="E90" s="173" t="s">
        <v>547</v>
      </c>
      <c r="F90" s="174">
        <v>2</v>
      </c>
      <c r="G90" s="168"/>
      <c r="H90" s="376" t="str">
        <f>IF(Tableau3[[#This Row],[Name PFI/CDD]]&lt;&gt;"",VLOOKUP(Tableau3[[#This Row],[Name PFI/CDD]],Plant_AILN!I:J,2,FALSE),"-")</f>
        <v>-</v>
      </c>
      <c r="I90" s="169" t="str">
        <f>IF(Tableau3[[#This Row],[Code PFI]]="-","Direct","PFI/CDD")</f>
        <v>Direct</v>
      </c>
      <c r="J90" s="62">
        <f>IFERROR(IF(Tableau3[[#This Row],[type PFI/CDD]]="Direct",0,VLOOKUP(Tableau3[[#This Row],[Clé(POD-PFI)]],Transport!G:K,5,FALSE)),"")</f>
        <v>0</v>
      </c>
      <c r="K90" s="4" t="str">
        <f>VLOOKUP(Tableau3[[#This Row],[Name Consignee]],Tableau10[],4,FALSE)</f>
        <v>ROMANIA</v>
      </c>
      <c r="L90" s="7" t="s">
        <v>168</v>
      </c>
      <c r="M90" s="376">
        <f>VLOOKUP(Tableau3[[#This Row],[Name Consignee]],Tableau10[],3,FALSE)</f>
        <v>283900400</v>
      </c>
      <c r="N90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91" spans="1:14" ht="14.1" hidden="1" customHeight="1">
      <c r="A91" s="163" t="str">
        <f>_xlfn.CONCAT(Tableau3[[#This Row],[POD]],"-",Tableau3[[#This Row],[Code PFI]],"-",Tableau3[[#This Row],[Compte Consignee]])</f>
        <v>SIKOP---90016700</v>
      </c>
      <c r="B91" s="163" t="str">
        <f>_xlfn.CONCAT(Tableau3[[#This Row],[POD]],"-",Tableau3[[#This Row],[Code PFI]])</f>
        <v>SIKOP--</v>
      </c>
      <c r="C91" s="175" t="str">
        <f>IF(Tableau3[[#This Row],[Name PFI/CDD]]="",_xlfn.CONCAT(Tableau3[[#This Row],[POD]],"-",Tableau3[[#This Row],[Compte Consignee]]),"-")</f>
        <v>SIKOP-90016700</v>
      </c>
      <c r="D91" s="183" t="str">
        <f>_xlfn.CONCAT(Tableau3[[#This Row],[Code PFI]],"-",Tableau3[[#This Row],[Compte Consignee]])</f>
        <v>--90016700</v>
      </c>
      <c r="E91" s="173" t="s">
        <v>609</v>
      </c>
      <c r="F91" s="174">
        <v>2</v>
      </c>
      <c r="G91" s="168"/>
      <c r="H91" s="376" t="str">
        <f>IF(Tableau3[[#This Row],[Name PFI/CDD]]&lt;&gt;"",VLOOKUP(Tableau3[[#This Row],[Name PFI/CDD]],Plant_AILN!I:J,2,FALSE),"-")</f>
        <v>-</v>
      </c>
      <c r="I91" s="169" t="str">
        <f>IF(Tableau3[[#This Row],[Code PFI]]="-","Direct","PFI/CDD")</f>
        <v>Direct</v>
      </c>
      <c r="J91" s="62">
        <f>IFERROR(IF(Tableau3[[#This Row],[type PFI/CDD]]="Direct",0,VLOOKUP(Tableau3[[#This Row],[Clé(POD-PFI)]],Transport!G:K,5,FALSE)),"")</f>
        <v>0</v>
      </c>
      <c r="K91" s="4" t="str">
        <f>VLOOKUP(Tableau3[[#This Row],[Name Consignee]],Tableau10[],4,FALSE)</f>
        <v>SLOVENIA</v>
      </c>
      <c r="L91" s="7" t="s">
        <v>35</v>
      </c>
      <c r="M91" s="376">
        <f>VLOOKUP(Tableau3[[#This Row],[Name Consignee]],Tableau10[],3,FALSE)</f>
        <v>90016700</v>
      </c>
      <c r="N91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2" spans="1:14" ht="14.1" hidden="1" customHeight="1">
      <c r="A92" s="163" t="str">
        <f>_xlfn.CONCAT(Tableau3[[#This Row],[POD]],"-",Tableau3[[#This Row],[Code PFI]],"-",Tableau3[[#This Row],[Compte Consignee]])</f>
        <v>THLCH---25048500</v>
      </c>
      <c r="B92" s="163" t="str">
        <f>_xlfn.CONCAT(Tableau3[[#This Row],[POD]],"-",Tableau3[[#This Row],[Code PFI]])</f>
        <v>THLCH--</v>
      </c>
      <c r="C92" s="175" t="str">
        <f>IF(Tableau3[[#This Row],[Name PFI/CDD]]="",_xlfn.CONCAT(Tableau3[[#This Row],[POD]],"-",Tableau3[[#This Row],[Compte Consignee]]),"-")</f>
        <v>THLCH-25048500</v>
      </c>
      <c r="D92" s="183" t="str">
        <f>_xlfn.CONCAT(Tableau3[[#This Row],[Code PFI]],"-",Tableau3[[#This Row],[Compte Consignee]])</f>
        <v>--25048500</v>
      </c>
      <c r="E92" s="173" t="s">
        <v>615</v>
      </c>
      <c r="F92" s="174">
        <v>4</v>
      </c>
      <c r="G92" s="168"/>
      <c r="H92" s="376" t="str">
        <f>IF(Tableau3[[#This Row],[Name PFI/CDD]]&lt;&gt;"",VLOOKUP(Tableau3[[#This Row],[Name PFI/CDD]],Plant_AILN!I:J,2,FALSE),"-")</f>
        <v>-</v>
      </c>
      <c r="I92" s="169" t="str">
        <f>IF(Tableau3[[#This Row],[Code PFI]]="-","Direct","PFI/CDD")</f>
        <v>Direct</v>
      </c>
      <c r="J92" s="62">
        <f>IFERROR(IF(Tableau3[[#This Row],[type PFI/CDD]]="Direct",0,VLOOKUP(Tableau3[[#This Row],[Clé(POD-PFI)]],Transport!G:K,5,FALSE)),"")</f>
        <v>0</v>
      </c>
      <c r="K92" s="4" t="str">
        <f>VLOOKUP(Tableau3[[#This Row],[Name Consignee]],Tableau10[],4,FALSE)</f>
        <v>THAILAND</v>
      </c>
      <c r="L92" s="7" t="s">
        <v>641</v>
      </c>
      <c r="M92" s="376">
        <f>VLOOKUP(Tableau3[[#This Row],[Name Consignee]],Tableau10[],3,FALSE)</f>
        <v>25048500</v>
      </c>
      <c r="N92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93" spans="1:14" ht="14.1" hidden="1" customHeight="1">
      <c r="A93" s="539" t="str">
        <f>_xlfn.CONCAT(Tableau3[[#This Row],[POD]],"-",Tableau3[[#This Row],[Code PFI]],"-",Tableau3[[#This Row],[Compte Consignee]])</f>
        <v>TRGEB---90017000</v>
      </c>
      <c r="B93" s="191" t="str">
        <f>_xlfn.CONCAT(Tableau3[[#This Row],[POD]],"-",Tableau3[[#This Row],[Code PFI]])</f>
        <v>TRGEB--</v>
      </c>
      <c r="C93" s="541" t="str">
        <f>IF(Tableau3[[#This Row],[Name PFI/CDD]]="",_xlfn.CONCAT(Tableau3[[#This Row],[POD]],"-",Tableau3[[#This Row],[Compte Consignee]]),"-")</f>
        <v>TRGEB-90017000</v>
      </c>
      <c r="D93" s="452" t="str">
        <f>_xlfn.CONCAT(Tableau3[[#This Row],[Code PFI]],"-",Tableau3[[#This Row],[Compte Consignee]])</f>
        <v>--90017000</v>
      </c>
      <c r="E93" s="173" t="s">
        <v>698</v>
      </c>
      <c r="F93" s="452">
        <v>4</v>
      </c>
      <c r="G93" s="168"/>
      <c r="H93" s="376" t="str">
        <f>IF(Tableau3[[#This Row],[Name PFI/CDD]]&lt;&gt;"",VLOOKUP(Tableau3[[#This Row],[Name PFI/CDD]],Plant_AILN!I:J,2,FALSE),"-")</f>
        <v>-</v>
      </c>
      <c r="I93" s="169" t="str">
        <f>IF(Tableau3[[#This Row],[Code PFI]]="-","Direct","PFI/CDD")</f>
        <v>Direct</v>
      </c>
      <c r="J93" s="62">
        <f>IFERROR(IF(Tableau3[[#This Row],[type PFI/CDD]]="Direct",0,VLOOKUP(Tableau3[[#This Row],[Clé(POD-PFI)]],Transport!G:K,5,FALSE)),"")</f>
        <v>0</v>
      </c>
      <c r="K93" s="4" t="str">
        <f>VLOOKUP(Tableau3[[#This Row],[Name Consignee]],Tableau10[],4,FALSE)</f>
        <v>TURKEY</v>
      </c>
      <c r="L93" s="206" t="s">
        <v>173</v>
      </c>
      <c r="M93" s="376">
        <f>VLOOKUP(Tableau3[[#This Row],[Name Consignee]],Tableau10[],3,FALSE)</f>
        <v>90017000</v>
      </c>
      <c r="N9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4" spans="1:14" ht="14.1" hidden="1" customHeight="1">
      <c r="A94" s="163" t="str">
        <f>_xlfn.CONCAT(Tableau3[[#This Row],[POD]],"-",Tableau3[[#This Row],[Code PFI]],"-",Tableau3[[#This Row],[Compte Consignee]])</f>
        <v>TRGEB---90022000</v>
      </c>
      <c r="B94" s="191" t="str">
        <f>_xlfn.CONCAT(Tableau3[[#This Row],[POD]],"-",Tableau3[[#This Row],[Code PFI]])</f>
        <v>TRGEB--</v>
      </c>
      <c r="C94" s="541" t="str">
        <f>IF(Tableau3[[#This Row],[Name PFI/CDD]]="",_xlfn.CONCAT(Tableau3[[#This Row],[POD]],"-",Tableau3[[#This Row],[Compte Consignee]]),"-")</f>
        <v>TRGEB-90022000</v>
      </c>
      <c r="D94" s="452" t="str">
        <f>_xlfn.CONCAT(Tableau3[[#This Row],[Code PFI]],"-",Tableau3[[#This Row],[Compte Consignee]])</f>
        <v>--90022000</v>
      </c>
      <c r="E94" s="173" t="s">
        <v>698</v>
      </c>
      <c r="F94" s="452">
        <v>4</v>
      </c>
      <c r="G94" s="168"/>
      <c r="H94" s="376" t="str">
        <f>IF(Tableau3[[#This Row],[Name PFI/CDD]]&lt;&gt;"",VLOOKUP(Tableau3[[#This Row],[Name PFI/CDD]],Plant_AILN!I:J,2,FALSE),"-")</f>
        <v>-</v>
      </c>
      <c r="I94" s="169" t="str">
        <f>IF(Tableau3[[#This Row],[Code PFI]]="-","Direct","PFI/CDD")</f>
        <v>Direct</v>
      </c>
      <c r="J94" s="62">
        <f>IFERROR(IF(Tableau3[[#This Row],[type PFI/CDD]]="Direct",0,VLOOKUP(Tableau3[[#This Row],[Clé(POD-PFI)]],Transport!G:K,5,FALSE)),"")</f>
        <v>0</v>
      </c>
      <c r="K94" s="4" t="str">
        <f>VLOOKUP(Tableau3[[#This Row],[Name Consignee]],Tableau10[],4,FALSE)</f>
        <v>TURKEY</v>
      </c>
      <c r="L94" s="206" t="s">
        <v>235</v>
      </c>
      <c r="M94" s="376">
        <f>VLOOKUP(Tableau3[[#This Row],[Name Consignee]],Tableau10[],3,FALSE)</f>
        <v>90022000</v>
      </c>
      <c r="N94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5" spans="1:14" ht="15" hidden="1" customHeight="1">
      <c r="A95" s="163" t="str">
        <f>_xlfn.CONCAT(Tableau3[[#This Row],[POD]],"-",Tableau3[[#This Row],[Code PFI]],"-",Tableau3[[#This Row],[Compte Consignee]])</f>
        <v>TRGEM---90022000</v>
      </c>
      <c r="B95" s="192" t="str">
        <f>_xlfn.CONCAT(Tableau3[[#This Row],[POD]],"-",Tableau3[[#This Row],[Code PFI]])</f>
        <v>TRGEM--</v>
      </c>
      <c r="C95" s="289" t="str">
        <f>IF(Tableau3[[#This Row],[Name PFI/CDD]]="",_xlfn.CONCAT(Tableau3[[#This Row],[POD]],"-",Tableau3[[#This Row],[Compte Consignee]]),"-")</f>
        <v>TRGEM-90022000</v>
      </c>
      <c r="D95" s="198" t="str">
        <f>_xlfn.CONCAT(Tableau3[[#This Row],[Code PFI]],"-",Tableau3[[#This Row],[Compte Consignee]])</f>
        <v>--90022000</v>
      </c>
      <c r="E95" s="173" t="s">
        <v>558</v>
      </c>
      <c r="F95" s="452">
        <v>4</v>
      </c>
      <c r="G95" s="187"/>
      <c r="H95" s="376" t="str">
        <f>IF(Tableau3[[#This Row],[Name PFI/CDD]]&lt;&gt;"",VLOOKUP(Tableau3[[#This Row],[Name PFI/CDD]],Plant_AILN!I:J,2,FALSE),"-")</f>
        <v>-</v>
      </c>
      <c r="I95" s="169" t="str">
        <f>IF(Tableau3[[#This Row],[Code PFI]]="-","Direct","PFI/CDD")</f>
        <v>Direct</v>
      </c>
      <c r="J95" s="62">
        <f>IFERROR(IF(Tableau3[[#This Row],[type PFI/CDD]]="Direct",0,VLOOKUP(Tableau3[[#This Row],[Clé(POD-PFI)]],Transport!G:K,5,FALSE)),"")</f>
        <v>0</v>
      </c>
      <c r="K95" s="4" t="str">
        <f>VLOOKUP(Tableau3[[#This Row],[Name Consignee]],Tableau10[],4,FALSE)</f>
        <v>TURKEY</v>
      </c>
      <c r="L95" s="206" t="s">
        <v>235</v>
      </c>
      <c r="M95" s="376">
        <f>VLOOKUP(Tableau3[[#This Row],[Name Consignee]],Tableau10[],3,FALSE)</f>
        <v>90022000</v>
      </c>
      <c r="N9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6" spans="1:14" ht="14.1" hidden="1" customHeight="1">
      <c r="A96" s="163" t="str">
        <f>_xlfn.CONCAT(Tableau3[[#This Row],[POD]],"-",Tableau3[[#This Row],[Code PFI]],"-",Tableau3[[#This Row],[Compte Consignee]])</f>
        <v>TRGEM---90014400</v>
      </c>
      <c r="B96" s="163" t="str">
        <f>_xlfn.CONCAT(Tableau3[[#This Row],[POD]],"-",Tableau3[[#This Row],[Code PFI]])</f>
        <v>TRGEM--</v>
      </c>
      <c r="C96" s="175" t="str">
        <f>IF(Tableau3[[#This Row],[Name PFI/CDD]]="",_xlfn.CONCAT(Tableau3[[#This Row],[POD]],"-",Tableau3[[#This Row],[Compte Consignee]]),"-")</f>
        <v>TRGEM-90014400</v>
      </c>
      <c r="D96" s="188" t="str">
        <f>_xlfn.CONCAT(Tableau3[[#This Row],[Code PFI]],"-",Tableau3[[#This Row],[Compte Consignee]])</f>
        <v>--90014400</v>
      </c>
      <c r="E96" s="173" t="s">
        <v>558</v>
      </c>
      <c r="F96" s="174">
        <v>2</v>
      </c>
      <c r="G96" s="189"/>
      <c r="H96" s="376" t="str">
        <f>IF(Tableau3[[#This Row],[Name PFI/CDD]]&lt;&gt;"",VLOOKUP(Tableau3[[#This Row],[Name PFI/CDD]],Plant_AILN!I:J,2,FALSE),"-")</f>
        <v>-</v>
      </c>
      <c r="I96" s="169" t="str">
        <f>IF(Tableau3[[#This Row],[Code PFI]]="-","Direct","PFI/CDD")</f>
        <v>Direct</v>
      </c>
      <c r="J96" s="62">
        <f>IFERROR(IF(Tableau3[[#This Row],[type PFI/CDD]]="Direct",0,VLOOKUP(Tableau3[[#This Row],[Clé(POD-PFI)]],Transport!G:K,5,FALSE)),"")</f>
        <v>0</v>
      </c>
      <c r="K96" s="4" t="str">
        <f>VLOOKUP(Tableau3[[#This Row],[Name Consignee]],Tableau10[],4,FALSE)</f>
        <v>TURKEY</v>
      </c>
      <c r="L96" s="190" t="s">
        <v>165</v>
      </c>
      <c r="M96" s="376">
        <f>VLOOKUP(Tableau3[[#This Row],[Name Consignee]],Tableau10[],3,FALSE)</f>
        <v>90014400</v>
      </c>
      <c r="N96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7" spans="1:14" ht="14.1" hidden="1" customHeight="1">
      <c r="A97" s="163" t="str">
        <f>_xlfn.CONCAT(Tableau3[[#This Row],[POD]],"-",Tableau3[[#This Row],[Code PFI]],"-",Tableau3[[#This Row],[Compte Consignee]])</f>
        <v>TRGEM---90017000</v>
      </c>
      <c r="B97" s="185" t="str">
        <f>_xlfn.CONCAT(Tableau3[[#This Row],[POD]],"-",Tableau3[[#This Row],[Code PFI]])</f>
        <v>TRGEM--</v>
      </c>
      <c r="C97" s="186" t="str">
        <f>IF(Tableau3[[#This Row],[Name PFI/CDD]]="",_xlfn.CONCAT(Tableau3[[#This Row],[POD]],"-",Tableau3[[#This Row],[Compte Consignee]]),"-")</f>
        <v>TRGEM-90017000</v>
      </c>
      <c r="D97" s="194" t="str">
        <f>_xlfn.CONCAT(Tableau3[[#This Row],[Code PFI]],"-",Tableau3[[#This Row],[Compte Consignee]])</f>
        <v>--90017000</v>
      </c>
      <c r="E97" s="187" t="s">
        <v>558</v>
      </c>
      <c r="F97" s="452">
        <v>4</v>
      </c>
      <c r="G97" s="187"/>
      <c r="H97" s="375" t="str">
        <f>IF(Tableau3[[#This Row],[Name PFI/CDD]]&lt;&gt;"",VLOOKUP(Tableau3[[#This Row],[Name PFI/CDD]],Plant_AILN!I:J,2,FALSE),"-")</f>
        <v>-</v>
      </c>
      <c r="I97" s="291" t="str">
        <f>IF(Tableau3[[#This Row],[Code PFI]]="-","Direct","PFI/CDD")</f>
        <v>Direct</v>
      </c>
      <c r="J97" s="62">
        <f>IFERROR(IF(Tableau3[[#This Row],[type PFI/CDD]]="Direct",0,VLOOKUP(Tableau3[[#This Row],[Clé(POD-PFI)]],Transport!G:K,5,FALSE)),"")</f>
        <v>0</v>
      </c>
      <c r="K97" s="292" t="str">
        <f>VLOOKUP(Tableau3[[#This Row],[Name Consignee]],Tableau10[],4,FALSE)</f>
        <v>TURKEY</v>
      </c>
      <c r="L97" s="190" t="s">
        <v>173</v>
      </c>
      <c r="M97" s="375">
        <f>VLOOKUP(Tableau3[[#This Row],[Name Consignee]],Tableau10[],3,FALSE)</f>
        <v>90017000</v>
      </c>
      <c r="N97" s="108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8" spans="1:14" ht="14.1" hidden="1" customHeight="1">
      <c r="A98" s="163" t="str">
        <f>_xlfn.CONCAT(Tableau3[[#This Row],[POD]],"-",Tableau3[[#This Row],[Code PFI]],"-",Tableau3[[#This Row],[Compte Consignee]])</f>
        <v>TRIZT---90022000</v>
      </c>
      <c r="B98" s="192" t="str">
        <f>_xlfn.CONCAT(Tableau3[[#This Row],[POD]],"-",Tableau3[[#This Row],[Code PFI]])</f>
        <v>TRIZT--</v>
      </c>
      <c r="C98" s="289" t="str">
        <f>IF(Tableau3[[#This Row],[Name PFI/CDD]]="",_xlfn.CONCAT(Tableau3[[#This Row],[POD]],"-",Tableau3[[#This Row],[Compte Consignee]]),"-")</f>
        <v>TRIZT-90022000</v>
      </c>
      <c r="D98" s="542" t="str">
        <f>_xlfn.CONCAT(Tableau3[[#This Row],[Code PFI]],"-",Tableau3[[#This Row],[Compte Consignee]])</f>
        <v>--90022000</v>
      </c>
      <c r="E98" s="193" t="s">
        <v>551</v>
      </c>
      <c r="F98" s="452">
        <v>4</v>
      </c>
      <c r="G98" s="189"/>
      <c r="H98" s="376" t="str">
        <f>IF(Tableau3[[#This Row],[Name PFI/CDD]]&lt;&gt;"",VLOOKUP(Tableau3[[#This Row],[Name PFI/CDD]],Plant_AILN!I:J,2,FALSE),"-")</f>
        <v>-</v>
      </c>
      <c r="I98" s="169" t="str">
        <f>IF(Tableau3[[#This Row],[Code PFI]]="-","Direct","PFI/CDD")</f>
        <v>Direct</v>
      </c>
      <c r="J98" s="62">
        <f>IFERROR(IF(Tableau3[[#This Row],[type PFI/CDD]]="Direct",0,VLOOKUP(Tableau3[[#This Row],[Clé(POD-PFI)]],Transport!G:K,5,FALSE)),"")</f>
        <v>0</v>
      </c>
      <c r="K98" s="4" t="str">
        <f>VLOOKUP(Tableau3[[#This Row],[Name Consignee]],Tableau10[],4,FALSE)</f>
        <v>TURKEY</v>
      </c>
      <c r="L98" s="199" t="s">
        <v>235</v>
      </c>
      <c r="M98" s="375">
        <f>VLOOKUP(Tableau3[[#This Row],[Name Consignee]],Tableau10[],3,FALSE)</f>
        <v>90022000</v>
      </c>
      <c r="N98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9" spans="1:14" ht="14.1" hidden="1" customHeight="1">
      <c r="A99" s="163" t="str">
        <f>_xlfn.CONCAT(Tableau3[[#This Row],[POD]],"-",Tableau3[[#This Row],[Code PFI]],"-",Tableau3[[#This Row],[Compte Consignee]])</f>
        <v>ZADUR---25079500</v>
      </c>
      <c r="B99" s="192" t="str">
        <f>_xlfn.CONCAT(Tableau3[[#This Row],[POD]],"-",Tableau3[[#This Row],[Code PFI]])</f>
        <v>ZADUR--</v>
      </c>
      <c r="C99" s="186" t="str">
        <f>IF(Tableau3[[#This Row],[Name PFI/CDD]]="",_xlfn.CONCAT(Tableau3[[#This Row],[POD]],"-",Tableau3[[#This Row],[Compte Consignee]]),"-")</f>
        <v>ZADUR-25079500</v>
      </c>
      <c r="D99" s="194" t="str">
        <f>_xlfn.CONCAT(Tableau3[[#This Row],[Code PFI]],"-",Tableau3[[#This Row],[Compte Consignee]])</f>
        <v>--25079500</v>
      </c>
      <c r="E99" s="173" t="s">
        <v>699</v>
      </c>
      <c r="F99" s="195">
        <v>3</v>
      </c>
      <c r="G99" s="187"/>
      <c r="H99" s="375" t="str">
        <f>IF(Tableau3[[#This Row],[Name PFI/CDD]]&lt;&gt;"",VLOOKUP(Tableau3[[#This Row],[Name PFI/CDD]],Plant_AILN!I:J,2,FALSE),"-")</f>
        <v>-</v>
      </c>
      <c r="I99" s="169" t="str">
        <f>IF(Tableau3[[#This Row],[Code PFI]]="-","Direct","PFI/CDD")</f>
        <v>Direct</v>
      </c>
      <c r="J99" s="62">
        <f>IFERROR(IF(Tableau3[[#This Row],[type PFI/CDD]]="Direct",0,VLOOKUP(Tableau3[[#This Row],[Clé(POD-PFI)]],Transport!G:K,5,FALSE)),"")</f>
        <v>0</v>
      </c>
      <c r="K99" s="4" t="str">
        <f>VLOOKUP(Tableau3[[#This Row],[Name Consignee]],Tableau10[],4,FALSE)</f>
        <v>SOUTH AFRICA</v>
      </c>
      <c r="L99" s="190" t="s">
        <v>637</v>
      </c>
      <c r="M99" s="375">
        <f>VLOOKUP(Tableau3[[#This Row],[Name Consignee]],Tableau10[],3,FALSE)</f>
        <v>25079500</v>
      </c>
      <c r="N99" s="3">
        <f>IFERROR(IF(Tableau3[[#This Row],[type PFI/CDD]]="Direct",VLOOKUP(Tableau3[[#This Row],[Clé(POD-Compte site )]],Transport!A:E,5,FALSE),VLOOKUP(Tableau3[[#This Row],[Clé(PFI-site)]],Transport!M:S,7,FALSE)),"No information")</f>
        <v>12</v>
      </c>
    </row>
    <row r="100" spans="1:14" ht="14.1" hidden="1" customHeight="1">
      <c r="A100" s="163" t="str">
        <f>_xlfn.CONCAT(Tableau3[[#This Row],[POD]],"-",Tableau3[[#This Row],[Code PFI]],"-",Tableau3[[#This Row],[Compte Consignee]])</f>
        <v>ESALG---91017500</v>
      </c>
      <c r="B100" s="192" t="str">
        <f>_xlfn.CONCAT(Tableau3[[#This Row],[POD]],"-",Tableau3[[#This Row],[Code PFI]])</f>
        <v>ESALG--</v>
      </c>
      <c r="C100" s="196" t="str">
        <f>IF(Tableau3[[#This Row],[Name PFI/CDD]]="",_xlfn.CONCAT(Tableau3[[#This Row],[POD]],"-",Tableau3[[#This Row],[Compte Consignee]]),"-")</f>
        <v>ESALG-91017500</v>
      </c>
      <c r="D100" s="197" t="str">
        <f>_xlfn.CONCAT(Tableau3[[#This Row],[Code PFI]],"-",Tableau3[[#This Row],[Compte Consignee]])</f>
        <v>--91017500</v>
      </c>
      <c r="E100" s="187" t="s">
        <v>531</v>
      </c>
      <c r="F100" s="198">
        <v>1</v>
      </c>
      <c r="G100" s="187"/>
      <c r="H100" s="375" t="str">
        <f>IF(Tableau3[[#This Row],[Name PFI/CDD]]&lt;&gt;"",VLOOKUP(Tableau3[[#This Row],[Name PFI/CDD]],Plant_AILN!I:J,2,FALSE),"-")</f>
        <v>-</v>
      </c>
      <c r="I100" s="169" t="str">
        <f>IF(Tableau3[[#This Row],[Code PFI]]="-","Direct","PFI/CDD")</f>
        <v>Direct</v>
      </c>
      <c r="J100" s="62">
        <f>IFERROR(IF(Tableau3[[#This Row],[type PFI/CDD]]="Direct",0,VLOOKUP(Tableau3[[#This Row],[Clé(POD-PFI)]],Transport!G:K,5,FALSE)),"")</f>
        <v>0</v>
      </c>
      <c r="K100" s="4" t="str">
        <f>VLOOKUP(Tableau3[[#This Row],[Name Consignee]],Tableau10[],4,FALSE)</f>
        <v>SPAIN</v>
      </c>
      <c r="L100" s="199" t="s">
        <v>172</v>
      </c>
      <c r="M100" s="375">
        <f>VLOOKUP(Tableau3[[#This Row],[Name Consignee]],Tableau10[],3,FALSE)</f>
        <v>91017500</v>
      </c>
      <c r="N100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01" spans="1:14" ht="14.1" hidden="1" customHeight="1">
      <c r="A101" s="163" t="str">
        <f>_xlfn.CONCAT(Tableau3[[#This Row],[POD]],"-",Tableau3[[#This Row],[Code PFI]],"-",Tableau3[[#This Row],[Compte Consignee]])</f>
        <v>ESVLC-91018400-91017600</v>
      </c>
      <c r="B101" s="191" t="str">
        <f>_xlfn.CONCAT(Tableau3[[#This Row],[POD]],"-",Tableau3[[#This Row],[Code PFI]])</f>
        <v>ESVLC-91018400</v>
      </c>
      <c r="C101" s="200" t="str">
        <f>IF(Tableau3[[#This Row],[Name PFI/CDD]]="",_xlfn.CONCAT(Tableau3[[#This Row],[POD]],"-",Tableau3[[#This Row],[Compte Consignee]]),"-")</f>
        <v>-</v>
      </c>
      <c r="D101" s="201" t="str">
        <f>_xlfn.CONCAT(Tableau3[[#This Row],[Code PFI]],"-",Tableau3[[#This Row],[Compte Consignee]])</f>
        <v>91018400-91017600</v>
      </c>
      <c r="E101" s="173" t="s">
        <v>519</v>
      </c>
      <c r="F101" s="198">
        <v>2</v>
      </c>
      <c r="G101" s="187" t="s">
        <v>171</v>
      </c>
      <c r="H101" s="375">
        <f>IF(Tableau3[[#This Row],[Name PFI/CDD]]&lt;&gt;"",VLOOKUP(Tableau3[[#This Row],[Name PFI/CDD]],Plant_AILN!I:J,2,FALSE),"-")</f>
        <v>91018400</v>
      </c>
      <c r="I101" s="169" t="str">
        <f>IF(Tableau3[[#This Row],[Code PFI]]="-","Direct","PFI/CDD")</f>
        <v>PFI/CDD</v>
      </c>
      <c r="J101" s="62">
        <f>IFERROR(IF(Tableau3[[#This Row],[type PFI/CDD]]="Direct",0,VLOOKUP(Tableau3[[#This Row],[Clé(POD-PFI)]],Transport!G:K,5,FALSE)),"")</f>
        <v>3</v>
      </c>
      <c r="K101" s="4" t="str">
        <f>VLOOKUP(Tableau3[[#This Row],[Name Consignee]],Tableau10[],4,FALSE)</f>
        <v>SPAIN</v>
      </c>
      <c r="L101" s="199" t="s">
        <v>211</v>
      </c>
      <c r="M101" s="375">
        <f>VLOOKUP(Tableau3[[#This Row],[Name Consignee]],Tableau10[],3,FALSE)</f>
        <v>91017600</v>
      </c>
      <c r="N101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102" spans="1:14" ht="14.1" hidden="1" customHeight="1">
      <c r="A102" s="163" t="str">
        <f>_xlfn.CONCAT(Tableau3[[#This Row],[POD]],"-",Tableau3[[#This Row],[Code PFI]],"-",Tableau3[[#This Row],[Compte Consignee]])</f>
        <v>DZORN---90021000</v>
      </c>
      <c r="B102" s="192" t="str">
        <f>_xlfn.CONCAT(Tableau3[[#This Row],[POD]],"-",Tableau3[[#This Row],[Code PFI]])</f>
        <v>DZORN--</v>
      </c>
      <c r="C102" s="196" t="str">
        <f>IF(Tableau3[[#This Row],[Name PFI/CDD]]="",_xlfn.CONCAT(Tableau3[[#This Row],[POD]],"-",Tableau3[[#This Row],[Compte Consignee]]),"-")</f>
        <v>DZORN-90021000</v>
      </c>
      <c r="D102" s="197" t="str">
        <f>_xlfn.CONCAT(Tableau3[[#This Row],[Code PFI]],"-",Tableau3[[#This Row],[Compte Consignee]])</f>
        <v>--90021000</v>
      </c>
      <c r="E102" s="187" t="s">
        <v>700</v>
      </c>
      <c r="F102" s="198">
        <v>21</v>
      </c>
      <c r="G102" s="187"/>
      <c r="H102" s="375" t="str">
        <f>IF(Tableau3[[#This Row],[Name PFI/CDD]]&lt;&gt;"",VLOOKUP(Tableau3[[#This Row],[Name PFI/CDD]],Plant_AILN!I:J,2,FALSE),"-")</f>
        <v>-</v>
      </c>
      <c r="I102" s="169" t="str">
        <f>IF(Tableau3[[#This Row],[Code PFI]]="-","Direct","PFI/CDD")</f>
        <v>Direct</v>
      </c>
      <c r="J102" s="62">
        <f>IFERROR(IF(Tableau3[[#This Row],[type PFI/CDD]]="Direct",0,VLOOKUP(Tableau3[[#This Row],[Clé(POD-PFI)]],Transport!G:K,5,FALSE)),"")</f>
        <v>0</v>
      </c>
      <c r="K102" s="4" t="str">
        <f>VLOOKUP(Tableau3[[#This Row],[Name Consignee]],Tableau10[],4,FALSE)</f>
        <v>ALGERIA</v>
      </c>
      <c r="L102" s="199" t="s">
        <v>198</v>
      </c>
      <c r="M102" s="375">
        <f>VLOOKUP(Tableau3[[#This Row],[Name Consignee]],Tableau10[],3,FALSE)</f>
        <v>90021000</v>
      </c>
      <c r="N102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03" spans="1:14" ht="14.1" hidden="1" customHeight="1">
      <c r="A103" s="163" t="str">
        <f>_xlfn.CONCAT(Tableau3[[#This Row],[POD]],"-",Tableau3[[#This Row],[Code PFI]],"-",Tableau3[[#This Row],[Compte Consignee]])</f>
        <v>TRGEB---90014400</v>
      </c>
      <c r="B103" s="185" t="str">
        <f>_xlfn.CONCAT(Tableau3[[#This Row],[POD]],"-",Tableau3[[#This Row],[Code PFI]])</f>
        <v>TRGEB--</v>
      </c>
      <c r="C103" s="186" t="str">
        <f>IF(Tableau3[[#This Row],[Name PFI/CDD]]="",_xlfn.CONCAT(Tableau3[[#This Row],[POD]],"-",Tableau3[[#This Row],[Compte Consignee]]),"-")</f>
        <v>TRGEB-90014400</v>
      </c>
      <c r="D103" s="194" t="str">
        <f>_xlfn.CONCAT(Tableau3[[#This Row],[Code PFI]],"-",Tableau3[[#This Row],[Compte Consignee]])</f>
        <v>--90014400</v>
      </c>
      <c r="E103" s="187" t="s">
        <v>698</v>
      </c>
      <c r="F103" s="195">
        <v>4</v>
      </c>
      <c r="G103" s="187"/>
      <c r="H103" s="375" t="str">
        <f>IF(Tableau3[[#This Row],[Name PFI/CDD]]&lt;&gt;"",VLOOKUP(Tableau3[[#This Row],[Name PFI/CDD]],Plant_AILN!I:J,2,FALSE),"-")</f>
        <v>-</v>
      </c>
      <c r="I103" s="291" t="str">
        <f>IF(Tableau3[[#This Row],[Code PFI]]="-","Direct","PFI/CDD")</f>
        <v>Direct</v>
      </c>
      <c r="J103" s="62">
        <f>IFERROR(IF(Tableau3[[#This Row],[type PFI/CDD]]="Direct",0,VLOOKUP(Tableau3[[#This Row],[Clé(POD-PFI)]],Transport!G:K,5,FALSE)),"")</f>
        <v>0</v>
      </c>
      <c r="K103" s="292" t="str">
        <f>VLOOKUP(Tableau3[[#This Row],[Name Consignee]],Tableau10[],4,FALSE)</f>
        <v>TURKEY</v>
      </c>
      <c r="L103" s="282" t="s">
        <v>165</v>
      </c>
      <c r="M103" s="375">
        <f>VLOOKUP(Tableau3[[#This Row],[Name Consignee]],Tableau10[],3,FALSE)</f>
        <v>90014400</v>
      </c>
      <c r="N103" s="108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104" spans="1:14" ht="14.1" hidden="1" customHeight="1">
      <c r="A104" s="163" t="str">
        <f>_xlfn.CONCAT(Tableau3[[#This Row],[POD]],"-",Tableau3[[#This Row],[Code PFI]],"-",Tableau3[[#This Row],[Compte Consignee]])</f>
        <v>TRIZT---90014400</v>
      </c>
      <c r="B104" s="185" t="str">
        <f>_xlfn.CONCAT(Tableau3[[#This Row],[POD]],"-",Tableau3[[#This Row],[Code PFI]])</f>
        <v>TRIZT--</v>
      </c>
      <c r="C104" s="186" t="str">
        <f>IF(Tableau3[[#This Row],[Name PFI/CDD]]="",_xlfn.CONCAT(Tableau3[[#This Row],[POD]],"-",Tableau3[[#This Row],[Compte Consignee]]),"-")</f>
        <v>TRIZT-90014400</v>
      </c>
      <c r="D104" s="194" t="str">
        <f>_xlfn.CONCAT(Tableau3[[#This Row],[Code PFI]],"-",Tableau3[[#This Row],[Compte Consignee]])</f>
        <v>--90014400</v>
      </c>
      <c r="E104" s="187" t="s">
        <v>551</v>
      </c>
      <c r="F104" s="174">
        <v>4</v>
      </c>
      <c r="G104" s="187"/>
      <c r="H104" s="375" t="str">
        <f>IF(Tableau3[[#This Row],[Name PFI/CDD]]&lt;&gt;"",VLOOKUP(Tableau3[[#This Row],[Name PFI/CDD]],Plant_AILN!I:J,2,FALSE),"-")</f>
        <v>-</v>
      </c>
      <c r="I104" s="291" t="str">
        <f>IF(Tableau3[[#This Row],[Code PFI]]="-","Direct","PFI/CDD")</f>
        <v>Direct</v>
      </c>
      <c r="J104" s="62">
        <f>IFERROR(IF(Tableau3[[#This Row],[type PFI/CDD]]="Direct",0,VLOOKUP(Tableau3[[#This Row],[Clé(POD-PFI)]],Transport!G:K,5,FALSE)),"")</f>
        <v>0</v>
      </c>
      <c r="K104" s="292" t="str">
        <f>VLOOKUP(Tableau3[[#This Row],[Name Consignee]],Tableau10[],4,FALSE)</f>
        <v>TURKEY</v>
      </c>
      <c r="L104" s="190" t="s">
        <v>165</v>
      </c>
      <c r="M104" s="375">
        <f>VLOOKUP(Tableau3[[#This Row],[Name Consignee]],Tableau10[],3,FALSE)</f>
        <v>90014400</v>
      </c>
      <c r="N104" s="108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105" spans="1:14" hidden="1">
      <c r="A105" s="540" t="str">
        <f>_xlfn.CONCAT(Tableau3[[#This Row],[POD]],"-",Tableau3[[#This Row],[Code PFI]],"-",Tableau3[[#This Row],[Compte Consignee]])</f>
        <v>TRIZT---90017000</v>
      </c>
      <c r="B105" s="192" t="str">
        <f>_xlfn.CONCAT(Tableau3[[#This Row],[POD]],"-",Tableau3[[#This Row],[Code PFI]])</f>
        <v>TRIZT--</v>
      </c>
      <c r="C105" s="186" t="str">
        <f>IF(Tableau3[[#This Row],[Name PFI/CDD]]="",_xlfn.CONCAT(Tableau3[[#This Row],[POD]],"-",Tableau3[[#This Row],[Compte Consignee]]),"-")</f>
        <v>TRIZT-90017000</v>
      </c>
      <c r="D105" s="194" t="str">
        <f>_xlfn.CONCAT(Tableau3[[#This Row],[Code PFI]],"-",Tableau3[[#This Row],[Compte Consignee]])</f>
        <v>--90017000</v>
      </c>
      <c r="E105" s="173" t="s">
        <v>551</v>
      </c>
      <c r="F105" s="452">
        <v>4</v>
      </c>
      <c r="G105" s="187"/>
      <c r="H105" s="375" t="str">
        <f>IF(Tableau3[[#This Row],[Name PFI/CDD]]&lt;&gt;"",VLOOKUP(Tableau3[[#This Row],[Name PFI/CDD]],Plant_AILN!I:J,2,FALSE),"-")</f>
        <v>-</v>
      </c>
      <c r="I105" s="291" t="str">
        <f>IF(Tableau3[[#This Row],[Code PFI]]="-","Direct","PFI/CDD")</f>
        <v>Direct</v>
      </c>
      <c r="J105" s="62">
        <f>IFERROR(IF(Tableau3[[#This Row],[type PFI/CDD]]="Direct",0,VLOOKUP(Tableau3[[#This Row],[Clé(POD-PFI)]],Transport!G:K,5,FALSE)),"")</f>
        <v>0</v>
      </c>
      <c r="K105" s="292" t="str">
        <f>VLOOKUP(Tableau3[[#This Row],[Name Consignee]],Tableau10[],4,FALSE)</f>
        <v>TURKEY</v>
      </c>
      <c r="L105" s="190" t="s">
        <v>173</v>
      </c>
      <c r="M105" s="375">
        <f>VLOOKUP(Tableau3[[#This Row],[Name Consignee]],Tableau10[],3,FALSE)</f>
        <v>90017000</v>
      </c>
      <c r="N105" s="108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106" spans="1:14" hidden="1">
      <c r="A106" s="288" t="str">
        <f>_xlfn.CONCAT(Tableau3[[#This Row],[POD]],"-",Tableau3[[#This Row],[Code PFI]],"-",Tableau3[[#This Row],[Compte Consignee]])</f>
        <v>ESVLC-91018400-90018400</v>
      </c>
      <c r="B106" s="192" t="str">
        <f>_xlfn.CONCAT(Tableau3[[#This Row],[POD]],"-",Tableau3[[#This Row],[Code PFI]])</f>
        <v>ESVLC-91018400</v>
      </c>
      <c r="C106" s="289" t="str">
        <f>IF(Tableau3[[#This Row],[Name PFI/CDD]]="",_xlfn.CONCAT(Tableau3[[#This Row],[POD]],"-",Tableau3[[#This Row],[Compte Consignee]]),"-")</f>
        <v>-</v>
      </c>
      <c r="D106" s="290" t="str">
        <f>_xlfn.CONCAT(Tableau3[[#This Row],[Code PFI]],"-",Tableau3[[#This Row],[Compte Consignee]])</f>
        <v>91018400-90018400</v>
      </c>
      <c r="E106" s="173" t="s">
        <v>519</v>
      </c>
      <c r="F106" s="198">
        <v>4</v>
      </c>
      <c r="G106" s="187" t="s">
        <v>171</v>
      </c>
      <c r="H106" s="375">
        <f>IF(Tableau3[[#This Row],[Name PFI/CDD]]&lt;&gt;"",VLOOKUP(Tableau3[[#This Row],[Name PFI/CDD]],Plant_AILN!I:J,2,FALSE),"-")</f>
        <v>91018400</v>
      </c>
      <c r="I106" s="291" t="str">
        <f>IF(Tableau3[[#This Row],[Code PFI]]="-","Direct","PFI/CDD")</f>
        <v>PFI/CDD</v>
      </c>
      <c r="J106" s="62">
        <f>IFERROR(IF(Tableau3[[#This Row],[type PFI/CDD]]="Direct",0,VLOOKUP(Tableau3[[#This Row],[Clé(POD-PFI)]],Transport!G:K,5,FALSE)),"")</f>
        <v>3</v>
      </c>
      <c r="K106" s="292" t="str">
        <f>VLOOKUP(Tableau3[[#This Row],[Name Consignee]],Tableau10[],4,FALSE)</f>
        <v>FRANCE</v>
      </c>
      <c r="L106" s="7" t="s">
        <v>219</v>
      </c>
      <c r="M106" s="375">
        <f>VLOOKUP(Tableau3[[#This Row],[Name Consignee]],Tableau10[],3,FALSE)</f>
        <v>90018400</v>
      </c>
      <c r="N106" s="108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07" spans="1:14" hidden="1">
      <c r="A107" s="288" t="str">
        <f>_xlfn.CONCAT(Tableau3[[#This Row],[POD]],"-",Tableau3[[#This Row],[Code PFI]],"-",Tableau3[[#This Row],[Compte Consignee]])</f>
        <v>DZAZW---90021000</v>
      </c>
      <c r="B107" s="192" t="str">
        <f>_xlfn.CONCAT(Tableau3[[#This Row],[POD]],"-",Tableau3[[#This Row],[Code PFI]])</f>
        <v>DZAZW--</v>
      </c>
      <c r="C107" s="289" t="str">
        <f>IF(Tableau3[[#This Row],[Name PFI/CDD]]="",_xlfn.CONCAT(Tableau3[[#This Row],[POD]],"-",Tableau3[[#This Row],[Compte Consignee]]),"-")</f>
        <v>DZAZW-90021000</v>
      </c>
      <c r="D107" s="290" t="str">
        <f>_xlfn.CONCAT(Tableau3[[#This Row],[Code PFI]],"-",Tableau3[[#This Row],[Compte Consignee]])</f>
        <v>--90021000</v>
      </c>
      <c r="E107" s="187" t="s">
        <v>701</v>
      </c>
      <c r="F107" s="198">
        <v>14</v>
      </c>
      <c r="G107" s="187"/>
      <c r="H107" s="375" t="str">
        <f>IF(Tableau3[[#This Row],[Name PFI/CDD]]&lt;&gt;"",VLOOKUP(Tableau3[[#This Row],[Name PFI/CDD]],Plant_AILN!I:J,2,FALSE),"-")</f>
        <v>-</v>
      </c>
      <c r="I107" s="291" t="str">
        <f>IF(Tableau3[[#This Row],[Code PFI]]="-","Direct","PFI/CDD")</f>
        <v>Direct</v>
      </c>
      <c r="J107" s="62">
        <f>IFERROR(IF(Tableau3[[#This Row],[type PFI/CDD]]="Direct",0,VLOOKUP(Tableau3[[#This Row],[Clé(POD-PFI)]],Transport!G:K,5,FALSE)),"")</f>
        <v>0</v>
      </c>
      <c r="K107" s="292" t="str">
        <f>VLOOKUP(Tableau3[[#This Row],[Name Consignee]],Tableau10[],4,FALSE)</f>
        <v>ALGERIA</v>
      </c>
      <c r="L107" s="199" t="s">
        <v>198</v>
      </c>
      <c r="M107" s="375">
        <f>VLOOKUP(Tableau3[[#This Row],[Name Consignee]],Tableau10[],3,FALSE)</f>
        <v>90021000</v>
      </c>
      <c r="N107" s="108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08" spans="1:14" hidden="1">
      <c r="A108" s="288" t="str">
        <f>_xlfn.CONCAT(Tableau3[[#This Row],[POD]],"-",Tableau3[[#This Row],[Code PFI]],"-",Tableau3[[#This Row],[Compte Consignee]])</f>
        <v>PTLEI---90016500</v>
      </c>
      <c r="B108" s="192" t="str">
        <f>_xlfn.CONCAT(Tableau3[[#This Row],[POD]],"-",Tableau3[[#This Row],[Code PFI]])</f>
        <v>PTLEI--</v>
      </c>
      <c r="C108" s="289" t="str">
        <f>IF(Tableau3[[#This Row],[Name PFI/CDD]]="",_xlfn.CONCAT(Tableau3[[#This Row],[POD]],"-",Tableau3[[#This Row],[Compte Consignee]]),"-")</f>
        <v>PTLEI-90016500</v>
      </c>
      <c r="D108" s="290" t="str">
        <f>_xlfn.CONCAT(Tableau3[[#This Row],[Code PFI]],"-",Tableau3[[#This Row],[Compte Consignee]])</f>
        <v>--90016500</v>
      </c>
      <c r="E108" s="187" t="s">
        <v>656</v>
      </c>
      <c r="F108" s="198">
        <v>3</v>
      </c>
      <c r="G108" s="187"/>
      <c r="H108" s="375" t="str">
        <f>IF(Tableau3[[#This Row],[Name PFI/CDD]]&lt;&gt;"",VLOOKUP(Tableau3[[#This Row],[Name PFI/CDD]],Plant_AILN!I:J,2,FALSE),"-")</f>
        <v>-</v>
      </c>
      <c r="I108" s="291" t="str">
        <f>IF(Tableau3[[#This Row],[Code PFI]]="-","Direct","PFI/CDD")</f>
        <v>Direct</v>
      </c>
      <c r="J108" s="110">
        <f>IFERROR(IF(Tableau3[[#This Row],[type PFI/CDD]]="Direct",0,VLOOKUP(Tableau3[[#This Row],[Clé(POD-PFI)]],Transport!G:K,5,FALSE)),"")</f>
        <v>0</v>
      </c>
      <c r="K108" s="292" t="str">
        <f>VLOOKUP(Tableau3[[#This Row],[Name Consignee]],Tableau10[],4,FALSE)</f>
        <v>PORTUGAL</v>
      </c>
      <c r="L108" s="199" t="s">
        <v>170</v>
      </c>
      <c r="M108" s="375">
        <f>VLOOKUP(Tableau3[[#This Row],[Name Consignee]],Tableau10[],3,FALSE)</f>
        <v>90016500</v>
      </c>
      <c r="N108" s="108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109" spans="1:14">
      <c r="E109"/>
    </row>
    <row r="110" spans="1:14">
      <c r="E110"/>
    </row>
    <row r="111" spans="1:14">
      <c r="E111"/>
    </row>
    <row r="112" spans="1:14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</sheetData>
  <phoneticPr fontId="77" type="noConversion"/>
  <dataValidations count="2">
    <dataValidation type="list" allowBlank="1" showInputMessage="1" showErrorMessage="1" sqref="L108:L1048576 L103:L106 L3:L101" xr:uid="{873B8E93-1B84-47CE-B898-0208CEB2D9FF}">
      <formula1>plantname</formula1>
    </dataValidation>
    <dataValidation type="list" allowBlank="1" showInputMessage="1" showErrorMessage="1" sqref="G103:G1048576 G2:G101" xr:uid="{75605FAE-922A-4E31-AA71-EFF25CB67334}">
      <formula1>PFIname</formula1>
    </dataValidation>
  </dataValidations>
  <pageMargins left="0.7" right="0.7" top="0.75" bottom="0.75" header="0.3" footer="0.3"/>
  <pageSetup paperSize="9" orientation="portrait" r:id="rId1"/>
  <ignoredErrors>
    <ignoredError sqref="H2 L2:M2 N2" calculatedColumn="1"/>
  </ignoredErrors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4D4E-BF33-450E-93A5-CF3E90599812}">
  <sheetPr codeName="Feuil9">
    <tabColor theme="7" tint="-0.249977111117893"/>
  </sheetPr>
  <dimension ref="A1:S66"/>
  <sheetViews>
    <sheetView workbookViewId="0">
      <selection activeCell="H28" sqref="H28"/>
    </sheetView>
  </sheetViews>
  <sheetFormatPr baseColWidth="10" defaultColWidth="11.42578125" defaultRowHeight="15" outlineLevelCol="1"/>
  <cols>
    <col min="1" max="1" width="19.42578125" customWidth="1" outlineLevel="1"/>
    <col min="2" max="2" width="11.42578125" style="283"/>
    <col min="3" max="3" width="21" bestFit="1" customWidth="1"/>
    <col min="4" max="4" width="16.42578125" style="358" customWidth="1"/>
    <col min="5" max="5" width="13.42578125" style="48" customWidth="1"/>
    <col min="7" max="7" width="17.42578125" customWidth="1"/>
    <col min="13" max="13" width="24.42578125" customWidth="1" outlineLevel="1"/>
    <col min="14" max="14" width="11.42578125" customWidth="1"/>
    <col min="15" max="15" width="12.42578125" style="354" bestFit="1" customWidth="1"/>
    <col min="16" max="16" width="17.42578125" hidden="1" customWidth="1"/>
    <col min="17" max="17" width="21" bestFit="1" customWidth="1"/>
    <col min="18" max="18" width="12.42578125" style="354" customWidth="1"/>
    <col min="19" max="19" width="12.42578125" style="48" customWidth="1"/>
  </cols>
  <sheetData>
    <row r="1" spans="1:19" ht="21.75" thickBot="1">
      <c r="B1" s="662" t="s">
        <v>702</v>
      </c>
      <c r="C1" s="662"/>
      <c r="D1" s="662"/>
      <c r="E1" s="662"/>
      <c r="G1" s="663" t="s">
        <v>703</v>
      </c>
      <c r="H1" s="663"/>
      <c r="I1" s="663"/>
      <c r="J1" s="663"/>
      <c r="K1" s="663"/>
      <c r="N1" s="662" t="s">
        <v>704</v>
      </c>
      <c r="O1" s="662"/>
      <c r="P1" s="662"/>
      <c r="Q1" s="662"/>
      <c r="R1" s="662"/>
      <c r="S1" s="662"/>
    </row>
    <row r="2" spans="1:19" ht="60.75" thickBot="1">
      <c r="A2" s="209" t="s">
        <v>705</v>
      </c>
      <c r="B2" s="249" t="s">
        <v>120</v>
      </c>
      <c r="C2" s="250" t="s">
        <v>706</v>
      </c>
      <c r="D2" s="383" t="s">
        <v>707</v>
      </c>
      <c r="E2" s="250" t="s">
        <v>708</v>
      </c>
      <c r="G2" s="49" t="s">
        <v>709</v>
      </c>
      <c r="H2" s="149" t="s">
        <v>120</v>
      </c>
      <c r="I2" s="149" t="s">
        <v>710</v>
      </c>
      <c r="J2" s="384" t="s">
        <v>126</v>
      </c>
      <c r="K2" s="149" t="s">
        <v>711</v>
      </c>
      <c r="M2" s="202" t="s">
        <v>712</v>
      </c>
      <c r="N2" s="251" t="s">
        <v>713</v>
      </c>
      <c r="O2" s="386" t="s">
        <v>714</v>
      </c>
      <c r="P2" s="203" t="s">
        <v>715</v>
      </c>
      <c r="Q2" s="203" t="s">
        <v>629</v>
      </c>
      <c r="R2" s="386" t="s">
        <v>105</v>
      </c>
      <c r="S2" s="252" t="s">
        <v>716</v>
      </c>
    </row>
    <row r="3" spans="1:19">
      <c r="A3" s="144"/>
      <c r="B3" s="144">
        <v>24</v>
      </c>
      <c r="C3" s="5">
        <v>31</v>
      </c>
      <c r="D3" s="5">
        <v>32</v>
      </c>
      <c r="E3" s="5">
        <v>33</v>
      </c>
      <c r="G3" s="113"/>
      <c r="H3" s="250">
        <v>24</v>
      </c>
      <c r="I3" s="203">
        <v>28</v>
      </c>
      <c r="J3" s="203">
        <v>29</v>
      </c>
      <c r="K3" s="154">
        <v>30</v>
      </c>
      <c r="M3" s="113"/>
      <c r="N3" s="150">
        <v>28</v>
      </c>
      <c r="O3" s="203">
        <v>29</v>
      </c>
      <c r="P3" s="144">
        <v>31</v>
      </c>
      <c r="Q3" s="5">
        <v>31</v>
      </c>
      <c r="R3" s="387"/>
      <c r="S3" s="253">
        <v>33</v>
      </c>
    </row>
    <row r="4" spans="1:19">
      <c r="A4" s="84" t="str">
        <f>_xlfn.CONCAT(Tableau4[[#This Row],[POD]],"-",Tableau4[[#This Row],[Code Plant]])</f>
        <v>ARBUE-90016000</v>
      </c>
      <c r="B4" s="207" t="s">
        <v>534</v>
      </c>
      <c r="C4" s="184" t="s">
        <v>158</v>
      </c>
      <c r="D4" s="376">
        <f>VLOOKUP(Tableau4[[#This Row],[Name Plant]],Plant_AILN!A:C,3,FALSE)</f>
        <v>90016000</v>
      </c>
      <c r="E4" s="254">
        <v>3</v>
      </c>
      <c r="G4" s="84" t="str">
        <f>_xlfn.CONCAT(Tableau5[[#This Row],[POD]],"-",Tableau5[[#This Row],[Code PFI]])</f>
        <v>FRLEH-90016600</v>
      </c>
      <c r="H4" s="255" t="s">
        <v>483</v>
      </c>
      <c r="I4" s="256" t="s">
        <v>270</v>
      </c>
      <c r="J4" s="385">
        <f>VLOOKUP(Tableau5[[#This Row],[Name PFI ]],Plant_AILN!I:J,2,FALSE)</f>
        <v>90016600</v>
      </c>
      <c r="K4" s="257">
        <v>2</v>
      </c>
      <c r="M4" s="84" t="str">
        <f>_xlfn.CONCAT(Tableau7[[#This Row],[Code PFI ]],"-",Tableau7[[#This Row],[Compte Consignee]])</f>
        <v>90016600-90018300</v>
      </c>
      <c r="N4" s="258" t="s">
        <v>155</v>
      </c>
      <c r="O4" s="376">
        <f>VLOOKUP(Tableau7[[#This Row],[PFI Import]],Plant_AILN!I:J,2,FALSE)</f>
        <v>90016600</v>
      </c>
      <c r="P4" s="259" t="s">
        <v>717</v>
      </c>
      <c r="Q4" s="260" t="s">
        <v>220</v>
      </c>
      <c r="R4" s="376">
        <f>VLOOKUP(Tableau7[[#This Row],[Name Consignee]],Plant_AILN!A:C,3,FALSE)</f>
        <v>90018300</v>
      </c>
      <c r="S4" s="261">
        <v>5</v>
      </c>
    </row>
    <row r="5" spans="1:19">
      <c r="A5" s="84" t="str">
        <f>_xlfn.CONCAT(Tableau4[[#This Row],[POD]],"-",Tableau4[[#This Row],[Code Plant]])</f>
        <v>ARROS-90016000</v>
      </c>
      <c r="B5" s="207" t="s">
        <v>651</v>
      </c>
      <c r="C5" s="184" t="s">
        <v>158</v>
      </c>
      <c r="D5" s="376">
        <f>VLOOKUP(Tableau4[[#This Row],[Name Plant]],Plant_AILN!A:C,3,FALSE)</f>
        <v>90016000</v>
      </c>
      <c r="E5" s="254">
        <v>2</v>
      </c>
      <c r="G5" s="84" t="str">
        <f>_xlfn.CONCAT(Tableau5[[#This Row],[POD]],"-",Tableau5[[#This Row],[Code PFI]])</f>
        <v>FRLEH-90016600</v>
      </c>
      <c r="H5" s="255" t="s">
        <v>483</v>
      </c>
      <c r="I5" s="256" t="s">
        <v>155</v>
      </c>
      <c r="J5" s="385">
        <f>VLOOKUP(Tableau5[[#This Row],[Name PFI ]],Plant_AILN!I:J,2,FALSE)</f>
        <v>90016600</v>
      </c>
      <c r="K5" s="257">
        <v>2</v>
      </c>
      <c r="M5" s="84" t="str">
        <f>_xlfn.CONCAT(Tableau7[[#This Row],[Code PFI ]],"-",Tableau7[[#This Row],[Compte Consignee]])</f>
        <v>90016600-9624700</v>
      </c>
      <c r="N5" s="258" t="s">
        <v>155</v>
      </c>
      <c r="O5" s="376">
        <f>VLOOKUP(Tableau7[[#This Row],[PFI Import]],Plant_AILN!I:J,2,FALSE)</f>
        <v>90016600</v>
      </c>
      <c r="P5" s="260"/>
      <c r="Q5" s="260" t="s">
        <v>218</v>
      </c>
      <c r="R5" s="376">
        <f>VLOOKUP(Tableau7[[#This Row],[Name Consignee]],Plant_AILN!A:C,3,FALSE)</f>
        <v>9624700</v>
      </c>
      <c r="S5" s="467">
        <v>4</v>
      </c>
    </row>
    <row r="6" spans="1:19">
      <c r="A6" s="84" t="str">
        <f>_xlfn.CONCAT(Tableau4[[#This Row],[POD]],"-",Tableau4[[#This Row],[Code Plant]])</f>
        <v>BRPNG-90018000</v>
      </c>
      <c r="B6" s="207" t="s">
        <v>525</v>
      </c>
      <c r="C6" s="184" t="s">
        <v>152</v>
      </c>
      <c r="D6" s="376">
        <f>VLOOKUP(Tableau4[[#This Row],[Name Plant]],Plant_AILN!A:C,3,FALSE)</f>
        <v>90018000</v>
      </c>
      <c r="E6" s="254">
        <v>2</v>
      </c>
      <c r="G6" s="84" t="str">
        <f>_xlfn.CONCAT(Tableau5[[#This Row],[POD]],"-",Tableau5[[#This Row],[Code PFI]])</f>
        <v>ROCND-2839004</v>
      </c>
      <c r="H6" s="255" t="s">
        <v>547</v>
      </c>
      <c r="I6" s="256" t="s">
        <v>278</v>
      </c>
      <c r="J6" s="385">
        <f>VLOOKUP(Tableau5[[#This Row],[Name PFI ]],Plant_AILN!I:J,2,FALSE)</f>
        <v>2839004</v>
      </c>
      <c r="K6" s="262">
        <v>7</v>
      </c>
      <c r="M6" s="84" t="str">
        <f>_xlfn.CONCAT(Tableau7[[#This Row],[Code PFI ]],"-",Tableau7[[#This Row],[Compte Consignee]])</f>
        <v>90016600-92000100</v>
      </c>
      <c r="N6" s="258" t="s">
        <v>155</v>
      </c>
      <c r="O6" s="376">
        <f>VLOOKUP(Tableau7[[#This Row],[PFI Import]],Plant_AILN!I:J,2,FALSE)</f>
        <v>90016600</v>
      </c>
      <c r="P6" s="259" t="s">
        <v>718</v>
      </c>
      <c r="Q6" s="260" t="s">
        <v>183</v>
      </c>
      <c r="R6" s="376">
        <f>VLOOKUP(Tableau7[[#This Row],[Name Consignee]],Plant_AILN!A:C,3,FALSE)</f>
        <v>92000100</v>
      </c>
      <c r="S6" s="261">
        <v>2</v>
      </c>
    </row>
    <row r="7" spans="1:19">
      <c r="A7" s="84" t="str">
        <f>_xlfn.CONCAT(Tableau4[[#This Row],[POD]],"-",Tableau4[[#This Row],[Code Plant]])</f>
        <v>BRPNG-90018600</v>
      </c>
      <c r="B7" s="207" t="s">
        <v>525</v>
      </c>
      <c r="C7" s="184" t="s">
        <v>160</v>
      </c>
      <c r="D7" s="376">
        <f>VLOOKUP(Tableau4[[#This Row],[Name Plant]],Plant_AILN!A:C,3,FALSE)</f>
        <v>90018600</v>
      </c>
      <c r="E7" s="254">
        <v>2</v>
      </c>
      <c r="G7" s="84" t="str">
        <f>_xlfn.CONCAT(Tableau5[[#This Row],[POD]],"-",Tableau5[[#This Row],[Code PFI]])</f>
        <v>ESVLC-91018400</v>
      </c>
      <c r="H7" s="255" t="s">
        <v>519</v>
      </c>
      <c r="I7" s="256" t="s">
        <v>171</v>
      </c>
      <c r="J7" s="385">
        <f>VLOOKUP(Tableau5[[#This Row],[Name PFI ]],Plant_AILN!I:J,2,FALSE)</f>
        <v>91018400</v>
      </c>
      <c r="K7" s="262">
        <v>3</v>
      </c>
      <c r="M7" s="84" t="str">
        <f>_xlfn.CONCAT(Tableau7[[#This Row],[Code PFI ]],"-",Tableau7[[#This Row],[Compte Consignee]])</f>
        <v>90016600-90019100</v>
      </c>
      <c r="N7" s="258" t="s">
        <v>155</v>
      </c>
      <c r="O7" s="376">
        <f>VLOOKUP(Tableau7[[#This Row],[PFI Import]],Plant_AILN!I:J,2,FALSE)</f>
        <v>90016600</v>
      </c>
      <c r="P7" s="259" t="s">
        <v>719</v>
      </c>
      <c r="Q7" s="260" t="s">
        <v>188</v>
      </c>
      <c r="R7" s="376">
        <f>VLOOKUP(Tableau7[[#This Row],[Name Consignee]],Plant_AILN!A:C,3,FALSE)</f>
        <v>90019100</v>
      </c>
      <c r="S7" s="261">
        <v>3</v>
      </c>
    </row>
    <row r="8" spans="1:19">
      <c r="A8" s="84" t="str">
        <f>_xlfn.CONCAT(Tableau4[[#This Row],[POD]],"-",Tableau4[[#This Row],[Code Plant]])</f>
        <v>BRPNG-90018500</v>
      </c>
      <c r="B8" s="207" t="s">
        <v>525</v>
      </c>
      <c r="C8" s="184" t="s">
        <v>639</v>
      </c>
      <c r="D8" s="376">
        <f>VLOOKUP(Tableau4[[#This Row],[Name Plant]],Plant_AILN!A:C,3,FALSE)</f>
        <v>90018500</v>
      </c>
      <c r="E8" s="254">
        <v>2</v>
      </c>
      <c r="G8" s="84" t="str">
        <f>_xlfn.CONCAT(Tableau5[[#This Row],[POD]],"-",Tableau5[[#This Row],[Code PFI]])</f>
        <v>ESVLC-91018400</v>
      </c>
      <c r="H8" s="263" t="s">
        <v>519</v>
      </c>
      <c r="I8" s="264" t="s">
        <v>169</v>
      </c>
      <c r="J8" s="385">
        <f>VLOOKUP(Tableau5[[#This Row],[Name PFI ]],Plant_AILN!I:J,2,FALSE)</f>
        <v>91018400</v>
      </c>
      <c r="K8" s="265">
        <v>3</v>
      </c>
      <c r="M8" s="84" t="str">
        <f>_xlfn.CONCAT(Tableau7[[#This Row],[Code PFI ]],"-",Tableau7[[#This Row],[Compte Consignee]])</f>
        <v>90016600-90015100</v>
      </c>
      <c r="N8" s="258" t="s">
        <v>155</v>
      </c>
      <c r="O8" s="376">
        <f>VLOOKUP(Tableau7[[#This Row],[PFI Import]],Plant_AILN!I:J,2,FALSE)</f>
        <v>90016600</v>
      </c>
      <c r="P8" s="259" t="s">
        <v>720</v>
      </c>
      <c r="Q8" s="260" t="s">
        <v>209</v>
      </c>
      <c r="R8" s="376">
        <f>VLOOKUP(Tableau7[[#This Row],[Name Consignee]],Plant_AILN!A:C,3,FALSE)</f>
        <v>90015100</v>
      </c>
      <c r="S8" s="261">
        <v>3</v>
      </c>
    </row>
    <row r="9" spans="1:19">
      <c r="A9" s="84" t="str">
        <f>_xlfn.CONCAT(Tableau4[[#This Row],[POD]],"-",Tableau4[[#This Row],[Code Plant]])</f>
        <v>BRRIO-28750500</v>
      </c>
      <c r="B9" s="207" t="s">
        <v>691</v>
      </c>
      <c r="C9" s="184" t="s">
        <v>215</v>
      </c>
      <c r="D9" s="376">
        <f>VLOOKUP(Tableau4[[#This Row],[Name Plant]],Plant_AILN!A:C,3,FALSE)</f>
        <v>28750500</v>
      </c>
      <c r="E9" s="254">
        <v>4</v>
      </c>
      <c r="G9" s="84" t="str">
        <f>_xlfn.CONCAT(Tableau5[[#This Row],[POD]],"-",Tableau5[[#This Row],[Code PFI]])</f>
        <v>ROCND-2839004</v>
      </c>
      <c r="H9" s="255" t="s">
        <v>547</v>
      </c>
      <c r="I9" s="255" t="s">
        <v>164</v>
      </c>
      <c r="J9" s="385">
        <f>VLOOKUP(Tableau5[[#This Row],[Name PFI ]],Plant_AILN!I:J,2,FALSE)</f>
        <v>2839004</v>
      </c>
      <c r="K9" s="262">
        <v>7</v>
      </c>
      <c r="M9" s="84" t="str">
        <f>_xlfn.CONCAT(Tableau7[[#This Row],[Code PFI ]],"-",Tableau7[[#This Row],[Compte Consignee]])</f>
        <v>90016600-90016200</v>
      </c>
      <c r="N9" s="258" t="s">
        <v>155</v>
      </c>
      <c r="O9" s="376">
        <f>VLOOKUP(Tableau7[[#This Row],[PFI Import]],Plant_AILN!I:J,2,FALSE)</f>
        <v>90016600</v>
      </c>
      <c r="P9" s="259" t="s">
        <v>721</v>
      </c>
      <c r="Q9" s="260" t="s">
        <v>210</v>
      </c>
      <c r="R9" s="376">
        <f>VLOOKUP(Tableau7[[#This Row],[Name Consignee]],Plant_AILN!A:C,3,FALSE)</f>
        <v>90016200</v>
      </c>
      <c r="S9" s="261">
        <v>3</v>
      </c>
    </row>
    <row r="10" spans="1:19">
      <c r="A10" s="84" t="str">
        <f>_xlfn.CONCAT(Tableau4[[#This Row],[POD]],"-",Tableau4[[#This Row],[Code Plant]])</f>
        <v>CLSAI-90009500</v>
      </c>
      <c r="B10" s="207" t="s">
        <v>485</v>
      </c>
      <c r="C10" s="184" t="s">
        <v>142</v>
      </c>
      <c r="D10" s="376">
        <f>VLOOKUP(Tableau4[[#This Row],[Name Plant]],Plant_AILN!A:C,3,FALSE)</f>
        <v>90009500</v>
      </c>
      <c r="E10" s="254">
        <v>2</v>
      </c>
      <c r="G10" s="84" t="str">
        <f>_xlfn.CONCAT(Tableau5[[#This Row],[POD]],"-",Tableau5[[#This Row],[Code PFI]])</f>
        <v>ROCND-2839004</v>
      </c>
      <c r="H10" s="255" t="s">
        <v>547</v>
      </c>
      <c r="I10" s="255" t="s">
        <v>164</v>
      </c>
      <c r="J10" s="385">
        <f>VLOOKUP(Tableau5[[#This Row],[Name PFI ]],Plant_AILN!I:J,2,FALSE)</f>
        <v>2839004</v>
      </c>
      <c r="K10" s="262">
        <v>7</v>
      </c>
      <c r="M10" s="84" t="str">
        <f>_xlfn.CONCAT(Tableau7[[#This Row],[Code PFI ]],"-",Tableau7[[#This Row],[Compte Consignee]])</f>
        <v>90016600-91017200</v>
      </c>
      <c r="N10" s="258" t="s">
        <v>155</v>
      </c>
      <c r="O10" s="376">
        <f>VLOOKUP(Tableau7[[#This Row],[PFI Import]],Plant_AILN!I:J,2,FALSE)</f>
        <v>90016600</v>
      </c>
      <c r="P10" s="259" t="s">
        <v>722</v>
      </c>
      <c r="Q10" s="260" t="s">
        <v>184</v>
      </c>
      <c r="R10" s="376">
        <f>VLOOKUP(Tableau7[[#This Row],[Name Consignee]],Plant_AILN!A:C,3,FALSE)</f>
        <v>91017200</v>
      </c>
      <c r="S10" s="266">
        <v>5</v>
      </c>
    </row>
    <row r="11" spans="1:19">
      <c r="A11" s="84" t="str">
        <f>_xlfn.CONCAT(Tableau4[[#This Row],[POD]],"-",Tableau4[[#This Row],[Code Plant]])</f>
        <v>CLVAP-90009500</v>
      </c>
      <c r="B11" s="207" t="s">
        <v>503</v>
      </c>
      <c r="C11" s="184" t="s">
        <v>142</v>
      </c>
      <c r="D11" s="376">
        <f>VLOOKUP(Tableau4[[#This Row],[Name Plant]],Plant_AILN!A:C,3,FALSE)</f>
        <v>90009500</v>
      </c>
      <c r="E11" s="254">
        <v>2</v>
      </c>
      <c r="G11" s="543" t="str">
        <f>_xlfn.CONCAT(Tableau5[[#This Row],[POD]],"-",Tableau5[[#This Row],[Code PFI]])</f>
        <v>FRLEH-91018400</v>
      </c>
      <c r="H11" s="276" t="s">
        <v>483</v>
      </c>
      <c r="I11" s="256" t="s">
        <v>171</v>
      </c>
      <c r="J11" s="366">
        <f>VLOOKUP(Tableau5[[#This Row],[Name PFI ]],Plant_AILN!I:J,2,FALSE)</f>
        <v>91018400</v>
      </c>
      <c r="K11" s="544">
        <v>5</v>
      </c>
      <c r="M11" s="84" t="str">
        <f>_xlfn.CONCAT(Tableau7[[#This Row],[Code PFI ]],"-",Tableau7[[#This Row],[Compte Consignee]])</f>
        <v>90016600-90017100</v>
      </c>
      <c r="N11" s="258" t="s">
        <v>155</v>
      </c>
      <c r="O11" s="376">
        <f>VLOOKUP(Tableau7[[#This Row],[PFI Import]],Plant_AILN!I:J,2,FALSE)</f>
        <v>90016600</v>
      </c>
      <c r="P11" s="259" t="s">
        <v>723</v>
      </c>
      <c r="Q11" s="260" t="s">
        <v>196</v>
      </c>
      <c r="R11" s="376">
        <f>VLOOKUP(Tableau7[[#This Row],[Name Consignee]],Plant_AILN!A:C,3,FALSE)</f>
        <v>90017100</v>
      </c>
      <c r="S11" s="261">
        <v>2</v>
      </c>
    </row>
    <row r="12" spans="1:19">
      <c r="A12" s="84" t="str">
        <f>_xlfn.CONCAT(Tableau4[[#This Row],[POD]],"-",Tableau4[[#This Row],[Code Plant]])</f>
        <v>CNSHA-0</v>
      </c>
      <c r="B12" s="207" t="s">
        <v>524</v>
      </c>
      <c r="C12" s="184" t="s">
        <v>216</v>
      </c>
      <c r="D12" s="376">
        <f>VLOOKUP(Tableau4[[#This Row],[Name Plant]],Plant_AILN!A:C,3,FALSE)</f>
        <v>0</v>
      </c>
      <c r="E12" s="254">
        <v>3</v>
      </c>
      <c r="M12" s="84" t="str">
        <f>_xlfn.CONCAT(Tableau7[[#This Row],[Code PFI ]],"-",Tableau7[[#This Row],[Compte Consignee]])</f>
        <v>90016600-91017500</v>
      </c>
      <c r="N12" s="258" t="s">
        <v>155</v>
      </c>
      <c r="O12" s="376">
        <f>VLOOKUP(Tableau7[[#This Row],[PFI Import]],Plant_AILN!I:J,2,FALSE)</f>
        <v>90016600</v>
      </c>
      <c r="P12" s="259" t="s">
        <v>724</v>
      </c>
      <c r="Q12" s="260" t="s">
        <v>172</v>
      </c>
      <c r="R12" s="376">
        <f>VLOOKUP(Tableau7[[#This Row],[Name Consignee]],Plant_AILN!A:C,3,FALSE)</f>
        <v>91017500</v>
      </c>
      <c r="S12" s="266">
        <v>5</v>
      </c>
    </row>
    <row r="13" spans="1:19">
      <c r="A13" s="84" t="str">
        <f>_xlfn.CONCAT(Tableau4[[#This Row],[POD]],"-",Tableau4[[#This Row],[Code Plant]])</f>
        <v>CNWUH-0</v>
      </c>
      <c r="B13" s="207" t="s">
        <v>692</v>
      </c>
      <c r="C13" s="184" t="s">
        <v>216</v>
      </c>
      <c r="D13" s="376">
        <f>VLOOKUP(Tableau4[[#This Row],[Name Plant]],Plant_AILN!A:C,3,FALSE)</f>
        <v>0</v>
      </c>
      <c r="E13" s="254">
        <v>3</v>
      </c>
      <c r="G13" s="660" t="s">
        <v>725</v>
      </c>
      <c r="H13" s="660"/>
      <c r="I13" s="660"/>
      <c r="J13" s="660"/>
      <c r="K13" s="660"/>
      <c r="M13" s="84" t="str">
        <f>_xlfn.CONCAT(Tableau7[[#This Row],[Code PFI ]],"-",Tableau7[[#This Row],[Compte Consignee]])</f>
        <v>90016600-90016900</v>
      </c>
      <c r="N13" s="258" t="s">
        <v>155</v>
      </c>
      <c r="O13" s="376">
        <f>VLOOKUP(Tableau7[[#This Row],[PFI Import]],Plant_AILN!I:J,2,FALSE)</f>
        <v>90016600</v>
      </c>
      <c r="P13" s="259" t="s">
        <v>726</v>
      </c>
      <c r="Q13" s="260" t="s">
        <v>154</v>
      </c>
      <c r="R13" s="376">
        <f>VLOOKUP(Tableau7[[#This Row],[Name Consignee]],Plant_AILN!A:C,3,FALSE)</f>
        <v>90016900</v>
      </c>
      <c r="S13" s="261">
        <v>4</v>
      </c>
    </row>
    <row r="14" spans="1:19" ht="15.75" thickBot="1">
      <c r="A14" s="84" t="str">
        <f>_xlfn.CONCAT(Tableau4[[#This Row],[POD]],"-",Tableau4[[#This Row],[Code Plant]])</f>
        <v>COBUN-9510600</v>
      </c>
      <c r="B14" s="207" t="s">
        <v>606</v>
      </c>
      <c r="C14" s="184" t="s">
        <v>177</v>
      </c>
      <c r="D14" s="376">
        <f>VLOOKUP(Tableau4[[#This Row],[Name Plant]],Plant_AILN!A:C,3,FALSE)</f>
        <v>9510600</v>
      </c>
      <c r="E14" s="254">
        <v>0</v>
      </c>
      <c r="G14" s="661"/>
      <c r="H14" s="661"/>
      <c r="I14" s="661"/>
      <c r="J14" s="661"/>
      <c r="K14" s="661"/>
      <c r="M14" s="84" t="str">
        <f>_xlfn.CONCAT(Tableau7[[#This Row],[Code PFI ]],"-",Tableau7[[#This Row],[Compte Consignee]])</f>
        <v>90016600-90018400</v>
      </c>
      <c r="N14" s="258" t="s">
        <v>155</v>
      </c>
      <c r="O14" s="376">
        <f>VLOOKUP(Tableau7[[#This Row],[PFI Import]],Plant_AILN!I:J,2,FALSE)</f>
        <v>90016600</v>
      </c>
      <c r="P14" s="259" t="s">
        <v>727</v>
      </c>
      <c r="Q14" s="260" t="s">
        <v>219</v>
      </c>
      <c r="R14" s="376">
        <f>VLOOKUP(Tableau7[[#This Row],[Name Consignee]],Plant_AILN!A:C,3,FALSE)</f>
        <v>90018400</v>
      </c>
      <c r="S14" s="261">
        <v>5</v>
      </c>
    </row>
    <row r="15" spans="1:19">
      <c r="A15" s="84" t="str">
        <f>_xlfn.CONCAT(Tableau4[[#This Row],[POD]],"-",Tableau4[[#This Row],[Code Plant]])</f>
        <v>COCTG-9510600</v>
      </c>
      <c r="B15" s="207" t="s">
        <v>516</v>
      </c>
      <c r="C15" s="184" t="s">
        <v>177</v>
      </c>
      <c r="D15" s="376">
        <f>VLOOKUP(Tableau4[[#This Row],[Name Plant]],Plant_AILN!A:C,3,FALSE)</f>
        <v>9510600</v>
      </c>
      <c r="E15" s="254">
        <v>0</v>
      </c>
      <c r="G15" s="250" t="s">
        <v>241</v>
      </c>
      <c r="H15" s="203" t="s">
        <v>711</v>
      </c>
      <c r="I15" s="203" t="s">
        <v>728</v>
      </c>
      <c r="J15" s="250" t="s">
        <v>729</v>
      </c>
      <c r="K15" s="250" t="s">
        <v>730</v>
      </c>
      <c r="M15" s="84" t="str">
        <f>_xlfn.CONCAT(Tableau7[[#This Row],[Code PFI ]],"-",Tableau7[[#This Row],[Compte Consignee]])</f>
        <v>90016600-91017300</v>
      </c>
      <c r="N15" s="258" t="s">
        <v>155</v>
      </c>
      <c r="O15" s="376">
        <f>VLOOKUP(Tableau7[[#This Row],[PFI Import]],Plant_AILN!I:J,2,FALSE)</f>
        <v>90016600</v>
      </c>
      <c r="P15" s="259" t="s">
        <v>731</v>
      </c>
      <c r="Q15" s="260" t="s">
        <v>175</v>
      </c>
      <c r="R15" s="376">
        <f>VLOOKUP(Tableau7[[#This Row],[Name Consignee]],Plant_AILN!A:C,3,FALSE)</f>
        <v>91017300</v>
      </c>
      <c r="S15" s="266">
        <v>5</v>
      </c>
    </row>
    <row r="16" spans="1:19">
      <c r="A16" s="84" t="str">
        <f>_xlfn.CONCAT(Tableau4[[#This Row],[POD]],"-",Tableau4[[#This Row],[Code Plant]])</f>
        <v>EGALY-0</v>
      </c>
      <c r="B16" s="207" t="s">
        <v>694</v>
      </c>
      <c r="C16" s="184" t="s">
        <v>695</v>
      </c>
      <c r="D16" s="376">
        <f>VLOOKUP(Tableau4[[#This Row],[Name Plant]],Plant_AILN!A:C,3,FALSE)</f>
        <v>0</v>
      </c>
      <c r="E16" s="254">
        <v>1</v>
      </c>
      <c r="G16" s="269" t="s">
        <v>171</v>
      </c>
      <c r="H16" s="269" t="s">
        <v>732</v>
      </c>
      <c r="I16" s="206"/>
      <c r="J16" s="206">
        <v>2</v>
      </c>
      <c r="K16" s="206">
        <v>0</v>
      </c>
      <c r="M16" s="84" t="str">
        <f>_xlfn.CONCAT(Tableau7[[#This Row],[Code PFI ]],"-",Tableau7[[#This Row],[Compte Consignee]])</f>
        <v>91018400-91017600</v>
      </c>
      <c r="N16" s="258" t="s">
        <v>169</v>
      </c>
      <c r="O16" s="376">
        <f>VLOOKUP(Tableau7[[#This Row],[PFI Import]],Plant_AILN!I:J,2,FALSE)</f>
        <v>91018400</v>
      </c>
      <c r="P16" s="259"/>
      <c r="Q16" s="260" t="s">
        <v>211</v>
      </c>
      <c r="R16" s="376">
        <f>VLOOKUP(Tableau7[[#This Row],[Name Consignee]],Plant_AILN!A:C,3,FALSE)</f>
        <v>91017600</v>
      </c>
      <c r="S16" s="261">
        <v>3</v>
      </c>
    </row>
    <row r="17" spans="1:19">
      <c r="A17" s="84" t="str">
        <f>_xlfn.CONCAT(Tableau4[[#This Row],[POD]],"-",Tableau4[[#This Row],[Code Plant]])</f>
        <v>ESVLC-91017300</v>
      </c>
      <c r="B17" s="207" t="s">
        <v>519</v>
      </c>
      <c r="C17" s="184" t="s">
        <v>175</v>
      </c>
      <c r="D17" s="376">
        <f>VLOOKUP(Tableau4[[#This Row],[Name Plant]],Plant_AILN!A:C,3,FALSE)</f>
        <v>91017300</v>
      </c>
      <c r="E17" s="254">
        <v>4</v>
      </c>
      <c r="G17" s="206" t="s">
        <v>169</v>
      </c>
      <c r="H17" s="206" t="s">
        <v>732</v>
      </c>
      <c r="I17" s="206"/>
      <c r="J17" s="206">
        <v>2</v>
      </c>
      <c r="K17" s="206">
        <v>0</v>
      </c>
      <c r="M17" s="84" t="str">
        <f>_xlfn.CONCAT(Tableau7[[#This Row],[Code PFI ]],"-",Tableau7[[#This Row],[Compte Consignee]])</f>
        <v>91018400-91017300</v>
      </c>
      <c r="N17" s="258" t="s">
        <v>169</v>
      </c>
      <c r="O17" s="376">
        <f>VLOOKUP(Tableau7[[#This Row],[PFI Import]],Plant_AILN!I:J,2,FALSE)</f>
        <v>91018400</v>
      </c>
      <c r="P17" s="259" t="s">
        <v>731</v>
      </c>
      <c r="Q17" s="260" t="s">
        <v>175</v>
      </c>
      <c r="R17" s="376">
        <f>VLOOKUP(Tableau7[[#This Row],[Name Consignee]],Plant_AILN!A:C,3,FALSE)</f>
        <v>91017300</v>
      </c>
      <c r="S17" s="266">
        <v>3</v>
      </c>
    </row>
    <row r="18" spans="1:19">
      <c r="A18" s="84" t="str">
        <f>_xlfn.CONCAT(Tableau4[[#This Row],[POD]],"-",Tableau4[[#This Row],[Code Plant]])</f>
        <v>ESVLC-9101840000</v>
      </c>
      <c r="B18" s="207" t="s">
        <v>519</v>
      </c>
      <c r="C18" s="184" t="s">
        <v>151</v>
      </c>
      <c r="D18" s="376">
        <f>VLOOKUP(Tableau4[[#This Row],[Name Plant]],Plant_AILN!A:C,3,FALSE)</f>
        <v>9101840000</v>
      </c>
      <c r="E18" s="254">
        <v>3</v>
      </c>
      <c r="G18" s="260" t="s">
        <v>175</v>
      </c>
      <c r="H18" s="206" t="s">
        <v>732</v>
      </c>
      <c r="I18" s="206"/>
      <c r="J18" s="206">
        <v>2</v>
      </c>
      <c r="K18" s="206">
        <v>0</v>
      </c>
      <c r="M18" s="84" t="str">
        <f>_xlfn.CONCAT(Tableau7[[#This Row],[Code PFI ]],"-",Tableau7[[#This Row],[Compte Consignee]])</f>
        <v>2839004-90012500</v>
      </c>
      <c r="N18" s="180" t="s">
        <v>164</v>
      </c>
      <c r="O18" s="376">
        <f>VLOOKUP(Tableau7[[#This Row],[PFI Import]],Plant_AILN!I:J,2,FALSE)</f>
        <v>2839004</v>
      </c>
      <c r="P18" s="267"/>
      <c r="Q18" s="182" t="s">
        <v>162</v>
      </c>
      <c r="R18" s="376">
        <f>VLOOKUP(Tableau7[[#This Row],[Name Consignee]],Plant_AILN!A:C,3,FALSE)</f>
        <v>90012500</v>
      </c>
      <c r="S18" s="268">
        <v>1</v>
      </c>
    </row>
    <row r="19" spans="1:19">
      <c r="A19" s="84" t="str">
        <f>_xlfn.CONCAT(Tableau4[[#This Row],[POD]],"-",Tableau4[[#This Row],[Code Plant]])</f>
        <v>ESVLC-91017700</v>
      </c>
      <c r="B19" s="207" t="s">
        <v>519</v>
      </c>
      <c r="C19" s="184" t="s">
        <v>63</v>
      </c>
      <c r="D19" s="376">
        <f>VLOOKUP(Tableau4[[#This Row],[Name Plant]],Plant_AILN!A:C,3,FALSE)</f>
        <v>91017700</v>
      </c>
      <c r="E19" s="254">
        <v>3</v>
      </c>
      <c r="M19" s="84" t="str">
        <f>_xlfn.CONCAT(Tableau7[[#This Row],[Code PFI ]],"-",Tableau7[[#This Row],[Compte Consignee]])</f>
        <v>2839004-90016800</v>
      </c>
      <c r="N19" s="180" t="s">
        <v>164</v>
      </c>
      <c r="O19" s="376">
        <f>VLOOKUP(Tableau7[[#This Row],[PFI Import]],Plant_AILN!I:J,2,FALSE)</f>
        <v>2839004</v>
      </c>
      <c r="P19" s="267"/>
      <c r="Q19" s="182" t="s">
        <v>185</v>
      </c>
      <c r="R19" s="376">
        <f>VLOOKUP(Tableau7[[#This Row],[Name Consignee]],Plant_AILN!A:C,3,FALSE)</f>
        <v>90016800</v>
      </c>
      <c r="S19" s="268">
        <v>1</v>
      </c>
    </row>
    <row r="20" spans="1:19">
      <c r="A20" s="84" t="str">
        <f>_xlfn.CONCAT(Tableau4[[#This Row],[POD]],"-",Tableau4[[#This Row],[Code Plant]])</f>
        <v>ESVLC-91017200</v>
      </c>
      <c r="B20" s="207" t="s">
        <v>519</v>
      </c>
      <c r="C20" s="184" t="s">
        <v>184</v>
      </c>
      <c r="D20" s="376">
        <f>VLOOKUP(Tableau4[[#This Row],[Name Plant]],Plant_AILN!A:C,3,FALSE)</f>
        <v>91017200</v>
      </c>
      <c r="E20" s="254">
        <v>2</v>
      </c>
      <c r="M20" s="84" t="str">
        <f>_xlfn.CONCAT(Tableau7[[#This Row],[Code PFI ]],"-",Tableau7[[#This Row],[Compte Consignee]])</f>
        <v>90016600-90018300</v>
      </c>
      <c r="N20" s="258" t="s">
        <v>270</v>
      </c>
      <c r="O20" s="376">
        <f>VLOOKUP(Tableau7[[#This Row],[PFI Import]],Plant_AILN!I:J,2,FALSE)</f>
        <v>90016600</v>
      </c>
      <c r="P20" s="259" t="s">
        <v>717</v>
      </c>
      <c r="Q20" s="260" t="s">
        <v>220</v>
      </c>
      <c r="R20" s="376">
        <f>VLOOKUP(Tableau7[[#This Row],[Name Consignee]],Plant_AILN!A:C,3,FALSE)</f>
        <v>90018300</v>
      </c>
      <c r="S20" s="261">
        <v>5</v>
      </c>
    </row>
    <row r="21" spans="1:19">
      <c r="A21" s="84" t="str">
        <f>_xlfn.CONCAT(Tableau4[[#This Row],[POD]],"-",Tableau4[[#This Row],[Code Plant]])</f>
        <v>FRDKK-90019100</v>
      </c>
      <c r="B21" s="207" t="s">
        <v>653</v>
      </c>
      <c r="C21" s="184" t="s">
        <v>188</v>
      </c>
      <c r="D21" s="376">
        <f>VLOOKUP(Tableau4[[#This Row],[Name Plant]],Plant_AILN!A:C,3,FALSE)</f>
        <v>90019100</v>
      </c>
      <c r="E21" s="254">
        <v>2</v>
      </c>
      <c r="M21" s="84" t="str">
        <f>_xlfn.CONCAT(Tableau7[[#This Row],[Code PFI ]],"-",Tableau7[[#This Row],[Compte Consignee]])</f>
        <v>90016600-90016500</v>
      </c>
      <c r="N21" s="258" t="s">
        <v>270</v>
      </c>
      <c r="O21" s="376">
        <f>VLOOKUP(Tableau7[[#This Row],[PFI Import]],Plant_AILN!I:J,2,FALSE)</f>
        <v>90016600</v>
      </c>
      <c r="P21" s="259" t="s">
        <v>733</v>
      </c>
      <c r="Q21" s="260" t="s">
        <v>170</v>
      </c>
      <c r="R21" s="376">
        <f>VLOOKUP(Tableau7[[#This Row],[Name Consignee]],Plant_AILN!A:C,3,FALSE)</f>
        <v>90016500</v>
      </c>
      <c r="S21" s="266">
        <v>7</v>
      </c>
    </row>
    <row r="22" spans="1:19">
      <c r="A22" s="84" t="str">
        <f>_xlfn.CONCAT(Tableau4[[#This Row],[POD]],"-",Tableau4[[#This Row],[Code Plant]])</f>
        <v>FRDKK-90016200</v>
      </c>
      <c r="B22" s="207" t="s">
        <v>653</v>
      </c>
      <c r="C22" s="184" t="s">
        <v>210</v>
      </c>
      <c r="D22" s="376">
        <f>VLOOKUP(Tableau4[[#This Row],[Name Plant]],Plant_AILN!A:C,3,FALSE)</f>
        <v>90016200</v>
      </c>
      <c r="E22" s="254">
        <v>2</v>
      </c>
      <c r="M22" s="84" t="str">
        <f>_xlfn.CONCAT(Tableau7[[#This Row],[Code PFI ]],"-",Tableau7[[#This Row],[Compte Consignee]])</f>
        <v>90016600-92000100</v>
      </c>
      <c r="N22" s="258" t="s">
        <v>270</v>
      </c>
      <c r="O22" s="376">
        <f>VLOOKUP(Tableau7[[#This Row],[PFI Import]],Plant_AILN!I:J,2,FALSE)</f>
        <v>90016600</v>
      </c>
      <c r="P22" s="259" t="s">
        <v>718</v>
      </c>
      <c r="Q22" s="260" t="s">
        <v>183</v>
      </c>
      <c r="R22" s="376">
        <f>VLOOKUP(Tableau7[[#This Row],[Name Consignee]],Plant_AILN!A:C,3,FALSE)</f>
        <v>92000100</v>
      </c>
      <c r="S22" s="261">
        <v>2</v>
      </c>
    </row>
    <row r="23" spans="1:19">
      <c r="A23" s="84" t="str">
        <f>_xlfn.CONCAT(Tableau4[[#This Row],[POD]],"-",Tableau4[[#This Row],[Code Plant]])</f>
        <v>FRLEH-90016600</v>
      </c>
      <c r="B23" s="207" t="s">
        <v>483</v>
      </c>
      <c r="C23" s="184" t="s">
        <v>143</v>
      </c>
      <c r="D23" s="376">
        <f>VLOOKUP(Tableau4[[#This Row],[Name Plant]],Plant_AILN!A:C,3,FALSE)</f>
        <v>90016600</v>
      </c>
      <c r="E23" s="254">
        <v>3</v>
      </c>
      <c r="M23" s="84" t="str">
        <f>_xlfn.CONCAT(Tableau7[[#This Row],[Code PFI ]],"-",Tableau7[[#This Row],[Compte Consignee]])</f>
        <v>90016600-90015100</v>
      </c>
      <c r="N23" s="258" t="s">
        <v>270</v>
      </c>
      <c r="O23" s="376">
        <f>VLOOKUP(Tableau7[[#This Row],[PFI Import]],Plant_AILN!I:J,2,FALSE)</f>
        <v>90016600</v>
      </c>
      <c r="P23" s="259" t="s">
        <v>720</v>
      </c>
      <c r="Q23" s="260" t="s">
        <v>209</v>
      </c>
      <c r="R23" s="376">
        <f>VLOOKUP(Tableau7[[#This Row],[Name Consignee]],Plant_AILN!A:C,3,FALSE)</f>
        <v>90015100</v>
      </c>
      <c r="S23" s="261">
        <v>3</v>
      </c>
    </row>
    <row r="24" spans="1:19">
      <c r="A24" s="84" t="str">
        <f>_xlfn.CONCAT(Tableau4[[#This Row],[POD]],"-",Tableau4[[#This Row],[Code Plant]])</f>
        <v>FRLEH-92000100</v>
      </c>
      <c r="B24" s="207" t="s">
        <v>483</v>
      </c>
      <c r="C24" s="184" t="s">
        <v>183</v>
      </c>
      <c r="D24" s="376">
        <f>VLOOKUP(Tableau4[[#This Row],[Name Plant]],Plant_AILN!A:C,3,FALSE)</f>
        <v>92000100</v>
      </c>
      <c r="E24" s="254">
        <v>8</v>
      </c>
      <c r="M24" s="84" t="str">
        <f>_xlfn.CONCAT(Tableau7[[#This Row],[Code PFI ]],"-",Tableau7[[#This Row],[Compte Consignee]])</f>
        <v>90016600-90017000</v>
      </c>
      <c r="N24" s="258" t="s">
        <v>270</v>
      </c>
      <c r="O24" s="376">
        <f>VLOOKUP(Tableau7[[#This Row],[PFI Import]],Plant_AILN!I:J,2,FALSE)</f>
        <v>90016600</v>
      </c>
      <c r="P24" s="259" t="s">
        <v>400</v>
      </c>
      <c r="Q24" s="260" t="s">
        <v>173</v>
      </c>
      <c r="R24" s="376">
        <f>VLOOKUP(Tableau7[[#This Row],[Name Consignee]],Plant_AILN!A:C,3,FALSE)</f>
        <v>90017000</v>
      </c>
      <c r="S24" s="266">
        <v>10</v>
      </c>
    </row>
    <row r="25" spans="1:19">
      <c r="A25" s="84" t="str">
        <f>_xlfn.CONCAT(Tableau4[[#This Row],[POD]],"-",Tableau4[[#This Row],[Code Plant]])</f>
        <v>FRLEH-90015100</v>
      </c>
      <c r="B25" s="207" t="s">
        <v>483</v>
      </c>
      <c r="C25" s="184" t="s">
        <v>209</v>
      </c>
      <c r="D25" s="376">
        <f>VLOOKUP(Tableau4[[#This Row],[Name Plant]],Plant_AILN!A:C,3,FALSE)</f>
        <v>90015100</v>
      </c>
      <c r="E25" s="254">
        <v>3</v>
      </c>
      <c r="M25" s="84" t="str">
        <f>_xlfn.CONCAT(Tableau7[[#This Row],[Code PFI ]],"-",Tableau7[[#This Row],[Compte Consignee]])</f>
        <v>90016600-90016700</v>
      </c>
      <c r="N25" s="258" t="s">
        <v>270</v>
      </c>
      <c r="O25" s="376">
        <f>VLOOKUP(Tableau7[[#This Row],[PFI Import]],Plant_AILN!I:J,2,FALSE)</f>
        <v>90016600</v>
      </c>
      <c r="P25" s="259" t="s">
        <v>414</v>
      </c>
      <c r="Q25" s="260" t="s">
        <v>35</v>
      </c>
      <c r="R25" s="376">
        <f>VLOOKUP(Tableau7[[#This Row],[Name Consignee]],Plant_AILN!A:C,3,FALSE)</f>
        <v>90016700</v>
      </c>
      <c r="S25" s="266">
        <v>5</v>
      </c>
    </row>
    <row r="26" spans="1:19">
      <c r="A26" s="84" t="str">
        <f>_xlfn.CONCAT(Tableau4[[#This Row],[POD]],"-",Tableau4[[#This Row],[Code Plant]])</f>
        <v>INENR-26549500</v>
      </c>
      <c r="B26" s="207" t="s">
        <v>502</v>
      </c>
      <c r="C26" s="184" t="s">
        <v>221</v>
      </c>
      <c r="D26" s="376">
        <f>VLOOKUP(Tableau4[[#This Row],[Name Plant]],Plant_AILN!A:C,3,FALSE)</f>
        <v>26549500</v>
      </c>
      <c r="E26" s="254">
        <v>3</v>
      </c>
      <c r="M26" s="84" t="str">
        <f>_xlfn.CONCAT(Tableau7[[#This Row],[Code PFI ]],"-",Tableau7[[#This Row],[Compte Consignee]])</f>
        <v>90016600-90038200</v>
      </c>
      <c r="N26" s="258" t="s">
        <v>270</v>
      </c>
      <c r="O26" s="376">
        <f>VLOOKUP(Tableau7[[#This Row],[PFI Import]],Plant_AILN!I:J,2,FALSE)</f>
        <v>90016600</v>
      </c>
      <c r="P26" s="259" t="s">
        <v>734</v>
      </c>
      <c r="Q26" s="260" t="s">
        <v>179</v>
      </c>
      <c r="R26" s="376">
        <f>VLOOKUP(Tableau7[[#This Row],[Name Consignee]],Plant_AILN!A:C,3,FALSE)</f>
        <v>90038200</v>
      </c>
      <c r="S26" s="266">
        <v>11</v>
      </c>
    </row>
    <row r="27" spans="1:19">
      <c r="A27" s="84" t="str">
        <f>_xlfn.CONCAT(Tableau4[[#This Row],[POD]],"-",Tableau4[[#This Row],[Code Plant]])</f>
        <v>INKAT-26549500</v>
      </c>
      <c r="B27" s="207" t="s">
        <v>571</v>
      </c>
      <c r="C27" s="184" t="s">
        <v>221</v>
      </c>
      <c r="D27" s="376">
        <f>VLOOKUP(Tableau4[[#This Row],[Name Plant]],Plant_AILN!A:C,3,FALSE)</f>
        <v>26549500</v>
      </c>
      <c r="E27" s="254">
        <v>3</v>
      </c>
      <c r="M27" s="84" t="str">
        <f>_xlfn.CONCAT(Tableau7[[#This Row],[Code PFI ]],"-",Tableau7[[#This Row],[Compte Consignee]])</f>
        <v>90016600-90018400</v>
      </c>
      <c r="N27" s="258" t="s">
        <v>270</v>
      </c>
      <c r="O27" s="376">
        <f>VLOOKUP(Tableau7[[#This Row],[PFI Import]],Plant_AILN!I:J,2,FALSE)</f>
        <v>90016600</v>
      </c>
      <c r="P27" s="259" t="s">
        <v>727</v>
      </c>
      <c r="Q27" s="260" t="s">
        <v>219</v>
      </c>
      <c r="R27" s="376">
        <f>VLOOKUP(Tableau7[[#This Row],[Name Consignee]],Plant_AILN!A:C,3,FALSE)</f>
        <v>90018400</v>
      </c>
      <c r="S27" s="261">
        <v>5</v>
      </c>
    </row>
    <row r="28" spans="1:19">
      <c r="A28" s="84" t="str">
        <f>_xlfn.CONCAT(Tableau4[[#This Row],[POD]],"-",Tableau4[[#This Row],[Code Plant]])</f>
        <v>INMAA-26549500</v>
      </c>
      <c r="B28" s="207" t="s">
        <v>537</v>
      </c>
      <c r="C28" s="184" t="s">
        <v>221</v>
      </c>
      <c r="D28" s="376">
        <f>VLOOKUP(Tableau4[[#This Row],[Name Plant]],Plant_AILN!A:C,3,FALSE)</f>
        <v>26549500</v>
      </c>
      <c r="E28" s="254">
        <v>3</v>
      </c>
      <c r="M28" s="84" t="str">
        <f>_xlfn.CONCAT(Tableau7[[#This Row],[Code PFI ]],"-",Tableau7[[#This Row],[Compte Consignee]])</f>
        <v>90016600-900383</v>
      </c>
      <c r="N28" s="258" t="s">
        <v>270</v>
      </c>
      <c r="O28" s="376">
        <f>VLOOKUP(Tableau7[[#This Row],[PFI Import]],Plant_AILN!I:J,2,FALSE)</f>
        <v>90016600</v>
      </c>
      <c r="P28" s="259" t="s">
        <v>735</v>
      </c>
      <c r="Q28" s="260" t="s">
        <v>180</v>
      </c>
      <c r="R28" s="376">
        <f>VLOOKUP(Tableau7[[#This Row],[Name Consignee]],Plant_AILN!A:C,3,FALSE)</f>
        <v>900383</v>
      </c>
      <c r="S28" s="266">
        <v>10</v>
      </c>
    </row>
    <row r="29" spans="1:19">
      <c r="A29" s="84" t="str">
        <f>_xlfn.CONCAT(Tableau4[[#This Row],[POD]],"-",Tableau4[[#This Row],[Code Plant]])</f>
        <v>INENR-26549502</v>
      </c>
      <c r="B29" s="207" t="s">
        <v>502</v>
      </c>
      <c r="C29" s="184" t="s">
        <v>159</v>
      </c>
      <c r="D29" s="376">
        <f>VLOOKUP(Tableau4[[#This Row],[Name Plant]],Plant_AILN!A:C,3,FALSE)</f>
        <v>26549502</v>
      </c>
      <c r="E29" s="254">
        <v>3</v>
      </c>
      <c r="M29" s="84" t="str">
        <f>_xlfn.CONCAT(Tableau7[[#This Row],[Code PFI ]],"-",Tableau7[[#This Row],[Compte Consignee]])</f>
        <v>2839004-90030100</v>
      </c>
      <c r="N29" s="258" t="s">
        <v>278</v>
      </c>
      <c r="O29" s="376">
        <f>VLOOKUP(Tableau7[[#This Row],[PFI Import]],Plant_AILN!I:J,2,FALSE)</f>
        <v>2839004</v>
      </c>
      <c r="P29" s="259" t="s">
        <v>736</v>
      </c>
      <c r="Q29" s="260" t="s">
        <v>230</v>
      </c>
      <c r="R29" s="376">
        <f>VLOOKUP(Tableau7[[#This Row],[Name Consignee]],Plant_AILN!A:C,3,FALSE)</f>
        <v>90030100</v>
      </c>
      <c r="S29" s="266">
        <v>36</v>
      </c>
    </row>
    <row r="30" spans="1:19">
      <c r="A30" s="84" t="str">
        <f>_xlfn.CONCAT(Tableau4[[#This Row],[POD]],"-",Tableau4[[#This Row],[Code Plant]])</f>
        <v>INKAT-26549502</v>
      </c>
      <c r="B30" s="207" t="s">
        <v>571</v>
      </c>
      <c r="C30" s="184" t="s">
        <v>159</v>
      </c>
      <c r="D30" s="376">
        <f>VLOOKUP(Tableau4[[#This Row],[Name Plant]],Plant_AILN!A:C,3,FALSE)</f>
        <v>26549502</v>
      </c>
      <c r="E30" s="254">
        <v>3</v>
      </c>
      <c r="M30" s="84" t="str">
        <f>_xlfn.CONCAT(Tableau7[[#This Row],[Code PFI ]],"-",Tableau7[[#This Row],[Compte Consignee]])</f>
        <v>2839004-90010700</v>
      </c>
      <c r="N30" s="258" t="s">
        <v>278</v>
      </c>
      <c r="O30" s="376">
        <f>VLOOKUP(Tableau7[[#This Row],[PFI Import]],Plant_AILN!I:J,2,FALSE)</f>
        <v>2839004</v>
      </c>
      <c r="P30" s="259" t="s">
        <v>737</v>
      </c>
      <c r="Q30" s="260" t="s">
        <v>231</v>
      </c>
      <c r="R30" s="376">
        <f>VLOOKUP(Tableau7[[#This Row],[Name Consignee]],Plant_AILN!A:C,3,FALSE)</f>
        <v>90010700</v>
      </c>
      <c r="S30" s="266">
        <v>22</v>
      </c>
    </row>
    <row r="31" spans="1:19">
      <c r="A31" s="84" t="str">
        <f>_xlfn.CONCAT(Tableau4[[#This Row],[POD]],"-",Tableau4[[#This Row],[Code Plant]])</f>
        <v>INMAA-26549502</v>
      </c>
      <c r="B31" s="207" t="s">
        <v>537</v>
      </c>
      <c r="C31" s="184" t="s">
        <v>159</v>
      </c>
      <c r="D31" s="376">
        <f>VLOOKUP(Tableau4[[#This Row],[Name Plant]],Plant_AILN!A:C,3,FALSE)</f>
        <v>26549502</v>
      </c>
      <c r="E31" s="254">
        <v>3</v>
      </c>
      <c r="M31" s="84" t="str">
        <f>_xlfn.CONCAT(Tableau7[[#This Row],[Code PFI ]],"-",Tableau7[[#This Row],[Compte Consignee]])</f>
        <v>2839004-90021000</v>
      </c>
      <c r="N31" s="270" t="s">
        <v>278</v>
      </c>
      <c r="O31" s="379">
        <f>VLOOKUP(Tableau7[[#This Row],[PFI Import]],Plant_AILN!I:J,2,FALSE)</f>
        <v>2839004</v>
      </c>
      <c r="P31" s="271" t="s">
        <v>423</v>
      </c>
      <c r="Q31" s="182" t="s">
        <v>198</v>
      </c>
      <c r="R31" s="379">
        <f>VLOOKUP(Tableau7[[#This Row],[Name Consignee]],Plant_AILN!A:C,3,FALSE)</f>
        <v>90021000</v>
      </c>
      <c r="S31" s="272">
        <v>5</v>
      </c>
    </row>
    <row r="32" spans="1:19">
      <c r="A32" s="84" t="str">
        <f>_xlfn.CONCAT(Tableau4[[#This Row],[POD]],"-",Tableau4[[#This Row],[Code Plant]])</f>
        <v>INNSA-92049500</v>
      </c>
      <c r="B32" s="207" t="s">
        <v>511</v>
      </c>
      <c r="C32" s="184" t="s">
        <v>223</v>
      </c>
      <c r="D32" s="376">
        <f>VLOOKUP(Tableau4[[#This Row],[Name Plant]],Plant_AILN!A:C,3,FALSE)</f>
        <v>92049500</v>
      </c>
      <c r="E32" s="254">
        <v>2</v>
      </c>
      <c r="M32" s="84" t="str">
        <f>_xlfn.CONCAT(Tableau7[[#This Row],[Code PFI ]],"-",Tableau7[[#This Row],[Compte Consignee]])</f>
        <v>2839004-90016700</v>
      </c>
      <c r="N32" s="258" t="s">
        <v>278</v>
      </c>
      <c r="O32" s="376">
        <f>VLOOKUP(Tableau7[[#This Row],[PFI Import]],Plant_AILN!I:J,2,FALSE)</f>
        <v>2839004</v>
      </c>
      <c r="P32" s="259" t="s">
        <v>414</v>
      </c>
      <c r="Q32" s="260" t="s">
        <v>35</v>
      </c>
      <c r="R32" s="376">
        <f>VLOOKUP(Tableau7[[#This Row],[Name Consignee]],Plant_AILN!A:C,3,FALSE)</f>
        <v>90016700</v>
      </c>
      <c r="S32" s="266">
        <v>5</v>
      </c>
    </row>
    <row r="33" spans="1:19">
      <c r="A33" s="84" t="str">
        <f>_xlfn.CONCAT(Tableau4[[#This Row],[POD]],"-",Tableau4[[#This Row],[Code Plant]])</f>
        <v>JPMOJ-0</v>
      </c>
      <c r="B33" s="207" t="s">
        <v>657</v>
      </c>
      <c r="C33" s="184" t="s">
        <v>224</v>
      </c>
      <c r="D33" s="376">
        <f>VLOOKUP(Tableau4[[#This Row],[Name Plant]],Plant_AILN!A:C,3,FALSE)</f>
        <v>0</v>
      </c>
      <c r="E33" s="254">
        <v>1</v>
      </c>
      <c r="M33" s="84" t="str">
        <f>_xlfn.CONCAT(Tableau7[[#This Row],[Code PFI ]],"-",Tableau7[[#This Row],[Compte Consignee]])</f>
        <v>28752501-900383</v>
      </c>
      <c r="N33" s="258" t="s">
        <v>285</v>
      </c>
      <c r="O33" s="376">
        <f>VLOOKUP(Tableau7[[#This Row],[PFI Import]],Plant_AILN!I:J,2,FALSE)</f>
        <v>28752501</v>
      </c>
      <c r="P33" s="259" t="s">
        <v>735</v>
      </c>
      <c r="Q33" s="260" t="s">
        <v>180</v>
      </c>
      <c r="R33" s="376">
        <f>VLOOKUP(Tableau7[[#This Row],[Name Consignee]],Plant_AILN!A:C,3,FALSE)</f>
        <v>900383</v>
      </c>
      <c r="S33" s="266">
        <v>3</v>
      </c>
    </row>
    <row r="34" spans="1:19">
      <c r="A34" s="84" t="str">
        <f>_xlfn.CONCAT(Tableau4[[#This Row],[POD]],"-",Tableau4[[#This Row],[Code Plant]])</f>
        <v>JPMOJ-2915900</v>
      </c>
      <c r="B34" s="207" t="s">
        <v>657</v>
      </c>
      <c r="C34" s="184" t="s">
        <v>226</v>
      </c>
      <c r="D34" s="376">
        <f>VLOOKUP(Tableau4[[#This Row],[Name Plant]],Plant_AILN!A:C,3,FALSE)</f>
        <v>2915900</v>
      </c>
      <c r="E34" s="254">
        <v>1</v>
      </c>
      <c r="M34" s="84" t="str">
        <f>_xlfn.CONCAT(Tableau7[[#This Row],[Code PFI ]],"-",Tableau7[[#This Row],[Compte Consignee]])</f>
        <v>91018400-90018300</v>
      </c>
      <c r="N34" s="258" t="s">
        <v>171</v>
      </c>
      <c r="O34" s="376">
        <f>VLOOKUP(Tableau7[[#This Row],[PFI Import]],Plant_AILN!I:J,2,FALSE)</f>
        <v>91018400</v>
      </c>
      <c r="P34" s="259" t="s">
        <v>717</v>
      </c>
      <c r="Q34" s="260" t="s">
        <v>220</v>
      </c>
      <c r="R34" s="376">
        <f>VLOOKUP(Tableau7[[#This Row],[Name Consignee]],Plant_AILN!A:C,3,FALSE)</f>
        <v>90018300</v>
      </c>
      <c r="S34" s="266">
        <v>5</v>
      </c>
    </row>
    <row r="35" spans="1:19">
      <c r="A35" s="84" t="str">
        <f>_xlfn.CONCAT(Tableau4[[#This Row],[POD]],"-",Tableau4[[#This Row],[Code Plant]])</f>
        <v>JPYOK-0</v>
      </c>
      <c r="B35" s="207" t="s">
        <v>681</v>
      </c>
      <c r="C35" s="184" t="s">
        <v>225</v>
      </c>
      <c r="D35" s="376">
        <f>VLOOKUP(Tableau4[[#This Row],[Name Plant]],Plant_AILN!A:C,3,FALSE)</f>
        <v>0</v>
      </c>
      <c r="E35" s="254">
        <v>1</v>
      </c>
      <c r="M35" s="84" t="str">
        <f>_xlfn.CONCAT(Tableau7[[#This Row],[Code PFI ]],"-",Tableau7[[#This Row],[Compte Consignee]])</f>
        <v>91018400-90016500</v>
      </c>
      <c r="N35" s="258" t="s">
        <v>171</v>
      </c>
      <c r="O35" s="376">
        <f>VLOOKUP(Tableau7[[#This Row],[PFI Import]],Plant_AILN!I:J,2,FALSE)</f>
        <v>91018400</v>
      </c>
      <c r="P35" s="259" t="s">
        <v>733</v>
      </c>
      <c r="Q35" s="260" t="s">
        <v>170</v>
      </c>
      <c r="R35" s="376">
        <f>VLOOKUP(Tableau7[[#This Row],[Name Consignee]],Plant_AILN!A:C,3,FALSE)</f>
        <v>90016500</v>
      </c>
      <c r="S35" s="266">
        <v>4</v>
      </c>
    </row>
    <row r="36" spans="1:19">
      <c r="A36" s="84" t="str">
        <f>_xlfn.CONCAT(Tableau4[[#This Row],[POD]],"-",Tableau4[[#This Row],[Code Plant]])</f>
        <v>JPYOK-0</v>
      </c>
      <c r="B36" s="207" t="s">
        <v>681</v>
      </c>
      <c r="C36" s="184" t="s">
        <v>227</v>
      </c>
      <c r="D36" s="376">
        <f>VLOOKUP(Tableau4[[#This Row],[Name Plant]],Plant_AILN!A:C,3,FALSE)</f>
        <v>0</v>
      </c>
      <c r="E36" s="254">
        <v>1</v>
      </c>
      <c r="M36" s="84" t="str">
        <f>_xlfn.CONCAT(Tableau7[[#This Row],[Code PFI ]],"-",Tableau7[[#This Row],[Compte Consignee]])</f>
        <v>91018400-9624700</v>
      </c>
      <c r="N36" s="258" t="s">
        <v>171</v>
      </c>
      <c r="O36" s="376">
        <f>VLOOKUP(Tableau7[[#This Row],[PFI Import]],Plant_AILN!I:J,2,FALSE)</f>
        <v>91018400</v>
      </c>
      <c r="P36" s="259" t="s">
        <v>718</v>
      </c>
      <c r="Q36" s="260" t="s">
        <v>218</v>
      </c>
      <c r="R36" s="376">
        <f>VLOOKUP(Tableau7[[#This Row],[Name Consignee]],Plant_AILN!A:C,3,FALSE)</f>
        <v>9624700</v>
      </c>
      <c r="S36" s="266">
        <v>5</v>
      </c>
    </row>
    <row r="37" spans="1:19">
      <c r="A37" s="84" t="str">
        <f>_xlfn.CONCAT(Tableau4[[#This Row],[POD]],"-",Tableau4[[#This Row],[Code Plant]])</f>
        <v>KRPUS-92002200</v>
      </c>
      <c r="B37" s="207" t="s">
        <v>496</v>
      </c>
      <c r="C37" s="184" t="s">
        <v>145</v>
      </c>
      <c r="D37" s="376">
        <f>VLOOKUP(Tableau4[[#This Row],[Name Plant]],Plant_AILN!A:C,3,FALSE)</f>
        <v>92002200</v>
      </c>
      <c r="E37" s="254">
        <v>1</v>
      </c>
      <c r="M37" s="84" t="str">
        <f>_xlfn.CONCAT(Tableau7[[#This Row],[Code PFI ]],"-",Tableau7[[#This Row],[Compte Consignee]])</f>
        <v>91018400-92000100</v>
      </c>
      <c r="N37" s="258" t="s">
        <v>171</v>
      </c>
      <c r="O37" s="376">
        <f>VLOOKUP(Tableau7[[#This Row],[PFI Import]],Plant_AILN!I:J,2,FALSE)</f>
        <v>91018400</v>
      </c>
      <c r="P37" s="259" t="s">
        <v>718</v>
      </c>
      <c r="Q37" s="260" t="s">
        <v>183</v>
      </c>
      <c r="R37" s="376">
        <f>VLOOKUP(Tableau7[[#This Row],[Name Consignee]],Plant_AILN!A:C,3,FALSE)</f>
        <v>92000100</v>
      </c>
      <c r="S37" s="266">
        <v>5</v>
      </c>
    </row>
    <row r="38" spans="1:19">
      <c r="A38" s="84" t="str">
        <f>_xlfn.CONCAT(Tableau4[[#This Row],[POD]],"-",Tableau4[[#This Row],[Code Plant]])</f>
        <v>MACAS-90038200</v>
      </c>
      <c r="B38" s="207" t="s">
        <v>608</v>
      </c>
      <c r="C38" s="184" t="s">
        <v>179</v>
      </c>
      <c r="D38" s="376">
        <f>VLOOKUP(Tableau4[[#This Row],[Name Plant]],Plant_AILN!A:C,3,FALSE)</f>
        <v>90038200</v>
      </c>
      <c r="E38" s="254">
        <v>4</v>
      </c>
      <c r="M38" s="84" t="str">
        <f>_xlfn.CONCAT(Tableau7[[#This Row],[Code PFI ]],"-",Tableau7[[#This Row],[Compte Consignee]])</f>
        <v>91018400-90019100</v>
      </c>
      <c r="N38" s="258" t="s">
        <v>171</v>
      </c>
      <c r="O38" s="376">
        <f>VLOOKUP(Tableau7[[#This Row],[PFI Import]],Plant_AILN!I:J,2,FALSE)</f>
        <v>91018400</v>
      </c>
      <c r="P38" s="259" t="s">
        <v>719</v>
      </c>
      <c r="Q38" s="260" t="s">
        <v>188</v>
      </c>
      <c r="R38" s="376">
        <f>VLOOKUP(Tableau7[[#This Row],[Name Consignee]],Plant_AILN!A:C,3,FALSE)</f>
        <v>90019100</v>
      </c>
      <c r="S38" s="266">
        <v>5</v>
      </c>
    </row>
    <row r="39" spans="1:19">
      <c r="A39" s="84" t="str">
        <f>_xlfn.CONCAT(Tableau4[[#This Row],[POD]],"-",Tableau4[[#This Row],[Code Plant]])</f>
        <v>MAPTM-900383</v>
      </c>
      <c r="B39" s="207" t="s">
        <v>539</v>
      </c>
      <c r="C39" s="184" t="s">
        <v>180</v>
      </c>
      <c r="D39" s="376">
        <f>VLOOKUP(Tableau4[[#This Row],[Name Plant]],Plant_AILN!A:C,3,FALSE)</f>
        <v>900383</v>
      </c>
      <c r="E39" s="254">
        <v>1</v>
      </c>
      <c r="M39" s="84" t="str">
        <f>_xlfn.CONCAT(Tableau7[[#This Row],[Code PFI ]],"-",Tableau7[[#This Row],[Compte Consignee]])</f>
        <v>91018400-90015100</v>
      </c>
      <c r="N39" s="258" t="s">
        <v>171</v>
      </c>
      <c r="O39" s="376">
        <f>VLOOKUP(Tableau7[[#This Row],[PFI Import]],Plant_AILN!I:J,2,FALSE)</f>
        <v>91018400</v>
      </c>
      <c r="P39" s="259" t="s">
        <v>720</v>
      </c>
      <c r="Q39" s="260" t="s">
        <v>209</v>
      </c>
      <c r="R39" s="376">
        <f>VLOOKUP(Tableau7[[#This Row],[Name Consignee]],Plant_AILN!A:C,3,FALSE)</f>
        <v>90015100</v>
      </c>
      <c r="S39" s="266">
        <v>6</v>
      </c>
    </row>
    <row r="40" spans="1:19">
      <c r="A40" s="84" t="str">
        <f>_xlfn.CONCAT(Tableau4[[#This Row],[POD]],"-",Tableau4[[#This Row],[Code Plant]])</f>
        <v>MAPTM-90038200</v>
      </c>
      <c r="B40" s="273" t="s">
        <v>539</v>
      </c>
      <c r="C40" s="274" t="s">
        <v>179</v>
      </c>
      <c r="D40" s="376">
        <f>VLOOKUP(Tableau4[[#This Row],[Name Plant]],Plant_AILN!A:C,3,FALSE)</f>
        <v>90038200</v>
      </c>
      <c r="E40" s="254">
        <v>2</v>
      </c>
      <c r="M40" s="84" t="str">
        <f>_xlfn.CONCAT(Tableau7[[#This Row],[Code PFI ]],"-",Tableau7[[#This Row],[Compte Consignee]])</f>
        <v>91018400-90016200</v>
      </c>
      <c r="N40" s="258" t="s">
        <v>171</v>
      </c>
      <c r="O40" s="376">
        <f>VLOOKUP(Tableau7[[#This Row],[PFI Import]],Plant_AILN!I:J,2,FALSE)</f>
        <v>91018400</v>
      </c>
      <c r="P40" s="259" t="s">
        <v>721</v>
      </c>
      <c r="Q40" s="260" t="s">
        <v>210</v>
      </c>
      <c r="R40" s="376">
        <f>VLOOKUP(Tableau7[[#This Row],[Name Consignee]],Plant_AILN!A:C,3,FALSE)</f>
        <v>90016200</v>
      </c>
      <c r="S40" s="266">
        <v>5</v>
      </c>
    </row>
    <row r="41" spans="1:19">
      <c r="A41" s="84" t="str">
        <f>_xlfn.CONCAT(Tableau4[[#This Row],[POD]],"-",Tableau4[[#This Row],[Code Plant]])</f>
        <v>MXATM-90101300</v>
      </c>
      <c r="B41" s="207" t="s">
        <v>613</v>
      </c>
      <c r="C41" s="184" t="s">
        <v>229</v>
      </c>
      <c r="D41" s="376">
        <f>VLOOKUP(Tableau4[[#This Row],[Name Plant]],Plant_AILN!A:C,3,FALSE)</f>
        <v>90101300</v>
      </c>
      <c r="E41" s="254">
        <v>2</v>
      </c>
      <c r="M41" s="84" t="str">
        <f>_xlfn.CONCAT(Tableau7[[#This Row],[Code PFI ]],"-",Tableau7[[#This Row],[Compte Consignee]])</f>
        <v>91018400-91017700</v>
      </c>
      <c r="N41" s="258" t="s">
        <v>171</v>
      </c>
      <c r="O41" s="376">
        <f>VLOOKUP(Tableau7[[#This Row],[PFI Import]],Plant_AILN!I:J,2,FALSE)</f>
        <v>91018400</v>
      </c>
      <c r="P41" s="259" t="s">
        <v>738</v>
      </c>
      <c r="Q41" s="260" t="s">
        <v>63</v>
      </c>
      <c r="R41" s="376">
        <f>VLOOKUP(Tableau7[[#This Row],[Name Consignee]],Plant_AILN!A:C,3,FALSE)</f>
        <v>91017700</v>
      </c>
      <c r="S41" s="266">
        <v>3</v>
      </c>
    </row>
    <row r="42" spans="1:19">
      <c r="A42" s="84" t="str">
        <f>_xlfn.CONCAT(Tableau4[[#This Row],[POD]],"-",Tableau4[[#This Row],[Code Plant]])</f>
        <v>MXVER-90101300</v>
      </c>
      <c r="B42" s="207" t="s">
        <v>614</v>
      </c>
      <c r="C42" s="184" t="s">
        <v>229</v>
      </c>
      <c r="D42" s="376">
        <f>VLOOKUP(Tableau4[[#This Row],[Name Plant]],Plant_AILN!A:C,3,FALSE)</f>
        <v>90101300</v>
      </c>
      <c r="E42" s="254">
        <v>2</v>
      </c>
      <c r="M42" s="84" t="str">
        <f>_xlfn.CONCAT(Tableau7[[#This Row],[Code PFI ]],"-",Tableau7[[#This Row],[Compte Consignee]])</f>
        <v>91018400-90017000</v>
      </c>
      <c r="N42" s="258" t="s">
        <v>171</v>
      </c>
      <c r="O42" s="376">
        <f>VLOOKUP(Tableau7[[#This Row],[PFI Import]],Plant_AILN!I:J,2,FALSE)</f>
        <v>91018400</v>
      </c>
      <c r="P42" s="259" t="s">
        <v>400</v>
      </c>
      <c r="Q42" s="260" t="s">
        <v>173</v>
      </c>
      <c r="R42" s="376">
        <f>VLOOKUP(Tableau7[[#This Row],[Name Consignee]],Plant_AILN!A:C,3,FALSE)</f>
        <v>90017000</v>
      </c>
      <c r="S42" s="266">
        <v>12</v>
      </c>
    </row>
    <row r="43" spans="1:19">
      <c r="A43" s="84" t="str">
        <f>_xlfn.CONCAT(Tableau4[[#This Row],[POD]],"-",Tableau4[[#This Row],[Code Plant]])</f>
        <v>MYPKG-12300</v>
      </c>
      <c r="B43" s="207" t="s">
        <v>696</v>
      </c>
      <c r="C43" s="184" t="s">
        <v>697</v>
      </c>
      <c r="D43" s="376">
        <f>VLOOKUP(Tableau4[[#This Row],[Name Plant]],Plant_AILN!A:C,3,FALSE)</f>
        <v>12300</v>
      </c>
      <c r="E43" s="254">
        <v>2</v>
      </c>
      <c r="M43" s="84" t="str">
        <f>_xlfn.CONCAT(Tableau7[[#This Row],[Code PFI ]],"-",Tableau7[[#This Row],[Compte Consignee]])</f>
        <v>91018400-91017200</v>
      </c>
      <c r="N43" s="258" t="s">
        <v>171</v>
      </c>
      <c r="O43" s="376">
        <f>VLOOKUP(Tableau7[[#This Row],[PFI Import]],Plant_AILN!I:J,2,FALSE)</f>
        <v>91018400</v>
      </c>
      <c r="P43" s="259" t="s">
        <v>722</v>
      </c>
      <c r="Q43" s="260" t="s">
        <v>184</v>
      </c>
      <c r="R43" s="376">
        <f>VLOOKUP(Tableau7[[#This Row],[Name Consignee]],Plant_AILN!A:C,3,FALSE)</f>
        <v>91017200</v>
      </c>
      <c r="S43" s="266">
        <v>2</v>
      </c>
    </row>
    <row r="44" spans="1:19">
      <c r="A44" s="84" t="str">
        <f>_xlfn.CONCAT(Tableau4[[#This Row],[POD]],"-",Tableau4[[#This Row],[Code Plant]])</f>
        <v>ROCND-90016800</v>
      </c>
      <c r="B44" s="207" t="s">
        <v>547</v>
      </c>
      <c r="C44" s="184" t="s">
        <v>185</v>
      </c>
      <c r="D44" s="376">
        <f>VLOOKUP(Tableau4[[#This Row],[Name Plant]],Plant_AILN!A:C,3,FALSE)</f>
        <v>90016800</v>
      </c>
      <c r="E44" s="254">
        <v>7</v>
      </c>
      <c r="M44" s="84" t="str">
        <f>_xlfn.CONCAT(Tableau7[[#This Row],[Code PFI ]],"-",Tableau7[[#This Row],[Compte Consignee]])</f>
        <v>91018400-90016700</v>
      </c>
      <c r="N44" s="258" t="s">
        <v>171</v>
      </c>
      <c r="O44" s="376">
        <f>VLOOKUP(Tableau7[[#This Row],[PFI Import]],Plant_AILN!I:J,2,FALSE)</f>
        <v>91018400</v>
      </c>
      <c r="P44" s="259" t="s">
        <v>414</v>
      </c>
      <c r="Q44" s="260" t="s">
        <v>35</v>
      </c>
      <c r="R44" s="376">
        <f>VLOOKUP(Tableau7[[#This Row],[Name Consignee]],Plant_AILN!A:C,3,FALSE)</f>
        <v>90016700</v>
      </c>
      <c r="S44" s="266">
        <v>6</v>
      </c>
    </row>
    <row r="45" spans="1:19" ht="15.75" thickBot="1">
      <c r="A45" s="84" t="str">
        <f>_xlfn.CONCAT(Tableau4[[#This Row],[POD]],"-",Tableau4[[#This Row],[Code Plant]])</f>
        <v>ROCND-283900400</v>
      </c>
      <c r="B45" s="207" t="s">
        <v>547</v>
      </c>
      <c r="C45" s="184" t="s">
        <v>168</v>
      </c>
      <c r="D45" s="376">
        <f>VLOOKUP(Tableau4[[#This Row],[Name Plant]],Plant_AILN!A:C,3,FALSE)</f>
        <v>283900400</v>
      </c>
      <c r="E45" s="254">
        <v>7</v>
      </c>
      <c r="M45" s="84" t="str">
        <f>_xlfn.CONCAT(Tableau7[[#This Row],[Code PFI ]],"-",Tableau7[[#This Row],[Compte Consignee]])</f>
        <v>91018400-90017100</v>
      </c>
      <c r="N45" s="258" t="s">
        <v>171</v>
      </c>
      <c r="O45" s="376">
        <f>VLOOKUP(Tableau7[[#This Row],[PFI Import]],Plant_AILN!I:J,2,FALSE)</f>
        <v>91018400</v>
      </c>
      <c r="P45" s="275" t="s">
        <v>723</v>
      </c>
      <c r="Q45" s="260" t="s">
        <v>196</v>
      </c>
      <c r="R45" s="376">
        <f>VLOOKUP(Tableau7[[#This Row],[Name Consignee]],Plant_AILN!A:C,3,FALSE)</f>
        <v>90017100</v>
      </c>
      <c r="S45" s="266">
        <v>5</v>
      </c>
    </row>
    <row r="46" spans="1:19">
      <c r="A46" s="84" t="str">
        <f>_xlfn.CONCAT(Tableau4[[#This Row],[POD]],"-",Tableau4[[#This Row],[Code Plant]])</f>
        <v>ROCND-90012500</v>
      </c>
      <c r="B46" s="207" t="s">
        <v>547</v>
      </c>
      <c r="C46" s="184" t="s">
        <v>162</v>
      </c>
      <c r="D46" s="376">
        <f>VLOOKUP(Tableau4[[#This Row],[Name Plant]],Plant_AILN!A:C,3,FALSE)</f>
        <v>90012500</v>
      </c>
      <c r="E46" s="254">
        <v>7</v>
      </c>
      <c r="M46" s="84" t="str">
        <f>_xlfn.CONCAT(Tableau7[[#This Row],[Code PFI ]],"-",Tableau7[[#This Row],[Compte Consignee]])</f>
        <v>91018400-91017500</v>
      </c>
      <c r="N46" s="276" t="s">
        <v>171</v>
      </c>
      <c r="O46" s="376">
        <f>VLOOKUP(Tableau7[[#This Row],[PFI Import]],Plant_AILN!I:J,2,FALSE)</f>
        <v>91018400</v>
      </c>
      <c r="P46" s="277" t="s">
        <v>724</v>
      </c>
      <c r="Q46" s="260" t="s">
        <v>172</v>
      </c>
      <c r="R46" s="376">
        <f>VLOOKUP(Tableau7[[#This Row],[Name Consignee]],Plant_AILN!A:C,3,FALSE)</f>
        <v>91017500</v>
      </c>
      <c r="S46" s="278">
        <v>4</v>
      </c>
    </row>
    <row r="47" spans="1:19">
      <c r="A47" s="84" t="str">
        <f>_xlfn.CONCAT(Tableau4[[#This Row],[POD]],"-",Tableau4[[#This Row],[Code Plant]])</f>
        <v>SIKOP-90016700</v>
      </c>
      <c r="B47" s="207" t="s">
        <v>609</v>
      </c>
      <c r="C47" s="184" t="s">
        <v>35</v>
      </c>
      <c r="D47" s="376">
        <f>VLOOKUP(Tableau4[[#This Row],[Name Plant]],Plant_AILN!A:C,3,FALSE)</f>
        <v>90016700</v>
      </c>
      <c r="E47" s="254">
        <v>2</v>
      </c>
      <c r="M47" s="84" t="str">
        <f>_xlfn.CONCAT(Tableau7[[#This Row],[Code PFI ]],"-",Tableau7[[#This Row],[Compte Consignee]])</f>
        <v>91018400-90016900</v>
      </c>
      <c r="N47" s="276" t="s">
        <v>171</v>
      </c>
      <c r="O47" s="376">
        <f>VLOOKUP(Tableau7[[#This Row],[PFI Import]],Plant_AILN!I:J,2,FALSE)</f>
        <v>91018400</v>
      </c>
      <c r="P47" s="277" t="s">
        <v>726</v>
      </c>
      <c r="Q47" s="260" t="s">
        <v>154</v>
      </c>
      <c r="R47" s="376">
        <f>VLOOKUP(Tableau7[[#This Row],[Name Consignee]],Plant_AILN!A:C,3,FALSE)</f>
        <v>90016900</v>
      </c>
      <c r="S47" s="278">
        <v>6</v>
      </c>
    </row>
    <row r="48" spans="1:19">
      <c r="A48" s="84" t="str">
        <f>_xlfn.CONCAT(Tableau4[[#This Row],[POD]],"-",Tableau4[[#This Row],[Code Plant]])</f>
        <v>THLCH-25048500</v>
      </c>
      <c r="B48" s="207" t="s">
        <v>615</v>
      </c>
      <c r="C48" s="184" t="s">
        <v>641</v>
      </c>
      <c r="D48" s="376">
        <f>VLOOKUP(Tableau4[[#This Row],[Name Plant]],Plant_AILN!A:C,3,FALSE)</f>
        <v>25048500</v>
      </c>
      <c r="E48" s="254">
        <v>1</v>
      </c>
      <c r="M48" s="85" t="str">
        <f>_xlfn.CONCAT(Tableau7[[#This Row],[Code PFI ]],"-",Tableau7[[#This Row],[Compte Consignee]])</f>
        <v>91018400-90018400</v>
      </c>
      <c r="N48" s="276" t="s">
        <v>171</v>
      </c>
      <c r="O48" s="376">
        <f>VLOOKUP(Tableau7[[#This Row],[PFI Import]],Plant_AILN!I:J,2,FALSE)</f>
        <v>91018400</v>
      </c>
      <c r="P48" s="277" t="s">
        <v>727</v>
      </c>
      <c r="Q48" s="260" t="s">
        <v>219</v>
      </c>
      <c r="R48" s="376">
        <f>VLOOKUP(Tableau7[[#This Row],[Name Consignee]],Plant_AILN!A:C,3,FALSE)</f>
        <v>90018400</v>
      </c>
      <c r="S48" s="278">
        <v>5</v>
      </c>
    </row>
    <row r="49" spans="1:19" ht="15.75" thickBot="1">
      <c r="A49" s="84" t="str">
        <f>_xlfn.CONCAT(Tableau4[[#This Row],[POD]],"-",Tableau4[[#This Row],[Code Plant]])</f>
        <v>TRGEB-90014400</v>
      </c>
      <c r="B49" s="207" t="s">
        <v>698</v>
      </c>
      <c r="C49" s="184" t="s">
        <v>165</v>
      </c>
      <c r="D49" s="376">
        <f>VLOOKUP(Tableau4[[#This Row],[Name Plant]],Plant_AILN!A:C,3,FALSE)</f>
        <v>90014400</v>
      </c>
      <c r="E49" s="254">
        <v>2</v>
      </c>
      <c r="M49" s="382" t="str">
        <f>_xlfn.CONCAT(Tableau7[[#This Row],[Code PFI ]],"-",Tableau7[[#This Row],[Compte Consignee]])</f>
        <v>91018400-91017600</v>
      </c>
      <c r="N49" s="276" t="s">
        <v>171</v>
      </c>
      <c r="O49" s="375">
        <f>VLOOKUP(Tableau7[[#This Row],[PFI Import]],Plant_AILN!I:J,2,FALSE)</f>
        <v>91018400</v>
      </c>
      <c r="P49" s="279"/>
      <c r="Q49" s="260" t="s">
        <v>211</v>
      </c>
      <c r="R49" s="375">
        <f>VLOOKUP(Tableau7[[#This Row],[Name Consignee]],Plant_AILN!A:C,3,FALSE)</f>
        <v>91017600</v>
      </c>
      <c r="S49" s="280">
        <v>0</v>
      </c>
    </row>
    <row r="50" spans="1:19">
      <c r="A50" s="84" t="str">
        <f>_xlfn.CONCAT(Tableau4[[#This Row],[POD]],"-",Tableau4[[#This Row],[Code Plant]])</f>
        <v>TRGEM-90017000</v>
      </c>
      <c r="B50" s="207" t="s">
        <v>558</v>
      </c>
      <c r="C50" s="184" t="s">
        <v>173</v>
      </c>
      <c r="D50" s="376">
        <f>VLOOKUP(Tableau4[[#This Row],[Name Plant]],Plant_AILN!A:C,3,FALSE)</f>
        <v>90017000</v>
      </c>
      <c r="E50" s="254">
        <v>2</v>
      </c>
      <c r="M50" s="85" t="str">
        <f>_xlfn.CONCAT(Tableau7[[#This Row],[Code PFI ]],"-",Tableau7[[#This Row],[Compte Consignee]])</f>
        <v>2839004-90012300</v>
      </c>
      <c r="N50" s="276" t="s">
        <v>164</v>
      </c>
      <c r="O50" s="375">
        <f>VLOOKUP(Tableau7[[#This Row],[PFI Import]],Plant_AILN!I:J,2,FALSE)</f>
        <v>2839004</v>
      </c>
      <c r="P50" s="279"/>
      <c r="Q50" s="279" t="s">
        <v>212</v>
      </c>
      <c r="R50" s="375">
        <f>VLOOKUP(Tableau7[[#This Row],[Name Consignee]],Plant_AILN!A:C,3,FALSE)</f>
        <v>90012300</v>
      </c>
      <c r="S50" s="280">
        <v>1</v>
      </c>
    </row>
    <row r="51" spans="1:19">
      <c r="A51" s="84" t="str">
        <f>_xlfn.CONCAT(Tableau4[[#This Row],[POD]],"-",Tableau4[[#This Row],[Code Plant]])</f>
        <v>TRGEM-90014400</v>
      </c>
      <c r="B51" s="207" t="s">
        <v>558</v>
      </c>
      <c r="C51" s="184" t="s">
        <v>165</v>
      </c>
      <c r="D51" s="376">
        <f>VLOOKUP(Tableau4[[#This Row],[Name Plant]],Plant_AILN!A:C,3,FALSE)</f>
        <v>90014400</v>
      </c>
      <c r="E51" s="254">
        <v>2</v>
      </c>
      <c r="M51" s="85" t="str">
        <f>_xlfn.CONCAT(Tableau7[[#This Row],[Code PFI ]],"-",Tableau7[[#This Row],[Compte Consignee]])</f>
        <v>91018400-90016102</v>
      </c>
      <c r="N51" s="276" t="s">
        <v>171</v>
      </c>
      <c r="O51" s="375">
        <f>VLOOKUP(Tableau7[[#This Row],[PFI Import]],Plant_AILN!I:J,2,FALSE)</f>
        <v>91018400</v>
      </c>
      <c r="P51" s="279"/>
      <c r="Q51" s="279" t="s">
        <v>236</v>
      </c>
      <c r="R51" s="375">
        <f>VLOOKUP(Tableau7[[#This Row],[Name Consignee]],Plant_AILN!A:C,3,FALSE)</f>
        <v>90016102</v>
      </c>
      <c r="S51" s="280">
        <v>5</v>
      </c>
    </row>
    <row r="52" spans="1:19">
      <c r="A52" s="84" t="str">
        <f>_xlfn.CONCAT(Tableau4[[#This Row],[POD]],"-",Tableau4[[#This Row],[Code Plant]])</f>
        <v>TRIZT-90014400</v>
      </c>
      <c r="B52" s="207" t="s">
        <v>551</v>
      </c>
      <c r="C52" s="184" t="s">
        <v>165</v>
      </c>
      <c r="D52" s="376">
        <f>VLOOKUP(Tableau4[[#This Row],[Name Plant]],Plant_AILN!A:C,3,FALSE)</f>
        <v>90014400</v>
      </c>
      <c r="E52" s="254">
        <v>3</v>
      </c>
      <c r="M52" s="85" t="str">
        <f>_xlfn.CONCAT(Tableau7[[#This Row],[Code PFI ]],"-",Tableau7[[#This Row],[Compte Consignee]])</f>
        <v>90016600-90016100</v>
      </c>
      <c r="N52" s="276" t="s">
        <v>155</v>
      </c>
      <c r="O52" s="375">
        <f>VLOOKUP(Tableau7[[#This Row],[PFI Import]],Plant_AILN!I:J,2,FALSE)</f>
        <v>90016600</v>
      </c>
      <c r="P52" s="279"/>
      <c r="Q52" s="279" t="s">
        <v>237</v>
      </c>
      <c r="R52" s="375">
        <f>VLOOKUP(Tableau7[[#This Row],[Name Consignee]],Plant_AILN!A:C,3,FALSE)</f>
        <v>90016100</v>
      </c>
      <c r="S52" s="280">
        <v>3</v>
      </c>
    </row>
    <row r="53" spans="1:19">
      <c r="A53" s="84" t="str">
        <f>_xlfn.CONCAT(Tableau4[[#This Row],[POD]],"-",Tableau4[[#This Row],[Code Plant]])</f>
        <v>TRIZT-90017000</v>
      </c>
      <c r="B53" s="207" t="s">
        <v>551</v>
      </c>
      <c r="C53" s="184" t="s">
        <v>173</v>
      </c>
      <c r="D53" s="376">
        <f>VLOOKUP(Tableau4[[#This Row],[Name Plant]],Plant_AILN!A:C,3,FALSE)</f>
        <v>90017000</v>
      </c>
      <c r="E53" s="254">
        <v>3</v>
      </c>
    </row>
    <row r="54" spans="1:19">
      <c r="A54" s="85" t="str">
        <f>_xlfn.CONCAT(Tableau4[[#This Row],[POD]],"-",Tableau4[[#This Row],[Code Plant]])</f>
        <v>ZADUR-25079500</v>
      </c>
      <c r="B54" s="207" t="s">
        <v>699</v>
      </c>
      <c r="C54" s="184" t="s">
        <v>637</v>
      </c>
      <c r="D54" s="376">
        <f>VLOOKUP(Tableau4[[#This Row],[Name Plant]],Plant_AILN!A:C,3,FALSE)</f>
        <v>25079500</v>
      </c>
      <c r="E54" s="281">
        <v>12</v>
      </c>
    </row>
    <row r="55" spans="1:19">
      <c r="A55" s="85" t="str">
        <f>_xlfn.CONCAT(Tableau4[[#This Row],[POD]],"-",Tableau4[[#This Row],[Code Plant]])</f>
        <v>ESALG-91017500</v>
      </c>
      <c r="B55" s="234" t="s">
        <v>531</v>
      </c>
      <c r="C55" s="282" t="s">
        <v>172</v>
      </c>
      <c r="D55" s="375">
        <f>VLOOKUP(Tableau4[[#This Row],[Name Plant]],Plant_AILN!A:C,3,FALSE)</f>
        <v>91017500</v>
      </c>
      <c r="E55" s="248">
        <v>1</v>
      </c>
    </row>
    <row r="56" spans="1:19">
      <c r="A56" s="85" t="str">
        <f>_xlfn.CONCAT(Tableau4[[#This Row],[POD]],"-",Tableau4[[#This Row],[Code Plant]])</f>
        <v>DZORN-90021000</v>
      </c>
      <c r="B56" s="234" t="s">
        <v>700</v>
      </c>
      <c r="C56" s="282" t="s">
        <v>198</v>
      </c>
      <c r="D56" s="375">
        <f>VLOOKUP(Tableau4[[#This Row],[Name Plant]],Plant_AILN!A:C,3,FALSE)</f>
        <v>90021000</v>
      </c>
      <c r="E56" s="248">
        <v>1</v>
      </c>
    </row>
    <row r="57" spans="1:19">
      <c r="A57" s="85" t="str">
        <f>_xlfn.CONCAT(Tableau4[[#This Row],[POD]],"-",Tableau4[[#This Row],[Code Plant]])</f>
        <v>TRIZT-90022000</v>
      </c>
      <c r="B57" s="187" t="s">
        <v>551</v>
      </c>
      <c r="C57" s="282" t="s">
        <v>235</v>
      </c>
      <c r="D57" s="375">
        <f>VLOOKUP(Tableau4[[#This Row],[Name Plant]],Plant_AILN!A:C,3,FALSE)</f>
        <v>90022000</v>
      </c>
      <c r="E57" s="248">
        <v>3</v>
      </c>
    </row>
    <row r="58" spans="1:19">
      <c r="A58" s="85" t="str">
        <f>_xlfn.CONCAT(Tableau4[[#This Row],[POD]],"-",Tableau4[[#This Row],[Code Plant]])</f>
        <v>TRGEM-90022000</v>
      </c>
      <c r="B58" s="187" t="s">
        <v>558</v>
      </c>
      <c r="C58" s="282" t="s">
        <v>235</v>
      </c>
      <c r="D58" s="375">
        <f>VLOOKUP(Tableau4[[#This Row],[Name Plant]],Plant_AILN!A:C,3,FALSE)</f>
        <v>90022000</v>
      </c>
      <c r="E58" s="248">
        <v>2</v>
      </c>
    </row>
    <row r="59" spans="1:19">
      <c r="A59" s="85" t="str">
        <f>_xlfn.CONCAT(Tableau4[[#This Row],[POD]],"-",Tableau4[[#This Row],[Code Plant]])</f>
        <v>TRGEB-90022000</v>
      </c>
      <c r="B59" s="187" t="s">
        <v>698</v>
      </c>
      <c r="C59" s="282" t="s">
        <v>235</v>
      </c>
      <c r="D59" s="375">
        <f>VLOOKUP(Tableau4[[#This Row],[Name Plant]],Plant_AILN!A:C,3,FALSE)</f>
        <v>90022000</v>
      </c>
      <c r="E59" s="248">
        <v>3</v>
      </c>
    </row>
    <row r="60" spans="1:19">
      <c r="A60" s="85" t="str">
        <f>_xlfn.CONCAT(Tableau4[[#This Row],[POD]],"-",Tableau4[[#This Row],[Code Plant]])</f>
        <v>TRGEB-90017000</v>
      </c>
      <c r="B60" s="187" t="s">
        <v>698</v>
      </c>
      <c r="C60" s="282" t="s">
        <v>173</v>
      </c>
      <c r="D60" s="375">
        <f>VLOOKUP(Tableau4[[#This Row],[Name Plant]],Plant_AILN!A:C,3,FALSE)</f>
        <v>90017000</v>
      </c>
      <c r="E60" s="248">
        <v>3</v>
      </c>
    </row>
    <row r="61" spans="1:19">
      <c r="A61" s="85" t="str">
        <f>_xlfn.CONCAT(Tableau4[[#This Row],[POD]],"-",Tableau4[[#This Row],[Code Plant]])</f>
        <v>DZAZW-90021000</v>
      </c>
      <c r="B61" s="234" t="s">
        <v>701</v>
      </c>
      <c r="C61" s="282" t="s">
        <v>198</v>
      </c>
      <c r="D61" s="375">
        <f>VLOOKUP(Tableau4[[#This Row],[Name Plant]],Plant_AILN!A:C,3,FALSE)</f>
        <v>90021000</v>
      </c>
      <c r="E61" s="248">
        <v>1</v>
      </c>
    </row>
    <row r="62" spans="1:19">
      <c r="A62" s="84" t="str">
        <f>_xlfn.CONCAT(Tableau4[[#This Row],[POD]],"-",Tableau4[[#This Row],[Code Plant]])</f>
        <v>PTLEI-90016500</v>
      </c>
      <c r="B62" s="234" t="s">
        <v>656</v>
      </c>
      <c r="C62" s="282" t="s">
        <v>170</v>
      </c>
      <c r="D62" s="375">
        <f>VLOOKUP(Tableau4[[#This Row],[Name Plant]],Plant_AILN!A:C,3,FALSE)</f>
        <v>90016500</v>
      </c>
      <c r="E62" s="248">
        <v>2</v>
      </c>
    </row>
    <row r="63" spans="1:19">
      <c r="A63" s="85" t="str">
        <f>_xlfn.CONCAT(Tableau4[[#This Row],[POD]],"-",Tableau4[[#This Row],[Code Plant]])</f>
        <v>ARZAE-90016000</v>
      </c>
      <c r="B63" s="234" t="s">
        <v>536</v>
      </c>
      <c r="C63" s="282" t="s">
        <v>158</v>
      </c>
      <c r="D63" s="375">
        <f>VLOOKUP(Tableau4[[#This Row],[Name Plant]],Plant_AILN!A:C,3,FALSE)</f>
        <v>90016000</v>
      </c>
      <c r="E63" s="248">
        <v>3</v>
      </c>
    </row>
    <row r="64" spans="1:19">
      <c r="A64" s="84" t="str">
        <f>_xlfn.CONCAT(Tableau4[[#This Row],[POD]],"-",Tableau4[[#This Row],[Code Plant]])</f>
        <v>FRLEH-90016102</v>
      </c>
      <c r="B64" s="207" t="s">
        <v>483</v>
      </c>
      <c r="C64" s="184" t="s">
        <v>236</v>
      </c>
      <c r="D64" s="375">
        <f>VLOOKUP(Tableau4[[#This Row],[Name Plant]],Plant_AILN!A:C,3,FALSE)</f>
        <v>90016102</v>
      </c>
      <c r="E64" s="248">
        <v>3</v>
      </c>
    </row>
    <row r="65" spans="1:5">
      <c r="A65" s="84" t="str">
        <f>_xlfn.CONCAT(Tableau4[[#This Row],[POD]],"-",Tableau4[[#This Row],[Code Plant]])</f>
        <v>FRLEH-90016100</v>
      </c>
      <c r="B65" s="207" t="s">
        <v>483</v>
      </c>
      <c r="C65" s="184" t="s">
        <v>237</v>
      </c>
      <c r="D65" s="375">
        <f>VLOOKUP(Tableau4[[#This Row],[Name Plant]],Plant_AILN!A:C,3,FALSE)</f>
        <v>90016100</v>
      </c>
      <c r="E65" s="248">
        <v>3</v>
      </c>
    </row>
    <row r="66" spans="1:5">
      <c r="A66" s="85" t="str">
        <f>_xlfn.CONCAT(Tableau4[[#This Row],[POD]],"-",Tableau4[[#This Row],[Code Plant]])</f>
        <v>CNNHN-0</v>
      </c>
      <c r="B66" s="187" t="s">
        <v>693</v>
      </c>
      <c r="C66" s="282" t="s">
        <v>216</v>
      </c>
      <c r="D66" s="375">
        <f>VLOOKUP(Tableau4[[#This Row],[Name Plant]],Plant_AILN!A:C,3,FALSE)</f>
        <v>0</v>
      </c>
      <c r="E66" s="503">
        <v>3</v>
      </c>
    </row>
  </sheetData>
  <sheetProtection algorithmName="SHA-512" hashValue="bDnM+FP+96soQDbExgF5EhTz+ifffTBKUCA35wKBZXZ/7e5dzyTL7/P7mAUtpDvxMbXCdkgV7qv172S8RRLdyQ==" saltValue="XjMxaN7zjsOq+NYjQ7usvA==" spinCount="100000" sheet="1" objects="1" scenarios="1"/>
  <mergeCells count="4">
    <mergeCell ref="G13:K14"/>
    <mergeCell ref="B1:E1"/>
    <mergeCell ref="G1:K1"/>
    <mergeCell ref="N1:S1"/>
  </mergeCells>
  <phoneticPr fontId="77" type="noConversion"/>
  <dataValidations count="2">
    <dataValidation type="list" allowBlank="1" showInputMessage="1" showErrorMessage="1" sqref="I4:I11 G16:G17 N4:N1048576" xr:uid="{EFC2E181-53C8-40FE-8DFB-B308646182EE}">
      <formula1>PFIname</formula1>
    </dataValidation>
    <dataValidation type="list" allowBlank="1" showInputMessage="1" showErrorMessage="1" sqref="G18 Q2:Q1048576 C4:C1048576" xr:uid="{71E513B0-C9E9-4B7F-A38C-CB52A32D310E}">
      <formula1>plantname</formula1>
    </dataValidation>
  </dataValidations>
  <pageMargins left="0.7" right="0.7" top="0.75" bottom="0.75" header="0.3" footer="0.3"/>
  <pageSetup paperSize="9" orientation="portrait" r:id="rId1"/>
  <ignoredErrors>
    <ignoredError sqref="D3 K3 J3 K7:K8" calculatedColumn="1"/>
  </ignoredErrors>
  <legacyDrawing r:id="rId2"/>
  <tableParts count="4"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B1A05-66CD-435E-9BE1-3B76CABAE5C5}">
  <sheetPr codeName="Feuil10">
    <tabColor theme="0" tint="-0.34998626667073579"/>
  </sheetPr>
  <dimension ref="A1:DX37"/>
  <sheetViews>
    <sheetView workbookViewId="0">
      <selection sqref="A1:A2"/>
    </sheetView>
  </sheetViews>
  <sheetFormatPr baseColWidth="10" defaultColWidth="11.42578125" defaultRowHeight="15"/>
  <cols>
    <col min="1" max="1" width="12.42578125" customWidth="1"/>
    <col min="2" max="2" width="21.42578125" bestFit="1" customWidth="1"/>
    <col min="3" max="3" width="7.42578125" bestFit="1" customWidth="1"/>
    <col min="4" max="5" width="6.42578125" customWidth="1"/>
    <col min="6" max="6" width="47.42578125" style="283" bestFit="1" customWidth="1"/>
    <col min="7" max="7" width="46.42578125" bestFit="1" customWidth="1"/>
    <col min="8" max="8" width="9.42578125" customWidth="1"/>
    <col min="9" max="9" width="14.42578125" bestFit="1" customWidth="1"/>
    <col min="10" max="128" width="1.42578125" customWidth="1"/>
  </cols>
  <sheetData>
    <row r="1" spans="1:128" s="11" customFormat="1" ht="9" customHeight="1" thickTop="1">
      <c r="A1" s="567" t="s">
        <v>0</v>
      </c>
      <c r="B1" s="677" t="str">
        <f>_xlfn.XLOOKUP(A25,'VTT actif'!F:F,'VTT actif'!O:O,"-",0)</f>
        <v>-</v>
      </c>
      <c r="C1" s="571">
        <v>9520704</v>
      </c>
      <c r="D1" s="572"/>
      <c r="E1" s="573"/>
      <c r="F1" s="664"/>
      <c r="G1" s="665"/>
      <c r="H1" s="665"/>
      <c r="I1" s="666"/>
      <c r="J1" s="565" t="str">
        <f>"W"&amp;WEEKNUM(J6)</f>
        <v>W21</v>
      </c>
      <c r="K1" s="565"/>
      <c r="L1" s="565"/>
      <c r="M1" s="565"/>
      <c r="N1" s="565"/>
      <c r="O1" s="565"/>
      <c r="P1" s="566"/>
      <c r="Q1" s="565" t="str">
        <f>"W"&amp;WEEKNUM(Q6)</f>
        <v>W22</v>
      </c>
      <c r="R1" s="565"/>
      <c r="S1" s="565"/>
      <c r="T1" s="565"/>
      <c r="U1" s="565"/>
      <c r="V1" s="565"/>
      <c r="W1" s="566"/>
      <c r="X1" s="565" t="str">
        <f t="shared" ref="X1" si="0">"W"&amp;WEEKNUM(X6)</f>
        <v>W23</v>
      </c>
      <c r="Y1" s="565"/>
      <c r="Z1" s="565"/>
      <c r="AA1" s="565"/>
      <c r="AB1" s="565"/>
      <c r="AC1" s="565"/>
      <c r="AD1" s="566"/>
      <c r="AE1" s="565" t="str">
        <f t="shared" ref="AE1" si="1">"W"&amp;WEEKNUM(AE6)</f>
        <v>W24</v>
      </c>
      <c r="AF1" s="565"/>
      <c r="AG1" s="565"/>
      <c r="AH1" s="565"/>
      <c r="AI1" s="565"/>
      <c r="AJ1" s="565"/>
      <c r="AK1" s="566"/>
      <c r="AL1" s="565" t="str">
        <f t="shared" ref="AL1" si="2">"W"&amp;WEEKNUM(AL6)</f>
        <v>W25</v>
      </c>
      <c r="AM1" s="565"/>
      <c r="AN1" s="565"/>
      <c r="AO1" s="565"/>
      <c r="AP1" s="565"/>
      <c r="AQ1" s="565"/>
      <c r="AR1" s="566"/>
      <c r="AS1" s="565" t="str">
        <f t="shared" ref="AS1" si="3">"W"&amp;WEEKNUM(AS6)</f>
        <v>W26</v>
      </c>
      <c r="AT1" s="565"/>
      <c r="AU1" s="565"/>
      <c r="AV1" s="565"/>
      <c r="AW1" s="565"/>
      <c r="AX1" s="565"/>
      <c r="AY1" s="566"/>
      <c r="AZ1" s="565" t="str">
        <f t="shared" ref="AZ1" si="4">"W"&amp;WEEKNUM(AZ6)</f>
        <v>W27</v>
      </c>
      <c r="BA1" s="565"/>
      <c r="BB1" s="565"/>
      <c r="BC1" s="565"/>
      <c r="BD1" s="565"/>
      <c r="BE1" s="565"/>
      <c r="BF1" s="566"/>
      <c r="BG1" s="565" t="str">
        <f t="shared" ref="BG1" si="5">"W"&amp;WEEKNUM(BG6)</f>
        <v>W28</v>
      </c>
      <c r="BH1" s="565"/>
      <c r="BI1" s="565"/>
      <c r="BJ1" s="565"/>
      <c r="BK1" s="565"/>
      <c r="BL1" s="565"/>
      <c r="BM1" s="566"/>
      <c r="BN1" s="565" t="str">
        <f t="shared" ref="BN1" si="6">"W"&amp;WEEKNUM(BN6)</f>
        <v>W29</v>
      </c>
      <c r="BO1" s="565"/>
      <c r="BP1" s="565"/>
      <c r="BQ1" s="565"/>
      <c r="BR1" s="565"/>
      <c r="BS1" s="565"/>
      <c r="BT1" s="566"/>
      <c r="BU1" s="565" t="str">
        <f t="shared" ref="BU1" si="7">"W"&amp;WEEKNUM(BU6)</f>
        <v>W30</v>
      </c>
      <c r="BV1" s="565"/>
      <c r="BW1" s="565"/>
      <c r="BX1" s="565"/>
      <c r="BY1" s="565"/>
      <c r="BZ1" s="565"/>
      <c r="CA1" s="566"/>
      <c r="CB1" s="565" t="str">
        <f t="shared" ref="CB1" si="8">"W"&amp;WEEKNUM(CB6)</f>
        <v>W31</v>
      </c>
      <c r="CC1" s="565"/>
      <c r="CD1" s="565"/>
      <c r="CE1" s="565"/>
      <c r="CF1" s="565"/>
      <c r="CG1" s="565"/>
      <c r="CH1" s="566"/>
      <c r="CI1" s="565" t="str">
        <f t="shared" ref="CI1" si="9">"W"&amp;WEEKNUM(CI6)</f>
        <v>W32</v>
      </c>
      <c r="CJ1" s="565"/>
      <c r="CK1" s="565"/>
      <c r="CL1" s="565"/>
      <c r="CM1" s="565"/>
      <c r="CN1" s="565"/>
      <c r="CO1" s="566"/>
      <c r="CP1" s="565" t="str">
        <f t="shared" ref="CP1" si="10">"W"&amp;WEEKNUM(CP6)</f>
        <v>W33</v>
      </c>
      <c r="CQ1" s="565"/>
      <c r="CR1" s="565"/>
      <c r="CS1" s="565"/>
      <c r="CT1" s="565"/>
      <c r="CU1" s="565"/>
      <c r="CV1" s="566"/>
      <c r="CW1" s="565" t="str">
        <f t="shared" ref="CW1" si="11">"W"&amp;WEEKNUM(CW6)</f>
        <v>W34</v>
      </c>
      <c r="CX1" s="565"/>
      <c r="CY1" s="565"/>
      <c r="CZ1" s="565"/>
      <c r="DA1" s="565"/>
      <c r="DB1" s="565"/>
      <c r="DC1" s="566"/>
      <c r="DD1" s="565" t="str">
        <f t="shared" ref="DD1" si="12">"W"&amp;WEEKNUM(DD6)</f>
        <v>W35</v>
      </c>
      <c r="DE1" s="565"/>
      <c r="DF1" s="565"/>
      <c r="DG1" s="565"/>
      <c r="DH1" s="565"/>
      <c r="DI1" s="565"/>
      <c r="DJ1" s="566"/>
      <c r="DK1" s="565" t="str">
        <f t="shared" ref="DK1" si="13">"W"&amp;WEEKNUM(DK6)</f>
        <v>W36</v>
      </c>
      <c r="DL1" s="565"/>
      <c r="DM1" s="565"/>
      <c r="DN1" s="565"/>
      <c r="DO1" s="565"/>
      <c r="DP1" s="565"/>
      <c r="DQ1" s="566"/>
      <c r="DR1" s="565" t="str">
        <f t="shared" ref="DR1" si="14">"W"&amp;WEEKNUM(DR6)</f>
        <v>W37</v>
      </c>
      <c r="DS1" s="565"/>
      <c r="DT1" s="565"/>
      <c r="DU1" s="565"/>
      <c r="DV1" s="565"/>
      <c r="DW1" s="565"/>
      <c r="DX1" s="566"/>
    </row>
    <row r="2" spans="1:128" s="11" customFormat="1" ht="9" customHeight="1" thickBot="1">
      <c r="A2" s="568"/>
      <c r="B2" s="678"/>
      <c r="C2" s="574"/>
      <c r="D2" s="575"/>
      <c r="E2" s="576"/>
      <c r="F2" s="667"/>
      <c r="G2" s="668"/>
      <c r="H2" s="668"/>
      <c r="I2" s="669"/>
      <c r="J2" s="577" t="s">
        <v>2</v>
      </c>
      <c r="K2" s="577"/>
      <c r="L2" s="577"/>
      <c r="M2" s="577"/>
      <c r="N2" s="577"/>
      <c r="O2" s="577"/>
      <c r="P2" s="578"/>
      <c r="Q2" s="579" t="s">
        <v>3</v>
      </c>
      <c r="R2" s="577"/>
      <c r="S2" s="577"/>
      <c r="T2" s="577"/>
      <c r="U2" s="577"/>
      <c r="V2" s="577"/>
      <c r="W2" s="578"/>
      <c r="X2" s="579" t="s">
        <v>4</v>
      </c>
      <c r="Y2" s="577"/>
      <c r="Z2" s="577"/>
      <c r="AA2" s="577"/>
      <c r="AB2" s="577"/>
      <c r="AC2" s="577"/>
      <c r="AD2" s="578"/>
      <c r="AE2" s="579" t="s">
        <v>5</v>
      </c>
      <c r="AF2" s="577"/>
      <c r="AG2" s="577"/>
      <c r="AH2" s="577"/>
      <c r="AI2" s="577"/>
      <c r="AJ2" s="577"/>
      <c r="AK2" s="578"/>
      <c r="AL2" s="579" t="s">
        <v>6</v>
      </c>
      <c r="AM2" s="577"/>
      <c r="AN2" s="577"/>
      <c r="AO2" s="577"/>
      <c r="AP2" s="577"/>
      <c r="AQ2" s="577"/>
      <c r="AR2" s="578"/>
      <c r="AS2" s="579" t="s">
        <v>7</v>
      </c>
      <c r="AT2" s="577"/>
      <c r="AU2" s="577"/>
      <c r="AV2" s="577"/>
      <c r="AW2" s="577"/>
      <c r="AX2" s="577"/>
      <c r="AY2" s="578"/>
      <c r="AZ2" s="579" t="s">
        <v>8</v>
      </c>
      <c r="BA2" s="577"/>
      <c r="BB2" s="577"/>
      <c r="BC2" s="577"/>
      <c r="BD2" s="577"/>
      <c r="BE2" s="577"/>
      <c r="BF2" s="578"/>
      <c r="BG2" s="579" t="s">
        <v>9</v>
      </c>
      <c r="BH2" s="577"/>
      <c r="BI2" s="577"/>
      <c r="BJ2" s="577"/>
      <c r="BK2" s="577"/>
      <c r="BL2" s="577"/>
      <c r="BM2" s="578"/>
      <c r="BN2" s="579" t="s">
        <v>10</v>
      </c>
      <c r="BO2" s="577"/>
      <c r="BP2" s="577"/>
      <c r="BQ2" s="577"/>
      <c r="BR2" s="577"/>
      <c r="BS2" s="577"/>
      <c r="BT2" s="578"/>
      <c r="BU2" s="579" t="s">
        <v>11</v>
      </c>
      <c r="BV2" s="577"/>
      <c r="BW2" s="577"/>
      <c r="BX2" s="577"/>
      <c r="BY2" s="577"/>
      <c r="BZ2" s="577"/>
      <c r="CA2" s="578"/>
      <c r="CB2" s="579" t="s">
        <v>12</v>
      </c>
      <c r="CC2" s="577"/>
      <c r="CD2" s="577"/>
      <c r="CE2" s="577"/>
      <c r="CF2" s="577"/>
      <c r="CG2" s="577"/>
      <c r="CH2" s="578"/>
      <c r="CI2" s="579" t="s">
        <v>13</v>
      </c>
      <c r="CJ2" s="577"/>
      <c r="CK2" s="577"/>
      <c r="CL2" s="577"/>
      <c r="CM2" s="577"/>
      <c r="CN2" s="577"/>
      <c r="CO2" s="578"/>
      <c r="CP2" s="579" t="s">
        <v>14</v>
      </c>
      <c r="CQ2" s="577"/>
      <c r="CR2" s="577"/>
      <c r="CS2" s="577"/>
      <c r="CT2" s="577"/>
      <c r="CU2" s="577"/>
      <c r="CV2" s="578"/>
      <c r="CW2" s="579" t="s">
        <v>15</v>
      </c>
      <c r="CX2" s="577"/>
      <c r="CY2" s="577"/>
      <c r="CZ2" s="577"/>
      <c r="DA2" s="577"/>
      <c r="DB2" s="577"/>
      <c r="DC2" s="578"/>
      <c r="DD2" s="579" t="s">
        <v>16</v>
      </c>
      <c r="DE2" s="577"/>
      <c r="DF2" s="577"/>
      <c r="DG2" s="577"/>
      <c r="DH2" s="577"/>
      <c r="DI2" s="577"/>
      <c r="DJ2" s="578"/>
      <c r="DK2" s="579" t="s">
        <v>17</v>
      </c>
      <c r="DL2" s="577"/>
      <c r="DM2" s="577"/>
      <c r="DN2" s="577"/>
      <c r="DO2" s="577"/>
      <c r="DP2" s="577"/>
      <c r="DQ2" s="578"/>
      <c r="DR2" s="579" t="s">
        <v>18</v>
      </c>
      <c r="DS2" s="577"/>
      <c r="DT2" s="577"/>
      <c r="DU2" s="577"/>
      <c r="DV2" s="577"/>
      <c r="DW2" s="577"/>
      <c r="DX2" s="578"/>
    </row>
    <row r="3" spans="1:128" s="12" customFormat="1" ht="9" customHeight="1" thickTop="1">
      <c r="A3" s="567" t="s">
        <v>19</v>
      </c>
      <c r="B3" s="612" t="str">
        <f>_xlfn.XLOOKUP(A25,'VTT actif'!F:F,'VTT actif'!X:X,"-",0)</f>
        <v>-</v>
      </c>
      <c r="C3" s="571">
        <v>9520704</v>
      </c>
      <c r="D3" s="572"/>
      <c r="E3" s="573"/>
      <c r="F3" s="667"/>
      <c r="G3" s="668"/>
      <c r="H3" s="668"/>
      <c r="I3" s="669"/>
      <c r="J3" s="32" t="s">
        <v>20</v>
      </c>
      <c r="K3" s="33" t="s">
        <v>21</v>
      </c>
      <c r="L3" s="33" t="s">
        <v>21</v>
      </c>
      <c r="M3" s="33" t="s">
        <v>22</v>
      </c>
      <c r="N3" s="33" t="s">
        <v>23</v>
      </c>
      <c r="O3" s="34" t="s">
        <v>24</v>
      </c>
      <c r="P3" s="35" t="s">
        <v>25</v>
      </c>
      <c r="Q3" s="36" t="s">
        <v>20</v>
      </c>
      <c r="R3" s="33" t="s">
        <v>21</v>
      </c>
      <c r="S3" s="33" t="s">
        <v>21</v>
      </c>
      <c r="T3" s="33" t="s">
        <v>22</v>
      </c>
      <c r="U3" s="33" t="s">
        <v>23</v>
      </c>
      <c r="V3" s="34" t="s">
        <v>24</v>
      </c>
      <c r="W3" s="35" t="s">
        <v>25</v>
      </c>
      <c r="X3" s="36" t="s">
        <v>20</v>
      </c>
      <c r="Y3" s="33" t="s">
        <v>21</v>
      </c>
      <c r="Z3" s="33" t="s">
        <v>21</v>
      </c>
      <c r="AA3" s="33" t="s">
        <v>22</v>
      </c>
      <c r="AB3" s="33" t="s">
        <v>23</v>
      </c>
      <c r="AC3" s="34" t="s">
        <v>24</v>
      </c>
      <c r="AD3" s="35" t="s">
        <v>25</v>
      </c>
      <c r="AE3" s="36" t="s">
        <v>20</v>
      </c>
      <c r="AF3" s="33" t="s">
        <v>21</v>
      </c>
      <c r="AG3" s="33" t="s">
        <v>21</v>
      </c>
      <c r="AH3" s="33" t="s">
        <v>22</v>
      </c>
      <c r="AI3" s="33" t="s">
        <v>23</v>
      </c>
      <c r="AJ3" s="34" t="s">
        <v>24</v>
      </c>
      <c r="AK3" s="35" t="s">
        <v>25</v>
      </c>
      <c r="AL3" s="36" t="s">
        <v>20</v>
      </c>
      <c r="AM3" s="33" t="s">
        <v>21</v>
      </c>
      <c r="AN3" s="33" t="s">
        <v>21</v>
      </c>
      <c r="AO3" s="33" t="s">
        <v>22</v>
      </c>
      <c r="AP3" s="33" t="s">
        <v>23</v>
      </c>
      <c r="AQ3" s="34" t="s">
        <v>24</v>
      </c>
      <c r="AR3" s="35" t="s">
        <v>25</v>
      </c>
      <c r="AS3" s="36" t="s">
        <v>20</v>
      </c>
      <c r="AT3" s="33" t="s">
        <v>21</v>
      </c>
      <c r="AU3" s="33" t="s">
        <v>21</v>
      </c>
      <c r="AV3" s="33" t="s">
        <v>22</v>
      </c>
      <c r="AW3" s="33" t="s">
        <v>23</v>
      </c>
      <c r="AX3" s="34" t="s">
        <v>24</v>
      </c>
      <c r="AY3" s="35" t="s">
        <v>25</v>
      </c>
      <c r="AZ3" s="36" t="s">
        <v>20</v>
      </c>
      <c r="BA3" s="33" t="s">
        <v>21</v>
      </c>
      <c r="BB3" s="33" t="s">
        <v>21</v>
      </c>
      <c r="BC3" s="33" t="s">
        <v>22</v>
      </c>
      <c r="BD3" s="33" t="s">
        <v>23</v>
      </c>
      <c r="BE3" s="34" t="s">
        <v>24</v>
      </c>
      <c r="BF3" s="35" t="s">
        <v>25</v>
      </c>
      <c r="BG3" s="36" t="s">
        <v>20</v>
      </c>
      <c r="BH3" s="33" t="s">
        <v>21</v>
      </c>
      <c r="BI3" s="33" t="s">
        <v>21</v>
      </c>
      <c r="BJ3" s="33" t="s">
        <v>22</v>
      </c>
      <c r="BK3" s="33" t="s">
        <v>23</v>
      </c>
      <c r="BL3" s="34" t="s">
        <v>24</v>
      </c>
      <c r="BM3" s="35" t="s">
        <v>25</v>
      </c>
      <c r="BN3" s="36" t="s">
        <v>20</v>
      </c>
      <c r="BO3" s="33" t="s">
        <v>21</v>
      </c>
      <c r="BP3" s="33" t="s">
        <v>21</v>
      </c>
      <c r="BQ3" s="33" t="s">
        <v>22</v>
      </c>
      <c r="BR3" s="33" t="s">
        <v>23</v>
      </c>
      <c r="BS3" s="34" t="s">
        <v>24</v>
      </c>
      <c r="BT3" s="35" t="s">
        <v>25</v>
      </c>
      <c r="BU3" s="36" t="s">
        <v>20</v>
      </c>
      <c r="BV3" s="33" t="s">
        <v>21</v>
      </c>
      <c r="BW3" s="33" t="s">
        <v>21</v>
      </c>
      <c r="BX3" s="33" t="s">
        <v>22</v>
      </c>
      <c r="BY3" s="33" t="s">
        <v>23</v>
      </c>
      <c r="BZ3" s="34" t="s">
        <v>24</v>
      </c>
      <c r="CA3" s="35" t="s">
        <v>25</v>
      </c>
      <c r="CB3" s="36" t="s">
        <v>20</v>
      </c>
      <c r="CC3" s="33" t="s">
        <v>21</v>
      </c>
      <c r="CD3" s="33" t="s">
        <v>21</v>
      </c>
      <c r="CE3" s="33" t="s">
        <v>22</v>
      </c>
      <c r="CF3" s="33" t="s">
        <v>23</v>
      </c>
      <c r="CG3" s="34" t="s">
        <v>24</v>
      </c>
      <c r="CH3" s="35" t="s">
        <v>25</v>
      </c>
      <c r="CI3" s="36" t="s">
        <v>20</v>
      </c>
      <c r="CJ3" s="33" t="s">
        <v>21</v>
      </c>
      <c r="CK3" s="33" t="s">
        <v>21</v>
      </c>
      <c r="CL3" s="33" t="s">
        <v>22</v>
      </c>
      <c r="CM3" s="33" t="s">
        <v>23</v>
      </c>
      <c r="CN3" s="34" t="s">
        <v>24</v>
      </c>
      <c r="CO3" s="35" t="s">
        <v>25</v>
      </c>
      <c r="CP3" s="36" t="s">
        <v>20</v>
      </c>
      <c r="CQ3" s="33" t="s">
        <v>21</v>
      </c>
      <c r="CR3" s="33" t="s">
        <v>21</v>
      </c>
      <c r="CS3" s="33" t="s">
        <v>22</v>
      </c>
      <c r="CT3" s="33" t="s">
        <v>23</v>
      </c>
      <c r="CU3" s="34" t="s">
        <v>24</v>
      </c>
      <c r="CV3" s="35" t="s">
        <v>25</v>
      </c>
      <c r="CW3" s="36" t="s">
        <v>20</v>
      </c>
      <c r="CX3" s="33" t="s">
        <v>21</v>
      </c>
      <c r="CY3" s="33" t="s">
        <v>21</v>
      </c>
      <c r="CZ3" s="33" t="s">
        <v>22</v>
      </c>
      <c r="DA3" s="33" t="s">
        <v>23</v>
      </c>
      <c r="DB3" s="34" t="s">
        <v>24</v>
      </c>
      <c r="DC3" s="35" t="s">
        <v>25</v>
      </c>
      <c r="DD3" s="36" t="s">
        <v>20</v>
      </c>
      <c r="DE3" s="33" t="s">
        <v>21</v>
      </c>
      <c r="DF3" s="33" t="s">
        <v>21</v>
      </c>
      <c r="DG3" s="33" t="s">
        <v>22</v>
      </c>
      <c r="DH3" s="33" t="s">
        <v>23</v>
      </c>
      <c r="DI3" s="34" t="s">
        <v>24</v>
      </c>
      <c r="DJ3" s="35" t="s">
        <v>25</v>
      </c>
      <c r="DK3" s="36" t="s">
        <v>20</v>
      </c>
      <c r="DL3" s="33" t="s">
        <v>21</v>
      </c>
      <c r="DM3" s="33" t="s">
        <v>21</v>
      </c>
      <c r="DN3" s="33" t="s">
        <v>22</v>
      </c>
      <c r="DO3" s="33" t="s">
        <v>23</v>
      </c>
      <c r="DP3" s="34" t="s">
        <v>24</v>
      </c>
      <c r="DQ3" s="35" t="s">
        <v>25</v>
      </c>
      <c r="DR3" s="36" t="s">
        <v>20</v>
      </c>
      <c r="DS3" s="33" t="s">
        <v>21</v>
      </c>
      <c r="DT3" s="33" t="s">
        <v>21</v>
      </c>
      <c r="DU3" s="33" t="s">
        <v>22</v>
      </c>
      <c r="DV3" s="33" t="s">
        <v>23</v>
      </c>
      <c r="DW3" s="34" t="s">
        <v>24</v>
      </c>
      <c r="DX3" s="35" t="s">
        <v>25</v>
      </c>
    </row>
    <row r="4" spans="1:128" s="12" customFormat="1" ht="9" customHeight="1" thickBot="1">
      <c r="A4" s="568"/>
      <c r="B4" s="613"/>
      <c r="C4" s="574"/>
      <c r="D4" s="575"/>
      <c r="E4" s="576"/>
      <c r="F4" s="667"/>
      <c r="G4" s="668"/>
      <c r="H4" s="668"/>
      <c r="I4" s="669"/>
      <c r="J4" s="32" t="s">
        <v>26</v>
      </c>
      <c r="K4" s="33" t="s">
        <v>27</v>
      </c>
      <c r="L4" s="33" t="s">
        <v>28</v>
      </c>
      <c r="M4" s="33" t="s">
        <v>29</v>
      </c>
      <c r="N4" s="33" t="s">
        <v>30</v>
      </c>
      <c r="O4" s="34" t="s">
        <v>31</v>
      </c>
      <c r="P4" s="35" t="s">
        <v>32</v>
      </c>
      <c r="Q4" s="36" t="s">
        <v>26</v>
      </c>
      <c r="R4" s="33" t="s">
        <v>27</v>
      </c>
      <c r="S4" s="33" t="s">
        <v>28</v>
      </c>
      <c r="T4" s="33" t="s">
        <v>29</v>
      </c>
      <c r="U4" s="33" t="s">
        <v>30</v>
      </c>
      <c r="V4" s="34" t="s">
        <v>31</v>
      </c>
      <c r="W4" s="35" t="s">
        <v>32</v>
      </c>
      <c r="X4" s="36" t="s">
        <v>26</v>
      </c>
      <c r="Y4" s="33" t="s">
        <v>27</v>
      </c>
      <c r="Z4" s="33" t="s">
        <v>28</v>
      </c>
      <c r="AA4" s="33" t="s">
        <v>29</v>
      </c>
      <c r="AB4" s="33" t="s">
        <v>30</v>
      </c>
      <c r="AC4" s="34" t="s">
        <v>31</v>
      </c>
      <c r="AD4" s="35" t="s">
        <v>32</v>
      </c>
      <c r="AE4" s="36" t="s">
        <v>26</v>
      </c>
      <c r="AF4" s="33" t="s">
        <v>27</v>
      </c>
      <c r="AG4" s="33" t="s">
        <v>28</v>
      </c>
      <c r="AH4" s="33" t="s">
        <v>29</v>
      </c>
      <c r="AI4" s="33" t="s">
        <v>30</v>
      </c>
      <c r="AJ4" s="34" t="s">
        <v>31</v>
      </c>
      <c r="AK4" s="35" t="s">
        <v>32</v>
      </c>
      <c r="AL4" s="36" t="s">
        <v>26</v>
      </c>
      <c r="AM4" s="33" t="s">
        <v>27</v>
      </c>
      <c r="AN4" s="33" t="s">
        <v>28</v>
      </c>
      <c r="AO4" s="33" t="s">
        <v>29</v>
      </c>
      <c r="AP4" s="33" t="s">
        <v>30</v>
      </c>
      <c r="AQ4" s="34" t="s">
        <v>31</v>
      </c>
      <c r="AR4" s="35" t="s">
        <v>32</v>
      </c>
      <c r="AS4" s="36" t="s">
        <v>26</v>
      </c>
      <c r="AT4" s="33" t="s">
        <v>27</v>
      </c>
      <c r="AU4" s="33" t="s">
        <v>28</v>
      </c>
      <c r="AV4" s="33" t="s">
        <v>29</v>
      </c>
      <c r="AW4" s="33" t="s">
        <v>30</v>
      </c>
      <c r="AX4" s="34" t="s">
        <v>31</v>
      </c>
      <c r="AY4" s="35" t="s">
        <v>32</v>
      </c>
      <c r="AZ4" s="36" t="s">
        <v>26</v>
      </c>
      <c r="BA4" s="33" t="s">
        <v>27</v>
      </c>
      <c r="BB4" s="33" t="s">
        <v>28</v>
      </c>
      <c r="BC4" s="33" t="s">
        <v>29</v>
      </c>
      <c r="BD4" s="33" t="s">
        <v>30</v>
      </c>
      <c r="BE4" s="34" t="s">
        <v>31</v>
      </c>
      <c r="BF4" s="35" t="s">
        <v>32</v>
      </c>
      <c r="BG4" s="36" t="s">
        <v>26</v>
      </c>
      <c r="BH4" s="33" t="s">
        <v>27</v>
      </c>
      <c r="BI4" s="33" t="s">
        <v>28</v>
      </c>
      <c r="BJ4" s="33" t="s">
        <v>29</v>
      </c>
      <c r="BK4" s="33" t="s">
        <v>30</v>
      </c>
      <c r="BL4" s="34" t="s">
        <v>31</v>
      </c>
      <c r="BM4" s="35" t="s">
        <v>32</v>
      </c>
      <c r="BN4" s="36" t="s">
        <v>26</v>
      </c>
      <c r="BO4" s="33" t="s">
        <v>27</v>
      </c>
      <c r="BP4" s="33" t="s">
        <v>28</v>
      </c>
      <c r="BQ4" s="33" t="s">
        <v>29</v>
      </c>
      <c r="BR4" s="33" t="s">
        <v>30</v>
      </c>
      <c r="BS4" s="34" t="s">
        <v>31</v>
      </c>
      <c r="BT4" s="35" t="s">
        <v>32</v>
      </c>
      <c r="BU4" s="36" t="s">
        <v>26</v>
      </c>
      <c r="BV4" s="33" t="s">
        <v>27</v>
      </c>
      <c r="BW4" s="33" t="s">
        <v>28</v>
      </c>
      <c r="BX4" s="33" t="s">
        <v>29</v>
      </c>
      <c r="BY4" s="33" t="s">
        <v>30</v>
      </c>
      <c r="BZ4" s="34" t="s">
        <v>31</v>
      </c>
      <c r="CA4" s="35" t="s">
        <v>32</v>
      </c>
      <c r="CB4" s="36" t="s">
        <v>26</v>
      </c>
      <c r="CC4" s="33" t="s">
        <v>27</v>
      </c>
      <c r="CD4" s="33" t="s">
        <v>28</v>
      </c>
      <c r="CE4" s="33" t="s">
        <v>29</v>
      </c>
      <c r="CF4" s="33" t="s">
        <v>30</v>
      </c>
      <c r="CG4" s="34" t="s">
        <v>31</v>
      </c>
      <c r="CH4" s="35" t="s">
        <v>32</v>
      </c>
      <c r="CI4" s="36" t="s">
        <v>26</v>
      </c>
      <c r="CJ4" s="33" t="s">
        <v>27</v>
      </c>
      <c r="CK4" s="33" t="s">
        <v>28</v>
      </c>
      <c r="CL4" s="33" t="s">
        <v>29</v>
      </c>
      <c r="CM4" s="33" t="s">
        <v>30</v>
      </c>
      <c r="CN4" s="34" t="s">
        <v>31</v>
      </c>
      <c r="CO4" s="35" t="s">
        <v>32</v>
      </c>
      <c r="CP4" s="36" t="s">
        <v>26</v>
      </c>
      <c r="CQ4" s="33" t="s">
        <v>27</v>
      </c>
      <c r="CR4" s="33" t="s">
        <v>28</v>
      </c>
      <c r="CS4" s="33" t="s">
        <v>29</v>
      </c>
      <c r="CT4" s="33" t="s">
        <v>30</v>
      </c>
      <c r="CU4" s="34" t="s">
        <v>31</v>
      </c>
      <c r="CV4" s="35" t="s">
        <v>32</v>
      </c>
      <c r="CW4" s="36" t="s">
        <v>26</v>
      </c>
      <c r="CX4" s="33" t="s">
        <v>27</v>
      </c>
      <c r="CY4" s="33" t="s">
        <v>28</v>
      </c>
      <c r="CZ4" s="33" t="s">
        <v>29</v>
      </c>
      <c r="DA4" s="33" t="s">
        <v>30</v>
      </c>
      <c r="DB4" s="34" t="s">
        <v>31</v>
      </c>
      <c r="DC4" s="35" t="s">
        <v>32</v>
      </c>
      <c r="DD4" s="36" t="s">
        <v>26</v>
      </c>
      <c r="DE4" s="33" t="s">
        <v>27</v>
      </c>
      <c r="DF4" s="33" t="s">
        <v>28</v>
      </c>
      <c r="DG4" s="33" t="s">
        <v>29</v>
      </c>
      <c r="DH4" s="33" t="s">
        <v>30</v>
      </c>
      <c r="DI4" s="34" t="s">
        <v>31</v>
      </c>
      <c r="DJ4" s="35" t="s">
        <v>32</v>
      </c>
      <c r="DK4" s="36" t="s">
        <v>26</v>
      </c>
      <c r="DL4" s="33" t="s">
        <v>27</v>
      </c>
      <c r="DM4" s="33" t="s">
        <v>28</v>
      </c>
      <c r="DN4" s="33" t="s">
        <v>29</v>
      </c>
      <c r="DO4" s="33" t="s">
        <v>30</v>
      </c>
      <c r="DP4" s="34" t="s">
        <v>31</v>
      </c>
      <c r="DQ4" s="35" t="s">
        <v>32</v>
      </c>
      <c r="DR4" s="36" t="s">
        <v>26</v>
      </c>
      <c r="DS4" s="33" t="s">
        <v>27</v>
      </c>
      <c r="DT4" s="33" t="s">
        <v>28</v>
      </c>
      <c r="DU4" s="33" t="s">
        <v>29</v>
      </c>
      <c r="DV4" s="33" t="s">
        <v>30</v>
      </c>
      <c r="DW4" s="34" t="s">
        <v>31</v>
      </c>
      <c r="DX4" s="35" t="s">
        <v>32</v>
      </c>
    </row>
    <row r="5" spans="1:128" s="12" customFormat="1" ht="15" customHeight="1" thickTop="1" thickBot="1">
      <c r="A5" s="56" t="s">
        <v>33</v>
      </c>
      <c r="B5" s="58" t="str">
        <f>_xlfn.XLOOKUP(A25,'VTT actif'!F:F,'VTT actif'!AL:AL,"-",0)</f>
        <v>-</v>
      </c>
      <c r="C5" s="582">
        <v>91018400</v>
      </c>
      <c r="D5" s="583"/>
      <c r="E5" s="584"/>
      <c r="F5" s="667"/>
      <c r="G5" s="668"/>
      <c r="H5" s="668"/>
      <c r="I5" s="669"/>
      <c r="J5" s="37">
        <v>1</v>
      </c>
      <c r="K5" s="38">
        <v>2</v>
      </c>
      <c r="L5" s="38">
        <v>3</v>
      </c>
      <c r="M5" s="38">
        <v>4</v>
      </c>
      <c r="N5" s="38">
        <v>5</v>
      </c>
      <c r="O5" s="38">
        <v>6</v>
      </c>
      <c r="P5" s="38">
        <v>7</v>
      </c>
      <c r="Q5" s="39">
        <v>8</v>
      </c>
      <c r="R5" s="38">
        <v>9</v>
      </c>
      <c r="S5" s="38">
        <v>10</v>
      </c>
      <c r="T5" s="38">
        <v>11</v>
      </c>
      <c r="U5" s="38">
        <v>12</v>
      </c>
      <c r="V5" s="38">
        <v>13</v>
      </c>
      <c r="W5" s="38">
        <v>14</v>
      </c>
      <c r="X5" s="39">
        <v>15</v>
      </c>
      <c r="Y5" s="38">
        <v>16</v>
      </c>
      <c r="Z5" s="38">
        <v>17</v>
      </c>
      <c r="AA5" s="38">
        <v>18</v>
      </c>
      <c r="AB5" s="38">
        <v>19</v>
      </c>
      <c r="AC5" s="38">
        <v>20</v>
      </c>
      <c r="AD5" s="38">
        <v>21</v>
      </c>
      <c r="AE5" s="39">
        <v>22</v>
      </c>
      <c r="AF5" s="38">
        <v>23</v>
      </c>
      <c r="AG5" s="38">
        <v>24</v>
      </c>
      <c r="AH5" s="38">
        <v>25</v>
      </c>
      <c r="AI5" s="38">
        <v>26</v>
      </c>
      <c r="AJ5" s="38">
        <v>27</v>
      </c>
      <c r="AK5" s="38">
        <v>28</v>
      </c>
      <c r="AL5" s="39">
        <v>29</v>
      </c>
      <c r="AM5" s="38">
        <v>30</v>
      </c>
      <c r="AN5" s="38">
        <v>31</v>
      </c>
      <c r="AO5" s="38">
        <v>32</v>
      </c>
      <c r="AP5" s="38">
        <v>33</v>
      </c>
      <c r="AQ5" s="38">
        <v>34</v>
      </c>
      <c r="AR5" s="38">
        <v>35</v>
      </c>
      <c r="AS5" s="39">
        <v>36</v>
      </c>
      <c r="AT5" s="38">
        <v>37</v>
      </c>
      <c r="AU5" s="38">
        <v>38</v>
      </c>
      <c r="AV5" s="38">
        <v>39</v>
      </c>
      <c r="AW5" s="38">
        <v>40</v>
      </c>
      <c r="AX5" s="38">
        <v>41</v>
      </c>
      <c r="AY5" s="38">
        <v>42</v>
      </c>
      <c r="AZ5" s="39">
        <v>43</v>
      </c>
      <c r="BA5" s="38">
        <v>44</v>
      </c>
      <c r="BB5" s="38">
        <v>45</v>
      </c>
      <c r="BC5" s="38">
        <v>46</v>
      </c>
      <c r="BD5" s="38">
        <v>47</v>
      </c>
      <c r="BE5" s="38">
        <v>48</v>
      </c>
      <c r="BF5" s="38">
        <v>49</v>
      </c>
      <c r="BG5" s="39">
        <v>50</v>
      </c>
      <c r="BH5" s="38">
        <v>51</v>
      </c>
      <c r="BI5" s="38">
        <v>52</v>
      </c>
      <c r="BJ5" s="38">
        <v>53</v>
      </c>
      <c r="BK5" s="38">
        <v>54</v>
      </c>
      <c r="BL5" s="38">
        <v>55</v>
      </c>
      <c r="BM5" s="38">
        <v>56</v>
      </c>
      <c r="BN5" s="39">
        <v>57</v>
      </c>
      <c r="BO5" s="38">
        <v>58</v>
      </c>
      <c r="BP5" s="38">
        <v>59</v>
      </c>
      <c r="BQ5" s="38">
        <v>60</v>
      </c>
      <c r="BR5" s="38">
        <v>61</v>
      </c>
      <c r="BS5" s="38">
        <v>62</v>
      </c>
      <c r="BT5" s="38">
        <v>63</v>
      </c>
      <c r="BU5" s="39">
        <v>64</v>
      </c>
      <c r="BV5" s="38">
        <v>65</v>
      </c>
      <c r="BW5" s="38">
        <v>66</v>
      </c>
      <c r="BX5" s="38">
        <v>67</v>
      </c>
      <c r="BY5" s="38">
        <v>68</v>
      </c>
      <c r="BZ5" s="38">
        <v>69</v>
      </c>
      <c r="CA5" s="38">
        <v>70</v>
      </c>
      <c r="CB5" s="39">
        <v>71</v>
      </c>
      <c r="CC5" s="38">
        <v>72</v>
      </c>
      <c r="CD5" s="38">
        <v>73</v>
      </c>
      <c r="CE5" s="38">
        <v>74</v>
      </c>
      <c r="CF5" s="38">
        <v>75</v>
      </c>
      <c r="CG5" s="38">
        <v>76</v>
      </c>
      <c r="CH5" s="38">
        <v>77</v>
      </c>
      <c r="CI5" s="39">
        <v>78</v>
      </c>
      <c r="CJ5" s="38">
        <v>79</v>
      </c>
      <c r="CK5" s="38">
        <v>80</v>
      </c>
      <c r="CL5" s="38">
        <v>81</v>
      </c>
      <c r="CM5" s="38">
        <v>82</v>
      </c>
      <c r="CN5" s="38">
        <v>83</v>
      </c>
      <c r="CO5" s="38">
        <v>84</v>
      </c>
      <c r="CP5" s="39">
        <v>85</v>
      </c>
      <c r="CQ5" s="38">
        <v>86</v>
      </c>
      <c r="CR5" s="38">
        <v>87</v>
      </c>
      <c r="CS5" s="38">
        <v>88</v>
      </c>
      <c r="CT5" s="38">
        <v>89</v>
      </c>
      <c r="CU5" s="38">
        <v>90</v>
      </c>
      <c r="CV5" s="38">
        <v>91</v>
      </c>
      <c r="CW5" s="39">
        <v>92</v>
      </c>
      <c r="CX5" s="38">
        <v>93</v>
      </c>
      <c r="CY5" s="38">
        <v>94</v>
      </c>
      <c r="CZ5" s="38">
        <v>95</v>
      </c>
      <c r="DA5" s="38">
        <v>96</v>
      </c>
      <c r="DB5" s="38">
        <v>97</v>
      </c>
      <c r="DC5" s="38">
        <v>98</v>
      </c>
      <c r="DD5" s="39">
        <v>99</v>
      </c>
      <c r="DE5" s="38">
        <v>100</v>
      </c>
      <c r="DF5" s="38">
        <v>101</v>
      </c>
      <c r="DG5" s="38">
        <v>102</v>
      </c>
      <c r="DH5" s="38">
        <v>103</v>
      </c>
      <c r="DI5" s="38">
        <v>104</v>
      </c>
      <c r="DJ5" s="38">
        <v>105</v>
      </c>
      <c r="DK5" s="38">
        <v>106</v>
      </c>
      <c r="DL5" s="38">
        <v>107</v>
      </c>
      <c r="DM5" s="38">
        <v>108</v>
      </c>
      <c r="DN5" s="38">
        <v>109</v>
      </c>
      <c r="DO5" s="38">
        <v>110</v>
      </c>
      <c r="DP5" s="38">
        <v>111</v>
      </c>
      <c r="DQ5" s="38">
        <v>112</v>
      </c>
      <c r="DR5" s="38">
        <v>113</v>
      </c>
      <c r="DS5" s="38">
        <v>114</v>
      </c>
      <c r="DT5" s="38">
        <v>115</v>
      </c>
      <c r="DU5" s="38">
        <v>116</v>
      </c>
      <c r="DV5" s="38">
        <v>117</v>
      </c>
      <c r="DW5" s="38">
        <v>118</v>
      </c>
      <c r="DX5" s="38">
        <v>119</v>
      </c>
    </row>
    <row r="6" spans="1:128" s="46" customFormat="1" ht="33" customHeight="1" thickTop="1" thickBot="1">
      <c r="A6" s="56" t="s">
        <v>34</v>
      </c>
      <c r="B6" s="58" t="str">
        <f>_xlfn.XLOOKUP(A25,'VTT actif'!F:F,'VTT actif'!L:L,"-",0)</f>
        <v>-</v>
      </c>
      <c r="C6" s="571">
        <v>91017700</v>
      </c>
      <c r="D6" s="572"/>
      <c r="E6" s="573"/>
      <c r="F6" s="670"/>
      <c r="G6" s="671"/>
      <c r="H6" s="671"/>
      <c r="I6" s="672"/>
      <c r="J6" s="42">
        <v>45068</v>
      </c>
      <c r="K6" s="43">
        <f>J6+1</f>
        <v>45069</v>
      </c>
      <c r="L6" s="43">
        <f t="shared" ref="L6:BW6" si="15">K6+1</f>
        <v>45070</v>
      </c>
      <c r="M6" s="43">
        <f t="shared" si="15"/>
        <v>45071</v>
      </c>
      <c r="N6" s="43">
        <f t="shared" si="15"/>
        <v>45072</v>
      </c>
      <c r="O6" s="44">
        <f t="shared" si="15"/>
        <v>45073</v>
      </c>
      <c r="P6" s="45">
        <f t="shared" si="15"/>
        <v>45074</v>
      </c>
      <c r="Q6" s="43">
        <f t="shared" si="15"/>
        <v>45075</v>
      </c>
      <c r="R6" s="43">
        <f t="shared" si="15"/>
        <v>45076</v>
      </c>
      <c r="S6" s="43">
        <f t="shared" si="15"/>
        <v>45077</v>
      </c>
      <c r="T6" s="43">
        <f t="shared" si="15"/>
        <v>45078</v>
      </c>
      <c r="U6" s="43">
        <f t="shared" si="15"/>
        <v>45079</v>
      </c>
      <c r="V6" s="44">
        <f t="shared" si="15"/>
        <v>45080</v>
      </c>
      <c r="W6" s="45">
        <f t="shared" si="15"/>
        <v>45081</v>
      </c>
      <c r="X6" s="43">
        <f t="shared" si="15"/>
        <v>45082</v>
      </c>
      <c r="Y6" s="43">
        <f t="shared" si="15"/>
        <v>45083</v>
      </c>
      <c r="Z6" s="43">
        <f t="shared" si="15"/>
        <v>45084</v>
      </c>
      <c r="AA6" s="43">
        <f t="shared" si="15"/>
        <v>45085</v>
      </c>
      <c r="AB6" s="43">
        <f t="shared" si="15"/>
        <v>45086</v>
      </c>
      <c r="AC6" s="44">
        <f t="shared" si="15"/>
        <v>45087</v>
      </c>
      <c r="AD6" s="45">
        <f t="shared" si="15"/>
        <v>45088</v>
      </c>
      <c r="AE6" s="43">
        <f t="shared" si="15"/>
        <v>45089</v>
      </c>
      <c r="AF6" s="43">
        <f t="shared" si="15"/>
        <v>45090</v>
      </c>
      <c r="AG6" s="43">
        <f t="shared" si="15"/>
        <v>45091</v>
      </c>
      <c r="AH6" s="43">
        <f t="shared" si="15"/>
        <v>45092</v>
      </c>
      <c r="AI6" s="43">
        <f t="shared" si="15"/>
        <v>45093</v>
      </c>
      <c r="AJ6" s="44">
        <f t="shared" si="15"/>
        <v>45094</v>
      </c>
      <c r="AK6" s="45">
        <f t="shared" si="15"/>
        <v>45095</v>
      </c>
      <c r="AL6" s="43">
        <f t="shared" si="15"/>
        <v>45096</v>
      </c>
      <c r="AM6" s="43">
        <f t="shared" si="15"/>
        <v>45097</v>
      </c>
      <c r="AN6" s="43">
        <f t="shared" si="15"/>
        <v>45098</v>
      </c>
      <c r="AO6" s="43">
        <f t="shared" si="15"/>
        <v>45099</v>
      </c>
      <c r="AP6" s="43">
        <f t="shared" si="15"/>
        <v>45100</v>
      </c>
      <c r="AQ6" s="44">
        <f t="shared" si="15"/>
        <v>45101</v>
      </c>
      <c r="AR6" s="45">
        <f t="shared" si="15"/>
        <v>45102</v>
      </c>
      <c r="AS6" s="43">
        <f t="shared" si="15"/>
        <v>45103</v>
      </c>
      <c r="AT6" s="43">
        <f t="shared" si="15"/>
        <v>45104</v>
      </c>
      <c r="AU6" s="43">
        <f t="shared" si="15"/>
        <v>45105</v>
      </c>
      <c r="AV6" s="43">
        <f t="shared" si="15"/>
        <v>45106</v>
      </c>
      <c r="AW6" s="43">
        <f t="shared" si="15"/>
        <v>45107</v>
      </c>
      <c r="AX6" s="44">
        <f t="shared" si="15"/>
        <v>45108</v>
      </c>
      <c r="AY6" s="45">
        <f t="shared" si="15"/>
        <v>45109</v>
      </c>
      <c r="AZ6" s="43">
        <f t="shared" si="15"/>
        <v>45110</v>
      </c>
      <c r="BA6" s="43">
        <f t="shared" si="15"/>
        <v>45111</v>
      </c>
      <c r="BB6" s="43">
        <f t="shared" si="15"/>
        <v>45112</v>
      </c>
      <c r="BC6" s="43">
        <f t="shared" si="15"/>
        <v>45113</v>
      </c>
      <c r="BD6" s="43">
        <f t="shared" si="15"/>
        <v>45114</v>
      </c>
      <c r="BE6" s="44">
        <f t="shared" si="15"/>
        <v>45115</v>
      </c>
      <c r="BF6" s="45">
        <f t="shared" si="15"/>
        <v>45116</v>
      </c>
      <c r="BG6" s="43">
        <f t="shared" si="15"/>
        <v>45117</v>
      </c>
      <c r="BH6" s="43">
        <f t="shared" si="15"/>
        <v>45118</v>
      </c>
      <c r="BI6" s="43">
        <f t="shared" si="15"/>
        <v>45119</v>
      </c>
      <c r="BJ6" s="43">
        <f t="shared" si="15"/>
        <v>45120</v>
      </c>
      <c r="BK6" s="43">
        <f t="shared" si="15"/>
        <v>45121</v>
      </c>
      <c r="BL6" s="44">
        <f t="shared" si="15"/>
        <v>45122</v>
      </c>
      <c r="BM6" s="45">
        <f t="shared" si="15"/>
        <v>45123</v>
      </c>
      <c r="BN6" s="43">
        <f t="shared" si="15"/>
        <v>45124</v>
      </c>
      <c r="BO6" s="43">
        <f t="shared" si="15"/>
        <v>45125</v>
      </c>
      <c r="BP6" s="43">
        <f t="shared" si="15"/>
        <v>45126</v>
      </c>
      <c r="BQ6" s="43">
        <f t="shared" si="15"/>
        <v>45127</v>
      </c>
      <c r="BR6" s="43">
        <f t="shared" si="15"/>
        <v>45128</v>
      </c>
      <c r="BS6" s="44">
        <f t="shared" si="15"/>
        <v>45129</v>
      </c>
      <c r="BT6" s="45">
        <f t="shared" si="15"/>
        <v>45130</v>
      </c>
      <c r="BU6" s="43">
        <f t="shared" si="15"/>
        <v>45131</v>
      </c>
      <c r="BV6" s="43">
        <f t="shared" si="15"/>
        <v>45132</v>
      </c>
      <c r="BW6" s="43">
        <f t="shared" si="15"/>
        <v>45133</v>
      </c>
      <c r="BX6" s="43">
        <f t="shared" ref="BX6:DX6" si="16">BW6+1</f>
        <v>45134</v>
      </c>
      <c r="BY6" s="43">
        <f t="shared" si="16"/>
        <v>45135</v>
      </c>
      <c r="BZ6" s="44">
        <f t="shared" si="16"/>
        <v>45136</v>
      </c>
      <c r="CA6" s="45">
        <f t="shared" si="16"/>
        <v>45137</v>
      </c>
      <c r="CB6" s="43">
        <f t="shared" si="16"/>
        <v>45138</v>
      </c>
      <c r="CC6" s="43">
        <f t="shared" si="16"/>
        <v>45139</v>
      </c>
      <c r="CD6" s="43">
        <f t="shared" si="16"/>
        <v>45140</v>
      </c>
      <c r="CE6" s="43">
        <f t="shared" si="16"/>
        <v>45141</v>
      </c>
      <c r="CF6" s="43">
        <f t="shared" si="16"/>
        <v>45142</v>
      </c>
      <c r="CG6" s="44">
        <f t="shared" si="16"/>
        <v>45143</v>
      </c>
      <c r="CH6" s="45">
        <f t="shared" si="16"/>
        <v>45144</v>
      </c>
      <c r="CI6" s="43">
        <f t="shared" si="16"/>
        <v>45145</v>
      </c>
      <c r="CJ6" s="43">
        <f t="shared" si="16"/>
        <v>45146</v>
      </c>
      <c r="CK6" s="43">
        <f t="shared" si="16"/>
        <v>45147</v>
      </c>
      <c r="CL6" s="43">
        <f t="shared" si="16"/>
        <v>45148</v>
      </c>
      <c r="CM6" s="43">
        <f t="shared" si="16"/>
        <v>45149</v>
      </c>
      <c r="CN6" s="44">
        <f t="shared" si="16"/>
        <v>45150</v>
      </c>
      <c r="CO6" s="45">
        <f t="shared" si="16"/>
        <v>45151</v>
      </c>
      <c r="CP6" s="43">
        <f t="shared" si="16"/>
        <v>45152</v>
      </c>
      <c r="CQ6" s="43">
        <f t="shared" si="16"/>
        <v>45153</v>
      </c>
      <c r="CR6" s="43">
        <f t="shared" si="16"/>
        <v>45154</v>
      </c>
      <c r="CS6" s="43">
        <f t="shared" si="16"/>
        <v>45155</v>
      </c>
      <c r="CT6" s="43">
        <f t="shared" si="16"/>
        <v>45156</v>
      </c>
      <c r="CU6" s="44">
        <f t="shared" si="16"/>
        <v>45157</v>
      </c>
      <c r="CV6" s="45">
        <f t="shared" si="16"/>
        <v>45158</v>
      </c>
      <c r="CW6" s="43">
        <f t="shared" si="16"/>
        <v>45159</v>
      </c>
      <c r="CX6" s="43">
        <f t="shared" si="16"/>
        <v>45160</v>
      </c>
      <c r="CY6" s="43">
        <f t="shared" si="16"/>
        <v>45161</v>
      </c>
      <c r="CZ6" s="43">
        <f t="shared" si="16"/>
        <v>45162</v>
      </c>
      <c r="DA6" s="43">
        <f t="shared" si="16"/>
        <v>45163</v>
      </c>
      <c r="DB6" s="44">
        <f t="shared" si="16"/>
        <v>45164</v>
      </c>
      <c r="DC6" s="45">
        <f t="shared" si="16"/>
        <v>45165</v>
      </c>
      <c r="DD6" s="43">
        <f t="shared" si="16"/>
        <v>45166</v>
      </c>
      <c r="DE6" s="43">
        <f t="shared" si="16"/>
        <v>45167</v>
      </c>
      <c r="DF6" s="43">
        <f t="shared" si="16"/>
        <v>45168</v>
      </c>
      <c r="DG6" s="43">
        <f t="shared" si="16"/>
        <v>45169</v>
      </c>
      <c r="DH6" s="43">
        <f t="shared" si="16"/>
        <v>45170</v>
      </c>
      <c r="DI6" s="44">
        <f t="shared" si="16"/>
        <v>45171</v>
      </c>
      <c r="DJ6" s="45">
        <f t="shared" si="16"/>
        <v>45172</v>
      </c>
      <c r="DK6" s="43">
        <f t="shared" si="16"/>
        <v>45173</v>
      </c>
      <c r="DL6" s="43">
        <f t="shared" si="16"/>
        <v>45174</v>
      </c>
      <c r="DM6" s="43">
        <f t="shared" si="16"/>
        <v>45175</v>
      </c>
      <c r="DN6" s="43">
        <f t="shared" si="16"/>
        <v>45176</v>
      </c>
      <c r="DO6" s="43">
        <f t="shared" si="16"/>
        <v>45177</v>
      </c>
      <c r="DP6" s="44">
        <f t="shared" si="16"/>
        <v>45178</v>
      </c>
      <c r="DQ6" s="45">
        <f t="shared" si="16"/>
        <v>45179</v>
      </c>
      <c r="DR6" s="43">
        <f t="shared" si="16"/>
        <v>45180</v>
      </c>
      <c r="DS6" s="43">
        <f t="shared" si="16"/>
        <v>45181</v>
      </c>
      <c r="DT6" s="43">
        <f t="shared" si="16"/>
        <v>45182</v>
      </c>
      <c r="DU6" s="43">
        <f t="shared" si="16"/>
        <v>45183</v>
      </c>
      <c r="DV6" s="43">
        <f t="shared" si="16"/>
        <v>45184</v>
      </c>
      <c r="DW6" s="44">
        <f t="shared" si="16"/>
        <v>45185</v>
      </c>
      <c r="DX6" s="45">
        <f t="shared" si="16"/>
        <v>45186</v>
      </c>
    </row>
    <row r="7" spans="1:128" s="17" customFormat="1" ht="17.25" customHeight="1" thickTop="1">
      <c r="A7" s="56" t="s">
        <v>36</v>
      </c>
      <c r="B7" s="129">
        <v>798</v>
      </c>
      <c r="C7" s="40" t="s">
        <v>37</v>
      </c>
      <c r="D7" s="40" t="s">
        <v>38</v>
      </c>
      <c r="E7" s="41" t="s">
        <v>39</v>
      </c>
      <c r="F7" s="303" t="s">
        <v>739</v>
      </c>
      <c r="G7" s="304" t="s">
        <v>740</v>
      </c>
      <c r="H7" s="304" t="s">
        <v>741</v>
      </c>
      <c r="I7" s="305" t="s">
        <v>742</v>
      </c>
      <c r="J7" s="13"/>
      <c r="K7" s="14"/>
      <c r="L7" s="14"/>
      <c r="M7" s="14"/>
      <c r="N7" s="14"/>
      <c r="O7" s="15"/>
      <c r="P7" s="16"/>
      <c r="Q7" s="13"/>
      <c r="R7" s="14"/>
      <c r="S7" s="14"/>
      <c r="T7" s="14"/>
      <c r="U7" s="14"/>
      <c r="V7" s="15"/>
      <c r="W7" s="16"/>
      <c r="X7" s="13"/>
      <c r="Y7" s="14"/>
      <c r="Z7" s="14"/>
      <c r="AA7" s="14"/>
      <c r="AB7" s="14"/>
      <c r="AC7" s="15"/>
      <c r="AD7" s="16"/>
      <c r="AE7" s="13"/>
      <c r="AF7" s="14"/>
      <c r="AG7" s="14"/>
      <c r="AH7" s="14"/>
      <c r="AI7" s="14"/>
      <c r="AJ7" s="15"/>
      <c r="AK7" s="16"/>
      <c r="AL7" s="13"/>
      <c r="AM7" s="14"/>
      <c r="AN7" s="14"/>
      <c r="AO7" s="14"/>
      <c r="AP7" s="14"/>
      <c r="AQ7" s="15"/>
      <c r="AR7" s="16"/>
      <c r="AS7" s="13"/>
      <c r="AT7" s="14"/>
      <c r="AU7" s="14"/>
      <c r="AV7" s="14"/>
      <c r="AW7" s="14"/>
      <c r="AX7" s="15"/>
      <c r="AY7" s="16"/>
      <c r="AZ7" s="13"/>
      <c r="BA7" s="14"/>
      <c r="BB7" s="14"/>
      <c r="BC7" s="14"/>
      <c r="BD7" s="14"/>
      <c r="BE7" s="15"/>
      <c r="BF7" s="16"/>
      <c r="BG7" s="13"/>
      <c r="BH7" s="14"/>
      <c r="BI7" s="14"/>
      <c r="BJ7" s="14"/>
      <c r="BK7" s="14"/>
      <c r="BL7" s="15"/>
      <c r="BM7" s="16"/>
      <c r="BN7" s="13"/>
      <c r="BO7" s="14"/>
      <c r="BP7" s="14"/>
      <c r="BQ7" s="14"/>
      <c r="BR7" s="14"/>
      <c r="BS7" s="15"/>
      <c r="BT7" s="16"/>
      <c r="BU7" s="13"/>
      <c r="BV7" s="14"/>
      <c r="BW7" s="14"/>
      <c r="BX7" s="14"/>
      <c r="BY7" s="14"/>
      <c r="BZ7" s="15"/>
      <c r="CA7" s="16"/>
      <c r="CB7" s="13"/>
      <c r="CC7" s="14"/>
      <c r="CD7" s="14"/>
      <c r="CE7" s="14"/>
      <c r="CF7" s="14"/>
      <c r="CG7" s="15"/>
      <c r="CH7" s="16"/>
      <c r="CI7" s="13"/>
      <c r="CJ7" s="14"/>
      <c r="CK7" s="14"/>
      <c r="CL7" s="14"/>
      <c r="CM7" s="14"/>
      <c r="CN7" s="15"/>
      <c r="CO7" s="16"/>
      <c r="CP7" s="13"/>
      <c r="CQ7" s="14"/>
      <c r="CR7" s="14"/>
      <c r="CS7" s="14"/>
      <c r="CT7" s="14"/>
      <c r="CU7" s="15"/>
      <c r="CV7" s="16"/>
      <c r="CW7" s="13"/>
      <c r="CX7" s="14"/>
      <c r="CY7" s="14"/>
      <c r="CZ7" s="14"/>
      <c r="DA7" s="14"/>
      <c r="DB7" s="15"/>
      <c r="DC7" s="16"/>
      <c r="DD7" s="13"/>
      <c r="DE7" s="14"/>
      <c r="DF7" s="14"/>
      <c r="DG7" s="14"/>
      <c r="DH7" s="14"/>
      <c r="DI7" s="15"/>
      <c r="DJ7" s="16"/>
      <c r="DK7" s="13"/>
      <c r="DL7" s="14"/>
      <c r="DM7" s="14"/>
      <c r="DN7" s="14"/>
      <c r="DO7" s="14"/>
      <c r="DP7" s="15"/>
      <c r="DQ7" s="16"/>
      <c r="DR7" s="13"/>
      <c r="DS7" s="14"/>
      <c r="DT7" s="14"/>
      <c r="DU7" s="14"/>
      <c r="DV7" s="14"/>
      <c r="DW7" s="15"/>
      <c r="DX7" s="16"/>
    </row>
    <row r="8" spans="1:128" s="17" customFormat="1" ht="9.75" customHeight="1">
      <c r="A8" s="585" t="str">
        <f>_xlfn.XLOOKUP(A25,'VTT actif'!F:F,'VTT actif'!AA:AA,"-",0)&amp;" &gt; "&amp;_xlfn.XLOOKUP(A25,'VTT actif'!F:F,'VTT actif'!AG:AG,"-",0)</f>
        <v>- &gt; -</v>
      </c>
      <c r="B8" s="18" t="s">
        <v>40</v>
      </c>
      <c r="C8" s="19">
        <v>7</v>
      </c>
      <c r="D8" s="20">
        <v>0</v>
      </c>
      <c r="E8" s="19">
        <v>7</v>
      </c>
      <c r="F8" s="306" t="s">
        <v>743</v>
      </c>
      <c r="G8" s="46" t="s">
        <v>744</v>
      </c>
      <c r="H8" s="46" t="s">
        <v>745</v>
      </c>
      <c r="I8" s="307" t="s">
        <v>746</v>
      </c>
      <c r="J8" s="13" t="str">
        <f t="shared" ref="J8:AD20" si="17">IF(AND(J$5&gt;=$C8,J$5&lt;=$E8),1,"")</f>
        <v/>
      </c>
      <c r="K8" s="14" t="str">
        <f t="shared" si="17"/>
        <v/>
      </c>
      <c r="L8" s="14" t="str">
        <f t="shared" si="17"/>
        <v/>
      </c>
      <c r="M8" s="14" t="str">
        <f t="shared" si="17"/>
        <v/>
      </c>
      <c r="N8" s="14" t="str">
        <f t="shared" si="17"/>
        <v/>
      </c>
      <c r="O8" s="15" t="str">
        <f t="shared" si="17"/>
        <v/>
      </c>
      <c r="P8" s="16">
        <f t="shared" si="17"/>
        <v>1</v>
      </c>
      <c r="Q8" s="13" t="str">
        <f t="shared" si="17"/>
        <v/>
      </c>
      <c r="R8" s="14" t="str">
        <f t="shared" si="17"/>
        <v/>
      </c>
      <c r="S8" s="14" t="str">
        <f t="shared" si="17"/>
        <v/>
      </c>
      <c r="T8" s="14" t="str">
        <f t="shared" si="17"/>
        <v/>
      </c>
      <c r="U8" s="14" t="str">
        <f t="shared" si="17"/>
        <v/>
      </c>
      <c r="V8" s="15" t="str">
        <f t="shared" si="17"/>
        <v/>
      </c>
      <c r="W8" s="16" t="str">
        <f t="shared" si="17"/>
        <v/>
      </c>
      <c r="X8" s="13" t="str">
        <f t="shared" si="17"/>
        <v/>
      </c>
      <c r="Y8" s="14" t="str">
        <f t="shared" si="17"/>
        <v/>
      </c>
      <c r="Z8" s="14" t="str">
        <f t="shared" si="17"/>
        <v/>
      </c>
      <c r="AA8" s="14" t="str">
        <f t="shared" si="17"/>
        <v/>
      </c>
      <c r="AB8" s="14" t="str">
        <f t="shared" si="17"/>
        <v/>
      </c>
      <c r="AC8" s="15" t="str">
        <f t="shared" si="17"/>
        <v/>
      </c>
      <c r="AD8" s="16" t="str">
        <f t="shared" si="17"/>
        <v/>
      </c>
      <c r="AE8" s="13" t="str">
        <f t="shared" ref="AE8:AT24" si="18">IF(AND(AE$5&gt;=$C8,AE$5&lt;=$E8),1,"")</f>
        <v/>
      </c>
      <c r="AF8" s="14" t="str">
        <f t="shared" si="18"/>
        <v/>
      </c>
      <c r="AG8" s="14" t="str">
        <f t="shared" si="18"/>
        <v/>
      </c>
      <c r="AH8" s="14" t="str">
        <f t="shared" si="18"/>
        <v/>
      </c>
      <c r="AI8" s="14" t="str">
        <f t="shared" si="18"/>
        <v/>
      </c>
      <c r="AJ8" s="15" t="str">
        <f t="shared" si="18"/>
        <v/>
      </c>
      <c r="AK8" s="16" t="str">
        <f t="shared" si="18"/>
        <v/>
      </c>
      <c r="AL8" s="13" t="str">
        <f t="shared" si="18"/>
        <v/>
      </c>
      <c r="AM8" s="14" t="str">
        <f t="shared" si="18"/>
        <v/>
      </c>
      <c r="AN8" s="14" t="str">
        <f t="shared" si="18"/>
        <v/>
      </c>
      <c r="AO8" s="14" t="str">
        <f t="shared" si="18"/>
        <v/>
      </c>
      <c r="AP8" s="14" t="str">
        <f t="shared" si="18"/>
        <v/>
      </c>
      <c r="AQ8" s="15" t="str">
        <f t="shared" si="18"/>
        <v/>
      </c>
      <c r="AR8" s="16" t="str">
        <f t="shared" si="18"/>
        <v/>
      </c>
      <c r="AS8" s="13" t="str">
        <f t="shared" si="18"/>
        <v/>
      </c>
      <c r="AT8" s="14" t="str">
        <f t="shared" si="18"/>
        <v/>
      </c>
      <c r="AU8" s="14" t="str">
        <f t="shared" ref="AU8:BJ24" si="19">IF(AND(AU$5&gt;=$C8,AU$5&lt;=$E8),1,"")</f>
        <v/>
      </c>
      <c r="AV8" s="14" t="str">
        <f t="shared" si="19"/>
        <v/>
      </c>
      <c r="AW8" s="14" t="str">
        <f t="shared" si="19"/>
        <v/>
      </c>
      <c r="AX8" s="15" t="str">
        <f t="shared" si="19"/>
        <v/>
      </c>
      <c r="AY8" s="16" t="str">
        <f t="shared" si="19"/>
        <v/>
      </c>
      <c r="AZ8" s="13" t="str">
        <f t="shared" si="19"/>
        <v/>
      </c>
      <c r="BA8" s="14" t="str">
        <f t="shared" si="19"/>
        <v/>
      </c>
      <c r="BB8" s="14" t="str">
        <f t="shared" si="19"/>
        <v/>
      </c>
      <c r="BC8" s="14" t="str">
        <f t="shared" si="19"/>
        <v/>
      </c>
      <c r="BD8" s="14" t="str">
        <f t="shared" si="19"/>
        <v/>
      </c>
      <c r="BE8" s="15" t="str">
        <f t="shared" si="19"/>
        <v/>
      </c>
      <c r="BF8" s="16" t="str">
        <f t="shared" si="19"/>
        <v/>
      </c>
      <c r="BG8" s="13" t="str">
        <f t="shared" si="19"/>
        <v/>
      </c>
      <c r="BH8" s="14" t="str">
        <f t="shared" si="19"/>
        <v/>
      </c>
      <c r="BI8" s="14" t="str">
        <f t="shared" si="19"/>
        <v/>
      </c>
      <c r="BJ8" s="14" t="str">
        <f t="shared" si="19"/>
        <v/>
      </c>
      <c r="BK8" s="14" t="str">
        <f t="shared" ref="BK8:BZ24" si="20">IF(AND(BK$5&gt;=$C8,BK$5&lt;=$E8),1,"")</f>
        <v/>
      </c>
      <c r="BL8" s="15" t="str">
        <f t="shared" si="20"/>
        <v/>
      </c>
      <c r="BM8" s="16" t="str">
        <f t="shared" si="20"/>
        <v/>
      </c>
      <c r="BN8" s="13" t="str">
        <f t="shared" si="20"/>
        <v/>
      </c>
      <c r="BO8" s="14" t="str">
        <f t="shared" si="20"/>
        <v/>
      </c>
      <c r="BP8" s="14" t="str">
        <f t="shared" si="20"/>
        <v/>
      </c>
      <c r="BQ8" s="14" t="str">
        <f t="shared" si="20"/>
        <v/>
      </c>
      <c r="BR8" s="14" t="str">
        <f t="shared" si="20"/>
        <v/>
      </c>
      <c r="BS8" s="15" t="str">
        <f t="shared" si="20"/>
        <v/>
      </c>
      <c r="BT8" s="16" t="str">
        <f t="shared" si="20"/>
        <v/>
      </c>
      <c r="BU8" s="13" t="str">
        <f t="shared" si="20"/>
        <v/>
      </c>
      <c r="BV8" s="14" t="str">
        <f t="shared" si="20"/>
        <v/>
      </c>
      <c r="BW8" s="14" t="str">
        <f t="shared" si="20"/>
        <v/>
      </c>
      <c r="BX8" s="14" t="str">
        <f t="shared" si="20"/>
        <v/>
      </c>
      <c r="BY8" s="14" t="str">
        <f t="shared" si="20"/>
        <v/>
      </c>
      <c r="BZ8" s="15" t="str">
        <f t="shared" si="20"/>
        <v/>
      </c>
      <c r="CA8" s="16" t="str">
        <f t="shared" ref="CA8:CP23" si="21">IF(AND(CA$5&gt;=$C8,CA$5&lt;=$E8),1,"")</f>
        <v/>
      </c>
      <c r="CB8" s="13" t="str">
        <f t="shared" si="21"/>
        <v/>
      </c>
      <c r="CC8" s="14" t="str">
        <f t="shared" si="21"/>
        <v/>
      </c>
      <c r="CD8" s="14" t="str">
        <f t="shared" si="21"/>
        <v/>
      </c>
      <c r="CE8" s="14" t="str">
        <f t="shared" si="21"/>
        <v/>
      </c>
      <c r="CF8" s="14" t="str">
        <f t="shared" si="21"/>
        <v/>
      </c>
      <c r="CG8" s="15" t="str">
        <f t="shared" si="21"/>
        <v/>
      </c>
      <c r="CH8" s="16" t="str">
        <f t="shared" si="21"/>
        <v/>
      </c>
      <c r="CI8" s="13" t="str">
        <f t="shared" si="21"/>
        <v/>
      </c>
      <c r="CJ8" s="14" t="str">
        <f t="shared" si="21"/>
        <v/>
      </c>
      <c r="CK8" s="14" t="str">
        <f t="shared" si="21"/>
        <v/>
      </c>
      <c r="CL8" s="14" t="str">
        <f t="shared" si="21"/>
        <v/>
      </c>
      <c r="CM8" s="14" t="str">
        <f t="shared" si="21"/>
        <v/>
      </c>
      <c r="CN8" s="15" t="str">
        <f t="shared" si="21"/>
        <v/>
      </c>
      <c r="CO8" s="16" t="str">
        <f t="shared" si="21"/>
        <v/>
      </c>
      <c r="CP8" s="13" t="str">
        <f t="shared" si="21"/>
        <v/>
      </c>
      <c r="CQ8" s="14" t="str">
        <f t="shared" ref="CQ8:DF23" si="22">IF(AND(CQ$5&gt;=$C8,CQ$5&lt;=$E8),1,"")</f>
        <v/>
      </c>
      <c r="CR8" s="14" t="str">
        <f t="shared" si="22"/>
        <v/>
      </c>
      <c r="CS8" s="14" t="str">
        <f t="shared" si="22"/>
        <v/>
      </c>
      <c r="CT8" s="14" t="str">
        <f t="shared" si="22"/>
        <v/>
      </c>
      <c r="CU8" s="15" t="str">
        <f t="shared" si="22"/>
        <v/>
      </c>
      <c r="CV8" s="16" t="str">
        <f t="shared" si="22"/>
        <v/>
      </c>
      <c r="CW8" s="13" t="str">
        <f t="shared" si="22"/>
        <v/>
      </c>
      <c r="CX8" s="14" t="str">
        <f t="shared" si="22"/>
        <v/>
      </c>
      <c r="CY8" s="14" t="str">
        <f t="shared" si="22"/>
        <v/>
      </c>
      <c r="CZ8" s="14" t="str">
        <f t="shared" si="22"/>
        <v/>
      </c>
      <c r="DA8" s="14" t="str">
        <f t="shared" si="22"/>
        <v/>
      </c>
      <c r="DB8" s="15" t="str">
        <f t="shared" si="22"/>
        <v/>
      </c>
      <c r="DC8" s="16" t="str">
        <f t="shared" si="22"/>
        <v/>
      </c>
      <c r="DD8" s="13" t="str">
        <f t="shared" si="22"/>
        <v/>
      </c>
      <c r="DE8" s="14" t="str">
        <f t="shared" si="22"/>
        <v/>
      </c>
      <c r="DF8" s="14" t="str">
        <f t="shared" si="22"/>
        <v/>
      </c>
      <c r="DG8" s="14" t="str">
        <f t="shared" ref="DG8:DX22" si="23">IF(AND(DG$5&gt;=$C8,DG$5&lt;=$E8),1,"")</f>
        <v/>
      </c>
      <c r="DH8" s="14" t="str">
        <f t="shared" si="23"/>
        <v/>
      </c>
      <c r="DI8" s="15" t="str">
        <f t="shared" si="23"/>
        <v/>
      </c>
      <c r="DJ8" s="16" t="str">
        <f t="shared" si="23"/>
        <v/>
      </c>
      <c r="DK8" s="13" t="str">
        <f t="shared" si="23"/>
        <v/>
      </c>
      <c r="DL8" s="14" t="str">
        <f t="shared" si="23"/>
        <v/>
      </c>
      <c r="DM8" s="14" t="str">
        <f t="shared" si="23"/>
        <v/>
      </c>
      <c r="DN8" s="14" t="str">
        <f t="shared" si="23"/>
        <v/>
      </c>
      <c r="DO8" s="14" t="str">
        <f t="shared" si="23"/>
        <v/>
      </c>
      <c r="DP8" s="15" t="str">
        <f t="shared" si="23"/>
        <v/>
      </c>
      <c r="DQ8" s="16" t="str">
        <f t="shared" si="23"/>
        <v/>
      </c>
      <c r="DR8" s="13" t="str">
        <f t="shared" si="23"/>
        <v/>
      </c>
      <c r="DS8" s="14" t="str">
        <f t="shared" si="23"/>
        <v/>
      </c>
      <c r="DT8" s="14" t="str">
        <f t="shared" si="23"/>
        <v/>
      </c>
      <c r="DU8" s="14" t="str">
        <f t="shared" si="23"/>
        <v/>
      </c>
      <c r="DV8" s="14" t="str">
        <f t="shared" si="23"/>
        <v/>
      </c>
      <c r="DW8" s="15" t="str">
        <f t="shared" si="23"/>
        <v/>
      </c>
      <c r="DX8" s="16" t="str">
        <f t="shared" si="23"/>
        <v/>
      </c>
    </row>
    <row r="9" spans="1:128" s="17" customFormat="1" ht="9.75" customHeight="1">
      <c r="A9" s="586"/>
      <c r="B9" s="18" t="str">
        <f>IF(B1="SFK Freight Forwarder","","Day ILN Order")</f>
        <v>Day ILN Order</v>
      </c>
      <c r="C9" s="19">
        <v>9</v>
      </c>
      <c r="D9" s="20">
        <v>0</v>
      </c>
      <c r="E9" s="19">
        <v>9</v>
      </c>
      <c r="F9" s="306" t="s">
        <v>747</v>
      </c>
      <c r="G9" s="46" t="s">
        <v>744</v>
      </c>
      <c r="H9" s="46" t="s">
        <v>745</v>
      </c>
      <c r="I9" s="673" t="s">
        <v>748</v>
      </c>
      <c r="J9" s="13" t="str">
        <f t="shared" si="17"/>
        <v/>
      </c>
      <c r="K9" s="14" t="str">
        <f t="shared" si="17"/>
        <v/>
      </c>
      <c r="L9" s="14" t="str">
        <f t="shared" si="17"/>
        <v/>
      </c>
      <c r="M9" s="14" t="str">
        <f t="shared" si="17"/>
        <v/>
      </c>
      <c r="N9" s="14" t="str">
        <f t="shared" si="17"/>
        <v/>
      </c>
      <c r="O9" s="15" t="str">
        <f t="shared" si="17"/>
        <v/>
      </c>
      <c r="P9" s="16" t="str">
        <f t="shared" si="17"/>
        <v/>
      </c>
      <c r="Q9" s="13" t="str">
        <f t="shared" si="17"/>
        <v/>
      </c>
      <c r="R9" s="14">
        <f t="shared" si="17"/>
        <v>1</v>
      </c>
      <c r="S9" s="14" t="str">
        <f t="shared" si="17"/>
        <v/>
      </c>
      <c r="T9" s="14" t="str">
        <f t="shared" si="17"/>
        <v/>
      </c>
      <c r="U9" s="14" t="str">
        <f t="shared" si="17"/>
        <v/>
      </c>
      <c r="V9" s="15" t="str">
        <f t="shared" si="17"/>
        <v/>
      </c>
      <c r="W9" s="16" t="str">
        <f t="shared" si="17"/>
        <v/>
      </c>
      <c r="X9" s="13" t="str">
        <f t="shared" si="17"/>
        <v/>
      </c>
      <c r="Y9" s="14" t="str">
        <f t="shared" si="17"/>
        <v/>
      </c>
      <c r="Z9" s="14" t="str">
        <f t="shared" si="17"/>
        <v/>
      </c>
      <c r="AA9" s="14" t="str">
        <f t="shared" si="17"/>
        <v/>
      </c>
      <c r="AB9" s="14" t="str">
        <f t="shared" si="17"/>
        <v/>
      </c>
      <c r="AC9" s="15" t="str">
        <f t="shared" si="17"/>
        <v/>
      </c>
      <c r="AD9" s="16" t="str">
        <f t="shared" si="17"/>
        <v/>
      </c>
      <c r="AE9" s="13" t="str">
        <f t="shared" si="18"/>
        <v/>
      </c>
      <c r="AF9" s="14" t="str">
        <f t="shared" si="18"/>
        <v/>
      </c>
      <c r="AG9" s="14" t="str">
        <f t="shared" si="18"/>
        <v/>
      </c>
      <c r="AH9" s="14" t="str">
        <f t="shared" si="18"/>
        <v/>
      </c>
      <c r="AI9" s="14" t="str">
        <f t="shared" si="18"/>
        <v/>
      </c>
      <c r="AJ9" s="15" t="str">
        <f t="shared" si="18"/>
        <v/>
      </c>
      <c r="AK9" s="16" t="str">
        <f t="shared" si="18"/>
        <v/>
      </c>
      <c r="AL9" s="13" t="str">
        <f t="shared" si="18"/>
        <v/>
      </c>
      <c r="AM9" s="14" t="str">
        <f t="shared" si="18"/>
        <v/>
      </c>
      <c r="AN9" s="14" t="str">
        <f t="shared" si="18"/>
        <v/>
      </c>
      <c r="AO9" s="14" t="str">
        <f t="shared" si="18"/>
        <v/>
      </c>
      <c r="AP9" s="14" t="str">
        <f t="shared" si="18"/>
        <v/>
      </c>
      <c r="AQ9" s="15" t="str">
        <f t="shared" si="18"/>
        <v/>
      </c>
      <c r="AR9" s="16" t="str">
        <f t="shared" si="18"/>
        <v/>
      </c>
      <c r="AS9" s="13" t="str">
        <f t="shared" si="18"/>
        <v/>
      </c>
      <c r="AT9" s="14" t="str">
        <f t="shared" si="18"/>
        <v/>
      </c>
      <c r="AU9" s="14" t="str">
        <f t="shared" si="19"/>
        <v/>
      </c>
      <c r="AV9" s="14" t="str">
        <f t="shared" si="19"/>
        <v/>
      </c>
      <c r="AW9" s="14" t="str">
        <f t="shared" si="19"/>
        <v/>
      </c>
      <c r="AX9" s="15" t="str">
        <f t="shared" si="19"/>
        <v/>
      </c>
      <c r="AY9" s="16" t="str">
        <f t="shared" si="19"/>
        <v/>
      </c>
      <c r="AZ9" s="13" t="str">
        <f t="shared" si="19"/>
        <v/>
      </c>
      <c r="BA9" s="14" t="str">
        <f t="shared" si="19"/>
        <v/>
      </c>
      <c r="BB9" s="14" t="str">
        <f t="shared" si="19"/>
        <v/>
      </c>
      <c r="BC9" s="14" t="str">
        <f t="shared" si="19"/>
        <v/>
      </c>
      <c r="BD9" s="14" t="str">
        <f t="shared" si="19"/>
        <v/>
      </c>
      <c r="BE9" s="15" t="str">
        <f t="shared" si="19"/>
        <v/>
      </c>
      <c r="BF9" s="16" t="str">
        <f t="shared" si="19"/>
        <v/>
      </c>
      <c r="BG9" s="13" t="str">
        <f t="shared" si="19"/>
        <v/>
      </c>
      <c r="BH9" s="14" t="str">
        <f t="shared" si="19"/>
        <v/>
      </c>
      <c r="BI9" s="14" t="str">
        <f t="shared" si="19"/>
        <v/>
      </c>
      <c r="BJ9" s="14" t="str">
        <f t="shared" si="19"/>
        <v/>
      </c>
      <c r="BK9" s="14" t="str">
        <f t="shared" si="20"/>
        <v/>
      </c>
      <c r="BL9" s="15" t="str">
        <f t="shared" si="20"/>
        <v/>
      </c>
      <c r="BM9" s="16" t="str">
        <f t="shared" si="20"/>
        <v/>
      </c>
      <c r="BN9" s="13" t="str">
        <f t="shared" si="20"/>
        <v/>
      </c>
      <c r="BO9" s="14" t="str">
        <f t="shared" si="20"/>
        <v/>
      </c>
      <c r="BP9" s="14" t="str">
        <f t="shared" si="20"/>
        <v/>
      </c>
      <c r="BQ9" s="14" t="str">
        <f t="shared" si="20"/>
        <v/>
      </c>
      <c r="BR9" s="14" t="str">
        <f t="shared" si="20"/>
        <v/>
      </c>
      <c r="BS9" s="15" t="str">
        <f t="shared" si="20"/>
        <v/>
      </c>
      <c r="BT9" s="16" t="str">
        <f t="shared" si="20"/>
        <v/>
      </c>
      <c r="BU9" s="13" t="str">
        <f t="shared" si="20"/>
        <v/>
      </c>
      <c r="BV9" s="14" t="str">
        <f t="shared" si="20"/>
        <v/>
      </c>
      <c r="BW9" s="14" t="str">
        <f t="shared" si="20"/>
        <v/>
      </c>
      <c r="BX9" s="14" t="str">
        <f t="shared" si="20"/>
        <v/>
      </c>
      <c r="BY9" s="14" t="str">
        <f t="shared" si="20"/>
        <v/>
      </c>
      <c r="BZ9" s="15" t="str">
        <f t="shared" si="20"/>
        <v/>
      </c>
      <c r="CA9" s="16" t="str">
        <f t="shared" si="21"/>
        <v/>
      </c>
      <c r="CB9" s="13" t="str">
        <f t="shared" si="21"/>
        <v/>
      </c>
      <c r="CC9" s="14" t="str">
        <f t="shared" si="21"/>
        <v/>
      </c>
      <c r="CD9" s="14" t="str">
        <f t="shared" si="21"/>
        <v/>
      </c>
      <c r="CE9" s="14" t="str">
        <f t="shared" si="21"/>
        <v/>
      </c>
      <c r="CF9" s="14" t="str">
        <f t="shared" si="21"/>
        <v/>
      </c>
      <c r="CG9" s="15" t="str">
        <f t="shared" si="21"/>
        <v/>
      </c>
      <c r="CH9" s="16" t="str">
        <f t="shared" si="21"/>
        <v/>
      </c>
      <c r="CI9" s="13" t="str">
        <f t="shared" si="21"/>
        <v/>
      </c>
      <c r="CJ9" s="14" t="str">
        <f t="shared" si="21"/>
        <v/>
      </c>
      <c r="CK9" s="14" t="str">
        <f t="shared" si="21"/>
        <v/>
      </c>
      <c r="CL9" s="14" t="str">
        <f t="shared" si="21"/>
        <v/>
      </c>
      <c r="CM9" s="14" t="str">
        <f t="shared" si="21"/>
        <v/>
      </c>
      <c r="CN9" s="15" t="str">
        <f t="shared" si="21"/>
        <v/>
      </c>
      <c r="CO9" s="16" t="str">
        <f t="shared" si="21"/>
        <v/>
      </c>
      <c r="CP9" s="13" t="str">
        <f t="shared" si="21"/>
        <v/>
      </c>
      <c r="CQ9" s="14" t="str">
        <f t="shared" si="22"/>
        <v/>
      </c>
      <c r="CR9" s="14" t="str">
        <f t="shared" si="22"/>
        <v/>
      </c>
      <c r="CS9" s="14" t="str">
        <f t="shared" si="22"/>
        <v/>
      </c>
      <c r="CT9" s="14" t="str">
        <f t="shared" si="22"/>
        <v/>
      </c>
      <c r="CU9" s="15" t="str">
        <f t="shared" si="22"/>
        <v/>
      </c>
      <c r="CV9" s="16" t="str">
        <f t="shared" si="22"/>
        <v/>
      </c>
      <c r="CW9" s="13" t="str">
        <f t="shared" si="22"/>
        <v/>
      </c>
      <c r="CX9" s="14" t="str">
        <f t="shared" si="22"/>
        <v/>
      </c>
      <c r="CY9" s="14" t="str">
        <f t="shared" si="22"/>
        <v/>
      </c>
      <c r="CZ9" s="14" t="str">
        <f t="shared" si="22"/>
        <v/>
      </c>
      <c r="DA9" s="14" t="str">
        <f t="shared" si="22"/>
        <v/>
      </c>
      <c r="DB9" s="15" t="str">
        <f t="shared" si="22"/>
        <v/>
      </c>
      <c r="DC9" s="16" t="str">
        <f t="shared" si="22"/>
        <v/>
      </c>
      <c r="DD9" s="13" t="str">
        <f t="shared" si="22"/>
        <v/>
      </c>
      <c r="DE9" s="14" t="str">
        <f t="shared" si="22"/>
        <v/>
      </c>
      <c r="DF9" s="14" t="str">
        <f t="shared" si="22"/>
        <v/>
      </c>
      <c r="DG9" s="14" t="str">
        <f t="shared" si="23"/>
        <v/>
      </c>
      <c r="DH9" s="14" t="str">
        <f t="shared" si="23"/>
        <v/>
      </c>
      <c r="DI9" s="15" t="str">
        <f t="shared" si="23"/>
        <v/>
      </c>
      <c r="DJ9" s="16" t="str">
        <f t="shared" si="23"/>
        <v/>
      </c>
      <c r="DK9" s="13" t="str">
        <f t="shared" si="23"/>
        <v/>
      </c>
      <c r="DL9" s="14" t="str">
        <f t="shared" si="23"/>
        <v/>
      </c>
      <c r="DM9" s="14" t="str">
        <f t="shared" si="23"/>
        <v/>
      </c>
      <c r="DN9" s="14" t="str">
        <f t="shared" si="23"/>
        <v/>
      </c>
      <c r="DO9" s="14" t="str">
        <f t="shared" si="23"/>
        <v/>
      </c>
      <c r="DP9" s="15" t="str">
        <f t="shared" si="23"/>
        <v/>
      </c>
      <c r="DQ9" s="16" t="str">
        <f t="shared" si="23"/>
        <v/>
      </c>
      <c r="DR9" s="13" t="str">
        <f t="shared" si="23"/>
        <v/>
      </c>
      <c r="DS9" s="14" t="str">
        <f t="shared" si="23"/>
        <v/>
      </c>
      <c r="DT9" s="14" t="str">
        <f t="shared" si="23"/>
        <v/>
      </c>
      <c r="DU9" s="14" t="str">
        <f t="shared" si="23"/>
        <v/>
      </c>
      <c r="DV9" s="14" t="str">
        <f t="shared" si="23"/>
        <v/>
      </c>
      <c r="DW9" s="15" t="str">
        <f t="shared" si="23"/>
        <v/>
      </c>
      <c r="DX9" s="16" t="str">
        <f t="shared" si="23"/>
        <v/>
      </c>
    </row>
    <row r="10" spans="1:128" s="17" customFormat="1" ht="9.75" customHeight="1">
      <c r="A10" s="586"/>
      <c r="B10" s="18" t="str">
        <f>IF(B1="SFK Freight Forwarder","","Time of recept in AILN")</f>
        <v>Time of recept in AILN</v>
      </c>
      <c r="C10" s="19">
        <v>15</v>
      </c>
      <c r="D10" s="19">
        <v>5</v>
      </c>
      <c r="E10" s="19">
        <v>19</v>
      </c>
      <c r="F10" s="306" t="s">
        <v>749</v>
      </c>
      <c r="G10" s="46" t="s">
        <v>750</v>
      </c>
      <c r="H10" s="46" t="s">
        <v>745</v>
      </c>
      <c r="I10" s="673"/>
      <c r="J10" s="13" t="str">
        <f t="shared" si="17"/>
        <v/>
      </c>
      <c r="K10" s="14" t="str">
        <f t="shared" si="17"/>
        <v/>
      </c>
      <c r="L10" s="14" t="str">
        <f t="shared" si="17"/>
        <v/>
      </c>
      <c r="M10" s="14" t="str">
        <f t="shared" si="17"/>
        <v/>
      </c>
      <c r="N10" s="14" t="str">
        <f t="shared" si="17"/>
        <v/>
      </c>
      <c r="O10" s="15" t="str">
        <f t="shared" si="17"/>
        <v/>
      </c>
      <c r="P10" s="16" t="str">
        <f t="shared" si="17"/>
        <v/>
      </c>
      <c r="Q10" s="13" t="str">
        <f t="shared" si="17"/>
        <v/>
      </c>
      <c r="R10" s="14" t="str">
        <f t="shared" si="17"/>
        <v/>
      </c>
      <c r="S10" s="14" t="str">
        <f t="shared" si="17"/>
        <v/>
      </c>
      <c r="T10" s="14" t="str">
        <f t="shared" si="17"/>
        <v/>
      </c>
      <c r="U10" s="14" t="str">
        <f t="shared" si="17"/>
        <v/>
      </c>
      <c r="V10" s="15" t="str">
        <f t="shared" si="17"/>
        <v/>
      </c>
      <c r="W10" s="16" t="str">
        <f t="shared" si="17"/>
        <v/>
      </c>
      <c r="X10" s="13">
        <f t="shared" si="17"/>
        <v>1</v>
      </c>
      <c r="Y10" s="14">
        <f t="shared" si="17"/>
        <v>1</v>
      </c>
      <c r="Z10" s="14">
        <f t="shared" si="17"/>
        <v>1</v>
      </c>
      <c r="AA10" s="14">
        <f t="shared" si="17"/>
        <v>1</v>
      </c>
      <c r="AB10" s="14">
        <f t="shared" si="17"/>
        <v>1</v>
      </c>
      <c r="AC10" s="15" t="str">
        <f t="shared" si="17"/>
        <v/>
      </c>
      <c r="AD10" s="16" t="str">
        <f t="shared" si="17"/>
        <v/>
      </c>
      <c r="AE10" s="13" t="str">
        <f t="shared" si="18"/>
        <v/>
      </c>
      <c r="AF10" s="14" t="str">
        <f t="shared" si="18"/>
        <v/>
      </c>
      <c r="AG10" s="14" t="str">
        <f t="shared" si="18"/>
        <v/>
      </c>
      <c r="AH10" s="14" t="str">
        <f t="shared" si="18"/>
        <v/>
      </c>
      <c r="AI10" s="14" t="str">
        <f t="shared" si="18"/>
        <v/>
      </c>
      <c r="AJ10" s="15" t="str">
        <f t="shared" si="18"/>
        <v/>
      </c>
      <c r="AK10" s="16" t="str">
        <f t="shared" si="18"/>
        <v/>
      </c>
      <c r="AL10" s="13" t="str">
        <f t="shared" si="18"/>
        <v/>
      </c>
      <c r="AM10" s="14" t="str">
        <f t="shared" si="18"/>
        <v/>
      </c>
      <c r="AN10" s="14" t="str">
        <f t="shared" si="18"/>
        <v/>
      </c>
      <c r="AO10" s="14" t="str">
        <f t="shared" si="18"/>
        <v/>
      </c>
      <c r="AP10" s="14" t="str">
        <f t="shared" si="18"/>
        <v/>
      </c>
      <c r="AQ10" s="15" t="str">
        <f t="shared" si="18"/>
        <v/>
      </c>
      <c r="AR10" s="16" t="str">
        <f t="shared" si="18"/>
        <v/>
      </c>
      <c r="AS10" s="13" t="str">
        <f t="shared" si="18"/>
        <v/>
      </c>
      <c r="AT10" s="14" t="str">
        <f t="shared" si="18"/>
        <v/>
      </c>
      <c r="AU10" s="14" t="str">
        <f t="shared" si="19"/>
        <v/>
      </c>
      <c r="AV10" s="14" t="str">
        <f t="shared" si="19"/>
        <v/>
      </c>
      <c r="AW10" s="14" t="str">
        <f t="shared" si="19"/>
        <v/>
      </c>
      <c r="AX10" s="15" t="str">
        <f t="shared" si="19"/>
        <v/>
      </c>
      <c r="AY10" s="16" t="str">
        <f t="shared" si="19"/>
        <v/>
      </c>
      <c r="AZ10" s="13" t="str">
        <f t="shared" si="19"/>
        <v/>
      </c>
      <c r="BA10" s="14" t="str">
        <f t="shared" si="19"/>
        <v/>
      </c>
      <c r="BB10" s="14" t="str">
        <f t="shared" si="19"/>
        <v/>
      </c>
      <c r="BC10" s="14" t="str">
        <f t="shared" si="19"/>
        <v/>
      </c>
      <c r="BD10" s="14" t="str">
        <f t="shared" si="19"/>
        <v/>
      </c>
      <c r="BE10" s="15" t="str">
        <f t="shared" si="19"/>
        <v/>
      </c>
      <c r="BF10" s="16" t="str">
        <f t="shared" si="19"/>
        <v/>
      </c>
      <c r="BG10" s="13" t="str">
        <f t="shared" si="19"/>
        <v/>
      </c>
      <c r="BH10" s="14" t="str">
        <f t="shared" si="19"/>
        <v/>
      </c>
      <c r="BI10" s="14" t="str">
        <f t="shared" si="19"/>
        <v/>
      </c>
      <c r="BJ10" s="14" t="str">
        <f t="shared" si="19"/>
        <v/>
      </c>
      <c r="BK10" s="14" t="str">
        <f t="shared" si="20"/>
        <v/>
      </c>
      <c r="BL10" s="15" t="str">
        <f t="shared" si="20"/>
        <v/>
      </c>
      <c r="BM10" s="16" t="str">
        <f t="shared" si="20"/>
        <v/>
      </c>
      <c r="BN10" s="13" t="str">
        <f t="shared" si="20"/>
        <v/>
      </c>
      <c r="BO10" s="14" t="str">
        <f t="shared" si="20"/>
        <v/>
      </c>
      <c r="BP10" s="14" t="str">
        <f t="shared" si="20"/>
        <v/>
      </c>
      <c r="BQ10" s="14" t="str">
        <f t="shared" si="20"/>
        <v/>
      </c>
      <c r="BR10" s="14" t="str">
        <f t="shared" si="20"/>
        <v/>
      </c>
      <c r="BS10" s="15" t="str">
        <f t="shared" si="20"/>
        <v/>
      </c>
      <c r="BT10" s="16" t="str">
        <f t="shared" si="20"/>
        <v/>
      </c>
      <c r="BU10" s="13" t="str">
        <f t="shared" si="20"/>
        <v/>
      </c>
      <c r="BV10" s="14" t="str">
        <f t="shared" si="20"/>
        <v/>
      </c>
      <c r="BW10" s="14" t="str">
        <f t="shared" si="20"/>
        <v/>
      </c>
      <c r="BX10" s="14" t="str">
        <f t="shared" si="20"/>
        <v/>
      </c>
      <c r="BY10" s="14" t="str">
        <f t="shared" si="20"/>
        <v/>
      </c>
      <c r="BZ10" s="15" t="str">
        <f t="shared" si="20"/>
        <v/>
      </c>
      <c r="CA10" s="16" t="str">
        <f t="shared" si="21"/>
        <v/>
      </c>
      <c r="CB10" s="13" t="str">
        <f t="shared" si="21"/>
        <v/>
      </c>
      <c r="CC10" s="14" t="str">
        <f t="shared" si="21"/>
        <v/>
      </c>
      <c r="CD10" s="14" t="str">
        <f t="shared" si="21"/>
        <v/>
      </c>
      <c r="CE10" s="14" t="str">
        <f t="shared" si="21"/>
        <v/>
      </c>
      <c r="CF10" s="14" t="str">
        <f t="shared" si="21"/>
        <v/>
      </c>
      <c r="CG10" s="15" t="str">
        <f t="shared" si="21"/>
        <v/>
      </c>
      <c r="CH10" s="16" t="str">
        <f t="shared" si="21"/>
        <v/>
      </c>
      <c r="CI10" s="13" t="str">
        <f t="shared" si="21"/>
        <v/>
      </c>
      <c r="CJ10" s="14" t="str">
        <f t="shared" si="21"/>
        <v/>
      </c>
      <c r="CK10" s="14" t="str">
        <f t="shared" si="21"/>
        <v/>
      </c>
      <c r="CL10" s="14" t="str">
        <f t="shared" si="21"/>
        <v/>
      </c>
      <c r="CM10" s="14" t="str">
        <f t="shared" si="21"/>
        <v/>
      </c>
      <c r="CN10" s="15" t="str">
        <f t="shared" si="21"/>
        <v/>
      </c>
      <c r="CO10" s="16" t="str">
        <f t="shared" si="21"/>
        <v/>
      </c>
      <c r="CP10" s="13" t="str">
        <f t="shared" si="21"/>
        <v/>
      </c>
      <c r="CQ10" s="14" t="str">
        <f t="shared" si="22"/>
        <v/>
      </c>
      <c r="CR10" s="14" t="str">
        <f t="shared" si="22"/>
        <v/>
      </c>
      <c r="CS10" s="14" t="str">
        <f t="shared" si="22"/>
        <v/>
      </c>
      <c r="CT10" s="14" t="str">
        <f t="shared" si="22"/>
        <v/>
      </c>
      <c r="CU10" s="15" t="str">
        <f t="shared" si="22"/>
        <v/>
      </c>
      <c r="CV10" s="16" t="str">
        <f t="shared" si="22"/>
        <v/>
      </c>
      <c r="CW10" s="13" t="str">
        <f t="shared" si="22"/>
        <v/>
      </c>
      <c r="CX10" s="14" t="str">
        <f t="shared" si="22"/>
        <v/>
      </c>
      <c r="CY10" s="14" t="str">
        <f t="shared" si="22"/>
        <v/>
      </c>
      <c r="CZ10" s="14" t="str">
        <f t="shared" si="22"/>
        <v/>
      </c>
      <c r="DA10" s="14" t="str">
        <f t="shared" si="22"/>
        <v/>
      </c>
      <c r="DB10" s="15" t="str">
        <f t="shared" si="22"/>
        <v/>
      </c>
      <c r="DC10" s="16" t="str">
        <f t="shared" si="22"/>
        <v/>
      </c>
      <c r="DD10" s="13" t="str">
        <f t="shared" si="22"/>
        <v/>
      </c>
      <c r="DE10" s="14" t="str">
        <f t="shared" si="22"/>
        <v/>
      </c>
      <c r="DF10" s="14" t="str">
        <f t="shared" si="22"/>
        <v/>
      </c>
      <c r="DG10" s="14" t="str">
        <f t="shared" si="23"/>
        <v/>
      </c>
      <c r="DH10" s="14" t="str">
        <f t="shared" si="23"/>
        <v/>
      </c>
      <c r="DI10" s="15" t="str">
        <f t="shared" si="23"/>
        <v/>
      </c>
      <c r="DJ10" s="16" t="str">
        <f t="shared" si="23"/>
        <v/>
      </c>
      <c r="DK10" s="13" t="str">
        <f t="shared" si="23"/>
        <v/>
      </c>
      <c r="DL10" s="14" t="str">
        <f t="shared" si="23"/>
        <v/>
      </c>
      <c r="DM10" s="14" t="str">
        <f t="shared" si="23"/>
        <v/>
      </c>
      <c r="DN10" s="14" t="str">
        <f t="shared" si="23"/>
        <v/>
      </c>
      <c r="DO10" s="14" t="str">
        <f t="shared" si="23"/>
        <v/>
      </c>
      <c r="DP10" s="15" t="str">
        <f t="shared" si="23"/>
        <v/>
      </c>
      <c r="DQ10" s="16" t="str">
        <f t="shared" si="23"/>
        <v/>
      </c>
      <c r="DR10" s="13" t="str">
        <f t="shared" si="23"/>
        <v/>
      </c>
      <c r="DS10" s="14" t="str">
        <f t="shared" si="23"/>
        <v/>
      </c>
      <c r="DT10" s="14" t="str">
        <f t="shared" si="23"/>
        <v/>
      </c>
      <c r="DU10" s="14" t="str">
        <f t="shared" si="23"/>
        <v/>
      </c>
      <c r="DV10" s="14" t="str">
        <f t="shared" si="23"/>
        <v/>
      </c>
      <c r="DW10" s="15" t="str">
        <f t="shared" si="23"/>
        <v/>
      </c>
      <c r="DX10" s="16" t="str">
        <f t="shared" si="23"/>
        <v/>
      </c>
    </row>
    <row r="11" spans="1:128" s="17" customFormat="1" ht="9.75" customHeight="1">
      <c r="A11" s="586"/>
      <c r="B11" s="18" t="s">
        <v>41</v>
      </c>
      <c r="C11" s="19">
        <v>16</v>
      </c>
      <c r="D11" s="19">
        <v>7</v>
      </c>
      <c r="E11" s="19">
        <v>22</v>
      </c>
      <c r="F11" s="308" t="s">
        <v>751</v>
      </c>
      <c r="G11" s="46" t="s">
        <v>750</v>
      </c>
      <c r="H11" s="46" t="s">
        <v>745</v>
      </c>
      <c r="I11" s="673"/>
      <c r="J11" s="13" t="str">
        <f t="shared" si="17"/>
        <v/>
      </c>
      <c r="K11" s="14" t="str">
        <f t="shared" si="17"/>
        <v/>
      </c>
      <c r="L11" s="14" t="str">
        <f t="shared" si="17"/>
        <v/>
      </c>
      <c r="M11" s="14" t="str">
        <f t="shared" si="17"/>
        <v/>
      </c>
      <c r="N11" s="14" t="str">
        <f t="shared" si="17"/>
        <v/>
      </c>
      <c r="O11" s="15" t="str">
        <f t="shared" si="17"/>
        <v/>
      </c>
      <c r="P11" s="16" t="str">
        <f t="shared" si="17"/>
        <v/>
      </c>
      <c r="Q11" s="13" t="str">
        <f t="shared" si="17"/>
        <v/>
      </c>
      <c r="R11" s="14" t="str">
        <f t="shared" si="17"/>
        <v/>
      </c>
      <c r="S11" s="14" t="str">
        <f t="shared" si="17"/>
        <v/>
      </c>
      <c r="T11" s="14" t="str">
        <f t="shared" si="17"/>
        <v/>
      </c>
      <c r="U11" s="14" t="str">
        <f t="shared" si="17"/>
        <v/>
      </c>
      <c r="V11" s="15" t="str">
        <f t="shared" si="17"/>
        <v/>
      </c>
      <c r="W11" s="16" t="str">
        <f t="shared" si="17"/>
        <v/>
      </c>
      <c r="X11" s="13" t="str">
        <f t="shared" si="17"/>
        <v/>
      </c>
      <c r="Y11" s="14">
        <f t="shared" si="17"/>
        <v>1</v>
      </c>
      <c r="Z11" s="14">
        <f t="shared" si="17"/>
        <v>1</v>
      </c>
      <c r="AA11" s="14">
        <f t="shared" si="17"/>
        <v>1</v>
      </c>
      <c r="AB11" s="14">
        <f t="shared" si="17"/>
        <v>1</v>
      </c>
      <c r="AC11" s="15">
        <f t="shared" si="17"/>
        <v>1</v>
      </c>
      <c r="AD11" s="16">
        <f t="shared" si="17"/>
        <v>1</v>
      </c>
      <c r="AE11" s="13">
        <f t="shared" si="18"/>
        <v>1</v>
      </c>
      <c r="AF11" s="14" t="str">
        <f t="shared" si="18"/>
        <v/>
      </c>
      <c r="AG11" s="14" t="str">
        <f t="shared" si="18"/>
        <v/>
      </c>
      <c r="AH11" s="14" t="str">
        <f t="shared" si="18"/>
        <v/>
      </c>
      <c r="AI11" s="14" t="str">
        <f t="shared" si="18"/>
        <v/>
      </c>
      <c r="AJ11" s="15" t="str">
        <f t="shared" si="18"/>
        <v/>
      </c>
      <c r="AK11" s="16" t="str">
        <f t="shared" si="18"/>
        <v/>
      </c>
      <c r="AL11" s="13" t="str">
        <f t="shared" si="18"/>
        <v/>
      </c>
      <c r="AM11" s="14" t="str">
        <f t="shared" si="18"/>
        <v/>
      </c>
      <c r="AN11" s="14" t="str">
        <f t="shared" si="18"/>
        <v/>
      </c>
      <c r="AO11" s="14" t="str">
        <f t="shared" si="18"/>
        <v/>
      </c>
      <c r="AP11" s="14" t="str">
        <f t="shared" si="18"/>
        <v/>
      </c>
      <c r="AQ11" s="15" t="str">
        <f t="shared" si="18"/>
        <v/>
      </c>
      <c r="AR11" s="16" t="str">
        <f t="shared" si="18"/>
        <v/>
      </c>
      <c r="AS11" s="13" t="str">
        <f t="shared" si="18"/>
        <v/>
      </c>
      <c r="AT11" s="14" t="str">
        <f t="shared" si="18"/>
        <v/>
      </c>
      <c r="AU11" s="14" t="str">
        <f t="shared" si="19"/>
        <v/>
      </c>
      <c r="AV11" s="14" t="str">
        <f t="shared" si="19"/>
        <v/>
      </c>
      <c r="AW11" s="14" t="str">
        <f t="shared" si="19"/>
        <v/>
      </c>
      <c r="AX11" s="15" t="str">
        <f t="shared" si="19"/>
        <v/>
      </c>
      <c r="AY11" s="16" t="str">
        <f t="shared" si="19"/>
        <v/>
      </c>
      <c r="AZ11" s="13" t="str">
        <f t="shared" si="19"/>
        <v/>
      </c>
      <c r="BA11" s="14" t="str">
        <f t="shared" si="19"/>
        <v/>
      </c>
      <c r="BB11" s="14" t="str">
        <f t="shared" si="19"/>
        <v/>
      </c>
      <c r="BC11" s="14" t="str">
        <f t="shared" si="19"/>
        <v/>
      </c>
      <c r="BD11" s="14" t="str">
        <f t="shared" si="19"/>
        <v/>
      </c>
      <c r="BE11" s="15" t="str">
        <f t="shared" si="19"/>
        <v/>
      </c>
      <c r="BF11" s="16" t="str">
        <f t="shared" si="19"/>
        <v/>
      </c>
      <c r="BG11" s="13" t="str">
        <f t="shared" si="19"/>
        <v/>
      </c>
      <c r="BH11" s="14" t="str">
        <f t="shared" si="19"/>
        <v/>
      </c>
      <c r="BI11" s="14" t="str">
        <f t="shared" si="19"/>
        <v/>
      </c>
      <c r="BJ11" s="14" t="str">
        <f t="shared" si="19"/>
        <v/>
      </c>
      <c r="BK11" s="14" t="str">
        <f t="shared" si="20"/>
        <v/>
      </c>
      <c r="BL11" s="15" t="str">
        <f t="shared" si="20"/>
        <v/>
      </c>
      <c r="BM11" s="16" t="str">
        <f t="shared" si="20"/>
        <v/>
      </c>
      <c r="BN11" s="13" t="str">
        <f t="shared" si="20"/>
        <v/>
      </c>
      <c r="BO11" s="14" t="str">
        <f t="shared" si="20"/>
        <v/>
      </c>
      <c r="BP11" s="14" t="str">
        <f t="shared" si="20"/>
        <v/>
      </c>
      <c r="BQ11" s="14" t="str">
        <f t="shared" si="20"/>
        <v/>
      </c>
      <c r="BR11" s="14" t="str">
        <f t="shared" si="20"/>
        <v/>
      </c>
      <c r="BS11" s="15" t="str">
        <f t="shared" si="20"/>
        <v/>
      </c>
      <c r="BT11" s="16" t="str">
        <f t="shared" si="20"/>
        <v/>
      </c>
      <c r="BU11" s="13" t="str">
        <f t="shared" si="20"/>
        <v/>
      </c>
      <c r="BV11" s="14" t="str">
        <f t="shared" si="20"/>
        <v/>
      </c>
      <c r="BW11" s="14" t="str">
        <f t="shared" si="20"/>
        <v/>
      </c>
      <c r="BX11" s="14" t="str">
        <f t="shared" si="20"/>
        <v/>
      </c>
      <c r="BY11" s="14" t="str">
        <f t="shared" si="20"/>
        <v/>
      </c>
      <c r="BZ11" s="15" t="str">
        <f t="shared" si="20"/>
        <v/>
      </c>
      <c r="CA11" s="16" t="str">
        <f t="shared" si="21"/>
        <v/>
      </c>
      <c r="CB11" s="13" t="str">
        <f t="shared" si="21"/>
        <v/>
      </c>
      <c r="CC11" s="14" t="str">
        <f t="shared" si="21"/>
        <v/>
      </c>
      <c r="CD11" s="14" t="str">
        <f t="shared" si="21"/>
        <v/>
      </c>
      <c r="CE11" s="14" t="str">
        <f t="shared" si="21"/>
        <v/>
      </c>
      <c r="CF11" s="14" t="str">
        <f t="shared" si="21"/>
        <v/>
      </c>
      <c r="CG11" s="15" t="str">
        <f t="shared" si="21"/>
        <v/>
      </c>
      <c r="CH11" s="16" t="str">
        <f t="shared" si="21"/>
        <v/>
      </c>
      <c r="CI11" s="13" t="str">
        <f t="shared" si="21"/>
        <v/>
      </c>
      <c r="CJ11" s="14" t="str">
        <f t="shared" si="21"/>
        <v/>
      </c>
      <c r="CK11" s="14" t="str">
        <f t="shared" si="21"/>
        <v/>
      </c>
      <c r="CL11" s="14" t="str">
        <f t="shared" si="21"/>
        <v/>
      </c>
      <c r="CM11" s="14" t="str">
        <f t="shared" si="21"/>
        <v/>
      </c>
      <c r="CN11" s="15" t="str">
        <f t="shared" si="21"/>
        <v/>
      </c>
      <c r="CO11" s="16" t="str">
        <f t="shared" si="21"/>
        <v/>
      </c>
      <c r="CP11" s="13" t="str">
        <f t="shared" si="21"/>
        <v/>
      </c>
      <c r="CQ11" s="14" t="str">
        <f t="shared" si="22"/>
        <v/>
      </c>
      <c r="CR11" s="14" t="str">
        <f t="shared" si="22"/>
        <v/>
      </c>
      <c r="CS11" s="14" t="str">
        <f t="shared" si="22"/>
        <v/>
      </c>
      <c r="CT11" s="14" t="str">
        <f t="shared" si="22"/>
        <v/>
      </c>
      <c r="CU11" s="15" t="str">
        <f t="shared" si="22"/>
        <v/>
      </c>
      <c r="CV11" s="16" t="str">
        <f t="shared" si="22"/>
        <v/>
      </c>
      <c r="CW11" s="13" t="str">
        <f t="shared" si="22"/>
        <v/>
      </c>
      <c r="CX11" s="14" t="str">
        <f t="shared" si="22"/>
        <v/>
      </c>
      <c r="CY11" s="14" t="str">
        <f t="shared" si="22"/>
        <v/>
      </c>
      <c r="CZ11" s="14" t="str">
        <f t="shared" si="22"/>
        <v/>
      </c>
      <c r="DA11" s="14" t="str">
        <f t="shared" si="22"/>
        <v/>
      </c>
      <c r="DB11" s="15" t="str">
        <f t="shared" si="22"/>
        <v/>
      </c>
      <c r="DC11" s="16" t="str">
        <f t="shared" si="22"/>
        <v/>
      </c>
      <c r="DD11" s="13" t="str">
        <f t="shared" si="22"/>
        <v/>
      </c>
      <c r="DE11" s="14" t="str">
        <f t="shared" si="22"/>
        <v/>
      </c>
      <c r="DF11" s="14" t="str">
        <f t="shared" si="22"/>
        <v/>
      </c>
      <c r="DG11" s="14" t="str">
        <f t="shared" si="23"/>
        <v/>
      </c>
      <c r="DH11" s="14" t="str">
        <f t="shared" si="23"/>
        <v/>
      </c>
      <c r="DI11" s="15" t="str">
        <f t="shared" si="23"/>
        <v/>
      </c>
      <c r="DJ11" s="16" t="str">
        <f t="shared" si="23"/>
        <v/>
      </c>
      <c r="DK11" s="13" t="str">
        <f t="shared" si="23"/>
        <v/>
      </c>
      <c r="DL11" s="14" t="str">
        <f t="shared" si="23"/>
        <v/>
      </c>
      <c r="DM11" s="14" t="str">
        <f t="shared" si="23"/>
        <v/>
      </c>
      <c r="DN11" s="14" t="str">
        <f t="shared" si="23"/>
        <v/>
      </c>
      <c r="DO11" s="14" t="str">
        <f t="shared" si="23"/>
        <v/>
      </c>
      <c r="DP11" s="15" t="str">
        <f t="shared" si="23"/>
        <v/>
      </c>
      <c r="DQ11" s="16" t="str">
        <f t="shared" si="23"/>
        <v/>
      </c>
      <c r="DR11" s="13" t="str">
        <f t="shared" si="23"/>
        <v/>
      </c>
      <c r="DS11" s="14" t="str">
        <f t="shared" si="23"/>
        <v/>
      </c>
      <c r="DT11" s="14" t="str">
        <f t="shared" si="23"/>
        <v/>
      </c>
      <c r="DU11" s="14" t="str">
        <f t="shared" si="23"/>
        <v/>
      </c>
      <c r="DV11" s="14" t="str">
        <f t="shared" si="23"/>
        <v/>
      </c>
      <c r="DW11" s="15" t="str">
        <f t="shared" si="23"/>
        <v/>
      </c>
      <c r="DX11" s="16" t="str">
        <f t="shared" si="23"/>
        <v/>
      </c>
    </row>
    <row r="12" spans="1:128" s="17" customFormat="1" ht="9.75" customHeight="1">
      <c r="A12" s="586"/>
      <c r="B12" s="18" t="s">
        <v>42</v>
      </c>
      <c r="C12" s="19">
        <v>23</v>
      </c>
      <c r="D12" s="19">
        <v>4</v>
      </c>
      <c r="E12" s="21">
        <v>26</v>
      </c>
      <c r="F12" s="309" t="s">
        <v>744</v>
      </c>
      <c r="G12" s="46" t="s">
        <v>750</v>
      </c>
      <c r="H12" s="46" t="s">
        <v>745</v>
      </c>
      <c r="I12" s="673"/>
      <c r="J12" s="13" t="str">
        <f t="shared" si="17"/>
        <v/>
      </c>
      <c r="K12" s="14" t="str">
        <f t="shared" si="17"/>
        <v/>
      </c>
      <c r="L12" s="14" t="str">
        <f t="shared" si="17"/>
        <v/>
      </c>
      <c r="M12" s="14" t="str">
        <f t="shared" si="17"/>
        <v/>
      </c>
      <c r="N12" s="14" t="str">
        <f t="shared" si="17"/>
        <v/>
      </c>
      <c r="O12" s="15" t="str">
        <f t="shared" si="17"/>
        <v/>
      </c>
      <c r="P12" s="16" t="str">
        <f t="shared" si="17"/>
        <v/>
      </c>
      <c r="Q12" s="13" t="str">
        <f t="shared" si="17"/>
        <v/>
      </c>
      <c r="R12" s="14" t="str">
        <f t="shared" si="17"/>
        <v/>
      </c>
      <c r="S12" s="14" t="str">
        <f t="shared" si="17"/>
        <v/>
      </c>
      <c r="T12" s="14" t="str">
        <f t="shared" si="17"/>
        <v/>
      </c>
      <c r="U12" s="14" t="str">
        <f t="shared" si="17"/>
        <v/>
      </c>
      <c r="V12" s="15" t="str">
        <f t="shared" si="17"/>
        <v/>
      </c>
      <c r="W12" s="16" t="str">
        <f t="shared" si="17"/>
        <v/>
      </c>
      <c r="X12" s="13" t="str">
        <f t="shared" si="17"/>
        <v/>
      </c>
      <c r="Y12" s="14" t="str">
        <f t="shared" si="17"/>
        <v/>
      </c>
      <c r="Z12" s="14" t="str">
        <f t="shared" si="17"/>
        <v/>
      </c>
      <c r="AA12" s="14" t="str">
        <f t="shared" si="17"/>
        <v/>
      </c>
      <c r="AB12" s="14" t="str">
        <f t="shared" si="17"/>
        <v/>
      </c>
      <c r="AC12" s="15" t="str">
        <f t="shared" si="17"/>
        <v/>
      </c>
      <c r="AD12" s="16" t="str">
        <f t="shared" si="17"/>
        <v/>
      </c>
      <c r="AE12" s="13" t="str">
        <f t="shared" si="18"/>
        <v/>
      </c>
      <c r="AF12" s="14">
        <f t="shared" si="18"/>
        <v>1</v>
      </c>
      <c r="AG12" s="14">
        <f t="shared" si="18"/>
        <v>1</v>
      </c>
      <c r="AH12" s="14">
        <f t="shared" si="18"/>
        <v>1</v>
      </c>
      <c r="AI12" s="14">
        <f t="shared" si="18"/>
        <v>1</v>
      </c>
      <c r="AJ12" s="15" t="str">
        <f t="shared" si="18"/>
        <v/>
      </c>
      <c r="AK12" s="16" t="str">
        <f t="shared" si="18"/>
        <v/>
      </c>
      <c r="AL12" s="13" t="str">
        <f t="shared" si="18"/>
        <v/>
      </c>
      <c r="AM12" s="14" t="str">
        <f t="shared" si="18"/>
        <v/>
      </c>
      <c r="AN12" s="14" t="str">
        <f t="shared" si="18"/>
        <v/>
      </c>
      <c r="AO12" s="14" t="str">
        <f t="shared" si="18"/>
        <v/>
      </c>
      <c r="AP12" s="14" t="str">
        <f t="shared" si="18"/>
        <v/>
      </c>
      <c r="AQ12" s="15" t="str">
        <f t="shared" si="18"/>
        <v/>
      </c>
      <c r="AR12" s="16" t="str">
        <f t="shared" si="18"/>
        <v/>
      </c>
      <c r="AS12" s="13" t="str">
        <f t="shared" si="18"/>
        <v/>
      </c>
      <c r="AT12" s="14" t="str">
        <f t="shared" si="18"/>
        <v/>
      </c>
      <c r="AU12" s="14" t="str">
        <f t="shared" si="19"/>
        <v/>
      </c>
      <c r="AV12" s="14" t="str">
        <f t="shared" si="19"/>
        <v/>
      </c>
      <c r="AW12" s="14" t="str">
        <f t="shared" si="19"/>
        <v/>
      </c>
      <c r="AX12" s="15" t="str">
        <f t="shared" si="19"/>
        <v/>
      </c>
      <c r="AY12" s="16" t="str">
        <f t="shared" si="19"/>
        <v/>
      </c>
      <c r="AZ12" s="13" t="str">
        <f t="shared" si="19"/>
        <v/>
      </c>
      <c r="BA12" s="14" t="str">
        <f t="shared" si="19"/>
        <v/>
      </c>
      <c r="BB12" s="14" t="str">
        <f t="shared" si="19"/>
        <v/>
      </c>
      <c r="BC12" s="14" t="str">
        <f t="shared" si="19"/>
        <v/>
      </c>
      <c r="BD12" s="14" t="str">
        <f t="shared" si="19"/>
        <v/>
      </c>
      <c r="BE12" s="15" t="str">
        <f t="shared" si="19"/>
        <v/>
      </c>
      <c r="BF12" s="16" t="str">
        <f t="shared" si="19"/>
        <v/>
      </c>
      <c r="BG12" s="13" t="str">
        <f t="shared" si="19"/>
        <v/>
      </c>
      <c r="BH12" s="14" t="str">
        <f t="shared" si="19"/>
        <v/>
      </c>
      <c r="BI12" s="14" t="str">
        <f t="shared" si="19"/>
        <v/>
      </c>
      <c r="BJ12" s="14" t="str">
        <f t="shared" si="19"/>
        <v/>
      </c>
      <c r="BK12" s="14" t="str">
        <f t="shared" si="20"/>
        <v/>
      </c>
      <c r="BL12" s="15" t="str">
        <f t="shared" si="20"/>
        <v/>
      </c>
      <c r="BM12" s="16" t="str">
        <f t="shared" si="20"/>
        <v/>
      </c>
      <c r="BN12" s="13" t="str">
        <f t="shared" si="20"/>
        <v/>
      </c>
      <c r="BO12" s="14" t="str">
        <f t="shared" si="20"/>
        <v/>
      </c>
      <c r="BP12" s="14" t="str">
        <f t="shared" si="20"/>
        <v/>
      </c>
      <c r="BQ12" s="14" t="str">
        <f t="shared" si="20"/>
        <v/>
      </c>
      <c r="BR12" s="14" t="str">
        <f t="shared" si="20"/>
        <v/>
      </c>
      <c r="BS12" s="15" t="str">
        <f t="shared" si="20"/>
        <v/>
      </c>
      <c r="BT12" s="16" t="str">
        <f t="shared" si="20"/>
        <v/>
      </c>
      <c r="BU12" s="13" t="str">
        <f t="shared" si="20"/>
        <v/>
      </c>
      <c r="BV12" s="14" t="str">
        <f t="shared" si="20"/>
        <v/>
      </c>
      <c r="BW12" s="14" t="str">
        <f t="shared" si="20"/>
        <v/>
      </c>
      <c r="BX12" s="14" t="str">
        <f t="shared" si="20"/>
        <v/>
      </c>
      <c r="BY12" s="14" t="str">
        <f t="shared" si="20"/>
        <v/>
      </c>
      <c r="BZ12" s="15" t="str">
        <f t="shared" si="20"/>
        <v/>
      </c>
      <c r="CA12" s="16" t="str">
        <f t="shared" si="21"/>
        <v/>
      </c>
      <c r="CB12" s="13" t="str">
        <f t="shared" si="21"/>
        <v/>
      </c>
      <c r="CC12" s="14" t="str">
        <f t="shared" si="21"/>
        <v/>
      </c>
      <c r="CD12" s="14" t="str">
        <f t="shared" si="21"/>
        <v/>
      </c>
      <c r="CE12" s="14" t="str">
        <f t="shared" si="21"/>
        <v/>
      </c>
      <c r="CF12" s="14" t="str">
        <f t="shared" si="21"/>
        <v/>
      </c>
      <c r="CG12" s="15" t="str">
        <f t="shared" si="21"/>
        <v/>
      </c>
      <c r="CH12" s="16" t="str">
        <f t="shared" si="21"/>
        <v/>
      </c>
      <c r="CI12" s="13" t="str">
        <f t="shared" si="21"/>
        <v/>
      </c>
      <c r="CJ12" s="14" t="str">
        <f t="shared" si="21"/>
        <v/>
      </c>
      <c r="CK12" s="14" t="str">
        <f t="shared" si="21"/>
        <v/>
      </c>
      <c r="CL12" s="14" t="str">
        <f t="shared" si="21"/>
        <v/>
      </c>
      <c r="CM12" s="14" t="str">
        <f t="shared" si="21"/>
        <v/>
      </c>
      <c r="CN12" s="15" t="str">
        <f t="shared" si="21"/>
        <v/>
      </c>
      <c r="CO12" s="16" t="str">
        <f t="shared" si="21"/>
        <v/>
      </c>
      <c r="CP12" s="13" t="str">
        <f t="shared" si="21"/>
        <v/>
      </c>
      <c r="CQ12" s="14" t="str">
        <f t="shared" si="22"/>
        <v/>
      </c>
      <c r="CR12" s="14" t="str">
        <f t="shared" si="22"/>
        <v/>
      </c>
      <c r="CS12" s="14" t="str">
        <f t="shared" si="22"/>
        <v/>
      </c>
      <c r="CT12" s="14" t="str">
        <f t="shared" si="22"/>
        <v/>
      </c>
      <c r="CU12" s="15" t="str">
        <f t="shared" si="22"/>
        <v/>
      </c>
      <c r="CV12" s="16" t="str">
        <f t="shared" si="22"/>
        <v/>
      </c>
      <c r="CW12" s="13" t="str">
        <f t="shared" si="22"/>
        <v/>
      </c>
      <c r="CX12" s="14" t="str">
        <f t="shared" si="22"/>
        <v/>
      </c>
      <c r="CY12" s="14" t="str">
        <f t="shared" si="22"/>
        <v/>
      </c>
      <c r="CZ12" s="14" t="str">
        <f t="shared" si="22"/>
        <v/>
      </c>
      <c r="DA12" s="14" t="str">
        <f t="shared" si="22"/>
        <v/>
      </c>
      <c r="DB12" s="15" t="str">
        <f t="shared" si="22"/>
        <v/>
      </c>
      <c r="DC12" s="16" t="str">
        <f t="shared" si="22"/>
        <v/>
      </c>
      <c r="DD12" s="13" t="str">
        <f t="shared" si="22"/>
        <v/>
      </c>
      <c r="DE12" s="14" t="str">
        <f t="shared" si="22"/>
        <v/>
      </c>
      <c r="DF12" s="14" t="str">
        <f t="shared" si="22"/>
        <v/>
      </c>
      <c r="DG12" s="14" t="str">
        <f t="shared" si="23"/>
        <v/>
      </c>
      <c r="DH12" s="14" t="str">
        <f t="shared" si="23"/>
        <v/>
      </c>
      <c r="DI12" s="15" t="str">
        <f t="shared" si="23"/>
        <v/>
      </c>
      <c r="DJ12" s="16" t="str">
        <f t="shared" si="23"/>
        <v/>
      </c>
      <c r="DK12" s="13" t="str">
        <f t="shared" si="23"/>
        <v/>
      </c>
      <c r="DL12" s="14" t="str">
        <f t="shared" si="23"/>
        <v/>
      </c>
      <c r="DM12" s="14" t="str">
        <f t="shared" si="23"/>
        <v/>
      </c>
      <c r="DN12" s="14" t="str">
        <f t="shared" si="23"/>
        <v/>
      </c>
      <c r="DO12" s="14" t="str">
        <f t="shared" si="23"/>
        <v/>
      </c>
      <c r="DP12" s="15" t="str">
        <f t="shared" si="23"/>
        <v/>
      </c>
      <c r="DQ12" s="16" t="str">
        <f t="shared" si="23"/>
        <v/>
      </c>
      <c r="DR12" s="13" t="str">
        <f t="shared" si="23"/>
        <v/>
      </c>
      <c r="DS12" s="14" t="str">
        <f t="shared" si="23"/>
        <v/>
      </c>
      <c r="DT12" s="14" t="str">
        <f t="shared" si="23"/>
        <v/>
      </c>
      <c r="DU12" s="14" t="str">
        <f t="shared" si="23"/>
        <v/>
      </c>
      <c r="DV12" s="14" t="str">
        <f t="shared" si="23"/>
        <v/>
      </c>
      <c r="DW12" s="15" t="str">
        <f t="shared" si="23"/>
        <v/>
      </c>
      <c r="DX12" s="16" t="str">
        <f t="shared" si="23"/>
        <v/>
      </c>
    </row>
    <row r="13" spans="1:128" s="17" customFormat="1" ht="9.75" customHeight="1">
      <c r="A13" s="586"/>
      <c r="B13" s="22" t="s">
        <v>43</v>
      </c>
      <c r="C13" s="19">
        <v>26</v>
      </c>
      <c r="D13" s="20">
        <v>0</v>
      </c>
      <c r="E13" s="19">
        <v>26</v>
      </c>
      <c r="F13" s="306" t="s">
        <v>749</v>
      </c>
      <c r="G13" s="46" t="s">
        <v>750</v>
      </c>
      <c r="H13" s="46" t="s">
        <v>745</v>
      </c>
      <c r="I13" s="673"/>
      <c r="J13" s="13" t="str">
        <f t="shared" si="17"/>
        <v/>
      </c>
      <c r="K13" s="14" t="str">
        <f t="shared" si="17"/>
        <v/>
      </c>
      <c r="L13" s="14" t="str">
        <f t="shared" si="17"/>
        <v/>
      </c>
      <c r="M13" s="14" t="str">
        <f t="shared" si="17"/>
        <v/>
      </c>
      <c r="N13" s="14" t="str">
        <f t="shared" si="17"/>
        <v/>
      </c>
      <c r="O13" s="15" t="str">
        <f t="shared" si="17"/>
        <v/>
      </c>
      <c r="P13" s="16" t="str">
        <f t="shared" si="17"/>
        <v/>
      </c>
      <c r="Q13" s="13" t="str">
        <f t="shared" si="17"/>
        <v/>
      </c>
      <c r="R13" s="14" t="str">
        <f t="shared" si="17"/>
        <v/>
      </c>
      <c r="S13" s="14" t="str">
        <f t="shared" si="17"/>
        <v/>
      </c>
      <c r="T13" s="14" t="str">
        <f t="shared" si="17"/>
        <v/>
      </c>
      <c r="U13" s="14" t="str">
        <f t="shared" si="17"/>
        <v/>
      </c>
      <c r="V13" s="15" t="str">
        <f t="shared" si="17"/>
        <v/>
      </c>
      <c r="W13" s="16" t="str">
        <f t="shared" si="17"/>
        <v/>
      </c>
      <c r="X13" s="13" t="str">
        <f t="shared" si="17"/>
        <v/>
      </c>
      <c r="Y13" s="14" t="str">
        <f t="shared" si="17"/>
        <v/>
      </c>
      <c r="Z13" s="14" t="str">
        <f t="shared" si="17"/>
        <v/>
      </c>
      <c r="AA13" s="14" t="str">
        <f t="shared" si="17"/>
        <v/>
      </c>
      <c r="AB13" s="14" t="str">
        <f t="shared" si="17"/>
        <v/>
      </c>
      <c r="AC13" s="15" t="str">
        <f t="shared" si="17"/>
        <v/>
      </c>
      <c r="AD13" s="16" t="str">
        <f t="shared" si="17"/>
        <v/>
      </c>
      <c r="AE13" s="13" t="str">
        <f t="shared" si="18"/>
        <v/>
      </c>
      <c r="AF13" s="14" t="str">
        <f t="shared" si="18"/>
        <v/>
      </c>
      <c r="AG13" s="14" t="str">
        <f t="shared" si="18"/>
        <v/>
      </c>
      <c r="AH13" s="14" t="str">
        <f t="shared" si="18"/>
        <v/>
      </c>
      <c r="AI13" s="14">
        <f t="shared" si="18"/>
        <v>1</v>
      </c>
      <c r="AJ13" s="15" t="str">
        <f t="shared" si="18"/>
        <v/>
      </c>
      <c r="AK13" s="16" t="str">
        <f t="shared" si="18"/>
        <v/>
      </c>
      <c r="AL13" s="13" t="str">
        <f t="shared" si="18"/>
        <v/>
      </c>
      <c r="AM13" s="14" t="str">
        <f t="shared" si="18"/>
        <v/>
      </c>
      <c r="AN13" s="14" t="str">
        <f t="shared" si="18"/>
        <v/>
      </c>
      <c r="AO13" s="14" t="str">
        <f t="shared" si="18"/>
        <v/>
      </c>
      <c r="AP13" s="14" t="str">
        <f t="shared" si="18"/>
        <v/>
      </c>
      <c r="AQ13" s="15" t="str">
        <f t="shared" si="18"/>
        <v/>
      </c>
      <c r="AR13" s="16" t="str">
        <f t="shared" si="18"/>
        <v/>
      </c>
      <c r="AS13" s="13" t="str">
        <f t="shared" si="18"/>
        <v/>
      </c>
      <c r="AT13" s="14" t="str">
        <f t="shared" si="18"/>
        <v/>
      </c>
      <c r="AU13" s="14" t="str">
        <f t="shared" si="19"/>
        <v/>
      </c>
      <c r="AV13" s="14" t="str">
        <f t="shared" si="19"/>
        <v/>
      </c>
      <c r="AW13" s="14" t="str">
        <f t="shared" si="19"/>
        <v/>
      </c>
      <c r="AX13" s="15" t="str">
        <f t="shared" si="19"/>
        <v/>
      </c>
      <c r="AY13" s="16" t="str">
        <f t="shared" si="19"/>
        <v/>
      </c>
      <c r="AZ13" s="13" t="str">
        <f t="shared" si="19"/>
        <v/>
      </c>
      <c r="BA13" s="14" t="str">
        <f t="shared" si="19"/>
        <v/>
      </c>
      <c r="BB13" s="14" t="str">
        <f t="shared" si="19"/>
        <v/>
      </c>
      <c r="BC13" s="14" t="str">
        <f t="shared" si="19"/>
        <v/>
      </c>
      <c r="BD13" s="14" t="str">
        <f t="shared" si="19"/>
        <v/>
      </c>
      <c r="BE13" s="15" t="str">
        <f t="shared" si="19"/>
        <v/>
      </c>
      <c r="BF13" s="16" t="str">
        <f t="shared" si="19"/>
        <v/>
      </c>
      <c r="BG13" s="13" t="str">
        <f t="shared" si="19"/>
        <v/>
      </c>
      <c r="BH13" s="14" t="str">
        <f t="shared" si="19"/>
        <v/>
      </c>
      <c r="BI13" s="14" t="str">
        <f t="shared" si="19"/>
        <v/>
      </c>
      <c r="BJ13" s="14" t="str">
        <f t="shared" si="19"/>
        <v/>
      </c>
      <c r="BK13" s="14" t="str">
        <f t="shared" si="20"/>
        <v/>
      </c>
      <c r="BL13" s="15" t="str">
        <f t="shared" si="20"/>
        <v/>
      </c>
      <c r="BM13" s="16" t="str">
        <f t="shared" si="20"/>
        <v/>
      </c>
      <c r="BN13" s="13" t="str">
        <f t="shared" si="20"/>
        <v/>
      </c>
      <c r="BO13" s="14" t="str">
        <f t="shared" si="20"/>
        <v/>
      </c>
      <c r="BP13" s="14" t="str">
        <f t="shared" si="20"/>
        <v/>
      </c>
      <c r="BQ13" s="14" t="str">
        <f t="shared" si="20"/>
        <v/>
      </c>
      <c r="BR13" s="14" t="str">
        <f t="shared" si="20"/>
        <v/>
      </c>
      <c r="BS13" s="15" t="str">
        <f t="shared" si="20"/>
        <v/>
      </c>
      <c r="BT13" s="16" t="str">
        <f t="shared" si="20"/>
        <v/>
      </c>
      <c r="BU13" s="13" t="str">
        <f t="shared" si="20"/>
        <v/>
      </c>
      <c r="BV13" s="14" t="str">
        <f t="shared" si="20"/>
        <v/>
      </c>
      <c r="BW13" s="14" t="str">
        <f t="shared" si="20"/>
        <v/>
      </c>
      <c r="BX13" s="14" t="str">
        <f t="shared" si="20"/>
        <v/>
      </c>
      <c r="BY13" s="14" t="str">
        <f t="shared" si="20"/>
        <v/>
      </c>
      <c r="BZ13" s="15" t="str">
        <f t="shared" si="20"/>
        <v/>
      </c>
      <c r="CA13" s="16" t="str">
        <f t="shared" si="21"/>
        <v/>
      </c>
      <c r="CB13" s="13" t="str">
        <f t="shared" si="21"/>
        <v/>
      </c>
      <c r="CC13" s="14" t="str">
        <f t="shared" si="21"/>
        <v/>
      </c>
      <c r="CD13" s="14" t="str">
        <f t="shared" si="21"/>
        <v/>
      </c>
      <c r="CE13" s="14" t="str">
        <f t="shared" si="21"/>
        <v/>
      </c>
      <c r="CF13" s="14" t="str">
        <f t="shared" si="21"/>
        <v/>
      </c>
      <c r="CG13" s="15" t="str">
        <f t="shared" si="21"/>
        <v/>
      </c>
      <c r="CH13" s="16" t="str">
        <f t="shared" si="21"/>
        <v/>
      </c>
      <c r="CI13" s="13" t="str">
        <f t="shared" si="21"/>
        <v/>
      </c>
      <c r="CJ13" s="14" t="str">
        <f t="shared" si="21"/>
        <v/>
      </c>
      <c r="CK13" s="14" t="str">
        <f t="shared" si="21"/>
        <v/>
      </c>
      <c r="CL13" s="14" t="str">
        <f t="shared" si="21"/>
        <v/>
      </c>
      <c r="CM13" s="14" t="str">
        <f t="shared" si="21"/>
        <v/>
      </c>
      <c r="CN13" s="15" t="str">
        <f t="shared" si="21"/>
        <v/>
      </c>
      <c r="CO13" s="16" t="str">
        <f t="shared" si="21"/>
        <v/>
      </c>
      <c r="CP13" s="13" t="str">
        <f t="shared" si="21"/>
        <v/>
      </c>
      <c r="CQ13" s="14" t="str">
        <f t="shared" si="22"/>
        <v/>
      </c>
      <c r="CR13" s="14" t="str">
        <f t="shared" si="22"/>
        <v/>
      </c>
      <c r="CS13" s="14" t="str">
        <f t="shared" si="22"/>
        <v/>
      </c>
      <c r="CT13" s="14" t="str">
        <f t="shared" si="22"/>
        <v/>
      </c>
      <c r="CU13" s="15" t="str">
        <f t="shared" si="22"/>
        <v/>
      </c>
      <c r="CV13" s="16" t="str">
        <f t="shared" si="22"/>
        <v/>
      </c>
      <c r="CW13" s="13" t="str">
        <f t="shared" si="22"/>
        <v/>
      </c>
      <c r="CX13" s="14" t="str">
        <f t="shared" si="22"/>
        <v/>
      </c>
      <c r="CY13" s="14" t="str">
        <f t="shared" si="22"/>
        <v/>
      </c>
      <c r="CZ13" s="14" t="str">
        <f t="shared" si="22"/>
        <v/>
      </c>
      <c r="DA13" s="14" t="str">
        <f t="shared" si="22"/>
        <v/>
      </c>
      <c r="DB13" s="15" t="str">
        <f t="shared" si="22"/>
        <v/>
      </c>
      <c r="DC13" s="16" t="str">
        <f t="shared" si="22"/>
        <v/>
      </c>
      <c r="DD13" s="13" t="str">
        <f t="shared" si="22"/>
        <v/>
      </c>
      <c r="DE13" s="14" t="str">
        <f t="shared" si="22"/>
        <v/>
      </c>
      <c r="DF13" s="14" t="str">
        <f t="shared" si="22"/>
        <v/>
      </c>
      <c r="DG13" s="14" t="str">
        <f t="shared" si="23"/>
        <v/>
      </c>
      <c r="DH13" s="14" t="str">
        <f t="shared" si="23"/>
        <v/>
      </c>
      <c r="DI13" s="15" t="str">
        <f t="shared" si="23"/>
        <v/>
      </c>
      <c r="DJ13" s="16" t="str">
        <f t="shared" si="23"/>
        <v/>
      </c>
      <c r="DK13" s="13" t="str">
        <f t="shared" si="23"/>
        <v/>
      </c>
      <c r="DL13" s="14" t="str">
        <f t="shared" si="23"/>
        <v/>
      </c>
      <c r="DM13" s="14" t="str">
        <f t="shared" si="23"/>
        <v/>
      </c>
      <c r="DN13" s="14" t="str">
        <f t="shared" si="23"/>
        <v/>
      </c>
      <c r="DO13" s="14" t="str">
        <f t="shared" si="23"/>
        <v/>
      </c>
      <c r="DP13" s="15" t="str">
        <f t="shared" si="23"/>
        <v/>
      </c>
      <c r="DQ13" s="16" t="str">
        <f t="shared" si="23"/>
        <v/>
      </c>
      <c r="DR13" s="13" t="str">
        <f t="shared" si="23"/>
        <v/>
      </c>
      <c r="DS13" s="14" t="str">
        <f t="shared" si="23"/>
        <v/>
      </c>
      <c r="DT13" s="14" t="str">
        <f t="shared" si="23"/>
        <v/>
      </c>
      <c r="DU13" s="14" t="str">
        <f t="shared" si="23"/>
        <v/>
      </c>
      <c r="DV13" s="14" t="str">
        <f t="shared" si="23"/>
        <v/>
      </c>
      <c r="DW13" s="15" t="str">
        <f t="shared" si="23"/>
        <v/>
      </c>
      <c r="DX13" s="16" t="str">
        <f t="shared" si="23"/>
        <v/>
      </c>
    </row>
    <row r="14" spans="1:128" s="17" customFormat="1" ht="9.75" customHeight="1">
      <c r="A14" s="586"/>
      <c r="B14" s="22" t="s">
        <v>44</v>
      </c>
      <c r="C14" s="19">
        <v>30</v>
      </c>
      <c r="D14" s="20">
        <v>0</v>
      </c>
      <c r="E14" s="19">
        <v>30</v>
      </c>
      <c r="F14" s="306" t="s">
        <v>752</v>
      </c>
      <c r="G14" s="46" t="s">
        <v>744</v>
      </c>
      <c r="H14" s="46" t="s">
        <v>745</v>
      </c>
      <c r="I14" s="674" t="s">
        <v>753</v>
      </c>
      <c r="J14" s="13" t="str">
        <f t="shared" si="17"/>
        <v/>
      </c>
      <c r="K14" s="14" t="str">
        <f t="shared" si="17"/>
        <v/>
      </c>
      <c r="L14" s="14" t="str">
        <f t="shared" si="17"/>
        <v/>
      </c>
      <c r="M14" s="14" t="str">
        <f t="shared" si="17"/>
        <v/>
      </c>
      <c r="N14" s="14" t="str">
        <f t="shared" si="17"/>
        <v/>
      </c>
      <c r="O14" s="15" t="str">
        <f t="shared" si="17"/>
        <v/>
      </c>
      <c r="P14" s="16" t="str">
        <f t="shared" si="17"/>
        <v/>
      </c>
      <c r="Q14" s="13" t="str">
        <f t="shared" si="17"/>
        <v/>
      </c>
      <c r="R14" s="14" t="str">
        <f t="shared" si="17"/>
        <v/>
      </c>
      <c r="S14" s="14" t="str">
        <f t="shared" si="17"/>
        <v/>
      </c>
      <c r="T14" s="14" t="str">
        <f t="shared" si="17"/>
        <v/>
      </c>
      <c r="U14" s="14" t="str">
        <f t="shared" si="17"/>
        <v/>
      </c>
      <c r="V14" s="15" t="str">
        <f t="shared" si="17"/>
        <v/>
      </c>
      <c r="W14" s="16" t="str">
        <f t="shared" si="17"/>
        <v/>
      </c>
      <c r="X14" s="13" t="str">
        <f t="shared" si="17"/>
        <v/>
      </c>
      <c r="Y14" s="14" t="str">
        <f t="shared" si="17"/>
        <v/>
      </c>
      <c r="Z14" s="14" t="str">
        <f t="shared" si="17"/>
        <v/>
      </c>
      <c r="AA14" s="14" t="str">
        <f t="shared" si="17"/>
        <v/>
      </c>
      <c r="AB14" s="14" t="str">
        <f t="shared" si="17"/>
        <v/>
      </c>
      <c r="AC14" s="15" t="str">
        <f t="shared" si="17"/>
        <v/>
      </c>
      <c r="AD14" s="16" t="str">
        <f t="shared" si="17"/>
        <v/>
      </c>
      <c r="AE14" s="13" t="str">
        <f t="shared" si="18"/>
        <v/>
      </c>
      <c r="AF14" s="14" t="str">
        <f t="shared" si="18"/>
        <v/>
      </c>
      <c r="AG14" s="14" t="str">
        <f t="shared" si="18"/>
        <v/>
      </c>
      <c r="AH14" s="14" t="str">
        <f t="shared" si="18"/>
        <v/>
      </c>
      <c r="AI14" s="14" t="str">
        <f t="shared" si="18"/>
        <v/>
      </c>
      <c r="AJ14" s="15" t="str">
        <f t="shared" si="18"/>
        <v/>
      </c>
      <c r="AK14" s="16" t="str">
        <f t="shared" si="18"/>
        <v/>
      </c>
      <c r="AL14" s="13" t="str">
        <f t="shared" si="18"/>
        <v/>
      </c>
      <c r="AM14" s="14">
        <f t="shared" si="18"/>
        <v>1</v>
      </c>
      <c r="AN14" s="14" t="str">
        <f t="shared" si="18"/>
        <v/>
      </c>
      <c r="AO14" s="14" t="str">
        <f t="shared" si="18"/>
        <v/>
      </c>
      <c r="AP14" s="14" t="str">
        <f t="shared" si="18"/>
        <v/>
      </c>
      <c r="AQ14" s="15" t="str">
        <f t="shared" si="18"/>
        <v/>
      </c>
      <c r="AR14" s="16" t="str">
        <f t="shared" si="18"/>
        <v/>
      </c>
      <c r="AS14" s="13" t="str">
        <f t="shared" si="18"/>
        <v/>
      </c>
      <c r="AT14" s="14" t="str">
        <f t="shared" si="18"/>
        <v/>
      </c>
      <c r="AU14" s="14" t="str">
        <f t="shared" si="19"/>
        <v/>
      </c>
      <c r="AV14" s="14" t="str">
        <f t="shared" si="19"/>
        <v/>
      </c>
      <c r="AW14" s="14" t="str">
        <f t="shared" si="19"/>
        <v/>
      </c>
      <c r="AX14" s="15" t="str">
        <f t="shared" si="19"/>
        <v/>
      </c>
      <c r="AY14" s="16" t="str">
        <f t="shared" si="19"/>
        <v/>
      </c>
      <c r="AZ14" s="13" t="str">
        <f t="shared" si="19"/>
        <v/>
      </c>
      <c r="BA14" s="14" t="str">
        <f t="shared" si="19"/>
        <v/>
      </c>
      <c r="BB14" s="14" t="str">
        <f t="shared" si="19"/>
        <v/>
      </c>
      <c r="BC14" s="14" t="str">
        <f t="shared" si="19"/>
        <v/>
      </c>
      <c r="BD14" s="14" t="str">
        <f t="shared" si="19"/>
        <v/>
      </c>
      <c r="BE14" s="15" t="str">
        <f t="shared" si="19"/>
        <v/>
      </c>
      <c r="BF14" s="16" t="str">
        <f t="shared" si="19"/>
        <v/>
      </c>
      <c r="BG14" s="13" t="str">
        <f t="shared" si="19"/>
        <v/>
      </c>
      <c r="BH14" s="14" t="str">
        <f t="shared" si="19"/>
        <v/>
      </c>
      <c r="BI14" s="14" t="str">
        <f t="shared" si="19"/>
        <v/>
      </c>
      <c r="BJ14" s="14" t="str">
        <f t="shared" si="19"/>
        <v/>
      </c>
      <c r="BK14" s="14" t="str">
        <f t="shared" si="20"/>
        <v/>
      </c>
      <c r="BL14" s="15" t="str">
        <f t="shared" si="20"/>
        <v/>
      </c>
      <c r="BM14" s="16" t="str">
        <f t="shared" si="20"/>
        <v/>
      </c>
      <c r="BN14" s="13" t="str">
        <f t="shared" si="20"/>
        <v/>
      </c>
      <c r="BO14" s="14" t="str">
        <f t="shared" si="20"/>
        <v/>
      </c>
      <c r="BP14" s="14" t="str">
        <f t="shared" si="20"/>
        <v/>
      </c>
      <c r="BQ14" s="14" t="str">
        <f t="shared" si="20"/>
        <v/>
      </c>
      <c r="BR14" s="14" t="str">
        <f t="shared" si="20"/>
        <v/>
      </c>
      <c r="BS14" s="15" t="str">
        <f t="shared" si="20"/>
        <v/>
      </c>
      <c r="BT14" s="16" t="str">
        <f t="shared" si="20"/>
        <v/>
      </c>
      <c r="BU14" s="13" t="str">
        <f t="shared" si="20"/>
        <v/>
      </c>
      <c r="BV14" s="14" t="str">
        <f t="shared" si="20"/>
        <v/>
      </c>
      <c r="BW14" s="14" t="str">
        <f t="shared" si="20"/>
        <v/>
      </c>
      <c r="BX14" s="14" t="str">
        <f t="shared" si="20"/>
        <v/>
      </c>
      <c r="BY14" s="14" t="str">
        <f t="shared" si="20"/>
        <v/>
      </c>
      <c r="BZ14" s="15" t="str">
        <f t="shared" si="20"/>
        <v/>
      </c>
      <c r="CA14" s="16" t="str">
        <f t="shared" si="21"/>
        <v/>
      </c>
      <c r="CB14" s="13" t="str">
        <f t="shared" si="21"/>
        <v/>
      </c>
      <c r="CC14" s="14" t="str">
        <f t="shared" si="21"/>
        <v/>
      </c>
      <c r="CD14" s="14" t="str">
        <f t="shared" si="21"/>
        <v/>
      </c>
      <c r="CE14" s="14" t="str">
        <f t="shared" si="21"/>
        <v/>
      </c>
      <c r="CF14" s="14" t="str">
        <f t="shared" si="21"/>
        <v/>
      </c>
      <c r="CG14" s="15" t="str">
        <f t="shared" si="21"/>
        <v/>
      </c>
      <c r="CH14" s="16" t="str">
        <f t="shared" si="21"/>
        <v/>
      </c>
      <c r="CI14" s="13" t="str">
        <f t="shared" si="21"/>
        <v/>
      </c>
      <c r="CJ14" s="14" t="str">
        <f t="shared" si="21"/>
        <v/>
      </c>
      <c r="CK14" s="14" t="str">
        <f t="shared" si="21"/>
        <v/>
      </c>
      <c r="CL14" s="14" t="str">
        <f t="shared" si="21"/>
        <v/>
      </c>
      <c r="CM14" s="14" t="str">
        <f t="shared" si="21"/>
        <v/>
      </c>
      <c r="CN14" s="15" t="str">
        <f t="shared" si="21"/>
        <v/>
      </c>
      <c r="CO14" s="16" t="str">
        <f t="shared" si="21"/>
        <v/>
      </c>
      <c r="CP14" s="13" t="str">
        <f t="shared" si="21"/>
        <v/>
      </c>
      <c r="CQ14" s="14" t="str">
        <f t="shared" si="22"/>
        <v/>
      </c>
      <c r="CR14" s="14" t="str">
        <f t="shared" si="22"/>
        <v/>
      </c>
      <c r="CS14" s="14" t="str">
        <f t="shared" si="22"/>
        <v/>
      </c>
      <c r="CT14" s="14" t="str">
        <f t="shared" si="22"/>
        <v/>
      </c>
      <c r="CU14" s="15" t="str">
        <f t="shared" si="22"/>
        <v/>
      </c>
      <c r="CV14" s="16" t="str">
        <f t="shared" si="22"/>
        <v/>
      </c>
      <c r="CW14" s="13" t="str">
        <f t="shared" si="22"/>
        <v/>
      </c>
      <c r="CX14" s="14" t="str">
        <f t="shared" si="22"/>
        <v/>
      </c>
      <c r="CY14" s="14" t="str">
        <f t="shared" si="22"/>
        <v/>
      </c>
      <c r="CZ14" s="14" t="str">
        <f t="shared" si="22"/>
        <v/>
      </c>
      <c r="DA14" s="14" t="str">
        <f t="shared" si="22"/>
        <v/>
      </c>
      <c r="DB14" s="15" t="str">
        <f t="shared" si="22"/>
        <v/>
      </c>
      <c r="DC14" s="16" t="str">
        <f t="shared" si="22"/>
        <v/>
      </c>
      <c r="DD14" s="13" t="str">
        <f t="shared" si="22"/>
        <v/>
      </c>
      <c r="DE14" s="14" t="str">
        <f t="shared" si="22"/>
        <v/>
      </c>
      <c r="DF14" s="14" t="str">
        <f t="shared" si="22"/>
        <v/>
      </c>
      <c r="DG14" s="14" t="str">
        <f t="shared" si="23"/>
        <v/>
      </c>
      <c r="DH14" s="14" t="str">
        <f t="shared" si="23"/>
        <v/>
      </c>
      <c r="DI14" s="15" t="str">
        <f t="shared" si="23"/>
        <v/>
      </c>
      <c r="DJ14" s="16" t="str">
        <f t="shared" si="23"/>
        <v/>
      </c>
      <c r="DK14" s="13" t="str">
        <f t="shared" si="23"/>
        <v/>
      </c>
      <c r="DL14" s="14" t="str">
        <f t="shared" si="23"/>
        <v/>
      </c>
      <c r="DM14" s="14" t="str">
        <f t="shared" si="23"/>
        <v/>
      </c>
      <c r="DN14" s="14" t="str">
        <f t="shared" si="23"/>
        <v/>
      </c>
      <c r="DO14" s="14" t="str">
        <f t="shared" si="23"/>
        <v/>
      </c>
      <c r="DP14" s="15" t="str">
        <f t="shared" si="23"/>
        <v/>
      </c>
      <c r="DQ14" s="16" t="str">
        <f t="shared" si="23"/>
        <v/>
      </c>
      <c r="DR14" s="13" t="str">
        <f t="shared" si="23"/>
        <v/>
      </c>
      <c r="DS14" s="14" t="str">
        <f t="shared" si="23"/>
        <v/>
      </c>
      <c r="DT14" s="14" t="str">
        <f t="shared" si="23"/>
        <v/>
      </c>
      <c r="DU14" s="14" t="str">
        <f t="shared" si="23"/>
        <v/>
      </c>
      <c r="DV14" s="14" t="str">
        <f t="shared" si="23"/>
        <v/>
      </c>
      <c r="DW14" s="15" t="str">
        <f t="shared" si="23"/>
        <v/>
      </c>
      <c r="DX14" s="16" t="str">
        <f t="shared" si="23"/>
        <v/>
      </c>
    </row>
    <row r="15" spans="1:128" s="17" customFormat="1" ht="9.75" customHeight="1">
      <c r="A15" s="586"/>
      <c r="B15" s="22" t="s">
        <v>45</v>
      </c>
      <c r="C15" s="19">
        <v>32</v>
      </c>
      <c r="D15" s="20">
        <v>0</v>
      </c>
      <c r="E15" s="19">
        <v>32</v>
      </c>
      <c r="F15" s="306" t="s">
        <v>752</v>
      </c>
      <c r="G15" s="46" t="s">
        <v>744</v>
      </c>
      <c r="H15" s="46" t="s">
        <v>745</v>
      </c>
      <c r="I15" s="674"/>
      <c r="J15" s="13" t="str">
        <f t="shared" si="17"/>
        <v/>
      </c>
      <c r="K15" s="14" t="str">
        <f t="shared" si="17"/>
        <v/>
      </c>
      <c r="L15" s="14" t="str">
        <f t="shared" si="17"/>
        <v/>
      </c>
      <c r="M15" s="14" t="str">
        <f t="shared" si="17"/>
        <v/>
      </c>
      <c r="N15" s="14" t="str">
        <f t="shared" si="17"/>
        <v/>
      </c>
      <c r="O15" s="15" t="str">
        <f t="shared" si="17"/>
        <v/>
      </c>
      <c r="P15" s="16" t="str">
        <f t="shared" si="17"/>
        <v/>
      </c>
      <c r="Q15" s="13" t="str">
        <f t="shared" si="17"/>
        <v/>
      </c>
      <c r="R15" s="14" t="str">
        <f t="shared" si="17"/>
        <v/>
      </c>
      <c r="S15" s="14" t="str">
        <f t="shared" si="17"/>
        <v/>
      </c>
      <c r="T15" s="14" t="str">
        <f t="shared" si="17"/>
        <v/>
      </c>
      <c r="U15" s="14" t="str">
        <f t="shared" si="17"/>
        <v/>
      </c>
      <c r="V15" s="15" t="str">
        <f t="shared" si="17"/>
        <v/>
      </c>
      <c r="W15" s="16" t="str">
        <f t="shared" si="17"/>
        <v/>
      </c>
      <c r="X15" s="13" t="str">
        <f t="shared" si="17"/>
        <v/>
      </c>
      <c r="Y15" s="14" t="str">
        <f t="shared" si="17"/>
        <v/>
      </c>
      <c r="Z15" s="14" t="str">
        <f t="shared" si="17"/>
        <v/>
      </c>
      <c r="AA15" s="14" t="str">
        <f t="shared" si="17"/>
        <v/>
      </c>
      <c r="AB15" s="14" t="str">
        <f t="shared" si="17"/>
        <v/>
      </c>
      <c r="AC15" s="15" t="str">
        <f t="shared" si="17"/>
        <v/>
      </c>
      <c r="AD15" s="16" t="str">
        <f t="shared" si="17"/>
        <v/>
      </c>
      <c r="AE15" s="13" t="str">
        <f t="shared" si="18"/>
        <v/>
      </c>
      <c r="AF15" s="14" t="str">
        <f t="shared" si="18"/>
        <v/>
      </c>
      <c r="AG15" s="14" t="str">
        <f t="shared" si="18"/>
        <v/>
      </c>
      <c r="AH15" s="14" t="str">
        <f t="shared" si="18"/>
        <v/>
      </c>
      <c r="AI15" s="14" t="str">
        <f t="shared" si="18"/>
        <v/>
      </c>
      <c r="AJ15" s="15" t="str">
        <f t="shared" si="18"/>
        <v/>
      </c>
      <c r="AK15" s="16" t="str">
        <f t="shared" si="18"/>
        <v/>
      </c>
      <c r="AL15" s="13" t="str">
        <f t="shared" si="18"/>
        <v/>
      </c>
      <c r="AM15" s="14" t="str">
        <f t="shared" si="18"/>
        <v/>
      </c>
      <c r="AN15" s="14" t="str">
        <f t="shared" si="18"/>
        <v/>
      </c>
      <c r="AO15" s="14">
        <f t="shared" si="18"/>
        <v>1</v>
      </c>
      <c r="AP15" s="14" t="str">
        <f t="shared" si="18"/>
        <v/>
      </c>
      <c r="AQ15" s="15" t="str">
        <f t="shared" si="18"/>
        <v/>
      </c>
      <c r="AR15" s="16" t="str">
        <f t="shared" si="18"/>
        <v/>
      </c>
      <c r="AS15" s="13" t="str">
        <f t="shared" si="18"/>
        <v/>
      </c>
      <c r="AT15" s="14" t="str">
        <f t="shared" si="18"/>
        <v/>
      </c>
      <c r="AU15" s="14" t="str">
        <f t="shared" si="19"/>
        <v/>
      </c>
      <c r="AV15" s="14" t="str">
        <f t="shared" si="19"/>
        <v/>
      </c>
      <c r="AW15" s="14" t="str">
        <f t="shared" si="19"/>
        <v/>
      </c>
      <c r="AX15" s="15" t="str">
        <f t="shared" si="19"/>
        <v/>
      </c>
      <c r="AY15" s="16" t="str">
        <f t="shared" si="19"/>
        <v/>
      </c>
      <c r="AZ15" s="13" t="str">
        <f t="shared" si="19"/>
        <v/>
      </c>
      <c r="BA15" s="14" t="str">
        <f t="shared" si="19"/>
        <v/>
      </c>
      <c r="BB15" s="14" t="str">
        <f t="shared" si="19"/>
        <v/>
      </c>
      <c r="BC15" s="14" t="str">
        <f t="shared" si="19"/>
        <v/>
      </c>
      <c r="BD15" s="14" t="str">
        <f t="shared" si="19"/>
        <v/>
      </c>
      <c r="BE15" s="15" t="str">
        <f t="shared" si="19"/>
        <v/>
      </c>
      <c r="BF15" s="16" t="str">
        <f t="shared" si="19"/>
        <v/>
      </c>
      <c r="BG15" s="13" t="str">
        <f t="shared" si="19"/>
        <v/>
      </c>
      <c r="BH15" s="14" t="str">
        <f t="shared" si="19"/>
        <v/>
      </c>
      <c r="BI15" s="14" t="str">
        <f t="shared" si="19"/>
        <v/>
      </c>
      <c r="BJ15" s="14" t="str">
        <f t="shared" si="19"/>
        <v/>
      </c>
      <c r="BK15" s="14" t="str">
        <f t="shared" si="20"/>
        <v/>
      </c>
      <c r="BL15" s="15" t="str">
        <f t="shared" si="20"/>
        <v/>
      </c>
      <c r="BM15" s="16" t="str">
        <f t="shared" si="20"/>
        <v/>
      </c>
      <c r="BN15" s="13" t="str">
        <f t="shared" si="20"/>
        <v/>
      </c>
      <c r="BO15" s="14" t="str">
        <f t="shared" si="20"/>
        <v/>
      </c>
      <c r="BP15" s="14" t="str">
        <f t="shared" si="20"/>
        <v/>
      </c>
      <c r="BQ15" s="14" t="str">
        <f t="shared" si="20"/>
        <v/>
      </c>
      <c r="BR15" s="14" t="str">
        <f t="shared" si="20"/>
        <v/>
      </c>
      <c r="BS15" s="15" t="str">
        <f t="shared" si="20"/>
        <v/>
      </c>
      <c r="BT15" s="16" t="str">
        <f t="shared" si="20"/>
        <v/>
      </c>
      <c r="BU15" s="13" t="str">
        <f t="shared" si="20"/>
        <v/>
      </c>
      <c r="BV15" s="14" t="str">
        <f t="shared" si="20"/>
        <v/>
      </c>
      <c r="BW15" s="14" t="str">
        <f t="shared" si="20"/>
        <v/>
      </c>
      <c r="BX15" s="14" t="str">
        <f t="shared" si="20"/>
        <v/>
      </c>
      <c r="BY15" s="14" t="str">
        <f t="shared" si="20"/>
        <v/>
      </c>
      <c r="BZ15" s="15" t="str">
        <f t="shared" si="20"/>
        <v/>
      </c>
      <c r="CA15" s="16" t="str">
        <f t="shared" si="21"/>
        <v/>
      </c>
      <c r="CB15" s="13" t="str">
        <f t="shared" si="21"/>
        <v/>
      </c>
      <c r="CC15" s="14" t="str">
        <f t="shared" si="21"/>
        <v/>
      </c>
      <c r="CD15" s="14" t="str">
        <f t="shared" si="21"/>
        <v/>
      </c>
      <c r="CE15" s="14" t="str">
        <f t="shared" si="21"/>
        <v/>
      </c>
      <c r="CF15" s="14" t="str">
        <f t="shared" si="21"/>
        <v/>
      </c>
      <c r="CG15" s="15" t="str">
        <f t="shared" si="21"/>
        <v/>
      </c>
      <c r="CH15" s="16" t="str">
        <f t="shared" si="21"/>
        <v/>
      </c>
      <c r="CI15" s="13" t="str">
        <f t="shared" si="21"/>
        <v/>
      </c>
      <c r="CJ15" s="14" t="str">
        <f t="shared" si="21"/>
        <v/>
      </c>
      <c r="CK15" s="14" t="str">
        <f t="shared" si="21"/>
        <v/>
      </c>
      <c r="CL15" s="14" t="str">
        <f t="shared" si="21"/>
        <v/>
      </c>
      <c r="CM15" s="14" t="str">
        <f t="shared" si="21"/>
        <v/>
      </c>
      <c r="CN15" s="15" t="str">
        <f t="shared" si="21"/>
        <v/>
      </c>
      <c r="CO15" s="16" t="str">
        <f t="shared" si="21"/>
        <v/>
      </c>
      <c r="CP15" s="13" t="str">
        <f t="shared" si="21"/>
        <v/>
      </c>
      <c r="CQ15" s="14" t="str">
        <f t="shared" si="22"/>
        <v/>
      </c>
      <c r="CR15" s="14" t="str">
        <f t="shared" si="22"/>
        <v/>
      </c>
      <c r="CS15" s="14" t="str">
        <f t="shared" si="22"/>
        <v/>
      </c>
      <c r="CT15" s="14" t="str">
        <f t="shared" si="22"/>
        <v/>
      </c>
      <c r="CU15" s="15" t="str">
        <f t="shared" si="22"/>
        <v/>
      </c>
      <c r="CV15" s="16" t="str">
        <f t="shared" si="22"/>
        <v/>
      </c>
      <c r="CW15" s="13" t="str">
        <f t="shared" si="22"/>
        <v/>
      </c>
      <c r="CX15" s="14" t="str">
        <f t="shared" si="22"/>
        <v/>
      </c>
      <c r="CY15" s="14" t="str">
        <f t="shared" si="22"/>
        <v/>
      </c>
      <c r="CZ15" s="14" t="str">
        <f t="shared" si="22"/>
        <v/>
      </c>
      <c r="DA15" s="14" t="str">
        <f t="shared" si="22"/>
        <v/>
      </c>
      <c r="DB15" s="15" t="str">
        <f t="shared" si="22"/>
        <v/>
      </c>
      <c r="DC15" s="16" t="str">
        <f t="shared" si="22"/>
        <v/>
      </c>
      <c r="DD15" s="13" t="str">
        <f t="shared" si="22"/>
        <v/>
      </c>
      <c r="DE15" s="14" t="str">
        <f t="shared" si="22"/>
        <v/>
      </c>
      <c r="DF15" s="14" t="str">
        <f t="shared" si="22"/>
        <v/>
      </c>
      <c r="DG15" s="14" t="str">
        <f t="shared" si="23"/>
        <v/>
      </c>
      <c r="DH15" s="14" t="str">
        <f t="shared" si="23"/>
        <v/>
      </c>
      <c r="DI15" s="15" t="str">
        <f t="shared" si="23"/>
        <v/>
      </c>
      <c r="DJ15" s="16" t="str">
        <f t="shared" si="23"/>
        <v/>
      </c>
      <c r="DK15" s="13" t="str">
        <f t="shared" si="23"/>
        <v/>
      </c>
      <c r="DL15" s="14" t="str">
        <f t="shared" si="23"/>
        <v/>
      </c>
      <c r="DM15" s="14" t="str">
        <f t="shared" si="23"/>
        <v/>
      </c>
      <c r="DN15" s="14" t="str">
        <f t="shared" si="23"/>
        <v/>
      </c>
      <c r="DO15" s="14" t="str">
        <f t="shared" si="23"/>
        <v/>
      </c>
      <c r="DP15" s="15" t="str">
        <f t="shared" si="23"/>
        <v/>
      </c>
      <c r="DQ15" s="16" t="str">
        <f t="shared" si="23"/>
        <v/>
      </c>
      <c r="DR15" s="13" t="str">
        <f t="shared" si="23"/>
        <v/>
      </c>
      <c r="DS15" s="14" t="str">
        <f t="shared" si="23"/>
        <v/>
      </c>
      <c r="DT15" s="14" t="str">
        <f t="shared" si="23"/>
        <v/>
      </c>
      <c r="DU15" s="14" t="str">
        <f t="shared" si="23"/>
        <v/>
      </c>
      <c r="DV15" s="14" t="str">
        <f t="shared" si="23"/>
        <v/>
      </c>
      <c r="DW15" s="15" t="str">
        <f t="shared" si="23"/>
        <v/>
      </c>
      <c r="DX15" s="16" t="str">
        <f t="shared" si="23"/>
        <v/>
      </c>
    </row>
    <row r="16" spans="1:128" s="17" customFormat="1" ht="9.75" customHeight="1">
      <c r="A16" s="586"/>
      <c r="B16" s="23" t="s">
        <v>46</v>
      </c>
      <c r="C16" s="19">
        <v>32</v>
      </c>
      <c r="D16" s="19">
        <v>37</v>
      </c>
      <c r="E16" s="19">
        <v>68</v>
      </c>
      <c r="F16" s="309" t="s">
        <v>744</v>
      </c>
      <c r="G16" s="310" t="s">
        <v>754</v>
      </c>
      <c r="H16" s="46" t="s">
        <v>745</v>
      </c>
      <c r="I16" s="674"/>
      <c r="J16" s="13" t="str">
        <f t="shared" si="17"/>
        <v/>
      </c>
      <c r="K16" s="14" t="str">
        <f t="shared" si="17"/>
        <v/>
      </c>
      <c r="L16" s="14" t="str">
        <f t="shared" si="17"/>
        <v/>
      </c>
      <c r="M16" s="14" t="str">
        <f t="shared" si="17"/>
        <v/>
      </c>
      <c r="N16" s="14" t="str">
        <f t="shared" si="17"/>
        <v/>
      </c>
      <c r="O16" s="15" t="str">
        <f t="shared" si="17"/>
        <v/>
      </c>
      <c r="P16" s="16" t="str">
        <f t="shared" si="17"/>
        <v/>
      </c>
      <c r="Q16" s="13" t="str">
        <f t="shared" si="17"/>
        <v/>
      </c>
      <c r="R16" s="14" t="str">
        <f t="shared" si="17"/>
        <v/>
      </c>
      <c r="S16" s="14" t="str">
        <f t="shared" si="17"/>
        <v/>
      </c>
      <c r="T16" s="14" t="str">
        <f t="shared" si="17"/>
        <v/>
      </c>
      <c r="U16" s="14" t="str">
        <f t="shared" si="17"/>
        <v/>
      </c>
      <c r="V16" s="15" t="str">
        <f t="shared" si="17"/>
        <v/>
      </c>
      <c r="W16" s="16" t="str">
        <f t="shared" si="17"/>
        <v/>
      </c>
      <c r="X16" s="13" t="str">
        <f t="shared" si="17"/>
        <v/>
      </c>
      <c r="Y16" s="14" t="str">
        <f t="shared" si="17"/>
        <v/>
      </c>
      <c r="Z16" s="14" t="str">
        <f t="shared" si="17"/>
        <v/>
      </c>
      <c r="AA16" s="14" t="str">
        <f t="shared" si="17"/>
        <v/>
      </c>
      <c r="AB16" s="14" t="str">
        <f t="shared" si="17"/>
        <v/>
      </c>
      <c r="AC16" s="15" t="str">
        <f t="shared" si="17"/>
        <v/>
      </c>
      <c r="AD16" s="16" t="str">
        <f t="shared" si="17"/>
        <v/>
      </c>
      <c r="AE16" s="13" t="str">
        <f t="shared" si="18"/>
        <v/>
      </c>
      <c r="AF16" s="14" t="str">
        <f t="shared" si="18"/>
        <v/>
      </c>
      <c r="AG16" s="14" t="str">
        <f t="shared" si="18"/>
        <v/>
      </c>
      <c r="AH16" s="14" t="str">
        <f t="shared" si="18"/>
        <v/>
      </c>
      <c r="AI16" s="14" t="str">
        <f t="shared" si="18"/>
        <v/>
      </c>
      <c r="AJ16" s="15" t="str">
        <f t="shared" si="18"/>
        <v/>
      </c>
      <c r="AK16" s="16" t="str">
        <f t="shared" si="18"/>
        <v/>
      </c>
      <c r="AL16" s="13" t="str">
        <f t="shared" si="18"/>
        <v/>
      </c>
      <c r="AM16" s="14" t="str">
        <f t="shared" si="18"/>
        <v/>
      </c>
      <c r="AN16" s="14" t="str">
        <f t="shared" si="18"/>
        <v/>
      </c>
      <c r="AO16" s="14">
        <f t="shared" si="18"/>
        <v>1</v>
      </c>
      <c r="AP16" s="14">
        <f t="shared" si="18"/>
        <v>1</v>
      </c>
      <c r="AQ16" s="15">
        <f t="shared" si="18"/>
        <v>1</v>
      </c>
      <c r="AR16" s="16">
        <f t="shared" si="18"/>
        <v>1</v>
      </c>
      <c r="AS16" s="13">
        <f t="shared" si="18"/>
        <v>1</v>
      </c>
      <c r="AT16" s="14">
        <f t="shared" si="18"/>
        <v>1</v>
      </c>
      <c r="AU16" s="14">
        <f t="shared" si="19"/>
        <v>1</v>
      </c>
      <c r="AV16" s="14">
        <f t="shared" si="19"/>
        <v>1</v>
      </c>
      <c r="AW16" s="14">
        <f t="shared" si="19"/>
        <v>1</v>
      </c>
      <c r="AX16" s="15">
        <f t="shared" si="19"/>
        <v>1</v>
      </c>
      <c r="AY16" s="16">
        <f t="shared" si="19"/>
        <v>1</v>
      </c>
      <c r="AZ16" s="13">
        <f t="shared" si="19"/>
        <v>1</v>
      </c>
      <c r="BA16" s="14">
        <f t="shared" si="19"/>
        <v>1</v>
      </c>
      <c r="BB16" s="14">
        <f t="shared" si="19"/>
        <v>1</v>
      </c>
      <c r="BC16" s="14">
        <f t="shared" si="19"/>
        <v>1</v>
      </c>
      <c r="BD16" s="14">
        <f t="shared" si="19"/>
        <v>1</v>
      </c>
      <c r="BE16" s="15">
        <f t="shared" si="19"/>
        <v>1</v>
      </c>
      <c r="BF16" s="16">
        <f t="shared" si="19"/>
        <v>1</v>
      </c>
      <c r="BG16" s="13">
        <f t="shared" si="19"/>
        <v>1</v>
      </c>
      <c r="BH16" s="14">
        <f t="shared" si="19"/>
        <v>1</v>
      </c>
      <c r="BI16" s="14">
        <f t="shared" si="19"/>
        <v>1</v>
      </c>
      <c r="BJ16" s="14">
        <f t="shared" si="19"/>
        <v>1</v>
      </c>
      <c r="BK16" s="14">
        <f t="shared" si="20"/>
        <v>1</v>
      </c>
      <c r="BL16" s="15">
        <f t="shared" si="20"/>
        <v>1</v>
      </c>
      <c r="BM16" s="16">
        <f t="shared" si="20"/>
        <v>1</v>
      </c>
      <c r="BN16" s="13">
        <f t="shared" si="20"/>
        <v>1</v>
      </c>
      <c r="BO16" s="14">
        <f t="shared" si="20"/>
        <v>1</v>
      </c>
      <c r="BP16" s="14">
        <f t="shared" si="20"/>
        <v>1</v>
      </c>
      <c r="BQ16" s="14">
        <f t="shared" si="20"/>
        <v>1</v>
      </c>
      <c r="BR16" s="14">
        <f t="shared" si="20"/>
        <v>1</v>
      </c>
      <c r="BS16" s="15">
        <f t="shared" si="20"/>
        <v>1</v>
      </c>
      <c r="BT16" s="16">
        <f t="shared" si="20"/>
        <v>1</v>
      </c>
      <c r="BU16" s="13">
        <f t="shared" si="20"/>
        <v>1</v>
      </c>
      <c r="BV16" s="14">
        <f t="shared" si="20"/>
        <v>1</v>
      </c>
      <c r="BW16" s="14">
        <f t="shared" si="20"/>
        <v>1</v>
      </c>
      <c r="BX16" s="14">
        <f t="shared" si="20"/>
        <v>1</v>
      </c>
      <c r="BY16" s="14">
        <f t="shared" si="20"/>
        <v>1</v>
      </c>
      <c r="BZ16" s="15" t="str">
        <f t="shared" si="20"/>
        <v/>
      </c>
      <c r="CA16" s="16" t="str">
        <f t="shared" si="21"/>
        <v/>
      </c>
      <c r="CB16" s="13" t="str">
        <f t="shared" si="21"/>
        <v/>
      </c>
      <c r="CC16" s="14" t="str">
        <f t="shared" si="21"/>
        <v/>
      </c>
      <c r="CD16" s="14" t="str">
        <f t="shared" si="21"/>
        <v/>
      </c>
      <c r="CE16" s="14" t="str">
        <f t="shared" si="21"/>
        <v/>
      </c>
      <c r="CF16" s="14" t="str">
        <f t="shared" si="21"/>
        <v/>
      </c>
      <c r="CG16" s="15" t="str">
        <f t="shared" si="21"/>
        <v/>
      </c>
      <c r="CH16" s="16" t="str">
        <f t="shared" si="21"/>
        <v/>
      </c>
      <c r="CI16" s="13" t="str">
        <f t="shared" si="21"/>
        <v/>
      </c>
      <c r="CJ16" s="14" t="str">
        <f t="shared" si="21"/>
        <v/>
      </c>
      <c r="CK16" s="14" t="str">
        <f t="shared" si="21"/>
        <v/>
      </c>
      <c r="CL16" s="14" t="str">
        <f t="shared" si="21"/>
        <v/>
      </c>
      <c r="CM16" s="14" t="str">
        <f t="shared" si="21"/>
        <v/>
      </c>
      <c r="CN16" s="15" t="str">
        <f t="shared" si="21"/>
        <v/>
      </c>
      <c r="CO16" s="16" t="str">
        <f t="shared" si="21"/>
        <v/>
      </c>
      <c r="CP16" s="13" t="str">
        <f t="shared" si="21"/>
        <v/>
      </c>
      <c r="CQ16" s="14" t="str">
        <f t="shared" si="22"/>
        <v/>
      </c>
      <c r="CR16" s="14" t="str">
        <f t="shared" si="22"/>
        <v/>
      </c>
      <c r="CS16" s="14" t="str">
        <f t="shared" si="22"/>
        <v/>
      </c>
      <c r="CT16" s="14" t="str">
        <f t="shared" si="22"/>
        <v/>
      </c>
      <c r="CU16" s="15" t="str">
        <f t="shared" si="22"/>
        <v/>
      </c>
      <c r="CV16" s="16" t="str">
        <f t="shared" si="22"/>
        <v/>
      </c>
      <c r="CW16" s="13" t="str">
        <f t="shared" si="22"/>
        <v/>
      </c>
      <c r="CX16" s="14" t="str">
        <f t="shared" si="22"/>
        <v/>
      </c>
      <c r="CY16" s="14" t="str">
        <f t="shared" si="22"/>
        <v/>
      </c>
      <c r="CZ16" s="14" t="str">
        <f t="shared" si="22"/>
        <v/>
      </c>
      <c r="DA16" s="14" t="str">
        <f t="shared" si="22"/>
        <v/>
      </c>
      <c r="DB16" s="15" t="str">
        <f t="shared" si="22"/>
        <v/>
      </c>
      <c r="DC16" s="16" t="str">
        <f t="shared" si="22"/>
        <v/>
      </c>
      <c r="DD16" s="13" t="str">
        <f t="shared" si="22"/>
        <v/>
      </c>
      <c r="DE16" s="14" t="str">
        <f t="shared" si="22"/>
        <v/>
      </c>
      <c r="DF16" s="14" t="str">
        <f t="shared" si="22"/>
        <v/>
      </c>
      <c r="DG16" s="14" t="str">
        <f t="shared" si="23"/>
        <v/>
      </c>
      <c r="DH16" s="14" t="str">
        <f t="shared" si="23"/>
        <v/>
      </c>
      <c r="DI16" s="15" t="str">
        <f t="shared" si="23"/>
        <v/>
      </c>
      <c r="DJ16" s="16" t="str">
        <f t="shared" si="23"/>
        <v/>
      </c>
      <c r="DK16" s="13" t="str">
        <f t="shared" si="23"/>
        <v/>
      </c>
      <c r="DL16" s="14" t="str">
        <f t="shared" si="23"/>
        <v/>
      </c>
      <c r="DM16" s="14" t="str">
        <f t="shared" si="23"/>
        <v/>
      </c>
      <c r="DN16" s="14" t="str">
        <f t="shared" si="23"/>
        <v/>
      </c>
      <c r="DO16" s="14" t="str">
        <f t="shared" si="23"/>
        <v/>
      </c>
      <c r="DP16" s="15" t="str">
        <f t="shared" si="23"/>
        <v/>
      </c>
      <c r="DQ16" s="16" t="str">
        <f t="shared" si="23"/>
        <v/>
      </c>
      <c r="DR16" s="13" t="str">
        <f t="shared" si="23"/>
        <v/>
      </c>
      <c r="DS16" s="14" t="str">
        <f t="shared" si="23"/>
        <v/>
      </c>
      <c r="DT16" s="14" t="str">
        <f t="shared" si="23"/>
        <v/>
      </c>
      <c r="DU16" s="14" t="str">
        <f t="shared" si="23"/>
        <v/>
      </c>
      <c r="DV16" s="14" t="str">
        <f t="shared" si="23"/>
        <v/>
      </c>
      <c r="DW16" s="15" t="str">
        <f t="shared" si="23"/>
        <v/>
      </c>
      <c r="DX16" s="16" t="str">
        <f t="shared" si="23"/>
        <v/>
      </c>
    </row>
    <row r="17" spans="1:128" s="17" customFormat="1" ht="9.75" customHeight="1">
      <c r="A17" s="586"/>
      <c r="B17" s="23" t="s">
        <v>47</v>
      </c>
      <c r="C17" s="19">
        <v>69</v>
      </c>
      <c r="D17" s="19">
        <v>3</v>
      </c>
      <c r="E17" s="19">
        <v>71</v>
      </c>
      <c r="F17" s="306" t="s">
        <v>752</v>
      </c>
      <c r="G17" s="310" t="s">
        <v>754</v>
      </c>
      <c r="H17" s="46" t="s">
        <v>745</v>
      </c>
      <c r="I17" s="674"/>
      <c r="J17" s="13" t="str">
        <f t="shared" si="17"/>
        <v/>
      </c>
      <c r="K17" s="14" t="str">
        <f t="shared" si="17"/>
        <v/>
      </c>
      <c r="L17" s="14" t="str">
        <f t="shared" si="17"/>
        <v/>
      </c>
      <c r="M17" s="14" t="str">
        <f t="shared" si="17"/>
        <v/>
      </c>
      <c r="N17" s="14" t="str">
        <f t="shared" si="17"/>
        <v/>
      </c>
      <c r="O17" s="15" t="str">
        <f t="shared" si="17"/>
        <v/>
      </c>
      <c r="P17" s="16" t="str">
        <f t="shared" si="17"/>
        <v/>
      </c>
      <c r="Q17" s="13" t="str">
        <f t="shared" si="17"/>
        <v/>
      </c>
      <c r="R17" s="14" t="str">
        <f t="shared" si="17"/>
        <v/>
      </c>
      <c r="S17" s="14" t="str">
        <f t="shared" si="17"/>
        <v/>
      </c>
      <c r="T17" s="14" t="str">
        <f t="shared" si="17"/>
        <v/>
      </c>
      <c r="U17" s="14" t="str">
        <f t="shared" si="17"/>
        <v/>
      </c>
      <c r="V17" s="15" t="str">
        <f t="shared" si="17"/>
        <v/>
      </c>
      <c r="W17" s="16" t="str">
        <f t="shared" si="17"/>
        <v/>
      </c>
      <c r="X17" s="13" t="str">
        <f t="shared" si="17"/>
        <v/>
      </c>
      <c r="Y17" s="14" t="str">
        <f t="shared" si="17"/>
        <v/>
      </c>
      <c r="Z17" s="14" t="str">
        <f t="shared" si="17"/>
        <v/>
      </c>
      <c r="AA17" s="14" t="str">
        <f t="shared" si="17"/>
        <v/>
      </c>
      <c r="AB17" s="14" t="str">
        <f t="shared" si="17"/>
        <v/>
      </c>
      <c r="AC17" s="15" t="str">
        <f t="shared" si="17"/>
        <v/>
      </c>
      <c r="AD17" s="16" t="str">
        <f t="shared" si="17"/>
        <v/>
      </c>
      <c r="AE17" s="13" t="str">
        <f t="shared" si="18"/>
        <v/>
      </c>
      <c r="AF17" s="14" t="str">
        <f t="shared" si="18"/>
        <v/>
      </c>
      <c r="AG17" s="14" t="str">
        <f t="shared" si="18"/>
        <v/>
      </c>
      <c r="AH17" s="14" t="str">
        <f t="shared" si="18"/>
        <v/>
      </c>
      <c r="AI17" s="14" t="str">
        <f t="shared" si="18"/>
        <v/>
      </c>
      <c r="AJ17" s="15" t="str">
        <f t="shared" si="18"/>
        <v/>
      </c>
      <c r="AK17" s="16" t="str">
        <f t="shared" si="18"/>
        <v/>
      </c>
      <c r="AL17" s="13" t="str">
        <f t="shared" si="18"/>
        <v/>
      </c>
      <c r="AM17" s="14" t="str">
        <f t="shared" si="18"/>
        <v/>
      </c>
      <c r="AN17" s="14" t="str">
        <f t="shared" si="18"/>
        <v/>
      </c>
      <c r="AO17" s="14" t="str">
        <f t="shared" si="18"/>
        <v/>
      </c>
      <c r="AP17" s="14" t="str">
        <f t="shared" si="18"/>
        <v/>
      </c>
      <c r="AQ17" s="15" t="str">
        <f t="shared" si="18"/>
        <v/>
      </c>
      <c r="AR17" s="16" t="str">
        <f t="shared" si="18"/>
        <v/>
      </c>
      <c r="AS17" s="13" t="str">
        <f t="shared" si="18"/>
        <v/>
      </c>
      <c r="AT17" s="14" t="str">
        <f t="shared" si="18"/>
        <v/>
      </c>
      <c r="AU17" s="14" t="str">
        <f t="shared" si="19"/>
        <v/>
      </c>
      <c r="AV17" s="14" t="str">
        <f t="shared" si="19"/>
        <v/>
      </c>
      <c r="AW17" s="14" t="str">
        <f t="shared" si="19"/>
        <v/>
      </c>
      <c r="AX17" s="15" t="str">
        <f t="shared" si="19"/>
        <v/>
      </c>
      <c r="AY17" s="16" t="str">
        <f t="shared" si="19"/>
        <v/>
      </c>
      <c r="AZ17" s="13" t="str">
        <f t="shared" si="19"/>
        <v/>
      </c>
      <c r="BA17" s="14" t="str">
        <f t="shared" si="19"/>
        <v/>
      </c>
      <c r="BB17" s="14" t="str">
        <f t="shared" si="19"/>
        <v/>
      </c>
      <c r="BC17" s="14" t="str">
        <f t="shared" si="19"/>
        <v/>
      </c>
      <c r="BD17" s="14" t="str">
        <f t="shared" si="19"/>
        <v/>
      </c>
      <c r="BE17" s="15" t="str">
        <f t="shared" si="19"/>
        <v/>
      </c>
      <c r="BF17" s="16" t="str">
        <f t="shared" si="19"/>
        <v/>
      </c>
      <c r="BG17" s="13" t="str">
        <f t="shared" si="19"/>
        <v/>
      </c>
      <c r="BH17" s="14" t="str">
        <f t="shared" si="19"/>
        <v/>
      </c>
      <c r="BI17" s="14" t="str">
        <f t="shared" si="19"/>
        <v/>
      </c>
      <c r="BJ17" s="14" t="str">
        <f t="shared" si="19"/>
        <v/>
      </c>
      <c r="BK17" s="14" t="str">
        <f t="shared" si="20"/>
        <v/>
      </c>
      <c r="BL17" s="15" t="str">
        <f t="shared" si="20"/>
        <v/>
      </c>
      <c r="BM17" s="16" t="str">
        <f t="shared" si="20"/>
        <v/>
      </c>
      <c r="BN17" s="13" t="str">
        <f t="shared" si="20"/>
        <v/>
      </c>
      <c r="BO17" s="14" t="str">
        <f t="shared" si="20"/>
        <v/>
      </c>
      <c r="BP17" s="14" t="str">
        <f t="shared" si="20"/>
        <v/>
      </c>
      <c r="BQ17" s="14" t="str">
        <f t="shared" si="20"/>
        <v/>
      </c>
      <c r="BR17" s="14" t="str">
        <f t="shared" si="20"/>
        <v/>
      </c>
      <c r="BS17" s="15" t="str">
        <f t="shared" si="20"/>
        <v/>
      </c>
      <c r="BT17" s="16" t="str">
        <f t="shared" si="20"/>
        <v/>
      </c>
      <c r="BU17" s="13" t="str">
        <f t="shared" si="20"/>
        <v/>
      </c>
      <c r="BV17" s="14" t="str">
        <f t="shared" si="20"/>
        <v/>
      </c>
      <c r="BW17" s="14" t="str">
        <f t="shared" si="20"/>
        <v/>
      </c>
      <c r="BX17" s="14" t="str">
        <f t="shared" si="20"/>
        <v/>
      </c>
      <c r="BY17" s="14" t="str">
        <f t="shared" si="20"/>
        <v/>
      </c>
      <c r="BZ17" s="15">
        <f t="shared" si="20"/>
        <v>1</v>
      </c>
      <c r="CA17" s="16">
        <f t="shared" si="21"/>
        <v>1</v>
      </c>
      <c r="CB17" s="13">
        <f t="shared" si="21"/>
        <v>1</v>
      </c>
      <c r="CC17" s="14" t="str">
        <f t="shared" si="21"/>
        <v/>
      </c>
      <c r="CD17" s="14" t="str">
        <f t="shared" si="21"/>
        <v/>
      </c>
      <c r="CE17" s="14" t="str">
        <f t="shared" si="21"/>
        <v/>
      </c>
      <c r="CF17" s="14" t="str">
        <f t="shared" si="21"/>
        <v/>
      </c>
      <c r="CG17" s="15" t="str">
        <f t="shared" si="21"/>
        <v/>
      </c>
      <c r="CH17" s="16" t="str">
        <f t="shared" si="21"/>
        <v/>
      </c>
      <c r="CI17" s="13" t="str">
        <f t="shared" si="21"/>
        <v/>
      </c>
      <c r="CJ17" s="14" t="str">
        <f t="shared" si="21"/>
        <v/>
      </c>
      <c r="CK17" s="14" t="str">
        <f t="shared" si="21"/>
        <v/>
      </c>
      <c r="CL17" s="14" t="str">
        <f t="shared" si="21"/>
        <v/>
      </c>
      <c r="CM17" s="14" t="str">
        <f t="shared" si="21"/>
        <v/>
      </c>
      <c r="CN17" s="15" t="str">
        <f t="shared" si="21"/>
        <v/>
      </c>
      <c r="CO17" s="16" t="str">
        <f t="shared" si="21"/>
        <v/>
      </c>
      <c r="CP17" s="13" t="str">
        <f t="shared" si="21"/>
        <v/>
      </c>
      <c r="CQ17" s="14" t="str">
        <f t="shared" si="22"/>
        <v/>
      </c>
      <c r="CR17" s="14" t="str">
        <f t="shared" si="22"/>
        <v/>
      </c>
      <c r="CS17" s="14" t="str">
        <f t="shared" si="22"/>
        <v/>
      </c>
      <c r="CT17" s="14" t="str">
        <f t="shared" si="22"/>
        <v/>
      </c>
      <c r="CU17" s="15" t="str">
        <f t="shared" si="22"/>
        <v/>
      </c>
      <c r="CV17" s="16" t="str">
        <f t="shared" si="22"/>
        <v/>
      </c>
      <c r="CW17" s="13" t="str">
        <f t="shared" si="22"/>
        <v/>
      </c>
      <c r="CX17" s="14" t="str">
        <f t="shared" si="22"/>
        <v/>
      </c>
      <c r="CY17" s="14" t="str">
        <f t="shared" si="22"/>
        <v/>
      </c>
      <c r="CZ17" s="14" t="str">
        <f t="shared" si="22"/>
        <v/>
      </c>
      <c r="DA17" s="14" t="str">
        <f t="shared" si="22"/>
        <v/>
      </c>
      <c r="DB17" s="15" t="str">
        <f t="shared" si="22"/>
        <v/>
      </c>
      <c r="DC17" s="16" t="str">
        <f t="shared" si="22"/>
        <v/>
      </c>
      <c r="DD17" s="13" t="str">
        <f t="shared" si="22"/>
        <v/>
      </c>
      <c r="DE17" s="14" t="str">
        <f t="shared" si="22"/>
        <v/>
      </c>
      <c r="DF17" s="14" t="str">
        <f t="shared" si="22"/>
        <v/>
      </c>
      <c r="DG17" s="14" t="str">
        <f t="shared" si="23"/>
        <v/>
      </c>
      <c r="DH17" s="14" t="str">
        <f t="shared" si="23"/>
        <v/>
      </c>
      <c r="DI17" s="15" t="str">
        <f t="shared" si="23"/>
        <v/>
      </c>
      <c r="DJ17" s="16" t="str">
        <f t="shared" si="23"/>
        <v/>
      </c>
      <c r="DK17" s="13" t="str">
        <f t="shared" si="23"/>
        <v/>
      </c>
      <c r="DL17" s="14" t="str">
        <f t="shared" si="23"/>
        <v/>
      </c>
      <c r="DM17" s="14" t="str">
        <f t="shared" si="23"/>
        <v/>
      </c>
      <c r="DN17" s="14" t="str">
        <f t="shared" si="23"/>
        <v/>
      </c>
      <c r="DO17" s="14" t="str">
        <f t="shared" si="23"/>
        <v/>
      </c>
      <c r="DP17" s="15" t="str">
        <f t="shared" si="23"/>
        <v/>
      </c>
      <c r="DQ17" s="16" t="str">
        <f t="shared" si="23"/>
        <v/>
      </c>
      <c r="DR17" s="13" t="str">
        <f t="shared" si="23"/>
        <v/>
      </c>
      <c r="DS17" s="14" t="str">
        <f t="shared" si="23"/>
        <v/>
      </c>
      <c r="DT17" s="14" t="str">
        <f t="shared" si="23"/>
        <v/>
      </c>
      <c r="DU17" s="14" t="str">
        <f t="shared" si="23"/>
        <v/>
      </c>
      <c r="DV17" s="14" t="str">
        <f t="shared" si="23"/>
        <v/>
      </c>
      <c r="DW17" s="15"/>
      <c r="DX17" s="16"/>
    </row>
    <row r="18" spans="1:128" s="17" customFormat="1" ht="9.75" customHeight="1">
      <c r="A18" s="586"/>
      <c r="B18" s="26" t="s">
        <v>48</v>
      </c>
      <c r="C18" s="19">
        <v>72</v>
      </c>
      <c r="D18" s="19">
        <v>0</v>
      </c>
      <c r="E18" s="19">
        <v>71</v>
      </c>
      <c r="F18" s="306" t="s">
        <v>752</v>
      </c>
      <c r="G18" s="310" t="s">
        <v>754</v>
      </c>
      <c r="H18" s="46" t="s">
        <v>745</v>
      </c>
      <c r="I18" s="674"/>
      <c r="J18" s="13" t="str">
        <f t="shared" si="17"/>
        <v/>
      </c>
      <c r="K18" s="14" t="str">
        <f t="shared" si="17"/>
        <v/>
      </c>
      <c r="L18" s="14" t="str">
        <f t="shared" si="17"/>
        <v/>
      </c>
      <c r="M18" s="14" t="str">
        <f t="shared" si="17"/>
        <v/>
      </c>
      <c r="N18" s="14" t="str">
        <f t="shared" si="17"/>
        <v/>
      </c>
      <c r="O18" s="15" t="str">
        <f t="shared" si="17"/>
        <v/>
      </c>
      <c r="P18" s="16" t="str">
        <f t="shared" si="17"/>
        <v/>
      </c>
      <c r="Q18" s="13" t="str">
        <f t="shared" si="17"/>
        <v/>
      </c>
      <c r="R18" s="14" t="str">
        <f t="shared" si="17"/>
        <v/>
      </c>
      <c r="S18" s="14" t="str">
        <f t="shared" si="17"/>
        <v/>
      </c>
      <c r="T18" s="14" t="str">
        <f t="shared" si="17"/>
        <v/>
      </c>
      <c r="U18" s="14" t="str">
        <f t="shared" si="17"/>
        <v/>
      </c>
      <c r="V18" s="15" t="str">
        <f t="shared" si="17"/>
        <v/>
      </c>
      <c r="W18" s="16" t="str">
        <f t="shared" si="17"/>
        <v/>
      </c>
      <c r="X18" s="13" t="str">
        <f t="shared" si="17"/>
        <v/>
      </c>
      <c r="Y18" s="14" t="str">
        <f t="shared" si="17"/>
        <v/>
      </c>
      <c r="Z18" s="14" t="str">
        <f t="shared" si="17"/>
        <v/>
      </c>
      <c r="AA18" s="14" t="str">
        <f t="shared" si="17"/>
        <v/>
      </c>
      <c r="AB18" s="14" t="str">
        <f t="shared" si="17"/>
        <v/>
      </c>
      <c r="AC18" s="15" t="str">
        <f t="shared" si="17"/>
        <v/>
      </c>
      <c r="AD18" s="16" t="str">
        <f t="shared" si="17"/>
        <v/>
      </c>
      <c r="AE18" s="13" t="str">
        <f t="shared" si="18"/>
        <v/>
      </c>
      <c r="AF18" s="14" t="str">
        <f t="shared" si="18"/>
        <v/>
      </c>
      <c r="AG18" s="14" t="str">
        <f t="shared" si="18"/>
        <v/>
      </c>
      <c r="AH18" s="14" t="str">
        <f t="shared" si="18"/>
        <v/>
      </c>
      <c r="AI18" s="14" t="str">
        <f t="shared" si="18"/>
        <v/>
      </c>
      <c r="AJ18" s="15" t="str">
        <f t="shared" si="18"/>
        <v/>
      </c>
      <c r="AK18" s="16" t="str">
        <f t="shared" si="18"/>
        <v/>
      </c>
      <c r="AL18" s="13" t="str">
        <f t="shared" si="18"/>
        <v/>
      </c>
      <c r="AM18" s="14" t="str">
        <f t="shared" si="18"/>
        <v/>
      </c>
      <c r="AN18" s="14" t="str">
        <f t="shared" si="18"/>
        <v/>
      </c>
      <c r="AO18" s="14" t="str">
        <f t="shared" si="18"/>
        <v/>
      </c>
      <c r="AP18" s="14" t="str">
        <f t="shared" si="18"/>
        <v/>
      </c>
      <c r="AQ18" s="15" t="str">
        <f t="shared" si="18"/>
        <v/>
      </c>
      <c r="AR18" s="16" t="str">
        <f t="shared" si="18"/>
        <v/>
      </c>
      <c r="AS18" s="13" t="str">
        <f t="shared" si="18"/>
        <v/>
      </c>
      <c r="AT18" s="14" t="str">
        <f t="shared" si="18"/>
        <v/>
      </c>
      <c r="AU18" s="14" t="str">
        <f t="shared" si="19"/>
        <v/>
      </c>
      <c r="AV18" s="14" t="str">
        <f t="shared" si="19"/>
        <v/>
      </c>
      <c r="AW18" s="14" t="str">
        <f t="shared" si="19"/>
        <v/>
      </c>
      <c r="AX18" s="15" t="str">
        <f t="shared" si="19"/>
        <v/>
      </c>
      <c r="AY18" s="16" t="str">
        <f t="shared" si="19"/>
        <v/>
      </c>
      <c r="AZ18" s="13" t="str">
        <f t="shared" si="19"/>
        <v/>
      </c>
      <c r="BA18" s="14" t="str">
        <f t="shared" si="19"/>
        <v/>
      </c>
      <c r="BB18" s="14" t="str">
        <f t="shared" si="19"/>
        <v/>
      </c>
      <c r="BC18" s="14" t="str">
        <f t="shared" si="19"/>
        <v/>
      </c>
      <c r="BD18" s="14" t="str">
        <f t="shared" si="19"/>
        <v/>
      </c>
      <c r="BE18" s="15" t="str">
        <f t="shared" si="19"/>
        <v/>
      </c>
      <c r="BF18" s="16" t="str">
        <f t="shared" si="19"/>
        <v/>
      </c>
      <c r="BG18" s="13" t="str">
        <f t="shared" si="19"/>
        <v/>
      </c>
      <c r="BH18" s="14" t="str">
        <f t="shared" si="19"/>
        <v/>
      </c>
      <c r="BI18" s="14" t="str">
        <f t="shared" si="19"/>
        <v/>
      </c>
      <c r="BJ18" s="14" t="str">
        <f t="shared" si="19"/>
        <v/>
      </c>
      <c r="BK18" s="14" t="str">
        <f t="shared" si="20"/>
        <v/>
      </c>
      <c r="BL18" s="15" t="str">
        <f t="shared" si="20"/>
        <v/>
      </c>
      <c r="BM18" s="16" t="str">
        <f t="shared" si="20"/>
        <v/>
      </c>
      <c r="BN18" s="13" t="str">
        <f t="shared" si="20"/>
        <v/>
      </c>
      <c r="BO18" s="14" t="str">
        <f t="shared" si="20"/>
        <v/>
      </c>
      <c r="BP18" s="14" t="str">
        <f t="shared" si="20"/>
        <v/>
      </c>
      <c r="BQ18" s="14" t="str">
        <f t="shared" si="20"/>
        <v/>
      </c>
      <c r="BR18" s="14" t="str">
        <f t="shared" si="20"/>
        <v/>
      </c>
      <c r="BS18" s="15" t="str">
        <f t="shared" si="20"/>
        <v/>
      </c>
      <c r="BT18" s="16" t="str">
        <f t="shared" si="20"/>
        <v/>
      </c>
      <c r="BU18" s="13" t="str">
        <f t="shared" si="20"/>
        <v/>
      </c>
      <c r="BV18" s="14" t="str">
        <f t="shared" si="20"/>
        <v/>
      </c>
      <c r="BW18" s="14" t="str">
        <f t="shared" si="20"/>
        <v/>
      </c>
      <c r="BX18" s="14" t="str">
        <f t="shared" si="20"/>
        <v/>
      </c>
      <c r="BY18" s="14" t="str">
        <f t="shared" si="20"/>
        <v/>
      </c>
      <c r="BZ18" s="15" t="str">
        <f t="shared" si="20"/>
        <v/>
      </c>
      <c r="CA18" s="16" t="str">
        <f t="shared" si="21"/>
        <v/>
      </c>
      <c r="CB18" s="13" t="str">
        <f t="shared" si="21"/>
        <v/>
      </c>
      <c r="CC18" s="14" t="str">
        <f t="shared" si="21"/>
        <v/>
      </c>
      <c r="CD18" s="14" t="str">
        <f t="shared" si="21"/>
        <v/>
      </c>
      <c r="CE18" s="14" t="str">
        <f t="shared" si="21"/>
        <v/>
      </c>
      <c r="CF18" s="14" t="str">
        <f t="shared" si="21"/>
        <v/>
      </c>
      <c r="CG18" s="15" t="str">
        <f t="shared" si="21"/>
        <v/>
      </c>
      <c r="CH18" s="16" t="str">
        <f t="shared" si="21"/>
        <v/>
      </c>
      <c r="CI18" s="13" t="str">
        <f t="shared" si="21"/>
        <v/>
      </c>
      <c r="CJ18" s="14" t="str">
        <f t="shared" si="21"/>
        <v/>
      </c>
      <c r="CK18" s="14" t="str">
        <f t="shared" si="21"/>
        <v/>
      </c>
      <c r="CL18" s="14" t="str">
        <f t="shared" si="21"/>
        <v/>
      </c>
      <c r="CM18" s="14" t="str">
        <f t="shared" si="21"/>
        <v/>
      </c>
      <c r="CN18" s="15" t="str">
        <f t="shared" si="21"/>
        <v/>
      </c>
      <c r="CO18" s="16" t="str">
        <f t="shared" si="21"/>
        <v/>
      </c>
      <c r="CP18" s="13" t="str">
        <f t="shared" si="21"/>
        <v/>
      </c>
      <c r="CQ18" s="14" t="str">
        <f t="shared" si="22"/>
        <v/>
      </c>
      <c r="CR18" s="14" t="str">
        <f t="shared" si="22"/>
        <v/>
      </c>
      <c r="CS18" s="14" t="str">
        <f t="shared" si="22"/>
        <v/>
      </c>
      <c r="CT18" s="14" t="str">
        <f t="shared" si="22"/>
        <v/>
      </c>
      <c r="CU18" s="15" t="str">
        <f t="shared" si="22"/>
        <v/>
      </c>
      <c r="CV18" s="16" t="str">
        <f t="shared" si="22"/>
        <v/>
      </c>
      <c r="CW18" s="13" t="str">
        <f t="shared" si="22"/>
        <v/>
      </c>
      <c r="CX18" s="14" t="str">
        <f t="shared" si="22"/>
        <v/>
      </c>
      <c r="CY18" s="14" t="str">
        <f t="shared" si="22"/>
        <v/>
      </c>
      <c r="CZ18" s="14" t="str">
        <f t="shared" si="22"/>
        <v/>
      </c>
      <c r="DA18" s="14" t="str">
        <f t="shared" si="22"/>
        <v/>
      </c>
      <c r="DB18" s="15" t="str">
        <f t="shared" si="22"/>
        <v/>
      </c>
      <c r="DC18" s="16" t="str">
        <f t="shared" si="22"/>
        <v/>
      </c>
      <c r="DD18" s="13" t="str">
        <f t="shared" si="22"/>
        <v/>
      </c>
      <c r="DE18" s="14" t="str">
        <f t="shared" si="22"/>
        <v/>
      </c>
      <c r="DF18" s="14" t="str">
        <f t="shared" si="22"/>
        <v/>
      </c>
      <c r="DG18" s="14" t="str">
        <f t="shared" si="23"/>
        <v/>
      </c>
      <c r="DH18" s="14" t="str">
        <f t="shared" si="23"/>
        <v/>
      </c>
      <c r="DI18" s="15" t="str">
        <f t="shared" si="23"/>
        <v/>
      </c>
      <c r="DJ18" s="16" t="str">
        <f t="shared" si="23"/>
        <v/>
      </c>
      <c r="DK18" s="13" t="str">
        <f t="shared" si="23"/>
        <v/>
      </c>
      <c r="DL18" s="14" t="str">
        <f t="shared" si="23"/>
        <v/>
      </c>
      <c r="DM18" s="14" t="str">
        <f t="shared" si="23"/>
        <v/>
      </c>
      <c r="DN18" s="14" t="str">
        <f t="shared" si="23"/>
        <v/>
      </c>
      <c r="DO18" s="14" t="str">
        <f t="shared" si="23"/>
        <v/>
      </c>
      <c r="DP18" s="15" t="str">
        <f t="shared" si="23"/>
        <v/>
      </c>
      <c r="DQ18" s="16" t="str">
        <f t="shared" si="23"/>
        <v/>
      </c>
      <c r="DR18" s="13" t="str">
        <f t="shared" si="23"/>
        <v/>
      </c>
      <c r="DS18" s="14" t="str">
        <f t="shared" si="23"/>
        <v/>
      </c>
      <c r="DT18" s="14" t="str">
        <f t="shared" si="23"/>
        <v/>
      </c>
      <c r="DU18" s="14" t="str">
        <f t="shared" si="23"/>
        <v/>
      </c>
      <c r="DV18" s="14" t="str">
        <f t="shared" si="23"/>
        <v/>
      </c>
      <c r="DW18" s="15" t="str">
        <f t="shared" si="23"/>
        <v/>
      </c>
      <c r="DX18" s="16" t="str">
        <f t="shared" si="23"/>
        <v/>
      </c>
    </row>
    <row r="19" spans="1:128" s="17" customFormat="1" ht="9.75" customHeight="1">
      <c r="A19" s="587" t="str">
        <f>_xlfn.XLOOKUP(A25,'VTT actif'!F:F,'VTT actif'!AB:AB,"-",0)</f>
        <v>-</v>
      </c>
      <c r="B19" s="24" t="s">
        <v>49</v>
      </c>
      <c r="C19" s="19">
        <v>72</v>
      </c>
      <c r="D19" s="19">
        <v>5</v>
      </c>
      <c r="E19" s="19">
        <v>76</v>
      </c>
      <c r="F19" s="309" t="s">
        <v>744</v>
      </c>
      <c r="G19" s="310" t="s">
        <v>755</v>
      </c>
      <c r="H19" s="46" t="s">
        <v>745</v>
      </c>
      <c r="I19" s="675" t="s">
        <v>756</v>
      </c>
      <c r="J19" s="13" t="str">
        <f t="shared" si="17"/>
        <v/>
      </c>
      <c r="K19" s="14" t="str">
        <f t="shared" si="17"/>
        <v/>
      </c>
      <c r="L19" s="14" t="str">
        <f t="shared" si="17"/>
        <v/>
      </c>
      <c r="M19" s="14" t="str">
        <f t="shared" si="17"/>
        <v/>
      </c>
      <c r="N19" s="14" t="str">
        <f t="shared" si="17"/>
        <v/>
      </c>
      <c r="O19" s="15" t="str">
        <f t="shared" si="17"/>
        <v/>
      </c>
      <c r="P19" s="16" t="str">
        <f t="shared" si="17"/>
        <v/>
      </c>
      <c r="Q19" s="13" t="str">
        <f t="shared" si="17"/>
        <v/>
      </c>
      <c r="R19" s="14" t="str">
        <f t="shared" si="17"/>
        <v/>
      </c>
      <c r="S19" s="14" t="str">
        <f t="shared" si="17"/>
        <v/>
      </c>
      <c r="T19" s="14" t="str">
        <f t="shared" si="17"/>
        <v/>
      </c>
      <c r="U19" s="14" t="str">
        <f t="shared" si="17"/>
        <v/>
      </c>
      <c r="V19" s="15" t="str">
        <f t="shared" si="17"/>
        <v/>
      </c>
      <c r="W19" s="16" t="str">
        <f t="shared" si="17"/>
        <v/>
      </c>
      <c r="X19" s="13" t="str">
        <f t="shared" si="17"/>
        <v/>
      </c>
      <c r="Y19" s="14" t="str">
        <f t="shared" si="17"/>
        <v/>
      </c>
      <c r="Z19" s="14" t="str">
        <f t="shared" si="17"/>
        <v/>
      </c>
      <c r="AA19" s="14" t="str">
        <f t="shared" si="17"/>
        <v/>
      </c>
      <c r="AB19" s="14" t="str">
        <f t="shared" si="17"/>
        <v/>
      </c>
      <c r="AC19" s="15" t="str">
        <f t="shared" si="17"/>
        <v/>
      </c>
      <c r="AD19" s="16" t="str">
        <f t="shared" si="17"/>
        <v/>
      </c>
      <c r="AE19" s="13" t="str">
        <f t="shared" si="18"/>
        <v/>
      </c>
      <c r="AF19" s="14" t="str">
        <f t="shared" si="18"/>
        <v/>
      </c>
      <c r="AG19" s="14" t="str">
        <f t="shared" si="18"/>
        <v/>
      </c>
      <c r="AH19" s="14" t="str">
        <f t="shared" si="18"/>
        <v/>
      </c>
      <c r="AI19" s="14" t="str">
        <f t="shared" si="18"/>
        <v/>
      </c>
      <c r="AJ19" s="15" t="str">
        <f t="shared" si="18"/>
        <v/>
      </c>
      <c r="AK19" s="16" t="str">
        <f t="shared" si="18"/>
        <v/>
      </c>
      <c r="AL19" s="13" t="str">
        <f t="shared" si="18"/>
        <v/>
      </c>
      <c r="AM19" s="14" t="str">
        <f t="shared" si="18"/>
        <v/>
      </c>
      <c r="AN19" s="14" t="str">
        <f t="shared" si="18"/>
        <v/>
      </c>
      <c r="AO19" s="14" t="str">
        <f t="shared" si="18"/>
        <v/>
      </c>
      <c r="AP19" s="14" t="str">
        <f t="shared" si="18"/>
        <v/>
      </c>
      <c r="AQ19" s="15" t="str">
        <f t="shared" si="18"/>
        <v/>
      </c>
      <c r="AR19" s="16" t="str">
        <f t="shared" si="18"/>
        <v/>
      </c>
      <c r="AS19" s="13" t="str">
        <f t="shared" si="18"/>
        <v/>
      </c>
      <c r="AT19" s="14" t="str">
        <f t="shared" si="18"/>
        <v/>
      </c>
      <c r="AU19" s="14" t="str">
        <f t="shared" si="19"/>
        <v/>
      </c>
      <c r="AV19" s="14" t="str">
        <f t="shared" si="19"/>
        <v/>
      </c>
      <c r="AW19" s="14" t="str">
        <f t="shared" si="19"/>
        <v/>
      </c>
      <c r="AX19" s="15" t="str">
        <f t="shared" si="19"/>
        <v/>
      </c>
      <c r="AY19" s="16" t="str">
        <f t="shared" si="19"/>
        <v/>
      </c>
      <c r="AZ19" s="13" t="str">
        <f t="shared" si="19"/>
        <v/>
      </c>
      <c r="BA19" s="14" t="str">
        <f t="shared" si="19"/>
        <v/>
      </c>
      <c r="BB19" s="14" t="str">
        <f t="shared" si="19"/>
        <v/>
      </c>
      <c r="BC19" s="14" t="str">
        <f t="shared" si="19"/>
        <v/>
      </c>
      <c r="BD19" s="14" t="str">
        <f t="shared" si="19"/>
        <v/>
      </c>
      <c r="BE19" s="15" t="str">
        <f t="shared" si="19"/>
        <v/>
      </c>
      <c r="BF19" s="16" t="str">
        <f t="shared" si="19"/>
        <v/>
      </c>
      <c r="BG19" s="13" t="str">
        <f t="shared" si="19"/>
        <v/>
      </c>
      <c r="BH19" s="14" t="str">
        <f t="shared" si="19"/>
        <v/>
      </c>
      <c r="BI19" s="14" t="str">
        <f t="shared" si="19"/>
        <v/>
      </c>
      <c r="BJ19" s="14" t="str">
        <f t="shared" si="19"/>
        <v/>
      </c>
      <c r="BK19" s="14" t="str">
        <f t="shared" si="20"/>
        <v/>
      </c>
      <c r="BL19" s="15" t="str">
        <f t="shared" si="20"/>
        <v/>
      </c>
      <c r="BM19" s="16" t="str">
        <f t="shared" si="20"/>
        <v/>
      </c>
      <c r="BN19" s="13" t="str">
        <f t="shared" si="20"/>
        <v/>
      </c>
      <c r="BO19" s="14" t="str">
        <f t="shared" si="20"/>
        <v/>
      </c>
      <c r="BP19" s="14" t="str">
        <f t="shared" si="20"/>
        <v/>
      </c>
      <c r="BQ19" s="14" t="str">
        <f t="shared" si="20"/>
        <v/>
      </c>
      <c r="BR19" s="14" t="str">
        <f t="shared" si="20"/>
        <v/>
      </c>
      <c r="BS19" s="15" t="str">
        <f t="shared" si="20"/>
        <v/>
      </c>
      <c r="BT19" s="16" t="str">
        <f t="shared" si="20"/>
        <v/>
      </c>
      <c r="BU19" s="13" t="str">
        <f t="shared" si="20"/>
        <v/>
      </c>
      <c r="BV19" s="14" t="str">
        <f t="shared" si="20"/>
        <v/>
      </c>
      <c r="BW19" s="14" t="str">
        <f t="shared" si="20"/>
        <v/>
      </c>
      <c r="BX19" s="14" t="str">
        <f t="shared" si="20"/>
        <v/>
      </c>
      <c r="BY19" s="14" t="str">
        <f t="shared" si="20"/>
        <v/>
      </c>
      <c r="BZ19" s="15" t="str">
        <f t="shared" si="20"/>
        <v/>
      </c>
      <c r="CA19" s="16" t="str">
        <f t="shared" si="21"/>
        <v/>
      </c>
      <c r="CB19" s="13" t="str">
        <f t="shared" si="21"/>
        <v/>
      </c>
      <c r="CC19" s="14">
        <f t="shared" si="21"/>
        <v>1</v>
      </c>
      <c r="CD19" s="14">
        <f t="shared" si="21"/>
        <v>1</v>
      </c>
      <c r="CE19" s="14">
        <f t="shared" si="21"/>
        <v>1</v>
      </c>
      <c r="CF19" s="14">
        <f t="shared" si="21"/>
        <v>1</v>
      </c>
      <c r="CG19" s="15">
        <f t="shared" si="21"/>
        <v>1</v>
      </c>
      <c r="CH19" s="16" t="str">
        <f t="shared" si="21"/>
        <v/>
      </c>
      <c r="CI19" s="13" t="str">
        <f t="shared" si="21"/>
        <v/>
      </c>
      <c r="CJ19" s="14" t="str">
        <f t="shared" si="21"/>
        <v/>
      </c>
      <c r="CK19" s="14" t="str">
        <f t="shared" si="21"/>
        <v/>
      </c>
      <c r="CL19" s="14" t="str">
        <f t="shared" si="21"/>
        <v/>
      </c>
      <c r="CM19" s="14" t="str">
        <f t="shared" si="21"/>
        <v/>
      </c>
      <c r="CN19" s="15" t="str">
        <f t="shared" si="21"/>
        <v/>
      </c>
      <c r="CO19" s="16" t="str">
        <f t="shared" si="21"/>
        <v/>
      </c>
      <c r="CP19" s="13" t="str">
        <f t="shared" si="21"/>
        <v/>
      </c>
      <c r="CQ19" s="14" t="str">
        <f t="shared" si="22"/>
        <v/>
      </c>
      <c r="CR19" s="14" t="str">
        <f t="shared" si="22"/>
        <v/>
      </c>
      <c r="CS19" s="14" t="str">
        <f t="shared" si="22"/>
        <v/>
      </c>
      <c r="CT19" s="14" t="str">
        <f t="shared" si="22"/>
        <v/>
      </c>
      <c r="CU19" s="15" t="str">
        <f t="shared" si="22"/>
        <v/>
      </c>
      <c r="CV19" s="16" t="str">
        <f t="shared" si="22"/>
        <v/>
      </c>
      <c r="CW19" s="13" t="str">
        <f t="shared" si="22"/>
        <v/>
      </c>
      <c r="CX19" s="14" t="str">
        <f t="shared" si="22"/>
        <v/>
      </c>
      <c r="CY19" s="14" t="str">
        <f t="shared" si="22"/>
        <v/>
      </c>
      <c r="CZ19" s="14" t="str">
        <f t="shared" si="22"/>
        <v/>
      </c>
      <c r="DA19" s="14" t="str">
        <f t="shared" si="22"/>
        <v/>
      </c>
      <c r="DB19" s="15" t="str">
        <f t="shared" si="22"/>
        <v/>
      </c>
      <c r="DC19" s="16" t="str">
        <f t="shared" si="22"/>
        <v/>
      </c>
      <c r="DD19" s="13" t="str">
        <f t="shared" si="22"/>
        <v/>
      </c>
      <c r="DE19" s="14" t="str">
        <f t="shared" si="22"/>
        <v/>
      </c>
      <c r="DF19" s="14" t="str">
        <f t="shared" si="22"/>
        <v/>
      </c>
      <c r="DG19" s="14" t="str">
        <f t="shared" si="23"/>
        <v/>
      </c>
      <c r="DH19" s="14" t="str">
        <f t="shared" si="23"/>
        <v/>
      </c>
      <c r="DI19" s="15" t="str">
        <f t="shared" si="23"/>
        <v/>
      </c>
      <c r="DJ19" s="16" t="str">
        <f t="shared" si="23"/>
        <v/>
      </c>
      <c r="DK19" s="13" t="str">
        <f t="shared" si="23"/>
        <v/>
      </c>
      <c r="DL19" s="14" t="str">
        <f t="shared" si="23"/>
        <v/>
      </c>
      <c r="DM19" s="14" t="str">
        <f t="shared" si="23"/>
        <v/>
      </c>
      <c r="DN19" s="14" t="str">
        <f t="shared" si="23"/>
        <v/>
      </c>
      <c r="DO19" s="14" t="str">
        <f t="shared" si="23"/>
        <v/>
      </c>
      <c r="DP19" s="15" t="str">
        <f t="shared" si="23"/>
        <v/>
      </c>
      <c r="DQ19" s="16" t="str">
        <f t="shared" si="23"/>
        <v/>
      </c>
      <c r="DR19" s="13" t="str">
        <f t="shared" si="23"/>
        <v/>
      </c>
      <c r="DS19" s="14" t="str">
        <f t="shared" si="23"/>
        <v/>
      </c>
      <c r="DT19" s="14" t="str">
        <f t="shared" si="23"/>
        <v/>
      </c>
      <c r="DU19" s="14" t="str">
        <f t="shared" si="23"/>
        <v/>
      </c>
      <c r="DV19" s="14" t="str">
        <f t="shared" si="23"/>
        <v/>
      </c>
      <c r="DW19" s="15" t="str">
        <f t="shared" si="23"/>
        <v/>
      </c>
      <c r="DX19" s="16" t="str">
        <f t="shared" si="23"/>
        <v/>
      </c>
    </row>
    <row r="20" spans="1:128" s="17" customFormat="1" ht="9.75" customHeight="1">
      <c r="A20" s="587"/>
      <c r="B20" s="26" t="e">
        <v>#REF!</v>
      </c>
      <c r="C20" s="19">
        <v>77</v>
      </c>
      <c r="D20" s="19">
        <v>2</v>
      </c>
      <c r="E20" s="19">
        <v>78</v>
      </c>
      <c r="F20" s="309" t="s">
        <v>744</v>
      </c>
      <c r="G20" s="311" t="s">
        <v>751</v>
      </c>
      <c r="H20" s="46" t="s">
        <v>745</v>
      </c>
      <c r="I20" s="675"/>
      <c r="J20" s="13" t="str">
        <f>IF(AND(J$5&gt;=$C20,J$5&lt;=$E20),1,"")</f>
        <v/>
      </c>
      <c r="K20" s="14" t="str">
        <f t="shared" si="17"/>
        <v/>
      </c>
      <c r="L20" s="14" t="str">
        <f t="shared" si="17"/>
        <v/>
      </c>
      <c r="M20" s="14" t="str">
        <f t="shared" si="17"/>
        <v/>
      </c>
      <c r="N20" s="14" t="str">
        <f t="shared" ref="N20:AD20" si="24">IF(AND(N$5&gt;=$C20,N$5&lt;=$E20),1,"")</f>
        <v/>
      </c>
      <c r="O20" s="15" t="str">
        <f t="shared" si="24"/>
        <v/>
      </c>
      <c r="P20" s="16" t="str">
        <f t="shared" si="24"/>
        <v/>
      </c>
      <c r="Q20" s="13" t="str">
        <f t="shared" si="24"/>
        <v/>
      </c>
      <c r="R20" s="14" t="str">
        <f t="shared" si="24"/>
        <v/>
      </c>
      <c r="S20" s="14" t="str">
        <f t="shared" si="24"/>
        <v/>
      </c>
      <c r="T20" s="14" t="str">
        <f t="shared" si="24"/>
        <v/>
      </c>
      <c r="U20" s="14" t="str">
        <f t="shared" si="24"/>
        <v/>
      </c>
      <c r="V20" s="15" t="str">
        <f t="shared" si="24"/>
        <v/>
      </c>
      <c r="W20" s="16" t="str">
        <f t="shared" si="24"/>
        <v/>
      </c>
      <c r="X20" s="13" t="str">
        <f t="shared" si="24"/>
        <v/>
      </c>
      <c r="Y20" s="14" t="str">
        <f t="shared" si="24"/>
        <v/>
      </c>
      <c r="Z20" s="14" t="str">
        <f t="shared" si="24"/>
        <v/>
      </c>
      <c r="AA20" s="14" t="str">
        <f t="shared" si="24"/>
        <v/>
      </c>
      <c r="AB20" s="14" t="str">
        <f t="shared" si="24"/>
        <v/>
      </c>
      <c r="AC20" s="15" t="str">
        <f t="shared" si="24"/>
        <v/>
      </c>
      <c r="AD20" s="16" t="str">
        <f t="shared" si="24"/>
        <v/>
      </c>
      <c r="AE20" s="13" t="str">
        <f t="shared" si="18"/>
        <v/>
      </c>
      <c r="AF20" s="14" t="str">
        <f t="shared" si="18"/>
        <v/>
      </c>
      <c r="AG20" s="14" t="str">
        <f t="shared" si="18"/>
        <v/>
      </c>
      <c r="AH20" s="14" t="str">
        <f t="shared" si="18"/>
        <v/>
      </c>
      <c r="AI20" s="14" t="str">
        <f t="shared" si="18"/>
        <v/>
      </c>
      <c r="AJ20" s="15" t="str">
        <f t="shared" si="18"/>
        <v/>
      </c>
      <c r="AK20" s="16" t="str">
        <f t="shared" si="18"/>
        <v/>
      </c>
      <c r="AL20" s="13" t="str">
        <f t="shared" si="18"/>
        <v/>
      </c>
      <c r="AM20" s="14" t="str">
        <f t="shared" si="18"/>
        <v/>
      </c>
      <c r="AN20" s="14" t="str">
        <f t="shared" si="18"/>
        <v/>
      </c>
      <c r="AO20" s="14" t="str">
        <f t="shared" si="18"/>
        <v/>
      </c>
      <c r="AP20" s="14" t="str">
        <f t="shared" si="18"/>
        <v/>
      </c>
      <c r="AQ20" s="15" t="str">
        <f t="shared" si="18"/>
        <v/>
      </c>
      <c r="AR20" s="16" t="str">
        <f t="shared" si="18"/>
        <v/>
      </c>
      <c r="AS20" s="13" t="str">
        <f t="shared" si="18"/>
        <v/>
      </c>
      <c r="AT20" s="14" t="str">
        <f t="shared" si="18"/>
        <v/>
      </c>
      <c r="AU20" s="14" t="str">
        <f t="shared" si="19"/>
        <v/>
      </c>
      <c r="AV20" s="14" t="str">
        <f t="shared" si="19"/>
        <v/>
      </c>
      <c r="AW20" s="14" t="str">
        <f t="shared" si="19"/>
        <v/>
      </c>
      <c r="AX20" s="15" t="str">
        <f t="shared" si="19"/>
        <v/>
      </c>
      <c r="AY20" s="16" t="str">
        <f t="shared" si="19"/>
        <v/>
      </c>
      <c r="AZ20" s="13" t="str">
        <f t="shared" si="19"/>
        <v/>
      </c>
      <c r="BA20" s="14" t="str">
        <f t="shared" si="19"/>
        <v/>
      </c>
      <c r="BB20" s="14" t="str">
        <f t="shared" si="19"/>
        <v/>
      </c>
      <c r="BC20" s="14" t="str">
        <f t="shared" si="19"/>
        <v/>
      </c>
      <c r="BD20" s="14" t="str">
        <f t="shared" si="19"/>
        <v/>
      </c>
      <c r="BE20" s="15" t="str">
        <f t="shared" si="19"/>
        <v/>
      </c>
      <c r="BF20" s="16" t="str">
        <f t="shared" si="19"/>
        <v/>
      </c>
      <c r="BG20" s="13" t="str">
        <f t="shared" si="19"/>
        <v/>
      </c>
      <c r="BH20" s="14" t="str">
        <f t="shared" si="19"/>
        <v/>
      </c>
      <c r="BI20" s="14" t="str">
        <f t="shared" si="19"/>
        <v/>
      </c>
      <c r="BJ20" s="14" t="str">
        <f t="shared" si="19"/>
        <v/>
      </c>
      <c r="BK20" s="14" t="str">
        <f t="shared" si="20"/>
        <v/>
      </c>
      <c r="BL20" s="15" t="str">
        <f t="shared" si="20"/>
        <v/>
      </c>
      <c r="BM20" s="16" t="str">
        <f t="shared" si="20"/>
        <v/>
      </c>
      <c r="BN20" s="13" t="str">
        <f t="shared" si="20"/>
        <v/>
      </c>
      <c r="BO20" s="14" t="str">
        <f t="shared" si="20"/>
        <v/>
      </c>
      <c r="BP20" s="14" t="str">
        <f t="shared" si="20"/>
        <v/>
      </c>
      <c r="BQ20" s="14" t="str">
        <f t="shared" si="20"/>
        <v/>
      </c>
      <c r="BR20" s="14" t="str">
        <f t="shared" si="20"/>
        <v/>
      </c>
      <c r="BS20" s="15" t="str">
        <f t="shared" si="20"/>
        <v/>
      </c>
      <c r="BT20" s="16" t="str">
        <f t="shared" si="20"/>
        <v/>
      </c>
      <c r="BU20" s="13" t="str">
        <f t="shared" si="20"/>
        <v/>
      </c>
      <c r="BV20" s="14" t="str">
        <f t="shared" si="20"/>
        <v/>
      </c>
      <c r="BW20" s="14" t="str">
        <f t="shared" si="20"/>
        <v/>
      </c>
      <c r="BX20" s="14" t="str">
        <f t="shared" si="20"/>
        <v/>
      </c>
      <c r="BY20" s="14" t="str">
        <f t="shared" si="20"/>
        <v/>
      </c>
      <c r="BZ20" s="15" t="str">
        <f t="shared" si="20"/>
        <v/>
      </c>
      <c r="CA20" s="16" t="str">
        <f t="shared" si="21"/>
        <v/>
      </c>
      <c r="CB20" s="13" t="str">
        <f t="shared" si="21"/>
        <v/>
      </c>
      <c r="CC20" s="14" t="str">
        <f t="shared" si="21"/>
        <v/>
      </c>
      <c r="CD20" s="14" t="str">
        <f t="shared" si="21"/>
        <v/>
      </c>
      <c r="CE20" s="14" t="str">
        <f t="shared" si="21"/>
        <v/>
      </c>
      <c r="CF20" s="14" t="str">
        <f t="shared" si="21"/>
        <v/>
      </c>
      <c r="CG20" s="15" t="str">
        <f t="shared" si="21"/>
        <v/>
      </c>
      <c r="CH20" s="16">
        <f t="shared" si="21"/>
        <v>1</v>
      </c>
      <c r="CI20" s="13">
        <f t="shared" si="21"/>
        <v>1</v>
      </c>
      <c r="CJ20" s="14" t="str">
        <f t="shared" si="21"/>
        <v/>
      </c>
      <c r="CK20" s="14" t="str">
        <f t="shared" si="21"/>
        <v/>
      </c>
      <c r="CL20" s="14" t="str">
        <f t="shared" si="21"/>
        <v/>
      </c>
      <c r="CM20" s="14" t="str">
        <f t="shared" si="21"/>
        <v/>
      </c>
      <c r="CN20" s="15" t="str">
        <f t="shared" si="21"/>
        <v/>
      </c>
      <c r="CO20" s="16" t="str">
        <f t="shared" si="21"/>
        <v/>
      </c>
      <c r="CP20" s="13" t="str">
        <f t="shared" si="21"/>
        <v/>
      </c>
      <c r="CQ20" s="14" t="str">
        <f t="shared" si="22"/>
        <v/>
      </c>
      <c r="CR20" s="14" t="str">
        <f t="shared" si="22"/>
        <v/>
      </c>
      <c r="CS20" s="14" t="str">
        <f t="shared" si="22"/>
        <v/>
      </c>
      <c r="CT20" s="14" t="str">
        <f t="shared" si="22"/>
        <v/>
      </c>
      <c r="CU20" s="15" t="str">
        <f t="shared" si="22"/>
        <v/>
      </c>
      <c r="CV20" s="16" t="str">
        <f t="shared" si="22"/>
        <v/>
      </c>
      <c r="CW20" s="13" t="str">
        <f t="shared" si="22"/>
        <v/>
      </c>
      <c r="CX20" s="14" t="str">
        <f t="shared" si="22"/>
        <v/>
      </c>
      <c r="CY20" s="14" t="str">
        <f t="shared" si="22"/>
        <v/>
      </c>
      <c r="CZ20" s="14" t="str">
        <f t="shared" si="22"/>
        <v/>
      </c>
      <c r="DA20" s="14" t="str">
        <f t="shared" si="22"/>
        <v/>
      </c>
      <c r="DB20" s="15" t="str">
        <f t="shared" si="22"/>
        <v/>
      </c>
      <c r="DC20" s="16" t="str">
        <f t="shared" si="22"/>
        <v/>
      </c>
      <c r="DD20" s="13" t="str">
        <f t="shared" si="22"/>
        <v/>
      </c>
      <c r="DE20" s="14" t="str">
        <f t="shared" si="22"/>
        <v/>
      </c>
      <c r="DF20" s="14" t="str">
        <f t="shared" si="22"/>
        <v/>
      </c>
      <c r="DG20" s="14" t="str">
        <f t="shared" si="23"/>
        <v/>
      </c>
      <c r="DH20" s="14" t="str">
        <f t="shared" si="23"/>
        <v/>
      </c>
      <c r="DI20" s="15" t="str">
        <f t="shared" si="23"/>
        <v/>
      </c>
      <c r="DJ20" s="16" t="str">
        <f t="shared" si="23"/>
        <v/>
      </c>
      <c r="DK20" s="13" t="str">
        <f t="shared" si="23"/>
        <v/>
      </c>
      <c r="DL20" s="14" t="str">
        <f t="shared" si="23"/>
        <v/>
      </c>
      <c r="DM20" s="14" t="str">
        <f t="shared" si="23"/>
        <v/>
      </c>
      <c r="DN20" s="14" t="str">
        <f t="shared" si="23"/>
        <v/>
      </c>
      <c r="DO20" s="14" t="str">
        <f t="shared" si="23"/>
        <v/>
      </c>
      <c r="DP20" s="15" t="str">
        <f t="shared" si="23"/>
        <v/>
      </c>
      <c r="DQ20" s="16" t="str">
        <f t="shared" si="23"/>
        <v/>
      </c>
      <c r="DR20" s="13" t="str">
        <f t="shared" si="23"/>
        <v/>
      </c>
      <c r="DS20" s="14" t="str">
        <f t="shared" si="23"/>
        <v/>
      </c>
      <c r="DT20" s="14" t="str">
        <f t="shared" si="23"/>
        <v/>
      </c>
      <c r="DU20" s="14" t="str">
        <f t="shared" si="23"/>
        <v/>
      </c>
      <c r="DV20" s="14" t="str">
        <f t="shared" si="23"/>
        <v/>
      </c>
      <c r="DW20" s="15" t="str">
        <f t="shared" si="23"/>
        <v/>
      </c>
      <c r="DX20" s="16" t="str">
        <f t="shared" si="23"/>
        <v/>
      </c>
    </row>
    <row r="21" spans="1:128" s="17" customFormat="1" ht="9.75" customHeight="1">
      <c r="A21" s="92" t="str">
        <f>_xlfn.CONCAT(B3,"-","Actif")</f>
        <v>--Actif</v>
      </c>
      <c r="B21" s="24" t="str">
        <f>IF(B5=0,"","Transport to PFI")</f>
        <v>Transport to PFI</v>
      </c>
      <c r="C21" s="19">
        <v>79</v>
      </c>
      <c r="D21" s="19">
        <v>3</v>
      </c>
      <c r="E21" s="19">
        <v>81</v>
      </c>
      <c r="F21" s="309" t="s">
        <v>744</v>
      </c>
      <c r="G21" s="310" t="s">
        <v>757</v>
      </c>
      <c r="H21" s="46" t="s">
        <v>745</v>
      </c>
      <c r="I21" s="675"/>
      <c r="J21" s="13" t="str">
        <f t="shared" ref="J21:BU25" si="25">IF(AND(J$5&gt;=$C21,J$5&lt;=$E21),1,"")</f>
        <v/>
      </c>
      <c r="K21" s="14" t="str">
        <f t="shared" si="25"/>
        <v/>
      </c>
      <c r="L21" s="14" t="str">
        <f t="shared" si="25"/>
        <v/>
      </c>
      <c r="M21" s="14" t="str">
        <f t="shared" si="25"/>
        <v/>
      </c>
      <c r="N21" s="14" t="str">
        <f t="shared" si="25"/>
        <v/>
      </c>
      <c r="O21" s="15" t="str">
        <f t="shared" si="25"/>
        <v/>
      </c>
      <c r="P21" s="16" t="str">
        <f t="shared" si="25"/>
        <v/>
      </c>
      <c r="Q21" s="13" t="str">
        <f t="shared" si="25"/>
        <v/>
      </c>
      <c r="R21" s="14" t="str">
        <f t="shared" si="25"/>
        <v/>
      </c>
      <c r="S21" s="14" t="str">
        <f t="shared" si="25"/>
        <v/>
      </c>
      <c r="T21" s="14" t="str">
        <f t="shared" si="25"/>
        <v/>
      </c>
      <c r="U21" s="14" t="str">
        <f t="shared" si="25"/>
        <v/>
      </c>
      <c r="V21" s="15" t="str">
        <f t="shared" si="25"/>
        <v/>
      </c>
      <c r="W21" s="16" t="str">
        <f t="shared" si="25"/>
        <v/>
      </c>
      <c r="X21" s="13" t="str">
        <f t="shared" si="25"/>
        <v/>
      </c>
      <c r="Y21" s="14" t="str">
        <f t="shared" si="25"/>
        <v/>
      </c>
      <c r="Z21" s="14" t="str">
        <f t="shared" si="25"/>
        <v/>
      </c>
      <c r="AA21" s="14" t="str">
        <f t="shared" si="25"/>
        <v/>
      </c>
      <c r="AB21" s="14" t="str">
        <f t="shared" si="25"/>
        <v/>
      </c>
      <c r="AC21" s="15" t="str">
        <f t="shared" si="25"/>
        <v/>
      </c>
      <c r="AD21" s="16" t="str">
        <f t="shared" si="25"/>
        <v/>
      </c>
      <c r="AE21" s="13" t="str">
        <f t="shared" si="25"/>
        <v/>
      </c>
      <c r="AF21" s="14" t="str">
        <f t="shared" si="25"/>
        <v/>
      </c>
      <c r="AG21" s="14" t="str">
        <f t="shared" si="25"/>
        <v/>
      </c>
      <c r="AH21" s="14" t="str">
        <f t="shared" si="25"/>
        <v/>
      </c>
      <c r="AI21" s="14" t="str">
        <f t="shared" si="25"/>
        <v/>
      </c>
      <c r="AJ21" s="15" t="str">
        <f t="shared" si="25"/>
        <v/>
      </c>
      <c r="AK21" s="16" t="str">
        <f t="shared" si="25"/>
        <v/>
      </c>
      <c r="AL21" s="13" t="str">
        <f t="shared" si="25"/>
        <v/>
      </c>
      <c r="AM21" s="14" t="str">
        <f t="shared" si="25"/>
        <v/>
      </c>
      <c r="AN21" s="14" t="str">
        <f t="shared" si="25"/>
        <v/>
      </c>
      <c r="AO21" s="14" t="str">
        <f t="shared" si="25"/>
        <v/>
      </c>
      <c r="AP21" s="14" t="str">
        <f t="shared" si="25"/>
        <v/>
      </c>
      <c r="AQ21" s="15" t="str">
        <f t="shared" si="25"/>
        <v/>
      </c>
      <c r="AR21" s="16" t="str">
        <f t="shared" si="25"/>
        <v/>
      </c>
      <c r="AS21" s="13" t="str">
        <f t="shared" si="25"/>
        <v/>
      </c>
      <c r="AT21" s="14" t="str">
        <f t="shared" si="25"/>
        <v/>
      </c>
      <c r="AU21" s="14" t="str">
        <f t="shared" si="25"/>
        <v/>
      </c>
      <c r="AV21" s="14" t="str">
        <f t="shared" si="25"/>
        <v/>
      </c>
      <c r="AW21" s="14" t="str">
        <f t="shared" si="25"/>
        <v/>
      </c>
      <c r="AX21" s="15" t="str">
        <f t="shared" si="25"/>
        <v/>
      </c>
      <c r="AY21" s="16" t="str">
        <f t="shared" si="25"/>
        <v/>
      </c>
      <c r="AZ21" s="13" t="str">
        <f t="shared" si="25"/>
        <v/>
      </c>
      <c r="BA21" s="14" t="str">
        <f t="shared" si="25"/>
        <v/>
      </c>
      <c r="BB21" s="14" t="str">
        <f t="shared" si="25"/>
        <v/>
      </c>
      <c r="BC21" s="14" t="str">
        <f t="shared" si="25"/>
        <v/>
      </c>
      <c r="BD21" s="14" t="str">
        <f t="shared" si="25"/>
        <v/>
      </c>
      <c r="BE21" s="15" t="str">
        <f t="shared" si="25"/>
        <v/>
      </c>
      <c r="BF21" s="16" t="str">
        <f t="shared" si="25"/>
        <v/>
      </c>
      <c r="BG21" s="13" t="str">
        <f t="shared" si="25"/>
        <v/>
      </c>
      <c r="BH21" s="14" t="str">
        <f t="shared" si="25"/>
        <v/>
      </c>
      <c r="BI21" s="14" t="str">
        <f t="shared" si="25"/>
        <v/>
      </c>
      <c r="BJ21" s="14" t="str">
        <f t="shared" si="25"/>
        <v/>
      </c>
      <c r="BK21" s="14" t="str">
        <f t="shared" si="25"/>
        <v/>
      </c>
      <c r="BL21" s="15" t="str">
        <f t="shared" si="25"/>
        <v/>
      </c>
      <c r="BM21" s="16" t="str">
        <f t="shared" si="25"/>
        <v/>
      </c>
      <c r="BN21" s="13" t="str">
        <f t="shared" si="25"/>
        <v/>
      </c>
      <c r="BO21" s="14" t="str">
        <f t="shared" si="25"/>
        <v/>
      </c>
      <c r="BP21" s="14" t="str">
        <f t="shared" si="25"/>
        <v/>
      </c>
      <c r="BQ21" s="14" t="str">
        <f t="shared" si="25"/>
        <v/>
      </c>
      <c r="BR21" s="14" t="str">
        <f t="shared" si="25"/>
        <v/>
      </c>
      <c r="BS21" s="15" t="str">
        <f t="shared" si="25"/>
        <v/>
      </c>
      <c r="BT21" s="16" t="str">
        <f t="shared" si="25"/>
        <v/>
      </c>
      <c r="BU21" s="13" t="str">
        <f t="shared" si="25"/>
        <v/>
      </c>
      <c r="BV21" s="14" t="str">
        <f t="shared" si="20"/>
        <v/>
      </c>
      <c r="BW21" s="14" t="str">
        <f t="shared" si="20"/>
        <v/>
      </c>
      <c r="BX21" s="14" t="str">
        <f t="shared" si="20"/>
        <v/>
      </c>
      <c r="BY21" s="14" t="str">
        <f t="shared" si="20"/>
        <v/>
      </c>
      <c r="BZ21" s="15" t="str">
        <f t="shared" si="20"/>
        <v/>
      </c>
      <c r="CA21" s="16" t="str">
        <f t="shared" si="21"/>
        <v/>
      </c>
      <c r="CB21" s="13" t="str">
        <f t="shared" si="21"/>
        <v/>
      </c>
      <c r="CC21" s="14" t="str">
        <f t="shared" si="21"/>
        <v/>
      </c>
      <c r="CD21" s="14" t="str">
        <f t="shared" si="21"/>
        <v/>
      </c>
      <c r="CE21" s="14" t="str">
        <f t="shared" si="21"/>
        <v/>
      </c>
      <c r="CF21" s="14" t="str">
        <f t="shared" si="21"/>
        <v/>
      </c>
      <c r="CG21" s="15" t="str">
        <f t="shared" si="21"/>
        <v/>
      </c>
      <c r="CH21" s="16" t="str">
        <f t="shared" si="21"/>
        <v/>
      </c>
      <c r="CI21" s="13" t="str">
        <f t="shared" si="21"/>
        <v/>
      </c>
      <c r="CJ21" s="14">
        <f t="shared" si="21"/>
        <v>1</v>
      </c>
      <c r="CK21" s="14">
        <f t="shared" si="21"/>
        <v>1</v>
      </c>
      <c r="CL21" s="14">
        <f t="shared" si="21"/>
        <v>1</v>
      </c>
      <c r="CM21" s="14" t="str">
        <f t="shared" si="21"/>
        <v/>
      </c>
      <c r="CN21" s="15" t="str">
        <f t="shared" si="21"/>
        <v/>
      </c>
      <c r="CO21" s="16" t="str">
        <f t="shared" si="21"/>
        <v/>
      </c>
      <c r="CP21" s="13" t="str">
        <f t="shared" si="21"/>
        <v/>
      </c>
      <c r="CQ21" s="14" t="str">
        <f t="shared" si="22"/>
        <v/>
      </c>
      <c r="CR21" s="14" t="str">
        <f t="shared" si="22"/>
        <v/>
      </c>
      <c r="CS21" s="14" t="str">
        <f t="shared" si="22"/>
        <v/>
      </c>
      <c r="CT21" s="14" t="str">
        <f t="shared" si="22"/>
        <v/>
      </c>
      <c r="CU21" s="15" t="str">
        <f t="shared" si="22"/>
        <v/>
      </c>
      <c r="CV21" s="16" t="str">
        <f t="shared" si="22"/>
        <v/>
      </c>
      <c r="CW21" s="13" t="str">
        <f t="shared" si="22"/>
        <v/>
      </c>
      <c r="CX21" s="14" t="str">
        <f t="shared" si="22"/>
        <v/>
      </c>
      <c r="CY21" s="14" t="str">
        <f t="shared" si="22"/>
        <v/>
      </c>
      <c r="CZ21" s="14" t="str">
        <f t="shared" si="22"/>
        <v/>
      </c>
      <c r="DA21" s="14" t="str">
        <f t="shared" si="22"/>
        <v/>
      </c>
      <c r="DB21" s="15" t="str">
        <f t="shared" si="22"/>
        <v/>
      </c>
      <c r="DC21" s="16" t="str">
        <f t="shared" si="22"/>
        <v/>
      </c>
      <c r="DD21" s="13" t="str">
        <f t="shared" si="22"/>
        <v/>
      </c>
      <c r="DE21" s="14" t="str">
        <f t="shared" si="22"/>
        <v/>
      </c>
      <c r="DF21" s="14" t="str">
        <f t="shared" si="22"/>
        <v/>
      </c>
      <c r="DG21" s="14" t="str">
        <f t="shared" si="23"/>
        <v/>
      </c>
      <c r="DH21" s="14" t="str">
        <f t="shared" si="23"/>
        <v/>
      </c>
      <c r="DI21" s="15" t="str">
        <f t="shared" si="23"/>
        <v/>
      </c>
      <c r="DJ21" s="16" t="str">
        <f t="shared" si="23"/>
        <v/>
      </c>
      <c r="DK21" s="13" t="str">
        <f t="shared" si="23"/>
        <v/>
      </c>
      <c r="DL21" s="14" t="str">
        <f t="shared" si="23"/>
        <v/>
      </c>
      <c r="DM21" s="14" t="str">
        <f t="shared" si="23"/>
        <v/>
      </c>
      <c r="DN21" s="14" t="str">
        <f t="shared" si="23"/>
        <v/>
      </c>
      <c r="DO21" s="14" t="str">
        <f t="shared" si="23"/>
        <v/>
      </c>
      <c r="DP21" s="15" t="str">
        <f t="shared" si="23"/>
        <v/>
      </c>
      <c r="DQ21" s="16" t="str">
        <f t="shared" si="23"/>
        <v/>
      </c>
      <c r="DR21" s="13" t="str">
        <f t="shared" si="23"/>
        <v/>
      </c>
      <c r="DS21" s="14" t="str">
        <f t="shared" si="23"/>
        <v/>
      </c>
      <c r="DT21" s="14" t="str">
        <f t="shared" si="23"/>
        <v/>
      </c>
      <c r="DU21" s="14" t="str">
        <f t="shared" si="23"/>
        <v/>
      </c>
      <c r="DV21" s="14" t="str">
        <f t="shared" si="23"/>
        <v/>
      </c>
      <c r="DW21" s="15" t="str">
        <f t="shared" si="23"/>
        <v/>
      </c>
      <c r="DX21" s="16" t="str">
        <f t="shared" si="23"/>
        <v/>
      </c>
    </row>
    <row r="22" spans="1:128" s="17" customFormat="1" ht="9.75" customHeight="1">
      <c r="A22" s="25" t="s">
        <v>50</v>
      </c>
      <c r="B22" s="24" t="s">
        <v>51</v>
      </c>
      <c r="C22" s="19">
        <v>82</v>
      </c>
      <c r="D22" s="19">
        <v>3</v>
      </c>
      <c r="E22" s="19">
        <v>84</v>
      </c>
      <c r="F22" s="309" t="s">
        <v>744</v>
      </c>
      <c r="G22" s="310" t="s">
        <v>758</v>
      </c>
      <c r="H22" s="46" t="s">
        <v>745</v>
      </c>
      <c r="I22" s="675"/>
      <c r="J22" s="13" t="str">
        <f t="shared" si="25"/>
        <v/>
      </c>
      <c r="K22" s="14" t="str">
        <f t="shared" si="25"/>
        <v/>
      </c>
      <c r="L22" s="14" t="str">
        <f t="shared" si="25"/>
        <v/>
      </c>
      <c r="M22" s="14" t="str">
        <f t="shared" si="25"/>
        <v/>
      </c>
      <c r="N22" s="14" t="str">
        <f t="shared" si="25"/>
        <v/>
      </c>
      <c r="O22" s="15" t="str">
        <f t="shared" si="25"/>
        <v/>
      </c>
      <c r="P22" s="16" t="str">
        <f t="shared" si="25"/>
        <v/>
      </c>
      <c r="Q22" s="13" t="str">
        <f t="shared" si="25"/>
        <v/>
      </c>
      <c r="R22" s="14" t="str">
        <f t="shared" si="25"/>
        <v/>
      </c>
      <c r="S22" s="14" t="str">
        <f t="shared" si="25"/>
        <v/>
      </c>
      <c r="T22" s="14" t="str">
        <f t="shared" si="25"/>
        <v/>
      </c>
      <c r="U22" s="14" t="str">
        <f t="shared" si="25"/>
        <v/>
      </c>
      <c r="V22" s="15" t="str">
        <f t="shared" si="25"/>
        <v/>
      </c>
      <c r="W22" s="16" t="str">
        <f t="shared" si="25"/>
        <v/>
      </c>
      <c r="X22" s="13" t="str">
        <f t="shared" si="25"/>
        <v/>
      </c>
      <c r="Y22" s="14" t="str">
        <f t="shared" si="25"/>
        <v/>
      </c>
      <c r="Z22" s="14" t="str">
        <f t="shared" si="25"/>
        <v/>
      </c>
      <c r="AA22" s="14" t="str">
        <f t="shared" si="25"/>
        <v/>
      </c>
      <c r="AB22" s="14" t="str">
        <f t="shared" si="25"/>
        <v/>
      </c>
      <c r="AC22" s="15" t="str">
        <f t="shared" si="25"/>
        <v/>
      </c>
      <c r="AD22" s="16" t="str">
        <f t="shared" si="25"/>
        <v/>
      </c>
      <c r="AE22" s="13" t="str">
        <f t="shared" si="18"/>
        <v/>
      </c>
      <c r="AF22" s="14" t="str">
        <f t="shared" si="18"/>
        <v/>
      </c>
      <c r="AG22" s="14" t="str">
        <f t="shared" si="18"/>
        <v/>
      </c>
      <c r="AH22" s="14" t="str">
        <f t="shared" si="18"/>
        <v/>
      </c>
      <c r="AI22" s="14" t="str">
        <f t="shared" si="18"/>
        <v/>
      </c>
      <c r="AJ22" s="15" t="str">
        <f t="shared" si="18"/>
        <v/>
      </c>
      <c r="AK22" s="16" t="str">
        <f t="shared" si="18"/>
        <v/>
      </c>
      <c r="AL22" s="13" t="str">
        <f t="shared" si="18"/>
        <v/>
      </c>
      <c r="AM22" s="14" t="str">
        <f t="shared" si="18"/>
        <v/>
      </c>
      <c r="AN22" s="14" t="str">
        <f t="shared" si="18"/>
        <v/>
      </c>
      <c r="AO22" s="14" t="str">
        <f t="shared" si="18"/>
        <v/>
      </c>
      <c r="AP22" s="14" t="str">
        <f t="shared" si="18"/>
        <v/>
      </c>
      <c r="AQ22" s="15" t="str">
        <f t="shared" si="18"/>
        <v/>
      </c>
      <c r="AR22" s="16" t="str">
        <f t="shared" si="18"/>
        <v/>
      </c>
      <c r="AS22" s="13" t="str">
        <f t="shared" si="18"/>
        <v/>
      </c>
      <c r="AT22" s="14" t="str">
        <f t="shared" si="18"/>
        <v/>
      </c>
      <c r="AU22" s="14" t="str">
        <f t="shared" si="19"/>
        <v/>
      </c>
      <c r="AV22" s="14" t="str">
        <f t="shared" si="19"/>
        <v/>
      </c>
      <c r="AW22" s="14" t="str">
        <f t="shared" si="19"/>
        <v/>
      </c>
      <c r="AX22" s="15" t="str">
        <f t="shared" si="19"/>
        <v/>
      </c>
      <c r="AY22" s="16" t="str">
        <f t="shared" si="19"/>
        <v/>
      </c>
      <c r="AZ22" s="13" t="str">
        <f t="shared" si="19"/>
        <v/>
      </c>
      <c r="BA22" s="14" t="str">
        <f t="shared" si="19"/>
        <v/>
      </c>
      <c r="BB22" s="14" t="str">
        <f t="shared" si="19"/>
        <v/>
      </c>
      <c r="BC22" s="14" t="str">
        <f t="shared" si="19"/>
        <v/>
      </c>
      <c r="BD22" s="14" t="str">
        <f t="shared" si="19"/>
        <v/>
      </c>
      <c r="BE22" s="15" t="str">
        <f t="shared" si="19"/>
        <v/>
      </c>
      <c r="BF22" s="16" t="str">
        <f t="shared" si="19"/>
        <v/>
      </c>
      <c r="BG22" s="13" t="str">
        <f t="shared" si="19"/>
        <v/>
      </c>
      <c r="BH22" s="14" t="str">
        <f t="shared" si="19"/>
        <v/>
      </c>
      <c r="BI22" s="14" t="str">
        <f t="shared" si="19"/>
        <v/>
      </c>
      <c r="BJ22" s="14" t="str">
        <f t="shared" si="19"/>
        <v/>
      </c>
      <c r="BK22" s="14" t="str">
        <f t="shared" si="20"/>
        <v/>
      </c>
      <c r="BL22" s="15" t="str">
        <f t="shared" si="20"/>
        <v/>
      </c>
      <c r="BM22" s="16" t="str">
        <f t="shared" si="20"/>
        <v/>
      </c>
      <c r="BN22" s="13" t="str">
        <f t="shared" si="20"/>
        <v/>
      </c>
      <c r="BO22" s="14" t="str">
        <f t="shared" si="20"/>
        <v/>
      </c>
      <c r="BP22" s="14" t="str">
        <f t="shared" si="20"/>
        <v/>
      </c>
      <c r="BQ22" s="14" t="str">
        <f t="shared" si="20"/>
        <v/>
      </c>
      <c r="BR22" s="14" t="str">
        <f t="shared" si="20"/>
        <v/>
      </c>
      <c r="BS22" s="15" t="str">
        <f t="shared" si="20"/>
        <v/>
      </c>
      <c r="BT22" s="16" t="str">
        <f t="shared" si="20"/>
        <v/>
      </c>
      <c r="BU22" s="13" t="str">
        <f t="shared" si="20"/>
        <v/>
      </c>
      <c r="BV22" s="14" t="str">
        <f t="shared" si="20"/>
        <v/>
      </c>
      <c r="BW22" s="14" t="str">
        <f t="shared" si="20"/>
        <v/>
      </c>
      <c r="BX22" s="14" t="str">
        <f t="shared" si="20"/>
        <v/>
      </c>
      <c r="BY22" s="14" t="str">
        <f t="shared" si="20"/>
        <v/>
      </c>
      <c r="BZ22" s="15" t="str">
        <f t="shared" si="20"/>
        <v/>
      </c>
      <c r="CA22" s="16" t="str">
        <f t="shared" si="21"/>
        <v/>
      </c>
      <c r="CB22" s="13" t="str">
        <f t="shared" si="21"/>
        <v/>
      </c>
      <c r="CC22" s="14" t="str">
        <f t="shared" si="21"/>
        <v/>
      </c>
      <c r="CD22" s="14" t="str">
        <f t="shared" si="21"/>
        <v/>
      </c>
      <c r="CE22" s="14" t="str">
        <f t="shared" si="21"/>
        <v/>
      </c>
      <c r="CF22" s="14" t="str">
        <f t="shared" si="21"/>
        <v/>
      </c>
      <c r="CG22" s="15" t="str">
        <f t="shared" si="21"/>
        <v/>
      </c>
      <c r="CH22" s="16" t="str">
        <f t="shared" si="21"/>
        <v/>
      </c>
      <c r="CI22" s="13" t="str">
        <f t="shared" si="21"/>
        <v/>
      </c>
      <c r="CJ22" s="14" t="str">
        <f t="shared" si="21"/>
        <v/>
      </c>
      <c r="CK22" s="14" t="str">
        <f t="shared" si="21"/>
        <v/>
      </c>
      <c r="CL22" s="14" t="str">
        <f t="shared" si="21"/>
        <v/>
      </c>
      <c r="CM22" s="14">
        <f t="shared" si="21"/>
        <v>1</v>
      </c>
      <c r="CN22" s="15">
        <f t="shared" si="21"/>
        <v>1</v>
      </c>
      <c r="CO22" s="16">
        <f t="shared" si="21"/>
        <v>1</v>
      </c>
      <c r="CP22" s="13" t="str">
        <f t="shared" si="21"/>
        <v/>
      </c>
      <c r="CQ22" s="14" t="str">
        <f t="shared" si="22"/>
        <v/>
      </c>
      <c r="CR22" s="14" t="str">
        <f t="shared" si="22"/>
        <v/>
      </c>
      <c r="CS22" s="14" t="str">
        <f t="shared" si="22"/>
        <v/>
      </c>
      <c r="CT22" s="14" t="str">
        <f t="shared" si="22"/>
        <v/>
      </c>
      <c r="CU22" s="15" t="str">
        <f t="shared" si="22"/>
        <v/>
      </c>
      <c r="CV22" s="16" t="str">
        <f t="shared" si="22"/>
        <v/>
      </c>
      <c r="CW22" s="13" t="str">
        <f t="shared" si="22"/>
        <v/>
      </c>
      <c r="CX22" s="14" t="str">
        <f t="shared" si="22"/>
        <v/>
      </c>
      <c r="CY22" s="14" t="str">
        <f t="shared" si="22"/>
        <v/>
      </c>
      <c r="CZ22" s="14" t="str">
        <f t="shared" si="22"/>
        <v/>
      </c>
      <c r="DA22" s="14" t="str">
        <f t="shared" si="22"/>
        <v/>
      </c>
      <c r="DB22" s="15" t="str">
        <f t="shared" si="22"/>
        <v/>
      </c>
      <c r="DC22" s="16" t="str">
        <f t="shared" si="22"/>
        <v/>
      </c>
      <c r="DD22" s="13" t="str">
        <f t="shared" si="22"/>
        <v/>
      </c>
      <c r="DE22" s="14" t="str">
        <f t="shared" si="22"/>
        <v/>
      </c>
      <c r="DF22" s="14" t="str">
        <f t="shared" si="22"/>
        <v/>
      </c>
      <c r="DG22" s="14" t="str">
        <f t="shared" si="23"/>
        <v/>
      </c>
      <c r="DH22" s="14" t="str">
        <f t="shared" si="23"/>
        <v/>
      </c>
      <c r="DI22" s="15" t="str">
        <f t="shared" si="23"/>
        <v/>
      </c>
      <c r="DJ22" s="16" t="str">
        <f t="shared" si="23"/>
        <v/>
      </c>
      <c r="DK22" s="13" t="str">
        <f t="shared" si="23"/>
        <v/>
      </c>
      <c r="DL22" s="14" t="str">
        <f t="shared" ref="DL22:DX25" si="26">IF(AND(DL$5&gt;=$C22,DL$5&lt;=$E22),1,"")</f>
        <v/>
      </c>
      <c r="DM22" s="14" t="str">
        <f t="shared" si="26"/>
        <v/>
      </c>
      <c r="DN22" s="14" t="str">
        <f t="shared" si="26"/>
        <v/>
      </c>
      <c r="DO22" s="14" t="str">
        <f t="shared" si="26"/>
        <v/>
      </c>
      <c r="DP22" s="15" t="str">
        <f t="shared" si="26"/>
        <v/>
      </c>
      <c r="DQ22" s="16" t="str">
        <f t="shared" si="26"/>
        <v/>
      </c>
      <c r="DR22" s="13" t="str">
        <f t="shared" si="26"/>
        <v/>
      </c>
      <c r="DS22" s="14" t="str">
        <f t="shared" si="26"/>
        <v/>
      </c>
      <c r="DT22" s="14" t="str">
        <f t="shared" si="26"/>
        <v/>
      </c>
      <c r="DU22" s="14" t="str">
        <f t="shared" si="26"/>
        <v/>
      </c>
      <c r="DV22" s="14" t="str">
        <f t="shared" si="26"/>
        <v/>
      </c>
      <c r="DW22" s="15" t="str">
        <f t="shared" si="26"/>
        <v/>
      </c>
      <c r="DX22" s="16" t="str">
        <f t="shared" si="26"/>
        <v/>
      </c>
    </row>
    <row r="23" spans="1:128" s="17" customFormat="1" ht="9.75" customHeight="1">
      <c r="A23" s="27" t="e">
        <f ca="1">IFERROR(VLOOKUP(_xlfn.CONCAT(B7,"-","Actif"),'DATA BTO'!A:D,3,FALSE),VLOOKUP(_xlfn.CONCAT(B7,"-","Inactif"),'DATA BTO'!A:D,3,FALSE))</f>
        <v>#N/A</v>
      </c>
      <c r="B23" s="26" t="s">
        <v>52</v>
      </c>
      <c r="C23" s="19">
        <v>85</v>
      </c>
      <c r="D23" s="19">
        <v>0</v>
      </c>
      <c r="E23" s="19">
        <v>84</v>
      </c>
      <c r="F23" s="309" t="s">
        <v>744</v>
      </c>
      <c r="G23" s="311" t="s">
        <v>751</v>
      </c>
      <c r="H23" s="46" t="s">
        <v>745</v>
      </c>
      <c r="I23" s="676" t="s">
        <v>759</v>
      </c>
      <c r="J23" s="13" t="str">
        <f t="shared" si="25"/>
        <v/>
      </c>
      <c r="K23" s="14" t="str">
        <f t="shared" si="25"/>
        <v/>
      </c>
      <c r="L23" s="14" t="str">
        <f t="shared" si="25"/>
        <v/>
      </c>
      <c r="M23" s="14" t="str">
        <f t="shared" si="25"/>
        <v/>
      </c>
      <c r="N23" s="14" t="str">
        <f t="shared" si="25"/>
        <v/>
      </c>
      <c r="O23" s="15" t="str">
        <f t="shared" si="25"/>
        <v/>
      </c>
      <c r="P23" s="16" t="str">
        <f t="shared" si="25"/>
        <v/>
      </c>
      <c r="Q23" s="13" t="str">
        <f t="shared" si="25"/>
        <v/>
      </c>
      <c r="R23" s="14" t="str">
        <f t="shared" si="25"/>
        <v/>
      </c>
      <c r="S23" s="14" t="str">
        <f t="shared" si="25"/>
        <v/>
      </c>
      <c r="T23" s="14" t="str">
        <f t="shared" si="25"/>
        <v/>
      </c>
      <c r="U23" s="14" t="str">
        <f t="shared" si="25"/>
        <v/>
      </c>
      <c r="V23" s="15" t="str">
        <f t="shared" si="25"/>
        <v/>
      </c>
      <c r="W23" s="16" t="str">
        <f t="shared" si="25"/>
        <v/>
      </c>
      <c r="X23" s="13" t="str">
        <f t="shared" si="25"/>
        <v/>
      </c>
      <c r="Y23" s="14" t="str">
        <f t="shared" si="25"/>
        <v/>
      </c>
      <c r="Z23" s="14" t="str">
        <f t="shared" si="25"/>
        <v/>
      </c>
      <c r="AA23" s="14" t="str">
        <f t="shared" si="25"/>
        <v/>
      </c>
      <c r="AB23" s="14" t="str">
        <f t="shared" si="25"/>
        <v/>
      </c>
      <c r="AC23" s="15" t="str">
        <f t="shared" si="25"/>
        <v/>
      </c>
      <c r="AD23" s="16" t="str">
        <f t="shared" si="25"/>
        <v/>
      </c>
      <c r="AE23" s="13" t="str">
        <f t="shared" si="18"/>
        <v/>
      </c>
      <c r="AF23" s="14" t="str">
        <f t="shared" si="18"/>
        <v/>
      </c>
      <c r="AG23" s="14" t="str">
        <f t="shared" si="18"/>
        <v/>
      </c>
      <c r="AH23" s="14" t="str">
        <f t="shared" si="18"/>
        <v/>
      </c>
      <c r="AI23" s="14" t="str">
        <f t="shared" si="18"/>
        <v/>
      </c>
      <c r="AJ23" s="15" t="str">
        <f t="shared" si="18"/>
        <v/>
      </c>
      <c r="AK23" s="16" t="str">
        <f t="shared" si="18"/>
        <v/>
      </c>
      <c r="AL23" s="13" t="str">
        <f t="shared" si="18"/>
        <v/>
      </c>
      <c r="AM23" s="14" t="str">
        <f t="shared" si="18"/>
        <v/>
      </c>
      <c r="AN23" s="14" t="str">
        <f t="shared" si="18"/>
        <v/>
      </c>
      <c r="AO23" s="14" t="str">
        <f t="shared" si="18"/>
        <v/>
      </c>
      <c r="AP23" s="14" t="str">
        <f t="shared" si="18"/>
        <v/>
      </c>
      <c r="AQ23" s="15" t="str">
        <f t="shared" si="18"/>
        <v/>
      </c>
      <c r="AR23" s="16" t="str">
        <f t="shared" si="18"/>
        <v/>
      </c>
      <c r="AS23" s="13" t="str">
        <f t="shared" si="18"/>
        <v/>
      </c>
      <c r="AT23" s="14" t="str">
        <f t="shared" si="18"/>
        <v/>
      </c>
      <c r="AU23" s="14" t="str">
        <f t="shared" si="19"/>
        <v/>
      </c>
      <c r="AV23" s="14" t="str">
        <f t="shared" si="19"/>
        <v/>
      </c>
      <c r="AW23" s="14" t="str">
        <f t="shared" si="19"/>
        <v/>
      </c>
      <c r="AX23" s="15" t="str">
        <f t="shared" si="19"/>
        <v/>
      </c>
      <c r="AY23" s="16" t="str">
        <f t="shared" si="19"/>
        <v/>
      </c>
      <c r="AZ23" s="13" t="str">
        <f t="shared" si="19"/>
        <v/>
      </c>
      <c r="BA23" s="14" t="str">
        <f t="shared" si="19"/>
        <v/>
      </c>
      <c r="BB23" s="14" t="str">
        <f t="shared" si="19"/>
        <v/>
      </c>
      <c r="BC23" s="14" t="str">
        <f t="shared" si="19"/>
        <v/>
      </c>
      <c r="BD23" s="14" t="str">
        <f t="shared" si="19"/>
        <v/>
      </c>
      <c r="BE23" s="15" t="str">
        <f t="shared" si="19"/>
        <v/>
      </c>
      <c r="BF23" s="16" t="str">
        <f t="shared" si="19"/>
        <v/>
      </c>
      <c r="BG23" s="13" t="str">
        <f t="shared" si="19"/>
        <v/>
      </c>
      <c r="BH23" s="14" t="str">
        <f t="shared" si="19"/>
        <v/>
      </c>
      <c r="BI23" s="14" t="str">
        <f t="shared" si="19"/>
        <v/>
      </c>
      <c r="BJ23" s="14" t="str">
        <f t="shared" si="19"/>
        <v/>
      </c>
      <c r="BK23" s="14" t="str">
        <f t="shared" si="20"/>
        <v/>
      </c>
      <c r="BL23" s="15" t="str">
        <f t="shared" si="20"/>
        <v/>
      </c>
      <c r="BM23" s="16" t="str">
        <f t="shared" si="20"/>
        <v/>
      </c>
      <c r="BN23" s="13" t="str">
        <f t="shared" si="20"/>
        <v/>
      </c>
      <c r="BO23" s="14" t="str">
        <f t="shared" si="20"/>
        <v/>
      </c>
      <c r="BP23" s="14" t="str">
        <f t="shared" si="20"/>
        <v/>
      </c>
      <c r="BQ23" s="14" t="str">
        <f t="shared" si="20"/>
        <v/>
      </c>
      <c r="BR23" s="14" t="str">
        <f t="shared" si="20"/>
        <v/>
      </c>
      <c r="BS23" s="15" t="str">
        <f t="shared" si="20"/>
        <v/>
      </c>
      <c r="BT23" s="16" t="str">
        <f t="shared" si="20"/>
        <v/>
      </c>
      <c r="BU23" s="13" t="str">
        <f t="shared" si="20"/>
        <v/>
      </c>
      <c r="BV23" s="14" t="str">
        <f t="shared" si="20"/>
        <v/>
      </c>
      <c r="BW23" s="14" t="str">
        <f t="shared" si="20"/>
        <v/>
      </c>
      <c r="BX23" s="14" t="str">
        <f t="shared" si="20"/>
        <v/>
      </c>
      <c r="BY23" s="14" t="str">
        <f t="shared" si="20"/>
        <v/>
      </c>
      <c r="BZ23" s="15" t="str">
        <f t="shared" si="20"/>
        <v/>
      </c>
      <c r="CA23" s="16" t="str">
        <f t="shared" si="21"/>
        <v/>
      </c>
      <c r="CB23" s="13" t="str">
        <f t="shared" si="21"/>
        <v/>
      </c>
      <c r="CC23" s="14" t="str">
        <f t="shared" si="21"/>
        <v/>
      </c>
      <c r="CD23" s="14" t="str">
        <f t="shared" si="21"/>
        <v/>
      </c>
      <c r="CE23" s="14" t="str">
        <f t="shared" si="21"/>
        <v/>
      </c>
      <c r="CF23" s="14" t="str">
        <f t="shared" si="21"/>
        <v/>
      </c>
      <c r="CG23" s="15" t="str">
        <f t="shared" si="21"/>
        <v/>
      </c>
      <c r="CH23" s="16" t="str">
        <f t="shared" si="21"/>
        <v/>
      </c>
      <c r="CI23" s="13" t="str">
        <f t="shared" si="21"/>
        <v/>
      </c>
      <c r="CJ23" s="14" t="str">
        <f t="shared" si="21"/>
        <v/>
      </c>
      <c r="CK23" s="14" t="str">
        <f t="shared" si="21"/>
        <v/>
      </c>
      <c r="CL23" s="14" t="str">
        <f t="shared" si="21"/>
        <v/>
      </c>
      <c r="CM23" s="14" t="str">
        <f t="shared" si="21"/>
        <v/>
      </c>
      <c r="CN23" s="15" t="str">
        <f t="shared" si="21"/>
        <v/>
      </c>
      <c r="CO23" s="16" t="str">
        <f t="shared" si="21"/>
        <v/>
      </c>
      <c r="CP23" s="13" t="str">
        <f t="shared" ref="CP23" si="27">IF(AND(CP$5&gt;=$C23,CP$5&lt;=$E23),1,"")</f>
        <v/>
      </c>
      <c r="CQ23" s="14" t="str">
        <f t="shared" si="22"/>
        <v/>
      </c>
      <c r="CR23" s="14" t="str">
        <f t="shared" si="22"/>
        <v/>
      </c>
      <c r="CS23" s="14" t="str">
        <f t="shared" si="22"/>
        <v/>
      </c>
      <c r="CT23" s="14" t="str">
        <f t="shared" si="22"/>
        <v/>
      </c>
      <c r="CU23" s="15" t="str">
        <f t="shared" si="22"/>
        <v/>
      </c>
      <c r="CV23" s="16" t="str">
        <f t="shared" si="22"/>
        <v/>
      </c>
      <c r="CW23" s="13" t="str">
        <f t="shared" si="22"/>
        <v/>
      </c>
      <c r="CX23" s="14" t="str">
        <f t="shared" si="22"/>
        <v/>
      </c>
      <c r="CY23" s="14" t="str">
        <f t="shared" si="22"/>
        <v/>
      </c>
      <c r="CZ23" s="14" t="str">
        <f t="shared" si="22"/>
        <v/>
      </c>
      <c r="DA23" s="14" t="str">
        <f t="shared" si="22"/>
        <v/>
      </c>
      <c r="DB23" s="15" t="str">
        <f t="shared" si="22"/>
        <v/>
      </c>
      <c r="DC23" s="16" t="str">
        <f t="shared" si="22"/>
        <v/>
      </c>
      <c r="DD23" s="13" t="str">
        <f t="shared" si="22"/>
        <v/>
      </c>
      <c r="DE23" s="14" t="str">
        <f t="shared" si="22"/>
        <v/>
      </c>
      <c r="DF23" s="14" t="str">
        <f t="shared" ref="DF23:DU25" si="28">IF(AND(DF$5&gt;=$C23,DF$5&lt;=$E23),1,"")</f>
        <v/>
      </c>
      <c r="DG23" s="14" t="str">
        <f t="shared" si="28"/>
        <v/>
      </c>
      <c r="DH23" s="14" t="str">
        <f t="shared" si="28"/>
        <v/>
      </c>
      <c r="DI23" s="15" t="str">
        <f t="shared" si="28"/>
        <v/>
      </c>
      <c r="DJ23" s="16" t="str">
        <f t="shared" si="28"/>
        <v/>
      </c>
      <c r="DK23" s="13" t="str">
        <f t="shared" si="28"/>
        <v/>
      </c>
      <c r="DL23" s="14" t="str">
        <f t="shared" si="28"/>
        <v/>
      </c>
      <c r="DM23" s="14" t="str">
        <f t="shared" si="28"/>
        <v/>
      </c>
      <c r="DN23" s="14" t="str">
        <f t="shared" si="28"/>
        <v/>
      </c>
      <c r="DO23" s="14" t="str">
        <f t="shared" si="28"/>
        <v/>
      </c>
      <c r="DP23" s="15" t="str">
        <f t="shared" si="28"/>
        <v/>
      </c>
      <c r="DQ23" s="16" t="str">
        <f t="shared" si="28"/>
        <v/>
      </c>
      <c r="DR23" s="13" t="str">
        <f t="shared" si="28"/>
        <v/>
      </c>
      <c r="DS23" s="14" t="str">
        <f t="shared" si="28"/>
        <v/>
      </c>
      <c r="DT23" s="14" t="str">
        <f t="shared" si="28"/>
        <v/>
      </c>
      <c r="DU23" s="14" t="str">
        <f t="shared" si="28"/>
        <v/>
      </c>
      <c r="DV23" s="14" t="str">
        <f t="shared" si="26"/>
        <v/>
      </c>
      <c r="DW23" s="15" t="str">
        <f t="shared" si="26"/>
        <v/>
      </c>
      <c r="DX23" s="16" t="str">
        <f t="shared" si="26"/>
        <v/>
      </c>
    </row>
    <row r="24" spans="1:128" s="17" customFormat="1" ht="9.75" customHeight="1">
      <c r="A24" s="27" t="e">
        <f ca="1">IFERROR(VLOOKUP(_xlfn.CONCAT(B7,"-","Actif"),'DATA BTO'!A:D,4,FALSE),VLOOKUP(_xlfn.CONCAT(B7,"-","Inactif"),'DATA BTO'!A:D,4,FALSE))</f>
        <v>#N/A</v>
      </c>
      <c r="B24" s="28" t="s">
        <v>53</v>
      </c>
      <c r="C24" s="19">
        <v>85</v>
      </c>
      <c r="D24" s="20">
        <v>7</v>
      </c>
      <c r="E24" s="19">
        <v>91</v>
      </c>
      <c r="F24" s="309" t="s">
        <v>744</v>
      </c>
      <c r="G24" s="46" t="s">
        <v>744</v>
      </c>
      <c r="H24" s="46" t="s">
        <v>745</v>
      </c>
      <c r="I24" s="676"/>
      <c r="J24" s="13" t="str">
        <f t="shared" si="25"/>
        <v/>
      </c>
      <c r="K24" s="14" t="str">
        <f t="shared" si="25"/>
        <v/>
      </c>
      <c r="L24" s="14" t="str">
        <f t="shared" si="25"/>
        <v/>
      </c>
      <c r="M24" s="14" t="str">
        <f t="shared" si="25"/>
        <v/>
      </c>
      <c r="N24" s="14" t="str">
        <f t="shared" si="25"/>
        <v/>
      </c>
      <c r="O24" s="15" t="str">
        <f t="shared" si="25"/>
        <v/>
      </c>
      <c r="P24" s="16" t="str">
        <f t="shared" si="25"/>
        <v/>
      </c>
      <c r="Q24" s="13" t="str">
        <f t="shared" si="25"/>
        <v/>
      </c>
      <c r="R24" s="14" t="str">
        <f t="shared" si="25"/>
        <v/>
      </c>
      <c r="S24" s="14" t="str">
        <f t="shared" si="25"/>
        <v/>
      </c>
      <c r="T24" s="14" t="str">
        <f t="shared" si="25"/>
        <v/>
      </c>
      <c r="U24" s="14" t="str">
        <f t="shared" si="25"/>
        <v/>
      </c>
      <c r="V24" s="15" t="str">
        <f t="shared" si="25"/>
        <v/>
      </c>
      <c r="W24" s="16" t="str">
        <f t="shared" si="25"/>
        <v/>
      </c>
      <c r="X24" s="13" t="str">
        <f t="shared" si="25"/>
        <v/>
      </c>
      <c r="Y24" s="14" t="str">
        <f t="shared" si="25"/>
        <v/>
      </c>
      <c r="Z24" s="14" t="str">
        <f t="shared" si="25"/>
        <v/>
      </c>
      <c r="AA24" s="14" t="str">
        <f t="shared" si="25"/>
        <v/>
      </c>
      <c r="AB24" s="14" t="str">
        <f t="shared" si="25"/>
        <v/>
      </c>
      <c r="AC24" s="15" t="str">
        <f t="shared" si="25"/>
        <v/>
      </c>
      <c r="AD24" s="16" t="str">
        <f t="shared" si="25"/>
        <v/>
      </c>
      <c r="AE24" s="13" t="str">
        <f t="shared" si="18"/>
        <v/>
      </c>
      <c r="AF24" s="14" t="str">
        <f t="shared" si="18"/>
        <v/>
      </c>
      <c r="AG24" s="14" t="str">
        <f t="shared" si="18"/>
        <v/>
      </c>
      <c r="AH24" s="14" t="str">
        <f t="shared" si="18"/>
        <v/>
      </c>
      <c r="AI24" s="14" t="str">
        <f t="shared" si="18"/>
        <v/>
      </c>
      <c r="AJ24" s="15" t="str">
        <f t="shared" si="18"/>
        <v/>
      </c>
      <c r="AK24" s="16" t="str">
        <f t="shared" si="18"/>
        <v/>
      </c>
      <c r="AL24" s="13" t="str">
        <f t="shared" si="18"/>
        <v/>
      </c>
      <c r="AM24" s="14" t="str">
        <f t="shared" si="18"/>
        <v/>
      </c>
      <c r="AN24" s="14" t="str">
        <f t="shared" si="18"/>
        <v/>
      </c>
      <c r="AO24" s="14" t="str">
        <f t="shared" si="18"/>
        <v/>
      </c>
      <c r="AP24" s="14" t="str">
        <f t="shared" si="18"/>
        <v/>
      </c>
      <c r="AQ24" s="15" t="str">
        <f t="shared" si="18"/>
        <v/>
      </c>
      <c r="AR24" s="16" t="str">
        <f t="shared" si="18"/>
        <v/>
      </c>
      <c r="AS24" s="13" t="str">
        <f t="shared" si="18"/>
        <v/>
      </c>
      <c r="AT24" s="14" t="str">
        <f t="shared" ref="AT24:BI25" si="29">IF(AND(AT$5&gt;=$C24,AT$5&lt;=$E24),1,"")</f>
        <v/>
      </c>
      <c r="AU24" s="14" t="str">
        <f t="shared" si="19"/>
        <v/>
      </c>
      <c r="AV24" s="14" t="str">
        <f t="shared" si="19"/>
        <v/>
      </c>
      <c r="AW24" s="14" t="str">
        <f t="shared" si="19"/>
        <v/>
      </c>
      <c r="AX24" s="15" t="str">
        <f t="shared" si="19"/>
        <v/>
      </c>
      <c r="AY24" s="16" t="str">
        <f t="shared" si="19"/>
        <v/>
      </c>
      <c r="AZ24" s="13" t="str">
        <f t="shared" si="19"/>
        <v/>
      </c>
      <c r="BA24" s="14" t="str">
        <f t="shared" si="19"/>
        <v/>
      </c>
      <c r="BB24" s="14" t="str">
        <f t="shared" si="19"/>
        <v/>
      </c>
      <c r="BC24" s="14" t="str">
        <f t="shared" si="19"/>
        <v/>
      </c>
      <c r="BD24" s="14" t="str">
        <f t="shared" si="19"/>
        <v/>
      </c>
      <c r="BE24" s="15" t="str">
        <f t="shared" si="19"/>
        <v/>
      </c>
      <c r="BF24" s="16" t="str">
        <f t="shared" si="19"/>
        <v/>
      </c>
      <c r="BG24" s="13" t="str">
        <f t="shared" si="19"/>
        <v/>
      </c>
      <c r="BH24" s="14" t="str">
        <f t="shared" si="19"/>
        <v/>
      </c>
      <c r="BI24" s="14" t="str">
        <f t="shared" si="19"/>
        <v/>
      </c>
      <c r="BJ24" s="14" t="str">
        <f t="shared" ref="BJ24:BY25" si="30">IF(AND(BJ$5&gt;=$C24,BJ$5&lt;=$E24),1,"")</f>
        <v/>
      </c>
      <c r="BK24" s="14" t="str">
        <f t="shared" si="20"/>
        <v/>
      </c>
      <c r="BL24" s="15" t="str">
        <f t="shared" si="20"/>
        <v/>
      </c>
      <c r="BM24" s="16" t="str">
        <f t="shared" si="20"/>
        <v/>
      </c>
      <c r="BN24" s="13" t="str">
        <f t="shared" si="20"/>
        <v/>
      </c>
      <c r="BO24" s="14" t="str">
        <f t="shared" si="20"/>
        <v/>
      </c>
      <c r="BP24" s="14" t="str">
        <f t="shared" si="20"/>
        <v/>
      </c>
      <c r="BQ24" s="14" t="str">
        <f t="shared" si="20"/>
        <v/>
      </c>
      <c r="BR24" s="14" t="str">
        <f t="shared" si="20"/>
        <v/>
      </c>
      <c r="BS24" s="15" t="str">
        <f t="shared" si="20"/>
        <v/>
      </c>
      <c r="BT24" s="16" t="str">
        <f t="shared" si="20"/>
        <v/>
      </c>
      <c r="BU24" s="13" t="str">
        <f t="shared" ref="BU24:CJ25" si="31">IF(AND(BU$5&gt;=$C24,BU$5&lt;=$E24),1,"")</f>
        <v/>
      </c>
      <c r="BV24" s="14" t="str">
        <f t="shared" si="31"/>
        <v/>
      </c>
      <c r="BW24" s="14" t="str">
        <f t="shared" si="31"/>
        <v/>
      </c>
      <c r="BX24" s="14" t="str">
        <f t="shared" si="31"/>
        <v/>
      </c>
      <c r="BY24" s="14" t="str">
        <f t="shared" si="31"/>
        <v/>
      </c>
      <c r="BZ24" s="15" t="str">
        <f t="shared" si="31"/>
        <v/>
      </c>
      <c r="CA24" s="16" t="str">
        <f t="shared" si="31"/>
        <v/>
      </c>
      <c r="CB24" s="13" t="str">
        <f t="shared" si="31"/>
        <v/>
      </c>
      <c r="CC24" s="14" t="str">
        <f t="shared" si="31"/>
        <v/>
      </c>
      <c r="CD24" s="14" t="str">
        <f t="shared" si="31"/>
        <v/>
      </c>
      <c r="CE24" s="14" t="str">
        <f t="shared" si="31"/>
        <v/>
      </c>
      <c r="CF24" s="14" t="str">
        <f t="shared" si="31"/>
        <v/>
      </c>
      <c r="CG24" s="15" t="str">
        <f t="shared" si="31"/>
        <v/>
      </c>
      <c r="CH24" s="16" t="str">
        <f t="shared" si="31"/>
        <v/>
      </c>
      <c r="CI24" s="13" t="str">
        <f t="shared" si="31"/>
        <v/>
      </c>
      <c r="CJ24" s="14" t="str">
        <f t="shared" si="31"/>
        <v/>
      </c>
      <c r="CK24" s="14" t="str">
        <f t="shared" ref="CK24:CZ25" si="32">IF(AND(CK$5&gt;=$C24,CK$5&lt;=$E24),1,"")</f>
        <v/>
      </c>
      <c r="CL24" s="14" t="str">
        <f t="shared" si="32"/>
        <v/>
      </c>
      <c r="CM24" s="14" t="str">
        <f t="shared" si="32"/>
        <v/>
      </c>
      <c r="CN24" s="15" t="str">
        <f t="shared" si="32"/>
        <v/>
      </c>
      <c r="CO24" s="16" t="str">
        <f t="shared" si="32"/>
        <v/>
      </c>
      <c r="CP24" s="13">
        <f t="shared" si="32"/>
        <v>1</v>
      </c>
      <c r="CQ24" s="14">
        <f t="shared" si="32"/>
        <v>1</v>
      </c>
      <c r="CR24" s="14">
        <f t="shared" si="32"/>
        <v>1</v>
      </c>
      <c r="CS24" s="14">
        <f t="shared" si="32"/>
        <v>1</v>
      </c>
      <c r="CT24" s="14">
        <f t="shared" si="32"/>
        <v>1</v>
      </c>
      <c r="CU24" s="15">
        <f t="shared" si="32"/>
        <v>1</v>
      </c>
      <c r="CV24" s="16">
        <f t="shared" si="32"/>
        <v>1</v>
      </c>
      <c r="CW24" s="13" t="str">
        <f t="shared" si="32"/>
        <v/>
      </c>
      <c r="CX24" s="14" t="str">
        <f t="shared" si="32"/>
        <v/>
      </c>
      <c r="CY24" s="14" t="str">
        <f t="shared" si="32"/>
        <v/>
      </c>
      <c r="CZ24" s="14" t="str">
        <f t="shared" si="32"/>
        <v/>
      </c>
      <c r="DA24" s="14" t="str">
        <f t="shared" ref="DA24:DJ25" si="33">IF(AND(DA$5&gt;=$C24,DA$5&lt;=$E24),1,"")</f>
        <v/>
      </c>
      <c r="DB24" s="15" t="str">
        <f t="shared" si="33"/>
        <v/>
      </c>
      <c r="DC24" s="16" t="str">
        <f t="shared" si="33"/>
        <v/>
      </c>
      <c r="DD24" s="13" t="str">
        <f t="shared" si="33"/>
        <v/>
      </c>
      <c r="DE24" s="14" t="str">
        <f t="shared" si="33"/>
        <v/>
      </c>
      <c r="DF24" s="14" t="str">
        <f t="shared" si="33"/>
        <v/>
      </c>
      <c r="DG24" s="14" t="str">
        <f t="shared" si="28"/>
        <v/>
      </c>
      <c r="DH24" s="14" t="str">
        <f t="shared" si="28"/>
        <v/>
      </c>
      <c r="DI24" s="15" t="str">
        <f t="shared" si="28"/>
        <v/>
      </c>
      <c r="DJ24" s="16" t="str">
        <f t="shared" si="28"/>
        <v/>
      </c>
      <c r="DK24" s="13" t="str">
        <f t="shared" si="28"/>
        <v/>
      </c>
      <c r="DL24" s="14" t="str">
        <f t="shared" si="28"/>
        <v/>
      </c>
      <c r="DM24" s="14" t="str">
        <f t="shared" si="28"/>
        <v/>
      </c>
      <c r="DN24" s="14" t="str">
        <f t="shared" si="28"/>
        <v/>
      </c>
      <c r="DO24" s="14" t="str">
        <f t="shared" si="28"/>
        <v/>
      </c>
      <c r="DP24" s="15" t="str">
        <f t="shared" si="28"/>
        <v/>
      </c>
      <c r="DQ24" s="16" t="str">
        <f t="shared" si="28"/>
        <v/>
      </c>
      <c r="DR24" s="13" t="str">
        <f t="shared" si="28"/>
        <v/>
      </c>
      <c r="DS24" s="14" t="str">
        <f t="shared" si="28"/>
        <v/>
      </c>
      <c r="DT24" s="14" t="str">
        <f t="shared" si="28"/>
        <v/>
      </c>
      <c r="DU24" s="14" t="str">
        <f t="shared" si="28"/>
        <v/>
      </c>
      <c r="DV24" s="14" t="str">
        <f t="shared" si="26"/>
        <v/>
      </c>
      <c r="DW24" s="15" t="str">
        <f t="shared" si="26"/>
        <v/>
      </c>
      <c r="DX24" s="16" t="str">
        <f t="shared" si="26"/>
        <v/>
      </c>
    </row>
    <row r="25" spans="1:128" s="17" customFormat="1" ht="9.75" customHeight="1">
      <c r="A25" s="92" t="str">
        <f>_xlfn.CONCAT(B7,"-","Actif")</f>
        <v>798-Actif</v>
      </c>
      <c r="B25" s="28" t="s">
        <v>54</v>
      </c>
      <c r="C25" s="19">
        <v>92</v>
      </c>
      <c r="D25" s="20">
        <v>7</v>
      </c>
      <c r="E25" s="19">
        <v>98</v>
      </c>
      <c r="F25" s="309" t="s">
        <v>744</v>
      </c>
      <c r="G25" s="46" t="s">
        <v>744</v>
      </c>
      <c r="H25" s="46" t="s">
        <v>745</v>
      </c>
      <c r="I25" s="676"/>
      <c r="J25" s="13" t="str">
        <f t="shared" si="25"/>
        <v/>
      </c>
      <c r="K25" s="14" t="str">
        <f t="shared" si="25"/>
        <v/>
      </c>
      <c r="L25" s="14" t="str">
        <f t="shared" si="25"/>
        <v/>
      </c>
      <c r="M25" s="14" t="str">
        <f t="shared" si="25"/>
        <v/>
      </c>
      <c r="N25" s="14" t="str">
        <f t="shared" si="25"/>
        <v/>
      </c>
      <c r="O25" s="15" t="str">
        <f t="shared" si="25"/>
        <v/>
      </c>
      <c r="P25" s="16" t="str">
        <f t="shared" si="25"/>
        <v/>
      </c>
      <c r="Q25" s="13" t="str">
        <f t="shared" si="25"/>
        <v/>
      </c>
      <c r="R25" s="14" t="str">
        <f t="shared" si="25"/>
        <v/>
      </c>
      <c r="S25" s="14" t="str">
        <f t="shared" si="25"/>
        <v/>
      </c>
      <c r="T25" s="14" t="str">
        <f t="shared" si="25"/>
        <v/>
      </c>
      <c r="U25" s="14" t="str">
        <f t="shared" si="25"/>
        <v/>
      </c>
      <c r="V25" s="15" t="str">
        <f t="shared" si="25"/>
        <v/>
      </c>
      <c r="W25" s="16" t="str">
        <f t="shared" si="25"/>
        <v/>
      </c>
      <c r="X25" s="13" t="str">
        <f t="shared" si="25"/>
        <v/>
      </c>
      <c r="Y25" s="14" t="str">
        <f t="shared" si="25"/>
        <v/>
      </c>
      <c r="Z25" s="14" t="str">
        <f t="shared" si="25"/>
        <v/>
      </c>
      <c r="AA25" s="14" t="str">
        <f t="shared" si="25"/>
        <v/>
      </c>
      <c r="AB25" s="14" t="str">
        <f t="shared" si="25"/>
        <v/>
      </c>
      <c r="AC25" s="15" t="str">
        <f t="shared" si="25"/>
        <v/>
      </c>
      <c r="AD25" s="16" t="str">
        <f t="shared" si="25"/>
        <v/>
      </c>
      <c r="AE25" s="13" t="str">
        <f t="shared" si="25"/>
        <v/>
      </c>
      <c r="AF25" s="14" t="str">
        <f t="shared" si="25"/>
        <v/>
      </c>
      <c r="AG25" s="14" t="str">
        <f t="shared" si="25"/>
        <v/>
      </c>
      <c r="AH25" s="14" t="str">
        <f t="shared" si="25"/>
        <v/>
      </c>
      <c r="AI25" s="14" t="str">
        <f t="shared" si="25"/>
        <v/>
      </c>
      <c r="AJ25" s="15" t="str">
        <f t="shared" si="25"/>
        <v/>
      </c>
      <c r="AK25" s="16" t="str">
        <f t="shared" si="25"/>
        <v/>
      </c>
      <c r="AL25" s="13" t="str">
        <f t="shared" si="25"/>
        <v/>
      </c>
      <c r="AM25" s="14" t="str">
        <f t="shared" si="25"/>
        <v/>
      </c>
      <c r="AN25" s="14" t="str">
        <f t="shared" si="25"/>
        <v/>
      </c>
      <c r="AO25" s="14" t="str">
        <f t="shared" si="25"/>
        <v/>
      </c>
      <c r="AP25" s="14" t="str">
        <f t="shared" si="25"/>
        <v/>
      </c>
      <c r="AQ25" s="15" t="str">
        <f t="shared" si="25"/>
        <v/>
      </c>
      <c r="AR25" s="16" t="str">
        <f t="shared" si="25"/>
        <v/>
      </c>
      <c r="AS25" s="13" t="str">
        <f t="shared" si="25"/>
        <v/>
      </c>
      <c r="AT25" s="14" t="str">
        <f t="shared" si="29"/>
        <v/>
      </c>
      <c r="AU25" s="14" t="str">
        <f t="shared" si="29"/>
        <v/>
      </c>
      <c r="AV25" s="14" t="str">
        <f t="shared" si="29"/>
        <v/>
      </c>
      <c r="AW25" s="14" t="str">
        <f t="shared" si="29"/>
        <v/>
      </c>
      <c r="AX25" s="15" t="str">
        <f t="shared" si="29"/>
        <v/>
      </c>
      <c r="AY25" s="16" t="str">
        <f t="shared" si="29"/>
        <v/>
      </c>
      <c r="AZ25" s="13" t="str">
        <f t="shared" si="29"/>
        <v/>
      </c>
      <c r="BA25" s="14" t="str">
        <f t="shared" si="29"/>
        <v/>
      </c>
      <c r="BB25" s="14" t="str">
        <f t="shared" si="29"/>
        <v/>
      </c>
      <c r="BC25" s="14" t="str">
        <f t="shared" si="29"/>
        <v/>
      </c>
      <c r="BD25" s="14" t="str">
        <f t="shared" si="29"/>
        <v/>
      </c>
      <c r="BE25" s="15" t="str">
        <f t="shared" si="29"/>
        <v/>
      </c>
      <c r="BF25" s="16" t="str">
        <f t="shared" si="29"/>
        <v/>
      </c>
      <c r="BG25" s="13" t="str">
        <f t="shared" si="29"/>
        <v/>
      </c>
      <c r="BH25" s="14" t="str">
        <f t="shared" si="29"/>
        <v/>
      </c>
      <c r="BI25" s="14" t="str">
        <f t="shared" si="29"/>
        <v/>
      </c>
      <c r="BJ25" s="14" t="str">
        <f t="shared" si="30"/>
        <v/>
      </c>
      <c r="BK25" s="14" t="str">
        <f t="shared" si="30"/>
        <v/>
      </c>
      <c r="BL25" s="15" t="str">
        <f t="shared" si="30"/>
        <v/>
      </c>
      <c r="BM25" s="16" t="str">
        <f t="shared" si="30"/>
        <v/>
      </c>
      <c r="BN25" s="13" t="str">
        <f t="shared" si="30"/>
        <v/>
      </c>
      <c r="BO25" s="14" t="str">
        <f t="shared" si="30"/>
        <v/>
      </c>
      <c r="BP25" s="14" t="str">
        <f t="shared" si="30"/>
        <v/>
      </c>
      <c r="BQ25" s="14" t="str">
        <f t="shared" si="30"/>
        <v/>
      </c>
      <c r="BR25" s="14" t="str">
        <f t="shared" si="30"/>
        <v/>
      </c>
      <c r="BS25" s="15" t="str">
        <f t="shared" si="30"/>
        <v/>
      </c>
      <c r="BT25" s="16" t="str">
        <f t="shared" si="30"/>
        <v/>
      </c>
      <c r="BU25" s="13" t="str">
        <f t="shared" si="30"/>
        <v/>
      </c>
      <c r="BV25" s="14" t="str">
        <f t="shared" si="30"/>
        <v/>
      </c>
      <c r="BW25" s="14" t="str">
        <f t="shared" si="30"/>
        <v/>
      </c>
      <c r="BX25" s="14" t="str">
        <f t="shared" si="30"/>
        <v/>
      </c>
      <c r="BY25" s="14" t="str">
        <f t="shared" si="30"/>
        <v/>
      </c>
      <c r="BZ25" s="15" t="str">
        <f t="shared" si="31"/>
        <v/>
      </c>
      <c r="CA25" s="16" t="str">
        <f t="shared" si="31"/>
        <v/>
      </c>
      <c r="CB25" s="13" t="str">
        <f t="shared" si="31"/>
        <v/>
      </c>
      <c r="CC25" s="14" t="str">
        <f t="shared" si="31"/>
        <v/>
      </c>
      <c r="CD25" s="14" t="str">
        <f t="shared" si="31"/>
        <v/>
      </c>
      <c r="CE25" s="14" t="str">
        <f t="shared" si="31"/>
        <v/>
      </c>
      <c r="CF25" s="14" t="str">
        <f t="shared" si="31"/>
        <v/>
      </c>
      <c r="CG25" s="15" t="str">
        <f t="shared" si="31"/>
        <v/>
      </c>
      <c r="CH25" s="16" t="str">
        <f t="shared" si="31"/>
        <v/>
      </c>
      <c r="CI25" s="13" t="str">
        <f t="shared" si="31"/>
        <v/>
      </c>
      <c r="CJ25" s="14" t="str">
        <f t="shared" si="31"/>
        <v/>
      </c>
      <c r="CK25" s="14" t="str">
        <f t="shared" si="32"/>
        <v/>
      </c>
      <c r="CL25" s="14" t="str">
        <f t="shared" si="32"/>
        <v/>
      </c>
      <c r="CM25" s="14" t="str">
        <f t="shared" si="32"/>
        <v/>
      </c>
      <c r="CN25" s="15" t="str">
        <f t="shared" si="32"/>
        <v/>
      </c>
      <c r="CO25" s="16" t="str">
        <f t="shared" si="32"/>
        <v/>
      </c>
      <c r="CP25" s="13" t="str">
        <f t="shared" si="32"/>
        <v/>
      </c>
      <c r="CQ25" s="14" t="str">
        <f t="shared" si="32"/>
        <v/>
      </c>
      <c r="CR25" s="14" t="str">
        <f t="shared" si="32"/>
        <v/>
      </c>
      <c r="CS25" s="14" t="str">
        <f t="shared" si="32"/>
        <v/>
      </c>
      <c r="CT25" s="14" t="str">
        <f t="shared" si="32"/>
        <v/>
      </c>
      <c r="CU25" s="15" t="str">
        <f t="shared" si="32"/>
        <v/>
      </c>
      <c r="CV25" s="16" t="str">
        <f t="shared" si="32"/>
        <v/>
      </c>
      <c r="CW25" s="13">
        <f t="shared" si="32"/>
        <v>1</v>
      </c>
      <c r="CX25" s="14">
        <f t="shared" si="32"/>
        <v>1</v>
      </c>
      <c r="CY25" s="14">
        <f t="shared" si="32"/>
        <v>1</v>
      </c>
      <c r="CZ25" s="14">
        <f t="shared" si="32"/>
        <v>1</v>
      </c>
      <c r="DA25" s="14">
        <f t="shared" si="33"/>
        <v>1</v>
      </c>
      <c r="DB25" s="15">
        <f t="shared" si="33"/>
        <v>1</v>
      </c>
      <c r="DC25" s="16">
        <f t="shared" si="33"/>
        <v>1</v>
      </c>
      <c r="DD25" s="13" t="str">
        <f t="shared" si="33"/>
        <v/>
      </c>
      <c r="DE25" s="14" t="str">
        <f t="shared" si="33"/>
        <v/>
      </c>
      <c r="DF25" s="14" t="str">
        <f t="shared" si="33"/>
        <v/>
      </c>
      <c r="DG25" s="14" t="str">
        <f t="shared" si="33"/>
        <v/>
      </c>
      <c r="DH25" s="14" t="str">
        <f t="shared" si="33"/>
        <v/>
      </c>
      <c r="DI25" s="15" t="str">
        <f t="shared" si="33"/>
        <v/>
      </c>
      <c r="DJ25" s="16" t="str">
        <f t="shared" si="33"/>
        <v/>
      </c>
      <c r="DK25" s="13" t="str">
        <f t="shared" si="28"/>
        <v/>
      </c>
      <c r="DL25" s="14" t="str">
        <f t="shared" si="28"/>
        <v/>
      </c>
      <c r="DM25" s="14" t="str">
        <f t="shared" si="28"/>
        <v/>
      </c>
      <c r="DN25" s="14" t="str">
        <f t="shared" si="28"/>
        <v/>
      </c>
      <c r="DO25" s="14" t="str">
        <f t="shared" si="28"/>
        <v/>
      </c>
      <c r="DP25" s="15" t="str">
        <f t="shared" si="28"/>
        <v/>
      </c>
      <c r="DQ25" s="16" t="str">
        <f t="shared" si="28"/>
        <v/>
      </c>
      <c r="DR25" s="13" t="str">
        <f t="shared" si="28"/>
        <v/>
      </c>
      <c r="DS25" s="14" t="str">
        <f t="shared" si="28"/>
        <v/>
      </c>
      <c r="DT25" s="14" t="str">
        <f t="shared" si="28"/>
        <v/>
      </c>
      <c r="DU25" s="14" t="str">
        <f t="shared" si="28"/>
        <v/>
      </c>
      <c r="DV25" s="14" t="str">
        <f t="shared" si="26"/>
        <v/>
      </c>
      <c r="DW25" s="15" t="str">
        <f t="shared" si="26"/>
        <v/>
      </c>
      <c r="DX25" s="16" t="str">
        <f t="shared" si="26"/>
        <v/>
      </c>
    </row>
    <row r="26" spans="1:128" s="17" customFormat="1" ht="6" customHeight="1">
      <c r="F26" s="312"/>
      <c r="H26" s="46" t="s">
        <v>745</v>
      </c>
      <c r="I26" s="313"/>
    </row>
    <row r="27" spans="1:128" s="17" customFormat="1" ht="15" customHeight="1">
      <c r="A27" s="588" t="s">
        <v>55</v>
      </c>
      <c r="B27" s="588"/>
      <c r="C27" s="589">
        <f>C15-C11</f>
        <v>16</v>
      </c>
      <c r="D27" s="589"/>
      <c r="E27" s="590"/>
      <c r="F27" s="314"/>
      <c r="G27" s="294"/>
      <c r="H27" s="293"/>
      <c r="I27" s="315"/>
      <c r="J27" s="14" t="str">
        <f t="shared" ref="J27:BU27" si="34">IF(AND(J$5&gt;=$C$11,J$5&lt;=$E$15-1),1,"")</f>
        <v/>
      </c>
      <c r="K27" s="14" t="str">
        <f t="shared" si="34"/>
        <v/>
      </c>
      <c r="L27" s="14" t="str">
        <f t="shared" si="34"/>
        <v/>
      </c>
      <c r="M27" s="14" t="str">
        <f t="shared" si="34"/>
        <v/>
      </c>
      <c r="N27" s="14" t="str">
        <f t="shared" si="34"/>
        <v/>
      </c>
      <c r="O27" s="15" t="str">
        <f t="shared" si="34"/>
        <v/>
      </c>
      <c r="P27" s="16" t="str">
        <f t="shared" si="34"/>
        <v/>
      </c>
      <c r="Q27" s="13" t="str">
        <f t="shared" si="34"/>
        <v/>
      </c>
      <c r="R27" s="14" t="str">
        <f t="shared" si="34"/>
        <v/>
      </c>
      <c r="S27" s="14" t="str">
        <f t="shared" si="34"/>
        <v/>
      </c>
      <c r="T27" s="14" t="str">
        <f t="shared" si="34"/>
        <v/>
      </c>
      <c r="U27" s="14" t="str">
        <f t="shared" si="34"/>
        <v/>
      </c>
      <c r="V27" s="15" t="str">
        <f t="shared" si="34"/>
        <v/>
      </c>
      <c r="W27" s="16" t="str">
        <f t="shared" si="34"/>
        <v/>
      </c>
      <c r="X27" s="13" t="str">
        <f t="shared" si="34"/>
        <v/>
      </c>
      <c r="Y27" s="14">
        <f t="shared" si="34"/>
        <v>1</v>
      </c>
      <c r="Z27" s="14">
        <f t="shared" si="34"/>
        <v>1</v>
      </c>
      <c r="AA27" s="14">
        <f t="shared" si="34"/>
        <v>1</v>
      </c>
      <c r="AB27" s="14">
        <f t="shared" si="34"/>
        <v>1</v>
      </c>
      <c r="AC27" s="15">
        <f t="shared" si="34"/>
        <v>1</v>
      </c>
      <c r="AD27" s="16">
        <f t="shared" si="34"/>
        <v>1</v>
      </c>
      <c r="AE27" s="13">
        <f t="shared" si="34"/>
        <v>1</v>
      </c>
      <c r="AF27" s="14">
        <f t="shared" si="34"/>
        <v>1</v>
      </c>
      <c r="AG27" s="14">
        <f t="shared" si="34"/>
        <v>1</v>
      </c>
      <c r="AH27" s="14">
        <f t="shared" si="34"/>
        <v>1</v>
      </c>
      <c r="AI27" s="14">
        <f t="shared" si="34"/>
        <v>1</v>
      </c>
      <c r="AJ27" s="15">
        <f t="shared" si="34"/>
        <v>1</v>
      </c>
      <c r="AK27" s="16">
        <f t="shared" si="34"/>
        <v>1</v>
      </c>
      <c r="AL27" s="13">
        <f t="shared" si="34"/>
        <v>1</v>
      </c>
      <c r="AM27" s="14">
        <f t="shared" si="34"/>
        <v>1</v>
      </c>
      <c r="AN27" s="14">
        <f t="shared" si="34"/>
        <v>1</v>
      </c>
      <c r="AO27" s="14" t="str">
        <f t="shared" si="34"/>
        <v/>
      </c>
      <c r="AP27" s="14" t="str">
        <f t="shared" si="34"/>
        <v/>
      </c>
      <c r="AQ27" s="15" t="str">
        <f t="shared" si="34"/>
        <v/>
      </c>
      <c r="AR27" s="16" t="str">
        <f t="shared" si="34"/>
        <v/>
      </c>
      <c r="AS27" s="13" t="str">
        <f t="shared" si="34"/>
        <v/>
      </c>
      <c r="AT27" s="14" t="str">
        <f t="shared" si="34"/>
        <v/>
      </c>
      <c r="AU27" s="14" t="str">
        <f t="shared" si="34"/>
        <v/>
      </c>
      <c r="AV27" s="14" t="str">
        <f t="shared" si="34"/>
        <v/>
      </c>
      <c r="AW27" s="14" t="str">
        <f t="shared" si="34"/>
        <v/>
      </c>
      <c r="AX27" s="15" t="str">
        <f t="shared" si="34"/>
        <v/>
      </c>
      <c r="AY27" s="16" t="str">
        <f t="shared" si="34"/>
        <v/>
      </c>
      <c r="AZ27" s="13" t="str">
        <f t="shared" si="34"/>
        <v/>
      </c>
      <c r="BA27" s="14" t="str">
        <f t="shared" si="34"/>
        <v/>
      </c>
      <c r="BB27" s="14" t="str">
        <f t="shared" si="34"/>
        <v/>
      </c>
      <c r="BC27" s="14" t="str">
        <f t="shared" si="34"/>
        <v/>
      </c>
      <c r="BD27" s="14" t="str">
        <f t="shared" si="34"/>
        <v/>
      </c>
      <c r="BE27" s="15" t="str">
        <f t="shared" si="34"/>
        <v/>
      </c>
      <c r="BF27" s="16" t="str">
        <f t="shared" si="34"/>
        <v/>
      </c>
      <c r="BG27" s="13" t="str">
        <f t="shared" si="34"/>
        <v/>
      </c>
      <c r="BH27" s="14" t="str">
        <f t="shared" si="34"/>
        <v/>
      </c>
      <c r="BI27" s="14" t="str">
        <f t="shared" si="34"/>
        <v/>
      </c>
      <c r="BJ27" s="14" t="str">
        <f t="shared" si="34"/>
        <v/>
      </c>
      <c r="BK27" s="14" t="str">
        <f t="shared" si="34"/>
        <v/>
      </c>
      <c r="BL27" s="15" t="str">
        <f t="shared" si="34"/>
        <v/>
      </c>
      <c r="BM27" s="16" t="str">
        <f t="shared" si="34"/>
        <v/>
      </c>
      <c r="BN27" s="13" t="str">
        <f t="shared" si="34"/>
        <v/>
      </c>
      <c r="BO27" s="14" t="str">
        <f t="shared" si="34"/>
        <v/>
      </c>
      <c r="BP27" s="14" t="str">
        <f t="shared" si="34"/>
        <v/>
      </c>
      <c r="BQ27" s="14" t="str">
        <f t="shared" si="34"/>
        <v/>
      </c>
      <c r="BR27" s="14" t="str">
        <f t="shared" si="34"/>
        <v/>
      </c>
      <c r="BS27" s="15" t="str">
        <f t="shared" si="34"/>
        <v/>
      </c>
      <c r="BT27" s="16" t="str">
        <f t="shared" si="34"/>
        <v/>
      </c>
      <c r="BU27" s="13" t="str">
        <f t="shared" si="34"/>
        <v/>
      </c>
      <c r="BV27" s="14" t="str">
        <f t="shared" ref="BV27:DX27" si="35">IF(AND(BV$5&gt;=$C$11,BV$5&lt;=$E$15-1),1,"")</f>
        <v/>
      </c>
      <c r="BW27" s="14" t="str">
        <f t="shared" si="35"/>
        <v/>
      </c>
      <c r="BX27" s="14" t="str">
        <f t="shared" si="35"/>
        <v/>
      </c>
      <c r="BY27" s="14" t="str">
        <f t="shared" si="35"/>
        <v/>
      </c>
      <c r="BZ27" s="15" t="str">
        <f t="shared" si="35"/>
        <v/>
      </c>
      <c r="CA27" s="16" t="str">
        <f t="shared" si="35"/>
        <v/>
      </c>
      <c r="CB27" s="13" t="str">
        <f t="shared" si="35"/>
        <v/>
      </c>
      <c r="CC27" s="14" t="str">
        <f t="shared" si="35"/>
        <v/>
      </c>
      <c r="CD27" s="14" t="str">
        <f t="shared" si="35"/>
        <v/>
      </c>
      <c r="CE27" s="14" t="str">
        <f t="shared" si="35"/>
        <v/>
      </c>
      <c r="CF27" s="14" t="str">
        <f t="shared" si="35"/>
        <v/>
      </c>
      <c r="CG27" s="15" t="str">
        <f t="shared" si="35"/>
        <v/>
      </c>
      <c r="CH27" s="16" t="str">
        <f t="shared" si="35"/>
        <v/>
      </c>
      <c r="CI27" s="13" t="str">
        <f t="shared" si="35"/>
        <v/>
      </c>
      <c r="CJ27" s="14" t="str">
        <f t="shared" si="35"/>
        <v/>
      </c>
      <c r="CK27" s="14" t="str">
        <f t="shared" si="35"/>
        <v/>
      </c>
      <c r="CL27" s="14" t="str">
        <f t="shared" si="35"/>
        <v/>
      </c>
      <c r="CM27" s="14" t="str">
        <f t="shared" si="35"/>
        <v/>
      </c>
      <c r="CN27" s="15" t="str">
        <f t="shared" si="35"/>
        <v/>
      </c>
      <c r="CO27" s="16" t="str">
        <f t="shared" si="35"/>
        <v/>
      </c>
      <c r="CP27" s="13" t="str">
        <f t="shared" si="35"/>
        <v/>
      </c>
      <c r="CQ27" s="14" t="str">
        <f t="shared" si="35"/>
        <v/>
      </c>
      <c r="CR27" s="14" t="str">
        <f t="shared" si="35"/>
        <v/>
      </c>
      <c r="CS27" s="14" t="str">
        <f t="shared" si="35"/>
        <v/>
      </c>
      <c r="CT27" s="14" t="str">
        <f t="shared" si="35"/>
        <v/>
      </c>
      <c r="CU27" s="15" t="str">
        <f t="shared" si="35"/>
        <v/>
      </c>
      <c r="CV27" s="16" t="str">
        <f t="shared" si="35"/>
        <v/>
      </c>
      <c r="CW27" s="13" t="str">
        <f t="shared" si="35"/>
        <v/>
      </c>
      <c r="CX27" s="14" t="str">
        <f t="shared" si="35"/>
        <v/>
      </c>
      <c r="CY27" s="14" t="str">
        <f t="shared" si="35"/>
        <v/>
      </c>
      <c r="CZ27" s="14" t="str">
        <f t="shared" si="35"/>
        <v/>
      </c>
      <c r="DA27" s="14" t="str">
        <f t="shared" si="35"/>
        <v/>
      </c>
      <c r="DB27" s="15" t="str">
        <f t="shared" si="35"/>
        <v/>
      </c>
      <c r="DC27" s="16" t="str">
        <f t="shared" si="35"/>
        <v/>
      </c>
      <c r="DD27" s="13" t="str">
        <f t="shared" si="35"/>
        <v/>
      </c>
      <c r="DE27" s="14" t="str">
        <f t="shared" si="35"/>
        <v/>
      </c>
      <c r="DF27" s="14" t="str">
        <f t="shared" si="35"/>
        <v/>
      </c>
      <c r="DG27" s="14" t="str">
        <f t="shared" si="35"/>
        <v/>
      </c>
      <c r="DH27" s="14" t="str">
        <f t="shared" si="35"/>
        <v/>
      </c>
      <c r="DI27" s="15" t="str">
        <f t="shared" si="35"/>
        <v/>
      </c>
      <c r="DJ27" s="16" t="str">
        <f t="shared" si="35"/>
        <v/>
      </c>
      <c r="DK27" s="13" t="str">
        <f t="shared" si="35"/>
        <v/>
      </c>
      <c r="DL27" s="14" t="str">
        <f t="shared" si="35"/>
        <v/>
      </c>
      <c r="DM27" s="14" t="str">
        <f t="shared" si="35"/>
        <v/>
      </c>
      <c r="DN27" s="14" t="str">
        <f t="shared" si="35"/>
        <v/>
      </c>
      <c r="DO27" s="14" t="str">
        <f t="shared" si="35"/>
        <v/>
      </c>
      <c r="DP27" s="15" t="str">
        <f t="shared" si="35"/>
        <v/>
      </c>
      <c r="DQ27" s="16" t="str">
        <f t="shared" si="35"/>
        <v/>
      </c>
      <c r="DR27" s="13" t="str">
        <f t="shared" si="35"/>
        <v/>
      </c>
      <c r="DS27" s="14" t="str">
        <f t="shared" si="35"/>
        <v/>
      </c>
      <c r="DT27" s="14" t="str">
        <f t="shared" si="35"/>
        <v/>
      </c>
      <c r="DU27" s="14" t="str">
        <f t="shared" si="35"/>
        <v/>
      </c>
      <c r="DV27" s="14" t="str">
        <f t="shared" si="35"/>
        <v/>
      </c>
      <c r="DW27" s="15" t="str">
        <f t="shared" si="35"/>
        <v/>
      </c>
      <c r="DX27" s="16" t="str">
        <f t="shared" si="35"/>
        <v/>
      </c>
    </row>
    <row r="28" spans="1:128" s="17" customFormat="1" ht="2.1" customHeight="1">
      <c r="A28" s="29"/>
      <c r="B28" s="29"/>
      <c r="C28" s="30"/>
      <c r="D28" s="30"/>
      <c r="E28" s="31"/>
      <c r="F28" s="316"/>
      <c r="G28" s="31"/>
      <c r="H28" s="30"/>
      <c r="I28" s="317"/>
      <c r="J28" s="14"/>
      <c r="K28" s="14"/>
      <c r="L28" s="14"/>
      <c r="M28" s="14"/>
      <c r="N28" s="14"/>
      <c r="O28" s="15"/>
      <c r="P28" s="16"/>
      <c r="Q28" s="13"/>
      <c r="R28" s="14"/>
      <c r="S28" s="14"/>
      <c r="T28" s="14"/>
      <c r="U28" s="14"/>
      <c r="V28" s="15"/>
      <c r="W28" s="16"/>
      <c r="X28" s="13"/>
      <c r="Y28" s="14"/>
      <c r="Z28" s="14"/>
      <c r="AA28" s="14"/>
      <c r="AB28" s="14"/>
      <c r="AC28" s="15"/>
      <c r="AD28" s="16"/>
      <c r="AE28" s="13"/>
      <c r="AF28" s="14"/>
      <c r="AG28" s="14"/>
      <c r="AH28" s="14"/>
      <c r="AI28" s="14"/>
      <c r="AJ28" s="15"/>
      <c r="AK28" s="16"/>
      <c r="AL28" s="13"/>
      <c r="AM28" s="14"/>
      <c r="AN28" s="14"/>
      <c r="AO28" s="14"/>
      <c r="AP28" s="14"/>
      <c r="AQ28" s="15"/>
      <c r="AR28" s="16"/>
      <c r="AS28" s="13"/>
      <c r="AT28" s="14"/>
      <c r="AU28" s="14"/>
      <c r="AV28" s="14"/>
      <c r="AW28" s="14"/>
      <c r="AX28" s="15"/>
      <c r="AY28" s="16"/>
      <c r="AZ28" s="13"/>
      <c r="BA28" s="14"/>
      <c r="BB28" s="14"/>
      <c r="BC28" s="14"/>
      <c r="BD28" s="14"/>
      <c r="BE28" s="15"/>
      <c r="BF28" s="16"/>
      <c r="BG28" s="13"/>
      <c r="BH28" s="14"/>
      <c r="BI28" s="14"/>
      <c r="BJ28" s="14"/>
      <c r="BK28" s="14"/>
      <c r="BL28" s="15"/>
      <c r="BM28" s="16"/>
      <c r="BN28" s="13"/>
      <c r="BO28" s="14"/>
      <c r="BP28" s="14"/>
      <c r="BQ28" s="14"/>
      <c r="BR28" s="14"/>
      <c r="BS28" s="15"/>
      <c r="BT28" s="16"/>
      <c r="BU28" s="13"/>
      <c r="BV28" s="14"/>
      <c r="BW28" s="14"/>
      <c r="BX28" s="14"/>
      <c r="BY28" s="14"/>
      <c r="BZ28" s="15"/>
      <c r="CA28" s="16"/>
      <c r="CB28" s="13"/>
      <c r="CC28" s="14"/>
      <c r="CD28" s="14"/>
      <c r="CE28" s="14"/>
      <c r="CF28" s="14"/>
      <c r="CG28" s="15"/>
      <c r="CH28" s="16"/>
      <c r="CI28" s="13"/>
      <c r="CJ28" s="14"/>
      <c r="CK28" s="14"/>
      <c r="CL28" s="14"/>
      <c r="CM28" s="14"/>
      <c r="CN28" s="15"/>
      <c r="CO28" s="16"/>
      <c r="CP28" s="13"/>
      <c r="CQ28" s="14"/>
      <c r="CR28" s="14"/>
      <c r="CS28" s="14"/>
      <c r="CT28" s="14"/>
      <c r="CU28" s="15"/>
      <c r="CV28" s="16"/>
      <c r="CW28" s="13"/>
      <c r="CX28" s="14"/>
      <c r="CY28" s="14"/>
      <c r="CZ28" s="14"/>
      <c r="DA28" s="14"/>
      <c r="DB28" s="15"/>
      <c r="DC28" s="16"/>
      <c r="DD28" s="13"/>
      <c r="DE28" s="14"/>
      <c r="DF28" s="14"/>
      <c r="DG28" s="14"/>
      <c r="DH28" s="14"/>
      <c r="DI28" s="15"/>
      <c r="DJ28" s="16"/>
      <c r="DK28" s="13"/>
      <c r="DL28" s="14"/>
      <c r="DM28" s="14"/>
      <c r="DN28" s="14"/>
      <c r="DO28" s="14"/>
      <c r="DP28" s="15"/>
      <c r="DQ28" s="16"/>
      <c r="DR28" s="13"/>
      <c r="DS28" s="14"/>
      <c r="DT28" s="14"/>
      <c r="DU28" s="14"/>
      <c r="DV28" s="14"/>
      <c r="DW28" s="15"/>
      <c r="DX28" s="16"/>
    </row>
    <row r="29" spans="1:128" s="17" customFormat="1" ht="15" customHeight="1">
      <c r="A29" s="597" t="s">
        <v>56</v>
      </c>
      <c r="B29" s="597"/>
      <c r="C29" s="598">
        <f>C15-C12+2</f>
        <v>11</v>
      </c>
      <c r="D29" s="598"/>
      <c r="E29" s="599"/>
      <c r="F29" s="318"/>
      <c r="G29" s="298"/>
      <c r="H29" s="297"/>
      <c r="I29" s="319"/>
      <c r="J29" s="14" t="str">
        <f t="shared" ref="J29:AQ29" si="36">IF(AND(J$5&gt;=$E$11,J$5&lt;=$E$15),1,"")</f>
        <v/>
      </c>
      <c r="K29" s="14" t="str">
        <f t="shared" si="36"/>
        <v/>
      </c>
      <c r="L29" s="14" t="str">
        <f t="shared" si="36"/>
        <v/>
      </c>
      <c r="M29" s="14" t="str">
        <f t="shared" si="36"/>
        <v/>
      </c>
      <c r="N29" s="14" t="str">
        <f t="shared" si="36"/>
        <v/>
      </c>
      <c r="O29" s="15" t="str">
        <f t="shared" si="36"/>
        <v/>
      </c>
      <c r="P29" s="16" t="str">
        <f t="shared" si="36"/>
        <v/>
      </c>
      <c r="Q29" s="13" t="str">
        <f t="shared" si="36"/>
        <v/>
      </c>
      <c r="R29" s="14" t="str">
        <f t="shared" si="36"/>
        <v/>
      </c>
      <c r="S29" s="14" t="str">
        <f t="shared" si="36"/>
        <v/>
      </c>
      <c r="T29" s="14" t="str">
        <f t="shared" si="36"/>
        <v/>
      </c>
      <c r="U29" s="14" t="str">
        <f t="shared" si="36"/>
        <v/>
      </c>
      <c r="V29" s="15" t="str">
        <f t="shared" si="36"/>
        <v/>
      </c>
      <c r="W29" s="16" t="str">
        <f t="shared" si="36"/>
        <v/>
      </c>
      <c r="X29" s="13" t="str">
        <f t="shared" si="36"/>
        <v/>
      </c>
      <c r="Y29" s="14" t="str">
        <f t="shared" si="36"/>
        <v/>
      </c>
      <c r="Z29" s="14" t="str">
        <f t="shared" si="36"/>
        <v/>
      </c>
      <c r="AA29" s="14" t="str">
        <f t="shared" si="36"/>
        <v/>
      </c>
      <c r="AB29" s="14" t="str">
        <f t="shared" si="36"/>
        <v/>
      </c>
      <c r="AC29" s="15" t="str">
        <f t="shared" si="36"/>
        <v/>
      </c>
      <c r="AD29" s="16" t="str">
        <f t="shared" si="36"/>
        <v/>
      </c>
      <c r="AE29" s="13">
        <f>IF(AND(AE$5&gt;=$E$11,AE$5&lt;=$E$15),1,"")</f>
        <v>1</v>
      </c>
      <c r="AF29" s="14">
        <f t="shared" si="36"/>
        <v>1</v>
      </c>
      <c r="AG29" s="14">
        <f t="shared" si="36"/>
        <v>1</v>
      </c>
      <c r="AH29" s="14">
        <f t="shared" si="36"/>
        <v>1</v>
      </c>
      <c r="AI29" s="14">
        <f t="shared" si="36"/>
        <v>1</v>
      </c>
      <c r="AJ29" s="15">
        <f>IF(AND(AJ$5&gt;=$E$11,AJ$5&lt;=$E$15),1,"")</f>
        <v>1</v>
      </c>
      <c r="AK29" s="16">
        <f t="shared" si="36"/>
        <v>1</v>
      </c>
      <c r="AL29" s="13">
        <f t="shared" si="36"/>
        <v>1</v>
      </c>
      <c r="AM29" s="14">
        <f t="shared" si="36"/>
        <v>1</v>
      </c>
      <c r="AN29" s="14">
        <f t="shared" si="36"/>
        <v>1</v>
      </c>
      <c r="AO29" s="14">
        <f t="shared" si="36"/>
        <v>1</v>
      </c>
      <c r="AP29" s="14" t="str">
        <f t="shared" si="36"/>
        <v/>
      </c>
      <c r="AQ29" s="15" t="str">
        <f t="shared" si="36"/>
        <v/>
      </c>
      <c r="AR29" s="16" t="str">
        <f>IF(AND(AR$5&gt;=$E$11,AR$5&lt;=$E$15),1,"")</f>
        <v/>
      </c>
      <c r="AS29" s="13" t="str">
        <f t="shared" ref="AS29:DD29" si="37">IF(AND(AS$5&gt;=$E$11,AS$5&lt;=$E$15),1,"")</f>
        <v/>
      </c>
      <c r="AT29" s="14" t="str">
        <f t="shared" si="37"/>
        <v/>
      </c>
      <c r="AU29" s="14" t="str">
        <f t="shared" si="37"/>
        <v/>
      </c>
      <c r="AV29" s="14" t="str">
        <f t="shared" si="37"/>
        <v/>
      </c>
      <c r="AW29" s="14" t="str">
        <f t="shared" si="37"/>
        <v/>
      </c>
      <c r="AX29" s="15" t="str">
        <f t="shared" si="37"/>
        <v/>
      </c>
      <c r="AY29" s="16" t="str">
        <f t="shared" si="37"/>
        <v/>
      </c>
      <c r="AZ29" s="13" t="str">
        <f t="shared" si="37"/>
        <v/>
      </c>
      <c r="BA29" s="14" t="str">
        <f t="shared" si="37"/>
        <v/>
      </c>
      <c r="BB29" s="14" t="str">
        <f t="shared" si="37"/>
        <v/>
      </c>
      <c r="BC29" s="14" t="str">
        <f t="shared" si="37"/>
        <v/>
      </c>
      <c r="BD29" s="14" t="str">
        <f t="shared" si="37"/>
        <v/>
      </c>
      <c r="BE29" s="15" t="str">
        <f t="shared" si="37"/>
        <v/>
      </c>
      <c r="BF29" s="16" t="str">
        <f t="shared" si="37"/>
        <v/>
      </c>
      <c r="BG29" s="13" t="str">
        <f t="shared" si="37"/>
        <v/>
      </c>
      <c r="BH29" s="14" t="str">
        <f t="shared" si="37"/>
        <v/>
      </c>
      <c r="BI29" s="14" t="str">
        <f t="shared" si="37"/>
        <v/>
      </c>
      <c r="BJ29" s="14" t="str">
        <f t="shared" si="37"/>
        <v/>
      </c>
      <c r="BK29" s="14" t="str">
        <f t="shared" si="37"/>
        <v/>
      </c>
      <c r="BL29" s="15" t="str">
        <f t="shared" si="37"/>
        <v/>
      </c>
      <c r="BM29" s="16" t="str">
        <f t="shared" si="37"/>
        <v/>
      </c>
      <c r="BN29" s="13" t="str">
        <f t="shared" si="37"/>
        <v/>
      </c>
      <c r="BO29" s="14" t="str">
        <f t="shared" si="37"/>
        <v/>
      </c>
      <c r="BP29" s="14" t="str">
        <f t="shared" si="37"/>
        <v/>
      </c>
      <c r="BQ29" s="14" t="str">
        <f t="shared" si="37"/>
        <v/>
      </c>
      <c r="BR29" s="14" t="str">
        <f t="shared" si="37"/>
        <v/>
      </c>
      <c r="BS29" s="15" t="str">
        <f t="shared" si="37"/>
        <v/>
      </c>
      <c r="BT29" s="16" t="str">
        <f t="shared" si="37"/>
        <v/>
      </c>
      <c r="BU29" s="13" t="str">
        <f t="shared" si="37"/>
        <v/>
      </c>
      <c r="BV29" s="14" t="str">
        <f t="shared" si="37"/>
        <v/>
      </c>
      <c r="BW29" s="14" t="str">
        <f t="shared" si="37"/>
        <v/>
      </c>
      <c r="BX29" s="14" t="str">
        <f t="shared" si="37"/>
        <v/>
      </c>
      <c r="BY29" s="14" t="str">
        <f t="shared" si="37"/>
        <v/>
      </c>
      <c r="BZ29" s="15" t="str">
        <f t="shared" si="37"/>
        <v/>
      </c>
      <c r="CA29" s="16" t="str">
        <f t="shared" si="37"/>
        <v/>
      </c>
      <c r="CB29" s="13" t="str">
        <f t="shared" si="37"/>
        <v/>
      </c>
      <c r="CC29" s="14" t="str">
        <f t="shared" si="37"/>
        <v/>
      </c>
      <c r="CD29" s="14" t="str">
        <f t="shared" si="37"/>
        <v/>
      </c>
      <c r="CE29" s="14" t="str">
        <f t="shared" si="37"/>
        <v/>
      </c>
      <c r="CF29" s="14" t="str">
        <f t="shared" si="37"/>
        <v/>
      </c>
      <c r="CG29" s="15" t="str">
        <f t="shared" si="37"/>
        <v/>
      </c>
      <c r="CH29" s="16" t="str">
        <f t="shared" si="37"/>
        <v/>
      </c>
      <c r="CI29" s="13" t="str">
        <f t="shared" si="37"/>
        <v/>
      </c>
      <c r="CJ29" s="14" t="str">
        <f t="shared" si="37"/>
        <v/>
      </c>
      <c r="CK29" s="14" t="str">
        <f t="shared" si="37"/>
        <v/>
      </c>
      <c r="CL29" s="14" t="str">
        <f t="shared" si="37"/>
        <v/>
      </c>
      <c r="CM29" s="14" t="str">
        <f t="shared" si="37"/>
        <v/>
      </c>
      <c r="CN29" s="15" t="str">
        <f t="shared" si="37"/>
        <v/>
      </c>
      <c r="CO29" s="16" t="str">
        <f t="shared" si="37"/>
        <v/>
      </c>
      <c r="CP29" s="13" t="str">
        <f t="shared" si="37"/>
        <v/>
      </c>
      <c r="CQ29" s="14" t="str">
        <f t="shared" si="37"/>
        <v/>
      </c>
      <c r="CR29" s="14" t="str">
        <f t="shared" si="37"/>
        <v/>
      </c>
      <c r="CS29" s="14" t="str">
        <f t="shared" si="37"/>
        <v/>
      </c>
      <c r="CT29" s="14" t="str">
        <f t="shared" si="37"/>
        <v/>
      </c>
      <c r="CU29" s="15" t="str">
        <f t="shared" si="37"/>
        <v/>
      </c>
      <c r="CV29" s="16" t="str">
        <f t="shared" si="37"/>
        <v/>
      </c>
      <c r="CW29" s="13" t="str">
        <f t="shared" si="37"/>
        <v/>
      </c>
      <c r="CX29" s="14" t="str">
        <f t="shared" si="37"/>
        <v/>
      </c>
      <c r="CY29" s="14" t="str">
        <f t="shared" si="37"/>
        <v/>
      </c>
      <c r="CZ29" s="14" t="str">
        <f t="shared" si="37"/>
        <v/>
      </c>
      <c r="DA29" s="14" t="str">
        <f t="shared" si="37"/>
        <v/>
      </c>
      <c r="DB29" s="15" t="str">
        <f t="shared" si="37"/>
        <v/>
      </c>
      <c r="DC29" s="16" t="str">
        <f t="shared" si="37"/>
        <v/>
      </c>
      <c r="DD29" s="13" t="str">
        <f t="shared" si="37"/>
        <v/>
      </c>
      <c r="DE29" s="14" t="str">
        <f t="shared" ref="DE29:DX29" si="38">IF(AND(DE$5&gt;=$E$11,DE$5&lt;=$E$15),1,"")</f>
        <v/>
      </c>
      <c r="DF29" s="14" t="str">
        <f t="shared" si="38"/>
        <v/>
      </c>
      <c r="DG29" s="14" t="str">
        <f t="shared" si="38"/>
        <v/>
      </c>
      <c r="DH29" s="14" t="str">
        <f t="shared" si="38"/>
        <v/>
      </c>
      <c r="DI29" s="15" t="str">
        <f t="shared" si="38"/>
        <v/>
      </c>
      <c r="DJ29" s="16" t="str">
        <f t="shared" si="38"/>
        <v/>
      </c>
      <c r="DK29" s="13" t="str">
        <f t="shared" si="38"/>
        <v/>
      </c>
      <c r="DL29" s="14" t="str">
        <f t="shared" si="38"/>
        <v/>
      </c>
      <c r="DM29" s="14" t="str">
        <f t="shared" si="38"/>
        <v/>
      </c>
      <c r="DN29" s="14" t="str">
        <f t="shared" si="38"/>
        <v/>
      </c>
      <c r="DO29" s="14" t="str">
        <f t="shared" si="38"/>
        <v/>
      </c>
      <c r="DP29" s="15" t="str">
        <f t="shared" si="38"/>
        <v/>
      </c>
      <c r="DQ29" s="16" t="str">
        <f t="shared" si="38"/>
        <v/>
      </c>
      <c r="DR29" s="13" t="str">
        <f t="shared" si="38"/>
        <v/>
      </c>
      <c r="DS29" s="14" t="str">
        <f t="shared" si="38"/>
        <v/>
      </c>
      <c r="DT29" s="14" t="str">
        <f t="shared" si="38"/>
        <v/>
      </c>
      <c r="DU29" s="14" t="str">
        <f t="shared" si="38"/>
        <v/>
      </c>
      <c r="DV29" s="14" t="str">
        <f t="shared" si="38"/>
        <v/>
      </c>
      <c r="DW29" s="15" t="str">
        <f t="shared" si="38"/>
        <v/>
      </c>
      <c r="DX29" s="16" t="str">
        <f t="shared" si="38"/>
        <v/>
      </c>
    </row>
    <row r="30" spans="1:128" s="17" customFormat="1" ht="2.1" customHeight="1">
      <c r="A30" s="29"/>
      <c r="B30" s="29"/>
      <c r="C30" s="30"/>
      <c r="D30" s="30"/>
      <c r="E30" s="31"/>
      <c r="F30" s="316"/>
      <c r="G30" s="31"/>
      <c r="H30" s="30"/>
      <c r="I30" s="317"/>
      <c r="J30" s="14"/>
      <c r="K30" s="14"/>
      <c r="L30" s="14"/>
      <c r="M30" s="14"/>
      <c r="N30" s="14"/>
      <c r="O30" s="15"/>
      <c r="P30" s="16"/>
      <c r="Q30" s="13"/>
      <c r="R30" s="14"/>
      <c r="S30" s="14"/>
      <c r="T30" s="14"/>
      <c r="U30" s="14"/>
      <c r="V30" s="15"/>
      <c r="W30" s="16"/>
      <c r="X30" s="13"/>
      <c r="Y30" s="14"/>
      <c r="Z30" s="14"/>
      <c r="AA30" s="14"/>
      <c r="AB30" s="14"/>
      <c r="AC30" s="15"/>
      <c r="AD30" s="16"/>
      <c r="AE30" s="13"/>
      <c r="AF30" s="14"/>
      <c r="AG30" s="14"/>
      <c r="AH30" s="14"/>
      <c r="AI30" s="14"/>
      <c r="AJ30" s="15"/>
      <c r="AK30" s="16"/>
      <c r="AL30" s="13"/>
      <c r="AM30" s="14"/>
      <c r="AN30" s="14"/>
      <c r="AO30" s="14"/>
      <c r="AP30" s="14"/>
      <c r="AQ30" s="15"/>
      <c r="AR30" s="16"/>
      <c r="AS30" s="13"/>
      <c r="AT30" s="14"/>
      <c r="AU30" s="14"/>
      <c r="AV30" s="14"/>
      <c r="AW30" s="14"/>
      <c r="AX30" s="15"/>
      <c r="AY30" s="16"/>
      <c r="AZ30" s="13"/>
      <c r="BA30" s="14"/>
      <c r="BB30" s="14"/>
      <c r="BC30" s="14"/>
      <c r="BD30" s="14"/>
      <c r="BE30" s="15"/>
      <c r="BF30" s="16"/>
      <c r="BG30" s="13"/>
      <c r="BH30" s="14"/>
      <c r="BI30" s="14"/>
      <c r="BJ30" s="14"/>
      <c r="BK30" s="14"/>
      <c r="BL30" s="15"/>
      <c r="BM30" s="16"/>
      <c r="BN30" s="13"/>
      <c r="BO30" s="14"/>
      <c r="BP30" s="14"/>
      <c r="BQ30" s="14"/>
      <c r="BR30" s="14"/>
      <c r="BS30" s="15"/>
      <c r="BT30" s="16"/>
      <c r="BU30" s="13"/>
      <c r="BV30" s="14"/>
      <c r="BW30" s="14"/>
      <c r="BX30" s="14"/>
      <c r="BY30" s="14"/>
      <c r="BZ30" s="15"/>
      <c r="CA30" s="16"/>
      <c r="CB30" s="13"/>
      <c r="CC30" s="14"/>
      <c r="CD30" s="14"/>
      <c r="CE30" s="14"/>
      <c r="CF30" s="14"/>
      <c r="CG30" s="15"/>
      <c r="CH30" s="16"/>
      <c r="CI30" s="13"/>
      <c r="CJ30" s="14"/>
      <c r="CK30" s="14"/>
      <c r="CL30" s="14"/>
      <c r="CM30" s="14"/>
      <c r="CN30" s="15"/>
      <c r="CO30" s="16"/>
      <c r="CP30" s="13"/>
      <c r="CQ30" s="14"/>
      <c r="CR30" s="14"/>
      <c r="CS30" s="14"/>
      <c r="CT30" s="14"/>
      <c r="CU30" s="15"/>
      <c r="CV30" s="16"/>
      <c r="CW30" s="13"/>
      <c r="CX30" s="14"/>
      <c r="CY30" s="14"/>
      <c r="CZ30" s="14"/>
      <c r="DA30" s="14"/>
      <c r="DB30" s="15"/>
      <c r="DC30" s="16"/>
      <c r="DD30" s="13"/>
      <c r="DE30" s="14"/>
      <c r="DF30" s="14"/>
      <c r="DG30" s="14"/>
      <c r="DH30" s="14"/>
      <c r="DI30" s="15"/>
      <c r="DJ30" s="16"/>
      <c r="DK30" s="13"/>
      <c r="DL30" s="14"/>
      <c r="DM30" s="14"/>
      <c r="DN30" s="14"/>
      <c r="DO30" s="14"/>
      <c r="DP30" s="15"/>
      <c r="DQ30" s="16"/>
      <c r="DR30" s="13"/>
      <c r="DS30" s="14"/>
      <c r="DT30" s="14"/>
      <c r="DU30" s="14"/>
      <c r="DV30" s="14"/>
      <c r="DW30" s="15"/>
      <c r="DX30" s="16"/>
    </row>
    <row r="31" spans="1:128" s="17" customFormat="1" ht="15" customHeight="1">
      <c r="A31" s="609" t="s">
        <v>57</v>
      </c>
      <c r="B31" s="609"/>
      <c r="C31" s="610">
        <f>E17-C16+1</f>
        <v>40</v>
      </c>
      <c r="D31" s="610"/>
      <c r="E31" s="611"/>
      <c r="F31" s="320"/>
      <c r="G31" s="300"/>
      <c r="H31" s="299"/>
      <c r="I31" s="321"/>
      <c r="J31" s="14" t="str">
        <f>IF(AND(J$5&gt;=$C$16,J$5&lt;=$E$17),1,"")</f>
        <v/>
      </c>
      <c r="K31" s="14" t="str">
        <f t="shared" ref="K31:BV31" si="39">IF(AND(K$5&gt;=$C$16,K$5&lt;=$E$17),1,"")</f>
        <v/>
      </c>
      <c r="L31" s="14" t="str">
        <f t="shared" si="39"/>
        <v/>
      </c>
      <c r="M31" s="14" t="str">
        <f t="shared" si="39"/>
        <v/>
      </c>
      <c r="N31" s="14" t="str">
        <f t="shared" si="39"/>
        <v/>
      </c>
      <c r="O31" s="15" t="str">
        <f t="shared" si="39"/>
        <v/>
      </c>
      <c r="P31" s="16" t="str">
        <f t="shared" si="39"/>
        <v/>
      </c>
      <c r="Q31" s="13" t="str">
        <f t="shared" si="39"/>
        <v/>
      </c>
      <c r="R31" s="14" t="str">
        <f t="shared" si="39"/>
        <v/>
      </c>
      <c r="S31" s="14" t="str">
        <f t="shared" si="39"/>
        <v/>
      </c>
      <c r="T31" s="14" t="str">
        <f t="shared" si="39"/>
        <v/>
      </c>
      <c r="U31" s="14" t="str">
        <f t="shared" si="39"/>
        <v/>
      </c>
      <c r="V31" s="15" t="str">
        <f t="shared" si="39"/>
        <v/>
      </c>
      <c r="W31" s="16" t="str">
        <f t="shared" si="39"/>
        <v/>
      </c>
      <c r="X31" s="13" t="str">
        <f t="shared" si="39"/>
        <v/>
      </c>
      <c r="Y31" s="14" t="str">
        <f t="shared" si="39"/>
        <v/>
      </c>
      <c r="Z31" s="14" t="str">
        <f t="shared" si="39"/>
        <v/>
      </c>
      <c r="AA31" s="14" t="str">
        <f t="shared" si="39"/>
        <v/>
      </c>
      <c r="AB31" s="14" t="str">
        <f t="shared" si="39"/>
        <v/>
      </c>
      <c r="AC31" s="15" t="str">
        <f t="shared" si="39"/>
        <v/>
      </c>
      <c r="AD31" s="16" t="str">
        <f t="shared" si="39"/>
        <v/>
      </c>
      <c r="AE31" s="13" t="str">
        <f t="shared" si="39"/>
        <v/>
      </c>
      <c r="AF31" s="14" t="str">
        <f t="shared" si="39"/>
        <v/>
      </c>
      <c r="AG31" s="14" t="str">
        <f t="shared" si="39"/>
        <v/>
      </c>
      <c r="AH31" s="14" t="str">
        <f t="shared" si="39"/>
        <v/>
      </c>
      <c r="AI31" s="14" t="str">
        <f t="shared" si="39"/>
        <v/>
      </c>
      <c r="AJ31" s="15" t="str">
        <f t="shared" si="39"/>
        <v/>
      </c>
      <c r="AK31" s="16" t="str">
        <f t="shared" si="39"/>
        <v/>
      </c>
      <c r="AL31" s="13" t="str">
        <f t="shared" si="39"/>
        <v/>
      </c>
      <c r="AM31" s="14" t="str">
        <f t="shared" si="39"/>
        <v/>
      </c>
      <c r="AN31" s="14" t="str">
        <f t="shared" si="39"/>
        <v/>
      </c>
      <c r="AO31" s="14">
        <f t="shared" si="39"/>
        <v>1</v>
      </c>
      <c r="AP31" s="14">
        <f t="shared" si="39"/>
        <v>1</v>
      </c>
      <c r="AQ31" s="15">
        <f t="shared" si="39"/>
        <v>1</v>
      </c>
      <c r="AR31" s="16">
        <f t="shared" si="39"/>
        <v>1</v>
      </c>
      <c r="AS31" s="13">
        <f t="shared" si="39"/>
        <v>1</v>
      </c>
      <c r="AT31" s="14">
        <f t="shared" si="39"/>
        <v>1</v>
      </c>
      <c r="AU31" s="14">
        <f t="shared" si="39"/>
        <v>1</v>
      </c>
      <c r="AV31" s="14">
        <f t="shared" si="39"/>
        <v>1</v>
      </c>
      <c r="AW31" s="14">
        <f t="shared" si="39"/>
        <v>1</v>
      </c>
      <c r="AX31" s="15">
        <f t="shared" si="39"/>
        <v>1</v>
      </c>
      <c r="AY31" s="16">
        <f t="shared" si="39"/>
        <v>1</v>
      </c>
      <c r="AZ31" s="13">
        <f t="shared" si="39"/>
        <v>1</v>
      </c>
      <c r="BA31" s="14">
        <f t="shared" si="39"/>
        <v>1</v>
      </c>
      <c r="BB31" s="14">
        <f t="shared" si="39"/>
        <v>1</v>
      </c>
      <c r="BC31" s="14">
        <f t="shared" si="39"/>
        <v>1</v>
      </c>
      <c r="BD31" s="14">
        <f t="shared" si="39"/>
        <v>1</v>
      </c>
      <c r="BE31" s="15">
        <f t="shared" si="39"/>
        <v>1</v>
      </c>
      <c r="BF31" s="16">
        <f t="shared" si="39"/>
        <v>1</v>
      </c>
      <c r="BG31" s="13">
        <f t="shared" si="39"/>
        <v>1</v>
      </c>
      <c r="BH31" s="14">
        <f t="shared" si="39"/>
        <v>1</v>
      </c>
      <c r="BI31" s="14">
        <f t="shared" si="39"/>
        <v>1</v>
      </c>
      <c r="BJ31" s="14">
        <f t="shared" si="39"/>
        <v>1</v>
      </c>
      <c r="BK31" s="14">
        <f t="shared" si="39"/>
        <v>1</v>
      </c>
      <c r="BL31" s="15">
        <f t="shared" si="39"/>
        <v>1</v>
      </c>
      <c r="BM31" s="16">
        <f t="shared" si="39"/>
        <v>1</v>
      </c>
      <c r="BN31" s="13">
        <f t="shared" si="39"/>
        <v>1</v>
      </c>
      <c r="BO31" s="14">
        <f t="shared" si="39"/>
        <v>1</v>
      </c>
      <c r="BP31" s="14">
        <f t="shared" si="39"/>
        <v>1</v>
      </c>
      <c r="BQ31" s="14">
        <f t="shared" si="39"/>
        <v>1</v>
      </c>
      <c r="BR31" s="14">
        <f t="shared" si="39"/>
        <v>1</v>
      </c>
      <c r="BS31" s="15">
        <f t="shared" si="39"/>
        <v>1</v>
      </c>
      <c r="BT31" s="16">
        <f t="shared" si="39"/>
        <v>1</v>
      </c>
      <c r="BU31" s="13">
        <f t="shared" si="39"/>
        <v>1</v>
      </c>
      <c r="BV31" s="14">
        <f t="shared" si="39"/>
        <v>1</v>
      </c>
      <c r="BW31" s="14">
        <f t="shared" ref="BW31:DX31" si="40">IF(AND(BW$5&gt;=$C$16,BW$5&lt;=$E$17),1,"")</f>
        <v>1</v>
      </c>
      <c r="BX31" s="14">
        <f t="shared" si="40"/>
        <v>1</v>
      </c>
      <c r="BY31" s="14">
        <f t="shared" si="40"/>
        <v>1</v>
      </c>
      <c r="BZ31" s="15">
        <f t="shared" si="40"/>
        <v>1</v>
      </c>
      <c r="CA31" s="16">
        <f t="shared" si="40"/>
        <v>1</v>
      </c>
      <c r="CB31" s="13">
        <f t="shared" si="40"/>
        <v>1</v>
      </c>
      <c r="CC31" s="14" t="str">
        <f t="shared" si="40"/>
        <v/>
      </c>
      <c r="CD31" s="14" t="str">
        <f t="shared" si="40"/>
        <v/>
      </c>
      <c r="CE31" s="14" t="str">
        <f t="shared" si="40"/>
        <v/>
      </c>
      <c r="CF31" s="14" t="str">
        <f t="shared" si="40"/>
        <v/>
      </c>
      <c r="CG31" s="15" t="str">
        <f t="shared" si="40"/>
        <v/>
      </c>
      <c r="CH31" s="16" t="str">
        <f t="shared" si="40"/>
        <v/>
      </c>
      <c r="CI31" s="13" t="str">
        <f t="shared" si="40"/>
        <v/>
      </c>
      <c r="CJ31" s="14" t="str">
        <f t="shared" si="40"/>
        <v/>
      </c>
      <c r="CK31" s="14" t="str">
        <f t="shared" si="40"/>
        <v/>
      </c>
      <c r="CL31" s="14" t="str">
        <f t="shared" si="40"/>
        <v/>
      </c>
      <c r="CM31" s="14" t="str">
        <f t="shared" si="40"/>
        <v/>
      </c>
      <c r="CN31" s="15" t="str">
        <f t="shared" si="40"/>
        <v/>
      </c>
      <c r="CO31" s="16" t="str">
        <f t="shared" si="40"/>
        <v/>
      </c>
      <c r="CP31" s="13" t="str">
        <f t="shared" si="40"/>
        <v/>
      </c>
      <c r="CQ31" s="14" t="str">
        <f t="shared" si="40"/>
        <v/>
      </c>
      <c r="CR31" s="14" t="str">
        <f t="shared" si="40"/>
        <v/>
      </c>
      <c r="CS31" s="14" t="str">
        <f t="shared" si="40"/>
        <v/>
      </c>
      <c r="CT31" s="14" t="str">
        <f t="shared" si="40"/>
        <v/>
      </c>
      <c r="CU31" s="15" t="str">
        <f t="shared" si="40"/>
        <v/>
      </c>
      <c r="CV31" s="16" t="str">
        <f t="shared" si="40"/>
        <v/>
      </c>
      <c r="CW31" s="13" t="str">
        <f t="shared" si="40"/>
        <v/>
      </c>
      <c r="CX31" s="14" t="str">
        <f t="shared" si="40"/>
        <v/>
      </c>
      <c r="CY31" s="14" t="str">
        <f t="shared" si="40"/>
        <v/>
      </c>
      <c r="CZ31" s="14" t="str">
        <f t="shared" si="40"/>
        <v/>
      </c>
      <c r="DA31" s="14" t="str">
        <f t="shared" si="40"/>
        <v/>
      </c>
      <c r="DB31" s="15" t="str">
        <f t="shared" si="40"/>
        <v/>
      </c>
      <c r="DC31" s="16" t="str">
        <f t="shared" si="40"/>
        <v/>
      </c>
      <c r="DD31" s="13" t="str">
        <f t="shared" si="40"/>
        <v/>
      </c>
      <c r="DE31" s="14" t="str">
        <f t="shared" si="40"/>
        <v/>
      </c>
      <c r="DF31" s="14" t="str">
        <f t="shared" si="40"/>
        <v/>
      </c>
      <c r="DG31" s="14" t="str">
        <f t="shared" si="40"/>
        <v/>
      </c>
      <c r="DH31" s="14" t="str">
        <f t="shared" si="40"/>
        <v/>
      </c>
      <c r="DI31" s="15" t="str">
        <f t="shared" si="40"/>
        <v/>
      </c>
      <c r="DJ31" s="16" t="str">
        <f t="shared" si="40"/>
        <v/>
      </c>
      <c r="DK31" s="13" t="str">
        <f t="shared" si="40"/>
        <v/>
      </c>
      <c r="DL31" s="14" t="str">
        <f t="shared" si="40"/>
        <v/>
      </c>
      <c r="DM31" s="14" t="str">
        <f t="shared" si="40"/>
        <v/>
      </c>
      <c r="DN31" s="14" t="str">
        <f t="shared" si="40"/>
        <v/>
      </c>
      <c r="DO31" s="14" t="str">
        <f t="shared" si="40"/>
        <v/>
      </c>
      <c r="DP31" s="15" t="str">
        <f t="shared" si="40"/>
        <v/>
      </c>
      <c r="DQ31" s="16" t="str">
        <f t="shared" si="40"/>
        <v/>
      </c>
      <c r="DR31" s="13" t="str">
        <f t="shared" si="40"/>
        <v/>
      </c>
      <c r="DS31" s="14" t="str">
        <f t="shared" si="40"/>
        <v/>
      </c>
      <c r="DT31" s="14" t="str">
        <f t="shared" si="40"/>
        <v/>
      </c>
      <c r="DU31" s="14" t="str">
        <f t="shared" si="40"/>
        <v/>
      </c>
      <c r="DV31" s="14" t="str">
        <f t="shared" si="40"/>
        <v/>
      </c>
      <c r="DW31" s="15" t="str">
        <f t="shared" si="40"/>
        <v/>
      </c>
      <c r="DX31" s="16" t="str">
        <f t="shared" si="40"/>
        <v/>
      </c>
    </row>
    <row r="32" spans="1:128" s="17" customFormat="1" ht="2.1" customHeight="1">
      <c r="A32" s="29"/>
      <c r="B32" s="29"/>
      <c r="C32" s="30"/>
      <c r="D32" s="30"/>
      <c r="E32" s="31"/>
      <c r="F32" s="316"/>
      <c r="G32" s="31"/>
      <c r="H32" s="30"/>
      <c r="I32" s="317"/>
      <c r="J32" s="14"/>
      <c r="K32" s="14"/>
      <c r="L32" s="14"/>
      <c r="M32" s="14"/>
      <c r="N32" s="14"/>
      <c r="O32" s="15"/>
      <c r="P32" s="16"/>
      <c r="Q32" s="13"/>
      <c r="R32" s="14"/>
      <c r="S32" s="14"/>
      <c r="T32" s="14"/>
      <c r="U32" s="14"/>
      <c r="V32" s="15"/>
      <c r="W32" s="16"/>
      <c r="X32" s="13"/>
      <c r="Y32" s="14"/>
      <c r="Z32" s="14"/>
      <c r="AA32" s="14"/>
      <c r="AB32" s="14"/>
      <c r="AC32" s="15"/>
      <c r="AD32" s="16"/>
      <c r="AE32" s="13"/>
      <c r="AF32" s="14"/>
      <c r="AG32" s="14"/>
      <c r="AH32" s="14"/>
      <c r="AI32" s="14"/>
      <c r="AJ32" s="15"/>
      <c r="AK32" s="16"/>
      <c r="AL32" s="13"/>
      <c r="AM32" s="14"/>
      <c r="AN32" s="14"/>
      <c r="AO32" s="14"/>
      <c r="AP32" s="14"/>
      <c r="AQ32" s="15"/>
      <c r="AR32" s="16"/>
      <c r="AS32" s="13"/>
      <c r="AT32" s="14"/>
      <c r="AU32" s="14"/>
      <c r="AV32" s="14"/>
      <c r="AW32" s="14"/>
      <c r="AX32" s="15"/>
      <c r="AY32" s="16"/>
      <c r="AZ32" s="13"/>
      <c r="BA32" s="14"/>
      <c r="BB32" s="14"/>
      <c r="BC32" s="14"/>
      <c r="BD32" s="14"/>
      <c r="BE32" s="15"/>
      <c r="BF32" s="16"/>
      <c r="BG32" s="13"/>
      <c r="BH32" s="14"/>
      <c r="BI32" s="14"/>
      <c r="BJ32" s="14"/>
      <c r="BK32" s="14"/>
      <c r="BL32" s="15"/>
      <c r="BM32" s="16"/>
      <c r="BN32" s="13"/>
      <c r="BO32" s="14"/>
      <c r="BP32" s="14"/>
      <c r="BQ32" s="14"/>
      <c r="BR32" s="14"/>
      <c r="BS32" s="15"/>
      <c r="BT32" s="16"/>
      <c r="BU32" s="13"/>
      <c r="BV32" s="14"/>
      <c r="BW32" s="14"/>
      <c r="BX32" s="14"/>
      <c r="BY32" s="14"/>
      <c r="BZ32" s="15"/>
      <c r="CA32" s="16"/>
      <c r="CB32" s="13"/>
      <c r="CC32" s="14"/>
      <c r="CD32" s="14"/>
      <c r="CE32" s="14"/>
      <c r="CF32" s="14"/>
      <c r="CG32" s="15"/>
      <c r="CH32" s="16"/>
      <c r="CI32" s="13"/>
      <c r="CJ32" s="14"/>
      <c r="CK32" s="14"/>
      <c r="CL32" s="14"/>
      <c r="CM32" s="14"/>
      <c r="CN32" s="15"/>
      <c r="CO32" s="16"/>
      <c r="CP32" s="13"/>
      <c r="CQ32" s="14"/>
      <c r="CR32" s="14"/>
      <c r="CS32" s="14"/>
      <c r="CT32" s="14"/>
      <c r="CU32" s="15"/>
      <c r="CV32" s="16"/>
      <c r="CW32" s="13"/>
      <c r="CX32" s="14"/>
      <c r="CY32" s="14"/>
      <c r="CZ32" s="14"/>
      <c r="DA32" s="14"/>
      <c r="DB32" s="15"/>
      <c r="DC32" s="16"/>
      <c r="DD32" s="13"/>
      <c r="DE32" s="14"/>
      <c r="DF32" s="14"/>
      <c r="DG32" s="14"/>
      <c r="DH32" s="14"/>
      <c r="DI32" s="15"/>
      <c r="DJ32" s="16"/>
      <c r="DK32" s="13"/>
      <c r="DL32" s="14"/>
      <c r="DM32" s="14"/>
      <c r="DN32" s="14"/>
      <c r="DO32" s="14"/>
      <c r="DP32" s="15"/>
      <c r="DQ32" s="16"/>
      <c r="DR32" s="13"/>
      <c r="DS32" s="14"/>
      <c r="DT32" s="14"/>
      <c r="DU32" s="14"/>
      <c r="DV32" s="14"/>
      <c r="DW32" s="15"/>
      <c r="DX32" s="16"/>
    </row>
    <row r="33" spans="1:128" s="17" customFormat="1" ht="15" customHeight="1">
      <c r="A33" s="603" t="s">
        <v>58</v>
      </c>
      <c r="B33" s="603"/>
      <c r="C33" s="604">
        <f>E23-C11+1</f>
        <v>69</v>
      </c>
      <c r="D33" s="604"/>
      <c r="E33" s="605"/>
      <c r="F33" s="322"/>
      <c r="G33" s="302"/>
      <c r="H33" s="301"/>
      <c r="I33" s="323"/>
      <c r="J33" s="14" t="str">
        <f t="shared" ref="J33:BU33" si="41">IF(AND(J$5&gt;=$C$11,J$5&lt;=$E$23),1,"")</f>
        <v/>
      </c>
      <c r="K33" s="14" t="str">
        <f t="shared" si="41"/>
        <v/>
      </c>
      <c r="L33" s="14" t="str">
        <f t="shared" si="41"/>
        <v/>
      </c>
      <c r="M33" s="14" t="str">
        <f t="shared" si="41"/>
        <v/>
      </c>
      <c r="N33" s="14" t="str">
        <f t="shared" si="41"/>
        <v/>
      </c>
      <c r="O33" s="15" t="str">
        <f t="shared" si="41"/>
        <v/>
      </c>
      <c r="P33" s="16" t="str">
        <f t="shared" si="41"/>
        <v/>
      </c>
      <c r="Q33" s="13" t="str">
        <f t="shared" si="41"/>
        <v/>
      </c>
      <c r="R33" s="14" t="str">
        <f t="shared" si="41"/>
        <v/>
      </c>
      <c r="S33" s="14" t="str">
        <f t="shared" si="41"/>
        <v/>
      </c>
      <c r="T33" s="14" t="str">
        <f t="shared" si="41"/>
        <v/>
      </c>
      <c r="U33" s="14" t="str">
        <f t="shared" si="41"/>
        <v/>
      </c>
      <c r="V33" s="15" t="str">
        <f t="shared" si="41"/>
        <v/>
      </c>
      <c r="W33" s="16" t="str">
        <f t="shared" si="41"/>
        <v/>
      </c>
      <c r="X33" s="13" t="str">
        <f t="shared" si="41"/>
        <v/>
      </c>
      <c r="Y33" s="14">
        <f>IF(AND(Y$5&gt;=$C$11,Y$5&lt;=$E$23),1,"")</f>
        <v>1</v>
      </c>
      <c r="Z33" s="14">
        <f t="shared" si="41"/>
        <v>1</v>
      </c>
      <c r="AA33" s="14">
        <f t="shared" si="41"/>
        <v>1</v>
      </c>
      <c r="AB33" s="14">
        <f t="shared" si="41"/>
        <v>1</v>
      </c>
      <c r="AC33" s="15">
        <f t="shared" si="41"/>
        <v>1</v>
      </c>
      <c r="AD33" s="16">
        <f t="shared" si="41"/>
        <v>1</v>
      </c>
      <c r="AE33" s="13">
        <f t="shared" si="41"/>
        <v>1</v>
      </c>
      <c r="AF33" s="14">
        <f t="shared" si="41"/>
        <v>1</v>
      </c>
      <c r="AG33" s="14">
        <f t="shared" si="41"/>
        <v>1</v>
      </c>
      <c r="AH33" s="14">
        <f t="shared" si="41"/>
        <v>1</v>
      </c>
      <c r="AI33" s="14">
        <f t="shared" si="41"/>
        <v>1</v>
      </c>
      <c r="AJ33" s="15">
        <f t="shared" si="41"/>
        <v>1</v>
      </c>
      <c r="AK33" s="16">
        <f t="shared" si="41"/>
        <v>1</v>
      </c>
      <c r="AL33" s="13">
        <f t="shared" si="41"/>
        <v>1</v>
      </c>
      <c r="AM33" s="14">
        <f t="shared" si="41"/>
        <v>1</v>
      </c>
      <c r="AN33" s="14">
        <f t="shared" si="41"/>
        <v>1</v>
      </c>
      <c r="AO33" s="14">
        <f t="shared" si="41"/>
        <v>1</v>
      </c>
      <c r="AP33" s="14">
        <f t="shared" si="41"/>
        <v>1</v>
      </c>
      <c r="AQ33" s="15">
        <f t="shared" si="41"/>
        <v>1</v>
      </c>
      <c r="AR33" s="16">
        <f t="shared" si="41"/>
        <v>1</v>
      </c>
      <c r="AS33" s="13">
        <f t="shared" si="41"/>
        <v>1</v>
      </c>
      <c r="AT33" s="14">
        <f t="shared" si="41"/>
        <v>1</v>
      </c>
      <c r="AU33" s="14">
        <f t="shared" si="41"/>
        <v>1</v>
      </c>
      <c r="AV33" s="14">
        <f t="shared" si="41"/>
        <v>1</v>
      </c>
      <c r="AW33" s="14">
        <f t="shared" si="41"/>
        <v>1</v>
      </c>
      <c r="AX33" s="15">
        <f t="shared" si="41"/>
        <v>1</v>
      </c>
      <c r="AY33" s="16">
        <f t="shared" si="41"/>
        <v>1</v>
      </c>
      <c r="AZ33" s="13">
        <f t="shared" si="41"/>
        <v>1</v>
      </c>
      <c r="BA33" s="14">
        <f t="shared" si="41"/>
        <v>1</v>
      </c>
      <c r="BB33" s="14">
        <f t="shared" si="41"/>
        <v>1</v>
      </c>
      <c r="BC33" s="14">
        <f t="shared" si="41"/>
        <v>1</v>
      </c>
      <c r="BD33" s="14">
        <f t="shared" si="41"/>
        <v>1</v>
      </c>
      <c r="BE33" s="15">
        <f t="shared" si="41"/>
        <v>1</v>
      </c>
      <c r="BF33" s="16">
        <f t="shared" si="41"/>
        <v>1</v>
      </c>
      <c r="BG33" s="13">
        <f t="shared" si="41"/>
        <v>1</v>
      </c>
      <c r="BH33" s="14">
        <f t="shared" si="41"/>
        <v>1</v>
      </c>
      <c r="BI33" s="14">
        <f t="shared" si="41"/>
        <v>1</v>
      </c>
      <c r="BJ33" s="14">
        <f t="shared" si="41"/>
        <v>1</v>
      </c>
      <c r="BK33" s="14">
        <f t="shared" si="41"/>
        <v>1</v>
      </c>
      <c r="BL33" s="15">
        <f t="shared" si="41"/>
        <v>1</v>
      </c>
      <c r="BM33" s="16">
        <f t="shared" si="41"/>
        <v>1</v>
      </c>
      <c r="BN33" s="13">
        <f t="shared" si="41"/>
        <v>1</v>
      </c>
      <c r="BO33" s="14">
        <f t="shared" si="41"/>
        <v>1</v>
      </c>
      <c r="BP33" s="14">
        <f t="shared" si="41"/>
        <v>1</v>
      </c>
      <c r="BQ33" s="14">
        <f t="shared" si="41"/>
        <v>1</v>
      </c>
      <c r="BR33" s="14">
        <f t="shared" si="41"/>
        <v>1</v>
      </c>
      <c r="BS33" s="15">
        <f t="shared" si="41"/>
        <v>1</v>
      </c>
      <c r="BT33" s="16">
        <f t="shared" si="41"/>
        <v>1</v>
      </c>
      <c r="BU33" s="13">
        <f t="shared" si="41"/>
        <v>1</v>
      </c>
      <c r="BV33" s="14">
        <f t="shared" ref="BV33:DX33" si="42">IF(AND(BV$5&gt;=$C$11,BV$5&lt;=$E$23),1,"")</f>
        <v>1</v>
      </c>
      <c r="BW33" s="14">
        <f t="shared" si="42"/>
        <v>1</v>
      </c>
      <c r="BX33" s="14">
        <f t="shared" si="42"/>
        <v>1</v>
      </c>
      <c r="BY33" s="14">
        <f t="shared" si="42"/>
        <v>1</v>
      </c>
      <c r="BZ33" s="15">
        <f t="shared" si="42"/>
        <v>1</v>
      </c>
      <c r="CA33" s="16">
        <f t="shared" si="42"/>
        <v>1</v>
      </c>
      <c r="CB33" s="13">
        <f t="shared" si="42"/>
        <v>1</v>
      </c>
      <c r="CC33" s="14">
        <f t="shared" si="42"/>
        <v>1</v>
      </c>
      <c r="CD33" s="14">
        <f t="shared" si="42"/>
        <v>1</v>
      </c>
      <c r="CE33" s="14">
        <f t="shared" si="42"/>
        <v>1</v>
      </c>
      <c r="CF33" s="14">
        <f t="shared" si="42"/>
        <v>1</v>
      </c>
      <c r="CG33" s="15">
        <f t="shared" si="42"/>
        <v>1</v>
      </c>
      <c r="CH33" s="16">
        <f t="shared" si="42"/>
        <v>1</v>
      </c>
      <c r="CI33" s="13">
        <f t="shared" si="42"/>
        <v>1</v>
      </c>
      <c r="CJ33" s="14">
        <f t="shared" si="42"/>
        <v>1</v>
      </c>
      <c r="CK33" s="14">
        <f t="shared" si="42"/>
        <v>1</v>
      </c>
      <c r="CL33" s="14">
        <f t="shared" si="42"/>
        <v>1</v>
      </c>
      <c r="CM33" s="14">
        <f t="shared" si="42"/>
        <v>1</v>
      </c>
      <c r="CN33" s="15">
        <f t="shared" si="42"/>
        <v>1</v>
      </c>
      <c r="CO33" s="16">
        <f t="shared" si="42"/>
        <v>1</v>
      </c>
      <c r="CP33" s="13" t="str">
        <f t="shared" si="42"/>
        <v/>
      </c>
      <c r="CQ33" s="14" t="str">
        <f t="shared" si="42"/>
        <v/>
      </c>
      <c r="CR33" s="14" t="str">
        <f t="shared" si="42"/>
        <v/>
      </c>
      <c r="CS33" s="14" t="str">
        <f t="shared" si="42"/>
        <v/>
      </c>
      <c r="CT33" s="14" t="str">
        <f t="shared" si="42"/>
        <v/>
      </c>
      <c r="CU33" s="15" t="str">
        <f t="shared" si="42"/>
        <v/>
      </c>
      <c r="CV33" s="16" t="str">
        <f t="shared" si="42"/>
        <v/>
      </c>
      <c r="CW33" s="13" t="str">
        <f t="shared" si="42"/>
        <v/>
      </c>
      <c r="CX33" s="14" t="str">
        <f t="shared" si="42"/>
        <v/>
      </c>
      <c r="CY33" s="14" t="str">
        <f t="shared" si="42"/>
        <v/>
      </c>
      <c r="CZ33" s="14" t="str">
        <f t="shared" si="42"/>
        <v/>
      </c>
      <c r="DA33" s="14" t="str">
        <f t="shared" si="42"/>
        <v/>
      </c>
      <c r="DB33" s="15" t="str">
        <f t="shared" si="42"/>
        <v/>
      </c>
      <c r="DC33" s="16" t="str">
        <f t="shared" si="42"/>
        <v/>
      </c>
      <c r="DD33" s="13" t="str">
        <f t="shared" si="42"/>
        <v/>
      </c>
      <c r="DE33" s="14" t="str">
        <f t="shared" si="42"/>
        <v/>
      </c>
      <c r="DF33" s="14" t="str">
        <f t="shared" si="42"/>
        <v/>
      </c>
      <c r="DG33" s="14" t="str">
        <f t="shared" si="42"/>
        <v/>
      </c>
      <c r="DH33" s="14" t="str">
        <f t="shared" si="42"/>
        <v/>
      </c>
      <c r="DI33" s="15" t="str">
        <f t="shared" si="42"/>
        <v/>
      </c>
      <c r="DJ33" s="16" t="str">
        <f t="shared" si="42"/>
        <v/>
      </c>
      <c r="DK33" s="13" t="str">
        <f t="shared" si="42"/>
        <v/>
      </c>
      <c r="DL33" s="14" t="str">
        <f t="shared" si="42"/>
        <v/>
      </c>
      <c r="DM33" s="14" t="str">
        <f t="shared" si="42"/>
        <v/>
      </c>
      <c r="DN33" s="14" t="str">
        <f t="shared" si="42"/>
        <v/>
      </c>
      <c r="DO33" s="14" t="str">
        <f t="shared" si="42"/>
        <v/>
      </c>
      <c r="DP33" s="15" t="str">
        <f t="shared" si="42"/>
        <v/>
      </c>
      <c r="DQ33" s="16" t="str">
        <f t="shared" si="42"/>
        <v/>
      </c>
      <c r="DR33" s="13" t="str">
        <f t="shared" si="42"/>
        <v/>
      </c>
      <c r="DS33" s="14" t="str">
        <f t="shared" si="42"/>
        <v/>
      </c>
      <c r="DT33" s="14" t="str">
        <f t="shared" si="42"/>
        <v/>
      </c>
      <c r="DU33" s="14" t="str">
        <f t="shared" si="42"/>
        <v/>
      </c>
      <c r="DV33" s="14" t="str">
        <f t="shared" si="42"/>
        <v/>
      </c>
      <c r="DW33" s="15" t="str">
        <f t="shared" si="42"/>
        <v/>
      </c>
      <c r="DX33" s="16" t="str">
        <f t="shared" si="42"/>
        <v/>
      </c>
    </row>
    <row r="34" spans="1:128" s="17" customFormat="1" ht="2.1" customHeight="1">
      <c r="A34" s="29"/>
      <c r="B34" s="29"/>
      <c r="C34" s="30"/>
      <c r="D34" s="30"/>
      <c r="E34" s="31"/>
      <c r="F34" s="316"/>
      <c r="G34" s="31"/>
      <c r="H34" s="30"/>
      <c r="I34" s="317"/>
      <c r="J34" s="14"/>
      <c r="K34" s="14"/>
      <c r="L34" s="14"/>
      <c r="M34" s="14"/>
      <c r="N34" s="14"/>
      <c r="O34" s="15"/>
      <c r="P34" s="16"/>
      <c r="Q34" s="13"/>
      <c r="R34" s="14"/>
      <c r="S34" s="14"/>
      <c r="T34" s="14"/>
      <c r="U34" s="14"/>
      <c r="V34" s="15"/>
      <c r="W34" s="16"/>
      <c r="X34" s="13"/>
      <c r="Y34" s="14"/>
      <c r="Z34" s="14"/>
      <c r="AA34" s="14"/>
      <c r="AB34" s="14"/>
      <c r="AC34" s="15"/>
      <c r="AD34" s="16"/>
      <c r="AE34" s="13"/>
      <c r="AF34" s="14"/>
      <c r="AG34" s="14"/>
      <c r="AH34" s="14"/>
      <c r="AI34" s="14"/>
      <c r="AJ34" s="15"/>
      <c r="AK34" s="16"/>
      <c r="AL34" s="13"/>
      <c r="AM34" s="14"/>
      <c r="AN34" s="14"/>
      <c r="AO34" s="14"/>
      <c r="AP34" s="14"/>
      <c r="AQ34" s="15"/>
      <c r="AR34" s="16"/>
      <c r="AS34" s="13"/>
      <c r="AT34" s="14"/>
      <c r="AU34" s="14"/>
      <c r="AV34" s="14"/>
      <c r="AW34" s="14"/>
      <c r="AX34" s="15"/>
      <c r="AY34" s="16"/>
      <c r="AZ34" s="13"/>
      <c r="BA34" s="14"/>
      <c r="BB34" s="14"/>
      <c r="BC34" s="14"/>
      <c r="BD34" s="14"/>
      <c r="BE34" s="15"/>
      <c r="BF34" s="16"/>
      <c r="BG34" s="13"/>
      <c r="BH34" s="14"/>
      <c r="BI34" s="14"/>
      <c r="BJ34" s="14"/>
      <c r="BK34" s="14"/>
      <c r="BL34" s="15"/>
      <c r="BM34" s="16"/>
      <c r="BN34" s="13"/>
      <c r="BO34" s="14"/>
      <c r="BP34" s="14"/>
      <c r="BQ34" s="14"/>
      <c r="BR34" s="14"/>
      <c r="BS34" s="15"/>
      <c r="BT34" s="16"/>
      <c r="BU34" s="13"/>
      <c r="BV34" s="14"/>
      <c r="BW34" s="14"/>
      <c r="BX34" s="14"/>
      <c r="BY34" s="14"/>
      <c r="BZ34" s="15"/>
      <c r="CA34" s="16"/>
      <c r="CB34" s="13"/>
      <c r="CC34" s="14"/>
      <c r="CD34" s="14"/>
      <c r="CE34" s="14"/>
      <c r="CF34" s="14"/>
      <c r="CG34" s="15"/>
      <c r="CH34" s="16"/>
      <c r="CI34" s="13"/>
      <c r="CJ34" s="14"/>
      <c r="CK34" s="14"/>
      <c r="CL34" s="14"/>
      <c r="CM34" s="14"/>
      <c r="CN34" s="15"/>
      <c r="CO34" s="16"/>
      <c r="CP34" s="13"/>
      <c r="CQ34" s="14"/>
      <c r="CR34" s="14"/>
      <c r="CS34" s="14"/>
      <c r="CT34" s="14"/>
      <c r="CU34" s="15"/>
      <c r="CV34" s="16"/>
      <c r="CW34" s="13"/>
      <c r="CX34" s="14"/>
      <c r="CY34" s="14"/>
      <c r="CZ34" s="14"/>
      <c r="DA34" s="14"/>
      <c r="DB34" s="15"/>
      <c r="DC34" s="16"/>
      <c r="DD34" s="13"/>
      <c r="DE34" s="14"/>
      <c r="DF34" s="14"/>
      <c r="DG34" s="14"/>
      <c r="DH34" s="14"/>
      <c r="DI34" s="15"/>
      <c r="DJ34" s="16"/>
      <c r="DK34" s="13"/>
      <c r="DL34" s="14"/>
      <c r="DM34" s="14"/>
      <c r="DN34" s="14"/>
      <c r="DO34" s="14"/>
      <c r="DP34" s="15"/>
      <c r="DQ34" s="16"/>
      <c r="DR34" s="13"/>
      <c r="DS34" s="14"/>
      <c r="DT34" s="14"/>
      <c r="DU34" s="14"/>
      <c r="DV34" s="14"/>
      <c r="DW34" s="15"/>
      <c r="DX34" s="16"/>
    </row>
    <row r="35" spans="1:128" s="17" customFormat="1" ht="15" customHeight="1">
      <c r="A35" s="591" t="s">
        <v>59</v>
      </c>
      <c r="B35" s="591"/>
      <c r="C35" s="592">
        <f>E23-C8+1</f>
        <v>78</v>
      </c>
      <c r="D35" s="592"/>
      <c r="E35" s="593"/>
      <c r="F35" s="324"/>
      <c r="G35" s="296"/>
      <c r="H35" s="295"/>
      <c r="I35" s="325"/>
      <c r="J35" s="14" t="str">
        <f t="shared" ref="J35:BU35" si="43">IF(AND(J$5&gt;=$C$8,J$5&lt;=$E$23),1,"")</f>
        <v/>
      </c>
      <c r="K35" s="14" t="str">
        <f t="shared" si="43"/>
        <v/>
      </c>
      <c r="L35" s="14" t="str">
        <f t="shared" si="43"/>
        <v/>
      </c>
      <c r="M35" s="14" t="str">
        <f t="shared" si="43"/>
        <v/>
      </c>
      <c r="N35" s="14" t="str">
        <f t="shared" si="43"/>
        <v/>
      </c>
      <c r="O35" s="15" t="str">
        <f t="shared" si="43"/>
        <v/>
      </c>
      <c r="P35" s="16">
        <f>IF(AND(P$5&gt;=$C$8,P$5&lt;=$E$23),1,"")</f>
        <v>1</v>
      </c>
      <c r="Q35" s="13">
        <f t="shared" si="43"/>
        <v>1</v>
      </c>
      <c r="R35" s="14">
        <f t="shared" si="43"/>
        <v>1</v>
      </c>
      <c r="S35" s="14">
        <f t="shared" si="43"/>
        <v>1</v>
      </c>
      <c r="T35" s="14">
        <f t="shared" si="43"/>
        <v>1</v>
      </c>
      <c r="U35" s="14">
        <f t="shared" si="43"/>
        <v>1</v>
      </c>
      <c r="V35" s="15">
        <f t="shared" si="43"/>
        <v>1</v>
      </c>
      <c r="W35" s="16">
        <f t="shared" si="43"/>
        <v>1</v>
      </c>
      <c r="X35" s="13">
        <f t="shared" si="43"/>
        <v>1</v>
      </c>
      <c r="Y35" s="14">
        <f t="shared" si="43"/>
        <v>1</v>
      </c>
      <c r="Z35" s="14">
        <f t="shared" si="43"/>
        <v>1</v>
      </c>
      <c r="AA35" s="14">
        <f t="shared" si="43"/>
        <v>1</v>
      </c>
      <c r="AB35" s="14">
        <f t="shared" si="43"/>
        <v>1</v>
      </c>
      <c r="AC35" s="15">
        <f t="shared" si="43"/>
        <v>1</v>
      </c>
      <c r="AD35" s="16">
        <f t="shared" si="43"/>
        <v>1</v>
      </c>
      <c r="AE35" s="13">
        <f t="shared" si="43"/>
        <v>1</v>
      </c>
      <c r="AF35" s="14">
        <f t="shared" si="43"/>
        <v>1</v>
      </c>
      <c r="AG35" s="14">
        <f t="shared" si="43"/>
        <v>1</v>
      </c>
      <c r="AH35" s="14">
        <f t="shared" si="43"/>
        <v>1</v>
      </c>
      <c r="AI35" s="14">
        <f t="shared" si="43"/>
        <v>1</v>
      </c>
      <c r="AJ35" s="15">
        <f t="shared" si="43"/>
        <v>1</v>
      </c>
      <c r="AK35" s="16">
        <f t="shared" si="43"/>
        <v>1</v>
      </c>
      <c r="AL35" s="13">
        <f t="shared" si="43"/>
        <v>1</v>
      </c>
      <c r="AM35" s="14">
        <f t="shared" si="43"/>
        <v>1</v>
      </c>
      <c r="AN35" s="14">
        <f t="shared" si="43"/>
        <v>1</v>
      </c>
      <c r="AO35" s="14">
        <f t="shared" si="43"/>
        <v>1</v>
      </c>
      <c r="AP35" s="14">
        <f t="shared" si="43"/>
        <v>1</v>
      </c>
      <c r="AQ35" s="15">
        <f t="shared" si="43"/>
        <v>1</v>
      </c>
      <c r="AR35" s="16">
        <f t="shared" si="43"/>
        <v>1</v>
      </c>
      <c r="AS35" s="13">
        <f t="shared" si="43"/>
        <v>1</v>
      </c>
      <c r="AT35" s="14">
        <f t="shared" si="43"/>
        <v>1</v>
      </c>
      <c r="AU35" s="14">
        <f t="shared" si="43"/>
        <v>1</v>
      </c>
      <c r="AV35" s="14">
        <f t="shared" si="43"/>
        <v>1</v>
      </c>
      <c r="AW35" s="14">
        <f t="shared" si="43"/>
        <v>1</v>
      </c>
      <c r="AX35" s="15">
        <f t="shared" si="43"/>
        <v>1</v>
      </c>
      <c r="AY35" s="16">
        <f t="shared" si="43"/>
        <v>1</v>
      </c>
      <c r="AZ35" s="13">
        <f t="shared" si="43"/>
        <v>1</v>
      </c>
      <c r="BA35" s="14">
        <f t="shared" si="43"/>
        <v>1</v>
      </c>
      <c r="BB35" s="14">
        <f t="shared" si="43"/>
        <v>1</v>
      </c>
      <c r="BC35" s="14">
        <f t="shared" si="43"/>
        <v>1</v>
      </c>
      <c r="BD35" s="14">
        <f t="shared" si="43"/>
        <v>1</v>
      </c>
      <c r="BE35" s="15">
        <f t="shared" si="43"/>
        <v>1</v>
      </c>
      <c r="BF35" s="16">
        <f t="shared" si="43"/>
        <v>1</v>
      </c>
      <c r="BG35" s="13">
        <f t="shared" si="43"/>
        <v>1</v>
      </c>
      <c r="BH35" s="14">
        <f t="shared" si="43"/>
        <v>1</v>
      </c>
      <c r="BI35" s="14">
        <f t="shared" si="43"/>
        <v>1</v>
      </c>
      <c r="BJ35" s="14">
        <f t="shared" si="43"/>
        <v>1</v>
      </c>
      <c r="BK35" s="14">
        <f t="shared" si="43"/>
        <v>1</v>
      </c>
      <c r="BL35" s="15">
        <f t="shared" si="43"/>
        <v>1</v>
      </c>
      <c r="BM35" s="16">
        <f t="shared" si="43"/>
        <v>1</v>
      </c>
      <c r="BN35" s="13">
        <f t="shared" si="43"/>
        <v>1</v>
      </c>
      <c r="BO35" s="14">
        <f t="shared" si="43"/>
        <v>1</v>
      </c>
      <c r="BP35" s="14">
        <f t="shared" si="43"/>
        <v>1</v>
      </c>
      <c r="BQ35" s="14">
        <f t="shared" si="43"/>
        <v>1</v>
      </c>
      <c r="BR35" s="14">
        <f t="shared" si="43"/>
        <v>1</v>
      </c>
      <c r="BS35" s="15">
        <f t="shared" si="43"/>
        <v>1</v>
      </c>
      <c r="BT35" s="16">
        <f t="shared" si="43"/>
        <v>1</v>
      </c>
      <c r="BU35" s="13">
        <f t="shared" si="43"/>
        <v>1</v>
      </c>
      <c r="BV35" s="14">
        <f t="shared" ref="BV35:DX35" si="44">IF(AND(BV$5&gt;=$C$8,BV$5&lt;=$E$23),1,"")</f>
        <v>1</v>
      </c>
      <c r="BW35" s="14">
        <f t="shared" si="44"/>
        <v>1</v>
      </c>
      <c r="BX35" s="14">
        <f t="shared" si="44"/>
        <v>1</v>
      </c>
      <c r="BY35" s="14">
        <f t="shared" si="44"/>
        <v>1</v>
      </c>
      <c r="BZ35" s="15">
        <f t="shared" si="44"/>
        <v>1</v>
      </c>
      <c r="CA35" s="16">
        <f t="shared" si="44"/>
        <v>1</v>
      </c>
      <c r="CB35" s="13">
        <f t="shared" si="44"/>
        <v>1</v>
      </c>
      <c r="CC35" s="14">
        <f t="shared" si="44"/>
        <v>1</v>
      </c>
      <c r="CD35" s="14">
        <f t="shared" si="44"/>
        <v>1</v>
      </c>
      <c r="CE35" s="14">
        <f t="shared" si="44"/>
        <v>1</v>
      </c>
      <c r="CF35" s="14">
        <f t="shared" si="44"/>
        <v>1</v>
      </c>
      <c r="CG35" s="15">
        <f t="shared" si="44"/>
        <v>1</v>
      </c>
      <c r="CH35" s="16">
        <f t="shared" si="44"/>
        <v>1</v>
      </c>
      <c r="CI35" s="13">
        <f t="shared" si="44"/>
        <v>1</v>
      </c>
      <c r="CJ35" s="14">
        <f t="shared" si="44"/>
        <v>1</v>
      </c>
      <c r="CK35" s="14">
        <f t="shared" si="44"/>
        <v>1</v>
      </c>
      <c r="CL35" s="14">
        <f t="shared" si="44"/>
        <v>1</v>
      </c>
      <c r="CM35" s="14">
        <f t="shared" si="44"/>
        <v>1</v>
      </c>
      <c r="CN35" s="15">
        <f t="shared" si="44"/>
        <v>1</v>
      </c>
      <c r="CO35" s="16">
        <f t="shared" si="44"/>
        <v>1</v>
      </c>
      <c r="CP35" s="13" t="str">
        <f t="shared" si="44"/>
        <v/>
      </c>
      <c r="CQ35" s="14" t="str">
        <f t="shared" si="44"/>
        <v/>
      </c>
      <c r="CR35" s="14" t="str">
        <f t="shared" si="44"/>
        <v/>
      </c>
      <c r="CS35" s="14" t="str">
        <f t="shared" si="44"/>
        <v/>
      </c>
      <c r="CT35" s="14" t="str">
        <f t="shared" si="44"/>
        <v/>
      </c>
      <c r="CU35" s="15" t="str">
        <f t="shared" si="44"/>
        <v/>
      </c>
      <c r="CV35" s="16" t="str">
        <f t="shared" si="44"/>
        <v/>
      </c>
      <c r="CW35" s="13" t="str">
        <f t="shared" si="44"/>
        <v/>
      </c>
      <c r="CX35" s="14" t="str">
        <f t="shared" si="44"/>
        <v/>
      </c>
      <c r="CY35" s="14" t="str">
        <f t="shared" si="44"/>
        <v/>
      </c>
      <c r="CZ35" s="14" t="str">
        <f t="shared" si="44"/>
        <v/>
      </c>
      <c r="DA35" s="14" t="str">
        <f t="shared" si="44"/>
        <v/>
      </c>
      <c r="DB35" s="15" t="str">
        <f t="shared" si="44"/>
        <v/>
      </c>
      <c r="DC35" s="16" t="str">
        <f t="shared" si="44"/>
        <v/>
      </c>
      <c r="DD35" s="13" t="str">
        <f t="shared" si="44"/>
        <v/>
      </c>
      <c r="DE35" s="14" t="str">
        <f t="shared" si="44"/>
        <v/>
      </c>
      <c r="DF35" s="14" t="str">
        <f t="shared" si="44"/>
        <v/>
      </c>
      <c r="DG35" s="14" t="str">
        <f t="shared" si="44"/>
        <v/>
      </c>
      <c r="DH35" s="14" t="str">
        <f t="shared" si="44"/>
        <v/>
      </c>
      <c r="DI35" s="15" t="str">
        <f t="shared" si="44"/>
        <v/>
      </c>
      <c r="DJ35" s="16" t="str">
        <f t="shared" si="44"/>
        <v/>
      </c>
      <c r="DK35" s="13" t="str">
        <f t="shared" si="44"/>
        <v/>
      </c>
      <c r="DL35" s="14" t="str">
        <f t="shared" si="44"/>
        <v/>
      </c>
      <c r="DM35" s="14" t="str">
        <f t="shared" si="44"/>
        <v/>
      </c>
      <c r="DN35" s="14" t="str">
        <f t="shared" si="44"/>
        <v/>
      </c>
      <c r="DO35" s="14" t="str">
        <f t="shared" si="44"/>
        <v/>
      </c>
      <c r="DP35" s="15" t="str">
        <f t="shared" si="44"/>
        <v/>
      </c>
      <c r="DQ35" s="16" t="str">
        <f t="shared" si="44"/>
        <v/>
      </c>
      <c r="DR35" s="13" t="str">
        <f t="shared" si="44"/>
        <v/>
      </c>
      <c r="DS35" s="14" t="str">
        <f t="shared" si="44"/>
        <v/>
      </c>
      <c r="DT35" s="14" t="str">
        <f t="shared" si="44"/>
        <v/>
      </c>
      <c r="DU35" s="14" t="str">
        <f t="shared" si="44"/>
        <v/>
      </c>
      <c r="DV35" s="14" t="str">
        <f t="shared" si="44"/>
        <v/>
      </c>
      <c r="DW35" s="15" t="str">
        <f t="shared" si="44"/>
        <v/>
      </c>
      <c r="DX35" s="16" t="str">
        <f t="shared" si="44"/>
        <v/>
      </c>
    </row>
    <row r="36" spans="1:128" ht="2.1" customHeight="1">
      <c r="F36" s="326"/>
      <c r="I36" s="327"/>
    </row>
    <row r="37" spans="1:128" s="17" customFormat="1" ht="15" customHeight="1" thickBot="1">
      <c r="A37" s="594" t="s">
        <v>60</v>
      </c>
      <c r="B37" s="594"/>
      <c r="C37" s="595">
        <f>E23-IF(B1="SFK Freight Forwarder",C11,C8)+1</f>
        <v>78</v>
      </c>
      <c r="D37" s="595"/>
      <c r="E37" s="596"/>
      <c r="F37" s="328"/>
      <c r="G37" s="329"/>
      <c r="H37" s="330"/>
      <c r="I37" s="331"/>
      <c r="J37" s="14" t="str">
        <f t="shared" ref="J37:O37" si="45">IF($B$1="SFK Freight Forwarder",IF(AND(J$5&gt;=$C$11,J$5&lt;=$E$23),1,""),IF(AND(J$5&gt;=$C$8,J$5&lt;=$E$23),1,""))</f>
        <v/>
      </c>
      <c r="K37" s="14" t="str">
        <f t="shared" si="45"/>
        <v/>
      </c>
      <c r="L37" s="14" t="str">
        <f t="shared" si="45"/>
        <v/>
      </c>
      <c r="M37" s="14" t="str">
        <f t="shared" si="45"/>
        <v/>
      </c>
      <c r="N37" s="14" t="str">
        <f t="shared" si="45"/>
        <v/>
      </c>
      <c r="O37" s="15" t="str">
        <f t="shared" si="45"/>
        <v/>
      </c>
      <c r="P37" s="94">
        <f>IF($B$1="SFK Freight Forwarder",IF(AND(P$5&gt;=$C$11,P$5&lt;=$E$23),1,""),IF(AND(P$5&gt;=$C$8,P$5&lt;=$E$23),1,""))</f>
        <v>1</v>
      </c>
      <c r="Q37" s="13">
        <f t="shared" ref="Q37:CB37" si="46">IF($B$1="SFK Freight Forwarder",IF(AND(Q$5&gt;=$C$11,Q$5&lt;=$E$23),1,""),IF(AND(Q$5&gt;=$C$8,Q$5&lt;=$E$23),1,""))</f>
        <v>1</v>
      </c>
      <c r="R37" s="14">
        <f t="shared" si="46"/>
        <v>1</v>
      </c>
      <c r="S37" s="14">
        <f t="shared" si="46"/>
        <v>1</v>
      </c>
      <c r="T37" s="14">
        <f t="shared" si="46"/>
        <v>1</v>
      </c>
      <c r="U37" s="14">
        <f t="shared" si="46"/>
        <v>1</v>
      </c>
      <c r="V37" s="15">
        <f t="shared" si="46"/>
        <v>1</v>
      </c>
      <c r="W37" s="16">
        <f t="shared" si="46"/>
        <v>1</v>
      </c>
      <c r="X37" s="13">
        <f t="shared" si="46"/>
        <v>1</v>
      </c>
      <c r="Y37" s="14">
        <f t="shared" si="46"/>
        <v>1</v>
      </c>
      <c r="Z37" s="14">
        <f t="shared" si="46"/>
        <v>1</v>
      </c>
      <c r="AA37" s="14">
        <f t="shared" si="46"/>
        <v>1</v>
      </c>
      <c r="AB37" s="14">
        <f t="shared" si="46"/>
        <v>1</v>
      </c>
      <c r="AC37" s="15">
        <f t="shared" si="46"/>
        <v>1</v>
      </c>
      <c r="AD37" s="16">
        <f t="shared" si="46"/>
        <v>1</v>
      </c>
      <c r="AE37" s="13">
        <f t="shared" si="46"/>
        <v>1</v>
      </c>
      <c r="AF37" s="14">
        <f t="shared" si="46"/>
        <v>1</v>
      </c>
      <c r="AG37" s="14">
        <f t="shared" si="46"/>
        <v>1</v>
      </c>
      <c r="AH37" s="14">
        <f t="shared" si="46"/>
        <v>1</v>
      </c>
      <c r="AI37" s="14">
        <f t="shared" si="46"/>
        <v>1</v>
      </c>
      <c r="AJ37" s="15">
        <f t="shared" si="46"/>
        <v>1</v>
      </c>
      <c r="AK37" s="16">
        <f t="shared" si="46"/>
        <v>1</v>
      </c>
      <c r="AL37" s="13">
        <f t="shared" si="46"/>
        <v>1</v>
      </c>
      <c r="AM37" s="14">
        <f t="shared" si="46"/>
        <v>1</v>
      </c>
      <c r="AN37" s="14">
        <f t="shared" si="46"/>
        <v>1</v>
      </c>
      <c r="AO37" s="14">
        <f t="shared" si="46"/>
        <v>1</v>
      </c>
      <c r="AP37" s="14">
        <f t="shared" si="46"/>
        <v>1</v>
      </c>
      <c r="AQ37" s="15">
        <f t="shared" si="46"/>
        <v>1</v>
      </c>
      <c r="AR37" s="16">
        <f t="shared" si="46"/>
        <v>1</v>
      </c>
      <c r="AS37" s="13">
        <f t="shared" si="46"/>
        <v>1</v>
      </c>
      <c r="AT37" s="14">
        <f t="shared" si="46"/>
        <v>1</v>
      </c>
      <c r="AU37" s="14">
        <f t="shared" si="46"/>
        <v>1</v>
      </c>
      <c r="AV37" s="14">
        <f t="shared" si="46"/>
        <v>1</v>
      </c>
      <c r="AW37" s="14">
        <f t="shared" si="46"/>
        <v>1</v>
      </c>
      <c r="AX37" s="15">
        <f t="shared" si="46"/>
        <v>1</v>
      </c>
      <c r="AY37" s="16">
        <f t="shared" si="46"/>
        <v>1</v>
      </c>
      <c r="AZ37" s="13">
        <f t="shared" si="46"/>
        <v>1</v>
      </c>
      <c r="BA37" s="14">
        <f t="shared" si="46"/>
        <v>1</v>
      </c>
      <c r="BB37" s="14">
        <f t="shared" si="46"/>
        <v>1</v>
      </c>
      <c r="BC37" s="14">
        <f t="shared" si="46"/>
        <v>1</v>
      </c>
      <c r="BD37" s="14">
        <f t="shared" si="46"/>
        <v>1</v>
      </c>
      <c r="BE37" s="15">
        <f t="shared" si="46"/>
        <v>1</v>
      </c>
      <c r="BF37" s="16">
        <f t="shared" si="46"/>
        <v>1</v>
      </c>
      <c r="BG37" s="13">
        <f t="shared" si="46"/>
        <v>1</v>
      </c>
      <c r="BH37" s="14">
        <f t="shared" si="46"/>
        <v>1</v>
      </c>
      <c r="BI37" s="14">
        <f t="shared" si="46"/>
        <v>1</v>
      </c>
      <c r="BJ37" s="14">
        <f t="shared" si="46"/>
        <v>1</v>
      </c>
      <c r="BK37" s="14">
        <f t="shared" si="46"/>
        <v>1</v>
      </c>
      <c r="BL37" s="15">
        <f t="shared" si="46"/>
        <v>1</v>
      </c>
      <c r="BM37" s="16">
        <f t="shared" si="46"/>
        <v>1</v>
      </c>
      <c r="BN37" s="13">
        <f t="shared" si="46"/>
        <v>1</v>
      </c>
      <c r="BO37" s="14">
        <f t="shared" si="46"/>
        <v>1</v>
      </c>
      <c r="BP37" s="14">
        <f t="shared" si="46"/>
        <v>1</v>
      </c>
      <c r="BQ37" s="14">
        <f t="shared" si="46"/>
        <v>1</v>
      </c>
      <c r="BR37" s="14">
        <f t="shared" si="46"/>
        <v>1</v>
      </c>
      <c r="BS37" s="15">
        <f t="shared" si="46"/>
        <v>1</v>
      </c>
      <c r="BT37" s="16">
        <f t="shared" si="46"/>
        <v>1</v>
      </c>
      <c r="BU37" s="13">
        <f t="shared" si="46"/>
        <v>1</v>
      </c>
      <c r="BV37" s="14">
        <f t="shared" si="46"/>
        <v>1</v>
      </c>
      <c r="BW37" s="14">
        <f t="shared" si="46"/>
        <v>1</v>
      </c>
      <c r="BX37" s="14">
        <f t="shared" si="46"/>
        <v>1</v>
      </c>
      <c r="BY37" s="14">
        <f t="shared" si="46"/>
        <v>1</v>
      </c>
      <c r="BZ37" s="15">
        <f t="shared" si="46"/>
        <v>1</v>
      </c>
      <c r="CA37" s="16">
        <f t="shared" si="46"/>
        <v>1</v>
      </c>
      <c r="CB37" s="13">
        <f t="shared" si="46"/>
        <v>1</v>
      </c>
      <c r="CC37" s="14">
        <f t="shared" ref="CC37:DX37" si="47">IF($B$1="SFK Freight Forwarder",IF(AND(CC$5&gt;=$C$11,CC$5&lt;=$E$23),1,""),IF(AND(CC$5&gt;=$C$8,CC$5&lt;=$E$23),1,""))</f>
        <v>1</v>
      </c>
      <c r="CD37" s="14">
        <f t="shared" si="47"/>
        <v>1</v>
      </c>
      <c r="CE37" s="14">
        <f t="shared" si="47"/>
        <v>1</v>
      </c>
      <c r="CF37" s="14">
        <f t="shared" si="47"/>
        <v>1</v>
      </c>
      <c r="CG37" s="15">
        <f t="shared" si="47"/>
        <v>1</v>
      </c>
      <c r="CH37" s="16">
        <f t="shared" si="47"/>
        <v>1</v>
      </c>
      <c r="CI37" s="13">
        <f t="shared" si="47"/>
        <v>1</v>
      </c>
      <c r="CJ37" s="14">
        <f t="shared" si="47"/>
        <v>1</v>
      </c>
      <c r="CK37" s="14">
        <f t="shared" si="47"/>
        <v>1</v>
      </c>
      <c r="CL37" s="14">
        <f t="shared" si="47"/>
        <v>1</v>
      </c>
      <c r="CM37" s="14">
        <f t="shared" si="47"/>
        <v>1</v>
      </c>
      <c r="CN37" s="15">
        <f t="shared" si="47"/>
        <v>1</v>
      </c>
      <c r="CO37" s="16">
        <f t="shared" si="47"/>
        <v>1</v>
      </c>
      <c r="CP37" s="13" t="str">
        <f t="shared" si="47"/>
        <v/>
      </c>
      <c r="CQ37" s="14" t="str">
        <f t="shared" si="47"/>
        <v/>
      </c>
      <c r="CR37" s="14" t="str">
        <f t="shared" si="47"/>
        <v/>
      </c>
      <c r="CS37" s="14" t="str">
        <f t="shared" si="47"/>
        <v/>
      </c>
      <c r="CT37" s="14" t="str">
        <f t="shared" si="47"/>
        <v/>
      </c>
      <c r="CU37" s="15" t="str">
        <f t="shared" si="47"/>
        <v/>
      </c>
      <c r="CV37" s="16" t="str">
        <f t="shared" si="47"/>
        <v/>
      </c>
      <c r="CW37" s="13" t="str">
        <f t="shared" si="47"/>
        <v/>
      </c>
      <c r="CX37" s="14" t="str">
        <f t="shared" si="47"/>
        <v/>
      </c>
      <c r="CY37" s="14" t="str">
        <f t="shared" si="47"/>
        <v/>
      </c>
      <c r="CZ37" s="14" t="str">
        <f t="shared" si="47"/>
        <v/>
      </c>
      <c r="DA37" s="14" t="str">
        <f t="shared" si="47"/>
        <v/>
      </c>
      <c r="DB37" s="15" t="str">
        <f t="shared" si="47"/>
        <v/>
      </c>
      <c r="DC37" s="16" t="str">
        <f t="shared" si="47"/>
        <v/>
      </c>
      <c r="DD37" s="13" t="str">
        <f t="shared" si="47"/>
        <v/>
      </c>
      <c r="DE37" s="14" t="str">
        <f t="shared" si="47"/>
        <v/>
      </c>
      <c r="DF37" s="14" t="str">
        <f t="shared" si="47"/>
        <v/>
      </c>
      <c r="DG37" s="14" t="str">
        <f t="shared" si="47"/>
        <v/>
      </c>
      <c r="DH37" s="14" t="str">
        <f t="shared" si="47"/>
        <v/>
      </c>
      <c r="DI37" s="15" t="str">
        <f t="shared" si="47"/>
        <v/>
      </c>
      <c r="DJ37" s="16" t="str">
        <f t="shared" si="47"/>
        <v/>
      </c>
      <c r="DK37" s="13" t="str">
        <f t="shared" si="47"/>
        <v/>
      </c>
      <c r="DL37" s="14" t="str">
        <f t="shared" si="47"/>
        <v/>
      </c>
      <c r="DM37" s="14" t="str">
        <f t="shared" si="47"/>
        <v/>
      </c>
      <c r="DN37" s="14" t="str">
        <f t="shared" si="47"/>
        <v/>
      </c>
      <c r="DO37" s="14" t="str">
        <f t="shared" si="47"/>
        <v/>
      </c>
      <c r="DP37" s="15" t="str">
        <f t="shared" si="47"/>
        <v/>
      </c>
      <c r="DQ37" s="16" t="str">
        <f t="shared" si="47"/>
        <v/>
      </c>
      <c r="DR37" s="13" t="str">
        <f t="shared" si="47"/>
        <v/>
      </c>
      <c r="DS37" s="14" t="str">
        <f t="shared" si="47"/>
        <v/>
      </c>
      <c r="DT37" s="14" t="str">
        <f t="shared" si="47"/>
        <v/>
      </c>
      <c r="DU37" s="14" t="str">
        <f t="shared" si="47"/>
        <v/>
      </c>
      <c r="DV37" s="14" t="str">
        <f t="shared" si="47"/>
        <v/>
      </c>
      <c r="DW37" s="15" t="str">
        <f t="shared" si="47"/>
        <v/>
      </c>
      <c r="DX37" s="16" t="str">
        <f t="shared" si="47"/>
        <v/>
      </c>
    </row>
  </sheetData>
  <sheetProtection algorithmName="SHA-512" hashValue="FX4R0DrwxIcfOzfnNuXGJ8SBrVAY31jenJul2fZ1WihbXr0cLcCt7fAC59VZ3i3VuZ6PoLCKqUnQBy4OzpWXyw==" saltValue="p73SkcsojZ3k7qX+1GObeA==" spinCount="100000" sheet="1" sort="0" autoFilter="0" pivotTables="0"/>
  <mergeCells count="61">
    <mergeCell ref="BN1:BT1"/>
    <mergeCell ref="A1:A2"/>
    <mergeCell ref="B1:B2"/>
    <mergeCell ref="C1:E2"/>
    <mergeCell ref="J1:P1"/>
    <mergeCell ref="Q1:W1"/>
    <mergeCell ref="X1:AD1"/>
    <mergeCell ref="AE1:AK1"/>
    <mergeCell ref="AL1:AR1"/>
    <mergeCell ref="AS1:AY1"/>
    <mergeCell ref="AZ1:BF1"/>
    <mergeCell ref="BG1:BM1"/>
    <mergeCell ref="DK1:DQ1"/>
    <mergeCell ref="DR1:DX1"/>
    <mergeCell ref="J2:P2"/>
    <mergeCell ref="Q2:W2"/>
    <mergeCell ref="X2:AD2"/>
    <mergeCell ref="AE2:AK2"/>
    <mergeCell ref="AL2:AR2"/>
    <mergeCell ref="AS2:AY2"/>
    <mergeCell ref="AZ2:BF2"/>
    <mergeCell ref="BG2:BM2"/>
    <mergeCell ref="BU1:CA1"/>
    <mergeCell ref="CB1:CH1"/>
    <mergeCell ref="CI1:CO1"/>
    <mergeCell ref="CP1:CV1"/>
    <mergeCell ref="CW1:DC1"/>
    <mergeCell ref="DD1:DJ1"/>
    <mergeCell ref="DD2:DJ2"/>
    <mergeCell ref="DK2:DQ2"/>
    <mergeCell ref="DR2:DX2"/>
    <mergeCell ref="A3:A4"/>
    <mergeCell ref="B3:B4"/>
    <mergeCell ref="C3:E4"/>
    <mergeCell ref="BN2:BT2"/>
    <mergeCell ref="BU2:CA2"/>
    <mergeCell ref="CB2:CH2"/>
    <mergeCell ref="CI2:CO2"/>
    <mergeCell ref="CP2:CV2"/>
    <mergeCell ref="CW2:DC2"/>
    <mergeCell ref="C6:E6"/>
    <mergeCell ref="A8:A18"/>
    <mergeCell ref="A19:A20"/>
    <mergeCell ref="A27:B27"/>
    <mergeCell ref="C27:E27"/>
    <mergeCell ref="A35:B35"/>
    <mergeCell ref="C35:E35"/>
    <mergeCell ref="A37:B37"/>
    <mergeCell ref="C37:E37"/>
    <mergeCell ref="F1:I6"/>
    <mergeCell ref="I9:I13"/>
    <mergeCell ref="I14:I18"/>
    <mergeCell ref="I19:I22"/>
    <mergeCell ref="I23:I25"/>
    <mergeCell ref="A29:B29"/>
    <mergeCell ref="C29:E29"/>
    <mergeCell ref="A31:B31"/>
    <mergeCell ref="C31:E31"/>
    <mergeCell ref="A33:B33"/>
    <mergeCell ref="C33:E33"/>
    <mergeCell ref="C5:E5"/>
  </mergeCells>
  <phoneticPr fontId="77" type="noConversion"/>
  <conditionalFormatting sqref="J11:DX12 W8:DX10 J8:U10">
    <cfRule type="cellIs" dxfId="77" priority="13" stopIfTrue="1" operator="equal">
      <formula>1</formula>
    </cfRule>
  </conditionalFormatting>
  <conditionalFormatting sqref="J16:DX17">
    <cfRule type="cellIs" dxfId="76" priority="15" stopIfTrue="1" operator="equal">
      <formula>1</formula>
    </cfRule>
  </conditionalFormatting>
  <conditionalFormatting sqref="J31:DX31">
    <cfRule type="cellIs" dxfId="75" priority="20" stopIfTrue="1" operator="equal">
      <formula>1</formula>
    </cfRule>
  </conditionalFormatting>
  <conditionalFormatting sqref="J27:DX27">
    <cfRule type="cellIs" dxfId="74" priority="19" stopIfTrue="1" operator="equal">
      <formula>1</formula>
    </cfRule>
  </conditionalFormatting>
  <conditionalFormatting sqref="J19:DX19 J21:DX22">
    <cfRule type="cellIs" dxfId="73" priority="16" stopIfTrue="1" operator="equal">
      <formula>1</formula>
    </cfRule>
  </conditionalFormatting>
  <conditionalFormatting sqref="J24:DX25">
    <cfRule type="cellIs" dxfId="72" priority="18" stopIfTrue="1" operator="equal">
      <formula>1</formula>
    </cfRule>
  </conditionalFormatting>
  <conditionalFormatting sqref="J33:DX33">
    <cfRule type="cellIs" dxfId="71" priority="21" stopIfTrue="1" operator="equal">
      <formula>1</formula>
    </cfRule>
  </conditionalFormatting>
  <conditionalFormatting sqref="J35:DX35">
    <cfRule type="cellIs" dxfId="70" priority="22" stopIfTrue="1" operator="equal">
      <formula>1</formula>
    </cfRule>
  </conditionalFormatting>
  <conditionalFormatting sqref="J23:DX23">
    <cfRule type="cellIs" dxfId="69" priority="17" stopIfTrue="1" operator="equal">
      <formula>1</formula>
    </cfRule>
  </conditionalFormatting>
  <conditionalFormatting sqref="J13:DX15">
    <cfRule type="cellIs" dxfId="68" priority="14" stopIfTrue="1" operator="equal">
      <formula>1</formula>
    </cfRule>
  </conditionalFormatting>
  <conditionalFormatting sqref="J11:DX17 W8:DX10 J8:U10 J31:DX35 J21:DX28 J19:DX19">
    <cfRule type="containsErrors" dxfId="67" priority="12" stopIfTrue="1">
      <formula>ISERROR(J8)</formula>
    </cfRule>
  </conditionalFormatting>
  <conditionalFormatting sqref="V8:V10">
    <cfRule type="cellIs" dxfId="66" priority="11" stopIfTrue="1" operator="equal">
      <formula>1</formula>
    </cfRule>
  </conditionalFormatting>
  <conditionalFormatting sqref="V8:V10">
    <cfRule type="containsErrors" dxfId="65" priority="10" stopIfTrue="1">
      <formula>ISERROR(V8)</formula>
    </cfRule>
  </conditionalFormatting>
  <conditionalFormatting sqref="A24">
    <cfRule type="cellIs" dxfId="64" priority="9" operator="lessThan">
      <formula>TODAY()</formula>
    </cfRule>
  </conditionalFormatting>
  <conditionalFormatting sqref="J37:DX37">
    <cfRule type="cellIs" dxfId="63" priority="8" stopIfTrue="1" operator="equal">
      <formula>1</formula>
    </cfRule>
  </conditionalFormatting>
  <conditionalFormatting sqref="J37:DX37">
    <cfRule type="containsErrors" dxfId="62" priority="7" stopIfTrue="1">
      <formula>ISERROR(J37)</formula>
    </cfRule>
  </conditionalFormatting>
  <conditionalFormatting sqref="J29:DX29">
    <cfRule type="cellIs" dxfId="61" priority="6" stopIfTrue="1" operator="equal">
      <formula>1</formula>
    </cfRule>
  </conditionalFormatting>
  <conditionalFormatting sqref="J29:DX30">
    <cfRule type="containsErrors" dxfId="60" priority="5" stopIfTrue="1">
      <formula>ISERROR(J29)</formula>
    </cfRule>
  </conditionalFormatting>
  <conditionalFormatting sqref="J20:DX20">
    <cfRule type="cellIs" dxfId="59" priority="4" stopIfTrue="1" operator="equal">
      <formula>1</formula>
    </cfRule>
  </conditionalFormatting>
  <conditionalFormatting sqref="J20:DX20">
    <cfRule type="containsErrors" dxfId="58" priority="3" stopIfTrue="1">
      <formula>ISERROR(J20)</formula>
    </cfRule>
  </conditionalFormatting>
  <conditionalFormatting sqref="J18:DX18">
    <cfRule type="cellIs" dxfId="57" priority="2" stopIfTrue="1" operator="equal">
      <formula>1</formula>
    </cfRule>
  </conditionalFormatting>
  <conditionalFormatting sqref="J18:DX18">
    <cfRule type="containsErrors" dxfId="56" priority="1" stopIfTrue="1">
      <formula>ISERROR(J18)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7703E-9FED-4A71-82D1-583B95954637}">
  <sheetPr codeName="Feuil12">
    <tabColor rgb="FF7030A0"/>
  </sheetPr>
  <dimension ref="A1:BA999"/>
  <sheetViews>
    <sheetView topLeftCell="A4" zoomScale="84" workbookViewId="0">
      <selection activeCell="BB17" sqref="BB17"/>
    </sheetView>
  </sheetViews>
  <sheetFormatPr baseColWidth="10" defaultColWidth="10.42578125" defaultRowHeight="15" outlineLevelCol="1"/>
  <cols>
    <col min="1" max="1" width="10.42578125" customWidth="1" outlineLevel="1"/>
    <col min="2" max="2" width="33.5703125" customWidth="1" outlineLevel="1"/>
    <col min="3" max="5" width="28.5703125" customWidth="1" outlineLevel="1"/>
    <col min="6" max="6" width="18.42578125" customWidth="1" outlineLevel="1"/>
    <col min="7" max="7" width="24.42578125" customWidth="1" outlineLevel="1"/>
    <col min="8" max="8" width="37.42578125" customWidth="1" outlineLevel="1"/>
    <col min="9" max="9" width="13" customWidth="1" outlineLevel="1"/>
    <col min="10" max="10" width="10.42578125" customWidth="1"/>
    <col min="11" max="11" width="10.42578125" style="48" customWidth="1"/>
    <col min="12" max="13" width="10.42578125" customWidth="1"/>
    <col min="14" max="14" width="21.42578125" style="358" customWidth="1" outlineLevel="1"/>
    <col min="15" max="15" width="14.42578125" customWidth="1" outlineLevel="1"/>
    <col min="16" max="16" width="10.42578125" style="48" customWidth="1"/>
    <col min="17" max="17" width="16.42578125" style="358" customWidth="1" outlineLevel="1"/>
    <col min="18" max="18" width="13.42578125" customWidth="1" outlineLevel="1"/>
    <col min="19" max="19" width="16.42578125" customWidth="1" outlineLevel="1"/>
    <col min="20" max="20" width="14.42578125" customWidth="1" outlineLevel="1"/>
    <col min="21" max="21" width="16" customWidth="1" outlineLevel="1"/>
    <col min="22" max="22" width="12.42578125" customWidth="1" outlineLevel="1"/>
    <col min="23" max="23" width="15.42578125" customWidth="1" outlineLevel="1"/>
    <col min="24" max="24" width="14.42578125" customWidth="1" outlineLevel="1"/>
    <col min="25" max="25" width="10.42578125" customWidth="1"/>
    <col min="26" max="26" width="15.5703125" style="358" customWidth="1" outlineLevel="1"/>
    <col min="27" max="27" width="10.42578125" customWidth="1"/>
    <col min="28" max="28" width="10.5703125" customWidth="1" outlineLevel="1"/>
    <col min="29" max="29" width="12.42578125" customWidth="1" outlineLevel="1"/>
    <col min="30" max="32" width="13.42578125" customWidth="1" outlineLevel="1"/>
    <col min="33" max="33" width="12.42578125" customWidth="1" outlineLevel="1"/>
    <col min="34" max="34" width="10.42578125" customWidth="1" outlineLevel="1"/>
    <col min="35" max="35" width="13.42578125" customWidth="1" outlineLevel="1"/>
    <col min="36" max="36" width="14.42578125" customWidth="1" outlineLevel="1"/>
    <col min="37" max="37" width="12.42578125" customWidth="1" outlineLevel="1"/>
    <col min="38" max="38" width="10.42578125" customWidth="1" outlineLevel="1"/>
    <col min="39" max="39" width="10.42578125" customWidth="1"/>
    <col min="40" max="40" width="13.42578125" style="377" customWidth="1" outlineLevel="1"/>
    <col min="41" max="41" width="14.42578125" style="1" customWidth="1" outlineLevel="1"/>
    <col min="42" max="42" width="11.42578125" style="1" customWidth="1" outlineLevel="1"/>
    <col min="43" max="43" width="15.42578125" customWidth="1" outlineLevel="1"/>
    <col min="44" max="44" width="17.42578125" customWidth="1" outlineLevel="1"/>
    <col min="45" max="45" width="12.42578125" customWidth="1" outlineLevel="1" collapsed="1"/>
    <col min="46" max="46" width="13.42578125" customWidth="1" outlineLevel="1"/>
    <col min="47" max="47" width="12.42578125" customWidth="1" outlineLevel="1"/>
    <col min="48" max="51" width="10.42578125" customWidth="1"/>
    <col min="52" max="52" width="10.42578125" style="348" customWidth="1"/>
    <col min="53" max="53" width="10.42578125" customWidth="1"/>
    <col min="54" max="57" width="31.5703125" customWidth="1"/>
    <col min="58" max="58" width="15.42578125" bestFit="1" customWidth="1"/>
  </cols>
  <sheetData>
    <row r="1" spans="2:53" s="111" customFormat="1" ht="29.1" hidden="1" customHeight="1" thickBot="1">
      <c r="B1" s="620" t="s">
        <v>76</v>
      </c>
      <c r="C1" s="620"/>
      <c r="D1" s="620"/>
      <c r="E1" s="620"/>
      <c r="F1" s="620"/>
      <c r="G1" s="620"/>
      <c r="H1" s="621"/>
      <c r="I1" s="499"/>
      <c r="J1" s="622" t="s">
        <v>77</v>
      </c>
      <c r="K1" s="623"/>
      <c r="L1" s="632" t="s">
        <v>78</v>
      </c>
      <c r="M1" s="633"/>
      <c r="N1" s="633"/>
      <c r="O1" s="634"/>
      <c r="P1" s="644" t="s">
        <v>79</v>
      </c>
      <c r="Q1" s="645"/>
      <c r="R1" s="645"/>
      <c r="S1" s="645"/>
      <c r="T1" s="645"/>
      <c r="U1" s="645"/>
      <c r="V1" s="645"/>
      <c r="W1" s="645"/>
      <c r="X1" s="645"/>
      <c r="Y1" s="645"/>
      <c r="Z1" s="646"/>
      <c r="AA1" s="639" t="s">
        <v>80</v>
      </c>
      <c r="AB1" s="640"/>
      <c r="AC1" s="640"/>
      <c r="AD1" s="640"/>
      <c r="AE1" s="640"/>
      <c r="AF1" s="640"/>
      <c r="AG1" s="640"/>
      <c r="AH1" s="640"/>
      <c r="AI1" s="640"/>
      <c r="AJ1" s="640"/>
      <c r="AK1" s="63"/>
      <c r="AL1" s="642" t="s">
        <v>81</v>
      </c>
      <c r="AM1" s="643"/>
      <c r="AN1" s="643"/>
      <c r="AO1" s="643"/>
      <c r="AP1" s="643"/>
      <c r="AQ1" s="643"/>
      <c r="AR1" s="643"/>
      <c r="AS1" s="617" t="s">
        <v>82</v>
      </c>
      <c r="AT1" s="618"/>
      <c r="AU1" s="618"/>
      <c r="AV1" s="618"/>
      <c r="AW1" s="618"/>
      <c r="AX1" s="619"/>
      <c r="AY1" s="627"/>
      <c r="AZ1" s="347"/>
    </row>
    <row r="2" spans="2:53" ht="15.75" hidden="1">
      <c r="B2" s="112"/>
      <c r="C2" s="65"/>
      <c r="D2" s="9"/>
      <c r="E2" s="9"/>
      <c r="F2" s="9"/>
      <c r="G2" s="9"/>
      <c r="H2" s="76"/>
      <c r="J2" s="624"/>
      <c r="K2" s="625"/>
      <c r="L2" s="635" t="s">
        <v>83</v>
      </c>
      <c r="M2" s="636"/>
      <c r="N2" s="636"/>
      <c r="O2" s="637"/>
      <c r="P2" s="629" t="s">
        <v>79</v>
      </c>
      <c r="Q2" s="630"/>
      <c r="R2" s="630"/>
      <c r="S2" s="631"/>
      <c r="T2" s="629" t="s">
        <v>79</v>
      </c>
      <c r="U2" s="630"/>
      <c r="V2" s="630"/>
      <c r="W2" s="631"/>
      <c r="X2" s="629" t="s">
        <v>84</v>
      </c>
      <c r="Y2" s="630"/>
      <c r="Z2" s="631"/>
      <c r="AA2" s="629" t="s">
        <v>85</v>
      </c>
      <c r="AB2" s="630"/>
      <c r="AC2" s="630"/>
      <c r="AD2" s="630"/>
      <c r="AE2" s="630"/>
      <c r="AF2" s="630"/>
      <c r="AG2" s="630"/>
      <c r="AH2" s="630"/>
      <c r="AI2" s="630"/>
      <c r="AJ2" s="630"/>
      <c r="AK2" s="631"/>
      <c r="AL2" s="629" t="s">
        <v>86</v>
      </c>
      <c r="AM2" s="630"/>
      <c r="AN2" s="630"/>
      <c r="AO2" s="638"/>
      <c r="AP2" s="638"/>
      <c r="AQ2" s="631"/>
      <c r="AR2" s="636"/>
      <c r="AS2" s="637"/>
      <c r="AT2" s="641" t="s">
        <v>87</v>
      </c>
      <c r="AU2" s="636"/>
      <c r="AV2" s="636"/>
      <c r="AW2" s="637"/>
      <c r="AX2" s="93"/>
      <c r="AY2" s="628"/>
    </row>
    <row r="3" spans="2:53" hidden="1">
      <c r="B3" s="339" t="s">
        <v>88</v>
      </c>
      <c r="C3" s="626" t="s">
        <v>89</v>
      </c>
      <c r="D3" s="626"/>
      <c r="E3" s="340" t="s">
        <v>90</v>
      </c>
      <c r="F3" s="341" t="s">
        <v>91</v>
      </c>
      <c r="G3" s="342" t="s">
        <v>92</v>
      </c>
      <c r="H3" s="343" t="s">
        <v>93</v>
      </c>
      <c r="I3" s="500"/>
      <c r="J3" s="113">
        <v>1</v>
      </c>
      <c r="K3" s="113">
        <v>2</v>
      </c>
      <c r="L3" s="113">
        <v>3</v>
      </c>
      <c r="M3" s="113">
        <v>4</v>
      </c>
      <c r="N3" s="113">
        <v>5</v>
      </c>
      <c r="O3" s="113">
        <v>6</v>
      </c>
      <c r="P3" s="113">
        <v>7</v>
      </c>
      <c r="Q3" s="113">
        <v>8</v>
      </c>
      <c r="R3" s="113">
        <v>9</v>
      </c>
      <c r="S3" s="113">
        <v>10</v>
      </c>
      <c r="T3" s="113">
        <v>11</v>
      </c>
      <c r="U3" s="113">
        <v>12</v>
      </c>
      <c r="V3" s="113">
        <v>13</v>
      </c>
      <c r="W3" s="113">
        <v>14</v>
      </c>
      <c r="X3" s="113">
        <v>15</v>
      </c>
      <c r="Y3" s="113">
        <v>16</v>
      </c>
      <c r="Z3" s="113">
        <v>17</v>
      </c>
      <c r="AA3" s="113">
        <v>18</v>
      </c>
      <c r="AB3" s="113">
        <v>19</v>
      </c>
      <c r="AC3" s="113">
        <v>20</v>
      </c>
      <c r="AD3" s="113">
        <v>21</v>
      </c>
      <c r="AE3" s="113">
        <v>22</v>
      </c>
      <c r="AF3" s="113"/>
      <c r="AG3" s="113">
        <v>23</v>
      </c>
      <c r="AH3" s="113">
        <v>24</v>
      </c>
      <c r="AI3" s="113">
        <v>25</v>
      </c>
      <c r="AJ3" s="113">
        <v>26</v>
      </c>
      <c r="AK3" s="133">
        <v>27</v>
      </c>
      <c r="AL3" s="113">
        <v>28</v>
      </c>
      <c r="AM3" s="113">
        <v>29</v>
      </c>
      <c r="AN3" s="113">
        <v>30</v>
      </c>
      <c r="AO3" s="113">
        <v>31</v>
      </c>
      <c r="AP3" s="113">
        <v>32</v>
      </c>
      <c r="AQ3" s="113">
        <v>33</v>
      </c>
      <c r="AR3" s="113">
        <v>34</v>
      </c>
      <c r="AS3" s="113">
        <v>35</v>
      </c>
      <c r="AT3" s="113">
        <v>36</v>
      </c>
      <c r="AU3" s="113">
        <v>37</v>
      </c>
      <c r="AV3" s="113">
        <v>38</v>
      </c>
      <c r="AW3" s="113">
        <v>39</v>
      </c>
      <c r="AX3" s="113">
        <v>40</v>
      </c>
      <c r="AY3" s="113">
        <v>41</v>
      </c>
    </row>
    <row r="4" spans="2:53" ht="48.6" customHeight="1" thickBot="1">
      <c r="B4" s="344" t="s">
        <v>94</v>
      </c>
      <c r="C4" s="345" t="s">
        <v>95</v>
      </c>
      <c r="D4" s="345" t="s">
        <v>96</v>
      </c>
      <c r="E4" s="345" t="s">
        <v>97</v>
      </c>
      <c r="F4" s="345" t="s">
        <v>98</v>
      </c>
      <c r="G4" s="345" t="s">
        <v>99</v>
      </c>
      <c r="H4" s="346" t="s">
        <v>100</v>
      </c>
      <c r="I4" s="501" t="s">
        <v>760</v>
      </c>
      <c r="J4" s="114" t="s">
        <v>101</v>
      </c>
      <c r="K4" s="115" t="s">
        <v>102</v>
      </c>
      <c r="L4" s="90" t="s">
        <v>103</v>
      </c>
      <c r="M4" s="407" t="s">
        <v>104</v>
      </c>
      <c r="N4" s="364" t="s">
        <v>105</v>
      </c>
      <c r="O4" s="87" t="s">
        <v>40</v>
      </c>
      <c r="P4" s="408" t="s">
        <v>106</v>
      </c>
      <c r="Q4" s="364" t="s">
        <v>107</v>
      </c>
      <c r="R4" s="86" t="s">
        <v>108</v>
      </c>
      <c r="S4" s="87" t="s">
        <v>109</v>
      </c>
      <c r="T4" s="88" t="s">
        <v>110</v>
      </c>
      <c r="U4" s="86" t="s">
        <v>41</v>
      </c>
      <c r="V4" s="86" t="s">
        <v>111</v>
      </c>
      <c r="W4" s="87" t="s">
        <v>42</v>
      </c>
      <c r="X4" s="88" t="s">
        <v>43</v>
      </c>
      <c r="Y4" s="407" t="s">
        <v>112</v>
      </c>
      <c r="Z4" s="367" t="s">
        <v>113</v>
      </c>
      <c r="AA4" s="409" t="s">
        <v>75</v>
      </c>
      <c r="AB4" s="87" t="s">
        <v>114</v>
      </c>
      <c r="AC4" s="122" t="s">
        <v>115</v>
      </c>
      <c r="AD4" s="87" t="s">
        <v>116</v>
      </c>
      <c r="AE4" s="87" t="s">
        <v>117</v>
      </c>
      <c r="AF4" s="87" t="s">
        <v>118</v>
      </c>
      <c r="AG4" s="87" t="s">
        <v>119</v>
      </c>
      <c r="AH4" s="87" t="s">
        <v>120</v>
      </c>
      <c r="AI4" s="87" t="s">
        <v>121</v>
      </c>
      <c r="AJ4" s="87" t="s">
        <v>122</v>
      </c>
      <c r="AK4" s="134" t="s">
        <v>123</v>
      </c>
      <c r="AL4" s="135" t="s">
        <v>124</v>
      </c>
      <c r="AM4" s="410" t="s">
        <v>125</v>
      </c>
      <c r="AN4" s="374" t="s">
        <v>126</v>
      </c>
      <c r="AO4" s="87" t="s">
        <v>127</v>
      </c>
      <c r="AP4" s="87" t="s">
        <v>128</v>
      </c>
      <c r="AQ4" s="87" t="s">
        <v>129</v>
      </c>
      <c r="AR4" s="87" t="s">
        <v>130</v>
      </c>
      <c r="AS4" s="87" t="s">
        <v>131</v>
      </c>
      <c r="AT4" s="87" t="s">
        <v>55</v>
      </c>
      <c r="AU4" s="87" t="s">
        <v>132</v>
      </c>
      <c r="AV4" s="87" t="s">
        <v>58</v>
      </c>
      <c r="AW4" s="87" t="s">
        <v>133</v>
      </c>
      <c r="AX4" s="87" t="s">
        <v>60</v>
      </c>
      <c r="AY4" s="87" t="s">
        <v>134</v>
      </c>
      <c r="AZ4" s="410" t="s">
        <v>135</v>
      </c>
      <c r="BA4" s="145" t="s">
        <v>141</v>
      </c>
    </row>
    <row r="5" spans="2:53">
      <c r="B5" s="67" t="str">
        <f>_xlfn.CONCAT(Tableau119[[#This Row],[Name ILN]],"-",Tableau119[[#This Row],[Name Shipper]],"-",Tableau119[[#This Row],[Name Site]])</f>
        <v>ILN Tanger-ILN Tanger-SOFASA</v>
      </c>
      <c r="C5" s="67" t="str">
        <f>_xlfn.CONCAT(Tableau119[[#This Row],[Compte ILN]],"-",Tableau119[[#This Row],[Compte Shipper]],"-",Tableau119[[#This Row],[POL]],"-",Tableau119[[#This Row],[Compte Consignee]])</f>
        <v>92050300-92050300-FALSO-9510600</v>
      </c>
      <c r="D5" s="66" t="str">
        <f>_xlfn.CONCAT(Tableau119[[#This Row],[Compte ILN]],"-",Tableau119[[#This Row],[Compte Shipper]],"-",Tableau119[[#This Row],[POL]])</f>
        <v>92050300-92050300-FALSO</v>
      </c>
      <c r="E5" s="434" t="str">
        <f>_xlfn.CONCAT(Tableau119[[#This Row],[POL]],"-",Tableau119[[#This Row],[Carrier]],"-",Tableau119[[#This Row],[POD]])</f>
        <v>FALSO-FALSO-FALSO</v>
      </c>
      <c r="F5" s="66" t="str">
        <f>_xlfn.CONCAT(Tableau119[[#This Row],[ID]],"-","Actif")</f>
        <v>2-Actif</v>
      </c>
      <c r="G5" s="66" t="str">
        <f>_xlfn.CONCAT(Tableau119[[#This Row],[POD]],"-",Tableau119[[#This Row],[Code PFI]],"-",Tableau119[[#This Row],[Compte Consignee]])</f>
        <v>FALSO---9510600</v>
      </c>
      <c r="H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TangerFALSOSOFASA</v>
      </c>
      <c r="I5" s="434" t="str">
        <f>_xlfn.CONCAT(Tableau119[[#This Row],[ID]],"-",Tableau119[[#This Row],[Expiration Date]])</f>
        <v>2-46142</v>
      </c>
      <c r="J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Tanger-ILN Tanger-2-FALSO-FALSO-FALSO--46142</v>
      </c>
      <c r="K5" s="435" t="str">
        <f ca="1">IF(COUNTIF(J:J,Tableau119[[#This Row],[Plant-ILN-shipper-POL-Carrier-POD-PFI]])=1,"Non","Oui")</f>
        <v>Non</v>
      </c>
      <c r="L5" s="436" t="str">
        <f>VLOOKUP(Tableau119[[#This Row],[Name Site]],Plant_AILN!A:D,4,FALSE)</f>
        <v>COLOMBIA</v>
      </c>
      <c r="M5" s="285" t="s">
        <v>177</v>
      </c>
      <c r="N5" s="439">
        <f>VLOOKUP(Tableau119[[#This Row],[Name Site]],Plant_AILN!A:C,3,FALSE)</f>
        <v>9510600</v>
      </c>
      <c r="O5" s="55">
        <f>IF(Tableau119[[#This Row],[Name PFI/CDD]]="PFI VLL",2,VLOOKUP(Tableau119[[#This Row],[Compte Consignee]],Order!C:D,2,FALSE))</f>
        <v>7</v>
      </c>
      <c r="P5" s="116" t="s">
        <v>161</v>
      </c>
      <c r="Q5" s="365">
        <f>VLOOKUP(Tableau119[[#This Row],[Name ILN]],Plant_AILN!F:G,2,FALSE)</f>
        <v>92050300</v>
      </c>
      <c r="R5" s="50">
        <f>VLOOKUP(Tableau119[[#This Row],[Compte ILN]],'DATA ILN'!D:I,6,FALSE)</f>
        <v>9</v>
      </c>
      <c r="S5" s="50" t="e">
        <f>IFERROR(VLOOKUP(Tableau119[[#This Row],[Key(Compte ILN - shipper - POL - plant)]],'DATA ILN'!A:J,10,FALSE),VLOOKUP(Tableau119[[#This Row],[Key(Compte ILN - shipper - POL)]],'DATA ILN'!B:J,9,FALSE))</f>
        <v>#N/A</v>
      </c>
      <c r="T5" s="50" t="e">
        <f>IFERROR(VLOOKUP(Tableau119[[#This Row],[Key(Compte ILN - shipper - POL - plant)]],'DATA ILN'!A:K,11,FALSE),VLOOKUP(Tableau119[[#This Row],[Key(Compte ILN - shipper - POL)]],'DATA ILN'!B:K,10,FALSE))</f>
        <v>#N/A</v>
      </c>
      <c r="U5" s="50" t="e">
        <f>IFERROR(VLOOKUP(Tableau119[[#This Row],[Key(Compte ILN - shipper - POL - plant)]],'DATA ILN'!A:L,12,FALSE),VLOOKUP(Tableau119[[#This Row],[Key(Compte ILN - shipper - POL)]],'DATA ILN'!B:L,11,FALSE))</f>
        <v>#N/A</v>
      </c>
      <c r="V5" s="50" t="e">
        <f>Tableau119[[#This Row],[Day ILN Order]]+Tableau119[[#This Row],[Delivery time to ILN/Shipper]]-1</f>
        <v>#N/A</v>
      </c>
      <c r="W5" s="50" t="e">
        <f>IFERROR(VLOOKUP(Tableau119[[#This Row],[Key(Compte ILN - shipper - POL - plant)]],'DATA ILN'!A:N,14,FALSE),VLOOKUP(Tableau119[[#This Row],[Key(Compte ILN - shipper - POL)]],'DATA ILN'!B:N,13,FALSE))</f>
        <v>#N/A</v>
      </c>
      <c r="X5" s="53" t="e">
        <f>IFERROR(VLOOKUP(Tableau119[[#This Row],[Key(Compte ILN - shipper - POL - plant)]],'DATA ILN'!A:P,16,FALSE),VLOOKUP(Tableau119[[#This Row],[Key(Compte ILN - shipper - POL)]],'DATA ILN'!B:P,15,FALSE))</f>
        <v>#N/A</v>
      </c>
      <c r="Y5" s="284" t="s">
        <v>161</v>
      </c>
      <c r="Z5" s="437">
        <f>IFERROR(VLOOKUP(Tableau119[[#This Row],[Name Shipper]],Plant_AILN!L:M,2,FALSE),0)</f>
        <v>92050300</v>
      </c>
      <c r="AA5" s="406">
        <v>2</v>
      </c>
      <c r="AB5" s="396" t="b">
        <f>_xlfn.XLOOKUP(Tableau119[[#This Row],[Key(ID-date)]],'DATA BTO'!S:S,'DATA BTO'!E:E,FALSE)</f>
        <v>0</v>
      </c>
      <c r="AC5" s="3" t="b">
        <f>_xlfn.XLOOKUP(Tableau119[[#This Row],[Key(ID-date)]],'DATA BTO'!S:S,'DATA BTO'!F:F,FALSE)</f>
        <v>0</v>
      </c>
      <c r="AD5" s="50" t="b">
        <f>_xlfn.XLOOKUP(Tableau119[[#This Row],[Key(ID-date)]],'DATA BTO'!S:S,'DATA BTO'!G:G,FALSE)</f>
        <v>0</v>
      </c>
      <c r="AE5" s="50" t="b">
        <f>_xlfn.XLOOKUP(Tableau119[[#This Row],[Key(ID-date)]],'DATA BTO'!S:S,'DATA BTO'!H:H,FALSE)</f>
        <v>0</v>
      </c>
      <c r="AF5" s="432" t="e">
        <f>IF(Tableau119[[#This Row],[First Day to POL]]&lt;=Tableau119[[#This Row],[Day Cut Off]],Tableau119[[#This Row],[Day ETD]],Tableau119[[#This Row],[Day ETD]]+7)</f>
        <v>#N/A</v>
      </c>
      <c r="AG5" s="50" t="b">
        <f>_xlfn.XLOOKUP(Tableau119[[#This Row],[Key(ID-date)]],'DATA BTO'!S:S,'DATA BTO'!I:I,FALSE)</f>
        <v>0</v>
      </c>
      <c r="AH5" s="3" t="b">
        <f>_xlfn.XLOOKUP(Tableau119[[#This Row],[Key(ID-date)]],'DATA BTO'!S:S,'DATA BTO'!J:J,FALSE)</f>
        <v>0</v>
      </c>
      <c r="AI5" s="3" t="b">
        <f>_xlfn.XLOOKUP(Tableau119[[#This Row],[Key(ID-date)]],'DATA BTO'!S:S,'DATA BTO'!K:K,FALSE)</f>
        <v>0</v>
      </c>
      <c r="AJ5" s="50" t="b">
        <f>_xlfn.XLOOKUP(Tableau119[[#This Row],[Key(ID-date)]],'DATA BTO'!S:S,'DATA BTO'!L:L,FALSE)</f>
        <v>0</v>
      </c>
      <c r="AK5" s="53" t="b">
        <f>_xlfn.XLOOKUP(Tableau119[[#This Row],[Key(ID-date)]],'DATA BTO'!S:S,'DATA BTO'!N:N,FALSE)</f>
        <v>0</v>
      </c>
      <c r="AL5" s="54" t="e">
        <f>VLOOKUP(Tableau119[[#This Row],[Key(POD -PFI- Usine)]],'DATA Consignee'!A:F,6,FALSE)</f>
        <v>#N/A</v>
      </c>
      <c r="AM5" s="127"/>
      <c r="AN5" s="438" t="str">
        <f>IF(Tableau119[[#This Row],[Name PFI/CDD]]="","-",VLOOKUP(Tableau119[[#This Row],[Name PFI/CDD]],Plant_AILN!I:J,2,FALSE))</f>
        <v>-</v>
      </c>
      <c r="AO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" s="2" t="e">
        <f>VLOOKUP(Tableau119[[#This Row],[Key(POD -PFI- Usine)]],'DATA Consignee'!A:J,10,FALSE)</f>
        <v>#N/A</v>
      </c>
      <c r="AR5" s="50" t="e">
        <f>VLOOKUP(Tableau119[[#This Row],[Key(POD -PFI- Usine)]],'DATA Consignee'!A:N,14,FALSE)</f>
        <v>#N/A</v>
      </c>
      <c r="AS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" s="50">
        <f>Tableau119[[#This Row],[Transit time]]+Tableau119[[#This Row],[Time for security]]+Tableau119[[#This Row],[Time for security2 buffer]]</f>
        <v>0</v>
      </c>
      <c r="AV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" s="433" t="e">
        <f>Tableau119[[#This Row],[Leadtime SI2C]]+Tableau119[[#This Row],[First Receipt Days]]-Tableau119[[#This Row],[Day Customer Order]]+1</f>
        <v>#N/A</v>
      </c>
      <c r="AX5" s="119" t="e">
        <f>IF(Tableau119[[#This Row],[Name ILN]]&lt;&gt;"SFK Freight Forwarder",Tableau119[[#This Row],[Cust. Leadtime]],Tableau119[[#This Row],[Leadtime SI2C]])</f>
        <v>#N/A</v>
      </c>
      <c r="AY5" s="51" t="b">
        <f>_xlfn.XLOOKUP(Tableau119[[#This Row],[Key(ID-date)]],'DATA BTO'!S:S,'DATA BTO'!P:P,FALSE)</f>
        <v>0</v>
      </c>
      <c r="AZ5" s="338">
        <v>46142</v>
      </c>
      <c r="BA5" s="50"/>
    </row>
    <row r="6" spans="2:53">
      <c r="B6" s="474" t="str">
        <f>_xlfn.CONCAT(Tableau119[[#This Row],[Name ILN]],"-",Tableau119[[#This Row],[Name Shipper]],"-",Tableau119[[#This Row],[Name Site]])</f>
        <v>ILN Tanger-ILN Tanger-SOFASA</v>
      </c>
      <c r="C6" s="67" t="str">
        <f>_xlfn.CONCAT(Tableau119[[#This Row],[Compte ILN]],"-",Tableau119[[#This Row],[Compte Shipper]],"-",Tableau119[[#This Row],[POL]],"-",Tableau119[[#This Row],[Compte Consignee]])</f>
        <v>92050300-92050300-FALSO-9510600</v>
      </c>
      <c r="D6" s="66" t="str">
        <f>_xlfn.CONCAT(Tableau119[[#This Row],[Compte ILN]],"-",Tableau119[[#This Row],[Compte Shipper]],"-",Tableau119[[#This Row],[POL]])</f>
        <v>92050300-92050300-FALSO</v>
      </c>
      <c r="E6" s="434" t="str">
        <f>_xlfn.CONCAT(Tableau119[[#This Row],[POL]],"-",Tableau119[[#This Row],[Carrier]],"-",Tableau119[[#This Row],[POD]])</f>
        <v>FALSO-FALSO-FALSO</v>
      </c>
      <c r="F6" s="66" t="str">
        <f>_xlfn.CONCAT(Tableau119[[#This Row],[ID]],"-","Actif")</f>
        <v>2-Actif</v>
      </c>
      <c r="G6" s="66" t="str">
        <f>_xlfn.CONCAT(Tableau119[[#This Row],[POD]],"-",Tableau119[[#This Row],[Code PFI]],"-",Tableau119[[#This Row],[Compte Consignee]])</f>
        <v>FALSO---9510600</v>
      </c>
      <c r="H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TangerFALSOSOFASA</v>
      </c>
      <c r="I6" s="434" t="str">
        <f>_xlfn.CONCAT(Tableau119[[#This Row],[ID]],"-",Tableau119[[#This Row],[Expiration Date]])</f>
        <v>2-45777</v>
      </c>
      <c r="J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Tanger-ILN Tanger-2-FALSO-FALSO-FALSO--45777</v>
      </c>
      <c r="K6" s="435" t="str">
        <f ca="1">IF(COUNTIF(J:J,Tableau119[[#This Row],[Plant-ILN-shipper-POL-Carrier-POD-PFI]])=1,"Non","Oui")</f>
        <v>Non</v>
      </c>
      <c r="L6" s="128" t="str">
        <f>VLOOKUP(Tableau119[[#This Row],[Name Site]],Plant_AILN!A:D,4,FALSE)</f>
        <v>COLOMBIA</v>
      </c>
      <c r="M6" s="10" t="s">
        <v>177</v>
      </c>
      <c r="N6" s="439">
        <f>VLOOKUP(Tableau119[[#This Row],[Name Site]],Plant_AILN!A:C,3,FALSE)</f>
        <v>9510600</v>
      </c>
      <c r="O6" s="55">
        <f>IF(Tableau119[[#This Row],[Name PFI/CDD]]="PFI VLL",2,VLOOKUP(Tableau119[[#This Row],[Compte Consignee]],Order!C:D,2,FALSE))</f>
        <v>7</v>
      </c>
      <c r="P6" s="116" t="s">
        <v>161</v>
      </c>
      <c r="Q6" s="365">
        <f>VLOOKUP(Tableau119[[#This Row],[Name ILN]],Plant_AILN!F:G,2,FALSE)</f>
        <v>92050300</v>
      </c>
      <c r="R6" s="50">
        <f>VLOOKUP(Tableau119[[#This Row],[Compte ILN]],'DATA ILN'!D:I,6,FALSE)</f>
        <v>9</v>
      </c>
      <c r="S6" s="50" t="e">
        <f>IFERROR(VLOOKUP(Tableau119[[#This Row],[Key(Compte ILN - shipper - POL - plant)]],'DATA ILN'!A:J,10,FALSE),VLOOKUP(Tableau119[[#This Row],[Key(Compte ILN - shipper - POL)]],'DATA ILN'!B:J,9,FALSE))</f>
        <v>#N/A</v>
      </c>
      <c r="T6" s="50" t="e">
        <f>IFERROR(VLOOKUP(Tableau119[[#This Row],[Key(Compte ILN - shipper - POL - plant)]],'DATA ILN'!A:K,11,FALSE),VLOOKUP(Tableau119[[#This Row],[Key(Compte ILN - shipper - POL)]],'DATA ILN'!B:K,10,FALSE))</f>
        <v>#N/A</v>
      </c>
      <c r="U6" s="50" t="e">
        <f>IFERROR(VLOOKUP(Tableau119[[#This Row],[Key(Compte ILN - shipper - POL - plant)]],'DATA ILN'!A:L,12,FALSE),VLOOKUP(Tableau119[[#This Row],[Key(Compte ILN - shipper - POL)]],'DATA ILN'!B:L,11,FALSE))</f>
        <v>#N/A</v>
      </c>
      <c r="V6" s="50" t="e">
        <f>Tableau119[[#This Row],[Day ILN Order]]+Tableau119[[#This Row],[Delivery time to ILN/Shipper]]-1</f>
        <v>#N/A</v>
      </c>
      <c r="W6" s="50" t="e">
        <f>IFERROR(VLOOKUP(Tableau119[[#This Row],[Key(Compte ILN - shipper - POL - plant)]],'DATA ILN'!A:N,14,FALSE),VLOOKUP(Tableau119[[#This Row],[Key(Compte ILN - shipper - POL)]],'DATA ILN'!B:N,13,FALSE))</f>
        <v>#N/A</v>
      </c>
      <c r="X6" s="53" t="e">
        <f>IFERROR(VLOOKUP(Tableau119[[#This Row],[Key(Compte ILN - shipper - POL - plant)]],'DATA ILN'!A:P,16,FALSE),VLOOKUP(Tableau119[[#This Row],[Key(Compte ILN - shipper - POL)]],'DATA ILN'!B:P,15,FALSE))</f>
        <v>#N/A</v>
      </c>
      <c r="Y6" s="116" t="s">
        <v>161</v>
      </c>
      <c r="Z6" s="437">
        <f>IFERROR(VLOOKUP(Tableau119[[#This Row],[Name Shipper]],Plant_AILN!L:M,2,FALSE),0)</f>
        <v>92050300</v>
      </c>
      <c r="AA6" s="406">
        <v>2</v>
      </c>
      <c r="AB6" s="396" t="b">
        <f>_xlfn.XLOOKUP(Tableau119[[#This Row],[Key(ID-date)]],'DATA BTO'!S:S,'DATA BTO'!E:E,FALSE)</f>
        <v>0</v>
      </c>
      <c r="AC6" s="3" t="b">
        <f>_xlfn.XLOOKUP(Tableau119[[#This Row],[Key(ID-date)]],'DATA BTO'!S:S,'DATA BTO'!F:F,FALSE)</f>
        <v>0</v>
      </c>
      <c r="AD6" s="50" t="b">
        <f>_xlfn.XLOOKUP(Tableau119[[#This Row],[Key(ID-date)]],'DATA BTO'!S:S,'DATA BTO'!G:G,FALSE)</f>
        <v>0</v>
      </c>
      <c r="AE6" s="50" t="b">
        <f>_xlfn.XLOOKUP(Tableau119[[#This Row],[Key(ID-date)]],'DATA BTO'!S:S,'DATA BTO'!H:H,FALSE)</f>
        <v>0</v>
      </c>
      <c r="AF6" s="432" t="e">
        <f>IF(Tableau119[[#This Row],[First Day to POL]]&lt;=Tableau119[[#This Row],[Day Cut Off]],Tableau119[[#This Row],[Day ETD]],Tableau119[[#This Row],[Day ETD]]+7)</f>
        <v>#N/A</v>
      </c>
      <c r="AG6" s="50" t="b">
        <f>_xlfn.XLOOKUP(Tableau119[[#This Row],[Key(ID-date)]],'DATA BTO'!S:S,'DATA BTO'!I:I,FALSE)</f>
        <v>0</v>
      </c>
      <c r="AH6" s="3" t="b">
        <f>_xlfn.XLOOKUP(Tableau119[[#This Row],[Key(ID-date)]],'DATA BTO'!S:S,'DATA BTO'!J:J,FALSE)</f>
        <v>0</v>
      </c>
      <c r="AI6" s="3" t="b">
        <f>_xlfn.XLOOKUP(Tableau119[[#This Row],[Key(ID-date)]],'DATA BTO'!S:S,'DATA BTO'!K:K,FALSE)</f>
        <v>0</v>
      </c>
      <c r="AJ6" s="50" t="b">
        <f>_xlfn.XLOOKUP(Tableau119[[#This Row],[Key(ID-date)]],'DATA BTO'!S:S,'DATA BTO'!L:L,FALSE)</f>
        <v>0</v>
      </c>
      <c r="AK6" s="53" t="b">
        <f>_xlfn.XLOOKUP(Tableau119[[#This Row],[Key(ID-date)]],'DATA BTO'!S:S,'DATA BTO'!N:N,FALSE)</f>
        <v>0</v>
      </c>
      <c r="AL6" s="54" t="e">
        <f>VLOOKUP(Tableau119[[#This Row],[Key(POD -PFI- Usine)]],'DATA Consignee'!A:F,6,FALSE)</f>
        <v>#N/A</v>
      </c>
      <c r="AM6" s="127"/>
      <c r="AN6" s="438" t="str">
        <f>IF(Tableau119[[#This Row],[Name PFI/CDD]]="","-",VLOOKUP(Tableau119[[#This Row],[Name PFI/CDD]],Plant_AILN!I:J,2,FALSE))</f>
        <v>-</v>
      </c>
      <c r="AO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" s="2" t="e">
        <f>VLOOKUP(Tableau119[[#This Row],[Key(POD -PFI- Usine)]],'DATA Consignee'!A:J,10,FALSE)</f>
        <v>#N/A</v>
      </c>
      <c r="AR6" s="50" t="e">
        <f>VLOOKUP(Tableau119[[#This Row],[Key(POD -PFI- Usine)]],'DATA Consignee'!A:N,14,FALSE)</f>
        <v>#N/A</v>
      </c>
      <c r="AS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" s="50">
        <f>Tableau119[[#This Row],[Transit time]]+Tableau119[[#This Row],[Time for security]]+Tableau119[[#This Row],[Time for security2 buffer]]</f>
        <v>0</v>
      </c>
      <c r="AV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" s="433" t="e">
        <f>Tableau119[[#This Row],[Leadtime SI2C]]+Tableau119[[#This Row],[First Receipt Days]]-Tableau119[[#This Row],[Day Customer Order]]+1</f>
        <v>#N/A</v>
      </c>
      <c r="AX6" s="119" t="e">
        <f>IF(Tableau119[[#This Row],[Name ILN]]&lt;&gt;"SFK Freight Forwarder",Tableau119[[#This Row],[Cust. Leadtime]],Tableau119[[#This Row],[Leadtime SI2C]])</f>
        <v>#N/A</v>
      </c>
      <c r="AY6" s="51" t="b">
        <f>_xlfn.XLOOKUP(Tableau119[[#This Row],[Key(ID-date)]],'DATA BTO'!S:S,'DATA BTO'!P:P,FALSE)</f>
        <v>0</v>
      </c>
      <c r="AZ6" s="338">
        <v>45777</v>
      </c>
      <c r="BA6" s="50"/>
    </row>
    <row r="7" spans="2:53">
      <c r="B7" s="474" t="str">
        <f>_xlfn.CONCAT(Tableau119[[#This Row],[Name ILN]],"-",Tableau119[[#This Row],[Name Shipper]],"-",Tableau119[[#This Row],[Name Site]])</f>
        <v>ILN Tanger-ILN Tanger-SOFASA</v>
      </c>
      <c r="C7" s="67" t="str">
        <f>_xlfn.CONCAT(Tableau119[[#This Row],[Compte ILN]],"-",Tableau119[[#This Row],[Compte Shipper]],"-",Tableau119[[#This Row],[POL]],"-",Tableau119[[#This Row],[Compte Consignee]])</f>
        <v>92050300-92050300-FALSO-9510600</v>
      </c>
      <c r="D7" s="66" t="str">
        <f>_xlfn.CONCAT(Tableau119[[#This Row],[Compte ILN]],"-",Tableau119[[#This Row],[Compte Shipper]],"-",Tableau119[[#This Row],[POL]])</f>
        <v>92050300-92050300-FALSO</v>
      </c>
      <c r="E7" s="434" t="str">
        <f>_xlfn.CONCAT(Tableau119[[#This Row],[POL]],"-",Tableau119[[#This Row],[Carrier]],"-",Tableau119[[#This Row],[POD]])</f>
        <v>FALSO-FALSO-FALSO</v>
      </c>
      <c r="F7" s="66" t="str">
        <f>_xlfn.CONCAT(Tableau119[[#This Row],[ID]],"-","Actif")</f>
        <v>2-Actif</v>
      </c>
      <c r="G7" s="66" t="str">
        <f>_xlfn.CONCAT(Tableau119[[#This Row],[POD]],"-",Tableau119[[#This Row],[Code PFI]],"-",Tableau119[[#This Row],[Compte Consignee]])</f>
        <v>FALSO---9510600</v>
      </c>
      <c r="H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TangerFALSOSOFASA</v>
      </c>
      <c r="I7" s="434" t="str">
        <f>_xlfn.CONCAT(Tableau119[[#This Row],[ID]],"-",Tableau119[[#This Row],[Expiration Date]])</f>
        <v>2-45473</v>
      </c>
      <c r="J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Tanger-ILN Tanger-2-FALSO-FALSO-FALSO--45473</v>
      </c>
      <c r="K7" s="435" t="str">
        <f ca="1">IF(COUNTIF(J:J,Tableau119[[#This Row],[Plant-ILN-shipper-POL-Carrier-POD-PFI]])=1,"Non","Oui")</f>
        <v>Non</v>
      </c>
      <c r="L7" s="128" t="str">
        <f>VLOOKUP(Tableau119[[#This Row],[Name Site]],Plant_AILN!A:D,4,FALSE)</f>
        <v>COLOMBIA</v>
      </c>
      <c r="M7" s="411" t="s">
        <v>177</v>
      </c>
      <c r="N7" s="439">
        <f>VLOOKUP(Tableau119[[#This Row],[Name Site]],Plant_AILN!A:C,3,FALSE)</f>
        <v>9510600</v>
      </c>
      <c r="O7" s="55">
        <f>IF(Tableau119[[#This Row],[Name PFI/CDD]]="PFI VLL",2,VLOOKUP(Tableau119[[#This Row],[Compte Consignee]],Order!C:D,2,FALSE))</f>
        <v>7</v>
      </c>
      <c r="P7" s="116" t="s">
        <v>161</v>
      </c>
      <c r="Q7" s="365">
        <f>VLOOKUP(Tableau119[[#This Row],[Name ILN]],Plant_AILN!F:G,2,FALSE)</f>
        <v>92050300</v>
      </c>
      <c r="R7" s="50">
        <f>VLOOKUP(Tableau119[[#This Row],[Compte ILN]],'DATA ILN'!D:I,6,FALSE)</f>
        <v>9</v>
      </c>
      <c r="S7" s="50" t="e">
        <f>IFERROR(VLOOKUP(Tableau119[[#This Row],[Key(Compte ILN - shipper - POL - plant)]],'DATA ILN'!A:J,10,FALSE),VLOOKUP(Tableau119[[#This Row],[Key(Compte ILN - shipper - POL)]],'DATA ILN'!B:J,9,FALSE))</f>
        <v>#N/A</v>
      </c>
      <c r="T7" s="50" t="e">
        <f>IFERROR(VLOOKUP(Tableau119[[#This Row],[Key(Compte ILN - shipper - POL - plant)]],'DATA ILN'!A:K,11,FALSE),VLOOKUP(Tableau119[[#This Row],[Key(Compte ILN - shipper - POL)]],'DATA ILN'!B:K,10,FALSE))</f>
        <v>#N/A</v>
      </c>
      <c r="U7" s="50" t="e">
        <f>IFERROR(VLOOKUP(Tableau119[[#This Row],[Key(Compte ILN - shipper - POL - plant)]],'DATA ILN'!A:L,12,FALSE),VLOOKUP(Tableau119[[#This Row],[Key(Compte ILN - shipper - POL)]],'DATA ILN'!B:L,11,FALSE))</f>
        <v>#N/A</v>
      </c>
      <c r="V7" s="50" t="e">
        <f>Tableau119[[#This Row],[Day ILN Order]]+Tableau119[[#This Row],[Delivery time to ILN/Shipper]]-1</f>
        <v>#N/A</v>
      </c>
      <c r="W7" s="50" t="e">
        <f>IFERROR(VLOOKUP(Tableau119[[#This Row],[Key(Compte ILN - shipper - POL - plant)]],'DATA ILN'!A:N,14,FALSE),VLOOKUP(Tableau119[[#This Row],[Key(Compte ILN - shipper - POL)]],'DATA ILN'!B:N,13,FALSE))</f>
        <v>#N/A</v>
      </c>
      <c r="X7" s="53" t="e">
        <f>IFERROR(VLOOKUP(Tableau119[[#This Row],[Key(Compte ILN - shipper - POL - plant)]],'DATA ILN'!A:P,16,FALSE),VLOOKUP(Tableau119[[#This Row],[Key(Compte ILN - shipper - POL)]],'DATA ILN'!B:P,15,FALSE))</f>
        <v>#N/A</v>
      </c>
      <c r="Y7" s="284" t="s">
        <v>161</v>
      </c>
      <c r="Z7" s="437">
        <f>IFERROR(VLOOKUP(Tableau119[[#This Row],[Name Shipper]],Plant_AILN!L:M,2,FALSE),0)</f>
        <v>92050300</v>
      </c>
      <c r="AA7" s="406">
        <v>2</v>
      </c>
      <c r="AB7" s="396" t="b">
        <f>_xlfn.XLOOKUP(Tableau119[[#This Row],[Key(ID-date)]],'DATA BTO'!S:S,'DATA BTO'!E:E,FALSE)</f>
        <v>0</v>
      </c>
      <c r="AC7" s="3" t="b">
        <f>_xlfn.XLOOKUP(Tableau119[[#This Row],[Key(ID-date)]],'DATA BTO'!S:S,'DATA BTO'!F:F,FALSE)</f>
        <v>0</v>
      </c>
      <c r="AD7" s="50" t="b">
        <f>_xlfn.XLOOKUP(Tableau119[[#This Row],[Key(ID-date)]],'DATA BTO'!S:S,'DATA BTO'!G:G,FALSE)</f>
        <v>0</v>
      </c>
      <c r="AE7" s="50" t="b">
        <f>_xlfn.XLOOKUP(Tableau119[[#This Row],[Key(ID-date)]],'DATA BTO'!S:S,'DATA BTO'!H:H,FALSE)</f>
        <v>0</v>
      </c>
      <c r="AF7" s="50" t="e">
        <f>IF(Tableau119[[#This Row],[First Day to POL]]&lt;=Tableau119[[#This Row],[Day Cut Off]],Tableau119[[#This Row],[Day ETD]],Tableau119[[#This Row],[Day ETD]]+7)</f>
        <v>#N/A</v>
      </c>
      <c r="AG7" s="50" t="b">
        <f>_xlfn.XLOOKUP(Tableau119[[#This Row],[Key(ID-date)]],'DATA BTO'!S:S,'DATA BTO'!I:I,FALSE)</f>
        <v>0</v>
      </c>
      <c r="AH7" s="3" t="b">
        <f>_xlfn.XLOOKUP(Tableau119[[#This Row],[Key(ID-date)]],'DATA BTO'!S:S,'DATA BTO'!J:J,FALSE)</f>
        <v>0</v>
      </c>
      <c r="AI7" s="3" t="b">
        <f>_xlfn.XLOOKUP(Tableau119[[#This Row],[Key(ID-date)]],'DATA BTO'!S:S,'DATA BTO'!K:K,FALSE)</f>
        <v>0</v>
      </c>
      <c r="AJ7" s="50" t="b">
        <f>_xlfn.XLOOKUP(Tableau119[[#This Row],[Key(ID-date)]],'DATA BTO'!S:S,'DATA BTO'!L:L,FALSE)</f>
        <v>0</v>
      </c>
      <c r="AK7" s="53" t="b">
        <f>_xlfn.XLOOKUP(Tableau119[[#This Row],[Key(ID-date)]],'DATA BTO'!S:S,'DATA BTO'!N:N,FALSE)</f>
        <v>0</v>
      </c>
      <c r="AL7" s="54" t="e">
        <f>VLOOKUP(Tableau119[[#This Row],[Key(POD -PFI- Usine)]],'DATA Consignee'!A:F,6,FALSE)</f>
        <v>#N/A</v>
      </c>
      <c r="AM7" s="127"/>
      <c r="AN7" s="438" t="str">
        <f>IF(Tableau119[[#This Row],[Name PFI/CDD]]="","-",VLOOKUP(Tableau119[[#This Row],[Name PFI/CDD]],Plant_AILN!I:J,2,FALSE))</f>
        <v>-</v>
      </c>
      <c r="AO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" s="2" t="e">
        <f>VLOOKUP(Tableau119[[#This Row],[Key(POD -PFI- Usine)]],'DATA Consignee'!A:J,10,FALSE)</f>
        <v>#N/A</v>
      </c>
      <c r="AR7" s="50" t="e">
        <f>VLOOKUP(Tableau119[[#This Row],[Key(POD -PFI- Usine)]],'DATA Consignee'!A:N,14,FALSE)</f>
        <v>#N/A</v>
      </c>
      <c r="AS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" s="50">
        <f>Tableau119[[#This Row],[Transit time]]+Tableau119[[#This Row],[Time for security]]+Tableau119[[#This Row],[Time for security2 buffer]]</f>
        <v>0</v>
      </c>
      <c r="AV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" s="433" t="e">
        <f>Tableau119[[#This Row],[Leadtime SI2C]]+Tableau119[[#This Row],[First Receipt Days]]-Tableau119[[#This Row],[Day Customer Order]]+1</f>
        <v>#N/A</v>
      </c>
      <c r="AX7" s="119" t="e">
        <f>IF(Tableau119[[#This Row],[Name ILN]]&lt;&gt;"SFK Freight Forwarder",Tableau119[[#This Row],[Cust. Leadtime]],Tableau119[[#This Row],[Leadtime SI2C]])</f>
        <v>#N/A</v>
      </c>
      <c r="AY7" s="51" t="b">
        <f>_xlfn.XLOOKUP(Tableau119[[#This Row],[Key(ID-date)]],'DATA BTO'!S:S,'DATA BTO'!P:P,FALSE)</f>
        <v>0</v>
      </c>
      <c r="AZ7" s="338">
        <v>45473</v>
      </c>
      <c r="BA7" s="50"/>
    </row>
    <row r="8" spans="2:53">
      <c r="B8" s="474" t="str">
        <f>_xlfn.CONCAT(Tableau119[[#This Row],[Name ILN]],"-",Tableau119[[#This Row],[Name Shipper]],"-",Tableau119[[#This Row],[Name Site]])</f>
        <v>ILN Tanger-ILN Tanger-SOFASA</v>
      </c>
      <c r="C8" s="67" t="str">
        <f>_xlfn.CONCAT(Tableau119[[#This Row],[Compte ILN]],"-",Tableau119[[#This Row],[Compte Shipper]],"-",Tableau119[[#This Row],[POL]],"-",Tableau119[[#This Row],[Compte Consignee]])</f>
        <v>92050300-92050300-FALSO-9510600</v>
      </c>
      <c r="D8" s="66" t="str">
        <f>_xlfn.CONCAT(Tableau119[[#This Row],[Compte ILN]],"-",Tableau119[[#This Row],[Compte Shipper]],"-",Tableau119[[#This Row],[POL]])</f>
        <v>92050300-92050300-FALSO</v>
      </c>
      <c r="E8" s="434" t="str">
        <f>_xlfn.CONCAT(Tableau119[[#This Row],[POL]],"-",Tableau119[[#This Row],[Carrier]],"-",Tableau119[[#This Row],[POD]])</f>
        <v>FALSO-FALSO-FALSO</v>
      </c>
      <c r="F8" s="66" t="str">
        <f>_xlfn.CONCAT(Tableau119[[#This Row],[ID]],"-","Actif")</f>
        <v>2-Actif</v>
      </c>
      <c r="G8" s="66" t="str">
        <f>_xlfn.CONCAT(Tableau119[[#This Row],[POD]],"-",Tableau119[[#This Row],[Code PFI]],"-",Tableau119[[#This Row],[Compte Consignee]])</f>
        <v>FALSO---9510600</v>
      </c>
      <c r="H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TangerFALSOSOFASA</v>
      </c>
      <c r="I8" s="434" t="str">
        <f>_xlfn.CONCAT(Tableau119[[#This Row],[ID]],"-",Tableau119[[#This Row],[Expiration Date]])</f>
        <v>2-45412</v>
      </c>
      <c r="J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Tanger-ILN Tanger-2-FALSO-FALSO-FALSO--45412</v>
      </c>
      <c r="K8" s="435" t="str">
        <f ca="1">IF(COUNTIF(J:J,Tableau119[[#This Row],[Plant-ILN-shipper-POL-Carrier-POD-PFI]])=1,"Non","Oui")</f>
        <v>Non</v>
      </c>
      <c r="L8" s="128" t="str">
        <f>VLOOKUP(Tableau119[[#This Row],[Name Site]],Plant_AILN!A:D,4,FALSE)</f>
        <v>COLOMBIA</v>
      </c>
      <c r="M8" s="10" t="s">
        <v>177</v>
      </c>
      <c r="N8" s="439">
        <f>VLOOKUP(Tableau119[[#This Row],[Name Site]],Plant_AILN!A:C,3,FALSE)</f>
        <v>9510600</v>
      </c>
      <c r="O8" s="55">
        <f>IF(Tableau119[[#This Row],[Name PFI/CDD]]="PFI VLL",2,VLOOKUP(Tableau119[[#This Row],[Compte Consignee]],Order!C:D,2,FALSE))</f>
        <v>7</v>
      </c>
      <c r="P8" s="116" t="s">
        <v>161</v>
      </c>
      <c r="Q8" s="365">
        <f>VLOOKUP(Tableau119[[#This Row],[Name ILN]],Plant_AILN!F:G,2,FALSE)</f>
        <v>92050300</v>
      </c>
      <c r="R8" s="50">
        <f>VLOOKUP(Tableau119[[#This Row],[Compte ILN]],'DATA ILN'!D:I,6,FALSE)</f>
        <v>9</v>
      </c>
      <c r="S8" s="50" t="e">
        <f>IFERROR(VLOOKUP(Tableau119[[#This Row],[Key(Compte ILN - shipper - POL - plant)]],'DATA ILN'!A:J,10,FALSE),VLOOKUP(Tableau119[[#This Row],[Key(Compte ILN - shipper - POL)]],'DATA ILN'!B:J,9,FALSE))</f>
        <v>#N/A</v>
      </c>
      <c r="T8" s="50" t="e">
        <f>IFERROR(VLOOKUP(Tableau119[[#This Row],[Key(Compte ILN - shipper - POL - plant)]],'DATA ILN'!A:K,11,FALSE),VLOOKUP(Tableau119[[#This Row],[Key(Compte ILN - shipper - POL)]],'DATA ILN'!B:K,10,FALSE))</f>
        <v>#N/A</v>
      </c>
      <c r="U8" s="50" t="e">
        <f>IFERROR(VLOOKUP(Tableau119[[#This Row],[Key(Compte ILN - shipper - POL - plant)]],'DATA ILN'!A:L,12,FALSE),VLOOKUP(Tableau119[[#This Row],[Key(Compte ILN - shipper - POL)]],'DATA ILN'!B:L,11,FALSE))</f>
        <v>#N/A</v>
      </c>
      <c r="V8" s="50" t="e">
        <f>Tableau119[[#This Row],[Day ILN Order]]+Tableau119[[#This Row],[Delivery time to ILN/Shipper]]-1</f>
        <v>#N/A</v>
      </c>
      <c r="W8" s="50" t="e">
        <f>IFERROR(VLOOKUP(Tableau119[[#This Row],[Key(Compte ILN - shipper - POL - plant)]],'DATA ILN'!A:N,14,FALSE),VLOOKUP(Tableau119[[#This Row],[Key(Compte ILN - shipper - POL)]],'DATA ILN'!B:N,13,FALSE))</f>
        <v>#N/A</v>
      </c>
      <c r="X8" s="53" t="e">
        <f>IFERROR(VLOOKUP(Tableau119[[#This Row],[Key(Compte ILN - shipper - POL - plant)]],'DATA ILN'!A:P,16,FALSE),VLOOKUP(Tableau119[[#This Row],[Key(Compte ILN - shipper - POL)]],'DATA ILN'!B:P,15,FALSE))</f>
        <v>#N/A</v>
      </c>
      <c r="Y8" s="284" t="s">
        <v>161</v>
      </c>
      <c r="Z8" s="437">
        <f>IFERROR(VLOOKUP(Tableau119[[#This Row],[Name Shipper]],Plant_AILN!L:M,2,FALSE),0)</f>
        <v>92050300</v>
      </c>
      <c r="AA8" s="406">
        <v>2</v>
      </c>
      <c r="AB8" s="396" t="b">
        <f>_xlfn.XLOOKUP(Tableau119[[#This Row],[Key(ID-date)]],'DATA BTO'!S:S,'DATA BTO'!E:E,FALSE)</f>
        <v>0</v>
      </c>
      <c r="AC8" s="3" t="b">
        <f>_xlfn.XLOOKUP(Tableau119[[#This Row],[Key(ID-date)]],'DATA BTO'!S:S,'DATA BTO'!F:F,FALSE)</f>
        <v>0</v>
      </c>
      <c r="AD8" s="50" t="b">
        <f>_xlfn.XLOOKUP(Tableau119[[#This Row],[Key(ID-date)]],'DATA BTO'!S:S,'DATA BTO'!G:G,FALSE)</f>
        <v>0</v>
      </c>
      <c r="AE8" s="50" t="b">
        <f>_xlfn.XLOOKUP(Tableau119[[#This Row],[Key(ID-date)]],'DATA BTO'!S:S,'DATA BTO'!H:H,FALSE)</f>
        <v>0</v>
      </c>
      <c r="AF8" s="50" t="e">
        <f>IF(Tableau119[[#This Row],[First Day to POL]]&lt;=Tableau119[[#This Row],[Day Cut Off]],Tableau119[[#This Row],[Day ETD]],Tableau119[[#This Row],[Day ETD]]+7)</f>
        <v>#N/A</v>
      </c>
      <c r="AG8" s="50" t="b">
        <f>_xlfn.XLOOKUP(Tableau119[[#This Row],[Key(ID-date)]],'DATA BTO'!S:S,'DATA BTO'!I:I,FALSE)</f>
        <v>0</v>
      </c>
      <c r="AH8" s="3" t="b">
        <f>_xlfn.XLOOKUP(Tableau119[[#This Row],[Key(ID-date)]],'DATA BTO'!S:S,'DATA BTO'!J:J,FALSE)</f>
        <v>0</v>
      </c>
      <c r="AI8" s="3" t="b">
        <f>_xlfn.XLOOKUP(Tableau119[[#This Row],[Key(ID-date)]],'DATA BTO'!S:S,'DATA BTO'!K:K,FALSE)</f>
        <v>0</v>
      </c>
      <c r="AJ8" s="50" t="b">
        <f>_xlfn.XLOOKUP(Tableau119[[#This Row],[Key(ID-date)]],'DATA BTO'!S:S,'DATA BTO'!L:L,FALSE)</f>
        <v>0</v>
      </c>
      <c r="AK8" s="53" t="b">
        <f>_xlfn.XLOOKUP(Tableau119[[#This Row],[Key(ID-date)]],'DATA BTO'!S:S,'DATA BTO'!N:N,FALSE)</f>
        <v>0</v>
      </c>
      <c r="AL8" s="54" t="e">
        <f>VLOOKUP(Tableau119[[#This Row],[Key(POD -PFI- Usine)]],'DATA Consignee'!A:F,6,FALSE)</f>
        <v>#N/A</v>
      </c>
      <c r="AM8" s="127"/>
      <c r="AN8" s="438" t="str">
        <f>IF(Tableau119[[#This Row],[Name PFI/CDD]]="","-",VLOOKUP(Tableau119[[#This Row],[Name PFI/CDD]],Plant_AILN!I:J,2,FALSE))</f>
        <v>-</v>
      </c>
      <c r="AO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" s="2" t="e">
        <f>VLOOKUP(Tableau119[[#This Row],[Key(POD -PFI- Usine)]],'DATA Consignee'!A:J,10,FALSE)</f>
        <v>#N/A</v>
      </c>
      <c r="AR8" s="50" t="e">
        <f>VLOOKUP(Tableau119[[#This Row],[Key(POD -PFI- Usine)]],'DATA Consignee'!A:N,14,FALSE)</f>
        <v>#N/A</v>
      </c>
      <c r="AS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" s="50">
        <f>Tableau119[[#This Row],[Transit time]]+Tableau119[[#This Row],[Time for security]]+Tableau119[[#This Row],[Time for security2 buffer]]</f>
        <v>0</v>
      </c>
      <c r="AV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" s="433" t="e">
        <f>Tableau119[[#This Row],[Leadtime SI2C]]+Tableau119[[#This Row],[First Receipt Days]]-Tableau119[[#This Row],[Day Customer Order]]+1</f>
        <v>#N/A</v>
      </c>
      <c r="AX8" s="119" t="e">
        <f>IF(Tableau119[[#This Row],[Name ILN]]&lt;&gt;"SFK Freight Forwarder",Tableau119[[#This Row],[Cust. Leadtime]],Tableau119[[#This Row],[Leadtime SI2C]])</f>
        <v>#N/A</v>
      </c>
      <c r="AY8" s="51" t="b">
        <f>_xlfn.XLOOKUP(Tableau119[[#This Row],[Key(ID-date)]],'DATA BTO'!S:S,'DATA BTO'!P:P,FALSE)</f>
        <v>0</v>
      </c>
      <c r="AZ8" s="338">
        <v>45412</v>
      </c>
      <c r="BA8" s="50"/>
    </row>
    <row r="9" spans="2:53">
      <c r="B9" s="474" t="str">
        <f>_xlfn.CONCAT(Tableau119[[#This Row],[Name ILN]],"-",Tableau119[[#This Row],[Name Shipper]],"-",Tableau119[[#This Row],[Name Site]])</f>
        <v>ILN Tanger-ILN Tanger-OYAK MONT</v>
      </c>
      <c r="C9" s="67" t="str">
        <f>_xlfn.CONCAT(Tableau119[[#This Row],[Compte ILN]],"-",Tableau119[[#This Row],[Compte Shipper]],"-",Tableau119[[#This Row],[POL]],"-",Tableau119[[#This Row],[Compte Consignee]])</f>
        <v>92050300-92050300-FALSO-90017000</v>
      </c>
      <c r="D9" s="66" t="str">
        <f>_xlfn.CONCAT(Tableau119[[#This Row],[Compte ILN]],"-",Tableau119[[#This Row],[Compte Shipper]],"-",Tableau119[[#This Row],[POL]])</f>
        <v>92050300-92050300-FALSO</v>
      </c>
      <c r="E9" s="434" t="str">
        <f>_xlfn.CONCAT(Tableau119[[#This Row],[POL]],"-",Tableau119[[#This Row],[Carrier]],"-",Tableau119[[#This Row],[POD]])</f>
        <v>FALSO-FALSO-FALSO</v>
      </c>
      <c r="F9" s="66" t="str">
        <f>_xlfn.CONCAT(Tableau119[[#This Row],[ID]],"-","Actif")</f>
        <v>3-Actif</v>
      </c>
      <c r="G9" s="66" t="str">
        <f>_xlfn.CONCAT(Tableau119[[#This Row],[POD]],"-",Tableau119[[#This Row],[Code PFI]],"-",Tableau119[[#This Row],[Compte Consignee]])</f>
        <v>FALSO---90017000</v>
      </c>
      <c r="H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TangerFALSOOYAK MONT</v>
      </c>
      <c r="I9" s="434" t="str">
        <f>_xlfn.CONCAT(Tableau119[[#This Row],[ID]],"-",Tableau119[[#This Row],[Expiration Date]])</f>
        <v>3-46142</v>
      </c>
      <c r="J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Tanger-ILN Tanger-3-FALSO-FALSO-FALSO--46142</v>
      </c>
      <c r="K9" s="435" t="str">
        <f ca="1">IF(COUNTIF(J:J,Tableau119[[#This Row],[Plant-ILN-shipper-POL-Carrier-POD-PFI]])=1,"Non","Oui")</f>
        <v>Non</v>
      </c>
      <c r="L9" s="128" t="str">
        <f>VLOOKUP(Tableau119[[#This Row],[Name Site]],Plant_AILN!A:D,4,FALSE)</f>
        <v>TURKEY</v>
      </c>
      <c r="M9" s="411" t="s">
        <v>173</v>
      </c>
      <c r="N9" s="439">
        <f>VLOOKUP(Tableau119[[#This Row],[Name Site]],Plant_AILN!A:C,3,FALSE)</f>
        <v>90017000</v>
      </c>
      <c r="O9" s="55">
        <f>IF(Tableau119[[#This Row],[Name PFI/CDD]]="PFI VLL",2,VLOOKUP(Tableau119[[#This Row],[Compte Consignee]],Order!C:D,2,FALSE))</f>
        <v>7</v>
      </c>
      <c r="P9" s="116" t="s">
        <v>161</v>
      </c>
      <c r="Q9" s="365">
        <f>VLOOKUP(Tableau119[[#This Row],[Name ILN]],Plant_AILN!F:G,2,FALSE)</f>
        <v>92050300</v>
      </c>
      <c r="R9" s="50">
        <f>VLOOKUP(Tableau119[[#This Row],[Compte ILN]],'DATA ILN'!D:I,6,FALSE)</f>
        <v>9</v>
      </c>
      <c r="S9" s="50" t="e">
        <f>IFERROR(VLOOKUP(Tableau119[[#This Row],[Key(Compte ILN - shipper - POL - plant)]],'DATA ILN'!A:J,10,FALSE),VLOOKUP(Tableau119[[#This Row],[Key(Compte ILN - shipper - POL)]],'DATA ILN'!B:J,9,FALSE))</f>
        <v>#N/A</v>
      </c>
      <c r="T9" s="50" t="e">
        <f>IFERROR(VLOOKUP(Tableau119[[#This Row],[Key(Compte ILN - shipper - POL - plant)]],'DATA ILN'!A:K,11,FALSE),VLOOKUP(Tableau119[[#This Row],[Key(Compte ILN - shipper - POL)]],'DATA ILN'!B:K,10,FALSE))</f>
        <v>#N/A</v>
      </c>
      <c r="U9" s="50" t="e">
        <f>IFERROR(VLOOKUP(Tableau119[[#This Row],[Key(Compte ILN - shipper - POL - plant)]],'DATA ILN'!A:L,12,FALSE),VLOOKUP(Tableau119[[#This Row],[Key(Compte ILN - shipper - POL)]],'DATA ILN'!B:L,11,FALSE))</f>
        <v>#N/A</v>
      </c>
      <c r="V9" s="50" t="e">
        <f>Tableau119[[#This Row],[Day ILN Order]]+Tableau119[[#This Row],[Delivery time to ILN/Shipper]]-1</f>
        <v>#N/A</v>
      </c>
      <c r="W9" s="50" t="e">
        <f>IFERROR(VLOOKUP(Tableau119[[#This Row],[Key(Compte ILN - shipper - POL - plant)]],'DATA ILN'!A:N,14,FALSE),VLOOKUP(Tableau119[[#This Row],[Key(Compte ILN - shipper - POL)]],'DATA ILN'!B:N,13,FALSE))</f>
        <v>#N/A</v>
      </c>
      <c r="X9" s="53" t="e">
        <f>IFERROR(VLOOKUP(Tableau119[[#This Row],[Key(Compte ILN - shipper - POL - plant)]],'DATA ILN'!A:P,16,FALSE),VLOOKUP(Tableau119[[#This Row],[Key(Compte ILN - shipper - POL)]],'DATA ILN'!B:P,15,FALSE))</f>
        <v>#N/A</v>
      </c>
      <c r="Y9" s="284" t="s">
        <v>161</v>
      </c>
      <c r="Z9" s="437">
        <f>IFERROR(VLOOKUP(Tableau119[[#This Row],[Name Shipper]],Plant_AILN!L:M,2,FALSE),0)</f>
        <v>92050300</v>
      </c>
      <c r="AA9" s="406">
        <v>3</v>
      </c>
      <c r="AB9" s="396" t="b">
        <f>_xlfn.XLOOKUP(Tableau119[[#This Row],[Key(ID-date)]],'DATA BTO'!S:S,'DATA BTO'!E:E,FALSE)</f>
        <v>0</v>
      </c>
      <c r="AC9" s="3" t="b">
        <f>_xlfn.XLOOKUP(Tableau119[[#This Row],[Key(ID-date)]],'DATA BTO'!S:S,'DATA BTO'!F:F,FALSE)</f>
        <v>0</v>
      </c>
      <c r="AD9" s="50" t="b">
        <f>_xlfn.XLOOKUP(Tableau119[[#This Row],[Key(ID-date)]],'DATA BTO'!S:S,'DATA BTO'!G:G,FALSE)</f>
        <v>0</v>
      </c>
      <c r="AE9" s="50" t="b">
        <f>_xlfn.XLOOKUP(Tableau119[[#This Row],[Key(ID-date)]],'DATA BTO'!S:S,'DATA BTO'!H:H,FALSE)</f>
        <v>0</v>
      </c>
      <c r="AF9" s="50" t="e">
        <f>IF(Tableau119[[#This Row],[First Day to POL]]&lt;=Tableau119[[#This Row],[Day Cut Off]],Tableau119[[#This Row],[Day ETD]],Tableau119[[#This Row],[Day ETD]]+7)</f>
        <v>#N/A</v>
      </c>
      <c r="AG9" s="50" t="b">
        <f>_xlfn.XLOOKUP(Tableau119[[#This Row],[Key(ID-date)]],'DATA BTO'!S:S,'DATA BTO'!I:I,FALSE)</f>
        <v>0</v>
      </c>
      <c r="AH9" s="3" t="b">
        <f>_xlfn.XLOOKUP(Tableau119[[#This Row],[Key(ID-date)]],'DATA BTO'!S:S,'DATA BTO'!J:J,FALSE)</f>
        <v>0</v>
      </c>
      <c r="AI9" s="3" t="b">
        <f>_xlfn.XLOOKUP(Tableau119[[#This Row],[Key(ID-date)]],'DATA BTO'!S:S,'DATA BTO'!K:K,FALSE)</f>
        <v>0</v>
      </c>
      <c r="AJ9" s="50" t="b">
        <f>_xlfn.XLOOKUP(Tableau119[[#This Row],[Key(ID-date)]],'DATA BTO'!S:S,'DATA BTO'!L:L,FALSE)</f>
        <v>0</v>
      </c>
      <c r="AK9" s="53" t="b">
        <f>_xlfn.XLOOKUP(Tableau119[[#This Row],[Key(ID-date)]],'DATA BTO'!S:S,'DATA BTO'!N:N,FALSE)</f>
        <v>0</v>
      </c>
      <c r="AL9" s="54" t="e">
        <f>VLOOKUP(Tableau119[[#This Row],[Key(POD -PFI- Usine)]],'DATA Consignee'!A:F,6,FALSE)</f>
        <v>#N/A</v>
      </c>
      <c r="AM9" s="127"/>
      <c r="AN9" s="438" t="str">
        <f>IF(Tableau119[[#This Row],[Name PFI/CDD]]="","-",VLOOKUP(Tableau119[[#This Row],[Name PFI/CDD]],Plant_AILN!I:J,2,FALSE))</f>
        <v>-</v>
      </c>
      <c r="AO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" s="2" t="e">
        <f>VLOOKUP(Tableau119[[#This Row],[Key(POD -PFI- Usine)]],'DATA Consignee'!A:J,10,FALSE)</f>
        <v>#N/A</v>
      </c>
      <c r="AR9" s="50" t="e">
        <f>VLOOKUP(Tableau119[[#This Row],[Key(POD -PFI- Usine)]],'DATA Consignee'!A:N,14,FALSE)</f>
        <v>#N/A</v>
      </c>
      <c r="AS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" s="50">
        <f>Tableau119[[#This Row],[Transit time]]+Tableau119[[#This Row],[Time for security]]+Tableau119[[#This Row],[Time for security2 buffer]]</f>
        <v>0</v>
      </c>
      <c r="AV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" s="433" t="e">
        <f>Tableau119[[#This Row],[Leadtime SI2C]]+Tableau119[[#This Row],[First Receipt Days]]-Tableau119[[#This Row],[Day Customer Order]]+1</f>
        <v>#N/A</v>
      </c>
      <c r="AX9" s="119" t="e">
        <f>IF(Tableau119[[#This Row],[Name ILN]]&lt;&gt;"SFK Freight Forwarder",Tableau119[[#This Row],[Cust. Leadtime]],Tableau119[[#This Row],[Leadtime SI2C]])</f>
        <v>#N/A</v>
      </c>
      <c r="AY9" s="51" t="b">
        <f>_xlfn.XLOOKUP(Tableau119[[#This Row],[Key(ID-date)]],'DATA BTO'!S:S,'DATA BTO'!P:P,FALSE)</f>
        <v>0</v>
      </c>
      <c r="AZ9" s="338">
        <v>46142</v>
      </c>
      <c r="BA9" s="50"/>
    </row>
    <row r="10" spans="2:53">
      <c r="B10" s="67" t="str">
        <f>_xlfn.CONCAT(Tableau119[[#This Row],[Name ILN]],"-",Tableau119[[#This Row],[Name Shipper]],"-",Tableau119[[#This Row],[Name Site]])</f>
        <v>ILN Bursa-ILN Bursa-SOMACA</v>
      </c>
      <c r="C10" s="67" t="str">
        <f>_xlfn.CONCAT(Tableau119[[#This Row],[Compte ILN]],"-",Tableau119[[#This Row],[Compte Shipper]],"-",Tableau119[[#This Row],[POL]],"-",Tableau119[[#This Row],[Compte Consignee]])</f>
        <v>95112-95112-FALSO-90038200</v>
      </c>
      <c r="D10" s="66" t="str">
        <f>_xlfn.CONCAT(Tableau119[[#This Row],[Compte ILN]],"-",Tableau119[[#This Row],[Compte Shipper]],"-",Tableau119[[#This Row],[POL]])</f>
        <v>95112-95112-FALSO</v>
      </c>
      <c r="E10" s="434" t="str">
        <f>_xlfn.CONCAT(Tableau119[[#This Row],[POL]],"-",Tableau119[[#This Row],[Carrier]],"-",Tableau119[[#This Row],[POD]])</f>
        <v>FALSO-FALSO-FALSO</v>
      </c>
      <c r="F10" s="66" t="str">
        <f>_xlfn.CONCAT(Tableau119[[#This Row],[ID]],"-","Actif")</f>
        <v>5-Actif</v>
      </c>
      <c r="G10" s="66" t="str">
        <f>_xlfn.CONCAT(Tableau119[[#This Row],[POD]],"-",Tableau119[[#This Row],[Code PFI]],"-",Tableau119[[#This Row],[Compte Consignee]])</f>
        <v>FALSO---90038200</v>
      </c>
      <c r="H1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BursaFALSOSOMACA</v>
      </c>
      <c r="I10" s="434" t="str">
        <f>_xlfn.CONCAT(Tableau119[[#This Row],[ID]],"-",Tableau119[[#This Row],[Expiration Date]])</f>
        <v>5-46142</v>
      </c>
      <c r="J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Bursa-ILN Bursa-5-FALSO-FALSO-FALSO--46142</v>
      </c>
      <c r="K10" s="435" t="str">
        <f ca="1">IF(COUNTIF(J:J,Tableau119[[#This Row],[Plant-ILN-shipper-POL-Carrier-POD-PFI]])=1,"Non","Oui")</f>
        <v>Non</v>
      </c>
      <c r="L10" s="436" t="str">
        <f>VLOOKUP(Tableau119[[#This Row],[Name Site]],Plant_AILN!A:D,4,FALSE)</f>
        <v>MOROCCO</v>
      </c>
      <c r="M10" s="285" t="s">
        <v>179</v>
      </c>
      <c r="N10" s="439">
        <f>VLOOKUP(Tableau119[[#This Row],[Name Site]],Plant_AILN!A:C,3,FALSE)</f>
        <v>90038200</v>
      </c>
      <c r="O10" s="55">
        <f>IF(Tableau119[[#This Row],[Name PFI/CDD]]="PFI VLL",2,VLOOKUP(Tableau119[[#This Row],[Compte Consignee]],Order!C:D,2,FALSE))</f>
        <v>7</v>
      </c>
      <c r="P10" s="116" t="s">
        <v>167</v>
      </c>
      <c r="Q10" s="365">
        <f>VLOOKUP(Tableau119[[#This Row],[Name ILN]],Plant_AILN!F:G,2,FALSE)</f>
        <v>95112</v>
      </c>
      <c r="R10" s="50">
        <f>VLOOKUP(Tableau119[[#This Row],[Compte ILN]],'DATA ILN'!D:I,6,FALSE)</f>
        <v>9</v>
      </c>
      <c r="S10" s="50" t="e">
        <f>IFERROR(VLOOKUP(Tableau119[[#This Row],[Key(Compte ILN - shipper - POL - plant)]],'DATA ILN'!A:J,10,FALSE),VLOOKUP(Tableau119[[#This Row],[Key(Compte ILN - shipper - POL)]],'DATA ILN'!B:J,9,FALSE))</f>
        <v>#N/A</v>
      </c>
      <c r="T10" s="50" t="e">
        <f>IFERROR(VLOOKUP(Tableau119[[#This Row],[Key(Compte ILN - shipper - POL - plant)]],'DATA ILN'!A:K,11,FALSE),VLOOKUP(Tableau119[[#This Row],[Key(Compte ILN - shipper - POL)]],'DATA ILN'!B:K,10,FALSE))</f>
        <v>#N/A</v>
      </c>
      <c r="U10" s="50" t="e">
        <f>IFERROR(VLOOKUP(Tableau119[[#This Row],[Key(Compte ILN - shipper - POL - plant)]],'DATA ILN'!A:L,12,FALSE),VLOOKUP(Tableau119[[#This Row],[Key(Compte ILN - shipper - POL)]],'DATA ILN'!B:L,11,FALSE))</f>
        <v>#N/A</v>
      </c>
      <c r="V10" s="50" t="e">
        <f>Tableau119[[#This Row],[Day ILN Order]]+Tableau119[[#This Row],[Delivery time to ILN/Shipper]]-1</f>
        <v>#N/A</v>
      </c>
      <c r="W10" s="50" t="e">
        <f>IFERROR(VLOOKUP(Tableau119[[#This Row],[Key(Compte ILN - shipper - POL - plant)]],'DATA ILN'!A:N,14,FALSE),VLOOKUP(Tableau119[[#This Row],[Key(Compte ILN - shipper - POL)]],'DATA ILN'!B:N,13,FALSE))</f>
        <v>#N/A</v>
      </c>
      <c r="X10" s="53" t="e">
        <f>IFERROR(VLOOKUP(Tableau119[[#This Row],[Key(Compte ILN - shipper - POL - plant)]],'DATA ILN'!A:P,16,FALSE),VLOOKUP(Tableau119[[#This Row],[Key(Compte ILN - shipper - POL)]],'DATA ILN'!B:P,15,FALSE))</f>
        <v>#N/A</v>
      </c>
      <c r="Y10" s="284" t="s">
        <v>167</v>
      </c>
      <c r="Z10" s="437">
        <f>IFERROR(VLOOKUP(Tableau119[[#This Row],[Name Shipper]],Plant_AILN!L:M,2,FALSE),0)</f>
        <v>95112</v>
      </c>
      <c r="AA10" s="406">
        <v>5</v>
      </c>
      <c r="AB10" s="396" t="b">
        <f>_xlfn.XLOOKUP(Tableau119[[#This Row],[Key(ID-date)]],'DATA BTO'!S:S,'DATA BTO'!E:E,FALSE)</f>
        <v>0</v>
      </c>
      <c r="AC10" s="3" t="b">
        <f>_xlfn.XLOOKUP(Tableau119[[#This Row],[Key(ID-date)]],'DATA BTO'!S:S,'DATA BTO'!F:F,FALSE)</f>
        <v>0</v>
      </c>
      <c r="AD10" s="50" t="b">
        <f>_xlfn.XLOOKUP(Tableau119[[#This Row],[Key(ID-date)]],'DATA BTO'!S:S,'DATA BTO'!G:G,FALSE)</f>
        <v>0</v>
      </c>
      <c r="AE10" s="50" t="b">
        <f>_xlfn.XLOOKUP(Tableau119[[#This Row],[Key(ID-date)]],'DATA BTO'!S:S,'DATA BTO'!H:H,FALSE)</f>
        <v>0</v>
      </c>
      <c r="AF10" s="50" t="e">
        <f>IF(Tableau119[[#This Row],[First Day to POL]]&lt;=Tableau119[[#This Row],[Day Cut Off]],Tableau119[[#This Row],[Day ETD]],Tableau119[[#This Row],[Day ETD]]+7)</f>
        <v>#N/A</v>
      </c>
      <c r="AG10" s="50" t="b">
        <f>_xlfn.XLOOKUP(Tableau119[[#This Row],[Key(ID-date)]],'DATA BTO'!S:S,'DATA BTO'!I:I,FALSE)</f>
        <v>0</v>
      </c>
      <c r="AH10" s="3" t="b">
        <f>_xlfn.XLOOKUP(Tableau119[[#This Row],[Key(ID-date)]],'DATA BTO'!S:S,'DATA BTO'!J:J,FALSE)</f>
        <v>0</v>
      </c>
      <c r="AI10" s="3" t="b">
        <f>_xlfn.XLOOKUP(Tableau119[[#This Row],[Key(ID-date)]],'DATA BTO'!S:S,'DATA BTO'!K:K,FALSE)</f>
        <v>0</v>
      </c>
      <c r="AJ10" s="50" t="b">
        <f>_xlfn.XLOOKUP(Tableau119[[#This Row],[Key(ID-date)]],'DATA BTO'!S:S,'DATA BTO'!L:L,FALSE)</f>
        <v>0</v>
      </c>
      <c r="AK10" s="53" t="b">
        <f>_xlfn.XLOOKUP(Tableau119[[#This Row],[Key(ID-date)]],'DATA BTO'!S:S,'DATA BTO'!N:N,FALSE)</f>
        <v>0</v>
      </c>
      <c r="AL10" s="54" t="e">
        <f>VLOOKUP(Tableau119[[#This Row],[Key(POD -PFI- Usine)]],'DATA Consignee'!A:F,6,FALSE)</f>
        <v>#N/A</v>
      </c>
      <c r="AM10" s="127"/>
      <c r="AN10" s="438" t="str">
        <f>IF(Tableau119[[#This Row],[Name PFI/CDD]]="","-",VLOOKUP(Tableau119[[#This Row],[Name PFI/CDD]],Plant_AILN!I:J,2,FALSE))</f>
        <v>-</v>
      </c>
      <c r="AO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0" s="2" t="e">
        <f>VLOOKUP(Tableau119[[#This Row],[Key(POD -PFI- Usine)]],'DATA Consignee'!A:J,10,FALSE)</f>
        <v>#N/A</v>
      </c>
      <c r="AR10" s="50" t="e">
        <f>VLOOKUP(Tableau119[[#This Row],[Key(POD -PFI- Usine)]],'DATA Consignee'!A:N,14,FALSE)</f>
        <v>#N/A</v>
      </c>
      <c r="AS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" s="50">
        <f>Tableau119[[#This Row],[Transit time]]+Tableau119[[#This Row],[Time for security]]+Tableau119[[#This Row],[Time for security2 buffer]]</f>
        <v>0</v>
      </c>
      <c r="AV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" s="433" t="e">
        <f>Tableau119[[#This Row],[Leadtime SI2C]]+Tableau119[[#This Row],[First Receipt Days]]-Tableau119[[#This Row],[Day Customer Order]]+1</f>
        <v>#N/A</v>
      </c>
      <c r="AX10" s="119" t="e">
        <f>IF(Tableau119[[#This Row],[Name ILN]]&lt;&gt;"SFK Freight Forwarder",Tableau119[[#This Row],[Cust. Leadtime]],Tableau119[[#This Row],[Leadtime SI2C]])</f>
        <v>#N/A</v>
      </c>
      <c r="AY10" s="51" t="b">
        <f>_xlfn.XLOOKUP(Tableau119[[#This Row],[Key(ID-date)]],'DATA BTO'!S:S,'DATA BTO'!P:P,FALSE)</f>
        <v>0</v>
      </c>
      <c r="AZ10" s="338">
        <v>46142</v>
      </c>
      <c r="BA10" s="50"/>
    </row>
    <row r="11" spans="2:53">
      <c r="B11" s="474" t="str">
        <f>_xlfn.CONCAT(Tableau119[[#This Row],[Name ILN]],"-",Tableau119[[#This Row],[Name Shipper]],"-",Tableau119[[#This Row],[Name Site]])</f>
        <v>ILN Bursa-ILN Bursa-SOMACA</v>
      </c>
      <c r="C11" s="67" t="str">
        <f>_xlfn.CONCAT(Tableau119[[#This Row],[Compte ILN]],"-",Tableau119[[#This Row],[Compte Shipper]],"-",Tableau119[[#This Row],[POL]],"-",Tableau119[[#This Row],[Compte Consignee]])</f>
        <v>95112-95112-FALSO-90038200</v>
      </c>
      <c r="D11" s="66" t="str">
        <f>_xlfn.CONCAT(Tableau119[[#This Row],[Compte ILN]],"-",Tableau119[[#This Row],[Compte Shipper]],"-",Tableau119[[#This Row],[POL]])</f>
        <v>95112-95112-FALSO</v>
      </c>
      <c r="E11" s="434" t="str">
        <f>_xlfn.CONCAT(Tableau119[[#This Row],[POL]],"-",Tableau119[[#This Row],[Carrier]],"-",Tableau119[[#This Row],[POD]])</f>
        <v>FALSO-FALSO-FALSO</v>
      </c>
      <c r="F11" s="66" t="str">
        <f>_xlfn.CONCAT(Tableau119[[#This Row],[ID]],"-","Actif")</f>
        <v>5-Actif</v>
      </c>
      <c r="G11" s="66" t="str">
        <f>_xlfn.CONCAT(Tableau119[[#This Row],[POD]],"-",Tableau119[[#This Row],[Code PFI]],"-",Tableau119[[#This Row],[Compte Consignee]])</f>
        <v>FALSO---90038200</v>
      </c>
      <c r="H1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BursaFALSOSOMACA</v>
      </c>
      <c r="I11" s="434" t="str">
        <f>_xlfn.CONCAT(Tableau119[[#This Row],[ID]],"-",Tableau119[[#This Row],[Expiration Date]])</f>
        <v>5-45893</v>
      </c>
      <c r="J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Bursa-ILN Bursa-5-FALSO-FALSO-FALSO--45893</v>
      </c>
      <c r="K11" s="435" t="str">
        <f ca="1">IF(COUNTIF(J:J,Tableau119[[#This Row],[Plant-ILN-shipper-POL-Carrier-POD-PFI]])=1,"Non","Oui")</f>
        <v>Non</v>
      </c>
      <c r="L11" s="128" t="str">
        <f>VLOOKUP(Tableau119[[#This Row],[Name Site]],Plant_AILN!A:D,4,FALSE)</f>
        <v>MOROCCO</v>
      </c>
      <c r="M11" s="411" t="s">
        <v>179</v>
      </c>
      <c r="N11" s="439">
        <f>VLOOKUP(Tableau119[[#This Row],[Name Site]],Plant_AILN!A:C,3,FALSE)</f>
        <v>90038200</v>
      </c>
      <c r="O11" s="55">
        <f>IF(Tableau119[[#This Row],[Name PFI/CDD]]="PFI VLL",2,VLOOKUP(Tableau119[[#This Row],[Compte Consignee]],Order!C:D,2,FALSE))</f>
        <v>7</v>
      </c>
      <c r="P11" s="116" t="s">
        <v>167</v>
      </c>
      <c r="Q11" s="365">
        <f>VLOOKUP(Tableau119[[#This Row],[Name ILN]],Plant_AILN!F:G,2,FALSE)</f>
        <v>95112</v>
      </c>
      <c r="R11" s="50">
        <f>VLOOKUP(Tableau119[[#This Row],[Compte ILN]],'DATA ILN'!D:I,6,FALSE)</f>
        <v>9</v>
      </c>
      <c r="S11" s="50" t="e">
        <f>IFERROR(VLOOKUP(Tableau119[[#This Row],[Key(Compte ILN - shipper - POL - plant)]],'DATA ILN'!A:J,10,FALSE),VLOOKUP(Tableau119[[#This Row],[Key(Compte ILN - shipper - POL)]],'DATA ILN'!B:J,9,FALSE))</f>
        <v>#N/A</v>
      </c>
      <c r="T11" s="50" t="e">
        <f>IFERROR(VLOOKUP(Tableau119[[#This Row],[Key(Compte ILN - shipper - POL - plant)]],'DATA ILN'!A:K,11,FALSE),VLOOKUP(Tableau119[[#This Row],[Key(Compte ILN - shipper - POL)]],'DATA ILN'!B:K,10,FALSE))</f>
        <v>#N/A</v>
      </c>
      <c r="U11" s="50" t="e">
        <f>IFERROR(VLOOKUP(Tableau119[[#This Row],[Key(Compte ILN - shipper - POL - plant)]],'DATA ILN'!A:L,12,FALSE),VLOOKUP(Tableau119[[#This Row],[Key(Compte ILN - shipper - POL)]],'DATA ILN'!B:L,11,FALSE))</f>
        <v>#N/A</v>
      </c>
      <c r="V11" s="50" t="e">
        <f>Tableau119[[#This Row],[Day ILN Order]]+Tableau119[[#This Row],[Delivery time to ILN/Shipper]]-1</f>
        <v>#N/A</v>
      </c>
      <c r="W11" s="50" t="e">
        <f>IFERROR(VLOOKUP(Tableau119[[#This Row],[Key(Compte ILN - shipper - POL - plant)]],'DATA ILN'!A:N,14,FALSE),VLOOKUP(Tableau119[[#This Row],[Key(Compte ILN - shipper - POL)]],'DATA ILN'!B:N,13,FALSE))</f>
        <v>#N/A</v>
      </c>
      <c r="X11" s="53" t="e">
        <f>IFERROR(VLOOKUP(Tableau119[[#This Row],[Key(Compte ILN - shipper - POL - plant)]],'DATA ILN'!A:P,16,FALSE),VLOOKUP(Tableau119[[#This Row],[Key(Compte ILN - shipper - POL)]],'DATA ILN'!B:P,15,FALSE))</f>
        <v>#N/A</v>
      </c>
      <c r="Y11" s="284" t="s">
        <v>167</v>
      </c>
      <c r="Z11" s="437">
        <f>IFERROR(VLOOKUP(Tableau119[[#This Row],[Name Shipper]],Plant_AILN!L:M,2,FALSE),0)</f>
        <v>95112</v>
      </c>
      <c r="AA11" s="406">
        <v>5</v>
      </c>
      <c r="AB11" s="396" t="b">
        <f>_xlfn.XLOOKUP(Tableau119[[#This Row],[Key(ID-date)]],'DATA BTO'!S:S,'DATA BTO'!E:E,FALSE)</f>
        <v>0</v>
      </c>
      <c r="AC11" s="3" t="b">
        <f>_xlfn.XLOOKUP(Tableau119[[#This Row],[Key(ID-date)]],'DATA BTO'!S:S,'DATA BTO'!F:F,FALSE)</f>
        <v>0</v>
      </c>
      <c r="AD11" s="50" t="b">
        <f>_xlfn.XLOOKUP(Tableau119[[#This Row],[Key(ID-date)]],'DATA BTO'!S:S,'DATA BTO'!G:G,FALSE)</f>
        <v>0</v>
      </c>
      <c r="AE11" s="50" t="b">
        <f>_xlfn.XLOOKUP(Tableau119[[#This Row],[Key(ID-date)]],'DATA BTO'!S:S,'DATA BTO'!H:H,FALSE)</f>
        <v>0</v>
      </c>
      <c r="AF11" s="50" t="e">
        <f>IF(Tableau119[[#This Row],[First Day to POL]]&lt;=Tableau119[[#This Row],[Day Cut Off]],Tableau119[[#This Row],[Day ETD]],Tableau119[[#This Row],[Day ETD]]+7)</f>
        <v>#N/A</v>
      </c>
      <c r="AG11" s="50" t="b">
        <f>_xlfn.XLOOKUP(Tableau119[[#This Row],[Key(ID-date)]],'DATA BTO'!S:S,'DATA BTO'!I:I,FALSE)</f>
        <v>0</v>
      </c>
      <c r="AH11" s="3" t="b">
        <f>_xlfn.XLOOKUP(Tableau119[[#This Row],[Key(ID-date)]],'DATA BTO'!S:S,'DATA BTO'!J:J,FALSE)</f>
        <v>0</v>
      </c>
      <c r="AI11" s="3" t="b">
        <f>_xlfn.XLOOKUP(Tableau119[[#This Row],[Key(ID-date)]],'DATA BTO'!S:S,'DATA BTO'!K:K,FALSE)</f>
        <v>0</v>
      </c>
      <c r="AJ11" s="50" t="b">
        <f>_xlfn.XLOOKUP(Tableau119[[#This Row],[Key(ID-date)]],'DATA BTO'!S:S,'DATA BTO'!L:L,FALSE)</f>
        <v>0</v>
      </c>
      <c r="AK11" s="53" t="b">
        <f>_xlfn.XLOOKUP(Tableau119[[#This Row],[Key(ID-date)]],'DATA BTO'!S:S,'DATA BTO'!N:N,FALSE)</f>
        <v>0</v>
      </c>
      <c r="AL11" s="54" t="e">
        <f>VLOOKUP(Tableau119[[#This Row],[Key(POD -PFI- Usine)]],'DATA Consignee'!A:F,6,FALSE)</f>
        <v>#N/A</v>
      </c>
      <c r="AM11" s="127"/>
      <c r="AN11" s="438" t="str">
        <f>IF(Tableau119[[#This Row],[Name PFI/CDD]]="","-",VLOOKUP(Tableau119[[#This Row],[Name PFI/CDD]],Plant_AILN!I:J,2,FALSE))</f>
        <v>-</v>
      </c>
      <c r="AO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" s="2" t="e">
        <f>VLOOKUP(Tableau119[[#This Row],[Key(POD -PFI- Usine)]],'DATA Consignee'!A:J,10,FALSE)</f>
        <v>#N/A</v>
      </c>
      <c r="AR11" s="50" t="e">
        <f>VLOOKUP(Tableau119[[#This Row],[Key(POD -PFI- Usine)]],'DATA Consignee'!A:N,14,FALSE)</f>
        <v>#N/A</v>
      </c>
      <c r="AS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" s="50">
        <f>Tableau119[[#This Row],[Transit time]]+Tableau119[[#This Row],[Time for security]]+Tableau119[[#This Row],[Time for security2 buffer]]</f>
        <v>0</v>
      </c>
      <c r="AV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" s="433" t="e">
        <f>Tableau119[[#This Row],[Leadtime SI2C]]+Tableau119[[#This Row],[First Receipt Days]]-Tableau119[[#This Row],[Day Customer Order]]+1</f>
        <v>#N/A</v>
      </c>
      <c r="AX11" s="119" t="e">
        <f>IF(Tableau119[[#This Row],[Name ILN]]&lt;&gt;"SFK Freight Forwarder",Tableau119[[#This Row],[Cust. Leadtime]],Tableau119[[#This Row],[Leadtime SI2C]])</f>
        <v>#N/A</v>
      </c>
      <c r="AY11" s="51" t="b">
        <f>_xlfn.XLOOKUP(Tableau119[[#This Row],[Key(ID-date)]],'DATA BTO'!S:S,'DATA BTO'!P:P,FALSE)</f>
        <v>0</v>
      </c>
      <c r="AZ11" s="338">
        <v>45893</v>
      </c>
      <c r="BA11" s="50"/>
    </row>
    <row r="12" spans="2:53">
      <c r="B12" s="474" t="str">
        <f>_xlfn.CONCAT(Tableau119[[#This Row],[Name ILN]],"-",Tableau119[[#This Row],[Name Shipper]],"-",Tableau119[[#This Row],[Name Site]])</f>
        <v>ILN Bursa-ILN Bursa-SOMACA</v>
      </c>
      <c r="C12" s="67" t="str">
        <f>_xlfn.CONCAT(Tableau119[[#This Row],[Compte ILN]],"-",Tableau119[[#This Row],[Compte Shipper]],"-",Tableau119[[#This Row],[POL]],"-",Tableau119[[#This Row],[Compte Consignee]])</f>
        <v>95112-95112-FALSO-90038200</v>
      </c>
      <c r="D12" s="66" t="str">
        <f>_xlfn.CONCAT(Tableau119[[#This Row],[Compte ILN]],"-",Tableau119[[#This Row],[Compte Shipper]],"-",Tableau119[[#This Row],[POL]])</f>
        <v>95112-95112-FALSO</v>
      </c>
      <c r="E12" s="434" t="str">
        <f>_xlfn.CONCAT(Tableau119[[#This Row],[POL]],"-",Tableau119[[#This Row],[Carrier]],"-",Tableau119[[#This Row],[POD]])</f>
        <v>FALSO-FALSO-FALSO</v>
      </c>
      <c r="F12" s="66" t="str">
        <f>_xlfn.CONCAT(Tableau119[[#This Row],[ID]],"-","Actif")</f>
        <v>5-Actif</v>
      </c>
      <c r="G12" s="66" t="str">
        <f>_xlfn.CONCAT(Tableau119[[#This Row],[POD]],"-",Tableau119[[#This Row],[Code PFI]],"-",Tableau119[[#This Row],[Compte Consignee]])</f>
        <v>FALSO---90038200</v>
      </c>
      <c r="H1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BursaFALSOSOMACA</v>
      </c>
      <c r="I12" s="434" t="str">
        <f>_xlfn.CONCAT(Tableau119[[#This Row],[ID]],"-",Tableau119[[#This Row],[Expiration Date]])</f>
        <v>5-45788</v>
      </c>
      <c r="J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Bursa-ILN Bursa-5-FALSO-FALSO-FALSO--45788</v>
      </c>
      <c r="K12" s="435" t="str">
        <f ca="1">IF(COUNTIF(J:J,Tableau119[[#This Row],[Plant-ILN-shipper-POL-Carrier-POD-PFI]])=1,"Non","Oui")</f>
        <v>Non</v>
      </c>
      <c r="L12" s="128" t="str">
        <f>VLOOKUP(Tableau119[[#This Row],[Name Site]],Plant_AILN!A:D,4,FALSE)</f>
        <v>MOROCCO</v>
      </c>
      <c r="M12" s="285" t="s">
        <v>179</v>
      </c>
      <c r="N12" s="439">
        <f>VLOOKUP(Tableau119[[#This Row],[Name Site]],Plant_AILN!A:C,3,FALSE)</f>
        <v>90038200</v>
      </c>
      <c r="O12" s="55">
        <f>IF(Tableau119[[#This Row],[Name PFI/CDD]]="PFI VLL",2,VLOOKUP(Tableau119[[#This Row],[Compte Consignee]],Order!C:D,2,FALSE))</f>
        <v>7</v>
      </c>
      <c r="P12" s="116" t="s">
        <v>167</v>
      </c>
      <c r="Q12" s="365">
        <f>VLOOKUP(Tableau119[[#This Row],[Name ILN]],Plant_AILN!F:G,2,FALSE)</f>
        <v>95112</v>
      </c>
      <c r="R12" s="50">
        <f>VLOOKUP(Tableau119[[#This Row],[Compte ILN]],'DATA ILN'!D:I,6,FALSE)</f>
        <v>9</v>
      </c>
      <c r="S12" s="50" t="e">
        <f>IFERROR(VLOOKUP(Tableau119[[#This Row],[Key(Compte ILN - shipper - POL - plant)]],'DATA ILN'!A:J,10,FALSE),VLOOKUP(Tableau119[[#This Row],[Key(Compte ILN - shipper - POL)]],'DATA ILN'!B:J,9,FALSE))</f>
        <v>#N/A</v>
      </c>
      <c r="T12" s="50" t="e">
        <f>IFERROR(VLOOKUP(Tableau119[[#This Row],[Key(Compte ILN - shipper - POL - plant)]],'DATA ILN'!A:K,11,FALSE),VLOOKUP(Tableau119[[#This Row],[Key(Compte ILN - shipper - POL)]],'DATA ILN'!B:K,10,FALSE))</f>
        <v>#N/A</v>
      </c>
      <c r="U12" s="50" t="e">
        <f>IFERROR(VLOOKUP(Tableau119[[#This Row],[Key(Compte ILN - shipper - POL - plant)]],'DATA ILN'!A:L,12,FALSE),VLOOKUP(Tableau119[[#This Row],[Key(Compte ILN - shipper - POL)]],'DATA ILN'!B:L,11,FALSE))</f>
        <v>#N/A</v>
      </c>
      <c r="V12" s="50" t="e">
        <f>Tableau119[[#This Row],[Day ILN Order]]+Tableau119[[#This Row],[Delivery time to ILN/Shipper]]-1</f>
        <v>#N/A</v>
      </c>
      <c r="W12" s="50" t="e">
        <f>IFERROR(VLOOKUP(Tableau119[[#This Row],[Key(Compte ILN - shipper - POL - plant)]],'DATA ILN'!A:N,14,FALSE),VLOOKUP(Tableau119[[#This Row],[Key(Compte ILN - shipper - POL)]],'DATA ILN'!B:N,13,FALSE))</f>
        <v>#N/A</v>
      </c>
      <c r="X12" s="53" t="e">
        <f>IFERROR(VLOOKUP(Tableau119[[#This Row],[Key(Compte ILN - shipper - POL - plant)]],'DATA ILN'!A:P,16,FALSE),VLOOKUP(Tableau119[[#This Row],[Key(Compte ILN - shipper - POL)]],'DATA ILN'!B:P,15,FALSE))</f>
        <v>#N/A</v>
      </c>
      <c r="Y12" s="284" t="s">
        <v>167</v>
      </c>
      <c r="Z12" s="437">
        <f>IFERROR(VLOOKUP(Tableau119[[#This Row],[Name Shipper]],Plant_AILN!L:M,2,FALSE),0)</f>
        <v>95112</v>
      </c>
      <c r="AA12" s="406">
        <v>5</v>
      </c>
      <c r="AB12" s="396" t="b">
        <f>_xlfn.XLOOKUP(Tableau119[[#This Row],[Key(ID-date)]],'DATA BTO'!S:S,'DATA BTO'!E:E,FALSE)</f>
        <v>0</v>
      </c>
      <c r="AC12" s="3" t="b">
        <f>_xlfn.XLOOKUP(Tableau119[[#This Row],[Key(ID-date)]],'DATA BTO'!S:S,'DATA BTO'!F:F,FALSE)</f>
        <v>0</v>
      </c>
      <c r="AD12" s="50" t="b">
        <f>_xlfn.XLOOKUP(Tableau119[[#This Row],[Key(ID-date)]],'DATA BTO'!S:S,'DATA BTO'!G:G,FALSE)</f>
        <v>0</v>
      </c>
      <c r="AE12" s="50" t="b">
        <f>_xlfn.XLOOKUP(Tableau119[[#This Row],[Key(ID-date)]],'DATA BTO'!S:S,'DATA BTO'!H:H,FALSE)</f>
        <v>0</v>
      </c>
      <c r="AF12" s="50" t="e">
        <f>IF(Tableau119[[#This Row],[First Day to POL]]&lt;=Tableau119[[#This Row],[Day Cut Off]],Tableau119[[#This Row],[Day ETD]],Tableau119[[#This Row],[Day ETD]]+7)</f>
        <v>#N/A</v>
      </c>
      <c r="AG12" s="50" t="b">
        <f>_xlfn.XLOOKUP(Tableau119[[#This Row],[Key(ID-date)]],'DATA BTO'!S:S,'DATA BTO'!I:I,FALSE)</f>
        <v>0</v>
      </c>
      <c r="AH12" s="3" t="b">
        <f>_xlfn.XLOOKUP(Tableau119[[#This Row],[Key(ID-date)]],'DATA BTO'!S:S,'DATA BTO'!J:J,FALSE)</f>
        <v>0</v>
      </c>
      <c r="AI12" s="3" t="b">
        <f>_xlfn.XLOOKUP(Tableau119[[#This Row],[Key(ID-date)]],'DATA BTO'!S:S,'DATA BTO'!K:K,FALSE)</f>
        <v>0</v>
      </c>
      <c r="AJ12" s="50" t="b">
        <f>_xlfn.XLOOKUP(Tableau119[[#This Row],[Key(ID-date)]],'DATA BTO'!S:S,'DATA BTO'!L:L,FALSE)</f>
        <v>0</v>
      </c>
      <c r="AK12" s="53" t="b">
        <f>_xlfn.XLOOKUP(Tableau119[[#This Row],[Key(ID-date)]],'DATA BTO'!S:S,'DATA BTO'!N:N,FALSE)</f>
        <v>0</v>
      </c>
      <c r="AL12" s="54" t="e">
        <f>VLOOKUP(Tableau119[[#This Row],[Key(POD -PFI- Usine)]],'DATA Consignee'!A:F,6,FALSE)</f>
        <v>#N/A</v>
      </c>
      <c r="AM12" s="127"/>
      <c r="AN12" s="438" t="str">
        <f>IF(Tableau119[[#This Row],[Name PFI/CDD]]="","-",VLOOKUP(Tableau119[[#This Row],[Name PFI/CDD]],Plant_AILN!I:J,2,FALSE))</f>
        <v>-</v>
      </c>
      <c r="AO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" s="2" t="e">
        <f>VLOOKUP(Tableau119[[#This Row],[Key(POD -PFI- Usine)]],'DATA Consignee'!A:J,10,FALSE)</f>
        <v>#N/A</v>
      </c>
      <c r="AR12" s="50" t="e">
        <f>VLOOKUP(Tableau119[[#This Row],[Key(POD -PFI- Usine)]],'DATA Consignee'!A:N,14,FALSE)</f>
        <v>#N/A</v>
      </c>
      <c r="AS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" s="50">
        <f>Tableau119[[#This Row],[Transit time]]+Tableau119[[#This Row],[Time for security]]+Tableau119[[#This Row],[Time for security2 buffer]]</f>
        <v>0</v>
      </c>
      <c r="AV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" s="433" t="e">
        <f>Tableau119[[#This Row],[Leadtime SI2C]]+Tableau119[[#This Row],[First Receipt Days]]-Tableau119[[#This Row],[Day Customer Order]]+1</f>
        <v>#N/A</v>
      </c>
      <c r="AX12" s="119" t="e">
        <f>IF(Tableau119[[#This Row],[Name ILN]]&lt;&gt;"SFK Freight Forwarder",Tableau119[[#This Row],[Cust. Leadtime]],Tableau119[[#This Row],[Leadtime SI2C]])</f>
        <v>#N/A</v>
      </c>
      <c r="AY12" s="51" t="b">
        <f>_xlfn.XLOOKUP(Tableau119[[#This Row],[Key(ID-date)]],'DATA BTO'!S:S,'DATA BTO'!P:P,FALSE)</f>
        <v>0</v>
      </c>
      <c r="AZ12" s="338">
        <v>45788</v>
      </c>
      <c r="BA12" s="50"/>
    </row>
    <row r="13" spans="2:53">
      <c r="B13" s="474" t="str">
        <f>_xlfn.CONCAT(Tableau119[[#This Row],[Name ILN]],"-",Tableau119[[#This Row],[Name Shipper]],"-",Tableau119[[#This Row],[Name Site]])</f>
        <v>ILN Bursa-ILN Bursa-SOMACA</v>
      </c>
      <c r="C13" s="67" t="str">
        <f>_xlfn.CONCAT(Tableau119[[#This Row],[Compte ILN]],"-",Tableau119[[#This Row],[Compte Shipper]],"-",Tableau119[[#This Row],[POL]],"-",Tableau119[[#This Row],[Compte Consignee]])</f>
        <v>95112-95112-FALSO-90038200</v>
      </c>
      <c r="D13" s="66" t="str">
        <f>_xlfn.CONCAT(Tableau119[[#This Row],[Compte ILN]],"-",Tableau119[[#This Row],[Compte Shipper]],"-",Tableau119[[#This Row],[POL]])</f>
        <v>95112-95112-FALSO</v>
      </c>
      <c r="E13" s="434" t="str">
        <f>_xlfn.CONCAT(Tableau119[[#This Row],[POL]],"-",Tableau119[[#This Row],[Carrier]],"-",Tableau119[[#This Row],[POD]])</f>
        <v>FALSO-FALSO-FALSO</v>
      </c>
      <c r="F13" s="66" t="str">
        <f>_xlfn.CONCAT(Tableau119[[#This Row],[ID]],"-","Actif")</f>
        <v>5-Actif</v>
      </c>
      <c r="G13" s="66" t="str">
        <f>_xlfn.CONCAT(Tableau119[[#This Row],[POD]],"-",Tableau119[[#This Row],[Code PFI]],"-",Tableau119[[#This Row],[Compte Consignee]])</f>
        <v>FALSO---90038200</v>
      </c>
      <c r="H1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BursaFALSOSOMACA</v>
      </c>
      <c r="I13" s="434" t="str">
        <f>_xlfn.CONCAT(Tableau119[[#This Row],[ID]],"-",Tableau119[[#This Row],[Expiration Date]])</f>
        <v>5-45707</v>
      </c>
      <c r="J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Bursa-ILN Bursa-5-FALSO-FALSO-FALSO--45707</v>
      </c>
      <c r="K13" s="435" t="str">
        <f ca="1">IF(COUNTIF(J:J,Tableau119[[#This Row],[Plant-ILN-shipper-POL-Carrier-POD-PFI]])=1,"Non","Oui")</f>
        <v>Non</v>
      </c>
      <c r="L13" s="128" t="str">
        <f>VLOOKUP(Tableau119[[#This Row],[Name Site]],Plant_AILN!A:D,4,FALSE)</f>
        <v>MOROCCO</v>
      </c>
      <c r="M13" s="411" t="s">
        <v>179</v>
      </c>
      <c r="N13" s="439">
        <f>VLOOKUP(Tableau119[[#This Row],[Name Site]],Plant_AILN!A:C,3,FALSE)</f>
        <v>90038200</v>
      </c>
      <c r="O13" s="55">
        <f>IF(Tableau119[[#This Row],[Name PFI/CDD]]="PFI VLL",2,VLOOKUP(Tableau119[[#This Row],[Compte Consignee]],Order!C:D,2,FALSE))</f>
        <v>7</v>
      </c>
      <c r="P13" s="116" t="s">
        <v>167</v>
      </c>
      <c r="Q13" s="365">
        <f>VLOOKUP(Tableau119[[#This Row],[Name ILN]],Plant_AILN!F:G,2,FALSE)</f>
        <v>95112</v>
      </c>
      <c r="R13" s="50">
        <f>VLOOKUP(Tableau119[[#This Row],[Compte ILN]],'DATA ILN'!D:I,6,FALSE)</f>
        <v>9</v>
      </c>
      <c r="S13" s="50" t="e">
        <f>IFERROR(VLOOKUP(Tableau119[[#This Row],[Key(Compte ILN - shipper - POL - plant)]],'DATA ILN'!A:J,10,FALSE),VLOOKUP(Tableau119[[#This Row],[Key(Compte ILN - shipper - POL)]],'DATA ILN'!B:J,9,FALSE))</f>
        <v>#N/A</v>
      </c>
      <c r="T13" s="50" t="e">
        <f>IFERROR(VLOOKUP(Tableau119[[#This Row],[Key(Compte ILN - shipper - POL - plant)]],'DATA ILN'!A:K,11,FALSE),VLOOKUP(Tableau119[[#This Row],[Key(Compte ILN - shipper - POL)]],'DATA ILN'!B:K,10,FALSE))</f>
        <v>#N/A</v>
      </c>
      <c r="U13" s="50" t="e">
        <f>IFERROR(VLOOKUP(Tableau119[[#This Row],[Key(Compte ILN - shipper - POL - plant)]],'DATA ILN'!A:L,12,FALSE),VLOOKUP(Tableau119[[#This Row],[Key(Compte ILN - shipper - POL)]],'DATA ILN'!B:L,11,FALSE))</f>
        <v>#N/A</v>
      </c>
      <c r="V13" s="50" t="e">
        <f>Tableau119[[#This Row],[Day ILN Order]]+Tableau119[[#This Row],[Delivery time to ILN/Shipper]]-1</f>
        <v>#N/A</v>
      </c>
      <c r="W13" s="50" t="e">
        <f>IFERROR(VLOOKUP(Tableau119[[#This Row],[Key(Compte ILN - shipper - POL - plant)]],'DATA ILN'!A:N,14,FALSE),VLOOKUP(Tableau119[[#This Row],[Key(Compte ILN - shipper - POL)]],'DATA ILN'!B:N,13,FALSE))</f>
        <v>#N/A</v>
      </c>
      <c r="X13" s="53" t="e">
        <f>IFERROR(VLOOKUP(Tableau119[[#This Row],[Key(Compte ILN - shipper - POL - plant)]],'DATA ILN'!A:P,16,FALSE),VLOOKUP(Tableau119[[#This Row],[Key(Compte ILN - shipper - POL)]],'DATA ILN'!B:P,15,FALSE))</f>
        <v>#N/A</v>
      </c>
      <c r="Y13" s="284" t="s">
        <v>167</v>
      </c>
      <c r="Z13" s="437">
        <f>IFERROR(VLOOKUP(Tableau119[[#This Row],[Name Shipper]],Plant_AILN!L:M,2,FALSE),0)</f>
        <v>95112</v>
      </c>
      <c r="AA13" s="406">
        <v>5</v>
      </c>
      <c r="AB13" s="396" t="b">
        <f>_xlfn.XLOOKUP(Tableau119[[#This Row],[Key(ID-date)]],'DATA BTO'!S:S,'DATA BTO'!E:E,FALSE)</f>
        <v>0</v>
      </c>
      <c r="AC13" s="3" t="b">
        <f>_xlfn.XLOOKUP(Tableau119[[#This Row],[Key(ID-date)]],'DATA BTO'!S:S,'DATA BTO'!F:F,FALSE)</f>
        <v>0</v>
      </c>
      <c r="AD13" s="50" t="b">
        <f>_xlfn.XLOOKUP(Tableau119[[#This Row],[Key(ID-date)]],'DATA BTO'!S:S,'DATA BTO'!G:G,FALSE)</f>
        <v>0</v>
      </c>
      <c r="AE13" s="50" t="b">
        <f>_xlfn.XLOOKUP(Tableau119[[#This Row],[Key(ID-date)]],'DATA BTO'!S:S,'DATA BTO'!H:H,FALSE)</f>
        <v>0</v>
      </c>
      <c r="AF13" s="50" t="e">
        <f>IF(Tableau119[[#This Row],[First Day to POL]]&lt;=Tableau119[[#This Row],[Day Cut Off]],Tableau119[[#This Row],[Day ETD]],Tableau119[[#This Row],[Day ETD]]+7)</f>
        <v>#N/A</v>
      </c>
      <c r="AG13" s="50" t="b">
        <f>_xlfn.XLOOKUP(Tableau119[[#This Row],[Key(ID-date)]],'DATA BTO'!S:S,'DATA BTO'!I:I,FALSE)</f>
        <v>0</v>
      </c>
      <c r="AH13" s="3" t="b">
        <f>_xlfn.XLOOKUP(Tableau119[[#This Row],[Key(ID-date)]],'DATA BTO'!S:S,'DATA BTO'!J:J,FALSE)</f>
        <v>0</v>
      </c>
      <c r="AI13" s="3" t="b">
        <f>_xlfn.XLOOKUP(Tableau119[[#This Row],[Key(ID-date)]],'DATA BTO'!S:S,'DATA BTO'!K:K,FALSE)</f>
        <v>0</v>
      </c>
      <c r="AJ13" s="50" t="b">
        <f>_xlfn.XLOOKUP(Tableau119[[#This Row],[Key(ID-date)]],'DATA BTO'!S:S,'DATA BTO'!L:L,FALSE)</f>
        <v>0</v>
      </c>
      <c r="AK13" s="53" t="b">
        <f>_xlfn.XLOOKUP(Tableau119[[#This Row],[Key(ID-date)]],'DATA BTO'!S:S,'DATA BTO'!N:N,FALSE)</f>
        <v>0</v>
      </c>
      <c r="AL13" s="54" t="e">
        <f>VLOOKUP(Tableau119[[#This Row],[Key(POD -PFI- Usine)]],'DATA Consignee'!A:F,6,FALSE)</f>
        <v>#N/A</v>
      </c>
      <c r="AM13" s="127"/>
      <c r="AN13" s="438" t="str">
        <f>IF(Tableau119[[#This Row],[Name PFI/CDD]]="","-",VLOOKUP(Tableau119[[#This Row],[Name PFI/CDD]],Plant_AILN!I:J,2,FALSE))</f>
        <v>-</v>
      </c>
      <c r="AO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" s="2" t="e">
        <f>VLOOKUP(Tableau119[[#This Row],[Key(POD -PFI- Usine)]],'DATA Consignee'!A:J,10,FALSE)</f>
        <v>#N/A</v>
      </c>
      <c r="AR13" s="50" t="e">
        <f>VLOOKUP(Tableau119[[#This Row],[Key(POD -PFI- Usine)]],'DATA Consignee'!A:N,14,FALSE)</f>
        <v>#N/A</v>
      </c>
      <c r="AS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" s="50">
        <f>Tableau119[[#This Row],[Transit time]]+Tableau119[[#This Row],[Time for security]]+Tableau119[[#This Row],[Time for security2 buffer]]</f>
        <v>0</v>
      </c>
      <c r="AV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" s="433" t="e">
        <f>Tableau119[[#This Row],[Leadtime SI2C]]+Tableau119[[#This Row],[First Receipt Days]]-Tableau119[[#This Row],[Day Customer Order]]+1</f>
        <v>#N/A</v>
      </c>
      <c r="AX13" s="119" t="e">
        <f>IF(Tableau119[[#This Row],[Name ILN]]&lt;&gt;"SFK Freight Forwarder",Tableau119[[#This Row],[Cust. Leadtime]],Tableau119[[#This Row],[Leadtime SI2C]])</f>
        <v>#N/A</v>
      </c>
      <c r="AY13" s="51" t="b">
        <f>_xlfn.XLOOKUP(Tableau119[[#This Row],[Key(ID-date)]],'DATA BTO'!S:S,'DATA BTO'!P:P,FALSE)</f>
        <v>0</v>
      </c>
      <c r="AZ13" s="338">
        <v>45707</v>
      </c>
      <c r="BA13" s="50"/>
    </row>
    <row r="14" spans="2:53">
      <c r="B14" s="67" t="str">
        <f>_xlfn.CONCAT(Tableau119[[#This Row],[Name ILN]],"-",Tableau119[[#This Row],[Name Shipper]],"-",Tableau119[[#This Row],[Name Site]])</f>
        <v>ILN Bursa-ILN Bursa-TANGER</v>
      </c>
      <c r="C14" s="67" t="str">
        <f>_xlfn.CONCAT(Tableau119[[#This Row],[Compte ILN]],"-",Tableau119[[#This Row],[Compte Shipper]],"-",Tableau119[[#This Row],[POL]],"-",Tableau119[[#This Row],[Compte Consignee]])</f>
        <v>95112-95112-FALSO-900383</v>
      </c>
      <c r="D14" s="66" t="str">
        <f>_xlfn.CONCAT(Tableau119[[#This Row],[Compte ILN]],"-",Tableau119[[#This Row],[Compte Shipper]],"-",Tableau119[[#This Row],[POL]])</f>
        <v>95112-95112-FALSO</v>
      </c>
      <c r="E14" s="434" t="str">
        <f>_xlfn.CONCAT(Tableau119[[#This Row],[POL]],"-",Tableau119[[#This Row],[Carrier]],"-",Tableau119[[#This Row],[POD]])</f>
        <v>FALSO-FALSO-FALSO</v>
      </c>
      <c r="F14" s="66" t="str">
        <f>_xlfn.CONCAT(Tableau119[[#This Row],[ID]],"-","Actif")</f>
        <v>6-Actif</v>
      </c>
      <c r="G14" s="66" t="str">
        <f>_xlfn.CONCAT(Tableau119[[#This Row],[POD]],"-",Tableau119[[#This Row],[Code PFI]],"-",Tableau119[[#This Row],[Compte Consignee]])</f>
        <v>FALSO---900383</v>
      </c>
      <c r="H1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BursaFALSOTANGER</v>
      </c>
      <c r="I14" s="434" t="str">
        <f>_xlfn.CONCAT(Tableau119[[#This Row],[ID]],"-",Tableau119[[#This Row],[Expiration Date]])</f>
        <v>6-46142</v>
      </c>
      <c r="J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Bursa-ILN Bursa-6-FALSO-FALSO-FALSO--46142</v>
      </c>
      <c r="K14" s="435" t="str">
        <f ca="1">IF(COUNTIF(J:J,Tableau119[[#This Row],[Plant-ILN-shipper-POL-Carrier-POD-PFI]])=1,"Non","Oui")</f>
        <v>Non</v>
      </c>
      <c r="L14" s="436" t="str">
        <f>VLOOKUP(Tableau119[[#This Row],[Name Site]],Plant_AILN!A:D,4,FALSE)</f>
        <v>MOROCCO</v>
      </c>
      <c r="M14" s="285" t="s">
        <v>180</v>
      </c>
      <c r="N14" s="439">
        <f>VLOOKUP(Tableau119[[#This Row],[Name Site]],Plant_AILN!A:C,3,FALSE)</f>
        <v>900383</v>
      </c>
      <c r="O14" s="55">
        <f>IF(Tableau119[[#This Row],[Name PFI/CDD]]="PFI VLL",2,VLOOKUP(Tableau119[[#This Row],[Compte Consignee]],Order!C:D,2,FALSE))</f>
        <v>7</v>
      </c>
      <c r="P14" s="116" t="s">
        <v>167</v>
      </c>
      <c r="Q14" s="365">
        <f>VLOOKUP(Tableau119[[#This Row],[Name ILN]],Plant_AILN!F:G,2,FALSE)</f>
        <v>95112</v>
      </c>
      <c r="R14" s="50">
        <f>VLOOKUP(Tableau119[[#This Row],[Compte ILN]],'DATA ILN'!D:I,6,FALSE)</f>
        <v>9</v>
      </c>
      <c r="S14" s="50" t="e">
        <f>IFERROR(VLOOKUP(Tableau119[[#This Row],[Key(Compte ILN - shipper - POL - plant)]],'DATA ILN'!A:J,10,FALSE),VLOOKUP(Tableau119[[#This Row],[Key(Compte ILN - shipper - POL)]],'DATA ILN'!B:J,9,FALSE))</f>
        <v>#N/A</v>
      </c>
      <c r="T14" s="50" t="e">
        <f>IFERROR(VLOOKUP(Tableau119[[#This Row],[Key(Compte ILN - shipper - POL - plant)]],'DATA ILN'!A:K,11,FALSE),VLOOKUP(Tableau119[[#This Row],[Key(Compte ILN - shipper - POL)]],'DATA ILN'!B:K,10,FALSE))</f>
        <v>#N/A</v>
      </c>
      <c r="U14" s="50" t="e">
        <f>IFERROR(VLOOKUP(Tableau119[[#This Row],[Key(Compte ILN - shipper - POL - plant)]],'DATA ILN'!A:L,12,FALSE),VLOOKUP(Tableau119[[#This Row],[Key(Compte ILN - shipper - POL)]],'DATA ILN'!B:L,11,FALSE))</f>
        <v>#N/A</v>
      </c>
      <c r="V14" s="50" t="e">
        <f>Tableau119[[#This Row],[Day ILN Order]]+Tableau119[[#This Row],[Delivery time to ILN/Shipper]]-1</f>
        <v>#N/A</v>
      </c>
      <c r="W14" s="50" t="e">
        <f>IFERROR(VLOOKUP(Tableau119[[#This Row],[Key(Compte ILN - shipper - POL - plant)]],'DATA ILN'!A:N,14,FALSE),VLOOKUP(Tableau119[[#This Row],[Key(Compte ILN - shipper - POL)]],'DATA ILN'!B:N,13,FALSE))</f>
        <v>#N/A</v>
      </c>
      <c r="X14" s="53" t="e">
        <f>IFERROR(VLOOKUP(Tableau119[[#This Row],[Key(Compte ILN - shipper - POL - plant)]],'DATA ILN'!A:P,16,FALSE),VLOOKUP(Tableau119[[#This Row],[Key(Compte ILN - shipper - POL)]],'DATA ILN'!B:P,15,FALSE))</f>
        <v>#N/A</v>
      </c>
      <c r="Y14" s="116" t="s">
        <v>167</v>
      </c>
      <c r="Z14" s="437">
        <f>IFERROR(VLOOKUP(Tableau119[[#This Row],[Name Shipper]],Plant_AILN!L:M,2,FALSE),0)</f>
        <v>95112</v>
      </c>
      <c r="AA14" s="406">
        <v>6</v>
      </c>
      <c r="AB14" s="396" t="b">
        <f>_xlfn.XLOOKUP(Tableau119[[#This Row],[Key(ID-date)]],'DATA BTO'!S:S,'DATA BTO'!E:E,FALSE)</f>
        <v>0</v>
      </c>
      <c r="AC14" s="3" t="b">
        <f>_xlfn.XLOOKUP(Tableau119[[#This Row],[Key(ID-date)]],'DATA BTO'!S:S,'DATA BTO'!F:F,FALSE)</f>
        <v>0</v>
      </c>
      <c r="AD14" s="50" t="b">
        <f>_xlfn.XLOOKUP(Tableau119[[#This Row],[Key(ID-date)]],'DATA BTO'!S:S,'DATA BTO'!G:G,FALSE)</f>
        <v>0</v>
      </c>
      <c r="AE14" s="50" t="b">
        <f>_xlfn.XLOOKUP(Tableau119[[#This Row],[Key(ID-date)]],'DATA BTO'!S:S,'DATA BTO'!H:H,FALSE)</f>
        <v>0</v>
      </c>
      <c r="AF14" s="50" t="e">
        <f>IF(Tableau119[[#This Row],[First Day to POL]]&lt;=Tableau119[[#This Row],[Day Cut Off]],Tableau119[[#This Row],[Day ETD]],Tableau119[[#This Row],[Day ETD]]+7)</f>
        <v>#N/A</v>
      </c>
      <c r="AG14" s="50" t="b">
        <f>_xlfn.XLOOKUP(Tableau119[[#This Row],[Key(ID-date)]],'DATA BTO'!S:S,'DATA BTO'!I:I,FALSE)</f>
        <v>0</v>
      </c>
      <c r="AH14" s="3" t="b">
        <f>_xlfn.XLOOKUP(Tableau119[[#This Row],[Key(ID-date)]],'DATA BTO'!S:S,'DATA BTO'!J:J,FALSE)</f>
        <v>0</v>
      </c>
      <c r="AI14" s="3" t="b">
        <f>_xlfn.XLOOKUP(Tableau119[[#This Row],[Key(ID-date)]],'DATA BTO'!S:S,'DATA BTO'!K:K,FALSE)</f>
        <v>0</v>
      </c>
      <c r="AJ14" s="50" t="b">
        <f>_xlfn.XLOOKUP(Tableau119[[#This Row],[Key(ID-date)]],'DATA BTO'!S:S,'DATA BTO'!L:L,FALSE)</f>
        <v>0</v>
      </c>
      <c r="AK14" s="53" t="b">
        <f>_xlfn.XLOOKUP(Tableau119[[#This Row],[Key(ID-date)]],'DATA BTO'!S:S,'DATA BTO'!N:N,FALSE)</f>
        <v>0</v>
      </c>
      <c r="AL14" s="54" t="e">
        <f>VLOOKUP(Tableau119[[#This Row],[Key(POD -PFI- Usine)]],'DATA Consignee'!A:F,6,FALSE)</f>
        <v>#N/A</v>
      </c>
      <c r="AM14" s="127"/>
      <c r="AN14" s="438" t="str">
        <f>IF(Tableau119[[#This Row],[Name PFI/CDD]]="","-",VLOOKUP(Tableau119[[#This Row],[Name PFI/CDD]],Plant_AILN!I:J,2,FALSE))</f>
        <v>-</v>
      </c>
      <c r="AO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" s="2" t="e">
        <f>VLOOKUP(Tableau119[[#This Row],[Key(POD -PFI- Usine)]],'DATA Consignee'!A:J,10,FALSE)</f>
        <v>#N/A</v>
      </c>
      <c r="AR14" s="50" t="e">
        <f>VLOOKUP(Tableau119[[#This Row],[Key(POD -PFI- Usine)]],'DATA Consignee'!A:N,14,FALSE)</f>
        <v>#N/A</v>
      </c>
      <c r="AS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" s="50">
        <f>Tableau119[[#This Row],[Transit time]]+Tableau119[[#This Row],[Time for security]]+Tableau119[[#This Row],[Time for security2 buffer]]</f>
        <v>0</v>
      </c>
      <c r="AV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" s="433" t="e">
        <f>Tableau119[[#This Row],[Leadtime SI2C]]+Tableau119[[#This Row],[First Receipt Days]]-Tableau119[[#This Row],[Day Customer Order]]+1</f>
        <v>#N/A</v>
      </c>
      <c r="AX14" s="119" t="e">
        <f>IF(Tableau119[[#This Row],[Name ILN]]&lt;&gt;"SFK Freight Forwarder",Tableau119[[#This Row],[Cust. Leadtime]],Tableau119[[#This Row],[Leadtime SI2C]])</f>
        <v>#N/A</v>
      </c>
      <c r="AY14" s="51" t="b">
        <f>_xlfn.XLOOKUP(Tableau119[[#This Row],[Key(ID-date)]],'DATA BTO'!S:S,'DATA BTO'!P:P,FALSE)</f>
        <v>0</v>
      </c>
      <c r="AZ14" s="338">
        <v>46142</v>
      </c>
      <c r="BA14" s="50"/>
    </row>
    <row r="15" spans="2:53">
      <c r="B15" s="474" t="str">
        <f>_xlfn.CONCAT(Tableau119[[#This Row],[Name ILN]],"-",Tableau119[[#This Row],[Name Shipper]],"-",Tableau119[[#This Row],[Name Site]])</f>
        <v>ILN Bursa-ILN Bursa-TANGER</v>
      </c>
      <c r="C15" s="67" t="str">
        <f>_xlfn.CONCAT(Tableau119[[#This Row],[Compte ILN]],"-",Tableau119[[#This Row],[Compte Shipper]],"-",Tableau119[[#This Row],[POL]],"-",Tableau119[[#This Row],[Compte Consignee]])</f>
        <v>95112-95112-FALSO-900383</v>
      </c>
      <c r="D15" s="66" t="str">
        <f>_xlfn.CONCAT(Tableau119[[#This Row],[Compte ILN]],"-",Tableau119[[#This Row],[Compte Shipper]],"-",Tableau119[[#This Row],[POL]])</f>
        <v>95112-95112-FALSO</v>
      </c>
      <c r="E15" s="434" t="str">
        <f>_xlfn.CONCAT(Tableau119[[#This Row],[POL]],"-",Tableau119[[#This Row],[Carrier]],"-",Tableau119[[#This Row],[POD]])</f>
        <v>FALSO-FALSO-FALSO</v>
      </c>
      <c r="F15" s="66" t="str">
        <f>_xlfn.CONCAT(Tableau119[[#This Row],[ID]],"-","Actif")</f>
        <v>6-Actif</v>
      </c>
      <c r="G15" s="66" t="str">
        <f>_xlfn.CONCAT(Tableau119[[#This Row],[POD]],"-",Tableau119[[#This Row],[Code PFI]],"-",Tableau119[[#This Row],[Compte Consignee]])</f>
        <v>FALSO---900383</v>
      </c>
      <c r="H1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BursaFALSOTANGER</v>
      </c>
      <c r="I15" s="434" t="str">
        <f>_xlfn.CONCAT(Tableau119[[#This Row],[ID]],"-",Tableau119[[#This Row],[Expiration Date]])</f>
        <v>6-45893</v>
      </c>
      <c r="J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Bursa-ILN Bursa-6-FALSO-FALSO-FALSO--45893</v>
      </c>
      <c r="K15" s="435" t="str">
        <f ca="1">IF(COUNTIF(J:J,Tableau119[[#This Row],[Plant-ILN-shipper-POL-Carrier-POD-PFI]])=1,"Non","Oui")</f>
        <v>Non</v>
      </c>
      <c r="L15" s="128" t="str">
        <f>VLOOKUP(Tableau119[[#This Row],[Name Site]],Plant_AILN!A:D,4,FALSE)</f>
        <v>MOROCCO</v>
      </c>
      <c r="M15" s="10" t="s">
        <v>180</v>
      </c>
      <c r="N15" s="439">
        <f>VLOOKUP(Tableau119[[#This Row],[Name Site]],Plant_AILN!A:C,3,FALSE)</f>
        <v>900383</v>
      </c>
      <c r="O15" s="55">
        <f>IF(Tableau119[[#This Row],[Name PFI/CDD]]="PFI VLL",2,VLOOKUP(Tableau119[[#This Row],[Compte Consignee]],Order!C:D,2,FALSE))</f>
        <v>7</v>
      </c>
      <c r="P15" s="116" t="s">
        <v>167</v>
      </c>
      <c r="Q15" s="365">
        <f>VLOOKUP(Tableau119[[#This Row],[Name ILN]],Plant_AILN!F:G,2,FALSE)</f>
        <v>95112</v>
      </c>
      <c r="R15" s="50">
        <f>VLOOKUP(Tableau119[[#This Row],[Compte ILN]],'DATA ILN'!D:I,6,FALSE)</f>
        <v>9</v>
      </c>
      <c r="S15" s="50" t="e">
        <f>IFERROR(VLOOKUP(Tableau119[[#This Row],[Key(Compte ILN - shipper - POL - plant)]],'DATA ILN'!A:J,10,FALSE),VLOOKUP(Tableau119[[#This Row],[Key(Compte ILN - shipper - POL)]],'DATA ILN'!B:J,9,FALSE))</f>
        <v>#N/A</v>
      </c>
      <c r="T15" s="50" t="e">
        <f>IFERROR(VLOOKUP(Tableau119[[#This Row],[Key(Compte ILN - shipper - POL - plant)]],'DATA ILN'!A:K,11,FALSE),VLOOKUP(Tableau119[[#This Row],[Key(Compte ILN - shipper - POL)]],'DATA ILN'!B:K,10,FALSE))</f>
        <v>#N/A</v>
      </c>
      <c r="U15" s="50" t="e">
        <f>IFERROR(VLOOKUP(Tableau119[[#This Row],[Key(Compte ILN - shipper - POL - plant)]],'DATA ILN'!A:L,12,FALSE),VLOOKUP(Tableau119[[#This Row],[Key(Compte ILN - shipper - POL)]],'DATA ILN'!B:L,11,FALSE))</f>
        <v>#N/A</v>
      </c>
      <c r="V15" s="50" t="e">
        <f>Tableau119[[#This Row],[Day ILN Order]]+Tableau119[[#This Row],[Delivery time to ILN/Shipper]]-1</f>
        <v>#N/A</v>
      </c>
      <c r="W15" s="50" t="e">
        <f>IFERROR(VLOOKUP(Tableau119[[#This Row],[Key(Compte ILN - shipper - POL - plant)]],'DATA ILN'!A:N,14,FALSE),VLOOKUP(Tableau119[[#This Row],[Key(Compte ILN - shipper - POL)]],'DATA ILN'!B:N,13,FALSE))</f>
        <v>#N/A</v>
      </c>
      <c r="X15" s="53" t="e">
        <f>IFERROR(VLOOKUP(Tableau119[[#This Row],[Key(Compte ILN - shipper - POL - plant)]],'DATA ILN'!A:P,16,FALSE),VLOOKUP(Tableau119[[#This Row],[Key(Compte ILN - shipper - POL)]],'DATA ILN'!B:P,15,FALSE))</f>
        <v>#N/A</v>
      </c>
      <c r="Y15" s="116" t="s">
        <v>167</v>
      </c>
      <c r="Z15" s="437">
        <f>IFERROR(VLOOKUP(Tableau119[[#This Row],[Name Shipper]],Plant_AILN!L:M,2,FALSE),0)</f>
        <v>95112</v>
      </c>
      <c r="AA15" s="406">
        <v>6</v>
      </c>
      <c r="AB15" s="396" t="b">
        <f>_xlfn.XLOOKUP(Tableau119[[#This Row],[Key(ID-date)]],'DATA BTO'!S:S,'DATA BTO'!E:E,FALSE)</f>
        <v>0</v>
      </c>
      <c r="AC15" s="3" t="b">
        <f>_xlfn.XLOOKUP(Tableau119[[#This Row],[Key(ID-date)]],'DATA BTO'!S:S,'DATA BTO'!F:F,FALSE)</f>
        <v>0</v>
      </c>
      <c r="AD15" s="50" t="b">
        <f>_xlfn.XLOOKUP(Tableau119[[#This Row],[Key(ID-date)]],'DATA BTO'!S:S,'DATA BTO'!G:G,FALSE)</f>
        <v>0</v>
      </c>
      <c r="AE15" s="50" t="b">
        <f>_xlfn.XLOOKUP(Tableau119[[#This Row],[Key(ID-date)]],'DATA BTO'!S:S,'DATA BTO'!H:H,FALSE)</f>
        <v>0</v>
      </c>
      <c r="AF15" s="50" t="e">
        <f>IF(Tableau119[[#This Row],[First Day to POL]]&lt;=Tableau119[[#This Row],[Day Cut Off]],Tableau119[[#This Row],[Day ETD]],Tableau119[[#This Row],[Day ETD]]+7)</f>
        <v>#N/A</v>
      </c>
      <c r="AG15" s="50" t="b">
        <f>_xlfn.XLOOKUP(Tableau119[[#This Row],[Key(ID-date)]],'DATA BTO'!S:S,'DATA BTO'!I:I,FALSE)</f>
        <v>0</v>
      </c>
      <c r="AH15" s="3" t="b">
        <f>_xlfn.XLOOKUP(Tableau119[[#This Row],[Key(ID-date)]],'DATA BTO'!S:S,'DATA BTO'!J:J,FALSE)</f>
        <v>0</v>
      </c>
      <c r="AI15" s="3" t="b">
        <f>_xlfn.XLOOKUP(Tableau119[[#This Row],[Key(ID-date)]],'DATA BTO'!S:S,'DATA BTO'!K:K,FALSE)</f>
        <v>0</v>
      </c>
      <c r="AJ15" s="50" t="b">
        <f>_xlfn.XLOOKUP(Tableau119[[#This Row],[Key(ID-date)]],'DATA BTO'!S:S,'DATA BTO'!L:L,FALSE)</f>
        <v>0</v>
      </c>
      <c r="AK15" s="53" t="b">
        <f>_xlfn.XLOOKUP(Tableau119[[#This Row],[Key(ID-date)]],'DATA BTO'!S:S,'DATA BTO'!N:N,FALSE)</f>
        <v>0</v>
      </c>
      <c r="AL15" s="54" t="e">
        <f>VLOOKUP(Tableau119[[#This Row],[Key(POD -PFI- Usine)]],'DATA Consignee'!A:F,6,FALSE)</f>
        <v>#N/A</v>
      </c>
      <c r="AM15" s="127"/>
      <c r="AN15" s="438" t="str">
        <f>IF(Tableau119[[#This Row],[Name PFI/CDD]]="","-",VLOOKUP(Tableau119[[#This Row],[Name PFI/CDD]],Plant_AILN!I:J,2,FALSE))</f>
        <v>-</v>
      </c>
      <c r="AO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" s="2" t="e">
        <f>VLOOKUP(Tableau119[[#This Row],[Key(POD -PFI- Usine)]],'DATA Consignee'!A:J,10,FALSE)</f>
        <v>#N/A</v>
      </c>
      <c r="AR15" s="50" t="e">
        <f>VLOOKUP(Tableau119[[#This Row],[Key(POD -PFI- Usine)]],'DATA Consignee'!A:N,14,FALSE)</f>
        <v>#N/A</v>
      </c>
      <c r="AS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" s="50">
        <f>Tableau119[[#This Row],[Transit time]]+Tableau119[[#This Row],[Time for security]]+Tableau119[[#This Row],[Time for security2 buffer]]</f>
        <v>0</v>
      </c>
      <c r="AV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" s="433" t="e">
        <f>Tableau119[[#This Row],[Leadtime SI2C]]+Tableau119[[#This Row],[First Receipt Days]]-Tableau119[[#This Row],[Day Customer Order]]+1</f>
        <v>#N/A</v>
      </c>
      <c r="AX15" s="119" t="e">
        <f>IF(Tableau119[[#This Row],[Name ILN]]&lt;&gt;"SFK Freight Forwarder",Tableau119[[#This Row],[Cust. Leadtime]],Tableau119[[#This Row],[Leadtime SI2C]])</f>
        <v>#N/A</v>
      </c>
      <c r="AY15" s="51" t="b">
        <f>_xlfn.XLOOKUP(Tableau119[[#This Row],[Key(ID-date)]],'DATA BTO'!S:S,'DATA BTO'!P:P,FALSE)</f>
        <v>0</v>
      </c>
      <c r="AZ15" s="338">
        <v>45893</v>
      </c>
      <c r="BA15" s="50"/>
    </row>
    <row r="16" spans="2:53">
      <c r="B16" s="474" t="str">
        <f>_xlfn.CONCAT(Tableau119[[#This Row],[Name ILN]],"-",Tableau119[[#This Row],[Name Shipper]],"-",Tableau119[[#This Row],[Name Site]])</f>
        <v>ILN Bursa-ILN Bursa-TANGER</v>
      </c>
      <c r="C16" s="67" t="str">
        <f>_xlfn.CONCAT(Tableau119[[#This Row],[Compte ILN]],"-",Tableau119[[#This Row],[Compte Shipper]],"-",Tableau119[[#This Row],[POL]],"-",Tableau119[[#This Row],[Compte Consignee]])</f>
        <v>95112-95112-FALSO-900383</v>
      </c>
      <c r="D16" s="66" t="str">
        <f>_xlfn.CONCAT(Tableau119[[#This Row],[Compte ILN]],"-",Tableau119[[#This Row],[Compte Shipper]],"-",Tableau119[[#This Row],[POL]])</f>
        <v>95112-95112-FALSO</v>
      </c>
      <c r="E16" s="434" t="str">
        <f>_xlfn.CONCAT(Tableau119[[#This Row],[POL]],"-",Tableau119[[#This Row],[Carrier]],"-",Tableau119[[#This Row],[POD]])</f>
        <v>FALSO-FALSO-FALSO</v>
      </c>
      <c r="F16" s="66" t="str">
        <f>_xlfn.CONCAT(Tableau119[[#This Row],[ID]],"-","Actif")</f>
        <v>6-Actif</v>
      </c>
      <c r="G16" s="66" t="str">
        <f>_xlfn.CONCAT(Tableau119[[#This Row],[POD]],"-",Tableau119[[#This Row],[Code PFI]],"-",Tableau119[[#This Row],[Compte Consignee]])</f>
        <v>FALSO---900383</v>
      </c>
      <c r="H1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BursaFALSOTANGER</v>
      </c>
      <c r="I16" s="434" t="str">
        <f>_xlfn.CONCAT(Tableau119[[#This Row],[ID]],"-",Tableau119[[#This Row],[Expiration Date]])</f>
        <v>6-45788</v>
      </c>
      <c r="J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Bursa-ILN Bursa-6-FALSO-FALSO-FALSO--45788</v>
      </c>
      <c r="K16" s="435" t="str">
        <f ca="1">IF(COUNTIF(J:J,Tableau119[[#This Row],[Plant-ILN-shipper-POL-Carrier-POD-PFI]])=1,"Non","Oui")</f>
        <v>Non</v>
      </c>
      <c r="L16" s="128" t="str">
        <f>VLOOKUP(Tableau119[[#This Row],[Name Site]],Plant_AILN!A:D,4,FALSE)</f>
        <v>MOROCCO</v>
      </c>
      <c r="M16" s="10" t="s">
        <v>180</v>
      </c>
      <c r="N16" s="439">
        <f>VLOOKUP(Tableau119[[#This Row],[Name Site]],Plant_AILN!A:C,3,FALSE)</f>
        <v>900383</v>
      </c>
      <c r="O16" s="55">
        <f>IF(Tableau119[[#This Row],[Name PFI/CDD]]="PFI VLL",2,VLOOKUP(Tableau119[[#This Row],[Compte Consignee]],Order!C:D,2,FALSE))</f>
        <v>7</v>
      </c>
      <c r="P16" s="116" t="s">
        <v>167</v>
      </c>
      <c r="Q16" s="365">
        <f>VLOOKUP(Tableau119[[#This Row],[Name ILN]],Plant_AILN!F:G,2,FALSE)</f>
        <v>95112</v>
      </c>
      <c r="R16" s="50">
        <f>VLOOKUP(Tableau119[[#This Row],[Compte ILN]],'DATA ILN'!D:I,6,FALSE)</f>
        <v>9</v>
      </c>
      <c r="S16" s="50" t="e">
        <f>IFERROR(VLOOKUP(Tableau119[[#This Row],[Key(Compte ILN - shipper - POL - plant)]],'DATA ILN'!A:J,10,FALSE),VLOOKUP(Tableau119[[#This Row],[Key(Compte ILN - shipper - POL)]],'DATA ILN'!B:J,9,FALSE))</f>
        <v>#N/A</v>
      </c>
      <c r="T16" s="50" t="e">
        <f>IFERROR(VLOOKUP(Tableau119[[#This Row],[Key(Compte ILN - shipper - POL - plant)]],'DATA ILN'!A:K,11,FALSE),VLOOKUP(Tableau119[[#This Row],[Key(Compte ILN - shipper - POL)]],'DATA ILN'!B:K,10,FALSE))</f>
        <v>#N/A</v>
      </c>
      <c r="U16" s="50" t="e">
        <f>IFERROR(VLOOKUP(Tableau119[[#This Row],[Key(Compte ILN - shipper - POL - plant)]],'DATA ILN'!A:L,12,FALSE),VLOOKUP(Tableau119[[#This Row],[Key(Compte ILN - shipper - POL)]],'DATA ILN'!B:L,11,FALSE))</f>
        <v>#N/A</v>
      </c>
      <c r="V16" s="50" t="e">
        <f>Tableau119[[#This Row],[Day ILN Order]]+Tableau119[[#This Row],[Delivery time to ILN/Shipper]]-1</f>
        <v>#N/A</v>
      </c>
      <c r="W16" s="50" t="e">
        <f>IFERROR(VLOOKUP(Tableau119[[#This Row],[Key(Compte ILN - shipper - POL - plant)]],'DATA ILN'!A:N,14,FALSE),VLOOKUP(Tableau119[[#This Row],[Key(Compte ILN - shipper - POL)]],'DATA ILN'!B:N,13,FALSE))</f>
        <v>#N/A</v>
      </c>
      <c r="X16" s="53" t="e">
        <f>IFERROR(VLOOKUP(Tableau119[[#This Row],[Key(Compte ILN - shipper - POL - plant)]],'DATA ILN'!A:P,16,FALSE),VLOOKUP(Tableau119[[#This Row],[Key(Compte ILN - shipper - POL)]],'DATA ILN'!B:P,15,FALSE))</f>
        <v>#N/A</v>
      </c>
      <c r="Y16" s="116" t="s">
        <v>167</v>
      </c>
      <c r="Z16" s="437">
        <f>IFERROR(VLOOKUP(Tableau119[[#This Row],[Name Shipper]],Plant_AILN!L:M,2,FALSE),0)</f>
        <v>95112</v>
      </c>
      <c r="AA16" s="406">
        <v>6</v>
      </c>
      <c r="AB16" s="396" t="b">
        <f>_xlfn.XLOOKUP(Tableau119[[#This Row],[Key(ID-date)]],'DATA BTO'!S:S,'DATA BTO'!E:E,FALSE)</f>
        <v>0</v>
      </c>
      <c r="AC16" s="3" t="b">
        <f>_xlfn.XLOOKUP(Tableau119[[#This Row],[Key(ID-date)]],'DATA BTO'!S:S,'DATA BTO'!F:F,FALSE)</f>
        <v>0</v>
      </c>
      <c r="AD16" s="50" t="b">
        <f>_xlfn.XLOOKUP(Tableau119[[#This Row],[Key(ID-date)]],'DATA BTO'!S:S,'DATA BTO'!G:G,FALSE)</f>
        <v>0</v>
      </c>
      <c r="AE16" s="50" t="b">
        <f>_xlfn.XLOOKUP(Tableau119[[#This Row],[Key(ID-date)]],'DATA BTO'!S:S,'DATA BTO'!H:H,FALSE)</f>
        <v>0</v>
      </c>
      <c r="AF16" s="50" t="e">
        <f>IF(Tableau119[[#This Row],[First Day to POL]]&lt;=Tableau119[[#This Row],[Day Cut Off]],Tableau119[[#This Row],[Day ETD]],Tableau119[[#This Row],[Day ETD]]+7)</f>
        <v>#N/A</v>
      </c>
      <c r="AG16" s="50" t="b">
        <f>_xlfn.XLOOKUP(Tableau119[[#This Row],[Key(ID-date)]],'DATA BTO'!S:S,'DATA BTO'!I:I,FALSE)</f>
        <v>0</v>
      </c>
      <c r="AH16" s="3" t="b">
        <f>_xlfn.XLOOKUP(Tableau119[[#This Row],[Key(ID-date)]],'DATA BTO'!S:S,'DATA BTO'!J:J,FALSE)</f>
        <v>0</v>
      </c>
      <c r="AI16" s="3" t="b">
        <f>_xlfn.XLOOKUP(Tableau119[[#This Row],[Key(ID-date)]],'DATA BTO'!S:S,'DATA BTO'!K:K,FALSE)</f>
        <v>0</v>
      </c>
      <c r="AJ16" s="50" t="b">
        <f>_xlfn.XLOOKUP(Tableau119[[#This Row],[Key(ID-date)]],'DATA BTO'!S:S,'DATA BTO'!L:L,FALSE)</f>
        <v>0</v>
      </c>
      <c r="AK16" s="53" t="b">
        <f>_xlfn.XLOOKUP(Tableau119[[#This Row],[Key(ID-date)]],'DATA BTO'!S:S,'DATA BTO'!N:N,FALSE)</f>
        <v>0</v>
      </c>
      <c r="AL16" s="54" t="e">
        <f>VLOOKUP(Tableau119[[#This Row],[Key(POD -PFI- Usine)]],'DATA Consignee'!A:F,6,FALSE)</f>
        <v>#N/A</v>
      </c>
      <c r="AM16" s="127"/>
      <c r="AN16" s="438" t="str">
        <f>IF(Tableau119[[#This Row],[Name PFI/CDD]]="","-",VLOOKUP(Tableau119[[#This Row],[Name PFI/CDD]],Plant_AILN!I:J,2,FALSE))</f>
        <v>-</v>
      </c>
      <c r="AO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" s="2" t="e">
        <f>VLOOKUP(Tableau119[[#This Row],[Key(POD -PFI- Usine)]],'DATA Consignee'!A:J,10,FALSE)</f>
        <v>#N/A</v>
      </c>
      <c r="AR16" s="50" t="e">
        <f>VLOOKUP(Tableau119[[#This Row],[Key(POD -PFI- Usine)]],'DATA Consignee'!A:N,14,FALSE)</f>
        <v>#N/A</v>
      </c>
      <c r="AS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" s="50">
        <f>Tableau119[[#This Row],[Transit time]]+Tableau119[[#This Row],[Time for security]]+Tableau119[[#This Row],[Time for security2 buffer]]</f>
        <v>0</v>
      </c>
      <c r="AV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" s="433" t="e">
        <f>Tableau119[[#This Row],[Leadtime SI2C]]+Tableau119[[#This Row],[First Receipt Days]]-Tableau119[[#This Row],[Day Customer Order]]+1</f>
        <v>#N/A</v>
      </c>
      <c r="AX16" s="119" t="e">
        <f>IF(Tableau119[[#This Row],[Name ILN]]&lt;&gt;"SFK Freight Forwarder",Tableau119[[#This Row],[Cust. Leadtime]],Tableau119[[#This Row],[Leadtime SI2C]])</f>
        <v>#N/A</v>
      </c>
      <c r="AY16" s="51" t="b">
        <f>_xlfn.XLOOKUP(Tableau119[[#This Row],[Key(ID-date)]],'DATA BTO'!S:S,'DATA BTO'!P:P,FALSE)</f>
        <v>0</v>
      </c>
      <c r="AZ16" s="338">
        <v>45788</v>
      </c>
      <c r="BA16" s="50"/>
    </row>
    <row r="17" spans="2:53">
      <c r="B17" s="474" t="str">
        <f>_xlfn.CONCAT(Tableau119[[#This Row],[Name ILN]],"-",Tableau119[[#This Row],[Name Shipper]],"-",Tableau119[[#This Row],[Name Site]])</f>
        <v>ILN Bursa-ILN Bursa-TANGER</v>
      </c>
      <c r="C17" s="67" t="str">
        <f>_xlfn.CONCAT(Tableau119[[#This Row],[Compte ILN]],"-",Tableau119[[#This Row],[Compte Shipper]],"-",Tableau119[[#This Row],[POL]],"-",Tableau119[[#This Row],[Compte Consignee]])</f>
        <v>95112-95112-FALSO-900383</v>
      </c>
      <c r="D17" s="66" t="str">
        <f>_xlfn.CONCAT(Tableau119[[#This Row],[Compte ILN]],"-",Tableau119[[#This Row],[Compte Shipper]],"-",Tableau119[[#This Row],[POL]])</f>
        <v>95112-95112-FALSO</v>
      </c>
      <c r="E17" s="434" t="str">
        <f>_xlfn.CONCAT(Tableau119[[#This Row],[POL]],"-",Tableau119[[#This Row],[Carrier]],"-",Tableau119[[#This Row],[POD]])</f>
        <v>FALSO-FALSO-FALSO</v>
      </c>
      <c r="F17" s="66" t="str">
        <f>_xlfn.CONCAT(Tableau119[[#This Row],[ID]],"-","Actif")</f>
        <v>6-Actif</v>
      </c>
      <c r="G17" s="66" t="str">
        <f>_xlfn.CONCAT(Tableau119[[#This Row],[POD]],"-",Tableau119[[#This Row],[Code PFI]],"-",Tableau119[[#This Row],[Compte Consignee]])</f>
        <v>FALSO---900383</v>
      </c>
      <c r="H1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BursaFALSOTANGER</v>
      </c>
      <c r="I17" s="434" t="str">
        <f>_xlfn.CONCAT(Tableau119[[#This Row],[ID]],"-",Tableau119[[#This Row],[Expiration Date]])</f>
        <v>6-45707</v>
      </c>
      <c r="J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Bursa-ILN Bursa-6-FALSO-FALSO-FALSO--45707</v>
      </c>
      <c r="K17" s="435" t="str">
        <f ca="1">IF(COUNTIF(J:J,Tableau119[[#This Row],[Plant-ILN-shipper-POL-Carrier-POD-PFI]])=1,"Non","Oui")</f>
        <v>Non</v>
      </c>
      <c r="L17" s="128" t="str">
        <f>VLOOKUP(Tableau119[[#This Row],[Name Site]],Plant_AILN!A:D,4,FALSE)</f>
        <v>MOROCCO</v>
      </c>
      <c r="M17" s="285" t="s">
        <v>180</v>
      </c>
      <c r="N17" s="439">
        <f>VLOOKUP(Tableau119[[#This Row],[Name Site]],Plant_AILN!A:C,3,FALSE)</f>
        <v>900383</v>
      </c>
      <c r="O17" s="55">
        <f>IF(Tableau119[[#This Row],[Name PFI/CDD]]="PFI VLL",2,VLOOKUP(Tableau119[[#This Row],[Compte Consignee]],Order!C:D,2,FALSE))</f>
        <v>7</v>
      </c>
      <c r="P17" s="116" t="s">
        <v>167</v>
      </c>
      <c r="Q17" s="365">
        <f>VLOOKUP(Tableau119[[#This Row],[Name ILN]],Plant_AILN!F:G,2,FALSE)</f>
        <v>95112</v>
      </c>
      <c r="R17" s="50">
        <f>VLOOKUP(Tableau119[[#This Row],[Compte ILN]],'DATA ILN'!D:I,6,FALSE)</f>
        <v>9</v>
      </c>
      <c r="S17" s="50" t="e">
        <f>IFERROR(VLOOKUP(Tableau119[[#This Row],[Key(Compte ILN - shipper - POL - plant)]],'DATA ILN'!A:J,10,FALSE),VLOOKUP(Tableau119[[#This Row],[Key(Compte ILN - shipper - POL)]],'DATA ILN'!B:J,9,FALSE))</f>
        <v>#N/A</v>
      </c>
      <c r="T17" s="50" t="e">
        <f>IFERROR(VLOOKUP(Tableau119[[#This Row],[Key(Compte ILN - shipper - POL - plant)]],'DATA ILN'!A:K,11,FALSE),VLOOKUP(Tableau119[[#This Row],[Key(Compte ILN - shipper - POL)]],'DATA ILN'!B:K,10,FALSE))</f>
        <v>#N/A</v>
      </c>
      <c r="U17" s="50" t="e">
        <f>IFERROR(VLOOKUP(Tableau119[[#This Row],[Key(Compte ILN - shipper - POL - plant)]],'DATA ILN'!A:L,12,FALSE),VLOOKUP(Tableau119[[#This Row],[Key(Compte ILN - shipper - POL)]],'DATA ILN'!B:L,11,FALSE))</f>
        <v>#N/A</v>
      </c>
      <c r="V17" s="50" t="e">
        <f>Tableau119[[#This Row],[Day ILN Order]]+Tableau119[[#This Row],[Delivery time to ILN/Shipper]]-1</f>
        <v>#N/A</v>
      </c>
      <c r="W17" s="50" t="e">
        <f>IFERROR(VLOOKUP(Tableau119[[#This Row],[Key(Compte ILN - shipper - POL - plant)]],'DATA ILN'!A:N,14,FALSE),VLOOKUP(Tableau119[[#This Row],[Key(Compte ILN - shipper - POL)]],'DATA ILN'!B:N,13,FALSE))</f>
        <v>#N/A</v>
      </c>
      <c r="X17" s="53" t="e">
        <f>IFERROR(VLOOKUP(Tableau119[[#This Row],[Key(Compte ILN - shipper - POL - plant)]],'DATA ILN'!A:P,16,FALSE),VLOOKUP(Tableau119[[#This Row],[Key(Compte ILN - shipper - POL)]],'DATA ILN'!B:P,15,FALSE))</f>
        <v>#N/A</v>
      </c>
      <c r="Y17" s="284" t="s">
        <v>167</v>
      </c>
      <c r="Z17" s="437">
        <f>IFERROR(VLOOKUP(Tableau119[[#This Row],[Name Shipper]],Plant_AILN!L:M,2,FALSE),0)</f>
        <v>95112</v>
      </c>
      <c r="AA17" s="406">
        <v>6</v>
      </c>
      <c r="AB17" s="396" t="b">
        <f>_xlfn.XLOOKUP(Tableau119[[#This Row],[Key(ID-date)]],'DATA BTO'!S:S,'DATA BTO'!E:E,FALSE)</f>
        <v>0</v>
      </c>
      <c r="AC17" s="3" t="b">
        <f>_xlfn.XLOOKUP(Tableau119[[#This Row],[Key(ID-date)]],'DATA BTO'!S:S,'DATA BTO'!F:F,FALSE)</f>
        <v>0</v>
      </c>
      <c r="AD17" s="50" t="b">
        <f>_xlfn.XLOOKUP(Tableau119[[#This Row],[Key(ID-date)]],'DATA BTO'!S:S,'DATA BTO'!G:G,FALSE)</f>
        <v>0</v>
      </c>
      <c r="AE17" s="50" t="b">
        <f>_xlfn.XLOOKUP(Tableau119[[#This Row],[Key(ID-date)]],'DATA BTO'!S:S,'DATA BTO'!H:H,FALSE)</f>
        <v>0</v>
      </c>
      <c r="AF17" s="50" t="e">
        <f>IF(Tableau119[[#This Row],[First Day to POL]]&lt;=Tableau119[[#This Row],[Day Cut Off]],Tableau119[[#This Row],[Day ETD]],Tableau119[[#This Row],[Day ETD]]+7)</f>
        <v>#N/A</v>
      </c>
      <c r="AG17" s="50" t="b">
        <f>_xlfn.XLOOKUP(Tableau119[[#This Row],[Key(ID-date)]],'DATA BTO'!S:S,'DATA BTO'!I:I,FALSE)</f>
        <v>0</v>
      </c>
      <c r="AH17" s="3" t="b">
        <f>_xlfn.XLOOKUP(Tableau119[[#This Row],[Key(ID-date)]],'DATA BTO'!S:S,'DATA BTO'!J:J,FALSE)</f>
        <v>0</v>
      </c>
      <c r="AI17" s="3" t="b">
        <f>_xlfn.XLOOKUP(Tableau119[[#This Row],[Key(ID-date)]],'DATA BTO'!S:S,'DATA BTO'!K:K,FALSE)</f>
        <v>0</v>
      </c>
      <c r="AJ17" s="50" t="b">
        <f>_xlfn.XLOOKUP(Tableau119[[#This Row],[Key(ID-date)]],'DATA BTO'!S:S,'DATA BTO'!L:L,FALSE)</f>
        <v>0</v>
      </c>
      <c r="AK17" s="53" t="b">
        <f>_xlfn.XLOOKUP(Tableau119[[#This Row],[Key(ID-date)]],'DATA BTO'!S:S,'DATA BTO'!N:N,FALSE)</f>
        <v>0</v>
      </c>
      <c r="AL17" s="54" t="e">
        <f>VLOOKUP(Tableau119[[#This Row],[Key(POD -PFI- Usine)]],'DATA Consignee'!A:F,6,FALSE)</f>
        <v>#N/A</v>
      </c>
      <c r="AM17" s="127"/>
      <c r="AN17" s="438" t="str">
        <f>IF(Tableau119[[#This Row],[Name PFI/CDD]]="","-",VLOOKUP(Tableau119[[#This Row],[Name PFI/CDD]],Plant_AILN!I:J,2,FALSE))</f>
        <v>-</v>
      </c>
      <c r="AO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" s="2" t="e">
        <f>VLOOKUP(Tableau119[[#This Row],[Key(POD -PFI- Usine)]],'DATA Consignee'!A:J,10,FALSE)</f>
        <v>#N/A</v>
      </c>
      <c r="AR17" s="50" t="e">
        <f>VLOOKUP(Tableau119[[#This Row],[Key(POD -PFI- Usine)]],'DATA Consignee'!A:N,14,FALSE)</f>
        <v>#N/A</v>
      </c>
      <c r="AS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" s="50">
        <f>Tableau119[[#This Row],[Transit time]]+Tableau119[[#This Row],[Time for security]]+Tableau119[[#This Row],[Time for security2 buffer]]</f>
        <v>0</v>
      </c>
      <c r="AV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" s="433" t="e">
        <f>Tableau119[[#This Row],[Leadtime SI2C]]+Tableau119[[#This Row],[First Receipt Days]]-Tableau119[[#This Row],[Day Customer Order]]+1</f>
        <v>#N/A</v>
      </c>
      <c r="AX17" s="119" t="e">
        <f>IF(Tableau119[[#This Row],[Name ILN]]&lt;&gt;"SFK Freight Forwarder",Tableau119[[#This Row],[Cust. Leadtime]],Tableau119[[#This Row],[Leadtime SI2C]])</f>
        <v>#N/A</v>
      </c>
      <c r="AY17" s="51" t="b">
        <f>_xlfn.XLOOKUP(Tableau119[[#This Row],[Key(ID-date)]],'DATA BTO'!S:S,'DATA BTO'!P:P,FALSE)</f>
        <v>0</v>
      </c>
      <c r="AZ17" s="338">
        <v>45707</v>
      </c>
      <c r="BA17" s="50"/>
    </row>
    <row r="18" spans="2:53">
      <c r="B18" s="67" t="str">
        <f>_xlfn.CONCAT(Tableau119[[#This Row],[Name ILN]],"-",Tableau119[[#This Row],[Name Shipper]],"-",Tableau119[[#This Row],[Name Site]])</f>
        <v>ILN Bursa-ILN Bursa-RKM</v>
      </c>
      <c r="C18" s="67" t="str">
        <f>_xlfn.CONCAT(Tableau119[[#This Row],[Compte ILN]],"-",Tableau119[[#This Row],[Compte Shipper]],"-",Tableau119[[#This Row],[POL]],"-",Tableau119[[#This Row],[Compte Consignee]])</f>
        <v>95112-95112-FALSO-92002200</v>
      </c>
      <c r="D18" s="66" t="str">
        <f>_xlfn.CONCAT(Tableau119[[#This Row],[Compte ILN]],"-",Tableau119[[#This Row],[Compte Shipper]],"-",Tableau119[[#This Row],[POL]])</f>
        <v>95112-95112-FALSO</v>
      </c>
      <c r="E18" s="434" t="str">
        <f>_xlfn.CONCAT(Tableau119[[#This Row],[POL]],"-",Tableau119[[#This Row],[Carrier]],"-",Tableau119[[#This Row],[POD]])</f>
        <v>FALSO-FALSO-FALSO</v>
      </c>
      <c r="F18" s="66" t="str">
        <f>_xlfn.CONCAT(Tableau119[[#This Row],[ID]],"-","Actif")</f>
        <v>10-Actif</v>
      </c>
      <c r="G18" s="66" t="str">
        <f>_xlfn.CONCAT(Tableau119[[#This Row],[POD]],"-",Tableau119[[#This Row],[Code PFI]],"-",Tableau119[[#This Row],[Compte Consignee]])</f>
        <v>FALSO---92002200</v>
      </c>
      <c r="H1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BursaFALSORKM</v>
      </c>
      <c r="I18" s="434" t="str">
        <f>_xlfn.CONCAT(Tableau119[[#This Row],[ID]],"-",Tableau119[[#This Row],[Expiration Date]])</f>
        <v>10-46142</v>
      </c>
      <c r="J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Bursa-ILN Bursa-10-FALSO-FALSO-FALSO--46142</v>
      </c>
      <c r="K18" s="435" t="str">
        <f ca="1">IF(COUNTIF(J:J,Tableau119[[#This Row],[Plant-ILN-shipper-POL-Carrier-POD-PFI]])=1,"Non","Oui")</f>
        <v>Non</v>
      </c>
      <c r="L18" s="436" t="str">
        <f>VLOOKUP(Tableau119[[#This Row],[Name Site]],Plant_AILN!A:D,4,FALSE)</f>
        <v>KOREA</v>
      </c>
      <c r="M18" s="285" t="s">
        <v>145</v>
      </c>
      <c r="N18" s="439">
        <f>VLOOKUP(Tableau119[[#This Row],[Name Site]],Plant_AILN!A:C,3,FALSE)</f>
        <v>92002200</v>
      </c>
      <c r="O18" s="55">
        <f>IF(Tableau119[[#This Row],[Name PFI/CDD]]="PFI VLL",2,VLOOKUP(Tableau119[[#This Row],[Compte Consignee]],Order!C:D,2,FALSE))</f>
        <v>2</v>
      </c>
      <c r="P18" s="116" t="s">
        <v>167</v>
      </c>
      <c r="Q18" s="365">
        <f>VLOOKUP(Tableau119[[#This Row],[Name ILN]],Plant_AILN!F:G,2,FALSE)</f>
        <v>95112</v>
      </c>
      <c r="R18" s="50">
        <f>VLOOKUP(Tableau119[[#This Row],[Compte ILN]],'DATA ILN'!D:I,6,FALSE)</f>
        <v>9</v>
      </c>
      <c r="S18" s="50" t="e">
        <f>IFERROR(VLOOKUP(Tableau119[[#This Row],[Key(Compte ILN - shipper - POL - plant)]],'DATA ILN'!A:J,10,FALSE),VLOOKUP(Tableau119[[#This Row],[Key(Compte ILN - shipper - POL)]],'DATA ILN'!B:J,9,FALSE))</f>
        <v>#N/A</v>
      </c>
      <c r="T18" s="50" t="e">
        <f>IFERROR(VLOOKUP(Tableau119[[#This Row],[Key(Compte ILN - shipper - POL - plant)]],'DATA ILN'!A:K,11,FALSE),VLOOKUP(Tableau119[[#This Row],[Key(Compte ILN - shipper - POL)]],'DATA ILN'!B:K,10,FALSE))</f>
        <v>#N/A</v>
      </c>
      <c r="U18" s="50" t="e">
        <f>IFERROR(VLOOKUP(Tableau119[[#This Row],[Key(Compte ILN - shipper - POL - plant)]],'DATA ILN'!A:L,12,FALSE),VLOOKUP(Tableau119[[#This Row],[Key(Compte ILN - shipper - POL)]],'DATA ILN'!B:L,11,FALSE))</f>
        <v>#N/A</v>
      </c>
      <c r="V18" s="50" t="e">
        <f>Tableau119[[#This Row],[Day ILN Order]]+Tableau119[[#This Row],[Delivery time to ILN/Shipper]]-1</f>
        <v>#N/A</v>
      </c>
      <c r="W18" s="50" t="e">
        <f>IFERROR(VLOOKUP(Tableau119[[#This Row],[Key(Compte ILN - shipper - POL - plant)]],'DATA ILN'!A:N,14,FALSE),VLOOKUP(Tableau119[[#This Row],[Key(Compte ILN - shipper - POL)]],'DATA ILN'!B:N,13,FALSE))</f>
        <v>#N/A</v>
      </c>
      <c r="X18" s="53" t="e">
        <f>IFERROR(VLOOKUP(Tableau119[[#This Row],[Key(Compte ILN - shipper - POL - plant)]],'DATA ILN'!A:P,16,FALSE),VLOOKUP(Tableau119[[#This Row],[Key(Compte ILN - shipper - POL)]],'DATA ILN'!B:P,15,FALSE))</f>
        <v>#N/A</v>
      </c>
      <c r="Y18" s="284" t="s">
        <v>167</v>
      </c>
      <c r="Z18" s="437">
        <f>IFERROR(VLOOKUP(Tableau119[[#This Row],[Name Shipper]],Plant_AILN!L:M,2,FALSE),0)</f>
        <v>95112</v>
      </c>
      <c r="AA18" s="406">
        <v>10</v>
      </c>
      <c r="AB18" s="396" t="b">
        <f>_xlfn.XLOOKUP(Tableau119[[#This Row],[Key(ID-date)]],'DATA BTO'!S:S,'DATA BTO'!E:E,FALSE)</f>
        <v>0</v>
      </c>
      <c r="AC18" s="3" t="b">
        <f>_xlfn.XLOOKUP(Tableau119[[#This Row],[Key(ID-date)]],'DATA BTO'!S:S,'DATA BTO'!F:F,FALSE)</f>
        <v>0</v>
      </c>
      <c r="AD18" s="50" t="b">
        <f>_xlfn.XLOOKUP(Tableau119[[#This Row],[Key(ID-date)]],'DATA BTO'!S:S,'DATA BTO'!G:G,FALSE)</f>
        <v>0</v>
      </c>
      <c r="AE18" s="50" t="b">
        <f>_xlfn.XLOOKUP(Tableau119[[#This Row],[Key(ID-date)]],'DATA BTO'!S:S,'DATA BTO'!H:H,FALSE)</f>
        <v>0</v>
      </c>
      <c r="AF18" s="50" t="e">
        <f>IF(Tableau119[[#This Row],[First Day to POL]]&lt;=Tableau119[[#This Row],[Day Cut Off]],Tableau119[[#This Row],[Day ETD]],Tableau119[[#This Row],[Day ETD]]+7)</f>
        <v>#N/A</v>
      </c>
      <c r="AG18" s="50" t="b">
        <f>_xlfn.XLOOKUP(Tableau119[[#This Row],[Key(ID-date)]],'DATA BTO'!S:S,'DATA BTO'!I:I,FALSE)</f>
        <v>0</v>
      </c>
      <c r="AH18" s="3" t="b">
        <f>_xlfn.XLOOKUP(Tableau119[[#This Row],[Key(ID-date)]],'DATA BTO'!S:S,'DATA BTO'!J:J,FALSE)</f>
        <v>0</v>
      </c>
      <c r="AI18" s="3" t="b">
        <f>_xlfn.XLOOKUP(Tableau119[[#This Row],[Key(ID-date)]],'DATA BTO'!S:S,'DATA BTO'!K:K,FALSE)</f>
        <v>0</v>
      </c>
      <c r="AJ18" s="50" t="b">
        <f>_xlfn.XLOOKUP(Tableau119[[#This Row],[Key(ID-date)]],'DATA BTO'!S:S,'DATA BTO'!L:L,FALSE)</f>
        <v>0</v>
      </c>
      <c r="AK18" s="53" t="b">
        <f>_xlfn.XLOOKUP(Tableau119[[#This Row],[Key(ID-date)]],'DATA BTO'!S:S,'DATA BTO'!N:N,FALSE)</f>
        <v>0</v>
      </c>
      <c r="AL18" s="54" t="e">
        <f>VLOOKUP(Tableau119[[#This Row],[Key(POD -PFI- Usine)]],'DATA Consignee'!A:F,6,FALSE)</f>
        <v>#N/A</v>
      </c>
      <c r="AM18" s="127"/>
      <c r="AN18" s="438" t="str">
        <f>IF(Tableau119[[#This Row],[Name PFI/CDD]]="","-",VLOOKUP(Tableau119[[#This Row],[Name PFI/CDD]],Plant_AILN!I:J,2,FALSE))</f>
        <v>-</v>
      </c>
      <c r="AO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" s="2" t="e">
        <f>VLOOKUP(Tableau119[[#This Row],[Key(POD -PFI- Usine)]],'DATA Consignee'!A:J,10,FALSE)</f>
        <v>#N/A</v>
      </c>
      <c r="AR18" s="50" t="e">
        <f>VLOOKUP(Tableau119[[#This Row],[Key(POD -PFI- Usine)]],'DATA Consignee'!A:N,14,FALSE)</f>
        <v>#N/A</v>
      </c>
      <c r="AS1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" s="50">
        <f>Tableau119[[#This Row],[Transit time]]+Tableau119[[#This Row],[Time for security]]+Tableau119[[#This Row],[Time for security2 buffer]]</f>
        <v>0</v>
      </c>
      <c r="AV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" s="433" t="e">
        <f>Tableau119[[#This Row],[Leadtime SI2C]]+Tableau119[[#This Row],[First Receipt Days]]-Tableau119[[#This Row],[Day Customer Order]]+1</f>
        <v>#N/A</v>
      </c>
      <c r="AX18" s="119" t="e">
        <f>IF(Tableau119[[#This Row],[Name ILN]]&lt;&gt;"SFK Freight Forwarder",Tableau119[[#This Row],[Cust. Leadtime]],Tableau119[[#This Row],[Leadtime SI2C]])</f>
        <v>#N/A</v>
      </c>
      <c r="AY18" s="51" t="b">
        <f>_xlfn.XLOOKUP(Tableau119[[#This Row],[Key(ID-date)]],'DATA BTO'!S:S,'DATA BTO'!P:P,FALSE)</f>
        <v>0</v>
      </c>
      <c r="AZ18" s="338">
        <v>46142</v>
      </c>
      <c r="BA18" s="50"/>
    </row>
    <row r="19" spans="2:53">
      <c r="B19" s="474" t="str">
        <f>_xlfn.CONCAT(Tableau119[[#This Row],[Name ILN]],"-",Tableau119[[#This Row],[Name Shipper]],"-",Tableau119[[#This Row],[Name Site]])</f>
        <v>ILN Bursa-ILN Bursa-RKM</v>
      </c>
      <c r="C19" s="67" t="str">
        <f>_xlfn.CONCAT(Tableau119[[#This Row],[Compte ILN]],"-",Tableau119[[#This Row],[Compte Shipper]],"-",Tableau119[[#This Row],[POL]],"-",Tableau119[[#This Row],[Compte Consignee]])</f>
        <v>95112-95112-FALSO-92002200</v>
      </c>
      <c r="D19" s="66" t="str">
        <f>_xlfn.CONCAT(Tableau119[[#This Row],[Compte ILN]],"-",Tableau119[[#This Row],[Compte Shipper]],"-",Tableau119[[#This Row],[POL]])</f>
        <v>95112-95112-FALSO</v>
      </c>
      <c r="E19" s="434" t="str">
        <f>_xlfn.CONCAT(Tableau119[[#This Row],[POL]],"-",Tableau119[[#This Row],[Carrier]],"-",Tableau119[[#This Row],[POD]])</f>
        <v>FALSO-FALSO-FALSO</v>
      </c>
      <c r="F19" s="66" t="str">
        <f>_xlfn.CONCAT(Tableau119[[#This Row],[ID]],"-","Actif")</f>
        <v>10-Actif</v>
      </c>
      <c r="G19" s="66" t="str">
        <f>_xlfn.CONCAT(Tableau119[[#This Row],[POD]],"-",Tableau119[[#This Row],[Code PFI]],"-",Tableau119[[#This Row],[Compte Consignee]])</f>
        <v>FALSO---92002200</v>
      </c>
      <c r="H1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BursaFALSORKM</v>
      </c>
      <c r="I19" s="434" t="str">
        <f>_xlfn.CONCAT(Tableau119[[#This Row],[ID]],"-",Tableau119[[#This Row],[Expiration Date]])</f>
        <v>10-45777</v>
      </c>
      <c r="J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Bursa-ILN Bursa-10-FALSO-FALSO-FALSO--45777</v>
      </c>
      <c r="K19" s="435" t="str">
        <f ca="1">IF(COUNTIF(J:J,Tableau119[[#This Row],[Plant-ILN-shipper-POL-Carrier-POD-PFI]])=1,"Non","Oui")</f>
        <v>Non</v>
      </c>
      <c r="L19" s="128" t="str">
        <f>VLOOKUP(Tableau119[[#This Row],[Name Site]],Plant_AILN!A:D,4,FALSE)</f>
        <v>KOREA</v>
      </c>
      <c r="M19" s="285" t="s">
        <v>145</v>
      </c>
      <c r="N19" s="439">
        <f>VLOOKUP(Tableau119[[#This Row],[Name Site]],Plant_AILN!A:C,3,FALSE)</f>
        <v>92002200</v>
      </c>
      <c r="O19" s="55">
        <f>IF(Tableau119[[#This Row],[Name PFI/CDD]]="PFI VLL",2,VLOOKUP(Tableau119[[#This Row],[Compte Consignee]],Order!C:D,2,FALSE))</f>
        <v>2</v>
      </c>
      <c r="P19" s="116" t="s">
        <v>167</v>
      </c>
      <c r="Q19" s="365">
        <f>VLOOKUP(Tableau119[[#This Row],[Name ILN]],Plant_AILN!F:G,2,FALSE)</f>
        <v>95112</v>
      </c>
      <c r="R19" s="50">
        <f>VLOOKUP(Tableau119[[#This Row],[Compte ILN]],'DATA ILN'!D:I,6,FALSE)</f>
        <v>9</v>
      </c>
      <c r="S19" s="50" t="e">
        <f>IFERROR(VLOOKUP(Tableau119[[#This Row],[Key(Compte ILN - shipper - POL - plant)]],'DATA ILN'!A:J,10,FALSE),VLOOKUP(Tableau119[[#This Row],[Key(Compte ILN - shipper - POL)]],'DATA ILN'!B:J,9,FALSE))</f>
        <v>#N/A</v>
      </c>
      <c r="T19" s="50" t="e">
        <f>IFERROR(VLOOKUP(Tableau119[[#This Row],[Key(Compte ILN - shipper - POL - plant)]],'DATA ILN'!A:K,11,FALSE),VLOOKUP(Tableau119[[#This Row],[Key(Compte ILN - shipper - POL)]],'DATA ILN'!B:K,10,FALSE))</f>
        <v>#N/A</v>
      </c>
      <c r="U19" s="50" t="e">
        <f>IFERROR(VLOOKUP(Tableau119[[#This Row],[Key(Compte ILN - shipper - POL - plant)]],'DATA ILN'!A:L,12,FALSE),VLOOKUP(Tableau119[[#This Row],[Key(Compte ILN - shipper - POL)]],'DATA ILN'!B:L,11,FALSE))</f>
        <v>#N/A</v>
      </c>
      <c r="V19" s="50" t="e">
        <f>Tableau119[[#This Row],[Day ILN Order]]+Tableau119[[#This Row],[Delivery time to ILN/Shipper]]-1</f>
        <v>#N/A</v>
      </c>
      <c r="W19" s="50" t="e">
        <f>IFERROR(VLOOKUP(Tableau119[[#This Row],[Key(Compte ILN - shipper - POL - plant)]],'DATA ILN'!A:N,14,FALSE),VLOOKUP(Tableau119[[#This Row],[Key(Compte ILN - shipper - POL)]],'DATA ILN'!B:N,13,FALSE))</f>
        <v>#N/A</v>
      </c>
      <c r="X19" s="53" t="e">
        <f>IFERROR(VLOOKUP(Tableau119[[#This Row],[Key(Compte ILN - shipper - POL - plant)]],'DATA ILN'!A:P,16,FALSE),VLOOKUP(Tableau119[[#This Row],[Key(Compte ILN - shipper - POL)]],'DATA ILN'!B:P,15,FALSE))</f>
        <v>#N/A</v>
      </c>
      <c r="Y19" s="284" t="s">
        <v>167</v>
      </c>
      <c r="Z19" s="437">
        <f>IFERROR(VLOOKUP(Tableau119[[#This Row],[Name Shipper]],Plant_AILN!L:M,2,FALSE),0)</f>
        <v>95112</v>
      </c>
      <c r="AA19" s="406">
        <v>10</v>
      </c>
      <c r="AB19" s="396" t="b">
        <f>_xlfn.XLOOKUP(Tableau119[[#This Row],[Key(ID-date)]],'DATA BTO'!S:S,'DATA BTO'!E:E,FALSE)</f>
        <v>0</v>
      </c>
      <c r="AC19" s="3" t="b">
        <f>_xlfn.XLOOKUP(Tableau119[[#This Row],[Key(ID-date)]],'DATA BTO'!S:S,'DATA BTO'!F:F,FALSE)</f>
        <v>0</v>
      </c>
      <c r="AD19" s="50" t="b">
        <f>_xlfn.XLOOKUP(Tableau119[[#This Row],[Key(ID-date)]],'DATA BTO'!S:S,'DATA BTO'!G:G,FALSE)</f>
        <v>0</v>
      </c>
      <c r="AE19" s="50" t="b">
        <f>_xlfn.XLOOKUP(Tableau119[[#This Row],[Key(ID-date)]],'DATA BTO'!S:S,'DATA BTO'!H:H,FALSE)</f>
        <v>0</v>
      </c>
      <c r="AF19" s="50" t="e">
        <f>IF(Tableau119[[#This Row],[First Day to POL]]&lt;=Tableau119[[#This Row],[Day Cut Off]],Tableau119[[#This Row],[Day ETD]],Tableau119[[#This Row],[Day ETD]]+7)</f>
        <v>#N/A</v>
      </c>
      <c r="AG19" s="50" t="b">
        <f>_xlfn.XLOOKUP(Tableau119[[#This Row],[Key(ID-date)]],'DATA BTO'!S:S,'DATA BTO'!I:I,FALSE)</f>
        <v>0</v>
      </c>
      <c r="AH19" s="3" t="b">
        <f>_xlfn.XLOOKUP(Tableau119[[#This Row],[Key(ID-date)]],'DATA BTO'!S:S,'DATA BTO'!J:J,FALSE)</f>
        <v>0</v>
      </c>
      <c r="AI19" s="3" t="b">
        <f>_xlfn.XLOOKUP(Tableau119[[#This Row],[Key(ID-date)]],'DATA BTO'!S:S,'DATA BTO'!K:K,FALSE)</f>
        <v>0</v>
      </c>
      <c r="AJ19" s="50" t="b">
        <f>_xlfn.XLOOKUP(Tableau119[[#This Row],[Key(ID-date)]],'DATA BTO'!S:S,'DATA BTO'!L:L,FALSE)</f>
        <v>0</v>
      </c>
      <c r="AK19" s="53" t="b">
        <f>_xlfn.XLOOKUP(Tableau119[[#This Row],[Key(ID-date)]],'DATA BTO'!S:S,'DATA BTO'!N:N,FALSE)</f>
        <v>0</v>
      </c>
      <c r="AL19" s="54" t="e">
        <f>VLOOKUP(Tableau119[[#This Row],[Key(POD -PFI- Usine)]],'DATA Consignee'!A:F,6,FALSE)</f>
        <v>#N/A</v>
      </c>
      <c r="AM19" s="127"/>
      <c r="AN19" s="438" t="str">
        <f>IF(Tableau119[[#This Row],[Name PFI/CDD]]="","-",VLOOKUP(Tableau119[[#This Row],[Name PFI/CDD]],Plant_AILN!I:J,2,FALSE))</f>
        <v>-</v>
      </c>
      <c r="AO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" s="2" t="e">
        <f>VLOOKUP(Tableau119[[#This Row],[Key(POD -PFI- Usine)]],'DATA Consignee'!A:J,10,FALSE)</f>
        <v>#N/A</v>
      </c>
      <c r="AR19" s="50" t="e">
        <f>VLOOKUP(Tableau119[[#This Row],[Key(POD -PFI- Usine)]],'DATA Consignee'!A:N,14,FALSE)</f>
        <v>#N/A</v>
      </c>
      <c r="AS1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" s="50">
        <f>Tableau119[[#This Row],[Transit time]]+Tableau119[[#This Row],[Time for security]]+Tableau119[[#This Row],[Time for security2 buffer]]</f>
        <v>0</v>
      </c>
      <c r="AV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" s="433" t="e">
        <f>Tableau119[[#This Row],[Leadtime SI2C]]+Tableau119[[#This Row],[First Receipt Days]]-Tableau119[[#This Row],[Day Customer Order]]+1</f>
        <v>#N/A</v>
      </c>
      <c r="AX19" s="119" t="e">
        <f>IF(Tableau119[[#This Row],[Name ILN]]&lt;&gt;"SFK Freight Forwarder",Tableau119[[#This Row],[Cust. Leadtime]],Tableau119[[#This Row],[Leadtime SI2C]])</f>
        <v>#N/A</v>
      </c>
      <c r="AY19" s="51" t="b">
        <f>_xlfn.XLOOKUP(Tableau119[[#This Row],[Key(ID-date)]],'DATA BTO'!S:S,'DATA BTO'!P:P,FALSE)</f>
        <v>0</v>
      </c>
      <c r="AZ19" s="338">
        <v>45777</v>
      </c>
      <c r="BA19" s="50"/>
    </row>
    <row r="20" spans="2:53">
      <c r="B20" s="474" t="str">
        <f>_xlfn.CONCAT(Tableau119[[#This Row],[Name ILN]],"-",Tableau119[[#This Row],[Name Shipper]],"-",Tableau119[[#This Row],[Name Site]])</f>
        <v>ILN Bursa-ILN Bursa-RKM</v>
      </c>
      <c r="C20" s="67" t="str">
        <f>_xlfn.CONCAT(Tableau119[[#This Row],[Compte ILN]],"-",Tableau119[[#This Row],[Compte Shipper]],"-",Tableau119[[#This Row],[POL]],"-",Tableau119[[#This Row],[Compte Consignee]])</f>
        <v>95112-95112-FALSO-92002200</v>
      </c>
      <c r="D20" s="66" t="str">
        <f>_xlfn.CONCAT(Tableau119[[#This Row],[Compte ILN]],"-",Tableau119[[#This Row],[Compte Shipper]],"-",Tableau119[[#This Row],[POL]])</f>
        <v>95112-95112-FALSO</v>
      </c>
      <c r="E20" s="434" t="str">
        <f>_xlfn.CONCAT(Tableau119[[#This Row],[POL]],"-",Tableau119[[#This Row],[Carrier]],"-",Tableau119[[#This Row],[POD]])</f>
        <v>FALSO-FALSO-FALSO</v>
      </c>
      <c r="F20" s="66" t="str">
        <f>_xlfn.CONCAT(Tableau119[[#This Row],[ID]],"-","Actif")</f>
        <v>10-Actif</v>
      </c>
      <c r="G20" s="66" t="str">
        <f>_xlfn.CONCAT(Tableau119[[#This Row],[POD]],"-",Tableau119[[#This Row],[Code PFI]],"-",Tableau119[[#This Row],[Compte Consignee]])</f>
        <v>FALSO---92002200</v>
      </c>
      <c r="H2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BursaFALSORKM</v>
      </c>
      <c r="I20" s="434" t="str">
        <f>_xlfn.CONCAT(Tableau119[[#This Row],[ID]],"-",Tableau119[[#This Row],[Expiration Date]])</f>
        <v>10-45473</v>
      </c>
      <c r="J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Bursa-ILN Bursa-10-FALSO-FALSO-FALSO--45473</v>
      </c>
      <c r="K20" s="435" t="str">
        <f ca="1">IF(COUNTIF(J:J,Tableau119[[#This Row],[Plant-ILN-shipper-POL-Carrier-POD-PFI]])=1,"Non","Oui")</f>
        <v>Non</v>
      </c>
      <c r="L20" s="128" t="str">
        <f>VLOOKUP(Tableau119[[#This Row],[Name Site]],Plant_AILN!A:D,4,FALSE)</f>
        <v>KOREA</v>
      </c>
      <c r="M20" s="285" t="s">
        <v>145</v>
      </c>
      <c r="N20" s="439">
        <f>VLOOKUP(Tableau119[[#This Row],[Name Site]],Plant_AILN!A:C,3,FALSE)</f>
        <v>92002200</v>
      </c>
      <c r="O20" s="55">
        <f>IF(Tableau119[[#This Row],[Name PFI/CDD]]="PFI VLL",2,VLOOKUP(Tableau119[[#This Row],[Compte Consignee]],Order!C:D,2,FALSE))</f>
        <v>2</v>
      </c>
      <c r="P20" s="116" t="s">
        <v>167</v>
      </c>
      <c r="Q20" s="365">
        <f>VLOOKUP(Tableau119[[#This Row],[Name ILN]],Plant_AILN!F:G,2,FALSE)</f>
        <v>95112</v>
      </c>
      <c r="R20" s="50">
        <f>VLOOKUP(Tableau119[[#This Row],[Compte ILN]],'DATA ILN'!D:I,6,FALSE)</f>
        <v>9</v>
      </c>
      <c r="S20" s="50" t="e">
        <f>IFERROR(VLOOKUP(Tableau119[[#This Row],[Key(Compte ILN - shipper - POL - plant)]],'DATA ILN'!A:J,10,FALSE),VLOOKUP(Tableau119[[#This Row],[Key(Compte ILN - shipper - POL)]],'DATA ILN'!B:J,9,FALSE))</f>
        <v>#N/A</v>
      </c>
      <c r="T20" s="50" t="e">
        <f>IFERROR(VLOOKUP(Tableau119[[#This Row],[Key(Compte ILN - shipper - POL - plant)]],'DATA ILN'!A:K,11,FALSE),VLOOKUP(Tableau119[[#This Row],[Key(Compte ILN - shipper - POL)]],'DATA ILN'!B:K,10,FALSE))</f>
        <v>#N/A</v>
      </c>
      <c r="U20" s="50" t="e">
        <f>IFERROR(VLOOKUP(Tableau119[[#This Row],[Key(Compte ILN - shipper - POL - plant)]],'DATA ILN'!A:L,12,FALSE),VLOOKUP(Tableau119[[#This Row],[Key(Compte ILN - shipper - POL)]],'DATA ILN'!B:L,11,FALSE))</f>
        <v>#N/A</v>
      </c>
      <c r="V20" s="50" t="e">
        <f>Tableau119[[#This Row],[Day ILN Order]]+Tableau119[[#This Row],[Delivery time to ILN/Shipper]]-1</f>
        <v>#N/A</v>
      </c>
      <c r="W20" s="50" t="e">
        <f>IFERROR(VLOOKUP(Tableau119[[#This Row],[Key(Compte ILN - shipper - POL - plant)]],'DATA ILN'!A:N,14,FALSE),VLOOKUP(Tableau119[[#This Row],[Key(Compte ILN - shipper - POL)]],'DATA ILN'!B:N,13,FALSE))</f>
        <v>#N/A</v>
      </c>
      <c r="X20" s="53" t="e">
        <f>IFERROR(VLOOKUP(Tableau119[[#This Row],[Key(Compte ILN - shipper - POL - plant)]],'DATA ILN'!A:P,16,FALSE),VLOOKUP(Tableau119[[#This Row],[Key(Compte ILN - shipper - POL)]],'DATA ILN'!B:P,15,FALSE))</f>
        <v>#N/A</v>
      </c>
      <c r="Y20" s="284" t="s">
        <v>167</v>
      </c>
      <c r="Z20" s="437">
        <f>IFERROR(VLOOKUP(Tableau119[[#This Row],[Name Shipper]],Plant_AILN!L:M,2,FALSE),0)</f>
        <v>95112</v>
      </c>
      <c r="AA20" s="406">
        <v>10</v>
      </c>
      <c r="AB20" s="396" t="b">
        <f>_xlfn.XLOOKUP(Tableau119[[#This Row],[Key(ID-date)]],'DATA BTO'!S:S,'DATA BTO'!E:E,FALSE)</f>
        <v>0</v>
      </c>
      <c r="AC20" s="3" t="b">
        <f>_xlfn.XLOOKUP(Tableau119[[#This Row],[Key(ID-date)]],'DATA BTO'!S:S,'DATA BTO'!F:F,FALSE)</f>
        <v>0</v>
      </c>
      <c r="AD20" s="50" t="b">
        <f>_xlfn.XLOOKUP(Tableau119[[#This Row],[Key(ID-date)]],'DATA BTO'!S:S,'DATA BTO'!G:G,FALSE)</f>
        <v>0</v>
      </c>
      <c r="AE20" s="50" t="b">
        <f>_xlfn.XLOOKUP(Tableau119[[#This Row],[Key(ID-date)]],'DATA BTO'!S:S,'DATA BTO'!H:H,FALSE)</f>
        <v>0</v>
      </c>
      <c r="AF20" s="50" t="e">
        <f>IF(Tableau119[[#This Row],[First Day to POL]]&lt;=Tableau119[[#This Row],[Day Cut Off]],Tableau119[[#This Row],[Day ETD]],Tableau119[[#This Row],[Day ETD]]+7)</f>
        <v>#N/A</v>
      </c>
      <c r="AG20" s="50" t="b">
        <f>_xlfn.XLOOKUP(Tableau119[[#This Row],[Key(ID-date)]],'DATA BTO'!S:S,'DATA BTO'!I:I,FALSE)</f>
        <v>0</v>
      </c>
      <c r="AH20" s="3" t="b">
        <f>_xlfn.XLOOKUP(Tableau119[[#This Row],[Key(ID-date)]],'DATA BTO'!S:S,'DATA BTO'!J:J,FALSE)</f>
        <v>0</v>
      </c>
      <c r="AI20" s="3" t="b">
        <f>_xlfn.XLOOKUP(Tableau119[[#This Row],[Key(ID-date)]],'DATA BTO'!S:S,'DATA BTO'!K:K,FALSE)</f>
        <v>0</v>
      </c>
      <c r="AJ20" s="50" t="b">
        <f>_xlfn.XLOOKUP(Tableau119[[#This Row],[Key(ID-date)]],'DATA BTO'!S:S,'DATA BTO'!L:L,FALSE)</f>
        <v>0</v>
      </c>
      <c r="AK20" s="53" t="b">
        <f>_xlfn.XLOOKUP(Tableau119[[#This Row],[Key(ID-date)]],'DATA BTO'!S:S,'DATA BTO'!N:N,FALSE)</f>
        <v>0</v>
      </c>
      <c r="AL20" s="54" t="e">
        <f>VLOOKUP(Tableau119[[#This Row],[Key(POD -PFI- Usine)]],'DATA Consignee'!A:F,6,FALSE)</f>
        <v>#N/A</v>
      </c>
      <c r="AM20" s="127"/>
      <c r="AN20" s="438" t="str">
        <f>IF(Tableau119[[#This Row],[Name PFI/CDD]]="","-",VLOOKUP(Tableau119[[#This Row],[Name PFI/CDD]],Plant_AILN!I:J,2,FALSE))</f>
        <v>-</v>
      </c>
      <c r="AO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" s="2" t="e">
        <f>VLOOKUP(Tableau119[[#This Row],[Key(POD -PFI- Usine)]],'DATA Consignee'!A:J,10,FALSE)</f>
        <v>#N/A</v>
      </c>
      <c r="AR20" s="50" t="e">
        <f>VLOOKUP(Tableau119[[#This Row],[Key(POD -PFI- Usine)]],'DATA Consignee'!A:N,14,FALSE)</f>
        <v>#N/A</v>
      </c>
      <c r="AS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" s="50">
        <f>Tableau119[[#This Row],[Transit time]]+Tableau119[[#This Row],[Time for security]]+Tableau119[[#This Row],[Time for security2 buffer]]</f>
        <v>0</v>
      </c>
      <c r="AV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" s="433" t="e">
        <f>Tableau119[[#This Row],[Leadtime SI2C]]+Tableau119[[#This Row],[First Receipt Days]]-Tableau119[[#This Row],[Day Customer Order]]+1</f>
        <v>#N/A</v>
      </c>
      <c r="AX20" s="119" t="e">
        <f>IF(Tableau119[[#This Row],[Name ILN]]&lt;&gt;"SFK Freight Forwarder",Tableau119[[#This Row],[Cust. Leadtime]],Tableau119[[#This Row],[Leadtime SI2C]])</f>
        <v>#N/A</v>
      </c>
      <c r="AY20" s="51" t="b">
        <f>_xlfn.XLOOKUP(Tableau119[[#This Row],[Key(ID-date)]],'DATA BTO'!S:S,'DATA BTO'!P:P,FALSE)</f>
        <v>0</v>
      </c>
      <c r="AZ20" s="338">
        <v>45473</v>
      </c>
      <c r="BA20" s="50"/>
    </row>
    <row r="21" spans="2:53">
      <c r="B21" s="474" t="str">
        <f>_xlfn.CONCAT(Tableau119[[#This Row],[Name ILN]],"-",Tableau119[[#This Row],[Name Shipper]],"-",Tableau119[[#This Row],[Name Site]])</f>
        <v>ILN Bursa-ILN Bursa-RKM</v>
      </c>
      <c r="C21" s="67" t="str">
        <f>_xlfn.CONCAT(Tableau119[[#This Row],[Compte ILN]],"-",Tableau119[[#This Row],[Compte Shipper]],"-",Tableau119[[#This Row],[POL]],"-",Tableau119[[#This Row],[Compte Consignee]])</f>
        <v>95112-95112-FALSO-92002200</v>
      </c>
      <c r="D21" s="66" t="str">
        <f>_xlfn.CONCAT(Tableau119[[#This Row],[Compte ILN]],"-",Tableau119[[#This Row],[Compte Shipper]],"-",Tableau119[[#This Row],[POL]])</f>
        <v>95112-95112-FALSO</v>
      </c>
      <c r="E21" s="434" t="str">
        <f>_xlfn.CONCAT(Tableau119[[#This Row],[POL]],"-",Tableau119[[#This Row],[Carrier]],"-",Tableau119[[#This Row],[POD]])</f>
        <v>FALSO-FALSO-FALSO</v>
      </c>
      <c r="F21" s="66" t="str">
        <f>_xlfn.CONCAT(Tableau119[[#This Row],[ID]],"-","Actif")</f>
        <v>10-Actif</v>
      </c>
      <c r="G21" s="66" t="str">
        <f>_xlfn.CONCAT(Tableau119[[#This Row],[POD]],"-",Tableau119[[#This Row],[Code PFI]],"-",Tableau119[[#This Row],[Compte Consignee]])</f>
        <v>FALSO---92002200</v>
      </c>
      <c r="H2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BursaFALSORKM</v>
      </c>
      <c r="I21" s="434" t="str">
        <f>_xlfn.CONCAT(Tableau119[[#This Row],[ID]],"-",Tableau119[[#This Row],[Expiration Date]])</f>
        <v>10-45443</v>
      </c>
      <c r="J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Bursa-ILN Bursa-10-FALSO-FALSO-FALSO--45443</v>
      </c>
      <c r="K21" s="435" t="str">
        <f ca="1">IF(COUNTIF(J:J,Tableau119[[#This Row],[Plant-ILN-shipper-POL-Carrier-POD-PFI]])=1,"Non","Oui")</f>
        <v>Non</v>
      </c>
      <c r="L21" s="128" t="str">
        <f>VLOOKUP(Tableau119[[#This Row],[Name Site]],Plant_AILN!A:D,4,FALSE)</f>
        <v>KOREA</v>
      </c>
      <c r="M21" s="285" t="s">
        <v>145</v>
      </c>
      <c r="N21" s="439">
        <f>VLOOKUP(Tableau119[[#This Row],[Name Site]],Plant_AILN!A:C,3,FALSE)</f>
        <v>92002200</v>
      </c>
      <c r="O21" s="55">
        <f>IF(Tableau119[[#This Row],[Name PFI/CDD]]="PFI VLL",2,VLOOKUP(Tableau119[[#This Row],[Compte Consignee]],Order!C:D,2,FALSE))</f>
        <v>2</v>
      </c>
      <c r="P21" s="116" t="s">
        <v>167</v>
      </c>
      <c r="Q21" s="365">
        <f>VLOOKUP(Tableau119[[#This Row],[Name ILN]],Plant_AILN!F:G,2,FALSE)</f>
        <v>95112</v>
      </c>
      <c r="R21" s="50">
        <f>VLOOKUP(Tableau119[[#This Row],[Compte ILN]],'DATA ILN'!D:I,6,FALSE)</f>
        <v>9</v>
      </c>
      <c r="S21" s="50" t="e">
        <f>IFERROR(VLOOKUP(Tableau119[[#This Row],[Key(Compte ILN - shipper - POL - plant)]],'DATA ILN'!A:J,10,FALSE),VLOOKUP(Tableau119[[#This Row],[Key(Compte ILN - shipper - POL)]],'DATA ILN'!B:J,9,FALSE))</f>
        <v>#N/A</v>
      </c>
      <c r="T21" s="50" t="e">
        <f>IFERROR(VLOOKUP(Tableau119[[#This Row],[Key(Compte ILN - shipper - POL - plant)]],'DATA ILN'!A:K,11,FALSE),VLOOKUP(Tableau119[[#This Row],[Key(Compte ILN - shipper - POL)]],'DATA ILN'!B:K,10,FALSE))</f>
        <v>#N/A</v>
      </c>
      <c r="U21" s="50" t="e">
        <f>IFERROR(VLOOKUP(Tableau119[[#This Row],[Key(Compte ILN - shipper - POL - plant)]],'DATA ILN'!A:L,12,FALSE),VLOOKUP(Tableau119[[#This Row],[Key(Compte ILN - shipper - POL)]],'DATA ILN'!B:L,11,FALSE))</f>
        <v>#N/A</v>
      </c>
      <c r="V21" s="50" t="e">
        <f>Tableau119[[#This Row],[Day ILN Order]]+Tableau119[[#This Row],[Delivery time to ILN/Shipper]]-1</f>
        <v>#N/A</v>
      </c>
      <c r="W21" s="50" t="e">
        <f>IFERROR(VLOOKUP(Tableau119[[#This Row],[Key(Compte ILN - shipper - POL - plant)]],'DATA ILN'!A:N,14,FALSE),VLOOKUP(Tableau119[[#This Row],[Key(Compte ILN - shipper - POL)]],'DATA ILN'!B:N,13,FALSE))</f>
        <v>#N/A</v>
      </c>
      <c r="X21" s="53" t="e">
        <f>IFERROR(VLOOKUP(Tableau119[[#This Row],[Key(Compte ILN - shipper - POL - plant)]],'DATA ILN'!A:P,16,FALSE),VLOOKUP(Tableau119[[#This Row],[Key(Compte ILN - shipper - POL)]],'DATA ILN'!B:P,15,FALSE))</f>
        <v>#N/A</v>
      </c>
      <c r="Y21" s="284" t="s">
        <v>167</v>
      </c>
      <c r="Z21" s="437">
        <f>IFERROR(VLOOKUP(Tableau119[[#This Row],[Name Shipper]],Plant_AILN!L:M,2,FALSE),0)</f>
        <v>95112</v>
      </c>
      <c r="AA21" s="406">
        <v>10</v>
      </c>
      <c r="AB21" s="396" t="b">
        <f>_xlfn.XLOOKUP(Tableau119[[#This Row],[Key(ID-date)]],'DATA BTO'!S:S,'DATA BTO'!E:E,FALSE)</f>
        <v>0</v>
      </c>
      <c r="AC21" s="3" t="b">
        <f>_xlfn.XLOOKUP(Tableau119[[#This Row],[Key(ID-date)]],'DATA BTO'!S:S,'DATA BTO'!F:F,FALSE)</f>
        <v>0</v>
      </c>
      <c r="AD21" s="50" t="b">
        <f>_xlfn.XLOOKUP(Tableau119[[#This Row],[Key(ID-date)]],'DATA BTO'!S:S,'DATA BTO'!G:G,FALSE)</f>
        <v>0</v>
      </c>
      <c r="AE21" s="50" t="b">
        <f>_xlfn.XLOOKUP(Tableau119[[#This Row],[Key(ID-date)]],'DATA BTO'!S:S,'DATA BTO'!H:H,FALSE)</f>
        <v>0</v>
      </c>
      <c r="AF21" s="50" t="e">
        <f>IF(Tableau119[[#This Row],[First Day to POL]]&lt;=Tableau119[[#This Row],[Day Cut Off]],Tableau119[[#This Row],[Day ETD]],Tableau119[[#This Row],[Day ETD]]+7)</f>
        <v>#N/A</v>
      </c>
      <c r="AG21" s="50" t="b">
        <f>_xlfn.XLOOKUP(Tableau119[[#This Row],[Key(ID-date)]],'DATA BTO'!S:S,'DATA BTO'!I:I,FALSE)</f>
        <v>0</v>
      </c>
      <c r="AH21" s="3" t="b">
        <f>_xlfn.XLOOKUP(Tableau119[[#This Row],[Key(ID-date)]],'DATA BTO'!S:S,'DATA BTO'!J:J,FALSE)</f>
        <v>0</v>
      </c>
      <c r="AI21" s="3" t="b">
        <f>_xlfn.XLOOKUP(Tableau119[[#This Row],[Key(ID-date)]],'DATA BTO'!S:S,'DATA BTO'!K:K,FALSE)</f>
        <v>0</v>
      </c>
      <c r="AJ21" s="50" t="b">
        <f>_xlfn.XLOOKUP(Tableau119[[#This Row],[Key(ID-date)]],'DATA BTO'!S:S,'DATA BTO'!L:L,FALSE)</f>
        <v>0</v>
      </c>
      <c r="AK21" s="53" t="b">
        <f>_xlfn.XLOOKUP(Tableau119[[#This Row],[Key(ID-date)]],'DATA BTO'!S:S,'DATA BTO'!N:N,FALSE)</f>
        <v>0</v>
      </c>
      <c r="AL21" s="54" t="e">
        <f>VLOOKUP(Tableau119[[#This Row],[Key(POD -PFI- Usine)]],'DATA Consignee'!A:F,6,FALSE)</f>
        <v>#N/A</v>
      </c>
      <c r="AM21" s="127"/>
      <c r="AN21" s="438" t="str">
        <f>IF(Tableau119[[#This Row],[Name PFI/CDD]]="","-",VLOOKUP(Tableau119[[#This Row],[Name PFI/CDD]],Plant_AILN!I:J,2,FALSE))</f>
        <v>-</v>
      </c>
      <c r="AO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" s="2" t="e">
        <f>VLOOKUP(Tableau119[[#This Row],[Key(POD -PFI- Usine)]],'DATA Consignee'!A:J,10,FALSE)</f>
        <v>#N/A</v>
      </c>
      <c r="AR21" s="50" t="e">
        <f>VLOOKUP(Tableau119[[#This Row],[Key(POD -PFI- Usine)]],'DATA Consignee'!A:N,14,FALSE)</f>
        <v>#N/A</v>
      </c>
      <c r="AS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" s="50">
        <f>Tableau119[[#This Row],[Transit time]]+Tableau119[[#This Row],[Time for security]]+Tableau119[[#This Row],[Time for security2 buffer]]</f>
        <v>0</v>
      </c>
      <c r="AV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" s="433" t="e">
        <f>Tableau119[[#This Row],[Leadtime SI2C]]+Tableau119[[#This Row],[First Receipt Days]]-Tableau119[[#This Row],[Day Customer Order]]+1</f>
        <v>#N/A</v>
      </c>
      <c r="AX21" s="119" t="e">
        <f>IF(Tableau119[[#This Row],[Name ILN]]&lt;&gt;"SFK Freight Forwarder",Tableau119[[#This Row],[Cust. Leadtime]],Tableau119[[#This Row],[Leadtime SI2C]])</f>
        <v>#N/A</v>
      </c>
      <c r="AY21" s="51" t="b">
        <f>_xlfn.XLOOKUP(Tableau119[[#This Row],[Key(ID-date)]],'DATA BTO'!S:S,'DATA BTO'!P:P,FALSE)</f>
        <v>0</v>
      </c>
      <c r="AZ21" s="338">
        <v>45443</v>
      </c>
      <c r="BA21" s="50"/>
    </row>
    <row r="22" spans="2:53">
      <c r="B22" s="474" t="str">
        <f>_xlfn.CONCAT(Tableau119[[#This Row],[Name ILN]],"-",Tableau119[[#This Row],[Name Shipper]],"-",Tableau119[[#This Row],[Name Site]])</f>
        <v>ILN Bursa-ILN Bursa-RKM</v>
      </c>
      <c r="C22" s="67" t="str">
        <f>_xlfn.CONCAT(Tableau119[[#This Row],[Compte ILN]],"-",Tableau119[[#This Row],[Compte Shipper]],"-",Tableau119[[#This Row],[POL]],"-",Tableau119[[#This Row],[Compte Consignee]])</f>
        <v>95112-95112-FALSO-92002200</v>
      </c>
      <c r="D22" s="66" t="str">
        <f>_xlfn.CONCAT(Tableau119[[#This Row],[Compte ILN]],"-",Tableau119[[#This Row],[Compte Shipper]],"-",Tableau119[[#This Row],[POL]])</f>
        <v>95112-95112-FALSO</v>
      </c>
      <c r="E22" s="434" t="str">
        <f>_xlfn.CONCAT(Tableau119[[#This Row],[POL]],"-",Tableau119[[#This Row],[Carrier]],"-",Tableau119[[#This Row],[POD]])</f>
        <v>FALSO-FALSO-FALSO</v>
      </c>
      <c r="F22" s="66" t="str">
        <f>_xlfn.CONCAT(Tableau119[[#This Row],[ID]],"-","Actif")</f>
        <v>10-Actif</v>
      </c>
      <c r="G22" s="66" t="str">
        <f>_xlfn.CONCAT(Tableau119[[#This Row],[POD]],"-",Tableau119[[#This Row],[Code PFI]],"-",Tableau119[[#This Row],[Compte Consignee]])</f>
        <v>FALSO---92002200</v>
      </c>
      <c r="H2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BursaFALSORKM</v>
      </c>
      <c r="I22" s="434" t="str">
        <f>_xlfn.CONCAT(Tableau119[[#This Row],[ID]],"-",Tableau119[[#This Row],[Expiration Date]])</f>
        <v>10-45412</v>
      </c>
      <c r="J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Bursa-ILN Bursa-10-FALSO-FALSO-FALSO--45412</v>
      </c>
      <c r="K22" s="435" t="str">
        <f ca="1">IF(COUNTIF(J:J,Tableau119[[#This Row],[Plant-ILN-shipper-POL-Carrier-POD-PFI]])=1,"Non","Oui")</f>
        <v>Non</v>
      </c>
      <c r="L22" s="128" t="str">
        <f>VLOOKUP(Tableau119[[#This Row],[Name Site]],Plant_AILN!A:D,4,FALSE)</f>
        <v>KOREA</v>
      </c>
      <c r="M22" s="10" t="s">
        <v>145</v>
      </c>
      <c r="N22" s="439">
        <f>VLOOKUP(Tableau119[[#This Row],[Name Site]],Plant_AILN!A:C,3,FALSE)</f>
        <v>92002200</v>
      </c>
      <c r="O22" s="55">
        <f>IF(Tableau119[[#This Row],[Name PFI/CDD]]="PFI VLL",2,VLOOKUP(Tableau119[[#This Row],[Compte Consignee]],Order!C:D,2,FALSE))</f>
        <v>2</v>
      </c>
      <c r="P22" s="116" t="s">
        <v>167</v>
      </c>
      <c r="Q22" s="365">
        <f>VLOOKUP(Tableau119[[#This Row],[Name ILN]],Plant_AILN!F:G,2,FALSE)</f>
        <v>95112</v>
      </c>
      <c r="R22" s="50">
        <f>VLOOKUP(Tableau119[[#This Row],[Compte ILN]],'DATA ILN'!D:I,6,FALSE)</f>
        <v>9</v>
      </c>
      <c r="S22" s="50" t="e">
        <f>IFERROR(VLOOKUP(Tableau119[[#This Row],[Key(Compte ILN - shipper - POL - plant)]],'DATA ILN'!A:J,10,FALSE),VLOOKUP(Tableau119[[#This Row],[Key(Compte ILN - shipper - POL)]],'DATA ILN'!B:J,9,FALSE))</f>
        <v>#N/A</v>
      </c>
      <c r="T22" s="50" t="e">
        <f>IFERROR(VLOOKUP(Tableau119[[#This Row],[Key(Compte ILN - shipper - POL - plant)]],'DATA ILN'!A:K,11,FALSE),VLOOKUP(Tableau119[[#This Row],[Key(Compte ILN - shipper - POL)]],'DATA ILN'!B:K,10,FALSE))</f>
        <v>#N/A</v>
      </c>
      <c r="U22" s="50" t="e">
        <f>IFERROR(VLOOKUP(Tableau119[[#This Row],[Key(Compte ILN - shipper - POL - plant)]],'DATA ILN'!A:L,12,FALSE),VLOOKUP(Tableau119[[#This Row],[Key(Compte ILN - shipper - POL)]],'DATA ILN'!B:L,11,FALSE))</f>
        <v>#N/A</v>
      </c>
      <c r="V22" s="50" t="e">
        <f>Tableau119[[#This Row],[Day ILN Order]]+Tableau119[[#This Row],[Delivery time to ILN/Shipper]]-1</f>
        <v>#N/A</v>
      </c>
      <c r="W22" s="50" t="e">
        <f>IFERROR(VLOOKUP(Tableau119[[#This Row],[Key(Compte ILN - shipper - POL - plant)]],'DATA ILN'!A:N,14,FALSE),VLOOKUP(Tableau119[[#This Row],[Key(Compte ILN - shipper - POL)]],'DATA ILN'!B:N,13,FALSE))</f>
        <v>#N/A</v>
      </c>
      <c r="X22" s="53" t="e">
        <f>IFERROR(VLOOKUP(Tableau119[[#This Row],[Key(Compte ILN - shipper - POL - plant)]],'DATA ILN'!A:P,16,FALSE),VLOOKUP(Tableau119[[#This Row],[Key(Compte ILN - shipper - POL)]],'DATA ILN'!B:P,15,FALSE))</f>
        <v>#N/A</v>
      </c>
      <c r="Y22" s="284" t="s">
        <v>167</v>
      </c>
      <c r="Z22" s="437">
        <f>IFERROR(VLOOKUP(Tableau119[[#This Row],[Name Shipper]],Plant_AILN!L:M,2,FALSE),0)</f>
        <v>95112</v>
      </c>
      <c r="AA22" s="406">
        <v>10</v>
      </c>
      <c r="AB22" s="396" t="b">
        <f>_xlfn.XLOOKUP(Tableau119[[#This Row],[Key(ID-date)]],'DATA BTO'!S:S,'DATA BTO'!E:E,FALSE)</f>
        <v>0</v>
      </c>
      <c r="AC22" s="3" t="b">
        <f>_xlfn.XLOOKUP(Tableau119[[#This Row],[Key(ID-date)]],'DATA BTO'!S:S,'DATA BTO'!F:F,FALSE)</f>
        <v>0</v>
      </c>
      <c r="AD22" s="50" t="b">
        <f>_xlfn.XLOOKUP(Tableau119[[#This Row],[Key(ID-date)]],'DATA BTO'!S:S,'DATA BTO'!G:G,FALSE)</f>
        <v>0</v>
      </c>
      <c r="AE22" s="50" t="b">
        <f>_xlfn.XLOOKUP(Tableau119[[#This Row],[Key(ID-date)]],'DATA BTO'!S:S,'DATA BTO'!H:H,FALSE)</f>
        <v>0</v>
      </c>
      <c r="AF22" s="50" t="e">
        <f>IF(Tableau119[[#This Row],[First Day to POL]]&lt;=Tableau119[[#This Row],[Day Cut Off]],Tableau119[[#This Row],[Day ETD]],Tableau119[[#This Row],[Day ETD]]+7)</f>
        <v>#N/A</v>
      </c>
      <c r="AG22" s="50" t="b">
        <f>_xlfn.XLOOKUP(Tableau119[[#This Row],[Key(ID-date)]],'DATA BTO'!S:S,'DATA BTO'!I:I,FALSE)</f>
        <v>0</v>
      </c>
      <c r="AH22" s="3" t="b">
        <f>_xlfn.XLOOKUP(Tableau119[[#This Row],[Key(ID-date)]],'DATA BTO'!S:S,'DATA BTO'!J:J,FALSE)</f>
        <v>0</v>
      </c>
      <c r="AI22" s="3" t="b">
        <f>_xlfn.XLOOKUP(Tableau119[[#This Row],[Key(ID-date)]],'DATA BTO'!S:S,'DATA BTO'!K:K,FALSE)</f>
        <v>0</v>
      </c>
      <c r="AJ22" s="50" t="b">
        <f>_xlfn.XLOOKUP(Tableau119[[#This Row],[Key(ID-date)]],'DATA BTO'!S:S,'DATA BTO'!L:L,FALSE)</f>
        <v>0</v>
      </c>
      <c r="AK22" s="53" t="b">
        <f>_xlfn.XLOOKUP(Tableau119[[#This Row],[Key(ID-date)]],'DATA BTO'!S:S,'DATA BTO'!N:N,FALSE)</f>
        <v>0</v>
      </c>
      <c r="AL22" s="54" t="e">
        <f>VLOOKUP(Tableau119[[#This Row],[Key(POD -PFI- Usine)]],'DATA Consignee'!A:F,6,FALSE)</f>
        <v>#N/A</v>
      </c>
      <c r="AM22" s="127"/>
      <c r="AN22" s="438" t="str">
        <f>IF(Tableau119[[#This Row],[Name PFI/CDD]]="","-",VLOOKUP(Tableau119[[#This Row],[Name PFI/CDD]],Plant_AILN!I:J,2,FALSE))</f>
        <v>-</v>
      </c>
      <c r="AO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" s="2" t="e">
        <f>VLOOKUP(Tableau119[[#This Row],[Key(POD -PFI- Usine)]],'DATA Consignee'!A:J,10,FALSE)</f>
        <v>#N/A</v>
      </c>
      <c r="AR22" s="50" t="e">
        <f>VLOOKUP(Tableau119[[#This Row],[Key(POD -PFI- Usine)]],'DATA Consignee'!A:N,14,FALSE)</f>
        <v>#N/A</v>
      </c>
      <c r="AS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" s="50">
        <f>Tableau119[[#This Row],[Transit time]]+Tableau119[[#This Row],[Time for security]]+Tableau119[[#This Row],[Time for security2 buffer]]</f>
        <v>0</v>
      </c>
      <c r="AV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" s="433" t="e">
        <f>Tableau119[[#This Row],[Leadtime SI2C]]+Tableau119[[#This Row],[First Receipt Days]]-Tableau119[[#This Row],[Day Customer Order]]+1</f>
        <v>#N/A</v>
      </c>
      <c r="AX22" s="119" t="e">
        <f>IF(Tableau119[[#This Row],[Name ILN]]&lt;&gt;"SFK Freight Forwarder",Tableau119[[#This Row],[Cust. Leadtime]],Tableau119[[#This Row],[Leadtime SI2C]])</f>
        <v>#N/A</v>
      </c>
      <c r="AY22" s="51" t="b">
        <f>_xlfn.XLOOKUP(Tableau119[[#This Row],[Key(ID-date)]],'DATA BTO'!S:S,'DATA BTO'!P:P,FALSE)</f>
        <v>0</v>
      </c>
      <c r="AZ22" s="338">
        <v>45412</v>
      </c>
      <c r="BA22" s="50"/>
    </row>
    <row r="23" spans="2:53">
      <c r="B23" s="67" t="str">
        <f>_xlfn.CONCAT(Tableau119[[#This Row],[Name ILN]],"-",Tableau119[[#This Row],[Name Shipper]],"-",Tableau119[[#This Row],[Name Site]])</f>
        <v>ILN Bursa-ILN Bursa-CORDOBA</v>
      </c>
      <c r="C23" s="67" t="str">
        <f>_xlfn.CONCAT(Tableau119[[#This Row],[Compte ILN]],"-",Tableau119[[#This Row],[Compte Shipper]],"-",Tableau119[[#This Row],[POL]],"-",Tableau119[[#This Row],[Compte Consignee]])</f>
        <v>95112-95112-FALSO-90016000</v>
      </c>
      <c r="D23" s="66" t="str">
        <f>_xlfn.CONCAT(Tableau119[[#This Row],[Compte ILN]],"-",Tableau119[[#This Row],[Compte Shipper]],"-",Tableau119[[#This Row],[POL]])</f>
        <v>95112-95112-FALSO</v>
      </c>
      <c r="E23" s="434" t="str">
        <f>_xlfn.CONCAT(Tableau119[[#This Row],[POL]],"-",Tableau119[[#This Row],[Carrier]],"-",Tableau119[[#This Row],[POD]])</f>
        <v>FALSO-FALSO-FALSO</v>
      </c>
      <c r="F23" s="66" t="str">
        <f>_xlfn.CONCAT(Tableau119[[#This Row],[ID]],"-","Actif")</f>
        <v>11-Actif</v>
      </c>
      <c r="G23" s="66" t="str">
        <f>_xlfn.CONCAT(Tableau119[[#This Row],[POD]],"-",Tableau119[[#This Row],[Code PFI]],"-",Tableau119[[#This Row],[Compte Consignee]])</f>
        <v>FALSO---90016000</v>
      </c>
      <c r="H2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BursaFALSOCORDOBA</v>
      </c>
      <c r="I23" s="434" t="str">
        <f>_xlfn.CONCAT(Tableau119[[#This Row],[ID]],"-",Tableau119[[#This Row],[Expiration Date]])</f>
        <v>11-46142</v>
      </c>
      <c r="J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Bursa-ILN Bursa-11-FALSO-FALSO-FALSO--46142</v>
      </c>
      <c r="K23" s="435" t="str">
        <f ca="1">IF(COUNTIF(J:J,Tableau119[[#This Row],[Plant-ILN-shipper-POL-Carrier-POD-PFI]])=1,"Non","Oui")</f>
        <v>Non</v>
      </c>
      <c r="L23" s="436" t="str">
        <f>VLOOKUP(Tableau119[[#This Row],[Name Site]],Plant_AILN!A:D,4,FALSE)</f>
        <v>ARGENTINA</v>
      </c>
      <c r="M23" s="285" t="s">
        <v>158</v>
      </c>
      <c r="N23" s="439">
        <f>VLOOKUP(Tableau119[[#This Row],[Name Site]],Plant_AILN!A:C,3,FALSE)</f>
        <v>90016000</v>
      </c>
      <c r="O23" s="55">
        <f>IF(Tableau119[[#This Row],[Name PFI/CDD]]="PFI VLL",2,VLOOKUP(Tableau119[[#This Row],[Compte Consignee]],Order!C:D,2,FALSE))</f>
        <v>7</v>
      </c>
      <c r="P23" s="116" t="s">
        <v>167</v>
      </c>
      <c r="Q23" s="365">
        <f>VLOOKUP(Tableau119[[#This Row],[Name ILN]],Plant_AILN!F:G,2,FALSE)</f>
        <v>95112</v>
      </c>
      <c r="R23" s="50">
        <f>VLOOKUP(Tableau119[[#This Row],[Compte ILN]],'DATA ILN'!D:I,6,FALSE)</f>
        <v>9</v>
      </c>
      <c r="S23" s="50" t="e">
        <f>IFERROR(VLOOKUP(Tableau119[[#This Row],[Key(Compte ILN - shipper - POL - plant)]],'DATA ILN'!A:J,10,FALSE),VLOOKUP(Tableau119[[#This Row],[Key(Compte ILN - shipper - POL)]],'DATA ILN'!B:J,9,FALSE))</f>
        <v>#N/A</v>
      </c>
      <c r="T23" s="50" t="e">
        <f>IFERROR(VLOOKUP(Tableau119[[#This Row],[Key(Compte ILN - shipper - POL - plant)]],'DATA ILN'!A:K,11,FALSE),VLOOKUP(Tableau119[[#This Row],[Key(Compte ILN - shipper - POL)]],'DATA ILN'!B:K,10,FALSE))</f>
        <v>#N/A</v>
      </c>
      <c r="U23" s="50" t="e">
        <f>IFERROR(VLOOKUP(Tableau119[[#This Row],[Key(Compte ILN - shipper - POL - plant)]],'DATA ILN'!A:L,12,FALSE),VLOOKUP(Tableau119[[#This Row],[Key(Compte ILN - shipper - POL)]],'DATA ILN'!B:L,11,FALSE))</f>
        <v>#N/A</v>
      </c>
      <c r="V23" s="50" t="e">
        <f>Tableau119[[#This Row],[Day ILN Order]]+Tableau119[[#This Row],[Delivery time to ILN/Shipper]]-1</f>
        <v>#N/A</v>
      </c>
      <c r="W23" s="50" t="e">
        <f>IFERROR(VLOOKUP(Tableau119[[#This Row],[Key(Compte ILN - shipper - POL - plant)]],'DATA ILN'!A:N,14,FALSE),VLOOKUP(Tableau119[[#This Row],[Key(Compte ILN - shipper - POL)]],'DATA ILN'!B:N,13,FALSE))</f>
        <v>#N/A</v>
      </c>
      <c r="X23" s="53" t="e">
        <f>IFERROR(VLOOKUP(Tableau119[[#This Row],[Key(Compte ILN - shipper - POL - plant)]],'DATA ILN'!A:P,16,FALSE),VLOOKUP(Tableau119[[#This Row],[Key(Compte ILN - shipper - POL)]],'DATA ILN'!B:P,15,FALSE))</f>
        <v>#N/A</v>
      </c>
      <c r="Y23" s="284" t="s">
        <v>167</v>
      </c>
      <c r="Z23" s="437">
        <f>IFERROR(VLOOKUP(Tableau119[[#This Row],[Name Shipper]],Plant_AILN!L:M,2,FALSE),0)</f>
        <v>95112</v>
      </c>
      <c r="AA23" s="406">
        <v>11</v>
      </c>
      <c r="AB23" s="396" t="b">
        <f>_xlfn.XLOOKUP(Tableau119[[#This Row],[Key(ID-date)]],'DATA BTO'!S:S,'DATA BTO'!E:E,FALSE)</f>
        <v>0</v>
      </c>
      <c r="AC23" s="3" t="b">
        <f>_xlfn.XLOOKUP(Tableau119[[#This Row],[Key(ID-date)]],'DATA BTO'!S:S,'DATA BTO'!F:F,FALSE)</f>
        <v>0</v>
      </c>
      <c r="AD23" s="50" t="b">
        <f>_xlfn.XLOOKUP(Tableau119[[#This Row],[Key(ID-date)]],'DATA BTO'!S:S,'DATA BTO'!G:G,FALSE)</f>
        <v>0</v>
      </c>
      <c r="AE23" s="50" t="b">
        <f>_xlfn.XLOOKUP(Tableau119[[#This Row],[Key(ID-date)]],'DATA BTO'!S:S,'DATA BTO'!H:H,FALSE)</f>
        <v>0</v>
      </c>
      <c r="AF23" s="50" t="e">
        <f>IF(Tableau119[[#This Row],[First Day to POL]]&lt;=Tableau119[[#This Row],[Day Cut Off]],Tableau119[[#This Row],[Day ETD]],Tableau119[[#This Row],[Day ETD]]+7)</f>
        <v>#N/A</v>
      </c>
      <c r="AG23" s="50" t="b">
        <f>_xlfn.XLOOKUP(Tableau119[[#This Row],[Key(ID-date)]],'DATA BTO'!S:S,'DATA BTO'!I:I,FALSE)</f>
        <v>0</v>
      </c>
      <c r="AH23" s="3" t="b">
        <f>_xlfn.XLOOKUP(Tableau119[[#This Row],[Key(ID-date)]],'DATA BTO'!S:S,'DATA BTO'!J:J,FALSE)</f>
        <v>0</v>
      </c>
      <c r="AI23" s="3" t="b">
        <f>_xlfn.XLOOKUP(Tableau119[[#This Row],[Key(ID-date)]],'DATA BTO'!S:S,'DATA BTO'!K:K,FALSE)</f>
        <v>0</v>
      </c>
      <c r="AJ23" s="50" t="b">
        <f>_xlfn.XLOOKUP(Tableau119[[#This Row],[Key(ID-date)]],'DATA BTO'!S:S,'DATA BTO'!L:L,FALSE)</f>
        <v>0</v>
      </c>
      <c r="AK23" s="53" t="b">
        <f>_xlfn.XLOOKUP(Tableau119[[#This Row],[Key(ID-date)]],'DATA BTO'!S:S,'DATA BTO'!N:N,FALSE)</f>
        <v>0</v>
      </c>
      <c r="AL23" s="54" t="e">
        <f>VLOOKUP(Tableau119[[#This Row],[Key(POD -PFI- Usine)]],'DATA Consignee'!A:F,6,FALSE)</f>
        <v>#N/A</v>
      </c>
      <c r="AM23" s="127"/>
      <c r="AN23" s="438" t="str">
        <f>IF(Tableau119[[#This Row],[Name PFI/CDD]]="","-",VLOOKUP(Tableau119[[#This Row],[Name PFI/CDD]],Plant_AILN!I:J,2,FALSE))</f>
        <v>-</v>
      </c>
      <c r="AO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" s="2" t="e">
        <f>VLOOKUP(Tableau119[[#This Row],[Key(POD -PFI- Usine)]],'DATA Consignee'!A:J,10,FALSE)</f>
        <v>#N/A</v>
      </c>
      <c r="AR23" s="50" t="e">
        <f>VLOOKUP(Tableau119[[#This Row],[Key(POD -PFI- Usine)]],'DATA Consignee'!A:N,14,FALSE)</f>
        <v>#N/A</v>
      </c>
      <c r="AS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" s="50">
        <f>Tableau119[[#This Row],[Transit time]]+Tableau119[[#This Row],[Time for security]]+Tableau119[[#This Row],[Time for security2 buffer]]</f>
        <v>0</v>
      </c>
      <c r="AV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" s="433" t="e">
        <f>Tableau119[[#This Row],[Leadtime SI2C]]+Tableau119[[#This Row],[First Receipt Days]]-Tableau119[[#This Row],[Day Customer Order]]+1</f>
        <v>#N/A</v>
      </c>
      <c r="AX23" s="119" t="e">
        <f>IF(Tableau119[[#This Row],[Name ILN]]&lt;&gt;"SFK Freight Forwarder",Tableau119[[#This Row],[Cust. Leadtime]],Tableau119[[#This Row],[Leadtime SI2C]])</f>
        <v>#N/A</v>
      </c>
      <c r="AY23" s="51" t="b">
        <f>_xlfn.XLOOKUP(Tableau119[[#This Row],[Key(ID-date)]],'DATA BTO'!S:S,'DATA BTO'!P:P,FALSE)</f>
        <v>0</v>
      </c>
      <c r="AZ23" s="338">
        <v>46142</v>
      </c>
      <c r="BA23" s="50"/>
    </row>
    <row r="24" spans="2:53">
      <c r="B24" s="474" t="str">
        <f>_xlfn.CONCAT(Tableau119[[#This Row],[Name ILN]],"-",Tableau119[[#This Row],[Name Shipper]],"-",Tableau119[[#This Row],[Name Site]])</f>
        <v>ILN Bursa-ILN Bursa-CORDOBA</v>
      </c>
      <c r="C24" s="67" t="str">
        <f>_xlfn.CONCAT(Tableau119[[#This Row],[Compte ILN]],"-",Tableau119[[#This Row],[Compte Shipper]],"-",Tableau119[[#This Row],[POL]],"-",Tableau119[[#This Row],[Compte Consignee]])</f>
        <v>95112-95112-FALSO-90016000</v>
      </c>
      <c r="D24" s="66" t="str">
        <f>_xlfn.CONCAT(Tableau119[[#This Row],[Compte ILN]],"-",Tableau119[[#This Row],[Compte Shipper]],"-",Tableau119[[#This Row],[POL]])</f>
        <v>95112-95112-FALSO</v>
      </c>
      <c r="E24" s="434" t="str">
        <f>_xlfn.CONCAT(Tableau119[[#This Row],[POL]],"-",Tableau119[[#This Row],[Carrier]],"-",Tableau119[[#This Row],[POD]])</f>
        <v>FALSO-FALSO-FALSO</v>
      </c>
      <c r="F24" s="66" t="str">
        <f>_xlfn.CONCAT(Tableau119[[#This Row],[ID]],"-","Actif")</f>
        <v>11-Actif</v>
      </c>
      <c r="G24" s="66" t="str">
        <f>_xlfn.CONCAT(Tableau119[[#This Row],[POD]],"-",Tableau119[[#This Row],[Code PFI]],"-",Tableau119[[#This Row],[Compte Consignee]])</f>
        <v>FALSO---90016000</v>
      </c>
      <c r="H2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BursaFALSOCORDOBA</v>
      </c>
      <c r="I24" s="434" t="str">
        <f>_xlfn.CONCAT(Tableau119[[#This Row],[ID]],"-",Tableau119[[#This Row],[Expiration Date]])</f>
        <v>11-45904</v>
      </c>
      <c r="J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Bursa-ILN Bursa-11-FALSO-FALSO-FALSO--45904</v>
      </c>
      <c r="K24" s="435" t="str">
        <f ca="1">IF(COUNTIF(J:J,Tableau119[[#This Row],[Plant-ILN-shipper-POL-Carrier-POD-PFI]])=1,"Non","Oui")</f>
        <v>Non</v>
      </c>
      <c r="L24" s="128" t="str">
        <f>VLOOKUP(Tableau119[[#This Row],[Name Site]],Plant_AILN!A:D,4,FALSE)</f>
        <v>ARGENTINA</v>
      </c>
      <c r="M24" s="285" t="s">
        <v>158</v>
      </c>
      <c r="N24" s="439">
        <f>VLOOKUP(Tableau119[[#This Row],[Name Site]],Plant_AILN!A:C,3,FALSE)</f>
        <v>90016000</v>
      </c>
      <c r="O24" s="55">
        <f>IF(Tableau119[[#This Row],[Name PFI/CDD]]="PFI VLL",2,VLOOKUP(Tableau119[[#This Row],[Compte Consignee]],Order!C:D,2,FALSE))</f>
        <v>7</v>
      </c>
      <c r="P24" s="116" t="s">
        <v>167</v>
      </c>
      <c r="Q24" s="365">
        <f>VLOOKUP(Tableau119[[#This Row],[Name ILN]],Plant_AILN!F:G,2,FALSE)</f>
        <v>95112</v>
      </c>
      <c r="R24" s="50">
        <f>VLOOKUP(Tableau119[[#This Row],[Compte ILN]],'DATA ILN'!D:I,6,FALSE)</f>
        <v>9</v>
      </c>
      <c r="S24" s="50" t="e">
        <f>IFERROR(VLOOKUP(Tableau119[[#This Row],[Key(Compte ILN - shipper - POL - plant)]],'DATA ILN'!A:J,10,FALSE),VLOOKUP(Tableau119[[#This Row],[Key(Compte ILN - shipper - POL)]],'DATA ILN'!B:J,9,FALSE))</f>
        <v>#N/A</v>
      </c>
      <c r="T24" s="50" t="e">
        <f>IFERROR(VLOOKUP(Tableau119[[#This Row],[Key(Compte ILN - shipper - POL - plant)]],'DATA ILN'!A:K,11,FALSE),VLOOKUP(Tableau119[[#This Row],[Key(Compte ILN - shipper - POL)]],'DATA ILN'!B:K,10,FALSE))</f>
        <v>#N/A</v>
      </c>
      <c r="U24" s="50" t="e">
        <f>IFERROR(VLOOKUP(Tableau119[[#This Row],[Key(Compte ILN - shipper - POL - plant)]],'DATA ILN'!A:L,12,FALSE),VLOOKUP(Tableau119[[#This Row],[Key(Compte ILN - shipper - POL)]],'DATA ILN'!B:L,11,FALSE))</f>
        <v>#N/A</v>
      </c>
      <c r="V24" s="50" t="e">
        <f>Tableau119[[#This Row],[Day ILN Order]]+Tableau119[[#This Row],[Delivery time to ILN/Shipper]]-1</f>
        <v>#N/A</v>
      </c>
      <c r="W24" s="50" t="e">
        <f>IFERROR(VLOOKUP(Tableau119[[#This Row],[Key(Compte ILN - shipper - POL - plant)]],'DATA ILN'!A:N,14,FALSE),VLOOKUP(Tableau119[[#This Row],[Key(Compte ILN - shipper - POL)]],'DATA ILN'!B:N,13,FALSE))</f>
        <v>#N/A</v>
      </c>
      <c r="X24" s="53" t="e">
        <f>IFERROR(VLOOKUP(Tableau119[[#This Row],[Key(Compte ILN - shipper - POL - plant)]],'DATA ILN'!A:P,16,FALSE),VLOOKUP(Tableau119[[#This Row],[Key(Compte ILN - shipper - POL)]],'DATA ILN'!B:P,15,FALSE))</f>
        <v>#N/A</v>
      </c>
      <c r="Y24" s="284" t="s">
        <v>167</v>
      </c>
      <c r="Z24" s="437">
        <f>IFERROR(VLOOKUP(Tableau119[[#This Row],[Name Shipper]],Plant_AILN!L:M,2,FALSE),0)</f>
        <v>95112</v>
      </c>
      <c r="AA24" s="406">
        <v>11</v>
      </c>
      <c r="AB24" s="396" t="b">
        <f>_xlfn.XLOOKUP(Tableau119[[#This Row],[Key(ID-date)]],'DATA BTO'!S:S,'DATA BTO'!E:E,FALSE)</f>
        <v>0</v>
      </c>
      <c r="AC24" s="3" t="b">
        <f>_xlfn.XLOOKUP(Tableau119[[#This Row],[Key(ID-date)]],'DATA BTO'!S:S,'DATA BTO'!F:F,FALSE)</f>
        <v>0</v>
      </c>
      <c r="AD24" s="50" t="b">
        <f>_xlfn.XLOOKUP(Tableau119[[#This Row],[Key(ID-date)]],'DATA BTO'!S:S,'DATA BTO'!G:G,FALSE)</f>
        <v>0</v>
      </c>
      <c r="AE24" s="50" t="b">
        <f>_xlfn.XLOOKUP(Tableau119[[#This Row],[Key(ID-date)]],'DATA BTO'!S:S,'DATA BTO'!H:H,FALSE)</f>
        <v>0</v>
      </c>
      <c r="AF24" s="50" t="e">
        <f>IF(Tableau119[[#This Row],[First Day to POL]]&lt;=Tableau119[[#This Row],[Day Cut Off]],Tableau119[[#This Row],[Day ETD]],Tableau119[[#This Row],[Day ETD]]+7)</f>
        <v>#N/A</v>
      </c>
      <c r="AG24" s="50" t="b">
        <f>_xlfn.XLOOKUP(Tableau119[[#This Row],[Key(ID-date)]],'DATA BTO'!S:S,'DATA BTO'!I:I,FALSE)</f>
        <v>0</v>
      </c>
      <c r="AH24" s="3" t="b">
        <f>_xlfn.XLOOKUP(Tableau119[[#This Row],[Key(ID-date)]],'DATA BTO'!S:S,'DATA BTO'!J:J,FALSE)</f>
        <v>0</v>
      </c>
      <c r="AI24" s="3" t="b">
        <f>_xlfn.XLOOKUP(Tableau119[[#This Row],[Key(ID-date)]],'DATA BTO'!S:S,'DATA BTO'!K:K,FALSE)</f>
        <v>0</v>
      </c>
      <c r="AJ24" s="50" t="b">
        <f>_xlfn.XLOOKUP(Tableau119[[#This Row],[Key(ID-date)]],'DATA BTO'!S:S,'DATA BTO'!L:L,FALSE)</f>
        <v>0</v>
      </c>
      <c r="AK24" s="53" t="b">
        <f>_xlfn.XLOOKUP(Tableau119[[#This Row],[Key(ID-date)]],'DATA BTO'!S:S,'DATA BTO'!N:N,FALSE)</f>
        <v>0</v>
      </c>
      <c r="AL24" s="54" t="e">
        <f>VLOOKUP(Tableau119[[#This Row],[Key(POD -PFI- Usine)]],'DATA Consignee'!A:F,6,FALSE)</f>
        <v>#N/A</v>
      </c>
      <c r="AM24" s="127"/>
      <c r="AN24" s="438" t="str">
        <f>IF(Tableau119[[#This Row],[Name PFI/CDD]]="","-",VLOOKUP(Tableau119[[#This Row],[Name PFI/CDD]],Plant_AILN!I:J,2,FALSE))</f>
        <v>-</v>
      </c>
      <c r="AO2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" s="2" t="e">
        <f>VLOOKUP(Tableau119[[#This Row],[Key(POD -PFI- Usine)]],'DATA Consignee'!A:J,10,FALSE)</f>
        <v>#N/A</v>
      </c>
      <c r="AR24" s="50" t="e">
        <f>VLOOKUP(Tableau119[[#This Row],[Key(POD -PFI- Usine)]],'DATA Consignee'!A:N,14,FALSE)</f>
        <v>#N/A</v>
      </c>
      <c r="AS2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" s="50">
        <f>Tableau119[[#This Row],[Transit time]]+Tableau119[[#This Row],[Time for security]]+Tableau119[[#This Row],[Time for security2 buffer]]</f>
        <v>0</v>
      </c>
      <c r="AV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" s="433" t="e">
        <f>Tableau119[[#This Row],[Leadtime SI2C]]+Tableau119[[#This Row],[First Receipt Days]]-Tableau119[[#This Row],[Day Customer Order]]+1</f>
        <v>#N/A</v>
      </c>
      <c r="AX24" s="119" t="e">
        <f>IF(Tableau119[[#This Row],[Name ILN]]&lt;&gt;"SFK Freight Forwarder",Tableau119[[#This Row],[Cust. Leadtime]],Tableau119[[#This Row],[Leadtime SI2C]])</f>
        <v>#N/A</v>
      </c>
      <c r="AY24" s="51" t="b">
        <f>_xlfn.XLOOKUP(Tableau119[[#This Row],[Key(ID-date)]],'DATA BTO'!S:S,'DATA BTO'!P:P,FALSE)</f>
        <v>0</v>
      </c>
      <c r="AZ24" s="338">
        <v>45904</v>
      </c>
      <c r="BA24" s="50"/>
    </row>
    <row r="25" spans="2:53">
      <c r="B25" s="474" t="str">
        <f>_xlfn.CONCAT(Tableau119[[#This Row],[Name ILN]],"-",Tableau119[[#This Row],[Name Shipper]],"-",Tableau119[[#This Row],[Name Site]])</f>
        <v>ILN Bursa-ILN Bursa-CORDOBA</v>
      </c>
      <c r="C25" s="67" t="str">
        <f>_xlfn.CONCAT(Tableau119[[#This Row],[Compte ILN]],"-",Tableau119[[#This Row],[Compte Shipper]],"-",Tableau119[[#This Row],[POL]],"-",Tableau119[[#This Row],[Compte Consignee]])</f>
        <v>95112-95112-FALSO-90016000</v>
      </c>
      <c r="D25" s="66" t="str">
        <f>_xlfn.CONCAT(Tableau119[[#This Row],[Compte ILN]],"-",Tableau119[[#This Row],[Compte Shipper]],"-",Tableau119[[#This Row],[POL]])</f>
        <v>95112-95112-FALSO</v>
      </c>
      <c r="E25" s="434" t="str">
        <f>_xlfn.CONCAT(Tableau119[[#This Row],[POL]],"-",Tableau119[[#This Row],[Carrier]],"-",Tableau119[[#This Row],[POD]])</f>
        <v>FALSO-FALSO-FALSO</v>
      </c>
      <c r="F25" s="66" t="str">
        <f>_xlfn.CONCAT(Tableau119[[#This Row],[ID]],"-","Actif")</f>
        <v>11-Actif</v>
      </c>
      <c r="G25" s="66" t="str">
        <f>_xlfn.CONCAT(Tableau119[[#This Row],[POD]],"-",Tableau119[[#This Row],[Code PFI]],"-",Tableau119[[#This Row],[Compte Consignee]])</f>
        <v>FALSO---90016000</v>
      </c>
      <c r="H2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BursaFALSOCORDOBA</v>
      </c>
      <c r="I25" s="434" t="str">
        <f>_xlfn.CONCAT(Tableau119[[#This Row],[ID]],"-",Tableau119[[#This Row],[Expiration Date]])</f>
        <v>11-45869</v>
      </c>
      <c r="J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Bursa-ILN Bursa-11-FALSO-FALSO-FALSO--45869</v>
      </c>
      <c r="K25" s="435" t="str">
        <f ca="1">IF(COUNTIF(J:J,Tableau119[[#This Row],[Plant-ILN-shipper-POL-Carrier-POD-PFI]])=1,"Non","Oui")</f>
        <v>Non</v>
      </c>
      <c r="L25" s="128" t="str">
        <f>VLOOKUP(Tableau119[[#This Row],[Name Site]],Plant_AILN!A:D,4,FALSE)</f>
        <v>ARGENTINA</v>
      </c>
      <c r="M25" s="285" t="s">
        <v>158</v>
      </c>
      <c r="N25" s="439">
        <f>VLOOKUP(Tableau119[[#This Row],[Name Site]],Plant_AILN!A:C,3,FALSE)</f>
        <v>90016000</v>
      </c>
      <c r="O25" s="55">
        <f>IF(Tableau119[[#This Row],[Name PFI/CDD]]="PFI VLL",2,VLOOKUP(Tableau119[[#This Row],[Compte Consignee]],Order!C:D,2,FALSE))</f>
        <v>7</v>
      </c>
      <c r="P25" s="116" t="s">
        <v>167</v>
      </c>
      <c r="Q25" s="365">
        <f>VLOOKUP(Tableau119[[#This Row],[Name ILN]],Plant_AILN!F:G,2,FALSE)</f>
        <v>95112</v>
      </c>
      <c r="R25" s="50">
        <f>VLOOKUP(Tableau119[[#This Row],[Compte ILN]],'DATA ILN'!D:I,6,FALSE)</f>
        <v>9</v>
      </c>
      <c r="S25" s="50" t="e">
        <f>IFERROR(VLOOKUP(Tableau119[[#This Row],[Key(Compte ILN - shipper - POL - plant)]],'DATA ILN'!A:J,10,FALSE),VLOOKUP(Tableau119[[#This Row],[Key(Compte ILN - shipper - POL)]],'DATA ILN'!B:J,9,FALSE))</f>
        <v>#N/A</v>
      </c>
      <c r="T25" s="50" t="e">
        <f>IFERROR(VLOOKUP(Tableau119[[#This Row],[Key(Compte ILN - shipper - POL - plant)]],'DATA ILN'!A:K,11,FALSE),VLOOKUP(Tableau119[[#This Row],[Key(Compte ILN - shipper - POL)]],'DATA ILN'!B:K,10,FALSE))</f>
        <v>#N/A</v>
      </c>
      <c r="U25" s="50" t="e">
        <f>IFERROR(VLOOKUP(Tableau119[[#This Row],[Key(Compte ILN - shipper - POL - plant)]],'DATA ILN'!A:L,12,FALSE),VLOOKUP(Tableau119[[#This Row],[Key(Compte ILN - shipper - POL)]],'DATA ILN'!B:L,11,FALSE))</f>
        <v>#N/A</v>
      </c>
      <c r="V25" s="50" t="e">
        <f>Tableau119[[#This Row],[Day ILN Order]]+Tableau119[[#This Row],[Delivery time to ILN/Shipper]]-1</f>
        <v>#N/A</v>
      </c>
      <c r="W25" s="50" t="e">
        <f>IFERROR(VLOOKUP(Tableau119[[#This Row],[Key(Compte ILN - shipper - POL - plant)]],'DATA ILN'!A:N,14,FALSE),VLOOKUP(Tableau119[[#This Row],[Key(Compte ILN - shipper - POL)]],'DATA ILN'!B:N,13,FALSE))</f>
        <v>#N/A</v>
      </c>
      <c r="X25" s="53" t="e">
        <f>IFERROR(VLOOKUP(Tableau119[[#This Row],[Key(Compte ILN - shipper - POL - plant)]],'DATA ILN'!A:P,16,FALSE),VLOOKUP(Tableau119[[#This Row],[Key(Compte ILN - shipper - POL)]],'DATA ILN'!B:P,15,FALSE))</f>
        <v>#N/A</v>
      </c>
      <c r="Y25" s="284" t="s">
        <v>167</v>
      </c>
      <c r="Z25" s="437">
        <f>IFERROR(VLOOKUP(Tableau119[[#This Row],[Name Shipper]],Plant_AILN!L:M,2,FALSE),0)</f>
        <v>95112</v>
      </c>
      <c r="AA25" s="406">
        <v>11</v>
      </c>
      <c r="AB25" s="396" t="b">
        <f>_xlfn.XLOOKUP(Tableau119[[#This Row],[Key(ID-date)]],'DATA BTO'!S:S,'DATA BTO'!E:E,FALSE)</f>
        <v>0</v>
      </c>
      <c r="AC25" s="3" t="b">
        <f>_xlfn.XLOOKUP(Tableau119[[#This Row],[Key(ID-date)]],'DATA BTO'!S:S,'DATA BTO'!F:F,FALSE)</f>
        <v>0</v>
      </c>
      <c r="AD25" s="50" t="b">
        <f>_xlfn.XLOOKUP(Tableau119[[#This Row],[Key(ID-date)]],'DATA BTO'!S:S,'DATA BTO'!G:G,FALSE)</f>
        <v>0</v>
      </c>
      <c r="AE25" s="50" t="b">
        <f>_xlfn.XLOOKUP(Tableau119[[#This Row],[Key(ID-date)]],'DATA BTO'!S:S,'DATA BTO'!H:H,FALSE)</f>
        <v>0</v>
      </c>
      <c r="AF25" s="50" t="e">
        <f>IF(Tableau119[[#This Row],[First Day to POL]]&lt;=Tableau119[[#This Row],[Day Cut Off]],Tableau119[[#This Row],[Day ETD]],Tableau119[[#This Row],[Day ETD]]+7)</f>
        <v>#N/A</v>
      </c>
      <c r="AG25" s="50" t="b">
        <f>_xlfn.XLOOKUP(Tableau119[[#This Row],[Key(ID-date)]],'DATA BTO'!S:S,'DATA BTO'!I:I,FALSE)</f>
        <v>0</v>
      </c>
      <c r="AH25" s="3" t="b">
        <f>_xlfn.XLOOKUP(Tableau119[[#This Row],[Key(ID-date)]],'DATA BTO'!S:S,'DATA BTO'!J:J,FALSE)</f>
        <v>0</v>
      </c>
      <c r="AI25" s="3" t="b">
        <f>_xlfn.XLOOKUP(Tableau119[[#This Row],[Key(ID-date)]],'DATA BTO'!S:S,'DATA BTO'!K:K,FALSE)</f>
        <v>0</v>
      </c>
      <c r="AJ25" s="50" t="b">
        <f>_xlfn.XLOOKUP(Tableau119[[#This Row],[Key(ID-date)]],'DATA BTO'!S:S,'DATA BTO'!L:L,FALSE)</f>
        <v>0</v>
      </c>
      <c r="AK25" s="53" t="b">
        <f>_xlfn.XLOOKUP(Tableau119[[#This Row],[Key(ID-date)]],'DATA BTO'!S:S,'DATA BTO'!N:N,FALSE)</f>
        <v>0</v>
      </c>
      <c r="AL25" s="54" t="e">
        <f>VLOOKUP(Tableau119[[#This Row],[Key(POD -PFI- Usine)]],'DATA Consignee'!A:F,6,FALSE)</f>
        <v>#N/A</v>
      </c>
      <c r="AM25" s="127"/>
      <c r="AN25" s="438" t="str">
        <f>IF(Tableau119[[#This Row],[Name PFI/CDD]]="","-",VLOOKUP(Tableau119[[#This Row],[Name PFI/CDD]],Plant_AILN!I:J,2,FALSE))</f>
        <v>-</v>
      </c>
      <c r="AO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" s="2" t="e">
        <f>VLOOKUP(Tableau119[[#This Row],[Key(POD -PFI- Usine)]],'DATA Consignee'!A:J,10,FALSE)</f>
        <v>#N/A</v>
      </c>
      <c r="AR25" s="50" t="e">
        <f>VLOOKUP(Tableau119[[#This Row],[Key(POD -PFI- Usine)]],'DATA Consignee'!A:N,14,FALSE)</f>
        <v>#N/A</v>
      </c>
      <c r="AS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" s="50">
        <f>Tableau119[[#This Row],[Transit time]]+Tableau119[[#This Row],[Time for security]]+Tableau119[[#This Row],[Time for security2 buffer]]</f>
        <v>0</v>
      </c>
      <c r="AV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" s="433" t="e">
        <f>Tableau119[[#This Row],[Leadtime SI2C]]+Tableau119[[#This Row],[First Receipt Days]]-Tableau119[[#This Row],[Day Customer Order]]+1</f>
        <v>#N/A</v>
      </c>
      <c r="AX25" s="119" t="e">
        <f>IF(Tableau119[[#This Row],[Name ILN]]&lt;&gt;"SFK Freight Forwarder",Tableau119[[#This Row],[Cust. Leadtime]],Tableau119[[#This Row],[Leadtime SI2C]])</f>
        <v>#N/A</v>
      </c>
      <c r="AY25" s="51" t="b">
        <f>_xlfn.XLOOKUP(Tableau119[[#This Row],[Key(ID-date)]],'DATA BTO'!S:S,'DATA BTO'!P:P,FALSE)</f>
        <v>0</v>
      </c>
      <c r="AZ25" s="338">
        <v>45869</v>
      </c>
      <c r="BA25" s="50"/>
    </row>
    <row r="26" spans="2:53">
      <c r="B26" s="474" t="str">
        <f>_xlfn.CONCAT(Tableau119[[#This Row],[Name ILN]],"-",Tableau119[[#This Row],[Name Shipper]],"-",Tableau119[[#This Row],[Name Site]])</f>
        <v>ILN Bursa-ILN Bursa-CORDOBA</v>
      </c>
      <c r="C26" s="67" t="str">
        <f>_xlfn.CONCAT(Tableau119[[#This Row],[Compte ILN]],"-",Tableau119[[#This Row],[Compte Shipper]],"-",Tableau119[[#This Row],[POL]],"-",Tableau119[[#This Row],[Compte Consignee]])</f>
        <v>95112-95112-FALSO-90016000</v>
      </c>
      <c r="D26" s="66" t="str">
        <f>_xlfn.CONCAT(Tableau119[[#This Row],[Compte ILN]],"-",Tableau119[[#This Row],[Compte Shipper]],"-",Tableau119[[#This Row],[POL]])</f>
        <v>95112-95112-FALSO</v>
      </c>
      <c r="E26" s="434" t="str">
        <f>_xlfn.CONCAT(Tableau119[[#This Row],[POL]],"-",Tableau119[[#This Row],[Carrier]],"-",Tableau119[[#This Row],[POD]])</f>
        <v>FALSO-FALSO-FALSO</v>
      </c>
      <c r="F26" s="66" t="str">
        <f>_xlfn.CONCAT(Tableau119[[#This Row],[ID]],"-","Actif")</f>
        <v>11-Actif</v>
      </c>
      <c r="G26" s="66" t="str">
        <f>_xlfn.CONCAT(Tableau119[[#This Row],[POD]],"-",Tableau119[[#This Row],[Code PFI]],"-",Tableau119[[#This Row],[Compte Consignee]])</f>
        <v>FALSO---90016000</v>
      </c>
      <c r="H2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BursaFALSOCORDOBA</v>
      </c>
      <c r="I26" s="434" t="str">
        <f>_xlfn.CONCAT(Tableau119[[#This Row],[ID]],"-",Tableau119[[#This Row],[Expiration Date]])</f>
        <v>11-45777</v>
      </c>
      <c r="J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Bursa-ILN Bursa-11-FALSO-FALSO-FALSO--45777</v>
      </c>
      <c r="K26" s="435" t="str">
        <f ca="1">IF(COUNTIF(J:J,Tableau119[[#This Row],[Plant-ILN-shipper-POL-Carrier-POD-PFI]])=1,"Non","Oui")</f>
        <v>Non</v>
      </c>
      <c r="L26" s="128" t="str">
        <f>VLOOKUP(Tableau119[[#This Row],[Name Site]],Plant_AILN!A:D,4,FALSE)</f>
        <v>ARGENTINA</v>
      </c>
      <c r="M26" s="10" t="s">
        <v>158</v>
      </c>
      <c r="N26" s="439">
        <f>VLOOKUP(Tableau119[[#This Row],[Name Site]],Plant_AILN!A:C,3,FALSE)</f>
        <v>90016000</v>
      </c>
      <c r="O26" s="55">
        <f>IF(Tableau119[[#This Row],[Name PFI/CDD]]="PFI VLL",2,VLOOKUP(Tableau119[[#This Row],[Compte Consignee]],Order!C:D,2,FALSE))</f>
        <v>7</v>
      </c>
      <c r="P26" s="116" t="s">
        <v>167</v>
      </c>
      <c r="Q26" s="365">
        <f>VLOOKUP(Tableau119[[#This Row],[Name ILN]],Plant_AILN!F:G,2,FALSE)</f>
        <v>95112</v>
      </c>
      <c r="R26" s="50">
        <f>VLOOKUP(Tableau119[[#This Row],[Compte ILN]],'DATA ILN'!D:I,6,FALSE)</f>
        <v>9</v>
      </c>
      <c r="S26" s="50" t="e">
        <f>IFERROR(VLOOKUP(Tableau119[[#This Row],[Key(Compte ILN - shipper - POL - plant)]],'DATA ILN'!A:J,10,FALSE),VLOOKUP(Tableau119[[#This Row],[Key(Compte ILN - shipper - POL)]],'DATA ILN'!B:J,9,FALSE))</f>
        <v>#N/A</v>
      </c>
      <c r="T26" s="50" t="e">
        <f>IFERROR(VLOOKUP(Tableau119[[#This Row],[Key(Compte ILN - shipper - POL - plant)]],'DATA ILN'!A:K,11,FALSE),VLOOKUP(Tableau119[[#This Row],[Key(Compte ILN - shipper - POL)]],'DATA ILN'!B:K,10,FALSE))</f>
        <v>#N/A</v>
      </c>
      <c r="U26" s="50" t="e">
        <f>IFERROR(VLOOKUP(Tableau119[[#This Row],[Key(Compte ILN - shipper - POL - plant)]],'DATA ILN'!A:L,12,FALSE),VLOOKUP(Tableau119[[#This Row],[Key(Compte ILN - shipper - POL)]],'DATA ILN'!B:L,11,FALSE))</f>
        <v>#N/A</v>
      </c>
      <c r="V26" s="50" t="e">
        <f>Tableau119[[#This Row],[Day ILN Order]]+Tableau119[[#This Row],[Delivery time to ILN/Shipper]]-1</f>
        <v>#N/A</v>
      </c>
      <c r="W26" s="50" t="e">
        <f>IFERROR(VLOOKUP(Tableau119[[#This Row],[Key(Compte ILN - shipper - POL - plant)]],'DATA ILN'!A:N,14,FALSE),VLOOKUP(Tableau119[[#This Row],[Key(Compte ILN - shipper - POL)]],'DATA ILN'!B:N,13,FALSE))</f>
        <v>#N/A</v>
      </c>
      <c r="X26" s="53" t="e">
        <f>IFERROR(VLOOKUP(Tableau119[[#This Row],[Key(Compte ILN - shipper - POL - plant)]],'DATA ILN'!A:P,16,FALSE),VLOOKUP(Tableau119[[#This Row],[Key(Compte ILN - shipper - POL)]],'DATA ILN'!B:P,15,FALSE))</f>
        <v>#N/A</v>
      </c>
      <c r="Y26" s="284" t="s">
        <v>167</v>
      </c>
      <c r="Z26" s="437">
        <f>IFERROR(VLOOKUP(Tableau119[[#This Row],[Name Shipper]],Plant_AILN!L:M,2,FALSE),0)</f>
        <v>95112</v>
      </c>
      <c r="AA26" s="406">
        <v>11</v>
      </c>
      <c r="AB26" s="396" t="b">
        <f>_xlfn.XLOOKUP(Tableau119[[#This Row],[Key(ID-date)]],'DATA BTO'!S:S,'DATA BTO'!E:E,FALSE)</f>
        <v>0</v>
      </c>
      <c r="AC26" s="3" t="b">
        <f>_xlfn.XLOOKUP(Tableau119[[#This Row],[Key(ID-date)]],'DATA BTO'!S:S,'DATA BTO'!F:F,FALSE)</f>
        <v>0</v>
      </c>
      <c r="AD26" s="50" t="b">
        <f>_xlfn.XLOOKUP(Tableau119[[#This Row],[Key(ID-date)]],'DATA BTO'!S:S,'DATA BTO'!G:G,FALSE)</f>
        <v>0</v>
      </c>
      <c r="AE26" s="50" t="b">
        <f>_xlfn.XLOOKUP(Tableau119[[#This Row],[Key(ID-date)]],'DATA BTO'!S:S,'DATA BTO'!H:H,FALSE)</f>
        <v>0</v>
      </c>
      <c r="AF26" s="50" t="e">
        <f>IF(Tableau119[[#This Row],[First Day to POL]]&lt;=Tableau119[[#This Row],[Day Cut Off]],Tableau119[[#This Row],[Day ETD]],Tableau119[[#This Row],[Day ETD]]+7)</f>
        <v>#N/A</v>
      </c>
      <c r="AG26" s="50" t="b">
        <f>_xlfn.XLOOKUP(Tableau119[[#This Row],[Key(ID-date)]],'DATA BTO'!S:S,'DATA BTO'!I:I,FALSE)</f>
        <v>0</v>
      </c>
      <c r="AH26" s="3" t="b">
        <f>_xlfn.XLOOKUP(Tableau119[[#This Row],[Key(ID-date)]],'DATA BTO'!S:S,'DATA BTO'!J:J,FALSE)</f>
        <v>0</v>
      </c>
      <c r="AI26" s="3" t="b">
        <f>_xlfn.XLOOKUP(Tableau119[[#This Row],[Key(ID-date)]],'DATA BTO'!S:S,'DATA BTO'!K:K,FALSE)</f>
        <v>0</v>
      </c>
      <c r="AJ26" s="50" t="b">
        <f>_xlfn.XLOOKUP(Tableau119[[#This Row],[Key(ID-date)]],'DATA BTO'!S:S,'DATA BTO'!L:L,FALSE)</f>
        <v>0</v>
      </c>
      <c r="AK26" s="53" t="b">
        <f>_xlfn.XLOOKUP(Tableau119[[#This Row],[Key(ID-date)]],'DATA BTO'!S:S,'DATA BTO'!N:N,FALSE)</f>
        <v>0</v>
      </c>
      <c r="AL26" s="54" t="e">
        <f>VLOOKUP(Tableau119[[#This Row],[Key(POD -PFI- Usine)]],'DATA Consignee'!A:F,6,FALSE)</f>
        <v>#N/A</v>
      </c>
      <c r="AM26" s="127"/>
      <c r="AN26" s="438" t="str">
        <f>IF(Tableau119[[#This Row],[Name PFI/CDD]]="","-",VLOOKUP(Tableau119[[#This Row],[Name PFI/CDD]],Plant_AILN!I:J,2,FALSE))</f>
        <v>-</v>
      </c>
      <c r="AO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" s="2" t="e">
        <f>VLOOKUP(Tableau119[[#This Row],[Key(POD -PFI- Usine)]],'DATA Consignee'!A:J,10,FALSE)</f>
        <v>#N/A</v>
      </c>
      <c r="AR26" s="50" t="e">
        <f>VLOOKUP(Tableau119[[#This Row],[Key(POD -PFI- Usine)]],'DATA Consignee'!A:N,14,FALSE)</f>
        <v>#N/A</v>
      </c>
      <c r="AS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" s="50">
        <f>Tableau119[[#This Row],[Transit time]]+Tableau119[[#This Row],[Time for security]]+Tableau119[[#This Row],[Time for security2 buffer]]</f>
        <v>0</v>
      </c>
      <c r="AV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" s="433" t="e">
        <f>Tableau119[[#This Row],[Leadtime SI2C]]+Tableau119[[#This Row],[First Receipt Days]]-Tableau119[[#This Row],[Day Customer Order]]+1</f>
        <v>#N/A</v>
      </c>
      <c r="AX26" s="119" t="e">
        <f>IF(Tableau119[[#This Row],[Name ILN]]&lt;&gt;"SFK Freight Forwarder",Tableau119[[#This Row],[Cust. Leadtime]],Tableau119[[#This Row],[Leadtime SI2C]])</f>
        <v>#N/A</v>
      </c>
      <c r="AY26" s="51" t="b">
        <f>_xlfn.XLOOKUP(Tableau119[[#This Row],[Key(ID-date)]],'DATA BTO'!S:S,'DATA BTO'!P:P,FALSE)</f>
        <v>0</v>
      </c>
      <c r="AZ26" s="338">
        <v>45777</v>
      </c>
      <c r="BA26" s="50"/>
    </row>
    <row r="27" spans="2:53">
      <c r="B27" s="474" t="str">
        <f>_xlfn.CONCAT(Tableau119[[#This Row],[Name ILN]],"-",Tableau119[[#This Row],[Name Shipper]],"-",Tableau119[[#This Row],[Name Site]])</f>
        <v>ILN Bursa-ILN Bursa-CORDOBA</v>
      </c>
      <c r="C27" s="67" t="str">
        <f>_xlfn.CONCAT(Tableau119[[#This Row],[Compte ILN]],"-",Tableau119[[#This Row],[Compte Shipper]],"-",Tableau119[[#This Row],[POL]],"-",Tableau119[[#This Row],[Compte Consignee]])</f>
        <v>95112-95112-FALSO-90016000</v>
      </c>
      <c r="D27" s="66" t="str">
        <f>_xlfn.CONCAT(Tableau119[[#This Row],[Compte ILN]],"-",Tableau119[[#This Row],[Compte Shipper]],"-",Tableau119[[#This Row],[POL]])</f>
        <v>95112-95112-FALSO</v>
      </c>
      <c r="E27" s="434" t="str">
        <f>_xlfn.CONCAT(Tableau119[[#This Row],[POL]],"-",Tableau119[[#This Row],[Carrier]],"-",Tableau119[[#This Row],[POD]])</f>
        <v>FALSO-FALSO-FALSO</v>
      </c>
      <c r="F27" s="66" t="str">
        <f>_xlfn.CONCAT(Tableau119[[#This Row],[ID]],"-","Actif")</f>
        <v>11-Actif</v>
      </c>
      <c r="G27" s="66" t="str">
        <f>_xlfn.CONCAT(Tableau119[[#This Row],[POD]],"-",Tableau119[[#This Row],[Code PFI]],"-",Tableau119[[#This Row],[Compte Consignee]])</f>
        <v>FALSO---90016000</v>
      </c>
      <c r="H2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BursaFALSOCORDOBA</v>
      </c>
      <c r="I27" s="434" t="str">
        <f>_xlfn.CONCAT(Tableau119[[#This Row],[ID]],"-",Tableau119[[#This Row],[Expiration Date]])</f>
        <v>11-45412</v>
      </c>
      <c r="J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Bursa-ILN Bursa-11-FALSO-FALSO-FALSO--45412</v>
      </c>
      <c r="K27" s="435" t="str">
        <f ca="1">IF(COUNTIF(J:J,Tableau119[[#This Row],[Plant-ILN-shipper-POL-Carrier-POD-PFI]])=1,"Non","Oui")</f>
        <v>Non</v>
      </c>
      <c r="L27" s="128" t="str">
        <f>VLOOKUP(Tableau119[[#This Row],[Name Site]],Plant_AILN!A:D,4,FALSE)</f>
        <v>ARGENTINA</v>
      </c>
      <c r="M27" s="411" t="s">
        <v>158</v>
      </c>
      <c r="N27" s="439">
        <f>VLOOKUP(Tableau119[[#This Row],[Name Site]],Plant_AILN!A:C,3,FALSE)</f>
        <v>90016000</v>
      </c>
      <c r="O27" s="55">
        <f>IF(Tableau119[[#This Row],[Name PFI/CDD]]="PFI VLL",2,VLOOKUP(Tableau119[[#This Row],[Compte Consignee]],Order!C:D,2,FALSE))</f>
        <v>7</v>
      </c>
      <c r="P27" s="116" t="s">
        <v>167</v>
      </c>
      <c r="Q27" s="365">
        <f>VLOOKUP(Tableau119[[#This Row],[Name ILN]],Plant_AILN!F:G,2,FALSE)</f>
        <v>95112</v>
      </c>
      <c r="R27" s="50">
        <f>VLOOKUP(Tableau119[[#This Row],[Compte ILN]],'DATA ILN'!D:I,6,FALSE)</f>
        <v>9</v>
      </c>
      <c r="S27" s="50" t="e">
        <f>IFERROR(VLOOKUP(Tableau119[[#This Row],[Key(Compte ILN - shipper - POL - plant)]],'DATA ILN'!A:J,10,FALSE),VLOOKUP(Tableau119[[#This Row],[Key(Compte ILN - shipper - POL)]],'DATA ILN'!B:J,9,FALSE))</f>
        <v>#N/A</v>
      </c>
      <c r="T27" s="50" t="e">
        <f>IFERROR(VLOOKUP(Tableau119[[#This Row],[Key(Compte ILN - shipper - POL - plant)]],'DATA ILN'!A:K,11,FALSE),VLOOKUP(Tableau119[[#This Row],[Key(Compte ILN - shipper - POL)]],'DATA ILN'!B:K,10,FALSE))</f>
        <v>#N/A</v>
      </c>
      <c r="U27" s="50" t="e">
        <f>IFERROR(VLOOKUP(Tableau119[[#This Row],[Key(Compte ILN - shipper - POL - plant)]],'DATA ILN'!A:L,12,FALSE),VLOOKUP(Tableau119[[#This Row],[Key(Compte ILN - shipper - POL)]],'DATA ILN'!B:L,11,FALSE))</f>
        <v>#N/A</v>
      </c>
      <c r="V27" s="50" t="e">
        <f>Tableau119[[#This Row],[Day ILN Order]]+Tableau119[[#This Row],[Delivery time to ILN/Shipper]]-1</f>
        <v>#N/A</v>
      </c>
      <c r="W27" s="50" t="e">
        <f>IFERROR(VLOOKUP(Tableau119[[#This Row],[Key(Compte ILN - shipper - POL - plant)]],'DATA ILN'!A:N,14,FALSE),VLOOKUP(Tableau119[[#This Row],[Key(Compte ILN - shipper - POL)]],'DATA ILN'!B:N,13,FALSE))</f>
        <v>#N/A</v>
      </c>
      <c r="X27" s="53" t="e">
        <f>IFERROR(VLOOKUP(Tableau119[[#This Row],[Key(Compte ILN - shipper - POL - plant)]],'DATA ILN'!A:P,16,FALSE),VLOOKUP(Tableau119[[#This Row],[Key(Compte ILN - shipper - POL)]],'DATA ILN'!B:P,15,FALSE))</f>
        <v>#N/A</v>
      </c>
      <c r="Y27" s="284" t="s">
        <v>167</v>
      </c>
      <c r="Z27" s="437">
        <f>IFERROR(VLOOKUP(Tableau119[[#This Row],[Name Shipper]],Plant_AILN!L:M,2,FALSE),0)</f>
        <v>95112</v>
      </c>
      <c r="AA27" s="406">
        <v>11</v>
      </c>
      <c r="AB27" s="396" t="b">
        <f>_xlfn.XLOOKUP(Tableau119[[#This Row],[Key(ID-date)]],'DATA BTO'!S:S,'DATA BTO'!E:E,FALSE)</f>
        <v>0</v>
      </c>
      <c r="AC27" s="3" t="b">
        <f>_xlfn.XLOOKUP(Tableau119[[#This Row],[Key(ID-date)]],'DATA BTO'!S:S,'DATA BTO'!F:F,FALSE)</f>
        <v>0</v>
      </c>
      <c r="AD27" s="50" t="b">
        <f>_xlfn.XLOOKUP(Tableau119[[#This Row],[Key(ID-date)]],'DATA BTO'!S:S,'DATA BTO'!G:G,FALSE)</f>
        <v>0</v>
      </c>
      <c r="AE27" s="50" t="b">
        <f>_xlfn.XLOOKUP(Tableau119[[#This Row],[Key(ID-date)]],'DATA BTO'!S:S,'DATA BTO'!H:H,FALSE)</f>
        <v>0</v>
      </c>
      <c r="AF27" s="50" t="e">
        <f>IF(Tableau119[[#This Row],[First Day to POL]]&lt;=Tableau119[[#This Row],[Day Cut Off]],Tableau119[[#This Row],[Day ETD]],Tableau119[[#This Row],[Day ETD]]+7)</f>
        <v>#N/A</v>
      </c>
      <c r="AG27" s="50" t="b">
        <f>_xlfn.XLOOKUP(Tableau119[[#This Row],[Key(ID-date)]],'DATA BTO'!S:S,'DATA BTO'!I:I,FALSE)</f>
        <v>0</v>
      </c>
      <c r="AH27" s="3" t="b">
        <f>_xlfn.XLOOKUP(Tableau119[[#This Row],[Key(ID-date)]],'DATA BTO'!S:S,'DATA BTO'!J:J,FALSE)</f>
        <v>0</v>
      </c>
      <c r="AI27" s="3" t="b">
        <f>_xlfn.XLOOKUP(Tableau119[[#This Row],[Key(ID-date)]],'DATA BTO'!S:S,'DATA BTO'!K:K,FALSE)</f>
        <v>0</v>
      </c>
      <c r="AJ27" s="50" t="b">
        <f>_xlfn.XLOOKUP(Tableau119[[#This Row],[Key(ID-date)]],'DATA BTO'!S:S,'DATA BTO'!L:L,FALSE)</f>
        <v>0</v>
      </c>
      <c r="AK27" s="53" t="b">
        <f>_xlfn.XLOOKUP(Tableau119[[#This Row],[Key(ID-date)]],'DATA BTO'!S:S,'DATA BTO'!N:N,FALSE)</f>
        <v>0</v>
      </c>
      <c r="AL27" s="54" t="e">
        <f>VLOOKUP(Tableau119[[#This Row],[Key(POD -PFI- Usine)]],'DATA Consignee'!A:F,6,FALSE)</f>
        <v>#N/A</v>
      </c>
      <c r="AM27" s="127"/>
      <c r="AN27" s="438" t="str">
        <f>IF(Tableau119[[#This Row],[Name PFI/CDD]]="","-",VLOOKUP(Tableau119[[#This Row],[Name PFI/CDD]],Plant_AILN!I:J,2,FALSE))</f>
        <v>-</v>
      </c>
      <c r="AO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" s="2" t="e">
        <f>VLOOKUP(Tableau119[[#This Row],[Key(POD -PFI- Usine)]],'DATA Consignee'!A:J,10,FALSE)</f>
        <v>#N/A</v>
      </c>
      <c r="AR27" s="50" t="e">
        <f>VLOOKUP(Tableau119[[#This Row],[Key(POD -PFI- Usine)]],'DATA Consignee'!A:N,14,FALSE)</f>
        <v>#N/A</v>
      </c>
      <c r="AS2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" s="50">
        <f>Tableau119[[#This Row],[Transit time]]+Tableau119[[#This Row],[Time for security]]+Tableau119[[#This Row],[Time for security2 buffer]]</f>
        <v>0</v>
      </c>
      <c r="AV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" s="433" t="e">
        <f>Tableau119[[#This Row],[Leadtime SI2C]]+Tableau119[[#This Row],[First Receipt Days]]-Tableau119[[#This Row],[Day Customer Order]]+1</f>
        <v>#N/A</v>
      </c>
      <c r="AX27" s="119" t="e">
        <f>IF(Tableau119[[#This Row],[Name ILN]]&lt;&gt;"SFK Freight Forwarder",Tableau119[[#This Row],[Cust. Leadtime]],Tableau119[[#This Row],[Leadtime SI2C]])</f>
        <v>#N/A</v>
      </c>
      <c r="AY27" s="51" t="b">
        <f>_xlfn.XLOOKUP(Tableau119[[#This Row],[Key(ID-date)]],'DATA BTO'!S:S,'DATA BTO'!P:P,FALSE)</f>
        <v>0</v>
      </c>
      <c r="AZ27" s="338">
        <v>45412</v>
      </c>
      <c r="BA27" s="50"/>
    </row>
    <row r="28" spans="2:53">
      <c r="B28" s="67" t="str">
        <f>_xlfn.CONCAT(Tableau119[[#This Row],[Name ILN]],"-",Tableau119[[#This Row],[Name Shipper]],"-",Tableau119[[#This Row],[Name Site]])</f>
        <v>ILN Bursa-ILN Bursa-SOFASA</v>
      </c>
      <c r="C28" s="67" t="str">
        <f>_xlfn.CONCAT(Tableau119[[#This Row],[Compte ILN]],"-",Tableau119[[#This Row],[Compte Shipper]],"-",Tableau119[[#This Row],[POL]],"-",Tableau119[[#This Row],[Compte Consignee]])</f>
        <v>95112-95112-FALSO-9510600</v>
      </c>
      <c r="D28" s="66" t="str">
        <f>_xlfn.CONCAT(Tableau119[[#This Row],[Compte ILN]],"-",Tableau119[[#This Row],[Compte Shipper]],"-",Tableau119[[#This Row],[POL]])</f>
        <v>95112-95112-FALSO</v>
      </c>
      <c r="E28" s="434" t="str">
        <f>_xlfn.CONCAT(Tableau119[[#This Row],[POL]],"-",Tableau119[[#This Row],[Carrier]],"-",Tableau119[[#This Row],[POD]])</f>
        <v>FALSO-FALSO-FALSO</v>
      </c>
      <c r="F28" s="66" t="str">
        <f>_xlfn.CONCAT(Tableau119[[#This Row],[ID]],"-","Actif")</f>
        <v>12-Actif</v>
      </c>
      <c r="G28" s="66" t="str">
        <f>_xlfn.CONCAT(Tableau119[[#This Row],[POD]],"-",Tableau119[[#This Row],[Code PFI]],"-",Tableau119[[#This Row],[Compte Consignee]])</f>
        <v>FALSO---9510600</v>
      </c>
      <c r="H2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28" s="434" t="str">
        <f>_xlfn.CONCAT(Tableau119[[#This Row],[ID]],"-",Tableau119[[#This Row],[Expiration Date]])</f>
        <v>12-46142</v>
      </c>
      <c r="J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Bursa-12-FALSO-FALSO-FALSO--46142</v>
      </c>
      <c r="K28" s="435" t="str">
        <f ca="1">IF(COUNTIF(J:J,Tableau119[[#This Row],[Plant-ILN-shipper-POL-Carrier-POD-PFI]])=1,"Non","Oui")</f>
        <v>Non</v>
      </c>
      <c r="L28" s="436" t="str">
        <f>VLOOKUP(Tableau119[[#This Row],[Name Site]],Plant_AILN!A:D,4,FALSE)</f>
        <v>COLOMBIA</v>
      </c>
      <c r="M28" s="285" t="s">
        <v>177</v>
      </c>
      <c r="N28" s="439">
        <f>VLOOKUP(Tableau119[[#This Row],[Name Site]],Plant_AILN!A:C,3,FALSE)</f>
        <v>9510600</v>
      </c>
      <c r="O28" s="55">
        <f>IF(Tableau119[[#This Row],[Name PFI/CDD]]="PFI VLL",2,VLOOKUP(Tableau119[[#This Row],[Compte Consignee]],Order!C:D,2,FALSE))</f>
        <v>7</v>
      </c>
      <c r="P28" s="116" t="s">
        <v>167</v>
      </c>
      <c r="Q28" s="365">
        <f>VLOOKUP(Tableau119[[#This Row],[Name ILN]],Plant_AILN!F:G,2,FALSE)</f>
        <v>95112</v>
      </c>
      <c r="R28" s="50">
        <f>VLOOKUP(Tableau119[[#This Row],[Compte ILN]],'DATA ILN'!D:I,6,FALSE)</f>
        <v>9</v>
      </c>
      <c r="S28" s="50" t="e">
        <f>IFERROR(VLOOKUP(Tableau119[[#This Row],[Key(Compte ILN - shipper - POL - plant)]],'DATA ILN'!A:J,10,FALSE),VLOOKUP(Tableau119[[#This Row],[Key(Compte ILN - shipper - POL)]],'DATA ILN'!B:J,9,FALSE))</f>
        <v>#N/A</v>
      </c>
      <c r="T28" s="50" t="e">
        <f>IFERROR(VLOOKUP(Tableau119[[#This Row],[Key(Compte ILN - shipper - POL - plant)]],'DATA ILN'!A:K,11,FALSE),VLOOKUP(Tableau119[[#This Row],[Key(Compte ILN - shipper - POL)]],'DATA ILN'!B:K,10,FALSE))</f>
        <v>#N/A</v>
      </c>
      <c r="U28" s="50" t="e">
        <f>IFERROR(VLOOKUP(Tableau119[[#This Row],[Key(Compte ILN - shipper - POL - plant)]],'DATA ILN'!A:L,12,FALSE),VLOOKUP(Tableau119[[#This Row],[Key(Compte ILN - shipper - POL)]],'DATA ILN'!B:L,11,FALSE))</f>
        <v>#N/A</v>
      </c>
      <c r="V28" s="50" t="e">
        <f>Tableau119[[#This Row],[Day ILN Order]]+Tableau119[[#This Row],[Delivery time to ILN/Shipper]]-1</f>
        <v>#N/A</v>
      </c>
      <c r="W28" s="50" t="e">
        <f>IFERROR(VLOOKUP(Tableau119[[#This Row],[Key(Compte ILN - shipper - POL - plant)]],'DATA ILN'!A:N,14,FALSE),VLOOKUP(Tableau119[[#This Row],[Key(Compte ILN - shipper - POL)]],'DATA ILN'!B:N,13,FALSE))</f>
        <v>#N/A</v>
      </c>
      <c r="X28" s="53" t="e">
        <f>IFERROR(VLOOKUP(Tableau119[[#This Row],[Key(Compte ILN - shipper - POL - plant)]],'DATA ILN'!A:P,16,FALSE),VLOOKUP(Tableau119[[#This Row],[Key(Compte ILN - shipper - POL)]],'DATA ILN'!B:P,15,FALSE))</f>
        <v>#N/A</v>
      </c>
      <c r="Y28" s="284" t="s">
        <v>167</v>
      </c>
      <c r="Z28" s="437">
        <f>IFERROR(VLOOKUP(Tableau119[[#This Row],[Name Shipper]],Plant_AILN!L:M,2,FALSE),0)</f>
        <v>95112</v>
      </c>
      <c r="AA28" s="406">
        <v>12</v>
      </c>
      <c r="AB28" s="396" t="b">
        <f>_xlfn.XLOOKUP(Tableau119[[#This Row],[Key(ID-date)]],'DATA BTO'!S:S,'DATA BTO'!E:E,FALSE)</f>
        <v>0</v>
      </c>
      <c r="AC28" s="3" t="b">
        <f>_xlfn.XLOOKUP(Tableau119[[#This Row],[Key(ID-date)]],'DATA BTO'!S:S,'DATA BTO'!F:F,FALSE)</f>
        <v>0</v>
      </c>
      <c r="AD28" s="50" t="b">
        <f>_xlfn.XLOOKUP(Tableau119[[#This Row],[Key(ID-date)]],'DATA BTO'!S:S,'DATA BTO'!G:G,FALSE)</f>
        <v>0</v>
      </c>
      <c r="AE28" s="50" t="b">
        <f>_xlfn.XLOOKUP(Tableau119[[#This Row],[Key(ID-date)]],'DATA BTO'!S:S,'DATA BTO'!H:H,FALSE)</f>
        <v>0</v>
      </c>
      <c r="AF28" s="50" t="e">
        <f>IF(Tableau119[[#This Row],[First Day to POL]]&lt;=Tableau119[[#This Row],[Day Cut Off]],Tableau119[[#This Row],[Day ETD]],Tableau119[[#This Row],[Day ETD]]+7)</f>
        <v>#N/A</v>
      </c>
      <c r="AG28" s="50" t="b">
        <f>_xlfn.XLOOKUP(Tableau119[[#This Row],[Key(ID-date)]],'DATA BTO'!S:S,'DATA BTO'!I:I,FALSE)</f>
        <v>0</v>
      </c>
      <c r="AH28" s="3" t="b">
        <f>_xlfn.XLOOKUP(Tableau119[[#This Row],[Key(ID-date)]],'DATA BTO'!S:S,'DATA BTO'!J:J,FALSE)</f>
        <v>0</v>
      </c>
      <c r="AI28" s="3" t="b">
        <f>_xlfn.XLOOKUP(Tableau119[[#This Row],[Key(ID-date)]],'DATA BTO'!S:S,'DATA BTO'!K:K,FALSE)</f>
        <v>0</v>
      </c>
      <c r="AJ28" s="50" t="b">
        <f>_xlfn.XLOOKUP(Tableau119[[#This Row],[Key(ID-date)]],'DATA BTO'!S:S,'DATA BTO'!L:L,FALSE)</f>
        <v>0</v>
      </c>
      <c r="AK28" s="53" t="b">
        <f>_xlfn.XLOOKUP(Tableau119[[#This Row],[Key(ID-date)]],'DATA BTO'!S:S,'DATA BTO'!N:N,FALSE)</f>
        <v>0</v>
      </c>
      <c r="AL28" s="54" t="e">
        <f>VLOOKUP(Tableau119[[#This Row],[Key(POD -PFI- Usine)]],'DATA Consignee'!A:F,6,FALSE)</f>
        <v>#N/A</v>
      </c>
      <c r="AM28" s="127"/>
      <c r="AN28" s="438" t="str">
        <f>IF(Tableau119[[#This Row],[Name PFI/CDD]]="","-",VLOOKUP(Tableau119[[#This Row],[Name PFI/CDD]],Plant_AILN!I:J,2,FALSE))</f>
        <v>-</v>
      </c>
      <c r="AO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" s="2" t="e">
        <f>VLOOKUP(Tableau119[[#This Row],[Key(POD -PFI- Usine)]],'DATA Consignee'!A:J,10,FALSE)</f>
        <v>#N/A</v>
      </c>
      <c r="AR28" s="50" t="e">
        <f>VLOOKUP(Tableau119[[#This Row],[Key(POD -PFI- Usine)]],'DATA Consignee'!A:N,14,FALSE)</f>
        <v>#N/A</v>
      </c>
      <c r="AS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" s="50">
        <f>Tableau119[[#This Row],[Transit time]]+Tableau119[[#This Row],[Time for security]]+Tableau119[[#This Row],[Time for security2 buffer]]</f>
        <v>0</v>
      </c>
      <c r="AV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" s="433" t="e">
        <f>Tableau119[[#This Row],[Leadtime SI2C]]+Tableau119[[#This Row],[First Receipt Days]]-Tableau119[[#This Row],[Day Customer Order]]+1</f>
        <v>#N/A</v>
      </c>
      <c r="AX28" s="119" t="e">
        <f>IF(Tableau119[[#This Row],[Name ILN]]&lt;&gt;"SFK Freight Forwarder",Tableau119[[#This Row],[Cust. Leadtime]],Tableau119[[#This Row],[Leadtime SI2C]])</f>
        <v>#N/A</v>
      </c>
      <c r="AY28" s="51" t="b">
        <f>_xlfn.XLOOKUP(Tableau119[[#This Row],[Key(ID-date)]],'DATA BTO'!S:S,'DATA BTO'!P:P,FALSE)</f>
        <v>0</v>
      </c>
      <c r="AZ28" s="338">
        <v>46142</v>
      </c>
      <c r="BA28" s="50"/>
    </row>
    <row r="29" spans="2:53">
      <c r="B29" s="474" t="str">
        <f>_xlfn.CONCAT(Tableau119[[#This Row],[Name ILN]],"-",Tableau119[[#This Row],[Name Shipper]],"-",Tableau119[[#This Row],[Name Site]])</f>
        <v>ILN Bursa-ILN Bursa-SOFASA</v>
      </c>
      <c r="C29" s="67" t="str">
        <f>_xlfn.CONCAT(Tableau119[[#This Row],[Compte ILN]],"-",Tableau119[[#This Row],[Compte Shipper]],"-",Tableau119[[#This Row],[POL]],"-",Tableau119[[#This Row],[Compte Consignee]])</f>
        <v>95112-95112-FALSO-9510600</v>
      </c>
      <c r="D29" s="66" t="str">
        <f>_xlfn.CONCAT(Tableau119[[#This Row],[Compte ILN]],"-",Tableau119[[#This Row],[Compte Shipper]],"-",Tableau119[[#This Row],[POL]])</f>
        <v>95112-95112-FALSO</v>
      </c>
      <c r="E29" s="434" t="str">
        <f>_xlfn.CONCAT(Tableau119[[#This Row],[POL]],"-",Tableau119[[#This Row],[Carrier]],"-",Tableau119[[#This Row],[POD]])</f>
        <v>FALSO-FALSO-FALSO</v>
      </c>
      <c r="F29" s="66" t="str">
        <f>_xlfn.CONCAT(Tableau119[[#This Row],[ID]],"-","Actif")</f>
        <v>12-Actif</v>
      </c>
      <c r="G29" s="66" t="str">
        <f>_xlfn.CONCAT(Tableau119[[#This Row],[POD]],"-",Tableau119[[#This Row],[Code PFI]],"-",Tableau119[[#This Row],[Compte Consignee]])</f>
        <v>FALSO---9510600</v>
      </c>
      <c r="H2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29" s="434" t="str">
        <f>_xlfn.CONCAT(Tableau119[[#This Row],[ID]],"-",Tableau119[[#This Row],[Expiration Date]])</f>
        <v>12-45962</v>
      </c>
      <c r="J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Bursa-12-FALSO-FALSO-FALSO--45962</v>
      </c>
      <c r="K29" s="435" t="str">
        <f ca="1">IF(COUNTIF(J:J,Tableau119[[#This Row],[Plant-ILN-shipper-POL-Carrier-POD-PFI]])=1,"Non","Oui")</f>
        <v>Non</v>
      </c>
      <c r="L29" s="128" t="str">
        <f>VLOOKUP(Tableau119[[#This Row],[Name Site]],Plant_AILN!A:D,4,FALSE)</f>
        <v>COLOMBIA</v>
      </c>
      <c r="M29" s="411" t="s">
        <v>177</v>
      </c>
      <c r="N29" s="439">
        <f>VLOOKUP(Tableau119[[#This Row],[Name Site]],Plant_AILN!A:C,3,FALSE)</f>
        <v>9510600</v>
      </c>
      <c r="O29" s="55">
        <f>IF(Tableau119[[#This Row],[Name PFI/CDD]]="PFI VLL",2,VLOOKUP(Tableau119[[#This Row],[Compte Consignee]],Order!C:D,2,FALSE))</f>
        <v>7</v>
      </c>
      <c r="P29" s="116" t="s">
        <v>167</v>
      </c>
      <c r="Q29" s="365">
        <f>VLOOKUP(Tableau119[[#This Row],[Name ILN]],Plant_AILN!F:G,2,FALSE)</f>
        <v>95112</v>
      </c>
      <c r="R29" s="50">
        <f>VLOOKUP(Tableau119[[#This Row],[Compte ILN]],'DATA ILN'!D:I,6,FALSE)</f>
        <v>9</v>
      </c>
      <c r="S29" s="50" t="e">
        <f>IFERROR(VLOOKUP(Tableau119[[#This Row],[Key(Compte ILN - shipper - POL - plant)]],'DATA ILN'!A:J,10,FALSE),VLOOKUP(Tableau119[[#This Row],[Key(Compte ILN - shipper - POL)]],'DATA ILN'!B:J,9,FALSE))</f>
        <v>#N/A</v>
      </c>
      <c r="T29" s="50" t="e">
        <f>IFERROR(VLOOKUP(Tableau119[[#This Row],[Key(Compte ILN - shipper - POL - plant)]],'DATA ILN'!A:K,11,FALSE),VLOOKUP(Tableau119[[#This Row],[Key(Compte ILN - shipper - POL)]],'DATA ILN'!B:K,10,FALSE))</f>
        <v>#N/A</v>
      </c>
      <c r="U29" s="50" t="e">
        <f>IFERROR(VLOOKUP(Tableau119[[#This Row],[Key(Compte ILN - shipper - POL - plant)]],'DATA ILN'!A:L,12,FALSE),VLOOKUP(Tableau119[[#This Row],[Key(Compte ILN - shipper - POL)]],'DATA ILN'!B:L,11,FALSE))</f>
        <v>#N/A</v>
      </c>
      <c r="V29" s="50" t="e">
        <f>Tableau119[[#This Row],[Day ILN Order]]+Tableau119[[#This Row],[Delivery time to ILN/Shipper]]-1</f>
        <v>#N/A</v>
      </c>
      <c r="W29" s="50" t="e">
        <f>IFERROR(VLOOKUP(Tableau119[[#This Row],[Key(Compte ILN - shipper - POL - plant)]],'DATA ILN'!A:N,14,FALSE),VLOOKUP(Tableau119[[#This Row],[Key(Compte ILN - shipper - POL)]],'DATA ILN'!B:N,13,FALSE))</f>
        <v>#N/A</v>
      </c>
      <c r="X29" s="53" t="e">
        <f>IFERROR(VLOOKUP(Tableau119[[#This Row],[Key(Compte ILN - shipper - POL - plant)]],'DATA ILN'!A:P,16,FALSE),VLOOKUP(Tableau119[[#This Row],[Key(Compte ILN - shipper - POL)]],'DATA ILN'!B:P,15,FALSE))</f>
        <v>#N/A</v>
      </c>
      <c r="Y29" s="284" t="s">
        <v>167</v>
      </c>
      <c r="Z29" s="437">
        <f>IFERROR(VLOOKUP(Tableau119[[#This Row],[Name Shipper]],Plant_AILN!L:M,2,FALSE),0)</f>
        <v>95112</v>
      </c>
      <c r="AA29" s="284">
        <v>12</v>
      </c>
      <c r="AB29" s="396" t="b">
        <f>_xlfn.XLOOKUP(Tableau119[[#This Row],[Key(ID-date)]],'DATA BTO'!S:S,'DATA BTO'!E:E,FALSE)</f>
        <v>0</v>
      </c>
      <c r="AC29" s="3" t="b">
        <f>_xlfn.XLOOKUP(Tableau119[[#This Row],[Key(ID-date)]],'DATA BTO'!S:S,'DATA BTO'!F:F,FALSE)</f>
        <v>0</v>
      </c>
      <c r="AD29" s="50" t="b">
        <f>_xlfn.XLOOKUP(Tableau119[[#This Row],[Key(ID-date)]],'DATA BTO'!S:S,'DATA BTO'!G:G,FALSE)</f>
        <v>0</v>
      </c>
      <c r="AE29" s="50" t="b">
        <f>_xlfn.XLOOKUP(Tableau119[[#This Row],[Key(ID-date)]],'DATA BTO'!S:S,'DATA BTO'!H:H,FALSE)</f>
        <v>0</v>
      </c>
      <c r="AF29" s="50" t="e">
        <f>IF(Tableau119[[#This Row],[First Day to POL]]&lt;=Tableau119[[#This Row],[Day Cut Off]],Tableau119[[#This Row],[Day ETD]],Tableau119[[#This Row],[Day ETD]]+7)</f>
        <v>#N/A</v>
      </c>
      <c r="AG29" s="50" t="b">
        <f>_xlfn.XLOOKUP(Tableau119[[#This Row],[Key(ID-date)]],'DATA BTO'!S:S,'DATA BTO'!I:I,FALSE)</f>
        <v>0</v>
      </c>
      <c r="AH29" s="3" t="b">
        <f>_xlfn.XLOOKUP(Tableau119[[#This Row],[Key(ID-date)]],'DATA BTO'!S:S,'DATA BTO'!J:J,FALSE)</f>
        <v>0</v>
      </c>
      <c r="AI29" s="3" t="b">
        <f>_xlfn.XLOOKUP(Tableau119[[#This Row],[Key(ID-date)]],'DATA BTO'!S:S,'DATA BTO'!K:K,FALSE)</f>
        <v>0</v>
      </c>
      <c r="AJ29" s="50" t="b">
        <f>_xlfn.XLOOKUP(Tableau119[[#This Row],[Key(ID-date)]],'DATA BTO'!S:S,'DATA BTO'!L:L,FALSE)</f>
        <v>0</v>
      </c>
      <c r="AK29" s="53" t="b">
        <f>_xlfn.XLOOKUP(Tableau119[[#This Row],[Key(ID-date)]],'DATA BTO'!S:S,'DATA BTO'!N:N,FALSE)</f>
        <v>0</v>
      </c>
      <c r="AL29" s="54" t="e">
        <f>VLOOKUP(Tableau119[[#This Row],[Key(POD -PFI- Usine)]],'DATA Consignee'!A:F,6,FALSE)</f>
        <v>#N/A</v>
      </c>
      <c r="AM29" s="127"/>
      <c r="AN29" s="438" t="str">
        <f>IF(Tableau119[[#This Row],[Name PFI/CDD]]="","-",VLOOKUP(Tableau119[[#This Row],[Name PFI/CDD]],Plant_AILN!I:J,2,FALSE))</f>
        <v>-</v>
      </c>
      <c r="AO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" s="2" t="e">
        <f>VLOOKUP(Tableau119[[#This Row],[Key(POD -PFI- Usine)]],'DATA Consignee'!A:J,10,FALSE)</f>
        <v>#N/A</v>
      </c>
      <c r="AR29" s="50" t="e">
        <f>VLOOKUP(Tableau119[[#This Row],[Key(POD -PFI- Usine)]],'DATA Consignee'!A:N,14,FALSE)</f>
        <v>#N/A</v>
      </c>
      <c r="AS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" s="50">
        <f>Tableau119[[#This Row],[Transit time]]+Tableau119[[#This Row],[Time for security]]+Tableau119[[#This Row],[Time for security2 buffer]]</f>
        <v>0</v>
      </c>
      <c r="AV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" s="433" t="e">
        <f>Tableau119[[#This Row],[Leadtime SI2C]]+Tableau119[[#This Row],[First Receipt Days]]-Tableau119[[#This Row],[Day Customer Order]]+1</f>
        <v>#N/A</v>
      </c>
      <c r="AX29" s="119" t="e">
        <f>IF(Tableau119[[#This Row],[Name ILN]]&lt;&gt;"SFK Freight Forwarder",Tableau119[[#This Row],[Cust. Leadtime]],Tableau119[[#This Row],[Leadtime SI2C]])</f>
        <v>#N/A</v>
      </c>
      <c r="AY29" s="51" t="b">
        <f>_xlfn.XLOOKUP(Tableau119[[#This Row],[Key(ID-date)]],'DATA BTO'!S:S,'DATA BTO'!P:P,FALSE)</f>
        <v>0</v>
      </c>
      <c r="AZ29" s="338">
        <v>45962</v>
      </c>
      <c r="BA29" s="50"/>
    </row>
    <row r="30" spans="2:53">
      <c r="B30" s="474" t="str">
        <f>_xlfn.CONCAT(Tableau119[[#This Row],[Name ILN]],"-",Tableau119[[#This Row],[Name Shipper]],"-",Tableau119[[#This Row],[Name Site]])</f>
        <v>ILN Bursa-ILN Bursa-SOFASA</v>
      </c>
      <c r="C30" s="67" t="str">
        <f>_xlfn.CONCAT(Tableau119[[#This Row],[Compte ILN]],"-",Tableau119[[#This Row],[Compte Shipper]],"-",Tableau119[[#This Row],[POL]],"-",Tableau119[[#This Row],[Compte Consignee]])</f>
        <v>95112-95112-FALSO-9510600</v>
      </c>
      <c r="D30" s="66" t="str">
        <f>_xlfn.CONCAT(Tableau119[[#This Row],[Compte ILN]],"-",Tableau119[[#This Row],[Compte Shipper]],"-",Tableau119[[#This Row],[POL]])</f>
        <v>95112-95112-FALSO</v>
      </c>
      <c r="E30" s="434" t="str">
        <f>_xlfn.CONCAT(Tableau119[[#This Row],[POL]],"-",Tableau119[[#This Row],[Carrier]],"-",Tableau119[[#This Row],[POD]])</f>
        <v>FALSO-FALSO-FALSO</v>
      </c>
      <c r="F30" s="66" t="str">
        <f>_xlfn.CONCAT(Tableau119[[#This Row],[ID]],"-","Actif")</f>
        <v>12-Actif</v>
      </c>
      <c r="G30" s="66" t="str">
        <f>_xlfn.CONCAT(Tableau119[[#This Row],[POD]],"-",Tableau119[[#This Row],[Code PFI]],"-",Tableau119[[#This Row],[Compte Consignee]])</f>
        <v>FALSO---9510600</v>
      </c>
      <c r="H3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30" s="434" t="str">
        <f>_xlfn.CONCAT(Tableau119[[#This Row],[ID]],"-",Tableau119[[#This Row],[Expiration Date]])</f>
        <v>12-45869</v>
      </c>
      <c r="J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Bursa-12-FALSO-FALSO-FALSO--45869</v>
      </c>
      <c r="K30" s="435" t="str">
        <f ca="1">IF(COUNTIF(J:J,Tableau119[[#This Row],[Plant-ILN-shipper-POL-Carrier-POD-PFI]])=1,"Non","Oui")</f>
        <v>Non</v>
      </c>
      <c r="L30" s="128" t="str">
        <f>VLOOKUP(Tableau119[[#This Row],[Name Site]],Plant_AILN!A:D,4,FALSE)</f>
        <v>COLOMBIA</v>
      </c>
      <c r="M30" s="411" t="s">
        <v>177</v>
      </c>
      <c r="N30" s="439">
        <f>VLOOKUP(Tableau119[[#This Row],[Name Site]],Plant_AILN!A:C,3,FALSE)</f>
        <v>9510600</v>
      </c>
      <c r="O30" s="55">
        <f>IF(Tableau119[[#This Row],[Name PFI/CDD]]="PFI VLL",2,VLOOKUP(Tableau119[[#This Row],[Compte Consignee]],Order!C:D,2,FALSE))</f>
        <v>7</v>
      </c>
      <c r="P30" s="116" t="s">
        <v>167</v>
      </c>
      <c r="Q30" s="365">
        <f>VLOOKUP(Tableau119[[#This Row],[Name ILN]],Plant_AILN!F:G,2,FALSE)</f>
        <v>95112</v>
      </c>
      <c r="R30" s="50">
        <f>VLOOKUP(Tableau119[[#This Row],[Compte ILN]],'DATA ILN'!D:I,6,FALSE)</f>
        <v>9</v>
      </c>
      <c r="S30" s="50" t="e">
        <f>IFERROR(VLOOKUP(Tableau119[[#This Row],[Key(Compte ILN - shipper - POL - plant)]],'DATA ILN'!A:J,10,FALSE),VLOOKUP(Tableau119[[#This Row],[Key(Compte ILN - shipper - POL)]],'DATA ILN'!B:J,9,FALSE))</f>
        <v>#N/A</v>
      </c>
      <c r="T30" s="50" t="e">
        <f>IFERROR(VLOOKUP(Tableau119[[#This Row],[Key(Compte ILN - shipper - POL - plant)]],'DATA ILN'!A:K,11,FALSE),VLOOKUP(Tableau119[[#This Row],[Key(Compte ILN - shipper - POL)]],'DATA ILN'!B:K,10,FALSE))</f>
        <v>#N/A</v>
      </c>
      <c r="U30" s="50" t="e">
        <f>IFERROR(VLOOKUP(Tableau119[[#This Row],[Key(Compte ILN - shipper - POL - plant)]],'DATA ILN'!A:L,12,FALSE),VLOOKUP(Tableau119[[#This Row],[Key(Compte ILN - shipper - POL)]],'DATA ILN'!B:L,11,FALSE))</f>
        <v>#N/A</v>
      </c>
      <c r="V30" s="50" t="e">
        <f>Tableau119[[#This Row],[Day ILN Order]]+Tableau119[[#This Row],[Delivery time to ILN/Shipper]]-1</f>
        <v>#N/A</v>
      </c>
      <c r="W30" s="50" t="e">
        <f>IFERROR(VLOOKUP(Tableau119[[#This Row],[Key(Compte ILN - shipper - POL - plant)]],'DATA ILN'!A:N,14,FALSE),VLOOKUP(Tableau119[[#This Row],[Key(Compte ILN - shipper - POL)]],'DATA ILN'!B:N,13,FALSE))</f>
        <v>#N/A</v>
      </c>
      <c r="X30" s="53" t="e">
        <f>IFERROR(VLOOKUP(Tableau119[[#This Row],[Key(Compte ILN - shipper - POL - plant)]],'DATA ILN'!A:P,16,FALSE),VLOOKUP(Tableau119[[#This Row],[Key(Compte ILN - shipper - POL)]],'DATA ILN'!B:P,15,FALSE))</f>
        <v>#N/A</v>
      </c>
      <c r="Y30" s="284" t="s">
        <v>167</v>
      </c>
      <c r="Z30" s="437">
        <f>IFERROR(VLOOKUP(Tableau119[[#This Row],[Name Shipper]],Plant_AILN!L:M,2,FALSE),0)</f>
        <v>95112</v>
      </c>
      <c r="AA30" s="406">
        <v>12</v>
      </c>
      <c r="AB30" s="396" t="b">
        <f>_xlfn.XLOOKUP(Tableau119[[#This Row],[Key(ID-date)]],'DATA BTO'!S:S,'DATA BTO'!E:E,FALSE)</f>
        <v>0</v>
      </c>
      <c r="AC30" s="3" t="b">
        <f>_xlfn.XLOOKUP(Tableau119[[#This Row],[Key(ID-date)]],'DATA BTO'!S:S,'DATA BTO'!F:F,FALSE)</f>
        <v>0</v>
      </c>
      <c r="AD30" s="50" t="b">
        <f>_xlfn.XLOOKUP(Tableau119[[#This Row],[Key(ID-date)]],'DATA BTO'!S:S,'DATA BTO'!G:G,FALSE)</f>
        <v>0</v>
      </c>
      <c r="AE30" s="50" t="b">
        <f>_xlfn.XLOOKUP(Tableau119[[#This Row],[Key(ID-date)]],'DATA BTO'!S:S,'DATA BTO'!H:H,FALSE)</f>
        <v>0</v>
      </c>
      <c r="AF30" s="50" t="e">
        <f>IF(Tableau119[[#This Row],[First Day to POL]]&lt;=Tableau119[[#This Row],[Day Cut Off]],Tableau119[[#This Row],[Day ETD]],Tableau119[[#This Row],[Day ETD]]+7)</f>
        <v>#N/A</v>
      </c>
      <c r="AG30" s="50" t="b">
        <f>_xlfn.XLOOKUP(Tableau119[[#This Row],[Key(ID-date)]],'DATA BTO'!S:S,'DATA BTO'!I:I,FALSE)</f>
        <v>0</v>
      </c>
      <c r="AH30" s="3" t="b">
        <f>_xlfn.XLOOKUP(Tableau119[[#This Row],[Key(ID-date)]],'DATA BTO'!S:S,'DATA BTO'!J:J,FALSE)</f>
        <v>0</v>
      </c>
      <c r="AI30" s="3" t="b">
        <f>_xlfn.XLOOKUP(Tableau119[[#This Row],[Key(ID-date)]],'DATA BTO'!S:S,'DATA BTO'!K:K,FALSE)</f>
        <v>0</v>
      </c>
      <c r="AJ30" s="50" t="b">
        <f>_xlfn.XLOOKUP(Tableau119[[#This Row],[Key(ID-date)]],'DATA BTO'!S:S,'DATA BTO'!L:L,FALSE)</f>
        <v>0</v>
      </c>
      <c r="AK30" s="53" t="b">
        <f>_xlfn.XLOOKUP(Tableau119[[#This Row],[Key(ID-date)]],'DATA BTO'!S:S,'DATA BTO'!N:N,FALSE)</f>
        <v>0</v>
      </c>
      <c r="AL30" s="54" t="e">
        <f>VLOOKUP(Tableau119[[#This Row],[Key(POD -PFI- Usine)]],'DATA Consignee'!A:F,6,FALSE)</f>
        <v>#N/A</v>
      </c>
      <c r="AM30" s="127"/>
      <c r="AN30" s="438" t="str">
        <f>IF(Tableau119[[#This Row],[Name PFI/CDD]]="","-",VLOOKUP(Tableau119[[#This Row],[Name PFI/CDD]],Plant_AILN!I:J,2,FALSE))</f>
        <v>-</v>
      </c>
      <c r="AO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" s="2" t="e">
        <f>VLOOKUP(Tableau119[[#This Row],[Key(POD -PFI- Usine)]],'DATA Consignee'!A:J,10,FALSE)</f>
        <v>#N/A</v>
      </c>
      <c r="AR30" s="50" t="e">
        <f>VLOOKUP(Tableau119[[#This Row],[Key(POD -PFI- Usine)]],'DATA Consignee'!A:N,14,FALSE)</f>
        <v>#N/A</v>
      </c>
      <c r="AS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" s="50">
        <f>Tableau119[[#This Row],[Transit time]]+Tableau119[[#This Row],[Time for security]]+Tableau119[[#This Row],[Time for security2 buffer]]</f>
        <v>0</v>
      </c>
      <c r="AV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" s="433" t="e">
        <f>Tableau119[[#This Row],[Leadtime SI2C]]+Tableau119[[#This Row],[First Receipt Days]]-Tableau119[[#This Row],[Day Customer Order]]+1</f>
        <v>#N/A</v>
      </c>
      <c r="AX30" s="119" t="e">
        <f>IF(Tableau119[[#This Row],[Name ILN]]&lt;&gt;"SFK Freight Forwarder",Tableau119[[#This Row],[Cust. Leadtime]],Tableau119[[#This Row],[Leadtime SI2C]])</f>
        <v>#N/A</v>
      </c>
      <c r="AY30" s="51" t="b">
        <f>_xlfn.XLOOKUP(Tableau119[[#This Row],[Key(ID-date)]],'DATA BTO'!S:S,'DATA BTO'!P:P,FALSE)</f>
        <v>0</v>
      </c>
      <c r="AZ30" s="338">
        <v>45869</v>
      </c>
      <c r="BA30" s="50"/>
    </row>
    <row r="31" spans="2:53">
      <c r="B31" s="474" t="str">
        <f>_xlfn.CONCAT(Tableau119[[#This Row],[Name ILN]],"-",Tableau119[[#This Row],[Name Shipper]],"-",Tableau119[[#This Row],[Name Site]])</f>
        <v>ILN Bursa-ILN Bursa-SOFASA</v>
      </c>
      <c r="C31" s="67" t="str">
        <f>_xlfn.CONCAT(Tableau119[[#This Row],[Compte ILN]],"-",Tableau119[[#This Row],[Compte Shipper]],"-",Tableau119[[#This Row],[POL]],"-",Tableau119[[#This Row],[Compte Consignee]])</f>
        <v>95112-95112-FALSO-9510600</v>
      </c>
      <c r="D31" s="66" t="str">
        <f>_xlfn.CONCAT(Tableau119[[#This Row],[Compte ILN]],"-",Tableau119[[#This Row],[Compte Shipper]],"-",Tableau119[[#This Row],[POL]])</f>
        <v>95112-95112-FALSO</v>
      </c>
      <c r="E31" s="434" t="str">
        <f>_xlfn.CONCAT(Tableau119[[#This Row],[POL]],"-",Tableau119[[#This Row],[Carrier]],"-",Tableau119[[#This Row],[POD]])</f>
        <v>FALSO-FALSO-FALSO</v>
      </c>
      <c r="F31" s="66" t="str">
        <f>_xlfn.CONCAT(Tableau119[[#This Row],[ID]],"-","Actif")</f>
        <v>12-Actif</v>
      </c>
      <c r="G31" s="66" t="str">
        <f>_xlfn.CONCAT(Tableau119[[#This Row],[POD]],"-",Tableau119[[#This Row],[Code PFI]],"-",Tableau119[[#This Row],[Compte Consignee]])</f>
        <v>FALSO---9510600</v>
      </c>
      <c r="H3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31" s="434" t="str">
        <f>_xlfn.CONCAT(Tableau119[[#This Row],[ID]],"-",Tableau119[[#This Row],[Expiration Date]])</f>
        <v>12-45777</v>
      </c>
      <c r="J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Bursa-12-FALSO-FALSO-FALSO--45777</v>
      </c>
      <c r="K31" s="435" t="str">
        <f ca="1">IF(COUNTIF(J:J,Tableau119[[#This Row],[Plant-ILN-shipper-POL-Carrier-POD-PFI]])=1,"Non","Oui")</f>
        <v>Non</v>
      </c>
      <c r="L31" s="128" t="str">
        <f>VLOOKUP(Tableau119[[#This Row],[Name Site]],Plant_AILN!A:D,4,FALSE)</f>
        <v>COLOMBIA</v>
      </c>
      <c r="M31" s="10" t="s">
        <v>177</v>
      </c>
      <c r="N31" s="439">
        <f>VLOOKUP(Tableau119[[#This Row],[Name Site]],Plant_AILN!A:C,3,FALSE)</f>
        <v>9510600</v>
      </c>
      <c r="O31" s="55">
        <f>IF(Tableau119[[#This Row],[Name PFI/CDD]]="PFI VLL",2,VLOOKUP(Tableau119[[#This Row],[Compte Consignee]],Order!C:D,2,FALSE))</f>
        <v>7</v>
      </c>
      <c r="P31" s="116" t="s">
        <v>167</v>
      </c>
      <c r="Q31" s="365">
        <f>VLOOKUP(Tableau119[[#This Row],[Name ILN]],Plant_AILN!F:G,2,FALSE)</f>
        <v>95112</v>
      </c>
      <c r="R31" s="50">
        <f>VLOOKUP(Tableau119[[#This Row],[Compte ILN]],'DATA ILN'!D:I,6,FALSE)</f>
        <v>9</v>
      </c>
      <c r="S31" s="50" t="e">
        <f>IFERROR(VLOOKUP(Tableau119[[#This Row],[Key(Compte ILN - shipper - POL - plant)]],'DATA ILN'!A:J,10,FALSE),VLOOKUP(Tableau119[[#This Row],[Key(Compte ILN - shipper - POL)]],'DATA ILN'!B:J,9,FALSE))</f>
        <v>#N/A</v>
      </c>
      <c r="T31" s="50" t="e">
        <f>IFERROR(VLOOKUP(Tableau119[[#This Row],[Key(Compte ILN - shipper - POL - plant)]],'DATA ILN'!A:K,11,FALSE),VLOOKUP(Tableau119[[#This Row],[Key(Compte ILN - shipper - POL)]],'DATA ILN'!B:K,10,FALSE))</f>
        <v>#N/A</v>
      </c>
      <c r="U31" s="50" t="e">
        <f>IFERROR(VLOOKUP(Tableau119[[#This Row],[Key(Compte ILN - shipper - POL - plant)]],'DATA ILN'!A:L,12,FALSE),VLOOKUP(Tableau119[[#This Row],[Key(Compte ILN - shipper - POL)]],'DATA ILN'!B:L,11,FALSE))</f>
        <v>#N/A</v>
      </c>
      <c r="V31" s="50" t="e">
        <f>Tableau119[[#This Row],[Day ILN Order]]+Tableau119[[#This Row],[Delivery time to ILN/Shipper]]-1</f>
        <v>#N/A</v>
      </c>
      <c r="W31" s="50" t="e">
        <f>IFERROR(VLOOKUP(Tableau119[[#This Row],[Key(Compte ILN - shipper - POL - plant)]],'DATA ILN'!A:N,14,FALSE),VLOOKUP(Tableau119[[#This Row],[Key(Compte ILN - shipper - POL)]],'DATA ILN'!B:N,13,FALSE))</f>
        <v>#N/A</v>
      </c>
      <c r="X31" s="53" t="e">
        <f>IFERROR(VLOOKUP(Tableau119[[#This Row],[Key(Compte ILN - shipper - POL - plant)]],'DATA ILN'!A:P,16,FALSE),VLOOKUP(Tableau119[[#This Row],[Key(Compte ILN - shipper - POL)]],'DATA ILN'!B:P,15,FALSE))</f>
        <v>#N/A</v>
      </c>
      <c r="Y31" s="284" t="s">
        <v>167</v>
      </c>
      <c r="Z31" s="437">
        <f>IFERROR(VLOOKUP(Tableau119[[#This Row],[Name Shipper]],Plant_AILN!L:M,2,FALSE),0)</f>
        <v>95112</v>
      </c>
      <c r="AA31" s="406">
        <v>12</v>
      </c>
      <c r="AB31" s="396" t="b">
        <f>_xlfn.XLOOKUP(Tableau119[[#This Row],[Key(ID-date)]],'DATA BTO'!S:S,'DATA BTO'!E:E,FALSE)</f>
        <v>0</v>
      </c>
      <c r="AC31" s="3" t="b">
        <f>_xlfn.XLOOKUP(Tableau119[[#This Row],[Key(ID-date)]],'DATA BTO'!S:S,'DATA BTO'!F:F,FALSE)</f>
        <v>0</v>
      </c>
      <c r="AD31" s="50" t="b">
        <f>_xlfn.XLOOKUP(Tableau119[[#This Row],[Key(ID-date)]],'DATA BTO'!S:S,'DATA BTO'!G:G,FALSE)</f>
        <v>0</v>
      </c>
      <c r="AE31" s="50" t="b">
        <f>_xlfn.XLOOKUP(Tableau119[[#This Row],[Key(ID-date)]],'DATA BTO'!S:S,'DATA BTO'!H:H,FALSE)</f>
        <v>0</v>
      </c>
      <c r="AF31" s="50" t="e">
        <f>IF(Tableau119[[#This Row],[First Day to POL]]&lt;=Tableau119[[#This Row],[Day Cut Off]],Tableau119[[#This Row],[Day ETD]],Tableau119[[#This Row],[Day ETD]]+7)</f>
        <v>#N/A</v>
      </c>
      <c r="AG31" s="50" t="b">
        <f>_xlfn.XLOOKUP(Tableau119[[#This Row],[Key(ID-date)]],'DATA BTO'!S:S,'DATA BTO'!I:I,FALSE)</f>
        <v>0</v>
      </c>
      <c r="AH31" s="3" t="b">
        <f>_xlfn.XLOOKUP(Tableau119[[#This Row],[Key(ID-date)]],'DATA BTO'!S:S,'DATA BTO'!J:J,FALSE)</f>
        <v>0</v>
      </c>
      <c r="AI31" s="3" t="b">
        <f>_xlfn.XLOOKUP(Tableau119[[#This Row],[Key(ID-date)]],'DATA BTO'!S:S,'DATA BTO'!K:K,FALSE)</f>
        <v>0</v>
      </c>
      <c r="AJ31" s="50" t="b">
        <f>_xlfn.XLOOKUP(Tableau119[[#This Row],[Key(ID-date)]],'DATA BTO'!S:S,'DATA BTO'!L:L,FALSE)</f>
        <v>0</v>
      </c>
      <c r="AK31" s="53" t="b">
        <f>_xlfn.XLOOKUP(Tableau119[[#This Row],[Key(ID-date)]],'DATA BTO'!S:S,'DATA BTO'!N:N,FALSE)</f>
        <v>0</v>
      </c>
      <c r="AL31" s="54" t="e">
        <f>VLOOKUP(Tableau119[[#This Row],[Key(POD -PFI- Usine)]],'DATA Consignee'!A:F,6,FALSE)</f>
        <v>#N/A</v>
      </c>
      <c r="AM31" s="127"/>
      <c r="AN31" s="438" t="str">
        <f>IF(Tableau119[[#This Row],[Name PFI/CDD]]="","-",VLOOKUP(Tableau119[[#This Row],[Name PFI/CDD]],Plant_AILN!I:J,2,FALSE))</f>
        <v>-</v>
      </c>
      <c r="AO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" s="2" t="e">
        <f>VLOOKUP(Tableau119[[#This Row],[Key(POD -PFI- Usine)]],'DATA Consignee'!A:J,10,FALSE)</f>
        <v>#N/A</v>
      </c>
      <c r="AR31" s="50" t="e">
        <f>VLOOKUP(Tableau119[[#This Row],[Key(POD -PFI- Usine)]],'DATA Consignee'!A:N,14,FALSE)</f>
        <v>#N/A</v>
      </c>
      <c r="AS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" s="50">
        <f>Tableau119[[#This Row],[Transit time]]+Tableau119[[#This Row],[Time for security]]+Tableau119[[#This Row],[Time for security2 buffer]]</f>
        <v>0</v>
      </c>
      <c r="AV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" s="433" t="e">
        <f>Tableau119[[#This Row],[Leadtime SI2C]]+Tableau119[[#This Row],[First Receipt Days]]-Tableau119[[#This Row],[Day Customer Order]]+1</f>
        <v>#N/A</v>
      </c>
      <c r="AX31" s="119" t="e">
        <f>IF(Tableau119[[#This Row],[Name ILN]]&lt;&gt;"SFK Freight Forwarder",Tableau119[[#This Row],[Cust. Leadtime]],Tableau119[[#This Row],[Leadtime SI2C]])</f>
        <v>#N/A</v>
      </c>
      <c r="AY31" s="51" t="b">
        <f>_xlfn.XLOOKUP(Tableau119[[#This Row],[Key(ID-date)]],'DATA BTO'!S:S,'DATA BTO'!P:P,FALSE)</f>
        <v>0</v>
      </c>
      <c r="AZ31" s="338">
        <v>45777</v>
      </c>
      <c r="BA31" s="50"/>
    </row>
    <row r="32" spans="2:53">
      <c r="B32" s="474" t="str">
        <f>_xlfn.CONCAT(Tableau119[[#This Row],[Name ILN]],"-",Tableau119[[#This Row],[Name Shipper]],"-",Tableau119[[#This Row],[Name Site]])</f>
        <v>ILN Bursa-ILN Bursa-SOFASA</v>
      </c>
      <c r="C32" s="67" t="str">
        <f>_xlfn.CONCAT(Tableau119[[#This Row],[Compte ILN]],"-",Tableau119[[#This Row],[Compte Shipper]],"-",Tableau119[[#This Row],[POL]],"-",Tableau119[[#This Row],[Compte Consignee]])</f>
        <v>95112-95112-FALSO-9510600</v>
      </c>
      <c r="D32" s="66" t="str">
        <f>_xlfn.CONCAT(Tableau119[[#This Row],[Compte ILN]],"-",Tableau119[[#This Row],[Compte Shipper]],"-",Tableau119[[#This Row],[POL]])</f>
        <v>95112-95112-FALSO</v>
      </c>
      <c r="E32" s="434" t="str">
        <f>_xlfn.CONCAT(Tableau119[[#This Row],[POL]],"-",Tableau119[[#This Row],[Carrier]],"-",Tableau119[[#This Row],[POD]])</f>
        <v>FALSO-FALSO-FALSO</v>
      </c>
      <c r="F32" s="66" t="str">
        <f>_xlfn.CONCAT(Tableau119[[#This Row],[ID]],"-","Actif")</f>
        <v>12-Actif</v>
      </c>
      <c r="G32" s="66" t="str">
        <f>_xlfn.CONCAT(Tableau119[[#This Row],[POD]],"-",Tableau119[[#This Row],[Code PFI]],"-",Tableau119[[#This Row],[Compte Consignee]])</f>
        <v>FALSO---9510600</v>
      </c>
      <c r="H3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32" s="434" t="str">
        <f>_xlfn.CONCAT(Tableau119[[#This Row],[ID]],"-",Tableau119[[#This Row],[Expiration Date]])</f>
        <v>12-45535</v>
      </c>
      <c r="J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Bursa-12-FALSO-FALSO-FALSO--45535</v>
      </c>
      <c r="K32" s="435" t="str">
        <f ca="1">IF(COUNTIF(J:J,Tableau119[[#This Row],[Plant-ILN-shipper-POL-Carrier-POD-PFI]])=1,"Non","Oui")</f>
        <v>Non</v>
      </c>
      <c r="L32" s="128" t="str">
        <f>VLOOKUP(Tableau119[[#This Row],[Name Site]],Plant_AILN!A:D,4,FALSE)</f>
        <v>COLOMBIA</v>
      </c>
      <c r="M32" s="285" t="s">
        <v>177</v>
      </c>
      <c r="N32" s="439">
        <f>VLOOKUP(Tableau119[[#This Row],[Name Site]],Plant_AILN!A:C,3,FALSE)</f>
        <v>9510600</v>
      </c>
      <c r="O32" s="55">
        <f>IF(Tableau119[[#This Row],[Name PFI/CDD]]="PFI VLL",2,VLOOKUP(Tableau119[[#This Row],[Compte Consignee]],Order!C:D,2,FALSE))</f>
        <v>7</v>
      </c>
      <c r="P32" s="116" t="s">
        <v>167</v>
      </c>
      <c r="Q32" s="365">
        <f>VLOOKUP(Tableau119[[#This Row],[Name ILN]],Plant_AILN!F:G,2,FALSE)</f>
        <v>95112</v>
      </c>
      <c r="R32" s="50">
        <f>VLOOKUP(Tableau119[[#This Row],[Compte ILN]],'DATA ILN'!D:I,6,FALSE)</f>
        <v>9</v>
      </c>
      <c r="S32" s="50" t="e">
        <f>IFERROR(VLOOKUP(Tableau119[[#This Row],[Key(Compte ILN - shipper - POL - plant)]],'DATA ILN'!A:J,10,FALSE),VLOOKUP(Tableau119[[#This Row],[Key(Compte ILN - shipper - POL)]],'DATA ILN'!B:J,9,FALSE))</f>
        <v>#N/A</v>
      </c>
      <c r="T32" s="50" t="e">
        <f>IFERROR(VLOOKUP(Tableau119[[#This Row],[Key(Compte ILN - shipper - POL - plant)]],'DATA ILN'!A:K,11,FALSE),VLOOKUP(Tableau119[[#This Row],[Key(Compte ILN - shipper - POL)]],'DATA ILN'!B:K,10,FALSE))</f>
        <v>#N/A</v>
      </c>
      <c r="U32" s="50" t="e">
        <f>IFERROR(VLOOKUP(Tableau119[[#This Row],[Key(Compte ILN - shipper - POL - plant)]],'DATA ILN'!A:L,12,FALSE),VLOOKUP(Tableau119[[#This Row],[Key(Compte ILN - shipper - POL)]],'DATA ILN'!B:L,11,FALSE))</f>
        <v>#N/A</v>
      </c>
      <c r="V32" s="50" t="e">
        <f>Tableau119[[#This Row],[Day ILN Order]]+Tableau119[[#This Row],[Delivery time to ILN/Shipper]]-1</f>
        <v>#N/A</v>
      </c>
      <c r="W32" s="50" t="e">
        <f>IFERROR(VLOOKUP(Tableau119[[#This Row],[Key(Compte ILN - shipper - POL - plant)]],'DATA ILN'!A:N,14,FALSE),VLOOKUP(Tableau119[[#This Row],[Key(Compte ILN - shipper - POL)]],'DATA ILN'!B:N,13,FALSE))</f>
        <v>#N/A</v>
      </c>
      <c r="X32" s="53" t="e">
        <f>IFERROR(VLOOKUP(Tableau119[[#This Row],[Key(Compte ILN - shipper - POL - plant)]],'DATA ILN'!A:P,16,FALSE),VLOOKUP(Tableau119[[#This Row],[Key(Compte ILN - shipper - POL)]],'DATA ILN'!B:P,15,FALSE))</f>
        <v>#N/A</v>
      </c>
      <c r="Y32" s="284" t="s">
        <v>167</v>
      </c>
      <c r="Z32" s="437">
        <f>IFERROR(VLOOKUP(Tableau119[[#This Row],[Name Shipper]],Plant_AILN!L:M,2,FALSE),0)</f>
        <v>95112</v>
      </c>
      <c r="AA32" s="406">
        <v>12</v>
      </c>
      <c r="AB32" s="396" t="b">
        <f>_xlfn.XLOOKUP(Tableau119[[#This Row],[Key(ID-date)]],'DATA BTO'!S:S,'DATA BTO'!E:E,FALSE)</f>
        <v>0</v>
      </c>
      <c r="AC32" s="3" t="b">
        <f>_xlfn.XLOOKUP(Tableau119[[#This Row],[Key(ID-date)]],'DATA BTO'!S:S,'DATA BTO'!F:F,FALSE)</f>
        <v>0</v>
      </c>
      <c r="AD32" s="50" t="b">
        <f>_xlfn.XLOOKUP(Tableau119[[#This Row],[Key(ID-date)]],'DATA BTO'!S:S,'DATA BTO'!G:G,FALSE)</f>
        <v>0</v>
      </c>
      <c r="AE32" s="50" t="b">
        <f>_xlfn.XLOOKUP(Tableau119[[#This Row],[Key(ID-date)]],'DATA BTO'!S:S,'DATA BTO'!H:H,FALSE)</f>
        <v>0</v>
      </c>
      <c r="AF32" s="50" t="e">
        <f>IF(Tableau119[[#This Row],[First Day to POL]]&lt;=Tableau119[[#This Row],[Day Cut Off]],Tableau119[[#This Row],[Day ETD]],Tableau119[[#This Row],[Day ETD]]+7)</f>
        <v>#N/A</v>
      </c>
      <c r="AG32" s="50" t="b">
        <f>_xlfn.XLOOKUP(Tableau119[[#This Row],[Key(ID-date)]],'DATA BTO'!S:S,'DATA BTO'!I:I,FALSE)</f>
        <v>0</v>
      </c>
      <c r="AH32" s="3" t="b">
        <f>_xlfn.XLOOKUP(Tableau119[[#This Row],[Key(ID-date)]],'DATA BTO'!S:S,'DATA BTO'!J:J,FALSE)</f>
        <v>0</v>
      </c>
      <c r="AI32" s="3" t="b">
        <f>_xlfn.XLOOKUP(Tableau119[[#This Row],[Key(ID-date)]],'DATA BTO'!S:S,'DATA BTO'!K:K,FALSE)</f>
        <v>0</v>
      </c>
      <c r="AJ32" s="50" t="b">
        <f>_xlfn.XLOOKUP(Tableau119[[#This Row],[Key(ID-date)]],'DATA BTO'!S:S,'DATA BTO'!L:L,FALSE)</f>
        <v>0</v>
      </c>
      <c r="AK32" s="53" t="b">
        <f>_xlfn.XLOOKUP(Tableau119[[#This Row],[Key(ID-date)]],'DATA BTO'!S:S,'DATA BTO'!N:N,FALSE)</f>
        <v>0</v>
      </c>
      <c r="AL32" s="54" t="e">
        <f>VLOOKUP(Tableau119[[#This Row],[Key(POD -PFI- Usine)]],'DATA Consignee'!A:F,6,FALSE)</f>
        <v>#N/A</v>
      </c>
      <c r="AM32" s="127"/>
      <c r="AN32" s="438" t="str">
        <f>IF(Tableau119[[#This Row],[Name PFI/CDD]]="","-",VLOOKUP(Tableau119[[#This Row],[Name PFI/CDD]],Plant_AILN!I:J,2,FALSE))</f>
        <v>-</v>
      </c>
      <c r="AO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" s="2" t="e">
        <f>VLOOKUP(Tableau119[[#This Row],[Key(POD -PFI- Usine)]],'DATA Consignee'!A:J,10,FALSE)</f>
        <v>#N/A</v>
      </c>
      <c r="AR32" s="50" t="e">
        <f>VLOOKUP(Tableau119[[#This Row],[Key(POD -PFI- Usine)]],'DATA Consignee'!A:N,14,FALSE)</f>
        <v>#N/A</v>
      </c>
      <c r="AS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2" s="50">
        <f>Tableau119[[#This Row],[Transit time]]+Tableau119[[#This Row],[Time for security]]+Tableau119[[#This Row],[Time for security2 buffer]]</f>
        <v>0</v>
      </c>
      <c r="AV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2" s="433" t="e">
        <f>Tableau119[[#This Row],[Leadtime SI2C]]+Tableau119[[#This Row],[First Receipt Days]]-Tableau119[[#This Row],[Day Customer Order]]+1</f>
        <v>#N/A</v>
      </c>
      <c r="AX32" s="119" t="e">
        <f>IF(Tableau119[[#This Row],[Name ILN]]&lt;&gt;"SFK Freight Forwarder",Tableau119[[#This Row],[Cust. Leadtime]],Tableau119[[#This Row],[Leadtime SI2C]])</f>
        <v>#N/A</v>
      </c>
      <c r="AY32" s="51" t="b">
        <f>_xlfn.XLOOKUP(Tableau119[[#This Row],[Key(ID-date)]],'DATA BTO'!S:S,'DATA BTO'!P:P,FALSE)</f>
        <v>0</v>
      </c>
      <c r="AZ32" s="338">
        <v>45535</v>
      </c>
      <c r="BA32" s="50"/>
    </row>
    <row r="33" spans="2:53">
      <c r="B33" s="474" t="str">
        <f>_xlfn.CONCAT(Tableau119[[#This Row],[Name ILN]],"-",Tableau119[[#This Row],[Name Shipper]],"-",Tableau119[[#This Row],[Name Site]])</f>
        <v>ILN Bursa-ILN Bursa-SOFASA</v>
      </c>
      <c r="C33" s="67" t="str">
        <f>_xlfn.CONCAT(Tableau119[[#This Row],[Compte ILN]],"-",Tableau119[[#This Row],[Compte Shipper]],"-",Tableau119[[#This Row],[POL]],"-",Tableau119[[#This Row],[Compte Consignee]])</f>
        <v>95112-95112-FALSO-9510600</v>
      </c>
      <c r="D33" s="66" t="str">
        <f>_xlfn.CONCAT(Tableau119[[#This Row],[Compte ILN]],"-",Tableau119[[#This Row],[Compte Shipper]],"-",Tableau119[[#This Row],[POL]])</f>
        <v>95112-95112-FALSO</v>
      </c>
      <c r="E33" s="434" t="str">
        <f>_xlfn.CONCAT(Tableau119[[#This Row],[POL]],"-",Tableau119[[#This Row],[Carrier]],"-",Tableau119[[#This Row],[POD]])</f>
        <v>FALSO-FALSO-FALSO</v>
      </c>
      <c r="F33" s="66" t="str">
        <f>_xlfn.CONCAT(Tableau119[[#This Row],[ID]],"-","Actif")</f>
        <v>12-Actif</v>
      </c>
      <c r="G33" s="66" t="str">
        <f>_xlfn.CONCAT(Tableau119[[#This Row],[POD]],"-",Tableau119[[#This Row],[Code PFI]],"-",Tableau119[[#This Row],[Compte Consignee]])</f>
        <v>FALSO---9510600</v>
      </c>
      <c r="H3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33" s="434" t="str">
        <f>_xlfn.CONCAT(Tableau119[[#This Row],[ID]],"-",Tableau119[[#This Row],[Expiration Date]])</f>
        <v>12-45473</v>
      </c>
      <c r="J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Bursa-12-FALSO-FALSO-FALSO--45473</v>
      </c>
      <c r="K33" s="435" t="str">
        <f ca="1">IF(COUNTIF(J:J,Tableau119[[#This Row],[Plant-ILN-shipper-POL-Carrier-POD-PFI]])=1,"Non","Oui")</f>
        <v>Non</v>
      </c>
      <c r="L33" s="128" t="str">
        <f>VLOOKUP(Tableau119[[#This Row],[Name Site]],Plant_AILN!A:D,4,FALSE)</f>
        <v>COLOMBIA</v>
      </c>
      <c r="M33" s="10" t="s">
        <v>177</v>
      </c>
      <c r="N33" s="439">
        <f>VLOOKUP(Tableau119[[#This Row],[Name Site]],Plant_AILN!A:C,3,FALSE)</f>
        <v>9510600</v>
      </c>
      <c r="O33" s="55">
        <f>IF(Tableau119[[#This Row],[Name PFI/CDD]]="PFI VLL",2,VLOOKUP(Tableau119[[#This Row],[Compte Consignee]],Order!C:D,2,FALSE))</f>
        <v>7</v>
      </c>
      <c r="P33" s="116" t="s">
        <v>167</v>
      </c>
      <c r="Q33" s="365">
        <f>VLOOKUP(Tableau119[[#This Row],[Name ILN]],Plant_AILN!F:G,2,FALSE)</f>
        <v>95112</v>
      </c>
      <c r="R33" s="50">
        <f>VLOOKUP(Tableau119[[#This Row],[Compte ILN]],'DATA ILN'!D:I,6,FALSE)</f>
        <v>9</v>
      </c>
      <c r="S33" s="50" t="e">
        <f>IFERROR(VLOOKUP(Tableau119[[#This Row],[Key(Compte ILN - shipper - POL - plant)]],'DATA ILN'!A:J,10,FALSE),VLOOKUP(Tableau119[[#This Row],[Key(Compte ILN - shipper - POL)]],'DATA ILN'!B:J,9,FALSE))</f>
        <v>#N/A</v>
      </c>
      <c r="T33" s="50" t="e">
        <f>IFERROR(VLOOKUP(Tableau119[[#This Row],[Key(Compte ILN - shipper - POL - plant)]],'DATA ILN'!A:K,11,FALSE),VLOOKUP(Tableau119[[#This Row],[Key(Compte ILN - shipper - POL)]],'DATA ILN'!B:K,10,FALSE))</f>
        <v>#N/A</v>
      </c>
      <c r="U33" s="50" t="e">
        <f>IFERROR(VLOOKUP(Tableau119[[#This Row],[Key(Compte ILN - shipper - POL - plant)]],'DATA ILN'!A:L,12,FALSE),VLOOKUP(Tableau119[[#This Row],[Key(Compte ILN - shipper - POL)]],'DATA ILN'!B:L,11,FALSE))</f>
        <v>#N/A</v>
      </c>
      <c r="V33" s="50" t="e">
        <f>Tableau119[[#This Row],[Day ILN Order]]+Tableau119[[#This Row],[Delivery time to ILN/Shipper]]-1</f>
        <v>#N/A</v>
      </c>
      <c r="W33" s="50" t="e">
        <f>IFERROR(VLOOKUP(Tableau119[[#This Row],[Key(Compte ILN - shipper - POL - plant)]],'DATA ILN'!A:N,14,FALSE),VLOOKUP(Tableau119[[#This Row],[Key(Compte ILN - shipper - POL)]],'DATA ILN'!B:N,13,FALSE))</f>
        <v>#N/A</v>
      </c>
      <c r="X33" s="53" t="e">
        <f>IFERROR(VLOOKUP(Tableau119[[#This Row],[Key(Compte ILN - shipper - POL - plant)]],'DATA ILN'!A:P,16,FALSE),VLOOKUP(Tableau119[[#This Row],[Key(Compte ILN - shipper - POL)]],'DATA ILN'!B:P,15,FALSE))</f>
        <v>#N/A</v>
      </c>
      <c r="Y33" s="284" t="s">
        <v>167</v>
      </c>
      <c r="Z33" s="437">
        <f>IFERROR(VLOOKUP(Tableau119[[#This Row],[Name Shipper]],Plant_AILN!L:M,2,FALSE),0)</f>
        <v>95112</v>
      </c>
      <c r="AA33" s="406">
        <v>12</v>
      </c>
      <c r="AB33" s="396" t="b">
        <f>_xlfn.XLOOKUP(Tableau119[[#This Row],[Key(ID-date)]],'DATA BTO'!S:S,'DATA BTO'!E:E,FALSE)</f>
        <v>0</v>
      </c>
      <c r="AC33" s="3" t="b">
        <f>_xlfn.XLOOKUP(Tableau119[[#This Row],[Key(ID-date)]],'DATA BTO'!S:S,'DATA BTO'!F:F,FALSE)</f>
        <v>0</v>
      </c>
      <c r="AD33" s="50" t="b">
        <f>_xlfn.XLOOKUP(Tableau119[[#This Row],[Key(ID-date)]],'DATA BTO'!S:S,'DATA BTO'!G:G,FALSE)</f>
        <v>0</v>
      </c>
      <c r="AE33" s="50" t="b">
        <f>_xlfn.XLOOKUP(Tableau119[[#This Row],[Key(ID-date)]],'DATA BTO'!S:S,'DATA BTO'!H:H,FALSE)</f>
        <v>0</v>
      </c>
      <c r="AF33" s="50" t="e">
        <f>IF(Tableau119[[#This Row],[First Day to POL]]&lt;=Tableau119[[#This Row],[Day Cut Off]],Tableau119[[#This Row],[Day ETD]],Tableau119[[#This Row],[Day ETD]]+7)</f>
        <v>#N/A</v>
      </c>
      <c r="AG33" s="50" t="b">
        <f>_xlfn.XLOOKUP(Tableau119[[#This Row],[Key(ID-date)]],'DATA BTO'!S:S,'DATA BTO'!I:I,FALSE)</f>
        <v>0</v>
      </c>
      <c r="AH33" s="3" t="b">
        <f>_xlfn.XLOOKUP(Tableau119[[#This Row],[Key(ID-date)]],'DATA BTO'!S:S,'DATA BTO'!J:J,FALSE)</f>
        <v>0</v>
      </c>
      <c r="AI33" s="3" t="b">
        <f>_xlfn.XLOOKUP(Tableau119[[#This Row],[Key(ID-date)]],'DATA BTO'!S:S,'DATA BTO'!K:K,FALSE)</f>
        <v>0</v>
      </c>
      <c r="AJ33" s="50" t="b">
        <f>_xlfn.XLOOKUP(Tableau119[[#This Row],[Key(ID-date)]],'DATA BTO'!S:S,'DATA BTO'!L:L,FALSE)</f>
        <v>0</v>
      </c>
      <c r="AK33" s="53" t="b">
        <f>_xlfn.XLOOKUP(Tableau119[[#This Row],[Key(ID-date)]],'DATA BTO'!S:S,'DATA BTO'!N:N,FALSE)</f>
        <v>0</v>
      </c>
      <c r="AL33" s="54" t="e">
        <f>VLOOKUP(Tableau119[[#This Row],[Key(POD -PFI- Usine)]],'DATA Consignee'!A:F,6,FALSE)</f>
        <v>#N/A</v>
      </c>
      <c r="AM33" s="127"/>
      <c r="AN33" s="438" t="str">
        <f>IF(Tableau119[[#This Row],[Name PFI/CDD]]="","-",VLOOKUP(Tableau119[[#This Row],[Name PFI/CDD]],Plant_AILN!I:J,2,FALSE))</f>
        <v>-</v>
      </c>
      <c r="AO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" s="2" t="e">
        <f>VLOOKUP(Tableau119[[#This Row],[Key(POD -PFI- Usine)]],'DATA Consignee'!A:J,10,FALSE)</f>
        <v>#N/A</v>
      </c>
      <c r="AR33" s="50" t="e">
        <f>VLOOKUP(Tableau119[[#This Row],[Key(POD -PFI- Usine)]],'DATA Consignee'!A:N,14,FALSE)</f>
        <v>#N/A</v>
      </c>
      <c r="AS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" s="50">
        <f>Tableau119[[#This Row],[Transit time]]+Tableau119[[#This Row],[Time for security]]+Tableau119[[#This Row],[Time for security2 buffer]]</f>
        <v>0</v>
      </c>
      <c r="AV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" s="433" t="e">
        <f>Tableau119[[#This Row],[Leadtime SI2C]]+Tableau119[[#This Row],[First Receipt Days]]-Tableau119[[#This Row],[Day Customer Order]]+1</f>
        <v>#N/A</v>
      </c>
      <c r="AX33" s="119" t="e">
        <f>IF(Tableau119[[#This Row],[Name ILN]]&lt;&gt;"SFK Freight Forwarder",Tableau119[[#This Row],[Cust. Leadtime]],Tableau119[[#This Row],[Leadtime SI2C]])</f>
        <v>#N/A</v>
      </c>
      <c r="AY33" s="51" t="b">
        <f>_xlfn.XLOOKUP(Tableau119[[#This Row],[Key(ID-date)]],'DATA BTO'!S:S,'DATA BTO'!P:P,FALSE)</f>
        <v>0</v>
      </c>
      <c r="AZ33" s="338">
        <v>45473</v>
      </c>
      <c r="BA33" s="50"/>
    </row>
    <row r="34" spans="2:53">
      <c r="B34" s="474" t="str">
        <f>_xlfn.CONCAT(Tableau119[[#This Row],[Name ILN]],"-",Tableau119[[#This Row],[Name Shipper]],"-",Tableau119[[#This Row],[Name Site]])</f>
        <v>ILN Bursa-ILN Bursa-SOFASA</v>
      </c>
      <c r="C34" s="67" t="str">
        <f>_xlfn.CONCAT(Tableau119[[#This Row],[Compte ILN]],"-",Tableau119[[#This Row],[Compte Shipper]],"-",Tableau119[[#This Row],[POL]],"-",Tableau119[[#This Row],[Compte Consignee]])</f>
        <v>95112-95112-FALSO-9510600</v>
      </c>
      <c r="D34" s="66" t="str">
        <f>_xlfn.CONCAT(Tableau119[[#This Row],[Compte ILN]],"-",Tableau119[[#This Row],[Compte Shipper]],"-",Tableau119[[#This Row],[POL]])</f>
        <v>95112-95112-FALSO</v>
      </c>
      <c r="E34" s="434" t="str">
        <f>_xlfn.CONCAT(Tableau119[[#This Row],[POL]],"-",Tableau119[[#This Row],[Carrier]],"-",Tableau119[[#This Row],[POD]])</f>
        <v>FALSO-FALSO-FALSO</v>
      </c>
      <c r="F34" s="66" t="str">
        <f>_xlfn.CONCAT(Tableau119[[#This Row],[ID]],"-","Actif")</f>
        <v>12-Actif</v>
      </c>
      <c r="G34" s="66" t="str">
        <f>_xlfn.CONCAT(Tableau119[[#This Row],[POD]],"-",Tableau119[[#This Row],[Code PFI]],"-",Tableau119[[#This Row],[Compte Consignee]])</f>
        <v>FALSO---9510600</v>
      </c>
      <c r="H3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BursaFALSOSOFASA</v>
      </c>
      <c r="I34" s="434" t="str">
        <f>_xlfn.CONCAT(Tableau119[[#This Row],[ID]],"-",Tableau119[[#This Row],[Expiration Date]])</f>
        <v>12-45412</v>
      </c>
      <c r="J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Bursa-ILN Bursa-12-FALSO-FALSO-FALSO--45412</v>
      </c>
      <c r="K34" s="435" t="str">
        <f ca="1">IF(COUNTIF(J:J,Tableau119[[#This Row],[Plant-ILN-shipper-POL-Carrier-POD-PFI]])=1,"Non","Oui")</f>
        <v>Non</v>
      </c>
      <c r="L34" s="128" t="str">
        <f>VLOOKUP(Tableau119[[#This Row],[Name Site]],Plant_AILN!A:D,4,FALSE)</f>
        <v>COLOMBIA</v>
      </c>
      <c r="M34" s="10" t="s">
        <v>177</v>
      </c>
      <c r="N34" s="439">
        <f>VLOOKUP(Tableau119[[#This Row],[Name Site]],Plant_AILN!A:C,3,FALSE)</f>
        <v>9510600</v>
      </c>
      <c r="O34" s="55">
        <f>IF(Tableau119[[#This Row],[Name PFI/CDD]]="PFI VLL",2,VLOOKUP(Tableau119[[#This Row],[Compte Consignee]],Order!C:D,2,FALSE))</f>
        <v>7</v>
      </c>
      <c r="P34" s="116" t="s">
        <v>167</v>
      </c>
      <c r="Q34" s="365">
        <f>VLOOKUP(Tableau119[[#This Row],[Name ILN]],Plant_AILN!F:G,2,FALSE)</f>
        <v>95112</v>
      </c>
      <c r="R34" s="50">
        <f>VLOOKUP(Tableau119[[#This Row],[Compte ILN]],'DATA ILN'!D:I,6,FALSE)</f>
        <v>9</v>
      </c>
      <c r="S34" s="50" t="e">
        <f>IFERROR(VLOOKUP(Tableau119[[#This Row],[Key(Compte ILN - shipper - POL - plant)]],'DATA ILN'!A:J,10,FALSE),VLOOKUP(Tableau119[[#This Row],[Key(Compte ILN - shipper - POL)]],'DATA ILN'!B:J,9,FALSE))</f>
        <v>#N/A</v>
      </c>
      <c r="T34" s="50" t="e">
        <f>IFERROR(VLOOKUP(Tableau119[[#This Row],[Key(Compte ILN - shipper - POL - plant)]],'DATA ILN'!A:K,11,FALSE),VLOOKUP(Tableau119[[#This Row],[Key(Compte ILN - shipper - POL)]],'DATA ILN'!B:K,10,FALSE))</f>
        <v>#N/A</v>
      </c>
      <c r="U34" s="50" t="e">
        <f>IFERROR(VLOOKUP(Tableau119[[#This Row],[Key(Compte ILN - shipper - POL - plant)]],'DATA ILN'!A:L,12,FALSE),VLOOKUP(Tableau119[[#This Row],[Key(Compte ILN - shipper - POL)]],'DATA ILN'!B:L,11,FALSE))</f>
        <v>#N/A</v>
      </c>
      <c r="V34" s="50" t="e">
        <f>Tableau119[[#This Row],[Day ILN Order]]+Tableau119[[#This Row],[Delivery time to ILN/Shipper]]-1</f>
        <v>#N/A</v>
      </c>
      <c r="W34" s="50" t="e">
        <f>IFERROR(VLOOKUP(Tableau119[[#This Row],[Key(Compte ILN - shipper - POL - plant)]],'DATA ILN'!A:N,14,FALSE),VLOOKUP(Tableau119[[#This Row],[Key(Compte ILN - shipper - POL)]],'DATA ILN'!B:N,13,FALSE))</f>
        <v>#N/A</v>
      </c>
      <c r="X34" s="53" t="e">
        <f>IFERROR(VLOOKUP(Tableau119[[#This Row],[Key(Compte ILN - shipper - POL - plant)]],'DATA ILN'!A:P,16,FALSE),VLOOKUP(Tableau119[[#This Row],[Key(Compte ILN - shipper - POL)]],'DATA ILN'!B:P,15,FALSE))</f>
        <v>#N/A</v>
      </c>
      <c r="Y34" s="284" t="s">
        <v>167</v>
      </c>
      <c r="Z34" s="437">
        <f>IFERROR(VLOOKUP(Tableau119[[#This Row],[Name Shipper]],Plant_AILN!L:M,2,FALSE),0)</f>
        <v>95112</v>
      </c>
      <c r="AA34" s="406">
        <v>12</v>
      </c>
      <c r="AB34" s="396" t="b">
        <f>_xlfn.XLOOKUP(Tableau119[[#This Row],[Key(ID-date)]],'DATA BTO'!S:S,'DATA BTO'!E:E,FALSE)</f>
        <v>0</v>
      </c>
      <c r="AC34" s="3" t="b">
        <f>_xlfn.XLOOKUP(Tableau119[[#This Row],[Key(ID-date)]],'DATA BTO'!S:S,'DATA BTO'!F:F,FALSE)</f>
        <v>0</v>
      </c>
      <c r="AD34" s="50" t="b">
        <f>_xlfn.XLOOKUP(Tableau119[[#This Row],[Key(ID-date)]],'DATA BTO'!S:S,'DATA BTO'!G:G,FALSE)</f>
        <v>0</v>
      </c>
      <c r="AE34" s="50" t="b">
        <f>_xlfn.XLOOKUP(Tableau119[[#This Row],[Key(ID-date)]],'DATA BTO'!S:S,'DATA BTO'!H:H,FALSE)</f>
        <v>0</v>
      </c>
      <c r="AF34" s="50" t="e">
        <f>IF(Tableau119[[#This Row],[First Day to POL]]&lt;=Tableau119[[#This Row],[Day Cut Off]],Tableau119[[#This Row],[Day ETD]],Tableau119[[#This Row],[Day ETD]]+7)</f>
        <v>#N/A</v>
      </c>
      <c r="AG34" s="50" t="b">
        <f>_xlfn.XLOOKUP(Tableau119[[#This Row],[Key(ID-date)]],'DATA BTO'!S:S,'DATA BTO'!I:I,FALSE)</f>
        <v>0</v>
      </c>
      <c r="AH34" s="3" t="b">
        <f>_xlfn.XLOOKUP(Tableau119[[#This Row],[Key(ID-date)]],'DATA BTO'!S:S,'DATA BTO'!J:J,FALSE)</f>
        <v>0</v>
      </c>
      <c r="AI34" s="3" t="b">
        <f>_xlfn.XLOOKUP(Tableau119[[#This Row],[Key(ID-date)]],'DATA BTO'!S:S,'DATA BTO'!K:K,FALSE)</f>
        <v>0</v>
      </c>
      <c r="AJ34" s="50" t="b">
        <f>_xlfn.XLOOKUP(Tableau119[[#This Row],[Key(ID-date)]],'DATA BTO'!S:S,'DATA BTO'!L:L,FALSE)</f>
        <v>0</v>
      </c>
      <c r="AK34" s="53" t="b">
        <f>_xlfn.XLOOKUP(Tableau119[[#This Row],[Key(ID-date)]],'DATA BTO'!S:S,'DATA BTO'!N:N,FALSE)</f>
        <v>0</v>
      </c>
      <c r="AL34" s="54" t="e">
        <f>VLOOKUP(Tableau119[[#This Row],[Key(POD -PFI- Usine)]],'DATA Consignee'!A:F,6,FALSE)</f>
        <v>#N/A</v>
      </c>
      <c r="AM34" s="127"/>
      <c r="AN34" s="438" t="str">
        <f>IF(Tableau119[[#This Row],[Name PFI/CDD]]="","-",VLOOKUP(Tableau119[[#This Row],[Name PFI/CDD]],Plant_AILN!I:J,2,FALSE))</f>
        <v>-</v>
      </c>
      <c r="AO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" s="2" t="e">
        <f>VLOOKUP(Tableau119[[#This Row],[Key(POD -PFI- Usine)]],'DATA Consignee'!A:J,10,FALSE)</f>
        <v>#N/A</v>
      </c>
      <c r="AR34" s="50" t="e">
        <f>VLOOKUP(Tableau119[[#This Row],[Key(POD -PFI- Usine)]],'DATA Consignee'!A:N,14,FALSE)</f>
        <v>#N/A</v>
      </c>
      <c r="AS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" s="50">
        <f>Tableau119[[#This Row],[Transit time]]+Tableau119[[#This Row],[Time for security]]+Tableau119[[#This Row],[Time for security2 buffer]]</f>
        <v>0</v>
      </c>
      <c r="AV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" s="433" t="e">
        <f>Tableau119[[#This Row],[Leadtime SI2C]]+Tableau119[[#This Row],[First Receipt Days]]-Tableau119[[#This Row],[Day Customer Order]]+1</f>
        <v>#N/A</v>
      </c>
      <c r="AX34" s="119" t="e">
        <f>IF(Tableau119[[#This Row],[Name ILN]]&lt;&gt;"SFK Freight Forwarder",Tableau119[[#This Row],[Cust. Leadtime]],Tableau119[[#This Row],[Leadtime SI2C]])</f>
        <v>#N/A</v>
      </c>
      <c r="AY34" s="51" t="b">
        <f>_xlfn.XLOOKUP(Tableau119[[#This Row],[Key(ID-date)]],'DATA BTO'!S:S,'DATA BTO'!P:P,FALSE)</f>
        <v>0</v>
      </c>
      <c r="AZ34" s="338">
        <v>45412</v>
      </c>
      <c r="BA34" s="50"/>
    </row>
    <row r="35" spans="2:53">
      <c r="B35" s="67" t="str">
        <f>_xlfn.CONCAT(Tableau119[[#This Row],[Name ILN]],"-",Tableau119[[#This Row],[Name Shipper]],"-",Tableau119[[#This Row],[Name Site]])</f>
        <v>ILN Bursa-ILN Bursa-Curitiba CVP</v>
      </c>
      <c r="C35" s="67" t="str">
        <f>_xlfn.CONCAT(Tableau119[[#This Row],[Compte ILN]],"-",Tableau119[[#This Row],[Compte Shipper]],"-",Tableau119[[#This Row],[POL]],"-",Tableau119[[#This Row],[Compte Consignee]])</f>
        <v>95112-95112-FALSO-90018000</v>
      </c>
      <c r="D35" s="66" t="str">
        <f>_xlfn.CONCAT(Tableau119[[#This Row],[Compte ILN]],"-",Tableau119[[#This Row],[Compte Shipper]],"-",Tableau119[[#This Row],[POL]])</f>
        <v>95112-95112-FALSO</v>
      </c>
      <c r="E35" s="434" t="str">
        <f>_xlfn.CONCAT(Tableau119[[#This Row],[POL]],"-",Tableau119[[#This Row],[Carrier]],"-",Tableau119[[#This Row],[POD]])</f>
        <v>FALSO-FALSO-FALSO</v>
      </c>
      <c r="F35" s="66" t="str">
        <f>_xlfn.CONCAT(Tableau119[[#This Row],[ID]],"-","Actif")</f>
        <v>13-Actif</v>
      </c>
      <c r="G35" s="66" t="str">
        <f>_xlfn.CONCAT(Tableau119[[#This Row],[POD]],"-",Tableau119[[#This Row],[Code PFI]],"-",Tableau119[[#This Row],[Compte Consignee]])</f>
        <v>FALSO---90018000</v>
      </c>
      <c r="H3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CVP</v>
      </c>
      <c r="I35" s="434" t="str">
        <f>_xlfn.CONCAT(Tableau119[[#This Row],[ID]],"-",Tableau119[[#This Row],[Expiration Date]])</f>
        <v>13-46142</v>
      </c>
      <c r="J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Bursa-ILN Bursa-13-FALSO-FALSO-FALSO--46142</v>
      </c>
      <c r="K35" s="435" t="str">
        <f ca="1">IF(COUNTIF(J:J,Tableau119[[#This Row],[Plant-ILN-shipper-POL-Carrier-POD-PFI]])=1,"Non","Oui")</f>
        <v>Non</v>
      </c>
      <c r="L35" s="436" t="str">
        <f>VLOOKUP(Tableau119[[#This Row],[Name Site]],Plant_AILN!A:D,4,FALSE)</f>
        <v>BRAZIL</v>
      </c>
      <c r="M35" s="285" t="s">
        <v>152</v>
      </c>
      <c r="N35" s="439">
        <f>VLOOKUP(Tableau119[[#This Row],[Name Site]],Plant_AILN!A:C,3,FALSE)</f>
        <v>90018000</v>
      </c>
      <c r="O35" s="55">
        <f>IF(Tableau119[[#This Row],[Name PFI/CDD]]="PFI VLL",2,VLOOKUP(Tableau119[[#This Row],[Compte Consignee]],Order!C:D,2,FALSE))</f>
        <v>7</v>
      </c>
      <c r="P35" s="116" t="s">
        <v>167</v>
      </c>
      <c r="Q35" s="365">
        <f>VLOOKUP(Tableau119[[#This Row],[Name ILN]],Plant_AILN!F:G,2,FALSE)</f>
        <v>95112</v>
      </c>
      <c r="R35" s="50">
        <f>VLOOKUP(Tableau119[[#This Row],[Compte ILN]],'DATA ILN'!D:I,6,FALSE)</f>
        <v>9</v>
      </c>
      <c r="S35" s="50" t="e">
        <f>IFERROR(VLOOKUP(Tableau119[[#This Row],[Key(Compte ILN - shipper - POL - plant)]],'DATA ILN'!A:J,10,FALSE),VLOOKUP(Tableau119[[#This Row],[Key(Compte ILN - shipper - POL)]],'DATA ILN'!B:J,9,FALSE))</f>
        <v>#N/A</v>
      </c>
      <c r="T35" s="50" t="e">
        <f>IFERROR(VLOOKUP(Tableau119[[#This Row],[Key(Compte ILN - shipper - POL - plant)]],'DATA ILN'!A:K,11,FALSE),VLOOKUP(Tableau119[[#This Row],[Key(Compte ILN - shipper - POL)]],'DATA ILN'!B:K,10,FALSE))</f>
        <v>#N/A</v>
      </c>
      <c r="U35" s="50" t="e">
        <f>IFERROR(VLOOKUP(Tableau119[[#This Row],[Key(Compte ILN - shipper - POL - plant)]],'DATA ILN'!A:L,12,FALSE),VLOOKUP(Tableau119[[#This Row],[Key(Compte ILN - shipper - POL)]],'DATA ILN'!B:L,11,FALSE))</f>
        <v>#N/A</v>
      </c>
      <c r="V35" s="50" t="e">
        <f>Tableau119[[#This Row],[Day ILN Order]]+Tableau119[[#This Row],[Delivery time to ILN/Shipper]]-1</f>
        <v>#N/A</v>
      </c>
      <c r="W35" s="50" t="e">
        <f>IFERROR(VLOOKUP(Tableau119[[#This Row],[Key(Compte ILN - shipper - POL - plant)]],'DATA ILN'!A:N,14,FALSE),VLOOKUP(Tableau119[[#This Row],[Key(Compte ILN - shipper - POL)]],'DATA ILN'!B:N,13,FALSE))</f>
        <v>#N/A</v>
      </c>
      <c r="X35" s="53" t="e">
        <f>IFERROR(VLOOKUP(Tableau119[[#This Row],[Key(Compte ILN - shipper - POL - plant)]],'DATA ILN'!A:P,16,FALSE),VLOOKUP(Tableau119[[#This Row],[Key(Compte ILN - shipper - POL)]],'DATA ILN'!B:P,15,FALSE))</f>
        <v>#N/A</v>
      </c>
      <c r="Y35" s="284" t="s">
        <v>167</v>
      </c>
      <c r="Z35" s="437">
        <f>IFERROR(VLOOKUP(Tableau119[[#This Row],[Name Shipper]],Plant_AILN!L:M,2,FALSE),0)</f>
        <v>95112</v>
      </c>
      <c r="AA35" s="406">
        <v>13</v>
      </c>
      <c r="AB35" s="396" t="b">
        <f>_xlfn.XLOOKUP(Tableau119[[#This Row],[Key(ID-date)]],'DATA BTO'!S:S,'DATA BTO'!E:E,FALSE)</f>
        <v>0</v>
      </c>
      <c r="AC35" s="3" t="b">
        <f>_xlfn.XLOOKUP(Tableau119[[#This Row],[Key(ID-date)]],'DATA BTO'!S:S,'DATA BTO'!F:F,FALSE)</f>
        <v>0</v>
      </c>
      <c r="AD35" s="50" t="b">
        <f>_xlfn.XLOOKUP(Tableau119[[#This Row],[Key(ID-date)]],'DATA BTO'!S:S,'DATA BTO'!G:G,FALSE)</f>
        <v>0</v>
      </c>
      <c r="AE35" s="50" t="b">
        <f>_xlfn.XLOOKUP(Tableau119[[#This Row],[Key(ID-date)]],'DATA BTO'!S:S,'DATA BTO'!H:H,FALSE)</f>
        <v>0</v>
      </c>
      <c r="AF35" s="50" t="e">
        <f>IF(Tableau119[[#This Row],[First Day to POL]]&lt;=Tableau119[[#This Row],[Day Cut Off]],Tableau119[[#This Row],[Day ETD]],Tableau119[[#This Row],[Day ETD]]+7)</f>
        <v>#N/A</v>
      </c>
      <c r="AG35" s="50" t="b">
        <f>_xlfn.XLOOKUP(Tableau119[[#This Row],[Key(ID-date)]],'DATA BTO'!S:S,'DATA BTO'!I:I,FALSE)</f>
        <v>0</v>
      </c>
      <c r="AH35" s="3" t="b">
        <f>_xlfn.XLOOKUP(Tableau119[[#This Row],[Key(ID-date)]],'DATA BTO'!S:S,'DATA BTO'!J:J,FALSE)</f>
        <v>0</v>
      </c>
      <c r="AI35" s="3" t="b">
        <f>_xlfn.XLOOKUP(Tableau119[[#This Row],[Key(ID-date)]],'DATA BTO'!S:S,'DATA BTO'!K:K,FALSE)</f>
        <v>0</v>
      </c>
      <c r="AJ35" s="50" t="b">
        <f>_xlfn.XLOOKUP(Tableau119[[#This Row],[Key(ID-date)]],'DATA BTO'!S:S,'DATA BTO'!L:L,FALSE)</f>
        <v>0</v>
      </c>
      <c r="AK35" s="53" t="b">
        <f>_xlfn.XLOOKUP(Tableau119[[#This Row],[Key(ID-date)]],'DATA BTO'!S:S,'DATA BTO'!N:N,FALSE)</f>
        <v>0</v>
      </c>
      <c r="AL35" s="54" t="e">
        <f>VLOOKUP(Tableau119[[#This Row],[Key(POD -PFI- Usine)]],'DATA Consignee'!A:F,6,FALSE)</f>
        <v>#N/A</v>
      </c>
      <c r="AM35" s="127"/>
      <c r="AN35" s="438" t="str">
        <f>IF(Tableau119[[#This Row],[Name PFI/CDD]]="","-",VLOOKUP(Tableau119[[#This Row],[Name PFI/CDD]],Plant_AILN!I:J,2,FALSE))</f>
        <v>-</v>
      </c>
      <c r="AO3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" s="2" t="e">
        <f>VLOOKUP(Tableau119[[#This Row],[Key(POD -PFI- Usine)]],'DATA Consignee'!A:J,10,FALSE)</f>
        <v>#N/A</v>
      </c>
      <c r="AR35" s="50" t="e">
        <f>VLOOKUP(Tableau119[[#This Row],[Key(POD -PFI- Usine)]],'DATA Consignee'!A:N,14,FALSE)</f>
        <v>#N/A</v>
      </c>
      <c r="AS3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" s="50">
        <f>Tableau119[[#This Row],[Transit time]]+Tableau119[[#This Row],[Time for security]]+Tableau119[[#This Row],[Time for security2 buffer]]</f>
        <v>0</v>
      </c>
      <c r="AV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" s="433" t="e">
        <f>Tableau119[[#This Row],[Leadtime SI2C]]+Tableau119[[#This Row],[First Receipt Days]]-Tableau119[[#This Row],[Day Customer Order]]+1</f>
        <v>#N/A</v>
      </c>
      <c r="AX35" s="119" t="e">
        <f>IF(Tableau119[[#This Row],[Name ILN]]&lt;&gt;"SFK Freight Forwarder",Tableau119[[#This Row],[Cust. Leadtime]],Tableau119[[#This Row],[Leadtime SI2C]])</f>
        <v>#N/A</v>
      </c>
      <c r="AY35" s="51" t="b">
        <f>_xlfn.XLOOKUP(Tableau119[[#This Row],[Key(ID-date)]],'DATA BTO'!S:S,'DATA BTO'!P:P,FALSE)</f>
        <v>0</v>
      </c>
      <c r="AZ35" s="338">
        <v>46142</v>
      </c>
      <c r="BA35" s="50"/>
    </row>
    <row r="36" spans="2:53">
      <c r="B36" s="67" t="str">
        <f>_xlfn.CONCAT(Tableau119[[#This Row],[Name ILN]],"-",Tableau119[[#This Row],[Name Shipper]],"-",Tableau119[[#This Row],[Name Site]])</f>
        <v>ILN Bursa-ILN Bursa-Curitiba CVU</v>
      </c>
      <c r="C36" s="67" t="str">
        <f>_xlfn.CONCAT(Tableau119[[#This Row],[Compte ILN]],"-",Tableau119[[#This Row],[Compte Shipper]],"-",Tableau119[[#This Row],[POL]],"-",Tableau119[[#This Row],[Compte Consignee]])</f>
        <v>95112-95112-FALSO-90018500</v>
      </c>
      <c r="D36" s="66" t="str">
        <f>_xlfn.CONCAT(Tableau119[[#This Row],[Compte ILN]],"-",Tableau119[[#This Row],[Compte Shipper]],"-",Tableau119[[#This Row],[POL]])</f>
        <v>95112-95112-FALSO</v>
      </c>
      <c r="E36" s="434" t="str">
        <f>_xlfn.CONCAT(Tableau119[[#This Row],[POL]],"-",Tableau119[[#This Row],[Carrier]],"-",Tableau119[[#This Row],[POD]])</f>
        <v>FALSO-FALSO-FALSO</v>
      </c>
      <c r="F36" s="66" t="str">
        <f>_xlfn.CONCAT(Tableau119[[#This Row],[ID]],"-","Actif")</f>
        <v>13-Actif</v>
      </c>
      <c r="G36" s="66" t="str">
        <f>_xlfn.CONCAT(Tableau119[[#This Row],[POD]],"-",Tableau119[[#This Row],[Code PFI]],"-",Tableau119[[#This Row],[Compte Consignee]])</f>
        <v>FALSO---90018500</v>
      </c>
      <c r="H3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CVU</v>
      </c>
      <c r="I36" s="434" t="str">
        <f>_xlfn.CONCAT(Tableau119[[#This Row],[ID]],"-",Tableau119[[#This Row],[Expiration Date]])</f>
        <v>13-46142</v>
      </c>
      <c r="J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Bursa-ILN Bursa-13-FALSO-FALSO-FALSO--46142</v>
      </c>
      <c r="K36" s="435" t="str">
        <f ca="1">IF(COUNTIF(J:J,Tableau119[[#This Row],[Plant-ILN-shipper-POL-Carrier-POD-PFI]])=1,"Non","Oui")</f>
        <v>Non</v>
      </c>
      <c r="L36" s="440" t="str">
        <f>VLOOKUP(Tableau119[[#This Row],[Name Site]],Plant_AILN!A:D,4,FALSE)</f>
        <v>BRAZIL</v>
      </c>
      <c r="M36" s="10" t="s">
        <v>639</v>
      </c>
      <c r="N36" s="439">
        <f>VLOOKUP(Tableau119[[#This Row],[Name Site]],Plant_AILN!A:C,3,FALSE)</f>
        <v>90018500</v>
      </c>
      <c r="O36" s="55">
        <f>IF(Tableau119[[#This Row],[Name PFI/CDD]]="PFI VLL",2,VLOOKUP(Tableau119[[#This Row],[Compte Consignee]],Order!C:D,2,FALSE))</f>
        <v>7</v>
      </c>
      <c r="P36" s="116" t="s">
        <v>167</v>
      </c>
      <c r="Q36" s="365">
        <f>VLOOKUP(Tableau119[[#This Row],[Name ILN]],Plant_AILN!F:G,2,FALSE)</f>
        <v>95112</v>
      </c>
      <c r="R36" s="50">
        <f>VLOOKUP(Tableau119[[#This Row],[Compte ILN]],'DATA ILN'!D:I,6,FALSE)</f>
        <v>9</v>
      </c>
      <c r="S36" s="50" t="e">
        <f>IFERROR(VLOOKUP(Tableau119[[#This Row],[Key(Compte ILN - shipper - POL - plant)]],'DATA ILN'!A:J,10,FALSE),VLOOKUP(Tableau119[[#This Row],[Key(Compte ILN - shipper - POL)]],'DATA ILN'!B:J,9,FALSE))</f>
        <v>#N/A</v>
      </c>
      <c r="T36" s="50" t="e">
        <f>IFERROR(VLOOKUP(Tableau119[[#This Row],[Key(Compte ILN - shipper - POL - plant)]],'DATA ILN'!A:K,11,FALSE),VLOOKUP(Tableau119[[#This Row],[Key(Compte ILN - shipper - POL)]],'DATA ILN'!B:K,10,FALSE))</f>
        <v>#N/A</v>
      </c>
      <c r="U36" s="50" t="e">
        <f>IFERROR(VLOOKUP(Tableau119[[#This Row],[Key(Compte ILN - shipper - POL - plant)]],'DATA ILN'!A:L,12,FALSE),VLOOKUP(Tableau119[[#This Row],[Key(Compte ILN - shipper - POL)]],'DATA ILN'!B:L,11,FALSE))</f>
        <v>#N/A</v>
      </c>
      <c r="V36" s="50" t="e">
        <f>Tableau119[[#This Row],[Day ILN Order]]+Tableau119[[#This Row],[Delivery time to ILN/Shipper]]-1</f>
        <v>#N/A</v>
      </c>
      <c r="W36" s="50" t="e">
        <f>IFERROR(VLOOKUP(Tableau119[[#This Row],[Key(Compte ILN - shipper - POL - plant)]],'DATA ILN'!A:N,14,FALSE),VLOOKUP(Tableau119[[#This Row],[Key(Compte ILN - shipper - POL)]],'DATA ILN'!B:N,13,FALSE))</f>
        <v>#N/A</v>
      </c>
      <c r="X36" s="53" t="e">
        <f>IFERROR(VLOOKUP(Tableau119[[#This Row],[Key(Compte ILN - shipper - POL - plant)]],'DATA ILN'!A:P,16,FALSE),VLOOKUP(Tableau119[[#This Row],[Key(Compte ILN - shipper - POL)]],'DATA ILN'!B:P,15,FALSE))</f>
        <v>#N/A</v>
      </c>
      <c r="Y36" s="284" t="s">
        <v>167</v>
      </c>
      <c r="Z36" s="437">
        <f>IFERROR(VLOOKUP(Tableau119[[#This Row],[Name Shipper]],Plant_AILN!L:M,2,FALSE),0)</f>
        <v>95112</v>
      </c>
      <c r="AA36" s="406">
        <v>13</v>
      </c>
      <c r="AB36" s="396" t="b">
        <f>_xlfn.XLOOKUP(Tableau119[[#This Row],[Key(ID-date)]],'DATA BTO'!S:S,'DATA BTO'!E:E,FALSE)</f>
        <v>0</v>
      </c>
      <c r="AC36" s="3" t="b">
        <f>_xlfn.XLOOKUP(Tableau119[[#This Row],[Key(ID-date)]],'DATA BTO'!S:S,'DATA BTO'!F:F,FALSE)</f>
        <v>0</v>
      </c>
      <c r="AD36" s="50" t="b">
        <f>_xlfn.XLOOKUP(Tableau119[[#This Row],[Key(ID-date)]],'DATA BTO'!S:S,'DATA BTO'!G:G,FALSE)</f>
        <v>0</v>
      </c>
      <c r="AE36" s="50" t="b">
        <f>_xlfn.XLOOKUP(Tableau119[[#This Row],[Key(ID-date)]],'DATA BTO'!S:S,'DATA BTO'!H:H,FALSE)</f>
        <v>0</v>
      </c>
      <c r="AF36" s="50" t="e">
        <f>IF(Tableau119[[#This Row],[First Day to POL]]&lt;=Tableau119[[#This Row],[Day Cut Off]],Tableau119[[#This Row],[Day ETD]],Tableau119[[#This Row],[Day ETD]]+7)</f>
        <v>#N/A</v>
      </c>
      <c r="AG36" s="50" t="b">
        <f>_xlfn.XLOOKUP(Tableau119[[#This Row],[Key(ID-date)]],'DATA BTO'!S:S,'DATA BTO'!I:I,FALSE)</f>
        <v>0</v>
      </c>
      <c r="AH36" s="3" t="b">
        <f>_xlfn.XLOOKUP(Tableau119[[#This Row],[Key(ID-date)]],'DATA BTO'!S:S,'DATA BTO'!J:J,FALSE)</f>
        <v>0</v>
      </c>
      <c r="AI36" s="3" t="b">
        <f>_xlfn.XLOOKUP(Tableau119[[#This Row],[Key(ID-date)]],'DATA BTO'!S:S,'DATA BTO'!K:K,FALSE)</f>
        <v>0</v>
      </c>
      <c r="AJ36" s="50" t="b">
        <f>_xlfn.XLOOKUP(Tableau119[[#This Row],[Key(ID-date)]],'DATA BTO'!S:S,'DATA BTO'!L:L,FALSE)</f>
        <v>0</v>
      </c>
      <c r="AK36" s="53" t="b">
        <f>_xlfn.XLOOKUP(Tableau119[[#This Row],[Key(ID-date)]],'DATA BTO'!S:S,'DATA BTO'!N:N,FALSE)</f>
        <v>0</v>
      </c>
      <c r="AL36" s="54" t="e">
        <f>VLOOKUP(Tableau119[[#This Row],[Key(POD -PFI- Usine)]],'DATA Consignee'!A:F,6,FALSE)</f>
        <v>#N/A</v>
      </c>
      <c r="AM36" s="127"/>
      <c r="AN36" s="438" t="str">
        <f>IF(Tableau119[[#This Row],[Name PFI/CDD]]="","-",VLOOKUP(Tableau119[[#This Row],[Name PFI/CDD]],Plant_AILN!I:J,2,FALSE))</f>
        <v>-</v>
      </c>
      <c r="AO3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6" s="2" t="e">
        <f>VLOOKUP(Tableau119[[#This Row],[Key(POD -PFI- Usine)]],'DATA Consignee'!A:J,10,FALSE)</f>
        <v>#N/A</v>
      </c>
      <c r="AR36" s="50" t="e">
        <f>VLOOKUP(Tableau119[[#This Row],[Key(POD -PFI- Usine)]],'DATA Consignee'!A:N,14,FALSE)</f>
        <v>#N/A</v>
      </c>
      <c r="AS3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" s="50">
        <f>Tableau119[[#This Row],[Transit time]]+Tableau119[[#This Row],[Time for security]]+Tableau119[[#This Row],[Time for security2 buffer]]</f>
        <v>0</v>
      </c>
      <c r="AV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" s="433" t="e">
        <f>Tableau119[[#This Row],[Leadtime SI2C]]+Tableau119[[#This Row],[First Receipt Days]]-Tableau119[[#This Row],[Day Customer Order]]+1</f>
        <v>#N/A</v>
      </c>
      <c r="AX36" s="119" t="e">
        <f>IF(Tableau119[[#This Row],[Name ILN]]&lt;&gt;"SFK Freight Forwarder",Tableau119[[#This Row],[Cust. Leadtime]],Tableau119[[#This Row],[Leadtime SI2C]])</f>
        <v>#N/A</v>
      </c>
      <c r="AY36" s="51" t="b">
        <f>_xlfn.XLOOKUP(Tableau119[[#This Row],[Key(ID-date)]],'DATA BTO'!S:S,'DATA BTO'!P:P,FALSE)</f>
        <v>0</v>
      </c>
      <c r="AZ36" s="338">
        <v>46142</v>
      </c>
      <c r="BA36" s="50"/>
    </row>
    <row r="37" spans="2:53">
      <c r="B37" s="474" t="str">
        <f>_xlfn.CONCAT(Tableau119[[#This Row],[Name ILN]],"-",Tableau119[[#This Row],[Name Shipper]],"-",Tableau119[[#This Row],[Name Site]])</f>
        <v>ILN Bursa-ILN Bursa-Curitiba CVP</v>
      </c>
      <c r="C37" s="67" t="str">
        <f>_xlfn.CONCAT(Tableau119[[#This Row],[Compte ILN]],"-",Tableau119[[#This Row],[Compte Shipper]],"-",Tableau119[[#This Row],[POL]],"-",Tableau119[[#This Row],[Compte Consignee]])</f>
        <v>95112-95112-FALSO-90018000</v>
      </c>
      <c r="D37" s="66" t="str">
        <f>_xlfn.CONCAT(Tableau119[[#This Row],[Compte ILN]],"-",Tableau119[[#This Row],[Compte Shipper]],"-",Tableau119[[#This Row],[POL]])</f>
        <v>95112-95112-FALSO</v>
      </c>
      <c r="E37" s="434" t="str">
        <f>_xlfn.CONCAT(Tableau119[[#This Row],[POL]],"-",Tableau119[[#This Row],[Carrier]],"-",Tableau119[[#This Row],[POD]])</f>
        <v>FALSO-FALSO-FALSO</v>
      </c>
      <c r="F37" s="66" t="str">
        <f>_xlfn.CONCAT(Tableau119[[#This Row],[ID]],"-","Actif")</f>
        <v>13-Actif</v>
      </c>
      <c r="G37" s="66" t="str">
        <f>_xlfn.CONCAT(Tableau119[[#This Row],[POD]],"-",Tableau119[[#This Row],[Code PFI]],"-",Tableau119[[#This Row],[Compte Consignee]])</f>
        <v>FALSO---90018000</v>
      </c>
      <c r="H3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CVP</v>
      </c>
      <c r="I37" s="434" t="str">
        <f>_xlfn.CONCAT(Tableau119[[#This Row],[ID]],"-",Tableau119[[#This Row],[Expiration Date]])</f>
        <v>13-45777</v>
      </c>
      <c r="J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Bursa-ILN Bursa-13-FALSO-FALSO-FALSO--45777</v>
      </c>
      <c r="K37" s="435" t="str">
        <f ca="1">IF(COUNTIF(J:J,Tableau119[[#This Row],[Plant-ILN-shipper-POL-Carrier-POD-PFI]])=1,"Non","Oui")</f>
        <v>Non</v>
      </c>
      <c r="L37" s="128" t="str">
        <f>VLOOKUP(Tableau119[[#This Row],[Name Site]],Plant_AILN!A:D,4,FALSE)</f>
        <v>BRAZIL</v>
      </c>
      <c r="M37" s="411" t="s">
        <v>152</v>
      </c>
      <c r="N37" s="439">
        <f>VLOOKUP(Tableau119[[#This Row],[Name Site]],Plant_AILN!A:C,3,FALSE)</f>
        <v>90018000</v>
      </c>
      <c r="O37" s="55">
        <f>IF(Tableau119[[#This Row],[Name PFI/CDD]]="PFI VLL",2,VLOOKUP(Tableau119[[#This Row],[Compte Consignee]],Order!C:D,2,FALSE))</f>
        <v>7</v>
      </c>
      <c r="P37" s="116" t="s">
        <v>167</v>
      </c>
      <c r="Q37" s="365">
        <f>VLOOKUP(Tableau119[[#This Row],[Name ILN]],Plant_AILN!F:G,2,FALSE)</f>
        <v>95112</v>
      </c>
      <c r="R37" s="50">
        <f>VLOOKUP(Tableau119[[#This Row],[Compte ILN]],'DATA ILN'!D:I,6,FALSE)</f>
        <v>9</v>
      </c>
      <c r="S37" s="50" t="e">
        <f>IFERROR(VLOOKUP(Tableau119[[#This Row],[Key(Compte ILN - shipper - POL - plant)]],'DATA ILN'!A:J,10,FALSE),VLOOKUP(Tableau119[[#This Row],[Key(Compte ILN - shipper - POL)]],'DATA ILN'!B:J,9,FALSE))</f>
        <v>#N/A</v>
      </c>
      <c r="T37" s="50" t="e">
        <f>IFERROR(VLOOKUP(Tableau119[[#This Row],[Key(Compte ILN - shipper - POL - plant)]],'DATA ILN'!A:K,11,FALSE),VLOOKUP(Tableau119[[#This Row],[Key(Compte ILN - shipper - POL)]],'DATA ILN'!B:K,10,FALSE))</f>
        <v>#N/A</v>
      </c>
      <c r="U37" s="50" t="e">
        <f>IFERROR(VLOOKUP(Tableau119[[#This Row],[Key(Compte ILN - shipper - POL - plant)]],'DATA ILN'!A:L,12,FALSE),VLOOKUP(Tableau119[[#This Row],[Key(Compte ILN - shipper - POL)]],'DATA ILN'!B:L,11,FALSE))</f>
        <v>#N/A</v>
      </c>
      <c r="V37" s="50" t="e">
        <f>Tableau119[[#This Row],[Day ILN Order]]+Tableau119[[#This Row],[Delivery time to ILN/Shipper]]-1</f>
        <v>#N/A</v>
      </c>
      <c r="W37" s="50" t="e">
        <f>IFERROR(VLOOKUP(Tableau119[[#This Row],[Key(Compte ILN - shipper - POL - plant)]],'DATA ILN'!A:N,14,FALSE),VLOOKUP(Tableau119[[#This Row],[Key(Compte ILN - shipper - POL)]],'DATA ILN'!B:N,13,FALSE))</f>
        <v>#N/A</v>
      </c>
      <c r="X37" s="53" t="e">
        <f>IFERROR(VLOOKUP(Tableau119[[#This Row],[Key(Compte ILN - shipper - POL - plant)]],'DATA ILN'!A:P,16,FALSE),VLOOKUP(Tableau119[[#This Row],[Key(Compte ILN - shipper - POL)]],'DATA ILN'!B:P,15,FALSE))</f>
        <v>#N/A</v>
      </c>
      <c r="Y37" s="284" t="s">
        <v>167</v>
      </c>
      <c r="Z37" s="437">
        <f>IFERROR(VLOOKUP(Tableau119[[#This Row],[Name Shipper]],Plant_AILN!L:M,2,FALSE),0)</f>
        <v>95112</v>
      </c>
      <c r="AA37" s="406">
        <v>13</v>
      </c>
      <c r="AB37" s="396" t="b">
        <f>_xlfn.XLOOKUP(Tableau119[[#This Row],[Key(ID-date)]],'DATA BTO'!S:S,'DATA BTO'!E:E,FALSE)</f>
        <v>0</v>
      </c>
      <c r="AC37" s="3" t="b">
        <f>_xlfn.XLOOKUP(Tableau119[[#This Row],[Key(ID-date)]],'DATA BTO'!S:S,'DATA BTO'!F:F,FALSE)</f>
        <v>0</v>
      </c>
      <c r="AD37" s="50" t="b">
        <f>_xlfn.XLOOKUP(Tableau119[[#This Row],[Key(ID-date)]],'DATA BTO'!S:S,'DATA BTO'!G:G,FALSE)</f>
        <v>0</v>
      </c>
      <c r="AE37" s="50" t="b">
        <f>_xlfn.XLOOKUP(Tableau119[[#This Row],[Key(ID-date)]],'DATA BTO'!S:S,'DATA BTO'!H:H,FALSE)</f>
        <v>0</v>
      </c>
      <c r="AF37" s="50" t="e">
        <f>IF(Tableau119[[#This Row],[First Day to POL]]&lt;=Tableau119[[#This Row],[Day Cut Off]],Tableau119[[#This Row],[Day ETD]],Tableau119[[#This Row],[Day ETD]]+7)</f>
        <v>#N/A</v>
      </c>
      <c r="AG37" s="50" t="b">
        <f>_xlfn.XLOOKUP(Tableau119[[#This Row],[Key(ID-date)]],'DATA BTO'!S:S,'DATA BTO'!I:I,FALSE)</f>
        <v>0</v>
      </c>
      <c r="AH37" s="3" t="b">
        <f>_xlfn.XLOOKUP(Tableau119[[#This Row],[Key(ID-date)]],'DATA BTO'!S:S,'DATA BTO'!J:J,FALSE)</f>
        <v>0</v>
      </c>
      <c r="AI37" s="3" t="b">
        <f>_xlfn.XLOOKUP(Tableau119[[#This Row],[Key(ID-date)]],'DATA BTO'!S:S,'DATA BTO'!K:K,FALSE)</f>
        <v>0</v>
      </c>
      <c r="AJ37" s="50" t="b">
        <f>_xlfn.XLOOKUP(Tableau119[[#This Row],[Key(ID-date)]],'DATA BTO'!S:S,'DATA BTO'!L:L,FALSE)</f>
        <v>0</v>
      </c>
      <c r="AK37" s="53" t="b">
        <f>_xlfn.XLOOKUP(Tableau119[[#This Row],[Key(ID-date)]],'DATA BTO'!S:S,'DATA BTO'!N:N,FALSE)</f>
        <v>0</v>
      </c>
      <c r="AL37" s="54" t="e">
        <f>VLOOKUP(Tableau119[[#This Row],[Key(POD -PFI- Usine)]],'DATA Consignee'!A:F,6,FALSE)</f>
        <v>#N/A</v>
      </c>
      <c r="AM37" s="127"/>
      <c r="AN37" s="438" t="str">
        <f>IF(Tableau119[[#This Row],[Name PFI/CDD]]="","-",VLOOKUP(Tableau119[[#This Row],[Name PFI/CDD]],Plant_AILN!I:J,2,FALSE))</f>
        <v>-</v>
      </c>
      <c r="AO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7" s="2" t="e">
        <f>VLOOKUP(Tableau119[[#This Row],[Key(POD -PFI- Usine)]],'DATA Consignee'!A:J,10,FALSE)</f>
        <v>#N/A</v>
      </c>
      <c r="AR37" s="50" t="e">
        <f>VLOOKUP(Tableau119[[#This Row],[Key(POD -PFI- Usine)]],'DATA Consignee'!A:N,14,FALSE)</f>
        <v>#N/A</v>
      </c>
      <c r="AS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" s="50">
        <f>Tableau119[[#This Row],[Transit time]]+Tableau119[[#This Row],[Time for security]]+Tableau119[[#This Row],[Time for security2 buffer]]</f>
        <v>0</v>
      </c>
      <c r="AV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" s="433" t="e">
        <f>Tableau119[[#This Row],[Leadtime SI2C]]+Tableau119[[#This Row],[First Receipt Days]]-Tableau119[[#This Row],[Day Customer Order]]+1</f>
        <v>#N/A</v>
      </c>
      <c r="AX37" s="119" t="e">
        <f>IF(Tableau119[[#This Row],[Name ILN]]&lt;&gt;"SFK Freight Forwarder",Tableau119[[#This Row],[Cust. Leadtime]],Tableau119[[#This Row],[Leadtime SI2C]])</f>
        <v>#N/A</v>
      </c>
      <c r="AY37" s="51" t="b">
        <f>_xlfn.XLOOKUP(Tableau119[[#This Row],[Key(ID-date)]],'DATA BTO'!S:S,'DATA BTO'!P:P,FALSE)</f>
        <v>0</v>
      </c>
      <c r="AZ37" s="338">
        <v>45777</v>
      </c>
      <c r="BA37" s="50"/>
    </row>
    <row r="38" spans="2:53">
      <c r="B38" s="474" t="str">
        <f>_xlfn.CONCAT(Tableau119[[#This Row],[Name ILN]],"-",Tableau119[[#This Row],[Name Shipper]],"-",Tableau119[[#This Row],[Name Site]])</f>
        <v>ILN Bursa-ILN Bursa-Curitiba CVU</v>
      </c>
      <c r="C38" s="67" t="str">
        <f>_xlfn.CONCAT(Tableau119[[#This Row],[Compte ILN]],"-",Tableau119[[#This Row],[Compte Shipper]],"-",Tableau119[[#This Row],[POL]],"-",Tableau119[[#This Row],[Compte Consignee]])</f>
        <v>95112-95112-FALSO-90018500</v>
      </c>
      <c r="D38" s="66" t="str">
        <f>_xlfn.CONCAT(Tableau119[[#This Row],[Compte ILN]],"-",Tableau119[[#This Row],[Compte Shipper]],"-",Tableau119[[#This Row],[POL]])</f>
        <v>95112-95112-FALSO</v>
      </c>
      <c r="E38" s="434" t="str">
        <f>_xlfn.CONCAT(Tableau119[[#This Row],[POL]],"-",Tableau119[[#This Row],[Carrier]],"-",Tableau119[[#This Row],[POD]])</f>
        <v>FALSO-FALSO-FALSO</v>
      </c>
      <c r="F38" s="66" t="str">
        <f>_xlfn.CONCAT(Tableau119[[#This Row],[ID]],"-","Actif")</f>
        <v>13-Actif</v>
      </c>
      <c r="G38" s="66" t="str">
        <f>_xlfn.CONCAT(Tableau119[[#This Row],[POD]],"-",Tableau119[[#This Row],[Code PFI]],"-",Tableau119[[#This Row],[Compte Consignee]])</f>
        <v>FALSO---90018500</v>
      </c>
      <c r="H3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CVU</v>
      </c>
      <c r="I38" s="434" t="str">
        <f>_xlfn.CONCAT(Tableau119[[#This Row],[ID]],"-",Tableau119[[#This Row],[Expiration Date]])</f>
        <v>13-45777</v>
      </c>
      <c r="J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Bursa-ILN Bursa-13-FALSO-FALSO-FALSO--45777</v>
      </c>
      <c r="K38" s="435" t="str">
        <f ca="1">IF(COUNTIF(J:J,Tableau119[[#This Row],[Plant-ILN-shipper-POL-Carrier-POD-PFI]])=1,"Non","Oui")</f>
        <v>Non</v>
      </c>
      <c r="L38" s="128" t="str">
        <f>VLOOKUP(Tableau119[[#This Row],[Name Site]],Plant_AILN!A:D,4,FALSE)</f>
        <v>BRAZIL</v>
      </c>
      <c r="M38" s="411" t="s">
        <v>639</v>
      </c>
      <c r="N38" s="439">
        <f>VLOOKUP(Tableau119[[#This Row],[Name Site]],Plant_AILN!A:C,3,FALSE)</f>
        <v>90018500</v>
      </c>
      <c r="O38" s="55">
        <f>IF(Tableau119[[#This Row],[Name PFI/CDD]]="PFI VLL",2,VLOOKUP(Tableau119[[#This Row],[Compte Consignee]],Order!C:D,2,FALSE))</f>
        <v>7</v>
      </c>
      <c r="P38" s="116" t="s">
        <v>167</v>
      </c>
      <c r="Q38" s="365">
        <f>VLOOKUP(Tableau119[[#This Row],[Name ILN]],Plant_AILN!F:G,2,FALSE)</f>
        <v>95112</v>
      </c>
      <c r="R38" s="50">
        <f>VLOOKUP(Tableau119[[#This Row],[Compte ILN]],'DATA ILN'!D:I,6,FALSE)</f>
        <v>9</v>
      </c>
      <c r="S38" s="50" t="e">
        <f>IFERROR(VLOOKUP(Tableau119[[#This Row],[Key(Compte ILN - shipper - POL - plant)]],'DATA ILN'!A:J,10,FALSE),VLOOKUP(Tableau119[[#This Row],[Key(Compte ILN - shipper - POL)]],'DATA ILN'!B:J,9,FALSE))</f>
        <v>#N/A</v>
      </c>
      <c r="T38" s="50" t="e">
        <f>IFERROR(VLOOKUP(Tableau119[[#This Row],[Key(Compte ILN - shipper - POL - plant)]],'DATA ILN'!A:K,11,FALSE),VLOOKUP(Tableau119[[#This Row],[Key(Compte ILN - shipper - POL)]],'DATA ILN'!B:K,10,FALSE))</f>
        <v>#N/A</v>
      </c>
      <c r="U38" s="50" t="e">
        <f>IFERROR(VLOOKUP(Tableau119[[#This Row],[Key(Compte ILN - shipper - POL - plant)]],'DATA ILN'!A:L,12,FALSE),VLOOKUP(Tableau119[[#This Row],[Key(Compte ILN - shipper - POL)]],'DATA ILN'!B:L,11,FALSE))</f>
        <v>#N/A</v>
      </c>
      <c r="V38" s="50" t="e">
        <f>Tableau119[[#This Row],[Day ILN Order]]+Tableau119[[#This Row],[Delivery time to ILN/Shipper]]-1</f>
        <v>#N/A</v>
      </c>
      <c r="W38" s="50" t="e">
        <f>IFERROR(VLOOKUP(Tableau119[[#This Row],[Key(Compte ILN - shipper - POL - plant)]],'DATA ILN'!A:N,14,FALSE),VLOOKUP(Tableau119[[#This Row],[Key(Compte ILN - shipper - POL)]],'DATA ILN'!B:N,13,FALSE))</f>
        <v>#N/A</v>
      </c>
      <c r="X38" s="53" t="e">
        <f>IFERROR(VLOOKUP(Tableau119[[#This Row],[Key(Compte ILN - shipper - POL - plant)]],'DATA ILN'!A:P,16,FALSE),VLOOKUP(Tableau119[[#This Row],[Key(Compte ILN - shipper - POL)]],'DATA ILN'!B:P,15,FALSE))</f>
        <v>#N/A</v>
      </c>
      <c r="Y38" s="284" t="s">
        <v>167</v>
      </c>
      <c r="Z38" s="437">
        <f>IFERROR(VLOOKUP(Tableau119[[#This Row],[Name Shipper]],Plant_AILN!L:M,2,FALSE),0)</f>
        <v>95112</v>
      </c>
      <c r="AA38" s="406">
        <v>13</v>
      </c>
      <c r="AB38" s="396" t="b">
        <f>_xlfn.XLOOKUP(Tableau119[[#This Row],[Key(ID-date)]],'DATA BTO'!S:S,'DATA BTO'!E:E,FALSE)</f>
        <v>0</v>
      </c>
      <c r="AC38" s="3" t="b">
        <f>_xlfn.XLOOKUP(Tableau119[[#This Row],[Key(ID-date)]],'DATA BTO'!S:S,'DATA BTO'!F:F,FALSE)</f>
        <v>0</v>
      </c>
      <c r="AD38" s="50" t="b">
        <f>_xlfn.XLOOKUP(Tableau119[[#This Row],[Key(ID-date)]],'DATA BTO'!S:S,'DATA BTO'!G:G,FALSE)</f>
        <v>0</v>
      </c>
      <c r="AE38" s="50" t="b">
        <f>_xlfn.XLOOKUP(Tableau119[[#This Row],[Key(ID-date)]],'DATA BTO'!S:S,'DATA BTO'!H:H,FALSE)</f>
        <v>0</v>
      </c>
      <c r="AF38" s="50" t="e">
        <f>IF(Tableau119[[#This Row],[First Day to POL]]&lt;=Tableau119[[#This Row],[Day Cut Off]],Tableau119[[#This Row],[Day ETD]],Tableau119[[#This Row],[Day ETD]]+7)</f>
        <v>#N/A</v>
      </c>
      <c r="AG38" s="50" t="b">
        <f>_xlfn.XLOOKUP(Tableau119[[#This Row],[Key(ID-date)]],'DATA BTO'!S:S,'DATA BTO'!I:I,FALSE)</f>
        <v>0</v>
      </c>
      <c r="AH38" s="3" t="b">
        <f>_xlfn.XLOOKUP(Tableau119[[#This Row],[Key(ID-date)]],'DATA BTO'!S:S,'DATA BTO'!J:J,FALSE)</f>
        <v>0</v>
      </c>
      <c r="AI38" s="3" t="b">
        <f>_xlfn.XLOOKUP(Tableau119[[#This Row],[Key(ID-date)]],'DATA BTO'!S:S,'DATA BTO'!K:K,FALSE)</f>
        <v>0</v>
      </c>
      <c r="AJ38" s="50" t="b">
        <f>_xlfn.XLOOKUP(Tableau119[[#This Row],[Key(ID-date)]],'DATA BTO'!S:S,'DATA BTO'!L:L,FALSE)</f>
        <v>0</v>
      </c>
      <c r="AK38" s="53" t="b">
        <f>_xlfn.XLOOKUP(Tableau119[[#This Row],[Key(ID-date)]],'DATA BTO'!S:S,'DATA BTO'!N:N,FALSE)</f>
        <v>0</v>
      </c>
      <c r="AL38" s="54" t="e">
        <f>VLOOKUP(Tableau119[[#This Row],[Key(POD -PFI- Usine)]],'DATA Consignee'!A:F,6,FALSE)</f>
        <v>#N/A</v>
      </c>
      <c r="AM38" s="127"/>
      <c r="AN38" s="438" t="str">
        <f>IF(Tableau119[[#This Row],[Name PFI/CDD]]="","-",VLOOKUP(Tableau119[[#This Row],[Name PFI/CDD]],Plant_AILN!I:J,2,FALSE))</f>
        <v>-</v>
      </c>
      <c r="AO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8" s="2" t="e">
        <f>VLOOKUP(Tableau119[[#This Row],[Key(POD -PFI- Usine)]],'DATA Consignee'!A:J,10,FALSE)</f>
        <v>#N/A</v>
      </c>
      <c r="AR38" s="50" t="e">
        <f>VLOOKUP(Tableau119[[#This Row],[Key(POD -PFI- Usine)]],'DATA Consignee'!A:N,14,FALSE)</f>
        <v>#N/A</v>
      </c>
      <c r="AS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" s="50">
        <f>Tableau119[[#This Row],[Transit time]]+Tableau119[[#This Row],[Time for security]]+Tableau119[[#This Row],[Time for security2 buffer]]</f>
        <v>0</v>
      </c>
      <c r="AV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" s="433" t="e">
        <f>Tableau119[[#This Row],[Leadtime SI2C]]+Tableau119[[#This Row],[First Receipt Days]]-Tableau119[[#This Row],[Day Customer Order]]+1</f>
        <v>#N/A</v>
      </c>
      <c r="AX38" s="119" t="e">
        <f>IF(Tableau119[[#This Row],[Name ILN]]&lt;&gt;"SFK Freight Forwarder",Tableau119[[#This Row],[Cust. Leadtime]],Tableau119[[#This Row],[Leadtime SI2C]])</f>
        <v>#N/A</v>
      </c>
      <c r="AY38" s="51" t="b">
        <f>_xlfn.XLOOKUP(Tableau119[[#This Row],[Key(ID-date)]],'DATA BTO'!S:S,'DATA BTO'!P:P,FALSE)</f>
        <v>0</v>
      </c>
      <c r="AZ38" s="338">
        <v>45777</v>
      </c>
      <c r="BA38" s="50"/>
    </row>
    <row r="39" spans="2:53">
      <c r="B39" s="474" t="str">
        <f>_xlfn.CONCAT(Tableau119[[#This Row],[Name ILN]],"-",Tableau119[[#This Row],[Name Shipper]],"-",Tableau119[[#This Row],[Name Site]])</f>
        <v>ILN Bursa-ILN Bursa-Curitiba CVP</v>
      </c>
      <c r="C39" s="67" t="str">
        <f>_xlfn.CONCAT(Tableau119[[#This Row],[Compte ILN]],"-",Tableau119[[#This Row],[Compte Shipper]],"-",Tableau119[[#This Row],[POL]],"-",Tableau119[[#This Row],[Compte Consignee]])</f>
        <v>95112-95112-FALSO-90018000</v>
      </c>
      <c r="D39" s="66" t="str">
        <f>_xlfn.CONCAT(Tableau119[[#This Row],[Compte ILN]],"-",Tableau119[[#This Row],[Compte Shipper]],"-",Tableau119[[#This Row],[POL]])</f>
        <v>95112-95112-FALSO</v>
      </c>
      <c r="E39" s="434" t="str">
        <f>_xlfn.CONCAT(Tableau119[[#This Row],[POL]],"-",Tableau119[[#This Row],[Carrier]],"-",Tableau119[[#This Row],[POD]])</f>
        <v>FALSO-FALSO-FALSO</v>
      </c>
      <c r="F39" s="66" t="str">
        <f>_xlfn.CONCAT(Tableau119[[#This Row],[ID]],"-","Actif")</f>
        <v>13-Actif</v>
      </c>
      <c r="G39" s="66" t="str">
        <f>_xlfn.CONCAT(Tableau119[[#This Row],[POD]],"-",Tableau119[[#This Row],[Code PFI]],"-",Tableau119[[#This Row],[Compte Consignee]])</f>
        <v>FALSO---90018000</v>
      </c>
      <c r="H3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CVP</v>
      </c>
      <c r="I39" s="434" t="str">
        <f>_xlfn.CONCAT(Tableau119[[#This Row],[ID]],"-",Tableau119[[#This Row],[Expiration Date]])</f>
        <v>13-45535</v>
      </c>
      <c r="J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Bursa-ILN Bursa-13-FALSO-FALSO-FALSO--45535</v>
      </c>
      <c r="K39" s="435" t="str">
        <f ca="1">IF(COUNTIF(J:J,Tableau119[[#This Row],[Plant-ILN-shipper-POL-Carrier-POD-PFI]])=1,"Non","Oui")</f>
        <v>Non</v>
      </c>
      <c r="L39" s="128" t="str">
        <f>VLOOKUP(Tableau119[[#This Row],[Name Site]],Plant_AILN!A:D,4,FALSE)</f>
        <v>BRAZIL</v>
      </c>
      <c r="M39" s="10" t="s">
        <v>152</v>
      </c>
      <c r="N39" s="439">
        <f>VLOOKUP(Tableau119[[#This Row],[Name Site]],Plant_AILN!A:C,3,FALSE)</f>
        <v>90018000</v>
      </c>
      <c r="O39" s="55">
        <f>IF(Tableau119[[#This Row],[Name PFI/CDD]]="PFI VLL",2,VLOOKUP(Tableau119[[#This Row],[Compte Consignee]],Order!C:D,2,FALSE))</f>
        <v>7</v>
      </c>
      <c r="P39" s="116" t="s">
        <v>167</v>
      </c>
      <c r="Q39" s="365">
        <f>VLOOKUP(Tableau119[[#This Row],[Name ILN]],Plant_AILN!F:G,2,FALSE)</f>
        <v>95112</v>
      </c>
      <c r="R39" s="50">
        <f>VLOOKUP(Tableau119[[#This Row],[Compte ILN]],'DATA ILN'!D:I,6,FALSE)</f>
        <v>9</v>
      </c>
      <c r="S39" s="50" t="e">
        <f>IFERROR(VLOOKUP(Tableau119[[#This Row],[Key(Compte ILN - shipper - POL - plant)]],'DATA ILN'!A:J,10,FALSE),VLOOKUP(Tableau119[[#This Row],[Key(Compte ILN - shipper - POL)]],'DATA ILN'!B:J,9,FALSE))</f>
        <v>#N/A</v>
      </c>
      <c r="T39" s="50" t="e">
        <f>IFERROR(VLOOKUP(Tableau119[[#This Row],[Key(Compte ILN - shipper - POL - plant)]],'DATA ILN'!A:K,11,FALSE),VLOOKUP(Tableau119[[#This Row],[Key(Compte ILN - shipper - POL)]],'DATA ILN'!B:K,10,FALSE))</f>
        <v>#N/A</v>
      </c>
      <c r="U39" s="50" t="e">
        <f>IFERROR(VLOOKUP(Tableau119[[#This Row],[Key(Compte ILN - shipper - POL - plant)]],'DATA ILN'!A:L,12,FALSE),VLOOKUP(Tableau119[[#This Row],[Key(Compte ILN - shipper - POL)]],'DATA ILN'!B:L,11,FALSE))</f>
        <v>#N/A</v>
      </c>
      <c r="V39" s="50" t="e">
        <f>Tableau119[[#This Row],[Day ILN Order]]+Tableau119[[#This Row],[Delivery time to ILN/Shipper]]-1</f>
        <v>#N/A</v>
      </c>
      <c r="W39" s="50" t="e">
        <f>IFERROR(VLOOKUP(Tableau119[[#This Row],[Key(Compte ILN - shipper - POL - plant)]],'DATA ILN'!A:N,14,FALSE),VLOOKUP(Tableau119[[#This Row],[Key(Compte ILN - shipper - POL)]],'DATA ILN'!B:N,13,FALSE))</f>
        <v>#N/A</v>
      </c>
      <c r="X39" s="53" t="e">
        <f>IFERROR(VLOOKUP(Tableau119[[#This Row],[Key(Compte ILN - shipper - POL - plant)]],'DATA ILN'!A:P,16,FALSE),VLOOKUP(Tableau119[[#This Row],[Key(Compte ILN - shipper - POL)]],'DATA ILN'!B:P,15,FALSE))</f>
        <v>#N/A</v>
      </c>
      <c r="Y39" s="284" t="s">
        <v>167</v>
      </c>
      <c r="Z39" s="437">
        <f>IFERROR(VLOOKUP(Tableau119[[#This Row],[Name Shipper]],Plant_AILN!L:M,2,FALSE),0)</f>
        <v>95112</v>
      </c>
      <c r="AA39" s="406">
        <v>13</v>
      </c>
      <c r="AB39" s="396" t="b">
        <f>_xlfn.XLOOKUP(Tableau119[[#This Row],[Key(ID-date)]],'DATA BTO'!S:S,'DATA BTO'!E:E,FALSE)</f>
        <v>0</v>
      </c>
      <c r="AC39" s="3" t="b">
        <f>_xlfn.XLOOKUP(Tableau119[[#This Row],[Key(ID-date)]],'DATA BTO'!S:S,'DATA BTO'!F:F,FALSE)</f>
        <v>0</v>
      </c>
      <c r="AD39" s="50" t="b">
        <f>_xlfn.XLOOKUP(Tableau119[[#This Row],[Key(ID-date)]],'DATA BTO'!S:S,'DATA BTO'!G:G,FALSE)</f>
        <v>0</v>
      </c>
      <c r="AE39" s="50" t="b">
        <f>_xlfn.XLOOKUP(Tableau119[[#This Row],[Key(ID-date)]],'DATA BTO'!S:S,'DATA BTO'!H:H,FALSE)</f>
        <v>0</v>
      </c>
      <c r="AF39" s="50" t="e">
        <f>IF(Tableau119[[#This Row],[First Day to POL]]&lt;=Tableau119[[#This Row],[Day Cut Off]],Tableau119[[#This Row],[Day ETD]],Tableau119[[#This Row],[Day ETD]]+7)</f>
        <v>#N/A</v>
      </c>
      <c r="AG39" s="50" t="b">
        <f>_xlfn.XLOOKUP(Tableau119[[#This Row],[Key(ID-date)]],'DATA BTO'!S:S,'DATA BTO'!I:I,FALSE)</f>
        <v>0</v>
      </c>
      <c r="AH39" s="3" t="b">
        <f>_xlfn.XLOOKUP(Tableau119[[#This Row],[Key(ID-date)]],'DATA BTO'!S:S,'DATA BTO'!J:J,FALSE)</f>
        <v>0</v>
      </c>
      <c r="AI39" s="3" t="b">
        <f>_xlfn.XLOOKUP(Tableau119[[#This Row],[Key(ID-date)]],'DATA BTO'!S:S,'DATA BTO'!K:K,FALSE)</f>
        <v>0</v>
      </c>
      <c r="AJ39" s="50" t="b">
        <f>_xlfn.XLOOKUP(Tableau119[[#This Row],[Key(ID-date)]],'DATA BTO'!S:S,'DATA BTO'!L:L,FALSE)</f>
        <v>0</v>
      </c>
      <c r="AK39" s="53" t="b">
        <f>_xlfn.XLOOKUP(Tableau119[[#This Row],[Key(ID-date)]],'DATA BTO'!S:S,'DATA BTO'!N:N,FALSE)</f>
        <v>0</v>
      </c>
      <c r="AL39" s="54" t="e">
        <f>VLOOKUP(Tableau119[[#This Row],[Key(POD -PFI- Usine)]],'DATA Consignee'!A:F,6,FALSE)</f>
        <v>#N/A</v>
      </c>
      <c r="AM39" s="127"/>
      <c r="AN39" s="438" t="str">
        <f>IF(Tableau119[[#This Row],[Name PFI/CDD]]="","-",VLOOKUP(Tableau119[[#This Row],[Name PFI/CDD]],Plant_AILN!I:J,2,FALSE))</f>
        <v>-</v>
      </c>
      <c r="AO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9" s="2" t="e">
        <f>VLOOKUP(Tableau119[[#This Row],[Key(POD -PFI- Usine)]],'DATA Consignee'!A:J,10,FALSE)</f>
        <v>#N/A</v>
      </c>
      <c r="AR39" s="50" t="e">
        <f>VLOOKUP(Tableau119[[#This Row],[Key(POD -PFI- Usine)]],'DATA Consignee'!A:N,14,FALSE)</f>
        <v>#N/A</v>
      </c>
      <c r="AS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" s="50">
        <f>Tableau119[[#This Row],[Transit time]]+Tableau119[[#This Row],[Time for security]]+Tableau119[[#This Row],[Time for security2 buffer]]</f>
        <v>0</v>
      </c>
      <c r="AV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" s="433" t="e">
        <f>Tableau119[[#This Row],[Leadtime SI2C]]+Tableau119[[#This Row],[First Receipt Days]]-Tableau119[[#This Row],[Day Customer Order]]+1</f>
        <v>#N/A</v>
      </c>
      <c r="AX39" s="119" t="e">
        <f>IF(Tableau119[[#This Row],[Name ILN]]&lt;&gt;"SFK Freight Forwarder",Tableau119[[#This Row],[Cust. Leadtime]],Tableau119[[#This Row],[Leadtime SI2C]])</f>
        <v>#N/A</v>
      </c>
      <c r="AY39" s="51" t="b">
        <f>_xlfn.XLOOKUP(Tableau119[[#This Row],[Key(ID-date)]],'DATA BTO'!S:S,'DATA BTO'!P:P,FALSE)</f>
        <v>0</v>
      </c>
      <c r="AZ39" s="338">
        <v>45535</v>
      </c>
      <c r="BA39" s="50"/>
    </row>
    <row r="40" spans="2:53">
      <c r="B40" s="474" t="str">
        <f>_xlfn.CONCAT(Tableau119[[#This Row],[Name ILN]],"-",Tableau119[[#This Row],[Name Shipper]],"-",Tableau119[[#This Row],[Name Site]])</f>
        <v>ILN Bursa-ILN Bursa-Curitiba CVU</v>
      </c>
      <c r="C40" s="67" t="str">
        <f>_xlfn.CONCAT(Tableau119[[#This Row],[Compte ILN]],"-",Tableau119[[#This Row],[Compte Shipper]],"-",Tableau119[[#This Row],[POL]],"-",Tableau119[[#This Row],[Compte Consignee]])</f>
        <v>95112-95112-FALSO-90018500</v>
      </c>
      <c r="D40" s="66" t="str">
        <f>_xlfn.CONCAT(Tableau119[[#This Row],[Compte ILN]],"-",Tableau119[[#This Row],[Compte Shipper]],"-",Tableau119[[#This Row],[POL]])</f>
        <v>95112-95112-FALSO</v>
      </c>
      <c r="E40" s="434" t="str">
        <f>_xlfn.CONCAT(Tableau119[[#This Row],[POL]],"-",Tableau119[[#This Row],[Carrier]],"-",Tableau119[[#This Row],[POD]])</f>
        <v>FALSO-FALSO-FALSO</v>
      </c>
      <c r="F40" s="66" t="str">
        <f>_xlfn.CONCAT(Tableau119[[#This Row],[ID]],"-","Actif")</f>
        <v>13-Actif</v>
      </c>
      <c r="G40" s="66" t="str">
        <f>_xlfn.CONCAT(Tableau119[[#This Row],[POD]],"-",Tableau119[[#This Row],[Code PFI]],"-",Tableau119[[#This Row],[Compte Consignee]])</f>
        <v>FALSO---90018500</v>
      </c>
      <c r="H4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CVU</v>
      </c>
      <c r="I40" s="434" t="str">
        <f>_xlfn.CONCAT(Tableau119[[#This Row],[ID]],"-",Tableau119[[#This Row],[Expiration Date]])</f>
        <v>13-45535</v>
      </c>
      <c r="J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Bursa-ILN Bursa-13-FALSO-FALSO-FALSO--45535</v>
      </c>
      <c r="K40" s="435" t="str">
        <f ca="1">IF(COUNTIF(J:J,Tableau119[[#This Row],[Plant-ILN-shipper-POL-Carrier-POD-PFI]])=1,"Non","Oui")</f>
        <v>Non</v>
      </c>
      <c r="L40" s="128" t="str">
        <f>VLOOKUP(Tableau119[[#This Row],[Name Site]],Plant_AILN!A:D,4,FALSE)</f>
        <v>BRAZIL</v>
      </c>
      <c r="M40" s="411" t="s">
        <v>639</v>
      </c>
      <c r="N40" s="439">
        <f>VLOOKUP(Tableau119[[#This Row],[Name Site]],Plant_AILN!A:C,3,FALSE)</f>
        <v>90018500</v>
      </c>
      <c r="O40" s="55">
        <f>IF(Tableau119[[#This Row],[Name PFI/CDD]]="PFI VLL",2,VLOOKUP(Tableau119[[#This Row],[Compte Consignee]],Order!C:D,2,FALSE))</f>
        <v>7</v>
      </c>
      <c r="P40" s="116" t="s">
        <v>167</v>
      </c>
      <c r="Q40" s="365">
        <f>VLOOKUP(Tableau119[[#This Row],[Name ILN]],Plant_AILN!F:G,2,FALSE)</f>
        <v>95112</v>
      </c>
      <c r="R40" s="50">
        <f>VLOOKUP(Tableau119[[#This Row],[Compte ILN]],'DATA ILN'!D:I,6,FALSE)</f>
        <v>9</v>
      </c>
      <c r="S40" s="50" t="e">
        <f>IFERROR(VLOOKUP(Tableau119[[#This Row],[Key(Compte ILN - shipper - POL - plant)]],'DATA ILN'!A:J,10,FALSE),VLOOKUP(Tableau119[[#This Row],[Key(Compte ILN - shipper - POL)]],'DATA ILN'!B:J,9,FALSE))</f>
        <v>#N/A</v>
      </c>
      <c r="T40" s="50" t="e">
        <f>IFERROR(VLOOKUP(Tableau119[[#This Row],[Key(Compte ILN - shipper - POL - plant)]],'DATA ILN'!A:K,11,FALSE),VLOOKUP(Tableau119[[#This Row],[Key(Compte ILN - shipper - POL)]],'DATA ILN'!B:K,10,FALSE))</f>
        <v>#N/A</v>
      </c>
      <c r="U40" s="50" t="e">
        <f>IFERROR(VLOOKUP(Tableau119[[#This Row],[Key(Compte ILN - shipper - POL - plant)]],'DATA ILN'!A:L,12,FALSE),VLOOKUP(Tableau119[[#This Row],[Key(Compte ILN - shipper - POL)]],'DATA ILN'!B:L,11,FALSE))</f>
        <v>#N/A</v>
      </c>
      <c r="V40" s="50" t="e">
        <f>Tableau119[[#This Row],[Day ILN Order]]+Tableau119[[#This Row],[Delivery time to ILN/Shipper]]-1</f>
        <v>#N/A</v>
      </c>
      <c r="W40" s="50" t="e">
        <f>IFERROR(VLOOKUP(Tableau119[[#This Row],[Key(Compte ILN - shipper - POL - plant)]],'DATA ILN'!A:N,14,FALSE),VLOOKUP(Tableau119[[#This Row],[Key(Compte ILN - shipper - POL)]],'DATA ILN'!B:N,13,FALSE))</f>
        <v>#N/A</v>
      </c>
      <c r="X40" s="53" t="e">
        <f>IFERROR(VLOOKUP(Tableau119[[#This Row],[Key(Compte ILN - shipper - POL - plant)]],'DATA ILN'!A:P,16,FALSE),VLOOKUP(Tableau119[[#This Row],[Key(Compte ILN - shipper - POL)]],'DATA ILN'!B:P,15,FALSE))</f>
        <v>#N/A</v>
      </c>
      <c r="Y40" s="411" t="s">
        <v>167</v>
      </c>
      <c r="Z40" s="437">
        <f>IFERROR(VLOOKUP(Tableau119[[#This Row],[Name Shipper]],Plant_AILN!L:M,2,FALSE),0)</f>
        <v>95112</v>
      </c>
      <c r="AA40" s="406">
        <v>13</v>
      </c>
      <c r="AB40" s="396" t="b">
        <f>_xlfn.XLOOKUP(Tableau119[[#This Row],[Key(ID-date)]],'DATA BTO'!S:S,'DATA BTO'!E:E,FALSE)</f>
        <v>0</v>
      </c>
      <c r="AC40" s="3" t="b">
        <f>_xlfn.XLOOKUP(Tableau119[[#This Row],[Key(ID-date)]],'DATA BTO'!S:S,'DATA BTO'!F:F,FALSE)</f>
        <v>0</v>
      </c>
      <c r="AD40" s="50" t="b">
        <f>_xlfn.XLOOKUP(Tableau119[[#This Row],[Key(ID-date)]],'DATA BTO'!S:S,'DATA BTO'!G:G,FALSE)</f>
        <v>0</v>
      </c>
      <c r="AE40" s="50" t="b">
        <f>_xlfn.XLOOKUP(Tableau119[[#This Row],[Key(ID-date)]],'DATA BTO'!S:S,'DATA BTO'!H:H,FALSE)</f>
        <v>0</v>
      </c>
      <c r="AF40" s="50" t="e">
        <f>IF(Tableau119[[#This Row],[First Day to POL]]&lt;=Tableau119[[#This Row],[Day Cut Off]],Tableau119[[#This Row],[Day ETD]],Tableau119[[#This Row],[Day ETD]]+7)</f>
        <v>#N/A</v>
      </c>
      <c r="AG40" s="50" t="b">
        <f>_xlfn.XLOOKUP(Tableau119[[#This Row],[Key(ID-date)]],'DATA BTO'!S:S,'DATA BTO'!I:I,FALSE)</f>
        <v>0</v>
      </c>
      <c r="AH40" s="3" t="b">
        <f>_xlfn.XLOOKUP(Tableau119[[#This Row],[Key(ID-date)]],'DATA BTO'!S:S,'DATA BTO'!J:J,FALSE)</f>
        <v>0</v>
      </c>
      <c r="AI40" s="3" t="b">
        <f>_xlfn.XLOOKUP(Tableau119[[#This Row],[Key(ID-date)]],'DATA BTO'!S:S,'DATA BTO'!K:K,FALSE)</f>
        <v>0</v>
      </c>
      <c r="AJ40" s="50" t="b">
        <f>_xlfn.XLOOKUP(Tableau119[[#This Row],[Key(ID-date)]],'DATA BTO'!S:S,'DATA BTO'!L:L,FALSE)</f>
        <v>0</v>
      </c>
      <c r="AK40" s="53" t="b">
        <f>_xlfn.XLOOKUP(Tableau119[[#This Row],[Key(ID-date)]],'DATA BTO'!S:S,'DATA BTO'!N:N,FALSE)</f>
        <v>0</v>
      </c>
      <c r="AL40" s="54" t="e">
        <f>VLOOKUP(Tableau119[[#This Row],[Key(POD -PFI- Usine)]],'DATA Consignee'!A:F,6,FALSE)</f>
        <v>#N/A</v>
      </c>
      <c r="AM40" s="127"/>
      <c r="AN40" s="438" t="str">
        <f>IF(Tableau119[[#This Row],[Name PFI/CDD]]="","-",VLOOKUP(Tableau119[[#This Row],[Name PFI/CDD]],Plant_AILN!I:J,2,FALSE))</f>
        <v>-</v>
      </c>
      <c r="AO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0" s="2" t="e">
        <f>VLOOKUP(Tableau119[[#This Row],[Key(POD -PFI- Usine)]],'DATA Consignee'!A:J,10,FALSE)</f>
        <v>#N/A</v>
      </c>
      <c r="AR40" s="50" t="e">
        <f>VLOOKUP(Tableau119[[#This Row],[Key(POD -PFI- Usine)]],'DATA Consignee'!A:N,14,FALSE)</f>
        <v>#N/A</v>
      </c>
      <c r="AS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" s="50">
        <f>Tableau119[[#This Row],[Transit time]]+Tableau119[[#This Row],[Time for security]]+Tableau119[[#This Row],[Time for security2 buffer]]</f>
        <v>0</v>
      </c>
      <c r="AV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" s="433" t="e">
        <f>Tableau119[[#This Row],[Leadtime SI2C]]+Tableau119[[#This Row],[First Receipt Days]]-Tableau119[[#This Row],[Day Customer Order]]+1</f>
        <v>#N/A</v>
      </c>
      <c r="AX40" s="119" t="e">
        <f>IF(Tableau119[[#This Row],[Name ILN]]&lt;&gt;"SFK Freight Forwarder",Tableau119[[#This Row],[Cust. Leadtime]],Tableau119[[#This Row],[Leadtime SI2C]])</f>
        <v>#N/A</v>
      </c>
      <c r="AY40" s="51" t="b">
        <f>_xlfn.XLOOKUP(Tableau119[[#This Row],[Key(ID-date)]],'DATA BTO'!S:S,'DATA BTO'!P:P,FALSE)</f>
        <v>0</v>
      </c>
      <c r="AZ40" s="338">
        <v>45535</v>
      </c>
      <c r="BA40" s="50"/>
    </row>
    <row r="41" spans="2:53">
      <c r="B41" s="474" t="str">
        <f>_xlfn.CONCAT(Tableau119[[#This Row],[Name ILN]],"-",Tableau119[[#This Row],[Name Shipper]],"-",Tableau119[[#This Row],[Name Site]])</f>
        <v>ILN Bursa-ILN Bursa-Curitiba CVP</v>
      </c>
      <c r="C41" s="67" t="str">
        <f>_xlfn.CONCAT(Tableau119[[#This Row],[Compte ILN]],"-",Tableau119[[#This Row],[Compte Shipper]],"-",Tableau119[[#This Row],[POL]],"-",Tableau119[[#This Row],[Compte Consignee]])</f>
        <v>95112-95112-FALSO-90018000</v>
      </c>
      <c r="D41" s="66" t="str">
        <f>_xlfn.CONCAT(Tableau119[[#This Row],[Compte ILN]],"-",Tableau119[[#This Row],[Compte Shipper]],"-",Tableau119[[#This Row],[POL]])</f>
        <v>95112-95112-FALSO</v>
      </c>
      <c r="E41" s="434" t="str">
        <f>_xlfn.CONCAT(Tableau119[[#This Row],[POL]],"-",Tableau119[[#This Row],[Carrier]],"-",Tableau119[[#This Row],[POD]])</f>
        <v>FALSO-FALSO-FALSO</v>
      </c>
      <c r="F41" s="66" t="str">
        <f>_xlfn.CONCAT(Tableau119[[#This Row],[ID]],"-","Actif")</f>
        <v>13-Actif</v>
      </c>
      <c r="G41" s="66" t="str">
        <f>_xlfn.CONCAT(Tableau119[[#This Row],[POD]],"-",Tableau119[[#This Row],[Code PFI]],"-",Tableau119[[#This Row],[Compte Consignee]])</f>
        <v>FALSO---90018000</v>
      </c>
      <c r="H4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CVP</v>
      </c>
      <c r="I41" s="434" t="str">
        <f>_xlfn.CONCAT(Tableau119[[#This Row],[ID]],"-",Tableau119[[#This Row],[Expiration Date]])</f>
        <v>13-45473</v>
      </c>
      <c r="J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Bursa-ILN Bursa-13-FALSO-FALSO-FALSO--45473</v>
      </c>
      <c r="K41" s="435" t="str">
        <f ca="1">IF(COUNTIF(J:J,Tableau119[[#This Row],[Plant-ILN-shipper-POL-Carrier-POD-PFI]])=1,"Non","Oui")</f>
        <v>Non</v>
      </c>
      <c r="L41" s="128" t="str">
        <f>VLOOKUP(Tableau119[[#This Row],[Name Site]],Plant_AILN!A:D,4,FALSE)</f>
        <v>BRAZIL</v>
      </c>
      <c r="M41" s="10" t="s">
        <v>152</v>
      </c>
      <c r="N41" s="439">
        <f>VLOOKUP(Tableau119[[#This Row],[Name Site]],Plant_AILN!A:C,3,FALSE)</f>
        <v>90018000</v>
      </c>
      <c r="O41" s="55">
        <f>IF(Tableau119[[#This Row],[Name PFI/CDD]]="PFI VLL",2,VLOOKUP(Tableau119[[#This Row],[Compte Consignee]],Order!C:D,2,FALSE))</f>
        <v>7</v>
      </c>
      <c r="P41" s="116" t="s">
        <v>167</v>
      </c>
      <c r="Q41" s="365">
        <f>VLOOKUP(Tableau119[[#This Row],[Name ILN]],Plant_AILN!F:G,2,FALSE)</f>
        <v>95112</v>
      </c>
      <c r="R41" s="50">
        <f>VLOOKUP(Tableau119[[#This Row],[Compte ILN]],'DATA ILN'!D:I,6,FALSE)</f>
        <v>9</v>
      </c>
      <c r="S41" s="50" t="e">
        <f>IFERROR(VLOOKUP(Tableau119[[#This Row],[Key(Compte ILN - shipper - POL - plant)]],'DATA ILN'!A:J,10,FALSE),VLOOKUP(Tableau119[[#This Row],[Key(Compte ILN - shipper - POL)]],'DATA ILN'!B:J,9,FALSE))</f>
        <v>#N/A</v>
      </c>
      <c r="T41" s="50" t="e">
        <f>IFERROR(VLOOKUP(Tableau119[[#This Row],[Key(Compte ILN - shipper - POL - plant)]],'DATA ILN'!A:K,11,FALSE),VLOOKUP(Tableau119[[#This Row],[Key(Compte ILN - shipper - POL)]],'DATA ILN'!B:K,10,FALSE))</f>
        <v>#N/A</v>
      </c>
      <c r="U41" s="50" t="e">
        <f>IFERROR(VLOOKUP(Tableau119[[#This Row],[Key(Compte ILN - shipper - POL - plant)]],'DATA ILN'!A:L,12,FALSE),VLOOKUP(Tableau119[[#This Row],[Key(Compte ILN - shipper - POL)]],'DATA ILN'!B:L,11,FALSE))</f>
        <v>#N/A</v>
      </c>
      <c r="V41" s="50" t="e">
        <f>Tableau119[[#This Row],[Day ILN Order]]+Tableau119[[#This Row],[Delivery time to ILN/Shipper]]-1</f>
        <v>#N/A</v>
      </c>
      <c r="W41" s="50" t="e">
        <f>IFERROR(VLOOKUP(Tableau119[[#This Row],[Key(Compte ILN - shipper - POL - plant)]],'DATA ILN'!A:N,14,FALSE),VLOOKUP(Tableau119[[#This Row],[Key(Compte ILN - shipper - POL)]],'DATA ILN'!B:N,13,FALSE))</f>
        <v>#N/A</v>
      </c>
      <c r="X41" s="53" t="e">
        <f>IFERROR(VLOOKUP(Tableau119[[#This Row],[Key(Compte ILN - shipper - POL - plant)]],'DATA ILN'!A:P,16,FALSE),VLOOKUP(Tableau119[[#This Row],[Key(Compte ILN - shipper - POL)]],'DATA ILN'!B:P,15,FALSE))</f>
        <v>#N/A</v>
      </c>
      <c r="Y41" s="284" t="s">
        <v>167</v>
      </c>
      <c r="Z41" s="437">
        <f>IFERROR(VLOOKUP(Tableau119[[#This Row],[Name Shipper]],Plant_AILN!L:M,2,FALSE),0)</f>
        <v>95112</v>
      </c>
      <c r="AA41" s="406">
        <v>13</v>
      </c>
      <c r="AB41" s="396" t="b">
        <f>_xlfn.XLOOKUP(Tableau119[[#This Row],[Key(ID-date)]],'DATA BTO'!S:S,'DATA BTO'!E:E,FALSE)</f>
        <v>0</v>
      </c>
      <c r="AC41" s="3" t="b">
        <f>_xlfn.XLOOKUP(Tableau119[[#This Row],[Key(ID-date)]],'DATA BTO'!S:S,'DATA BTO'!F:F,FALSE)</f>
        <v>0</v>
      </c>
      <c r="AD41" s="50" t="b">
        <f>_xlfn.XLOOKUP(Tableau119[[#This Row],[Key(ID-date)]],'DATA BTO'!S:S,'DATA BTO'!G:G,FALSE)</f>
        <v>0</v>
      </c>
      <c r="AE41" s="50" t="b">
        <f>_xlfn.XLOOKUP(Tableau119[[#This Row],[Key(ID-date)]],'DATA BTO'!S:S,'DATA BTO'!H:H,FALSE)</f>
        <v>0</v>
      </c>
      <c r="AF41" s="50" t="e">
        <f>IF(Tableau119[[#This Row],[First Day to POL]]&lt;=Tableau119[[#This Row],[Day Cut Off]],Tableau119[[#This Row],[Day ETD]],Tableau119[[#This Row],[Day ETD]]+7)</f>
        <v>#N/A</v>
      </c>
      <c r="AG41" s="50" t="b">
        <f>_xlfn.XLOOKUP(Tableau119[[#This Row],[Key(ID-date)]],'DATA BTO'!S:S,'DATA BTO'!I:I,FALSE)</f>
        <v>0</v>
      </c>
      <c r="AH41" s="3" t="b">
        <f>_xlfn.XLOOKUP(Tableau119[[#This Row],[Key(ID-date)]],'DATA BTO'!S:S,'DATA BTO'!J:J,FALSE)</f>
        <v>0</v>
      </c>
      <c r="AI41" s="3" t="b">
        <f>_xlfn.XLOOKUP(Tableau119[[#This Row],[Key(ID-date)]],'DATA BTO'!S:S,'DATA BTO'!K:K,FALSE)</f>
        <v>0</v>
      </c>
      <c r="AJ41" s="50" t="b">
        <f>_xlfn.XLOOKUP(Tableau119[[#This Row],[Key(ID-date)]],'DATA BTO'!S:S,'DATA BTO'!L:L,FALSE)</f>
        <v>0</v>
      </c>
      <c r="AK41" s="53" t="b">
        <f>_xlfn.XLOOKUP(Tableau119[[#This Row],[Key(ID-date)]],'DATA BTO'!S:S,'DATA BTO'!N:N,FALSE)</f>
        <v>0</v>
      </c>
      <c r="AL41" s="54" t="e">
        <f>VLOOKUP(Tableau119[[#This Row],[Key(POD -PFI- Usine)]],'DATA Consignee'!A:F,6,FALSE)</f>
        <v>#N/A</v>
      </c>
      <c r="AM41" s="127"/>
      <c r="AN41" s="438" t="str">
        <f>IF(Tableau119[[#This Row],[Name PFI/CDD]]="","-",VLOOKUP(Tableau119[[#This Row],[Name PFI/CDD]],Plant_AILN!I:J,2,FALSE))</f>
        <v>-</v>
      </c>
      <c r="AO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1" s="2" t="e">
        <f>VLOOKUP(Tableau119[[#This Row],[Key(POD -PFI- Usine)]],'DATA Consignee'!A:J,10,FALSE)</f>
        <v>#N/A</v>
      </c>
      <c r="AR41" s="50" t="e">
        <f>VLOOKUP(Tableau119[[#This Row],[Key(POD -PFI- Usine)]],'DATA Consignee'!A:N,14,FALSE)</f>
        <v>#N/A</v>
      </c>
      <c r="AS4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" s="50">
        <f>Tableau119[[#This Row],[Transit time]]+Tableau119[[#This Row],[Time for security]]+Tableau119[[#This Row],[Time for security2 buffer]]</f>
        <v>0</v>
      </c>
      <c r="AV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" s="433" t="e">
        <f>Tableau119[[#This Row],[Leadtime SI2C]]+Tableau119[[#This Row],[First Receipt Days]]-Tableau119[[#This Row],[Day Customer Order]]+1</f>
        <v>#N/A</v>
      </c>
      <c r="AX41" s="119" t="e">
        <f>IF(Tableau119[[#This Row],[Name ILN]]&lt;&gt;"SFK Freight Forwarder",Tableau119[[#This Row],[Cust. Leadtime]],Tableau119[[#This Row],[Leadtime SI2C]])</f>
        <v>#N/A</v>
      </c>
      <c r="AY41" s="51" t="b">
        <f>_xlfn.XLOOKUP(Tableau119[[#This Row],[Key(ID-date)]],'DATA BTO'!S:S,'DATA BTO'!P:P,FALSE)</f>
        <v>0</v>
      </c>
      <c r="AZ41" s="338">
        <v>45473</v>
      </c>
      <c r="BA41" s="50"/>
    </row>
    <row r="42" spans="2:53">
      <c r="B42" s="474" t="str">
        <f>_xlfn.CONCAT(Tableau119[[#This Row],[Name ILN]],"-",Tableau119[[#This Row],[Name Shipper]],"-",Tableau119[[#This Row],[Name Site]])</f>
        <v>ILN Bursa-ILN Bursa-Curitiba CVU</v>
      </c>
      <c r="C42" s="67" t="str">
        <f>_xlfn.CONCAT(Tableau119[[#This Row],[Compte ILN]],"-",Tableau119[[#This Row],[Compte Shipper]],"-",Tableau119[[#This Row],[POL]],"-",Tableau119[[#This Row],[Compte Consignee]])</f>
        <v>95112-95112-FALSO-90018500</v>
      </c>
      <c r="D42" s="66" t="str">
        <f>_xlfn.CONCAT(Tableau119[[#This Row],[Compte ILN]],"-",Tableau119[[#This Row],[Compte Shipper]],"-",Tableau119[[#This Row],[POL]])</f>
        <v>95112-95112-FALSO</v>
      </c>
      <c r="E42" s="434" t="str">
        <f>_xlfn.CONCAT(Tableau119[[#This Row],[POL]],"-",Tableau119[[#This Row],[Carrier]],"-",Tableau119[[#This Row],[POD]])</f>
        <v>FALSO-FALSO-FALSO</v>
      </c>
      <c r="F42" s="66" t="str">
        <f>_xlfn.CONCAT(Tableau119[[#This Row],[ID]],"-","Actif")</f>
        <v>13-Actif</v>
      </c>
      <c r="G42" s="66" t="str">
        <f>_xlfn.CONCAT(Tableau119[[#This Row],[POD]],"-",Tableau119[[#This Row],[Code PFI]],"-",Tableau119[[#This Row],[Compte Consignee]])</f>
        <v>FALSO---90018500</v>
      </c>
      <c r="H4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BursaFALSOCuritiba CVU</v>
      </c>
      <c r="I42" s="434" t="str">
        <f>_xlfn.CONCAT(Tableau119[[#This Row],[ID]],"-",Tableau119[[#This Row],[Expiration Date]])</f>
        <v>13-45473</v>
      </c>
      <c r="J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Bursa-ILN Bursa-13-FALSO-FALSO-FALSO--45473</v>
      </c>
      <c r="K42" s="435" t="str">
        <f ca="1">IF(COUNTIF(J:J,Tableau119[[#This Row],[Plant-ILN-shipper-POL-Carrier-POD-PFI]])=1,"Non","Oui")</f>
        <v>Non</v>
      </c>
      <c r="L42" s="128" t="str">
        <f>VLOOKUP(Tableau119[[#This Row],[Name Site]],Plant_AILN!A:D,4,FALSE)</f>
        <v>BRAZIL</v>
      </c>
      <c r="M42" s="10" t="s">
        <v>639</v>
      </c>
      <c r="N42" s="439">
        <f>VLOOKUP(Tableau119[[#This Row],[Name Site]],Plant_AILN!A:C,3,FALSE)</f>
        <v>90018500</v>
      </c>
      <c r="O42" s="55">
        <f>IF(Tableau119[[#This Row],[Name PFI/CDD]]="PFI VLL",2,VLOOKUP(Tableau119[[#This Row],[Compte Consignee]],Order!C:D,2,FALSE))</f>
        <v>7</v>
      </c>
      <c r="P42" s="116" t="s">
        <v>167</v>
      </c>
      <c r="Q42" s="365">
        <f>VLOOKUP(Tableau119[[#This Row],[Name ILN]],Plant_AILN!F:G,2,FALSE)</f>
        <v>95112</v>
      </c>
      <c r="R42" s="50">
        <f>VLOOKUP(Tableau119[[#This Row],[Compte ILN]],'DATA ILN'!D:I,6,FALSE)</f>
        <v>9</v>
      </c>
      <c r="S42" s="50" t="e">
        <f>IFERROR(VLOOKUP(Tableau119[[#This Row],[Key(Compte ILN - shipper - POL - plant)]],'DATA ILN'!A:J,10,FALSE),VLOOKUP(Tableau119[[#This Row],[Key(Compte ILN - shipper - POL)]],'DATA ILN'!B:J,9,FALSE))</f>
        <v>#N/A</v>
      </c>
      <c r="T42" s="50" t="e">
        <f>IFERROR(VLOOKUP(Tableau119[[#This Row],[Key(Compte ILN - shipper - POL - plant)]],'DATA ILN'!A:K,11,FALSE),VLOOKUP(Tableau119[[#This Row],[Key(Compte ILN - shipper - POL)]],'DATA ILN'!B:K,10,FALSE))</f>
        <v>#N/A</v>
      </c>
      <c r="U42" s="50" t="e">
        <f>IFERROR(VLOOKUP(Tableau119[[#This Row],[Key(Compte ILN - shipper - POL - plant)]],'DATA ILN'!A:L,12,FALSE),VLOOKUP(Tableau119[[#This Row],[Key(Compte ILN - shipper - POL)]],'DATA ILN'!B:L,11,FALSE))</f>
        <v>#N/A</v>
      </c>
      <c r="V42" s="50" t="e">
        <f>Tableau119[[#This Row],[Day ILN Order]]+Tableau119[[#This Row],[Delivery time to ILN/Shipper]]-1</f>
        <v>#N/A</v>
      </c>
      <c r="W42" s="50" t="e">
        <f>IFERROR(VLOOKUP(Tableau119[[#This Row],[Key(Compte ILN - shipper - POL - plant)]],'DATA ILN'!A:N,14,FALSE),VLOOKUP(Tableau119[[#This Row],[Key(Compte ILN - shipper - POL)]],'DATA ILN'!B:N,13,FALSE))</f>
        <v>#N/A</v>
      </c>
      <c r="X42" s="53" t="e">
        <f>IFERROR(VLOOKUP(Tableau119[[#This Row],[Key(Compte ILN - shipper - POL - plant)]],'DATA ILN'!A:P,16,FALSE),VLOOKUP(Tableau119[[#This Row],[Key(Compte ILN - shipper - POL)]],'DATA ILN'!B:P,15,FALSE))</f>
        <v>#N/A</v>
      </c>
      <c r="Y42" s="284" t="s">
        <v>167</v>
      </c>
      <c r="Z42" s="437">
        <f>IFERROR(VLOOKUP(Tableau119[[#This Row],[Name Shipper]],Plant_AILN!L:M,2,FALSE),0)</f>
        <v>95112</v>
      </c>
      <c r="AA42" s="406">
        <v>13</v>
      </c>
      <c r="AB42" s="396" t="b">
        <f>_xlfn.XLOOKUP(Tableau119[[#This Row],[Key(ID-date)]],'DATA BTO'!S:S,'DATA BTO'!E:E,FALSE)</f>
        <v>0</v>
      </c>
      <c r="AC42" s="3" t="b">
        <f>_xlfn.XLOOKUP(Tableau119[[#This Row],[Key(ID-date)]],'DATA BTO'!S:S,'DATA BTO'!F:F,FALSE)</f>
        <v>0</v>
      </c>
      <c r="AD42" s="50" t="b">
        <f>_xlfn.XLOOKUP(Tableau119[[#This Row],[Key(ID-date)]],'DATA BTO'!S:S,'DATA BTO'!G:G,FALSE)</f>
        <v>0</v>
      </c>
      <c r="AE42" s="50" t="b">
        <f>_xlfn.XLOOKUP(Tableau119[[#This Row],[Key(ID-date)]],'DATA BTO'!S:S,'DATA BTO'!H:H,FALSE)</f>
        <v>0</v>
      </c>
      <c r="AF42" s="50" t="e">
        <f>IF(Tableau119[[#This Row],[First Day to POL]]&lt;=Tableau119[[#This Row],[Day Cut Off]],Tableau119[[#This Row],[Day ETD]],Tableau119[[#This Row],[Day ETD]]+7)</f>
        <v>#N/A</v>
      </c>
      <c r="AG42" s="50" t="b">
        <f>_xlfn.XLOOKUP(Tableau119[[#This Row],[Key(ID-date)]],'DATA BTO'!S:S,'DATA BTO'!I:I,FALSE)</f>
        <v>0</v>
      </c>
      <c r="AH42" s="3" t="b">
        <f>_xlfn.XLOOKUP(Tableau119[[#This Row],[Key(ID-date)]],'DATA BTO'!S:S,'DATA BTO'!J:J,FALSE)</f>
        <v>0</v>
      </c>
      <c r="AI42" s="3" t="b">
        <f>_xlfn.XLOOKUP(Tableau119[[#This Row],[Key(ID-date)]],'DATA BTO'!S:S,'DATA BTO'!K:K,FALSE)</f>
        <v>0</v>
      </c>
      <c r="AJ42" s="50" t="b">
        <f>_xlfn.XLOOKUP(Tableau119[[#This Row],[Key(ID-date)]],'DATA BTO'!S:S,'DATA BTO'!L:L,FALSE)</f>
        <v>0</v>
      </c>
      <c r="AK42" s="53" t="b">
        <f>_xlfn.XLOOKUP(Tableau119[[#This Row],[Key(ID-date)]],'DATA BTO'!S:S,'DATA BTO'!N:N,FALSE)</f>
        <v>0</v>
      </c>
      <c r="AL42" s="54" t="e">
        <f>VLOOKUP(Tableau119[[#This Row],[Key(POD -PFI- Usine)]],'DATA Consignee'!A:F,6,FALSE)</f>
        <v>#N/A</v>
      </c>
      <c r="AM42" s="127"/>
      <c r="AN42" s="438" t="str">
        <f>IF(Tableau119[[#This Row],[Name PFI/CDD]]="","-",VLOOKUP(Tableau119[[#This Row],[Name PFI/CDD]],Plant_AILN!I:J,2,FALSE))</f>
        <v>-</v>
      </c>
      <c r="AO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2" s="2" t="e">
        <f>VLOOKUP(Tableau119[[#This Row],[Key(POD -PFI- Usine)]],'DATA Consignee'!A:J,10,FALSE)</f>
        <v>#N/A</v>
      </c>
      <c r="AR42" s="50" t="e">
        <f>VLOOKUP(Tableau119[[#This Row],[Key(POD -PFI- Usine)]],'DATA Consignee'!A:N,14,FALSE)</f>
        <v>#N/A</v>
      </c>
      <c r="AS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" s="50">
        <f>Tableau119[[#This Row],[Transit time]]+Tableau119[[#This Row],[Time for security]]+Tableau119[[#This Row],[Time for security2 buffer]]</f>
        <v>0</v>
      </c>
      <c r="AV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" s="433" t="e">
        <f>Tableau119[[#This Row],[Leadtime SI2C]]+Tableau119[[#This Row],[First Receipt Days]]-Tableau119[[#This Row],[Day Customer Order]]+1</f>
        <v>#N/A</v>
      </c>
      <c r="AX42" s="119" t="e">
        <f>IF(Tableau119[[#This Row],[Name ILN]]&lt;&gt;"SFK Freight Forwarder",Tableau119[[#This Row],[Cust. Leadtime]],Tableau119[[#This Row],[Leadtime SI2C]])</f>
        <v>#N/A</v>
      </c>
      <c r="AY42" s="51" t="b">
        <f>_xlfn.XLOOKUP(Tableau119[[#This Row],[Key(ID-date)]],'DATA BTO'!S:S,'DATA BTO'!P:P,FALSE)</f>
        <v>0</v>
      </c>
      <c r="AZ42" s="338">
        <v>45473</v>
      </c>
      <c r="BA42" s="50"/>
    </row>
    <row r="43" spans="2:53">
      <c r="B43" s="67" t="str">
        <f>_xlfn.CONCAT(Tableau119[[#This Row],[Name ILN]],"-",Tableau119[[#This Row],[Name Shipper]],"-",Tableau119[[#This Row],[Name Site]])</f>
        <v>ILN Chennai-ILN Chennai-DACIA MONT</v>
      </c>
      <c r="C43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43" s="66" t="str">
        <f>_xlfn.CONCAT(Tableau119[[#This Row],[Compte ILN]],"-",Tableau119[[#This Row],[Compte Shipper]],"-",Tableau119[[#This Row],[POL]])</f>
        <v>2533780546-2533780546-FALSO</v>
      </c>
      <c r="E43" s="434" t="str">
        <f>_xlfn.CONCAT(Tableau119[[#This Row],[POL]],"-",Tableau119[[#This Row],[Carrier]],"-",Tableau119[[#This Row],[POD]])</f>
        <v>FALSO-FALSO-FALSO</v>
      </c>
      <c r="F43" s="66" t="str">
        <f>_xlfn.CONCAT(Tableau119[[#This Row],[ID]],"-","Actif")</f>
        <v>17-Actif</v>
      </c>
      <c r="G43" s="66" t="str">
        <f>_xlfn.CONCAT(Tableau119[[#This Row],[POD]],"-",Tableau119[[#This Row],[Code PFI]],"-",Tableau119[[#This Row],[Compte Consignee]])</f>
        <v>FALSO-2839004-90016800</v>
      </c>
      <c r="H4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43" s="434" t="str">
        <f>_xlfn.CONCAT(Tableau119[[#This Row],[ID]],"-",Tableau119[[#This Row],[Expiration Date]])</f>
        <v>17-46142</v>
      </c>
      <c r="J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Chennai-17-FALSO-FALSO-FALSO-Magasin Dacia-46142</v>
      </c>
      <c r="K43" s="435" t="str">
        <f ca="1">IF(COUNTIF(J:J,Tableau119[[#This Row],[Plant-ILN-shipper-POL-Carrier-POD-PFI]])=1,"Non","Oui")</f>
        <v>Non</v>
      </c>
      <c r="L43" s="436" t="str">
        <f>VLOOKUP(Tableau119[[#This Row],[Name Site]],Plant_AILN!A:D,4,FALSE)</f>
        <v>ROMANIA</v>
      </c>
      <c r="M43" s="411" t="s">
        <v>185</v>
      </c>
      <c r="N43" s="439">
        <f>VLOOKUP(Tableau119[[#This Row],[Name Site]],Plant_AILN!A:C,3,FALSE)</f>
        <v>90016800</v>
      </c>
      <c r="O43" s="55">
        <f>IF(Tableau119[[#This Row],[Name PFI/CDD]]="PFI VLL",2,VLOOKUP(Tableau119[[#This Row],[Compte Consignee]],Order!C:D,2,FALSE))</f>
        <v>7</v>
      </c>
      <c r="P43" s="116" t="s">
        <v>149</v>
      </c>
      <c r="Q43" s="365">
        <f>VLOOKUP(Tableau119[[#This Row],[Name ILN]],Plant_AILN!F:G,2,FALSE)</f>
        <v>2533780546</v>
      </c>
      <c r="R43" s="50">
        <f>VLOOKUP(Tableau119[[#This Row],[Compte ILN]],'DATA ILN'!D:I,6,FALSE)</f>
        <v>9</v>
      </c>
      <c r="S43" s="50" t="e">
        <f>IFERROR(VLOOKUP(Tableau119[[#This Row],[Key(Compte ILN - shipper - POL - plant)]],'DATA ILN'!A:J,10,FALSE),VLOOKUP(Tableau119[[#This Row],[Key(Compte ILN - shipper - POL)]],'DATA ILN'!B:J,9,FALSE))</f>
        <v>#N/A</v>
      </c>
      <c r="T43" s="50" t="e">
        <f>IFERROR(VLOOKUP(Tableau119[[#This Row],[Key(Compte ILN - shipper - POL - plant)]],'DATA ILN'!A:K,11,FALSE),VLOOKUP(Tableau119[[#This Row],[Key(Compte ILN - shipper - POL)]],'DATA ILN'!B:K,10,FALSE))</f>
        <v>#N/A</v>
      </c>
      <c r="U43" s="50" t="e">
        <f>IFERROR(VLOOKUP(Tableau119[[#This Row],[Key(Compte ILN - shipper - POL - plant)]],'DATA ILN'!A:L,12,FALSE),VLOOKUP(Tableau119[[#This Row],[Key(Compte ILN - shipper - POL)]],'DATA ILN'!B:L,11,FALSE))</f>
        <v>#N/A</v>
      </c>
      <c r="V43" s="50" t="e">
        <f>Tableau119[[#This Row],[Day ILN Order]]+Tableau119[[#This Row],[Delivery time to ILN/Shipper]]-1</f>
        <v>#N/A</v>
      </c>
      <c r="W43" s="50" t="e">
        <f>IFERROR(VLOOKUP(Tableau119[[#This Row],[Key(Compte ILN - shipper - POL - plant)]],'DATA ILN'!A:N,14,FALSE),VLOOKUP(Tableau119[[#This Row],[Key(Compte ILN - shipper - POL)]],'DATA ILN'!B:N,13,FALSE))</f>
        <v>#N/A</v>
      </c>
      <c r="X43" s="53" t="e">
        <f>IFERROR(VLOOKUP(Tableau119[[#This Row],[Key(Compte ILN - shipper - POL - plant)]],'DATA ILN'!A:P,16,FALSE),VLOOKUP(Tableau119[[#This Row],[Key(Compte ILN - shipper - POL)]],'DATA ILN'!B:P,15,FALSE))</f>
        <v>#N/A</v>
      </c>
      <c r="Y43" s="284" t="s">
        <v>149</v>
      </c>
      <c r="Z43" s="437">
        <f>IFERROR(VLOOKUP(Tableau119[[#This Row],[Name Shipper]],Plant_AILN!L:M,2,FALSE),0)</f>
        <v>2533780546</v>
      </c>
      <c r="AA43" s="406">
        <v>17</v>
      </c>
      <c r="AB43" s="396" t="b">
        <f>_xlfn.XLOOKUP(Tableau119[[#This Row],[Key(ID-date)]],'DATA BTO'!S:S,'DATA BTO'!E:E,FALSE)</f>
        <v>0</v>
      </c>
      <c r="AC43" s="3" t="b">
        <f>_xlfn.XLOOKUP(Tableau119[[#This Row],[Key(ID-date)]],'DATA BTO'!S:S,'DATA BTO'!F:F,FALSE)</f>
        <v>0</v>
      </c>
      <c r="AD43" s="50" t="b">
        <f>_xlfn.XLOOKUP(Tableau119[[#This Row],[Key(ID-date)]],'DATA BTO'!S:S,'DATA BTO'!G:G,FALSE)</f>
        <v>0</v>
      </c>
      <c r="AE43" s="50" t="b">
        <f>_xlfn.XLOOKUP(Tableau119[[#This Row],[Key(ID-date)]],'DATA BTO'!S:S,'DATA BTO'!H:H,FALSE)</f>
        <v>0</v>
      </c>
      <c r="AF43" s="50" t="e">
        <f>IF(Tableau119[[#This Row],[First Day to POL]]&lt;=Tableau119[[#This Row],[Day Cut Off]],Tableau119[[#This Row],[Day ETD]],Tableau119[[#This Row],[Day ETD]]+7)</f>
        <v>#N/A</v>
      </c>
      <c r="AG43" s="50" t="b">
        <f>_xlfn.XLOOKUP(Tableau119[[#This Row],[Key(ID-date)]],'DATA BTO'!S:S,'DATA BTO'!I:I,FALSE)</f>
        <v>0</v>
      </c>
      <c r="AH43" s="3" t="b">
        <f>_xlfn.XLOOKUP(Tableau119[[#This Row],[Key(ID-date)]],'DATA BTO'!S:S,'DATA BTO'!J:J,FALSE)</f>
        <v>0</v>
      </c>
      <c r="AI43" s="3" t="b">
        <f>_xlfn.XLOOKUP(Tableau119[[#This Row],[Key(ID-date)]],'DATA BTO'!S:S,'DATA BTO'!K:K,FALSE)</f>
        <v>0</v>
      </c>
      <c r="AJ43" s="50" t="b">
        <f>_xlfn.XLOOKUP(Tableau119[[#This Row],[Key(ID-date)]],'DATA BTO'!S:S,'DATA BTO'!L:L,FALSE)</f>
        <v>0</v>
      </c>
      <c r="AK43" s="53" t="b">
        <f>_xlfn.XLOOKUP(Tableau119[[#This Row],[Key(ID-date)]],'DATA BTO'!S:S,'DATA BTO'!N:N,FALSE)</f>
        <v>0</v>
      </c>
      <c r="AL43" s="54" t="e">
        <f>VLOOKUP(Tableau119[[#This Row],[Key(POD -PFI- Usine)]],'DATA Consignee'!A:F,6,FALSE)</f>
        <v>#N/A</v>
      </c>
      <c r="AM43" s="127" t="s">
        <v>164</v>
      </c>
      <c r="AN43" s="438">
        <f>IF(Tableau119[[#This Row],[Name PFI/CDD]]="","-",VLOOKUP(Tableau119[[#This Row],[Name PFI/CDD]],Plant_AILN!I:J,2,FALSE))</f>
        <v>2839004</v>
      </c>
      <c r="AO4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" s="2" t="e">
        <f>VLOOKUP(Tableau119[[#This Row],[Key(POD -PFI- Usine)]],'DATA Consignee'!A:J,10,FALSE)</f>
        <v>#N/A</v>
      </c>
      <c r="AR43" s="50" t="e">
        <f>VLOOKUP(Tableau119[[#This Row],[Key(POD -PFI- Usine)]],'DATA Consignee'!A:N,14,FALSE)</f>
        <v>#N/A</v>
      </c>
      <c r="AS4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" s="50">
        <f>Tableau119[[#This Row],[Transit time]]+Tableau119[[#This Row],[Time for security]]+Tableau119[[#This Row],[Time for security2 buffer]]</f>
        <v>0</v>
      </c>
      <c r="AV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" s="433" t="e">
        <f>Tableau119[[#This Row],[Leadtime SI2C]]+Tableau119[[#This Row],[First Receipt Days]]-Tableau119[[#This Row],[Day Customer Order]]+1</f>
        <v>#N/A</v>
      </c>
      <c r="AX43" s="119" t="e">
        <f>IF(Tableau119[[#This Row],[Name ILN]]&lt;&gt;"SFK Freight Forwarder",Tableau119[[#This Row],[Cust. Leadtime]],Tableau119[[#This Row],[Leadtime SI2C]])</f>
        <v>#N/A</v>
      </c>
      <c r="AY43" s="51" t="b">
        <f>_xlfn.XLOOKUP(Tableau119[[#This Row],[Key(ID-date)]],'DATA BTO'!S:S,'DATA BTO'!P:P,FALSE)</f>
        <v>0</v>
      </c>
      <c r="AZ43" s="338">
        <v>46142</v>
      </c>
      <c r="BA43" s="50"/>
    </row>
    <row r="44" spans="2:53">
      <c r="B44" s="67" t="str">
        <f>_xlfn.CONCAT(Tableau119[[#This Row],[Name ILN]],"-",Tableau119[[#This Row],[Name Shipper]],"-",Tableau119[[#This Row],[Name Site]])</f>
        <v>ILN Chennai-ILN Chennai-ORAN</v>
      </c>
      <c r="C44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44" s="66" t="str">
        <f>_xlfn.CONCAT(Tableau119[[#This Row],[Compte ILN]],"-",Tableau119[[#This Row],[Compte Shipper]],"-",Tableau119[[#This Row],[POL]])</f>
        <v>2533780546-2533780546-FALSO</v>
      </c>
      <c r="E44" s="434" t="str">
        <f>_xlfn.CONCAT(Tableau119[[#This Row],[POL]],"-",Tableau119[[#This Row],[Carrier]],"-",Tableau119[[#This Row],[POD]])</f>
        <v>FALSO-FALSO-FALSO</v>
      </c>
      <c r="F44" s="66" t="str">
        <f>_xlfn.CONCAT(Tableau119[[#This Row],[ID]],"-","Actif")</f>
        <v>17-Actif</v>
      </c>
      <c r="G44" s="66" t="str">
        <f>_xlfn.CONCAT(Tableau119[[#This Row],[POD]],"-",Tableau119[[#This Row],[Code PFI]],"-",Tableau119[[#This Row],[Compte Consignee]])</f>
        <v>FALSO-2839004-90021000</v>
      </c>
      <c r="H4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44" s="434" t="str">
        <f>_xlfn.CONCAT(Tableau119[[#This Row],[ID]],"-",Tableau119[[#This Row],[Expiration Date]])</f>
        <v>17-46142</v>
      </c>
      <c r="J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Mioveni-46142</v>
      </c>
      <c r="K44" s="435" t="str">
        <f ca="1">IF(COUNTIF(J:J,Tableau119[[#This Row],[Plant-ILN-shipper-POL-Carrier-POD-PFI]])=1,"Non","Oui")</f>
        <v>Non</v>
      </c>
      <c r="L44" s="440" t="str">
        <f>VLOOKUP(Tableau119[[#This Row],[Name Site]],Plant_AILN!A:D,4,FALSE)</f>
        <v>ALGERIA</v>
      </c>
      <c r="M44" s="10" t="s">
        <v>198</v>
      </c>
      <c r="N44" s="439">
        <f>VLOOKUP(Tableau119[[#This Row],[Name Site]],Plant_AILN!A:C,3,FALSE)</f>
        <v>90021000</v>
      </c>
      <c r="O44" s="55">
        <f>IF(Tableau119[[#This Row],[Name PFI/CDD]]="PFI VLL",2,VLOOKUP(Tableau119[[#This Row],[Compte Consignee]],Order!C:D,2,FALSE))</f>
        <v>7</v>
      </c>
      <c r="P44" s="116" t="s">
        <v>149</v>
      </c>
      <c r="Q44" s="365">
        <f>VLOOKUP(Tableau119[[#This Row],[Name ILN]],Plant_AILN!F:G,2,FALSE)</f>
        <v>2533780546</v>
      </c>
      <c r="R44" s="50">
        <f>VLOOKUP(Tableau119[[#This Row],[Compte ILN]],'DATA ILN'!D:I,6,FALSE)</f>
        <v>9</v>
      </c>
      <c r="S44" s="50" t="e">
        <f>IFERROR(VLOOKUP(Tableau119[[#This Row],[Key(Compte ILN - shipper - POL - plant)]],'DATA ILN'!A:J,10,FALSE),VLOOKUP(Tableau119[[#This Row],[Key(Compte ILN - shipper - POL)]],'DATA ILN'!B:J,9,FALSE))</f>
        <v>#N/A</v>
      </c>
      <c r="T44" s="50" t="e">
        <f>IFERROR(VLOOKUP(Tableau119[[#This Row],[Key(Compte ILN - shipper - POL - plant)]],'DATA ILN'!A:K,11,FALSE),VLOOKUP(Tableau119[[#This Row],[Key(Compte ILN - shipper - POL)]],'DATA ILN'!B:K,10,FALSE))</f>
        <v>#N/A</v>
      </c>
      <c r="U44" s="50" t="e">
        <f>IFERROR(VLOOKUP(Tableau119[[#This Row],[Key(Compte ILN - shipper - POL - plant)]],'DATA ILN'!A:L,12,FALSE),VLOOKUP(Tableau119[[#This Row],[Key(Compte ILN - shipper - POL)]],'DATA ILN'!B:L,11,FALSE))</f>
        <v>#N/A</v>
      </c>
      <c r="V44" s="50" t="e">
        <f>Tableau119[[#This Row],[Day ILN Order]]+Tableau119[[#This Row],[Delivery time to ILN/Shipper]]-1</f>
        <v>#N/A</v>
      </c>
      <c r="W44" s="50" t="e">
        <f>IFERROR(VLOOKUP(Tableau119[[#This Row],[Key(Compte ILN - shipper - POL - plant)]],'DATA ILN'!A:N,14,FALSE),VLOOKUP(Tableau119[[#This Row],[Key(Compte ILN - shipper - POL)]],'DATA ILN'!B:N,13,FALSE))</f>
        <v>#N/A</v>
      </c>
      <c r="X44" s="53" t="e">
        <f>IFERROR(VLOOKUP(Tableau119[[#This Row],[Key(Compte ILN - shipper - POL - plant)]],'DATA ILN'!A:P,16,FALSE),VLOOKUP(Tableau119[[#This Row],[Key(Compte ILN - shipper - POL)]],'DATA ILN'!B:P,15,FALSE))</f>
        <v>#N/A</v>
      </c>
      <c r="Y44" s="284" t="s">
        <v>149</v>
      </c>
      <c r="Z44" s="437">
        <f>IFERROR(VLOOKUP(Tableau119[[#This Row],[Name Shipper]],Plant_AILN!L:M,2,FALSE),0)</f>
        <v>2533780546</v>
      </c>
      <c r="AA44" s="406">
        <v>17</v>
      </c>
      <c r="AB44" s="396" t="b">
        <f>_xlfn.XLOOKUP(Tableau119[[#This Row],[Key(ID-date)]],'DATA BTO'!S:S,'DATA BTO'!E:E,FALSE)</f>
        <v>0</v>
      </c>
      <c r="AC44" s="3" t="b">
        <f>_xlfn.XLOOKUP(Tableau119[[#This Row],[Key(ID-date)]],'DATA BTO'!S:S,'DATA BTO'!F:F,FALSE)</f>
        <v>0</v>
      </c>
      <c r="AD44" s="50" t="b">
        <f>_xlfn.XLOOKUP(Tableau119[[#This Row],[Key(ID-date)]],'DATA BTO'!S:S,'DATA BTO'!G:G,FALSE)</f>
        <v>0</v>
      </c>
      <c r="AE44" s="50" t="b">
        <f>_xlfn.XLOOKUP(Tableau119[[#This Row],[Key(ID-date)]],'DATA BTO'!S:S,'DATA BTO'!H:H,FALSE)</f>
        <v>0</v>
      </c>
      <c r="AF44" s="50" t="e">
        <f>IF(Tableau119[[#This Row],[First Day to POL]]&lt;=Tableau119[[#This Row],[Day Cut Off]],Tableau119[[#This Row],[Day ETD]],Tableau119[[#This Row],[Day ETD]]+7)</f>
        <v>#N/A</v>
      </c>
      <c r="AG44" s="50" t="b">
        <f>_xlfn.XLOOKUP(Tableau119[[#This Row],[Key(ID-date)]],'DATA BTO'!S:S,'DATA BTO'!I:I,FALSE)</f>
        <v>0</v>
      </c>
      <c r="AH44" s="3" t="b">
        <f>_xlfn.XLOOKUP(Tableau119[[#This Row],[Key(ID-date)]],'DATA BTO'!S:S,'DATA BTO'!J:J,FALSE)</f>
        <v>0</v>
      </c>
      <c r="AI44" s="3" t="b">
        <f>_xlfn.XLOOKUP(Tableau119[[#This Row],[Key(ID-date)]],'DATA BTO'!S:S,'DATA BTO'!K:K,FALSE)</f>
        <v>0</v>
      </c>
      <c r="AJ44" s="50" t="b">
        <f>_xlfn.XLOOKUP(Tableau119[[#This Row],[Key(ID-date)]],'DATA BTO'!S:S,'DATA BTO'!L:L,FALSE)</f>
        <v>0</v>
      </c>
      <c r="AK44" s="53" t="b">
        <f>_xlfn.XLOOKUP(Tableau119[[#This Row],[Key(ID-date)]],'DATA BTO'!S:S,'DATA BTO'!N:N,FALSE)</f>
        <v>0</v>
      </c>
      <c r="AL44" s="54" t="e">
        <f>VLOOKUP(Tableau119[[#This Row],[Key(POD -PFI- Usine)]],'DATA Consignee'!A:F,6,FALSE)</f>
        <v>#N/A</v>
      </c>
      <c r="AM44" s="127" t="s">
        <v>278</v>
      </c>
      <c r="AN44" s="438">
        <f>IF(Tableau119[[#This Row],[Name PFI/CDD]]="","-",VLOOKUP(Tableau119[[#This Row],[Name PFI/CDD]],Plant_AILN!I:J,2,FALSE))</f>
        <v>2839004</v>
      </c>
      <c r="AO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" s="2" t="e">
        <f>VLOOKUP(Tableau119[[#This Row],[Key(POD -PFI- Usine)]],'DATA Consignee'!A:J,10,FALSE)</f>
        <v>#N/A</v>
      </c>
      <c r="AR44" s="50" t="e">
        <f>VLOOKUP(Tableau119[[#This Row],[Key(POD -PFI- Usine)]],'DATA Consignee'!A:N,14,FALSE)</f>
        <v>#N/A</v>
      </c>
      <c r="AS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" s="50">
        <f>Tableau119[[#This Row],[Transit time]]+Tableau119[[#This Row],[Time for security]]+Tableau119[[#This Row],[Time for security2 buffer]]</f>
        <v>0</v>
      </c>
      <c r="AV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" s="433" t="e">
        <f>Tableau119[[#This Row],[Leadtime SI2C]]+Tableau119[[#This Row],[First Receipt Days]]-Tableau119[[#This Row],[Day Customer Order]]+1</f>
        <v>#N/A</v>
      </c>
      <c r="AX44" s="119" t="e">
        <f>IF(Tableau119[[#This Row],[Name ILN]]&lt;&gt;"SFK Freight Forwarder",Tableau119[[#This Row],[Cust. Leadtime]],Tableau119[[#This Row],[Leadtime SI2C]])</f>
        <v>#N/A</v>
      </c>
      <c r="AY44" s="51" t="b">
        <f>_xlfn.XLOOKUP(Tableau119[[#This Row],[Key(ID-date)]],'DATA BTO'!S:S,'DATA BTO'!P:P,FALSE)</f>
        <v>0</v>
      </c>
      <c r="AZ44" s="338">
        <v>46142</v>
      </c>
      <c r="BA44" s="50"/>
    </row>
    <row r="45" spans="2:53">
      <c r="B45" s="474" t="str">
        <f>_xlfn.CONCAT(Tableau119[[#This Row],[Name ILN]],"-",Tableau119[[#This Row],[Name Shipper]],"-",Tableau119[[#This Row],[Name Site]])</f>
        <v>ILN Chennai-ILN Chennai-REVOZ</v>
      </c>
      <c r="C45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45" s="66" t="str">
        <f>_xlfn.CONCAT(Tableau119[[#This Row],[Compte ILN]],"-",Tableau119[[#This Row],[Compte Shipper]],"-",Tableau119[[#This Row],[POL]])</f>
        <v>2533780546-2533780546-FALSO</v>
      </c>
      <c r="E45" s="434" t="str">
        <f>_xlfn.CONCAT(Tableau119[[#This Row],[POL]],"-",Tableau119[[#This Row],[Carrier]],"-",Tableau119[[#This Row],[POD]])</f>
        <v>FALSO-FALSO-FALSO</v>
      </c>
      <c r="F45" s="66" t="str">
        <f>_xlfn.CONCAT(Tableau119[[#This Row],[ID]],"-","Actif")</f>
        <v>17-Actif</v>
      </c>
      <c r="G45" s="66" t="str">
        <f>_xlfn.CONCAT(Tableau119[[#This Row],[POD]],"-",Tableau119[[#This Row],[Code PFI]],"-",Tableau119[[#This Row],[Compte Consignee]])</f>
        <v>FALSO-2839004-90016700</v>
      </c>
      <c r="H4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45" s="434" t="str">
        <f>_xlfn.CONCAT(Tableau119[[#This Row],[ID]],"-",Tableau119[[#This Row],[Expiration Date]])</f>
        <v>17-46142</v>
      </c>
      <c r="J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Mioveni-46142</v>
      </c>
      <c r="K45" s="435" t="str">
        <f ca="1">IF(COUNTIF(J:J,Tableau119[[#This Row],[Plant-ILN-shipper-POL-Carrier-POD-PFI]])=1,"Non","Oui")</f>
        <v>Non</v>
      </c>
      <c r="L45" s="128" t="str">
        <f>VLOOKUP(Tableau119[[#This Row],[Name Site]],Plant_AILN!A:D,4,FALSE)</f>
        <v>SLOVENIA</v>
      </c>
      <c r="M45" s="411" t="s">
        <v>35</v>
      </c>
      <c r="N45" s="439">
        <f>VLOOKUP(Tableau119[[#This Row],[Name Site]],Plant_AILN!A:C,3,FALSE)</f>
        <v>90016700</v>
      </c>
      <c r="O45" s="55">
        <f>IF(Tableau119[[#This Row],[Name PFI/CDD]]="PFI VLL",2,VLOOKUP(Tableau119[[#This Row],[Compte Consignee]],Order!C:D,2,FALSE))</f>
        <v>7</v>
      </c>
      <c r="P45" s="116" t="s">
        <v>149</v>
      </c>
      <c r="Q45" s="365">
        <f>VLOOKUP(Tableau119[[#This Row],[Name ILN]],Plant_AILN!F:G,2,FALSE)</f>
        <v>2533780546</v>
      </c>
      <c r="R45" s="50">
        <f>VLOOKUP(Tableau119[[#This Row],[Compte ILN]],'DATA ILN'!D:I,6,FALSE)</f>
        <v>9</v>
      </c>
      <c r="S45" s="50" t="e">
        <f>IFERROR(VLOOKUP(Tableau119[[#This Row],[Key(Compte ILN - shipper - POL - plant)]],'DATA ILN'!A:J,10,FALSE),VLOOKUP(Tableau119[[#This Row],[Key(Compte ILN - shipper - POL)]],'DATA ILN'!B:J,9,FALSE))</f>
        <v>#N/A</v>
      </c>
      <c r="T45" s="50" t="e">
        <f>IFERROR(VLOOKUP(Tableau119[[#This Row],[Key(Compte ILN - shipper - POL - plant)]],'DATA ILN'!A:K,11,FALSE),VLOOKUP(Tableau119[[#This Row],[Key(Compte ILN - shipper - POL)]],'DATA ILN'!B:K,10,FALSE))</f>
        <v>#N/A</v>
      </c>
      <c r="U45" s="50" t="e">
        <f>IFERROR(VLOOKUP(Tableau119[[#This Row],[Key(Compte ILN - shipper - POL - plant)]],'DATA ILN'!A:L,12,FALSE),VLOOKUP(Tableau119[[#This Row],[Key(Compte ILN - shipper - POL)]],'DATA ILN'!B:L,11,FALSE))</f>
        <v>#N/A</v>
      </c>
      <c r="V45" s="50" t="e">
        <f>Tableau119[[#This Row],[Day ILN Order]]+Tableau119[[#This Row],[Delivery time to ILN/Shipper]]-1</f>
        <v>#N/A</v>
      </c>
      <c r="W45" s="50" t="e">
        <f>IFERROR(VLOOKUP(Tableau119[[#This Row],[Key(Compte ILN - shipper - POL - plant)]],'DATA ILN'!A:N,14,FALSE),VLOOKUP(Tableau119[[#This Row],[Key(Compte ILN - shipper - POL)]],'DATA ILN'!B:N,13,FALSE))</f>
        <v>#N/A</v>
      </c>
      <c r="X45" s="53" t="e">
        <f>IFERROR(VLOOKUP(Tableau119[[#This Row],[Key(Compte ILN - shipper - POL - plant)]],'DATA ILN'!A:P,16,FALSE),VLOOKUP(Tableau119[[#This Row],[Key(Compte ILN - shipper - POL)]],'DATA ILN'!B:P,15,FALSE))</f>
        <v>#N/A</v>
      </c>
      <c r="Y45" s="284" t="s">
        <v>149</v>
      </c>
      <c r="Z45" s="437">
        <f>IFERROR(VLOOKUP(Tableau119[[#This Row],[Name Shipper]],Plant_AILN!L:M,2,FALSE),0)</f>
        <v>2533780546</v>
      </c>
      <c r="AA45" s="406">
        <v>17</v>
      </c>
      <c r="AB45" s="396" t="b">
        <f>_xlfn.XLOOKUP(Tableau119[[#This Row],[Key(ID-date)]],'DATA BTO'!S:S,'DATA BTO'!E:E,FALSE)</f>
        <v>0</v>
      </c>
      <c r="AC45" s="3" t="b">
        <f>_xlfn.XLOOKUP(Tableau119[[#This Row],[Key(ID-date)]],'DATA BTO'!S:S,'DATA BTO'!F:F,FALSE)</f>
        <v>0</v>
      </c>
      <c r="AD45" s="50" t="b">
        <f>_xlfn.XLOOKUP(Tableau119[[#This Row],[Key(ID-date)]],'DATA BTO'!S:S,'DATA BTO'!G:G,FALSE)</f>
        <v>0</v>
      </c>
      <c r="AE45" s="50" t="b">
        <f>_xlfn.XLOOKUP(Tableau119[[#This Row],[Key(ID-date)]],'DATA BTO'!S:S,'DATA BTO'!H:H,FALSE)</f>
        <v>0</v>
      </c>
      <c r="AF45" s="50" t="e">
        <f>IF(Tableau119[[#This Row],[First Day to POL]]&lt;=Tableau119[[#This Row],[Day Cut Off]],Tableau119[[#This Row],[Day ETD]],Tableau119[[#This Row],[Day ETD]]+7)</f>
        <v>#N/A</v>
      </c>
      <c r="AG45" s="50" t="b">
        <f>_xlfn.XLOOKUP(Tableau119[[#This Row],[Key(ID-date)]],'DATA BTO'!S:S,'DATA BTO'!I:I,FALSE)</f>
        <v>0</v>
      </c>
      <c r="AH45" s="3" t="b">
        <f>_xlfn.XLOOKUP(Tableau119[[#This Row],[Key(ID-date)]],'DATA BTO'!S:S,'DATA BTO'!J:J,FALSE)</f>
        <v>0</v>
      </c>
      <c r="AI45" s="3" t="b">
        <f>_xlfn.XLOOKUP(Tableau119[[#This Row],[Key(ID-date)]],'DATA BTO'!S:S,'DATA BTO'!K:K,FALSE)</f>
        <v>0</v>
      </c>
      <c r="AJ45" s="50" t="b">
        <f>_xlfn.XLOOKUP(Tableau119[[#This Row],[Key(ID-date)]],'DATA BTO'!S:S,'DATA BTO'!L:L,FALSE)</f>
        <v>0</v>
      </c>
      <c r="AK45" s="53" t="b">
        <f>_xlfn.XLOOKUP(Tableau119[[#This Row],[Key(ID-date)]],'DATA BTO'!S:S,'DATA BTO'!N:N,FALSE)</f>
        <v>0</v>
      </c>
      <c r="AL45" s="54" t="e">
        <f>VLOOKUP(Tableau119[[#This Row],[Key(POD -PFI- Usine)]],'DATA Consignee'!A:F,6,FALSE)</f>
        <v>#N/A</v>
      </c>
      <c r="AM45" s="127" t="s">
        <v>278</v>
      </c>
      <c r="AN45" s="438">
        <f>IF(Tableau119[[#This Row],[Name PFI/CDD]]="","-",VLOOKUP(Tableau119[[#This Row],[Name PFI/CDD]],Plant_AILN!I:J,2,FALSE))</f>
        <v>2839004</v>
      </c>
      <c r="AO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" s="2" t="e">
        <f>VLOOKUP(Tableau119[[#This Row],[Key(POD -PFI- Usine)]],'DATA Consignee'!A:J,10,FALSE)</f>
        <v>#N/A</v>
      </c>
      <c r="AR45" s="50" t="e">
        <f>VLOOKUP(Tableau119[[#This Row],[Key(POD -PFI- Usine)]],'DATA Consignee'!A:N,14,FALSE)</f>
        <v>#N/A</v>
      </c>
      <c r="AS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" s="50">
        <f>Tableau119[[#This Row],[Transit time]]+Tableau119[[#This Row],[Time for security]]+Tableau119[[#This Row],[Time for security2 buffer]]</f>
        <v>0</v>
      </c>
      <c r="AV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" s="433" t="e">
        <f>Tableau119[[#This Row],[Leadtime SI2C]]+Tableau119[[#This Row],[First Receipt Days]]-Tableau119[[#This Row],[Day Customer Order]]+1</f>
        <v>#N/A</v>
      </c>
      <c r="AX45" s="119" t="e">
        <f>IF(Tableau119[[#This Row],[Name ILN]]&lt;&gt;"SFK Freight Forwarder",Tableau119[[#This Row],[Cust. Leadtime]],Tableau119[[#This Row],[Leadtime SI2C]])</f>
        <v>#N/A</v>
      </c>
      <c r="AY45" s="51" t="b">
        <f>_xlfn.XLOOKUP(Tableau119[[#This Row],[Key(ID-date)]],'DATA BTO'!S:S,'DATA BTO'!P:P,FALSE)</f>
        <v>0</v>
      </c>
      <c r="AZ45" s="338">
        <v>46142</v>
      </c>
      <c r="BA45" s="50"/>
    </row>
    <row r="46" spans="2:53">
      <c r="B46" s="474" t="str">
        <f>_xlfn.CONCAT(Tableau119[[#This Row],[Name ILN]],"-",Tableau119[[#This Row],[Name Shipper]],"-",Tableau119[[#This Row],[Name Site]])</f>
        <v>ILN Chennai-ILN Chennai-REVOZ</v>
      </c>
      <c r="C46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46" s="66" t="str">
        <f>_xlfn.CONCAT(Tableau119[[#This Row],[Compte ILN]],"-",Tableau119[[#This Row],[Compte Shipper]],"-",Tableau119[[#This Row],[POL]])</f>
        <v>2533780546-2533780546-FALSO</v>
      </c>
      <c r="E46" s="434" t="str">
        <f>_xlfn.CONCAT(Tableau119[[#This Row],[POL]],"-",Tableau119[[#This Row],[Carrier]],"-",Tableau119[[#This Row],[POD]])</f>
        <v>FALSO-FALSO-FALSO</v>
      </c>
      <c r="F46" s="66" t="str">
        <f>_xlfn.CONCAT(Tableau119[[#This Row],[ID]],"-","Actif")</f>
        <v>17-Actif</v>
      </c>
      <c r="G46" s="66" t="str">
        <f>_xlfn.CONCAT(Tableau119[[#This Row],[POD]],"-",Tableau119[[#This Row],[Code PFI]],"-",Tableau119[[#This Row],[Compte Consignee]])</f>
        <v>FALSO-2839004-90016700</v>
      </c>
      <c r="H4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46" s="434" t="str">
        <f>_xlfn.CONCAT(Tableau119[[#This Row],[ID]],"-",Tableau119[[#This Row],[Expiration Date]])</f>
        <v>17-45991</v>
      </c>
      <c r="J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Mioveni-45991</v>
      </c>
      <c r="K46" s="435" t="str">
        <f ca="1">IF(COUNTIF(J:J,Tableau119[[#This Row],[Plant-ILN-shipper-POL-Carrier-POD-PFI]])=1,"Non","Oui")</f>
        <v>Non</v>
      </c>
      <c r="L46" s="128" t="str">
        <f>VLOOKUP(Tableau119[[#This Row],[Name Site]],Plant_AILN!A:D,4,FALSE)</f>
        <v>SLOVENIA</v>
      </c>
      <c r="M46" s="411" t="s">
        <v>35</v>
      </c>
      <c r="N46" s="439">
        <f>VLOOKUP(Tableau119[[#This Row],[Name Site]],Plant_AILN!A:C,3,FALSE)</f>
        <v>90016700</v>
      </c>
      <c r="O46" s="55">
        <f>VLOOKUP(Tableau119[[#This Row],[Compte Consignee]],Order!C:D,2,FALSE)</f>
        <v>7</v>
      </c>
      <c r="P46" s="116" t="s">
        <v>149</v>
      </c>
      <c r="Q46" s="365">
        <f>VLOOKUP(Tableau119[[#This Row],[Name ILN]],Plant_AILN!F:G,2,FALSE)</f>
        <v>2533780546</v>
      </c>
      <c r="R46" s="50">
        <f>VLOOKUP(Tableau119[[#This Row],[Compte ILN]],'DATA ILN'!D:I,6,FALSE)</f>
        <v>9</v>
      </c>
      <c r="S46" s="50" t="e">
        <f>IFERROR(VLOOKUP(Tableau119[[#This Row],[Key(Compte ILN - shipper - POL - plant)]],'DATA ILN'!A:J,10,FALSE),VLOOKUP(Tableau119[[#This Row],[Key(Compte ILN - shipper - POL)]],'DATA ILN'!B:J,9,FALSE))</f>
        <v>#N/A</v>
      </c>
      <c r="T46" s="50" t="e">
        <f>IFERROR(VLOOKUP(Tableau119[[#This Row],[Key(Compte ILN - shipper - POL - plant)]],'DATA ILN'!A:K,11,FALSE),VLOOKUP(Tableau119[[#This Row],[Key(Compte ILN - shipper - POL)]],'DATA ILN'!B:K,10,FALSE))</f>
        <v>#N/A</v>
      </c>
      <c r="U46" s="50" t="e">
        <f>IFERROR(VLOOKUP(Tableau119[[#This Row],[Key(Compte ILN - shipper - POL - plant)]],'DATA ILN'!A:L,12,FALSE),VLOOKUP(Tableau119[[#This Row],[Key(Compte ILN - shipper - POL)]],'DATA ILN'!B:L,11,FALSE))</f>
        <v>#N/A</v>
      </c>
      <c r="V46" s="50" t="e">
        <f>Tableau119[[#This Row],[Day ILN Order]]+Tableau119[[#This Row],[Delivery time to ILN/Shipper]]-1</f>
        <v>#N/A</v>
      </c>
      <c r="W46" s="50" t="e">
        <f>IFERROR(VLOOKUP(Tableau119[[#This Row],[Key(Compte ILN - shipper - POL - plant)]],'DATA ILN'!A:N,14,FALSE),VLOOKUP(Tableau119[[#This Row],[Key(Compte ILN - shipper - POL)]],'DATA ILN'!B:N,13,FALSE))</f>
        <v>#N/A</v>
      </c>
      <c r="X46" s="53" t="e">
        <f>IFERROR(VLOOKUP(Tableau119[[#This Row],[Key(Compte ILN - shipper - POL - plant)]],'DATA ILN'!A:P,16,FALSE),VLOOKUP(Tableau119[[#This Row],[Key(Compte ILN - shipper - POL)]],'DATA ILN'!B:P,15,FALSE))</f>
        <v>#N/A</v>
      </c>
      <c r="Y46" s="284" t="s">
        <v>149</v>
      </c>
      <c r="Z46" s="437">
        <f>IFERROR(VLOOKUP(Tableau119[[#This Row],[Name Shipper]],Plant_AILN!L:M,2,FALSE),0)</f>
        <v>2533780546</v>
      </c>
      <c r="AA46" s="406">
        <v>17</v>
      </c>
      <c r="AB46" s="396" t="b">
        <f>_xlfn.XLOOKUP(Tableau119[[#This Row],[Key(ID-date)]],'DATA BTO'!S:S,'DATA BTO'!E:E,FALSE)</f>
        <v>0</v>
      </c>
      <c r="AC46" s="3" t="b">
        <f>_xlfn.XLOOKUP(Tableau119[[#This Row],[Key(ID-date)]],'DATA BTO'!S:S,'DATA BTO'!F:F,FALSE)</f>
        <v>0</v>
      </c>
      <c r="AD46" s="50" t="b">
        <f>_xlfn.XLOOKUP(Tableau119[[#This Row],[Key(ID-date)]],'DATA BTO'!S:S,'DATA BTO'!G:G,FALSE)</f>
        <v>0</v>
      </c>
      <c r="AE46" s="50" t="b">
        <f>_xlfn.XLOOKUP(Tableau119[[#This Row],[Key(ID-date)]],'DATA BTO'!S:S,'DATA BTO'!H:H,FALSE)</f>
        <v>0</v>
      </c>
      <c r="AF46" s="50" t="e">
        <f>IF(Tableau119[[#This Row],[First Day to POL]]&lt;=Tableau119[[#This Row],[Day Cut Off]],Tableau119[[#This Row],[Day ETD]],Tableau119[[#This Row],[Day ETD]]+7)</f>
        <v>#N/A</v>
      </c>
      <c r="AG46" s="50" t="b">
        <f>_xlfn.XLOOKUP(Tableau119[[#This Row],[Key(ID-date)]],'DATA BTO'!S:S,'DATA BTO'!I:I,FALSE)</f>
        <v>0</v>
      </c>
      <c r="AH46" s="3" t="b">
        <f>_xlfn.XLOOKUP(Tableau119[[#This Row],[Key(ID-date)]],'DATA BTO'!S:S,'DATA BTO'!J:J,FALSE)</f>
        <v>0</v>
      </c>
      <c r="AI46" s="3" t="b">
        <f>_xlfn.XLOOKUP(Tableau119[[#This Row],[Key(ID-date)]],'DATA BTO'!S:S,'DATA BTO'!K:K,FALSE)</f>
        <v>0</v>
      </c>
      <c r="AJ46" s="50" t="b">
        <f>_xlfn.XLOOKUP(Tableau119[[#This Row],[Key(ID-date)]],'DATA BTO'!S:S,'DATA BTO'!L:L,FALSE)</f>
        <v>0</v>
      </c>
      <c r="AK46" s="53" t="b">
        <f>_xlfn.XLOOKUP(Tableau119[[#This Row],[Key(ID-date)]],'DATA BTO'!S:S,'DATA BTO'!N:N,FALSE)</f>
        <v>0</v>
      </c>
      <c r="AL46" s="54" t="e">
        <f>VLOOKUP(Tableau119[[#This Row],[Key(POD -PFI- Usine)]],'DATA Consignee'!A:F,6,FALSE)</f>
        <v>#N/A</v>
      </c>
      <c r="AM46" s="127" t="s">
        <v>278</v>
      </c>
      <c r="AN46" s="438">
        <f>IF(Tableau119[[#This Row],[Name PFI/CDD]]="","-",VLOOKUP(Tableau119[[#This Row],[Name PFI/CDD]],Plant_AILN!I:J,2,FALSE))</f>
        <v>2839004</v>
      </c>
      <c r="AO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" s="2" t="e">
        <f>VLOOKUP(Tableau119[[#This Row],[Key(POD -PFI- Usine)]],'DATA Consignee'!A:J,10,FALSE)</f>
        <v>#N/A</v>
      </c>
      <c r="AR46" s="50" t="e">
        <f>VLOOKUP(Tableau119[[#This Row],[Key(POD -PFI- Usine)]],'DATA Consignee'!A:N,14,FALSE)</f>
        <v>#N/A</v>
      </c>
      <c r="AS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" s="50">
        <f>Tableau119[[#This Row],[Transit time]]+Tableau119[[#This Row],[Time for security]]+Tableau119[[#This Row],[Time for security2 buffer]]</f>
        <v>0</v>
      </c>
      <c r="AV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" s="433" t="e">
        <f>Tableau119[[#This Row],[Leadtime SI2C]]+Tableau119[[#This Row],[First Receipt Days]]-Tableau119[[#This Row],[Day Customer Order]]+1</f>
        <v>#N/A</v>
      </c>
      <c r="AX46" s="119" t="e">
        <f>IF(Tableau119[[#This Row],[Name ILN]]&lt;&gt;"SFK Freight Forwarder",Tableau119[[#This Row],[Cust. Leadtime]],Tableau119[[#This Row],[Leadtime SI2C]])</f>
        <v>#N/A</v>
      </c>
      <c r="AY46" s="51" t="b">
        <f>_xlfn.XLOOKUP(Tableau119[[#This Row],[Key(ID-date)]],'DATA BTO'!S:S,'DATA BTO'!P:P,FALSE)</f>
        <v>0</v>
      </c>
      <c r="AZ46" s="338">
        <v>45991</v>
      </c>
      <c r="BA46" s="50"/>
    </row>
    <row r="47" spans="2:53">
      <c r="B47" s="474" t="str">
        <f>_xlfn.CONCAT(Tableau119[[#This Row],[Name ILN]],"-",Tableau119[[#This Row],[Name Shipper]],"-",Tableau119[[#This Row],[Name Site]])</f>
        <v>ILN Chennai-ILN Chennai-DACIA MONT</v>
      </c>
      <c r="C47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47" s="66" t="str">
        <f>_xlfn.CONCAT(Tableau119[[#This Row],[Compte ILN]],"-",Tableau119[[#This Row],[Compte Shipper]],"-",Tableau119[[#This Row],[POL]])</f>
        <v>2533780546-2533780546-FALSO</v>
      </c>
      <c r="E47" s="434" t="str">
        <f>_xlfn.CONCAT(Tableau119[[#This Row],[POL]],"-",Tableau119[[#This Row],[Carrier]],"-",Tableau119[[#This Row],[POD]])</f>
        <v>FALSO-FALSO-FALSO</v>
      </c>
      <c r="F47" s="66" t="str">
        <f>_xlfn.CONCAT(Tableau119[[#This Row],[ID]],"-","Actif")</f>
        <v>17-Actif</v>
      </c>
      <c r="G47" s="66" t="str">
        <f>_xlfn.CONCAT(Tableau119[[#This Row],[POD]],"-",Tableau119[[#This Row],[Code PFI]],"-",Tableau119[[#This Row],[Compte Consignee]])</f>
        <v>FALSO---90016800</v>
      </c>
      <c r="H4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47" s="434" t="str">
        <f>_xlfn.CONCAT(Tableau119[[#This Row],[ID]],"-",Tableau119[[#This Row],[Expiration Date]])</f>
        <v>17-45991</v>
      </c>
      <c r="J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Chennai-17-FALSO-FALSO-FALSO--45991</v>
      </c>
      <c r="K47" s="435" t="str">
        <f ca="1">IF(COUNTIF(J:J,Tableau119[[#This Row],[Plant-ILN-shipper-POL-Carrier-POD-PFI]])=1,"Non","Oui")</f>
        <v>Non</v>
      </c>
      <c r="L47" s="128" t="str">
        <f>VLOOKUP(Tableau119[[#This Row],[Name Site]],Plant_AILN!A:D,4,FALSE)</f>
        <v>ROMANIA</v>
      </c>
      <c r="M47" s="411" t="s">
        <v>185</v>
      </c>
      <c r="N47" s="439">
        <f>VLOOKUP(Tableau119[[#This Row],[Name Site]],Plant_AILN!A:C,3,FALSE)</f>
        <v>90016800</v>
      </c>
      <c r="O47" s="55">
        <f>VLOOKUP(Tableau119[[#This Row],[Compte Consignee]],Order!C:D,2,FALSE)</f>
        <v>7</v>
      </c>
      <c r="P47" s="116" t="s">
        <v>149</v>
      </c>
      <c r="Q47" s="365">
        <f>VLOOKUP(Tableau119[[#This Row],[Name ILN]],Plant_AILN!F:G,2,FALSE)</f>
        <v>2533780546</v>
      </c>
      <c r="R47" s="50">
        <f>VLOOKUP(Tableau119[[#This Row],[Compte ILN]],'DATA ILN'!D:I,6,FALSE)</f>
        <v>9</v>
      </c>
      <c r="S47" s="50" t="e">
        <f>IFERROR(VLOOKUP(Tableau119[[#This Row],[Key(Compte ILN - shipper - POL - plant)]],'DATA ILN'!A:J,10,FALSE),VLOOKUP(Tableau119[[#This Row],[Key(Compte ILN - shipper - POL)]],'DATA ILN'!B:J,9,FALSE))</f>
        <v>#N/A</v>
      </c>
      <c r="T47" s="50" t="e">
        <f>IFERROR(VLOOKUP(Tableau119[[#This Row],[Key(Compte ILN - shipper - POL - plant)]],'DATA ILN'!A:K,11,FALSE),VLOOKUP(Tableau119[[#This Row],[Key(Compte ILN - shipper - POL)]],'DATA ILN'!B:K,10,FALSE))</f>
        <v>#N/A</v>
      </c>
      <c r="U47" s="50" t="e">
        <f>IFERROR(VLOOKUP(Tableau119[[#This Row],[Key(Compte ILN - shipper - POL - plant)]],'DATA ILN'!A:L,12,FALSE),VLOOKUP(Tableau119[[#This Row],[Key(Compte ILN - shipper - POL)]],'DATA ILN'!B:L,11,FALSE))</f>
        <v>#N/A</v>
      </c>
      <c r="V47" s="50" t="e">
        <f>Tableau119[[#This Row],[Day ILN Order]]+Tableau119[[#This Row],[Delivery time to ILN/Shipper]]-1</f>
        <v>#N/A</v>
      </c>
      <c r="W47" s="50" t="e">
        <f>IFERROR(VLOOKUP(Tableau119[[#This Row],[Key(Compte ILN - shipper - POL - plant)]],'DATA ILN'!A:N,14,FALSE),VLOOKUP(Tableau119[[#This Row],[Key(Compte ILN - shipper - POL)]],'DATA ILN'!B:N,13,FALSE))</f>
        <v>#N/A</v>
      </c>
      <c r="X47" s="53" t="e">
        <f>IFERROR(VLOOKUP(Tableau119[[#This Row],[Key(Compte ILN - shipper - POL - plant)]],'DATA ILN'!A:P,16,FALSE),VLOOKUP(Tableau119[[#This Row],[Key(Compte ILN - shipper - POL)]],'DATA ILN'!B:P,15,FALSE))</f>
        <v>#N/A</v>
      </c>
      <c r="Y47" s="284" t="s">
        <v>149</v>
      </c>
      <c r="Z47" s="437">
        <f>IFERROR(VLOOKUP(Tableau119[[#This Row],[Name Shipper]],Plant_AILN!L:M,2,FALSE),0)</f>
        <v>2533780546</v>
      </c>
      <c r="AA47" s="406">
        <v>17</v>
      </c>
      <c r="AB47" s="396" t="b">
        <f>_xlfn.XLOOKUP(Tableau119[[#This Row],[Key(ID-date)]],'DATA BTO'!S:S,'DATA BTO'!E:E,FALSE)</f>
        <v>0</v>
      </c>
      <c r="AC47" s="3" t="b">
        <f>_xlfn.XLOOKUP(Tableau119[[#This Row],[Key(ID-date)]],'DATA BTO'!S:S,'DATA BTO'!F:F,FALSE)</f>
        <v>0</v>
      </c>
      <c r="AD47" s="50" t="b">
        <f>_xlfn.XLOOKUP(Tableau119[[#This Row],[Key(ID-date)]],'DATA BTO'!S:S,'DATA BTO'!G:G,FALSE)</f>
        <v>0</v>
      </c>
      <c r="AE47" s="50" t="b">
        <f>_xlfn.XLOOKUP(Tableau119[[#This Row],[Key(ID-date)]],'DATA BTO'!S:S,'DATA BTO'!H:H,FALSE)</f>
        <v>0</v>
      </c>
      <c r="AF47" s="50" t="e">
        <f>IF(Tableau119[[#This Row],[First Day to POL]]&lt;=Tableau119[[#This Row],[Day Cut Off]],Tableau119[[#This Row],[Day ETD]],Tableau119[[#This Row],[Day ETD]]+7)</f>
        <v>#N/A</v>
      </c>
      <c r="AG47" s="50" t="b">
        <f>_xlfn.XLOOKUP(Tableau119[[#This Row],[Key(ID-date)]],'DATA BTO'!S:S,'DATA BTO'!I:I,FALSE)</f>
        <v>0</v>
      </c>
      <c r="AH47" s="3" t="b">
        <f>_xlfn.XLOOKUP(Tableau119[[#This Row],[Key(ID-date)]],'DATA BTO'!S:S,'DATA BTO'!J:J,FALSE)</f>
        <v>0</v>
      </c>
      <c r="AI47" s="3" t="b">
        <f>_xlfn.XLOOKUP(Tableau119[[#This Row],[Key(ID-date)]],'DATA BTO'!S:S,'DATA BTO'!K:K,FALSE)</f>
        <v>0</v>
      </c>
      <c r="AJ47" s="50" t="b">
        <f>_xlfn.XLOOKUP(Tableau119[[#This Row],[Key(ID-date)]],'DATA BTO'!S:S,'DATA BTO'!L:L,FALSE)</f>
        <v>0</v>
      </c>
      <c r="AK47" s="53" t="b">
        <f>_xlfn.XLOOKUP(Tableau119[[#This Row],[Key(ID-date)]],'DATA BTO'!S:S,'DATA BTO'!N:N,FALSE)</f>
        <v>0</v>
      </c>
      <c r="AL47" s="54" t="e">
        <f>VLOOKUP(Tableau119[[#This Row],[Key(POD -PFI- Usine)]],'DATA Consignee'!A:F,6,FALSE)</f>
        <v>#N/A</v>
      </c>
      <c r="AM47" s="127"/>
      <c r="AN47" s="438" t="str">
        <f>IF(Tableau119[[#This Row],[Name PFI/CDD]]="","-",VLOOKUP(Tableau119[[#This Row],[Name PFI/CDD]],Plant_AILN!I:J,2,FALSE))</f>
        <v>-</v>
      </c>
      <c r="AO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" s="2" t="e">
        <f>VLOOKUP(Tableau119[[#This Row],[Key(POD -PFI- Usine)]],'DATA Consignee'!A:J,10,FALSE)</f>
        <v>#N/A</v>
      </c>
      <c r="AR47" s="50" t="e">
        <f>VLOOKUP(Tableau119[[#This Row],[Key(POD -PFI- Usine)]],'DATA Consignee'!A:N,14,FALSE)</f>
        <v>#N/A</v>
      </c>
      <c r="AS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" s="50">
        <f>Tableau119[[#This Row],[Transit time]]+Tableau119[[#This Row],[Time for security]]+Tableau119[[#This Row],[Time for security2 buffer]]</f>
        <v>0</v>
      </c>
      <c r="AV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" s="433" t="e">
        <f>Tableau119[[#This Row],[Leadtime SI2C]]+Tableau119[[#This Row],[First Receipt Days]]-Tableau119[[#This Row],[Day Customer Order]]+1</f>
        <v>#N/A</v>
      </c>
      <c r="AX47" s="119" t="e">
        <f>IF(Tableau119[[#This Row],[Name ILN]]&lt;&gt;"SFK Freight Forwarder",Tableau119[[#This Row],[Cust. Leadtime]],Tableau119[[#This Row],[Leadtime SI2C]])</f>
        <v>#N/A</v>
      </c>
      <c r="AY47" s="51" t="b">
        <f>_xlfn.XLOOKUP(Tableau119[[#This Row],[Key(ID-date)]],'DATA BTO'!S:S,'DATA BTO'!P:P,FALSE)</f>
        <v>0</v>
      </c>
      <c r="AZ47" s="338">
        <v>45991</v>
      </c>
      <c r="BA47" s="50"/>
    </row>
    <row r="48" spans="2:53">
      <c r="B48" s="474" t="str">
        <f>_xlfn.CONCAT(Tableau119[[#This Row],[Name ILN]],"-",Tableau119[[#This Row],[Name Shipper]],"-",Tableau119[[#This Row],[Name Site]])</f>
        <v>ILN Chennai-ILN Chennai-ORAN</v>
      </c>
      <c r="C48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48" s="66" t="str">
        <f>_xlfn.CONCAT(Tableau119[[#This Row],[Compte ILN]],"-",Tableau119[[#This Row],[Compte Shipper]],"-",Tableau119[[#This Row],[POL]])</f>
        <v>2533780546-2533780546-FALSO</v>
      </c>
      <c r="E48" s="434" t="str">
        <f>_xlfn.CONCAT(Tableau119[[#This Row],[POL]],"-",Tableau119[[#This Row],[Carrier]],"-",Tableau119[[#This Row],[POD]])</f>
        <v>FALSO-FALSO-FALSO</v>
      </c>
      <c r="F48" s="66" t="str">
        <f>_xlfn.CONCAT(Tableau119[[#This Row],[ID]],"-","Actif")</f>
        <v>17-Actif</v>
      </c>
      <c r="G48" s="66" t="str">
        <f>_xlfn.CONCAT(Tableau119[[#This Row],[POD]],"-",Tableau119[[#This Row],[Code PFI]],"-",Tableau119[[#This Row],[Compte Consignee]])</f>
        <v>FALSO-2839004-90021000</v>
      </c>
      <c r="H4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48" s="434" t="str">
        <f>_xlfn.CONCAT(Tableau119[[#This Row],[ID]],"-",Tableau119[[#This Row],[Expiration Date]])</f>
        <v>17-45991</v>
      </c>
      <c r="J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Mioveni-45991</v>
      </c>
      <c r="K48" s="435" t="str">
        <f ca="1">IF(COUNTIF(J:J,Tableau119[[#This Row],[Plant-ILN-shipper-POL-Carrier-POD-PFI]])=1,"Non","Oui")</f>
        <v>Non</v>
      </c>
      <c r="L48" s="128" t="str">
        <f>VLOOKUP(Tableau119[[#This Row],[Name Site]],Plant_AILN!A:D,4,FALSE)</f>
        <v>ALGERIA</v>
      </c>
      <c r="M48" s="411" t="s">
        <v>198</v>
      </c>
      <c r="N48" s="439">
        <f>VLOOKUP(Tableau119[[#This Row],[Name Site]],Plant_AILN!A:C,3,FALSE)</f>
        <v>90021000</v>
      </c>
      <c r="O48" s="55">
        <f>VLOOKUP(Tableau119[[#This Row],[Compte Consignee]],Order!C:D,2,FALSE)</f>
        <v>7</v>
      </c>
      <c r="P48" s="116" t="s">
        <v>149</v>
      </c>
      <c r="Q48" s="365">
        <f>VLOOKUP(Tableau119[[#This Row],[Name ILN]],Plant_AILN!F:G,2,FALSE)</f>
        <v>2533780546</v>
      </c>
      <c r="R48" s="50">
        <f>VLOOKUP(Tableau119[[#This Row],[Compte ILN]],'DATA ILN'!D:I,6,FALSE)</f>
        <v>9</v>
      </c>
      <c r="S48" s="50" t="e">
        <f>IFERROR(VLOOKUP(Tableau119[[#This Row],[Key(Compte ILN - shipper - POL - plant)]],'DATA ILN'!A:J,10,FALSE),VLOOKUP(Tableau119[[#This Row],[Key(Compte ILN - shipper - POL)]],'DATA ILN'!B:J,9,FALSE))</f>
        <v>#N/A</v>
      </c>
      <c r="T48" s="50" t="e">
        <f>IFERROR(VLOOKUP(Tableau119[[#This Row],[Key(Compte ILN - shipper - POL - plant)]],'DATA ILN'!A:K,11,FALSE),VLOOKUP(Tableau119[[#This Row],[Key(Compte ILN - shipper - POL)]],'DATA ILN'!B:K,10,FALSE))</f>
        <v>#N/A</v>
      </c>
      <c r="U48" s="50" t="e">
        <f>IFERROR(VLOOKUP(Tableau119[[#This Row],[Key(Compte ILN - shipper - POL - plant)]],'DATA ILN'!A:L,12,FALSE),VLOOKUP(Tableau119[[#This Row],[Key(Compte ILN - shipper - POL)]],'DATA ILN'!B:L,11,FALSE))</f>
        <v>#N/A</v>
      </c>
      <c r="V48" s="50" t="e">
        <f>Tableau119[[#This Row],[Day ILN Order]]+Tableau119[[#This Row],[Delivery time to ILN/Shipper]]-1</f>
        <v>#N/A</v>
      </c>
      <c r="W48" s="50" t="e">
        <f>IFERROR(VLOOKUP(Tableau119[[#This Row],[Key(Compte ILN - shipper - POL - plant)]],'DATA ILN'!A:N,14,FALSE),VLOOKUP(Tableau119[[#This Row],[Key(Compte ILN - shipper - POL)]],'DATA ILN'!B:N,13,FALSE))</f>
        <v>#N/A</v>
      </c>
      <c r="X48" s="53" t="e">
        <f>IFERROR(VLOOKUP(Tableau119[[#This Row],[Key(Compte ILN - shipper - POL - plant)]],'DATA ILN'!A:P,16,FALSE),VLOOKUP(Tableau119[[#This Row],[Key(Compte ILN - shipper - POL)]],'DATA ILN'!B:P,15,FALSE))</f>
        <v>#N/A</v>
      </c>
      <c r="Y48" s="284" t="s">
        <v>149</v>
      </c>
      <c r="Z48" s="437">
        <f>IFERROR(VLOOKUP(Tableau119[[#This Row],[Name Shipper]],Plant_AILN!L:M,2,FALSE),0)</f>
        <v>2533780546</v>
      </c>
      <c r="AA48" s="406">
        <v>17</v>
      </c>
      <c r="AB48" s="396" t="b">
        <f>_xlfn.XLOOKUP(Tableau119[[#This Row],[Key(ID-date)]],'DATA BTO'!S:S,'DATA BTO'!E:E,FALSE)</f>
        <v>0</v>
      </c>
      <c r="AC48" s="3" t="b">
        <f>_xlfn.XLOOKUP(Tableau119[[#This Row],[Key(ID-date)]],'DATA BTO'!S:S,'DATA BTO'!F:F,FALSE)</f>
        <v>0</v>
      </c>
      <c r="AD48" s="50" t="b">
        <f>_xlfn.XLOOKUP(Tableau119[[#This Row],[Key(ID-date)]],'DATA BTO'!S:S,'DATA BTO'!G:G,FALSE)</f>
        <v>0</v>
      </c>
      <c r="AE48" s="50" t="b">
        <f>_xlfn.XLOOKUP(Tableau119[[#This Row],[Key(ID-date)]],'DATA BTO'!S:S,'DATA BTO'!H:H,FALSE)</f>
        <v>0</v>
      </c>
      <c r="AF48" s="50" t="e">
        <f>IF(Tableau119[[#This Row],[First Day to POL]]&lt;=Tableau119[[#This Row],[Day Cut Off]],Tableau119[[#This Row],[Day ETD]],Tableau119[[#This Row],[Day ETD]]+7)</f>
        <v>#N/A</v>
      </c>
      <c r="AG48" s="50" t="b">
        <f>_xlfn.XLOOKUP(Tableau119[[#This Row],[Key(ID-date)]],'DATA BTO'!S:S,'DATA BTO'!I:I,FALSE)</f>
        <v>0</v>
      </c>
      <c r="AH48" s="3" t="b">
        <f>_xlfn.XLOOKUP(Tableau119[[#This Row],[Key(ID-date)]],'DATA BTO'!S:S,'DATA BTO'!J:J,FALSE)</f>
        <v>0</v>
      </c>
      <c r="AI48" s="3" t="b">
        <f>_xlfn.XLOOKUP(Tableau119[[#This Row],[Key(ID-date)]],'DATA BTO'!S:S,'DATA BTO'!K:K,FALSE)</f>
        <v>0</v>
      </c>
      <c r="AJ48" s="50" t="b">
        <f>_xlfn.XLOOKUP(Tableau119[[#This Row],[Key(ID-date)]],'DATA BTO'!S:S,'DATA BTO'!L:L,FALSE)</f>
        <v>0</v>
      </c>
      <c r="AK48" s="53" t="b">
        <f>_xlfn.XLOOKUP(Tableau119[[#This Row],[Key(ID-date)]],'DATA BTO'!S:S,'DATA BTO'!N:N,FALSE)</f>
        <v>0</v>
      </c>
      <c r="AL48" s="54" t="e">
        <f>VLOOKUP(Tableau119[[#This Row],[Key(POD -PFI- Usine)]],'DATA Consignee'!A:F,6,FALSE)</f>
        <v>#N/A</v>
      </c>
      <c r="AM48" s="127" t="s">
        <v>278</v>
      </c>
      <c r="AN48" s="438">
        <f>IF(Tableau119[[#This Row],[Name PFI/CDD]]="","-",VLOOKUP(Tableau119[[#This Row],[Name PFI/CDD]],Plant_AILN!I:J,2,FALSE))</f>
        <v>2839004</v>
      </c>
      <c r="AO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" s="2" t="e">
        <f>VLOOKUP(Tableau119[[#This Row],[Key(POD -PFI- Usine)]],'DATA Consignee'!A:J,10,FALSE)</f>
        <v>#N/A</v>
      </c>
      <c r="AR48" s="50" t="e">
        <f>VLOOKUP(Tableau119[[#This Row],[Key(POD -PFI- Usine)]],'DATA Consignee'!A:N,14,FALSE)</f>
        <v>#N/A</v>
      </c>
      <c r="AS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" s="50">
        <f>Tableau119[[#This Row],[Transit time]]+Tableau119[[#This Row],[Time for security]]+Tableau119[[#This Row],[Time for security2 buffer]]</f>
        <v>0</v>
      </c>
      <c r="AV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" s="433" t="e">
        <f>Tableau119[[#This Row],[Leadtime SI2C]]+Tableau119[[#This Row],[First Receipt Days]]-Tableau119[[#This Row],[Day Customer Order]]+1</f>
        <v>#N/A</v>
      </c>
      <c r="AX48" s="119" t="e">
        <f>IF(Tableau119[[#This Row],[Name ILN]]&lt;&gt;"SFK Freight Forwarder",Tableau119[[#This Row],[Cust. Leadtime]],Tableau119[[#This Row],[Leadtime SI2C]])</f>
        <v>#N/A</v>
      </c>
      <c r="AY48" s="51" t="b">
        <f>_xlfn.XLOOKUP(Tableau119[[#This Row],[Key(ID-date)]],'DATA BTO'!S:S,'DATA BTO'!P:P,FALSE)</f>
        <v>0</v>
      </c>
      <c r="AZ48" s="338">
        <v>45991</v>
      </c>
      <c r="BA48" s="50"/>
    </row>
    <row r="49" spans="2:53">
      <c r="B49" s="474" t="str">
        <f>_xlfn.CONCAT(Tableau119[[#This Row],[Name ILN]],"-",Tableau119[[#This Row],[Name Shipper]],"-",Tableau119[[#This Row],[Name Site]])</f>
        <v>ILN Chennai-ILN Chennai-REVOZ</v>
      </c>
      <c r="C49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49" s="66" t="str">
        <f>_xlfn.CONCAT(Tableau119[[#This Row],[Compte ILN]],"-",Tableau119[[#This Row],[Compte Shipper]],"-",Tableau119[[#This Row],[POL]])</f>
        <v>2533780546-2533780546-FALSO</v>
      </c>
      <c r="E49" s="434" t="str">
        <f>_xlfn.CONCAT(Tableau119[[#This Row],[POL]],"-",Tableau119[[#This Row],[Carrier]],"-",Tableau119[[#This Row],[POD]])</f>
        <v>FALSO-FALSO-FALSO</v>
      </c>
      <c r="F49" s="66" t="str">
        <f>_xlfn.CONCAT(Tableau119[[#This Row],[ID]],"-","Actif")</f>
        <v>17-Actif</v>
      </c>
      <c r="G49" s="66" t="str">
        <f>_xlfn.CONCAT(Tableau119[[#This Row],[POD]],"-",Tableau119[[#This Row],[Code PFI]],"-",Tableau119[[#This Row],[Compte Consignee]])</f>
        <v>FALSO-2839004-90016700</v>
      </c>
      <c r="H4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49" s="434" t="str">
        <f>_xlfn.CONCAT(Tableau119[[#This Row],[ID]],"-",Tableau119[[#This Row],[Expiration Date]])</f>
        <v>17-45950</v>
      </c>
      <c r="J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Mioveni-45950</v>
      </c>
      <c r="K49" s="435" t="str">
        <f ca="1">IF(COUNTIF(J:J,Tableau119[[#This Row],[Plant-ILN-shipper-POL-Carrier-POD-PFI]])=1,"Non","Oui")</f>
        <v>Non</v>
      </c>
      <c r="L49" s="128" t="str">
        <f>VLOOKUP(Tableau119[[#This Row],[Name Site]],Plant_AILN!A:D,4,FALSE)</f>
        <v>SLOVENIA</v>
      </c>
      <c r="M49" s="411" t="s">
        <v>35</v>
      </c>
      <c r="N49" s="439">
        <f>VLOOKUP(Tableau119[[#This Row],[Name Site]],Plant_AILN!A:C,3,FALSE)</f>
        <v>90016700</v>
      </c>
      <c r="O49" s="55">
        <f>VLOOKUP(Tableau119[[#This Row],[Compte Consignee]],Order!C:D,2,FALSE)</f>
        <v>7</v>
      </c>
      <c r="P49" s="116" t="s">
        <v>149</v>
      </c>
      <c r="Q49" s="365">
        <f>VLOOKUP(Tableau119[[#This Row],[Name ILN]],Plant_AILN!F:G,2,FALSE)</f>
        <v>2533780546</v>
      </c>
      <c r="R49" s="50">
        <f>VLOOKUP(Tableau119[[#This Row],[Compte ILN]],'DATA ILN'!D:I,6,FALSE)</f>
        <v>9</v>
      </c>
      <c r="S49" s="50" t="e">
        <f>IFERROR(VLOOKUP(Tableau119[[#This Row],[Key(Compte ILN - shipper - POL - plant)]],'DATA ILN'!A:J,10,FALSE),VLOOKUP(Tableau119[[#This Row],[Key(Compte ILN - shipper - POL)]],'DATA ILN'!B:J,9,FALSE))</f>
        <v>#N/A</v>
      </c>
      <c r="T49" s="50" t="e">
        <f>IFERROR(VLOOKUP(Tableau119[[#This Row],[Key(Compte ILN - shipper - POL - plant)]],'DATA ILN'!A:K,11,FALSE),VLOOKUP(Tableau119[[#This Row],[Key(Compte ILN - shipper - POL)]],'DATA ILN'!B:K,10,FALSE))</f>
        <v>#N/A</v>
      </c>
      <c r="U49" s="50" t="e">
        <f>IFERROR(VLOOKUP(Tableau119[[#This Row],[Key(Compte ILN - shipper - POL - plant)]],'DATA ILN'!A:L,12,FALSE),VLOOKUP(Tableau119[[#This Row],[Key(Compte ILN - shipper - POL)]],'DATA ILN'!B:L,11,FALSE))</f>
        <v>#N/A</v>
      </c>
      <c r="V49" s="50" t="e">
        <f>Tableau119[[#This Row],[Day ILN Order]]+Tableau119[[#This Row],[Delivery time to ILN/Shipper]]-1</f>
        <v>#N/A</v>
      </c>
      <c r="W49" s="50" t="e">
        <f>IFERROR(VLOOKUP(Tableau119[[#This Row],[Key(Compte ILN - shipper - POL - plant)]],'DATA ILN'!A:N,14,FALSE),VLOOKUP(Tableau119[[#This Row],[Key(Compte ILN - shipper - POL)]],'DATA ILN'!B:N,13,FALSE))</f>
        <v>#N/A</v>
      </c>
      <c r="X49" s="53" t="e">
        <f>IFERROR(VLOOKUP(Tableau119[[#This Row],[Key(Compte ILN - shipper - POL - plant)]],'DATA ILN'!A:P,16,FALSE),VLOOKUP(Tableau119[[#This Row],[Key(Compte ILN - shipper - POL)]],'DATA ILN'!B:P,15,FALSE))</f>
        <v>#N/A</v>
      </c>
      <c r="Y49" s="284" t="s">
        <v>149</v>
      </c>
      <c r="Z49" s="437">
        <f>IFERROR(VLOOKUP(Tableau119[[#This Row],[Name Shipper]],Plant_AILN!L:M,2,FALSE),0)</f>
        <v>2533780546</v>
      </c>
      <c r="AA49" s="406">
        <v>17</v>
      </c>
      <c r="AB49" s="396" t="b">
        <f>_xlfn.XLOOKUP(Tableau119[[#This Row],[Key(ID-date)]],'DATA BTO'!S:S,'DATA BTO'!E:E,FALSE)</f>
        <v>0</v>
      </c>
      <c r="AC49" s="3" t="b">
        <f>_xlfn.XLOOKUP(Tableau119[[#This Row],[Key(ID-date)]],'DATA BTO'!S:S,'DATA BTO'!F:F,FALSE)</f>
        <v>0</v>
      </c>
      <c r="AD49" s="50" t="b">
        <f>_xlfn.XLOOKUP(Tableau119[[#This Row],[Key(ID-date)]],'DATA BTO'!S:S,'DATA BTO'!G:G,FALSE)</f>
        <v>0</v>
      </c>
      <c r="AE49" s="50" t="b">
        <f>_xlfn.XLOOKUP(Tableau119[[#This Row],[Key(ID-date)]],'DATA BTO'!S:S,'DATA BTO'!H:H,FALSE)</f>
        <v>0</v>
      </c>
      <c r="AF49" s="50" t="e">
        <f>IF(Tableau119[[#This Row],[First Day to POL]]&lt;=Tableau119[[#This Row],[Day Cut Off]],Tableau119[[#This Row],[Day ETD]],Tableau119[[#This Row],[Day ETD]]+7)</f>
        <v>#N/A</v>
      </c>
      <c r="AG49" s="50" t="b">
        <f>_xlfn.XLOOKUP(Tableau119[[#This Row],[Key(ID-date)]],'DATA BTO'!S:S,'DATA BTO'!I:I,FALSE)</f>
        <v>0</v>
      </c>
      <c r="AH49" s="3" t="b">
        <f>_xlfn.XLOOKUP(Tableau119[[#This Row],[Key(ID-date)]],'DATA BTO'!S:S,'DATA BTO'!J:J,FALSE)</f>
        <v>0</v>
      </c>
      <c r="AI49" s="3" t="b">
        <f>_xlfn.XLOOKUP(Tableau119[[#This Row],[Key(ID-date)]],'DATA BTO'!S:S,'DATA BTO'!K:K,FALSE)</f>
        <v>0</v>
      </c>
      <c r="AJ49" s="50" t="b">
        <f>_xlfn.XLOOKUP(Tableau119[[#This Row],[Key(ID-date)]],'DATA BTO'!S:S,'DATA BTO'!L:L,FALSE)</f>
        <v>0</v>
      </c>
      <c r="AK49" s="53" t="b">
        <f>_xlfn.XLOOKUP(Tableau119[[#This Row],[Key(ID-date)]],'DATA BTO'!S:S,'DATA BTO'!N:N,FALSE)</f>
        <v>0</v>
      </c>
      <c r="AL49" s="54" t="e">
        <f>VLOOKUP(Tableau119[[#This Row],[Key(POD -PFI- Usine)]],'DATA Consignee'!A:F,6,FALSE)</f>
        <v>#N/A</v>
      </c>
      <c r="AM49" s="127" t="s">
        <v>278</v>
      </c>
      <c r="AN49" s="438">
        <f>IF(Tableau119[[#This Row],[Name PFI/CDD]]="","-",VLOOKUP(Tableau119[[#This Row],[Name PFI/CDD]],Plant_AILN!I:J,2,FALSE))</f>
        <v>2839004</v>
      </c>
      <c r="AO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" s="2" t="e">
        <f>VLOOKUP(Tableau119[[#This Row],[Key(POD -PFI- Usine)]],'DATA Consignee'!A:J,10,FALSE)</f>
        <v>#N/A</v>
      </c>
      <c r="AR49" s="50" t="e">
        <f>VLOOKUP(Tableau119[[#This Row],[Key(POD -PFI- Usine)]],'DATA Consignee'!A:N,14,FALSE)</f>
        <v>#N/A</v>
      </c>
      <c r="AS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" s="50">
        <f>Tableau119[[#This Row],[Transit time]]+Tableau119[[#This Row],[Time for security]]+Tableau119[[#This Row],[Time for security2 buffer]]</f>
        <v>0</v>
      </c>
      <c r="AV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" s="433" t="e">
        <f>Tableau119[[#This Row],[Leadtime SI2C]]+Tableau119[[#This Row],[First Receipt Days]]-Tableau119[[#This Row],[Day Customer Order]]+1</f>
        <v>#N/A</v>
      </c>
      <c r="AX49" s="119" t="e">
        <f>IF(Tableau119[[#This Row],[Name ILN]]&lt;&gt;"SFK Freight Forwarder",Tableau119[[#This Row],[Cust. Leadtime]],Tableau119[[#This Row],[Leadtime SI2C]])</f>
        <v>#N/A</v>
      </c>
      <c r="AY49" s="51" t="b">
        <f>_xlfn.XLOOKUP(Tableau119[[#This Row],[Key(ID-date)]],'DATA BTO'!S:S,'DATA BTO'!P:P,FALSE)</f>
        <v>0</v>
      </c>
      <c r="AZ49" s="338">
        <v>45950</v>
      </c>
      <c r="BA49" s="50"/>
    </row>
    <row r="50" spans="2:53">
      <c r="B50" s="474" t="str">
        <f>_xlfn.CONCAT(Tableau119[[#This Row],[Name ILN]],"-",Tableau119[[#This Row],[Name Shipper]],"-",Tableau119[[#This Row],[Name Site]])</f>
        <v>ILN Chennai-ILN Chennai-DACIA MONT</v>
      </c>
      <c r="C50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50" s="66" t="str">
        <f>_xlfn.CONCAT(Tableau119[[#This Row],[Compte ILN]],"-",Tableau119[[#This Row],[Compte Shipper]],"-",Tableau119[[#This Row],[POL]])</f>
        <v>2533780546-2533780546-FALSO</v>
      </c>
      <c r="E50" s="434" t="str">
        <f>_xlfn.CONCAT(Tableau119[[#This Row],[POL]],"-",Tableau119[[#This Row],[Carrier]],"-",Tableau119[[#This Row],[POD]])</f>
        <v>FALSO-FALSO-FALSO</v>
      </c>
      <c r="F50" s="66" t="str">
        <f>_xlfn.CONCAT(Tableau119[[#This Row],[ID]],"-","Actif")</f>
        <v>17-Actif</v>
      </c>
      <c r="G50" s="66" t="str">
        <f>_xlfn.CONCAT(Tableau119[[#This Row],[POD]],"-",Tableau119[[#This Row],[Code PFI]],"-",Tableau119[[#This Row],[Compte Consignee]])</f>
        <v>FALSO---90016800</v>
      </c>
      <c r="H5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50" s="434" t="str">
        <f>_xlfn.CONCAT(Tableau119[[#This Row],[ID]],"-",Tableau119[[#This Row],[Expiration Date]])</f>
        <v>17-45950</v>
      </c>
      <c r="J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Chennai-17-FALSO-FALSO-FALSO--45950</v>
      </c>
      <c r="K50" s="435" t="str">
        <f ca="1">IF(COUNTIF(J:J,Tableau119[[#This Row],[Plant-ILN-shipper-POL-Carrier-POD-PFI]])=1,"Non","Oui")</f>
        <v>Non</v>
      </c>
      <c r="L50" s="128" t="str">
        <f>VLOOKUP(Tableau119[[#This Row],[Name Site]],Plant_AILN!A:D,4,FALSE)</f>
        <v>ROMANIA</v>
      </c>
      <c r="M50" s="411" t="s">
        <v>185</v>
      </c>
      <c r="N50" s="439">
        <f>VLOOKUP(Tableau119[[#This Row],[Name Site]],Plant_AILN!A:C,3,FALSE)</f>
        <v>90016800</v>
      </c>
      <c r="O50" s="55">
        <f>VLOOKUP(Tableau119[[#This Row],[Compte Consignee]],Order!C:D,2,FALSE)</f>
        <v>7</v>
      </c>
      <c r="P50" s="116" t="s">
        <v>149</v>
      </c>
      <c r="Q50" s="365">
        <f>VLOOKUP(Tableau119[[#This Row],[Name ILN]],Plant_AILN!F:G,2,FALSE)</f>
        <v>2533780546</v>
      </c>
      <c r="R50" s="50">
        <f>VLOOKUP(Tableau119[[#This Row],[Compte ILN]],'DATA ILN'!D:I,6,FALSE)</f>
        <v>9</v>
      </c>
      <c r="S50" s="50" t="e">
        <f>IFERROR(VLOOKUP(Tableau119[[#This Row],[Key(Compte ILN - shipper - POL - plant)]],'DATA ILN'!A:J,10,FALSE),VLOOKUP(Tableau119[[#This Row],[Key(Compte ILN - shipper - POL)]],'DATA ILN'!B:J,9,FALSE))</f>
        <v>#N/A</v>
      </c>
      <c r="T50" s="50" t="e">
        <f>IFERROR(VLOOKUP(Tableau119[[#This Row],[Key(Compte ILN - shipper - POL - plant)]],'DATA ILN'!A:K,11,FALSE),VLOOKUP(Tableau119[[#This Row],[Key(Compte ILN - shipper - POL)]],'DATA ILN'!B:K,10,FALSE))</f>
        <v>#N/A</v>
      </c>
      <c r="U50" s="50" t="e">
        <f>IFERROR(VLOOKUP(Tableau119[[#This Row],[Key(Compte ILN - shipper - POL - plant)]],'DATA ILN'!A:L,12,FALSE),VLOOKUP(Tableau119[[#This Row],[Key(Compte ILN - shipper - POL)]],'DATA ILN'!B:L,11,FALSE))</f>
        <v>#N/A</v>
      </c>
      <c r="V50" s="50" t="e">
        <f>Tableau119[[#This Row],[Day ILN Order]]+Tableau119[[#This Row],[Delivery time to ILN/Shipper]]-1</f>
        <v>#N/A</v>
      </c>
      <c r="W50" s="50" t="e">
        <f>IFERROR(VLOOKUP(Tableau119[[#This Row],[Key(Compte ILN - shipper - POL - plant)]],'DATA ILN'!A:N,14,FALSE),VLOOKUP(Tableau119[[#This Row],[Key(Compte ILN - shipper - POL)]],'DATA ILN'!B:N,13,FALSE))</f>
        <v>#N/A</v>
      </c>
      <c r="X50" s="53" t="e">
        <f>IFERROR(VLOOKUP(Tableau119[[#This Row],[Key(Compte ILN - shipper - POL - plant)]],'DATA ILN'!A:P,16,FALSE),VLOOKUP(Tableau119[[#This Row],[Key(Compte ILN - shipper - POL)]],'DATA ILN'!B:P,15,FALSE))</f>
        <v>#N/A</v>
      </c>
      <c r="Y50" s="284" t="s">
        <v>149</v>
      </c>
      <c r="Z50" s="437">
        <f>IFERROR(VLOOKUP(Tableau119[[#This Row],[Name Shipper]],Plant_AILN!L:M,2,FALSE),0)</f>
        <v>2533780546</v>
      </c>
      <c r="AA50" s="406">
        <v>17</v>
      </c>
      <c r="AB50" s="396" t="b">
        <f>_xlfn.XLOOKUP(Tableau119[[#This Row],[Key(ID-date)]],'DATA BTO'!S:S,'DATA BTO'!E:E,FALSE)</f>
        <v>0</v>
      </c>
      <c r="AC50" s="3" t="b">
        <f>_xlfn.XLOOKUP(Tableau119[[#This Row],[Key(ID-date)]],'DATA BTO'!S:S,'DATA BTO'!F:F,FALSE)</f>
        <v>0</v>
      </c>
      <c r="AD50" s="50" t="b">
        <f>_xlfn.XLOOKUP(Tableau119[[#This Row],[Key(ID-date)]],'DATA BTO'!S:S,'DATA BTO'!G:G,FALSE)</f>
        <v>0</v>
      </c>
      <c r="AE50" s="50" t="b">
        <f>_xlfn.XLOOKUP(Tableau119[[#This Row],[Key(ID-date)]],'DATA BTO'!S:S,'DATA BTO'!H:H,FALSE)</f>
        <v>0</v>
      </c>
      <c r="AF50" s="50" t="e">
        <f>IF(Tableau119[[#This Row],[First Day to POL]]&lt;=Tableau119[[#This Row],[Day Cut Off]],Tableau119[[#This Row],[Day ETD]],Tableau119[[#This Row],[Day ETD]]+7)</f>
        <v>#N/A</v>
      </c>
      <c r="AG50" s="50" t="b">
        <f>_xlfn.XLOOKUP(Tableau119[[#This Row],[Key(ID-date)]],'DATA BTO'!S:S,'DATA BTO'!I:I,FALSE)</f>
        <v>0</v>
      </c>
      <c r="AH50" s="3" t="b">
        <f>_xlfn.XLOOKUP(Tableau119[[#This Row],[Key(ID-date)]],'DATA BTO'!S:S,'DATA BTO'!J:J,FALSE)</f>
        <v>0</v>
      </c>
      <c r="AI50" s="3" t="b">
        <f>_xlfn.XLOOKUP(Tableau119[[#This Row],[Key(ID-date)]],'DATA BTO'!S:S,'DATA BTO'!K:K,FALSE)</f>
        <v>0</v>
      </c>
      <c r="AJ50" s="50" t="b">
        <f>_xlfn.XLOOKUP(Tableau119[[#This Row],[Key(ID-date)]],'DATA BTO'!S:S,'DATA BTO'!L:L,FALSE)</f>
        <v>0</v>
      </c>
      <c r="AK50" s="53" t="b">
        <f>_xlfn.XLOOKUP(Tableau119[[#This Row],[Key(ID-date)]],'DATA BTO'!S:S,'DATA BTO'!N:N,FALSE)</f>
        <v>0</v>
      </c>
      <c r="AL50" s="54" t="e">
        <f>VLOOKUP(Tableau119[[#This Row],[Key(POD -PFI- Usine)]],'DATA Consignee'!A:F,6,FALSE)</f>
        <v>#N/A</v>
      </c>
      <c r="AM50" s="127"/>
      <c r="AN50" s="438" t="str">
        <f>IF(Tableau119[[#This Row],[Name PFI/CDD]]="","-",VLOOKUP(Tableau119[[#This Row],[Name PFI/CDD]],Plant_AILN!I:J,2,FALSE))</f>
        <v>-</v>
      </c>
      <c r="AO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" s="2" t="e">
        <f>VLOOKUP(Tableau119[[#This Row],[Key(POD -PFI- Usine)]],'DATA Consignee'!A:J,10,FALSE)</f>
        <v>#N/A</v>
      </c>
      <c r="AR50" s="50" t="e">
        <f>VLOOKUP(Tableau119[[#This Row],[Key(POD -PFI- Usine)]],'DATA Consignee'!A:N,14,FALSE)</f>
        <v>#N/A</v>
      </c>
      <c r="AS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" s="50">
        <f>Tableau119[[#This Row],[Transit time]]+Tableau119[[#This Row],[Time for security]]+Tableau119[[#This Row],[Time for security2 buffer]]</f>
        <v>0</v>
      </c>
      <c r="AV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" s="433" t="e">
        <f>Tableau119[[#This Row],[Leadtime SI2C]]+Tableau119[[#This Row],[First Receipt Days]]-Tableau119[[#This Row],[Day Customer Order]]+1</f>
        <v>#N/A</v>
      </c>
      <c r="AX50" s="119" t="e">
        <f>IF(Tableau119[[#This Row],[Name ILN]]&lt;&gt;"SFK Freight Forwarder",Tableau119[[#This Row],[Cust. Leadtime]],Tableau119[[#This Row],[Leadtime SI2C]])</f>
        <v>#N/A</v>
      </c>
      <c r="AY50" s="51" t="b">
        <f>_xlfn.XLOOKUP(Tableau119[[#This Row],[Key(ID-date)]],'DATA BTO'!S:S,'DATA BTO'!P:P,FALSE)</f>
        <v>0</v>
      </c>
      <c r="AZ50" s="338">
        <v>45950</v>
      </c>
      <c r="BA50" s="50"/>
    </row>
    <row r="51" spans="2:53">
      <c r="B51" s="474" t="str">
        <f>_xlfn.CONCAT(Tableau119[[#This Row],[Name ILN]],"-",Tableau119[[#This Row],[Name Shipper]],"-",Tableau119[[#This Row],[Name Site]])</f>
        <v>ILN Chennai-ILN Chennai-ORAN</v>
      </c>
      <c r="C51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51" s="66" t="str">
        <f>_xlfn.CONCAT(Tableau119[[#This Row],[Compte ILN]],"-",Tableau119[[#This Row],[Compte Shipper]],"-",Tableau119[[#This Row],[POL]])</f>
        <v>2533780546-2533780546-FALSO</v>
      </c>
      <c r="E51" s="434" t="str">
        <f>_xlfn.CONCAT(Tableau119[[#This Row],[POL]],"-",Tableau119[[#This Row],[Carrier]],"-",Tableau119[[#This Row],[POD]])</f>
        <v>FALSO-FALSO-FALSO</v>
      </c>
      <c r="F51" s="66" t="str">
        <f>_xlfn.CONCAT(Tableau119[[#This Row],[ID]],"-","Actif")</f>
        <v>17-Actif</v>
      </c>
      <c r="G51" s="66" t="str">
        <f>_xlfn.CONCAT(Tableau119[[#This Row],[POD]],"-",Tableau119[[#This Row],[Code PFI]],"-",Tableau119[[#This Row],[Compte Consignee]])</f>
        <v>FALSO-2839004-90021000</v>
      </c>
      <c r="H5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51" s="434" t="str">
        <f>_xlfn.CONCAT(Tableau119[[#This Row],[ID]],"-",Tableau119[[#This Row],[Expiration Date]])</f>
        <v>17-45950</v>
      </c>
      <c r="J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Mioveni-45950</v>
      </c>
      <c r="K51" s="435" t="str">
        <f ca="1">IF(COUNTIF(J:J,Tableau119[[#This Row],[Plant-ILN-shipper-POL-Carrier-POD-PFI]])=1,"Non","Oui")</f>
        <v>Non</v>
      </c>
      <c r="L51" s="128" t="str">
        <f>VLOOKUP(Tableau119[[#This Row],[Name Site]],Plant_AILN!A:D,4,FALSE)</f>
        <v>ALGERIA</v>
      </c>
      <c r="M51" s="411" t="s">
        <v>198</v>
      </c>
      <c r="N51" s="439">
        <f>VLOOKUP(Tableau119[[#This Row],[Name Site]],Plant_AILN!A:C,3,FALSE)</f>
        <v>90021000</v>
      </c>
      <c r="O51" s="55">
        <f>VLOOKUP(Tableau119[[#This Row],[Compte Consignee]],Order!C:D,2,FALSE)</f>
        <v>7</v>
      </c>
      <c r="P51" s="116" t="s">
        <v>149</v>
      </c>
      <c r="Q51" s="365">
        <f>VLOOKUP(Tableau119[[#This Row],[Name ILN]],Plant_AILN!F:G,2,FALSE)</f>
        <v>2533780546</v>
      </c>
      <c r="R51" s="50">
        <f>VLOOKUP(Tableau119[[#This Row],[Compte ILN]],'DATA ILN'!D:I,6,FALSE)</f>
        <v>9</v>
      </c>
      <c r="S51" s="50" t="e">
        <f>IFERROR(VLOOKUP(Tableau119[[#This Row],[Key(Compte ILN - shipper - POL - plant)]],'DATA ILN'!A:J,10,FALSE),VLOOKUP(Tableau119[[#This Row],[Key(Compte ILN - shipper - POL)]],'DATA ILN'!B:J,9,FALSE))</f>
        <v>#N/A</v>
      </c>
      <c r="T51" s="50" t="e">
        <f>IFERROR(VLOOKUP(Tableau119[[#This Row],[Key(Compte ILN - shipper - POL - plant)]],'DATA ILN'!A:K,11,FALSE),VLOOKUP(Tableau119[[#This Row],[Key(Compte ILN - shipper - POL)]],'DATA ILN'!B:K,10,FALSE))</f>
        <v>#N/A</v>
      </c>
      <c r="U51" s="50" t="e">
        <f>IFERROR(VLOOKUP(Tableau119[[#This Row],[Key(Compte ILN - shipper - POL - plant)]],'DATA ILN'!A:L,12,FALSE),VLOOKUP(Tableau119[[#This Row],[Key(Compte ILN - shipper - POL)]],'DATA ILN'!B:L,11,FALSE))</f>
        <v>#N/A</v>
      </c>
      <c r="V51" s="50" t="e">
        <f>Tableau119[[#This Row],[Day ILN Order]]+Tableau119[[#This Row],[Delivery time to ILN/Shipper]]-1</f>
        <v>#N/A</v>
      </c>
      <c r="W51" s="50" t="e">
        <f>IFERROR(VLOOKUP(Tableau119[[#This Row],[Key(Compte ILN - shipper - POL - plant)]],'DATA ILN'!A:N,14,FALSE),VLOOKUP(Tableau119[[#This Row],[Key(Compte ILN - shipper - POL)]],'DATA ILN'!B:N,13,FALSE))</f>
        <v>#N/A</v>
      </c>
      <c r="X51" s="53" t="e">
        <f>IFERROR(VLOOKUP(Tableau119[[#This Row],[Key(Compte ILN - shipper - POL - plant)]],'DATA ILN'!A:P,16,FALSE),VLOOKUP(Tableau119[[#This Row],[Key(Compte ILN - shipper - POL)]],'DATA ILN'!B:P,15,FALSE))</f>
        <v>#N/A</v>
      </c>
      <c r="Y51" s="284" t="s">
        <v>149</v>
      </c>
      <c r="Z51" s="437">
        <f>IFERROR(VLOOKUP(Tableau119[[#This Row],[Name Shipper]],Plant_AILN!L:M,2,FALSE),0)</f>
        <v>2533780546</v>
      </c>
      <c r="AA51" s="406">
        <v>17</v>
      </c>
      <c r="AB51" s="396" t="b">
        <f>_xlfn.XLOOKUP(Tableau119[[#This Row],[Key(ID-date)]],'DATA BTO'!S:S,'DATA BTO'!E:E,FALSE)</f>
        <v>0</v>
      </c>
      <c r="AC51" s="3" t="b">
        <f>_xlfn.XLOOKUP(Tableau119[[#This Row],[Key(ID-date)]],'DATA BTO'!S:S,'DATA BTO'!F:F,FALSE)</f>
        <v>0</v>
      </c>
      <c r="AD51" s="50" t="b">
        <f>_xlfn.XLOOKUP(Tableau119[[#This Row],[Key(ID-date)]],'DATA BTO'!S:S,'DATA BTO'!G:G,FALSE)</f>
        <v>0</v>
      </c>
      <c r="AE51" s="50" t="b">
        <f>_xlfn.XLOOKUP(Tableau119[[#This Row],[Key(ID-date)]],'DATA BTO'!S:S,'DATA BTO'!H:H,FALSE)</f>
        <v>0</v>
      </c>
      <c r="AF51" s="50" t="e">
        <f>IF(Tableau119[[#This Row],[First Day to POL]]&lt;=Tableau119[[#This Row],[Day Cut Off]],Tableau119[[#This Row],[Day ETD]],Tableau119[[#This Row],[Day ETD]]+7)</f>
        <v>#N/A</v>
      </c>
      <c r="AG51" s="50" t="b">
        <f>_xlfn.XLOOKUP(Tableau119[[#This Row],[Key(ID-date)]],'DATA BTO'!S:S,'DATA BTO'!I:I,FALSE)</f>
        <v>0</v>
      </c>
      <c r="AH51" s="3" t="b">
        <f>_xlfn.XLOOKUP(Tableau119[[#This Row],[Key(ID-date)]],'DATA BTO'!S:S,'DATA BTO'!J:J,FALSE)</f>
        <v>0</v>
      </c>
      <c r="AI51" s="3" t="b">
        <f>_xlfn.XLOOKUP(Tableau119[[#This Row],[Key(ID-date)]],'DATA BTO'!S:S,'DATA BTO'!K:K,FALSE)</f>
        <v>0</v>
      </c>
      <c r="AJ51" s="50" t="b">
        <f>_xlfn.XLOOKUP(Tableau119[[#This Row],[Key(ID-date)]],'DATA BTO'!S:S,'DATA BTO'!L:L,FALSE)</f>
        <v>0</v>
      </c>
      <c r="AK51" s="53" t="b">
        <f>_xlfn.XLOOKUP(Tableau119[[#This Row],[Key(ID-date)]],'DATA BTO'!S:S,'DATA BTO'!N:N,FALSE)</f>
        <v>0</v>
      </c>
      <c r="AL51" s="54" t="e">
        <f>VLOOKUP(Tableau119[[#This Row],[Key(POD -PFI- Usine)]],'DATA Consignee'!A:F,6,FALSE)</f>
        <v>#N/A</v>
      </c>
      <c r="AM51" s="127" t="s">
        <v>278</v>
      </c>
      <c r="AN51" s="438">
        <f>IF(Tableau119[[#This Row],[Name PFI/CDD]]="","-",VLOOKUP(Tableau119[[#This Row],[Name PFI/CDD]],Plant_AILN!I:J,2,FALSE))</f>
        <v>2839004</v>
      </c>
      <c r="AO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" s="2" t="e">
        <f>VLOOKUP(Tableau119[[#This Row],[Key(POD -PFI- Usine)]],'DATA Consignee'!A:J,10,FALSE)</f>
        <v>#N/A</v>
      </c>
      <c r="AR51" s="50" t="e">
        <f>VLOOKUP(Tableau119[[#This Row],[Key(POD -PFI- Usine)]],'DATA Consignee'!A:N,14,FALSE)</f>
        <v>#N/A</v>
      </c>
      <c r="AS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" s="50">
        <f>Tableau119[[#This Row],[Transit time]]+Tableau119[[#This Row],[Time for security]]+Tableau119[[#This Row],[Time for security2 buffer]]</f>
        <v>0</v>
      </c>
      <c r="AV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" s="433" t="e">
        <f>Tableau119[[#This Row],[Leadtime SI2C]]+Tableau119[[#This Row],[First Receipt Days]]-Tableau119[[#This Row],[Day Customer Order]]+1</f>
        <v>#N/A</v>
      </c>
      <c r="AX51" s="119" t="e">
        <f>IF(Tableau119[[#This Row],[Name ILN]]&lt;&gt;"SFK Freight Forwarder",Tableau119[[#This Row],[Cust. Leadtime]],Tableau119[[#This Row],[Leadtime SI2C]])</f>
        <v>#N/A</v>
      </c>
      <c r="AY51" s="51" t="b">
        <f>_xlfn.XLOOKUP(Tableau119[[#This Row],[Key(ID-date)]],'DATA BTO'!S:S,'DATA BTO'!P:P,FALSE)</f>
        <v>0</v>
      </c>
      <c r="AZ51" s="338">
        <v>45950</v>
      </c>
      <c r="BA51" s="50"/>
    </row>
    <row r="52" spans="2:53">
      <c r="B52" s="474" t="str">
        <f>_xlfn.CONCAT(Tableau119[[#This Row],[Name ILN]],"-",Tableau119[[#This Row],[Name Shipper]],"-",Tableau119[[#This Row],[Name Site]])</f>
        <v>ILN Chennai-ILN Chennai-REVOZ</v>
      </c>
      <c r="C52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52" s="66" t="str">
        <f>_xlfn.CONCAT(Tableau119[[#This Row],[Compte ILN]],"-",Tableau119[[#This Row],[Compte Shipper]],"-",Tableau119[[#This Row],[POL]])</f>
        <v>2533780546-2533780546-FALSO</v>
      </c>
      <c r="E52" s="434" t="str">
        <f>_xlfn.CONCAT(Tableau119[[#This Row],[POL]],"-",Tableau119[[#This Row],[Carrier]],"-",Tableau119[[#This Row],[POD]])</f>
        <v>FALSO-FALSO-FALSO</v>
      </c>
      <c r="F52" s="66" t="str">
        <f>_xlfn.CONCAT(Tableau119[[#This Row],[ID]],"-","Actif")</f>
        <v>17-Actif</v>
      </c>
      <c r="G52" s="66" t="str">
        <f>_xlfn.CONCAT(Tableau119[[#This Row],[POD]],"-",Tableau119[[#This Row],[Code PFI]],"-",Tableau119[[#This Row],[Compte Consignee]])</f>
        <v>FALSO-2839004-90016700</v>
      </c>
      <c r="H5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52" s="434" t="str">
        <f>_xlfn.CONCAT(Tableau119[[#This Row],[ID]],"-",Tableau119[[#This Row],[Expiration Date]])</f>
        <v>17-45777</v>
      </c>
      <c r="J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Mioveni-45777</v>
      </c>
      <c r="K52" s="435" t="str">
        <f ca="1">IF(COUNTIF(J:J,Tableau119[[#This Row],[Plant-ILN-shipper-POL-Carrier-POD-PFI]])=1,"Non","Oui")</f>
        <v>Non</v>
      </c>
      <c r="L52" s="128" t="str">
        <f>VLOOKUP(Tableau119[[#This Row],[Name Site]],Plant_AILN!A:D,4,FALSE)</f>
        <v>SLOVENIA</v>
      </c>
      <c r="M52" s="411" t="s">
        <v>35</v>
      </c>
      <c r="N52" s="439">
        <f>VLOOKUP(Tableau119[[#This Row],[Name Site]],Plant_AILN!A:C,3,FALSE)</f>
        <v>90016700</v>
      </c>
      <c r="O52" s="55">
        <f>VLOOKUP(Tableau119[[#This Row],[Compte Consignee]],Order!C:D,2,FALSE)</f>
        <v>7</v>
      </c>
      <c r="P52" s="116" t="s">
        <v>149</v>
      </c>
      <c r="Q52" s="365">
        <f>VLOOKUP(Tableau119[[#This Row],[Name ILN]],Plant_AILN!F:G,2,FALSE)</f>
        <v>2533780546</v>
      </c>
      <c r="R52" s="50">
        <f>VLOOKUP(Tableau119[[#This Row],[Compte ILN]],'DATA ILN'!D:I,6,FALSE)</f>
        <v>9</v>
      </c>
      <c r="S52" s="50" t="e">
        <f>IFERROR(VLOOKUP(Tableau119[[#This Row],[Key(Compte ILN - shipper - POL - plant)]],'DATA ILN'!A:J,10,FALSE),VLOOKUP(Tableau119[[#This Row],[Key(Compte ILN - shipper - POL)]],'DATA ILN'!B:J,9,FALSE))</f>
        <v>#N/A</v>
      </c>
      <c r="T52" s="50" t="e">
        <f>IFERROR(VLOOKUP(Tableau119[[#This Row],[Key(Compte ILN - shipper - POL - plant)]],'DATA ILN'!A:K,11,FALSE),VLOOKUP(Tableau119[[#This Row],[Key(Compte ILN - shipper - POL)]],'DATA ILN'!B:K,10,FALSE))</f>
        <v>#N/A</v>
      </c>
      <c r="U52" s="50" t="e">
        <f>IFERROR(VLOOKUP(Tableau119[[#This Row],[Key(Compte ILN - shipper - POL - plant)]],'DATA ILN'!A:L,12,FALSE),VLOOKUP(Tableau119[[#This Row],[Key(Compte ILN - shipper - POL)]],'DATA ILN'!B:L,11,FALSE))</f>
        <v>#N/A</v>
      </c>
      <c r="V52" s="50" t="e">
        <f>Tableau119[[#This Row],[Day ILN Order]]+Tableau119[[#This Row],[Delivery time to ILN/Shipper]]-1</f>
        <v>#N/A</v>
      </c>
      <c r="W52" s="50" t="e">
        <f>IFERROR(VLOOKUP(Tableau119[[#This Row],[Key(Compte ILN - shipper - POL - plant)]],'DATA ILN'!A:N,14,FALSE),VLOOKUP(Tableau119[[#This Row],[Key(Compte ILN - shipper - POL)]],'DATA ILN'!B:N,13,FALSE))</f>
        <v>#N/A</v>
      </c>
      <c r="X52" s="53" t="e">
        <f>IFERROR(VLOOKUP(Tableau119[[#This Row],[Key(Compte ILN - shipper - POL - plant)]],'DATA ILN'!A:P,16,FALSE),VLOOKUP(Tableau119[[#This Row],[Key(Compte ILN - shipper - POL)]],'DATA ILN'!B:P,15,FALSE))</f>
        <v>#N/A</v>
      </c>
      <c r="Y52" s="284" t="s">
        <v>149</v>
      </c>
      <c r="Z52" s="437">
        <f>IFERROR(VLOOKUP(Tableau119[[#This Row],[Name Shipper]],Plant_AILN!L:M,2,FALSE),0)</f>
        <v>2533780546</v>
      </c>
      <c r="AA52" s="406">
        <v>17</v>
      </c>
      <c r="AB52" s="396" t="b">
        <f>_xlfn.XLOOKUP(Tableau119[[#This Row],[Key(ID-date)]],'DATA BTO'!S:S,'DATA BTO'!E:E,FALSE)</f>
        <v>0</v>
      </c>
      <c r="AC52" s="3" t="b">
        <f>_xlfn.XLOOKUP(Tableau119[[#This Row],[Key(ID-date)]],'DATA BTO'!S:S,'DATA BTO'!F:F,FALSE)</f>
        <v>0</v>
      </c>
      <c r="AD52" s="50" t="b">
        <f>_xlfn.XLOOKUP(Tableau119[[#This Row],[Key(ID-date)]],'DATA BTO'!S:S,'DATA BTO'!G:G,FALSE)</f>
        <v>0</v>
      </c>
      <c r="AE52" s="50" t="b">
        <f>_xlfn.XLOOKUP(Tableau119[[#This Row],[Key(ID-date)]],'DATA BTO'!S:S,'DATA BTO'!H:H,FALSE)</f>
        <v>0</v>
      </c>
      <c r="AF52" s="50" t="e">
        <f>IF(Tableau119[[#This Row],[First Day to POL]]&lt;=Tableau119[[#This Row],[Day Cut Off]],Tableau119[[#This Row],[Day ETD]],Tableau119[[#This Row],[Day ETD]]+7)</f>
        <v>#N/A</v>
      </c>
      <c r="AG52" s="50" t="b">
        <f>_xlfn.XLOOKUP(Tableau119[[#This Row],[Key(ID-date)]],'DATA BTO'!S:S,'DATA BTO'!I:I,FALSE)</f>
        <v>0</v>
      </c>
      <c r="AH52" s="3" t="b">
        <f>_xlfn.XLOOKUP(Tableau119[[#This Row],[Key(ID-date)]],'DATA BTO'!S:S,'DATA BTO'!J:J,FALSE)</f>
        <v>0</v>
      </c>
      <c r="AI52" s="3" t="b">
        <f>_xlfn.XLOOKUP(Tableau119[[#This Row],[Key(ID-date)]],'DATA BTO'!S:S,'DATA BTO'!K:K,FALSE)</f>
        <v>0</v>
      </c>
      <c r="AJ52" s="50" t="b">
        <f>_xlfn.XLOOKUP(Tableau119[[#This Row],[Key(ID-date)]],'DATA BTO'!S:S,'DATA BTO'!L:L,FALSE)</f>
        <v>0</v>
      </c>
      <c r="AK52" s="53" t="b">
        <f>_xlfn.XLOOKUP(Tableau119[[#This Row],[Key(ID-date)]],'DATA BTO'!S:S,'DATA BTO'!N:N,FALSE)</f>
        <v>0</v>
      </c>
      <c r="AL52" s="54" t="e">
        <f>VLOOKUP(Tableau119[[#This Row],[Key(POD -PFI- Usine)]],'DATA Consignee'!A:F,6,FALSE)</f>
        <v>#N/A</v>
      </c>
      <c r="AM52" s="127" t="s">
        <v>278</v>
      </c>
      <c r="AN52" s="438">
        <f>IF(Tableau119[[#This Row],[Name PFI/CDD]]="","-",VLOOKUP(Tableau119[[#This Row],[Name PFI/CDD]],Plant_AILN!I:J,2,FALSE))</f>
        <v>2839004</v>
      </c>
      <c r="AO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" s="2" t="e">
        <f>VLOOKUP(Tableau119[[#This Row],[Key(POD -PFI- Usine)]],'DATA Consignee'!A:J,10,FALSE)</f>
        <v>#N/A</v>
      </c>
      <c r="AR52" s="50" t="e">
        <f>VLOOKUP(Tableau119[[#This Row],[Key(POD -PFI- Usine)]],'DATA Consignee'!A:N,14,FALSE)</f>
        <v>#N/A</v>
      </c>
      <c r="AS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" s="50">
        <f>Tableau119[[#This Row],[Transit time]]+Tableau119[[#This Row],[Time for security]]+Tableau119[[#This Row],[Time for security2 buffer]]</f>
        <v>0</v>
      </c>
      <c r="AV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" s="433" t="e">
        <f>Tableau119[[#This Row],[Leadtime SI2C]]+Tableau119[[#This Row],[First Receipt Days]]-Tableau119[[#This Row],[Day Customer Order]]+1</f>
        <v>#N/A</v>
      </c>
      <c r="AX52" s="119" t="e">
        <f>IF(Tableau119[[#This Row],[Name ILN]]&lt;&gt;"SFK Freight Forwarder",Tableau119[[#This Row],[Cust. Leadtime]],Tableau119[[#This Row],[Leadtime SI2C]])</f>
        <v>#N/A</v>
      </c>
      <c r="AY52" s="51" t="b">
        <f>_xlfn.XLOOKUP(Tableau119[[#This Row],[Key(ID-date)]],'DATA BTO'!S:S,'DATA BTO'!P:P,FALSE)</f>
        <v>0</v>
      </c>
      <c r="AZ52" s="338">
        <v>45777</v>
      </c>
      <c r="BA52" s="50"/>
    </row>
    <row r="53" spans="2:53">
      <c r="B53" s="474" t="str">
        <f>_xlfn.CONCAT(Tableau119[[#This Row],[Name ILN]],"-",Tableau119[[#This Row],[Name Shipper]],"-",Tableau119[[#This Row],[Name Site]])</f>
        <v>ILN Chennai-ILN Chennai-DACIA MONT</v>
      </c>
      <c r="C53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53" s="66" t="str">
        <f>_xlfn.CONCAT(Tableau119[[#This Row],[Compte ILN]],"-",Tableau119[[#This Row],[Compte Shipper]],"-",Tableau119[[#This Row],[POL]])</f>
        <v>2533780546-2533780546-FALSO</v>
      </c>
      <c r="E53" s="434" t="str">
        <f>_xlfn.CONCAT(Tableau119[[#This Row],[POL]],"-",Tableau119[[#This Row],[Carrier]],"-",Tableau119[[#This Row],[POD]])</f>
        <v>FALSO-FALSO-FALSO</v>
      </c>
      <c r="F53" s="66" t="str">
        <f>_xlfn.CONCAT(Tableau119[[#This Row],[ID]],"-","Actif")</f>
        <v>17-Actif</v>
      </c>
      <c r="G53" s="66" t="str">
        <f>_xlfn.CONCAT(Tableau119[[#This Row],[POD]],"-",Tableau119[[#This Row],[Code PFI]],"-",Tableau119[[#This Row],[Compte Consignee]])</f>
        <v>FALSO---90016800</v>
      </c>
      <c r="H5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53" s="434" t="str">
        <f>_xlfn.CONCAT(Tableau119[[#This Row],[ID]],"-",Tableau119[[#This Row],[Expiration Date]])</f>
        <v>17-45777</v>
      </c>
      <c r="J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Chennai-17-FALSO-FALSO-FALSO--45777</v>
      </c>
      <c r="K53" s="435" t="str">
        <f ca="1">IF(COUNTIF(J:J,Tableau119[[#This Row],[Plant-ILN-shipper-POL-Carrier-POD-PFI]])=1,"Non","Oui")</f>
        <v>Non</v>
      </c>
      <c r="L53" s="128" t="str">
        <f>VLOOKUP(Tableau119[[#This Row],[Name Site]],Plant_AILN!A:D,4,FALSE)</f>
        <v>ROMANIA</v>
      </c>
      <c r="M53" s="411" t="s">
        <v>185</v>
      </c>
      <c r="N53" s="439">
        <f>VLOOKUP(Tableau119[[#This Row],[Name Site]],Plant_AILN!A:C,3,FALSE)</f>
        <v>90016800</v>
      </c>
      <c r="O53" s="55">
        <f>VLOOKUP(Tableau119[[#This Row],[Compte Consignee]],Order!C:D,2,FALSE)</f>
        <v>7</v>
      </c>
      <c r="P53" s="116" t="s">
        <v>149</v>
      </c>
      <c r="Q53" s="365">
        <f>VLOOKUP(Tableau119[[#This Row],[Name ILN]],Plant_AILN!F:G,2,FALSE)</f>
        <v>2533780546</v>
      </c>
      <c r="R53" s="50">
        <f>VLOOKUP(Tableau119[[#This Row],[Compte ILN]],'DATA ILN'!D:I,6,FALSE)</f>
        <v>9</v>
      </c>
      <c r="S53" s="50" t="e">
        <f>IFERROR(VLOOKUP(Tableau119[[#This Row],[Key(Compte ILN - shipper - POL - plant)]],'DATA ILN'!A:J,10,FALSE),VLOOKUP(Tableau119[[#This Row],[Key(Compte ILN - shipper - POL)]],'DATA ILN'!B:J,9,FALSE))</f>
        <v>#N/A</v>
      </c>
      <c r="T53" s="50" t="e">
        <f>IFERROR(VLOOKUP(Tableau119[[#This Row],[Key(Compte ILN - shipper - POL - plant)]],'DATA ILN'!A:K,11,FALSE),VLOOKUP(Tableau119[[#This Row],[Key(Compte ILN - shipper - POL)]],'DATA ILN'!B:K,10,FALSE))</f>
        <v>#N/A</v>
      </c>
      <c r="U53" s="50" t="e">
        <f>IFERROR(VLOOKUP(Tableau119[[#This Row],[Key(Compte ILN - shipper - POL - plant)]],'DATA ILN'!A:L,12,FALSE),VLOOKUP(Tableau119[[#This Row],[Key(Compte ILN - shipper - POL)]],'DATA ILN'!B:L,11,FALSE))</f>
        <v>#N/A</v>
      </c>
      <c r="V53" s="50" t="e">
        <f>Tableau119[[#This Row],[Day ILN Order]]+Tableau119[[#This Row],[Delivery time to ILN/Shipper]]-1</f>
        <v>#N/A</v>
      </c>
      <c r="W53" s="50" t="e">
        <f>IFERROR(VLOOKUP(Tableau119[[#This Row],[Key(Compte ILN - shipper - POL - plant)]],'DATA ILN'!A:N,14,FALSE),VLOOKUP(Tableau119[[#This Row],[Key(Compte ILN - shipper - POL)]],'DATA ILN'!B:N,13,FALSE))</f>
        <v>#N/A</v>
      </c>
      <c r="X53" s="53" t="e">
        <f>IFERROR(VLOOKUP(Tableau119[[#This Row],[Key(Compte ILN - shipper - POL - plant)]],'DATA ILN'!A:P,16,FALSE),VLOOKUP(Tableau119[[#This Row],[Key(Compte ILN - shipper - POL)]],'DATA ILN'!B:P,15,FALSE))</f>
        <v>#N/A</v>
      </c>
      <c r="Y53" s="284" t="s">
        <v>149</v>
      </c>
      <c r="Z53" s="437">
        <f>IFERROR(VLOOKUP(Tableau119[[#This Row],[Name Shipper]],Plant_AILN!L:M,2,FALSE),0)</f>
        <v>2533780546</v>
      </c>
      <c r="AA53" s="406">
        <v>17</v>
      </c>
      <c r="AB53" s="396" t="b">
        <f>_xlfn.XLOOKUP(Tableau119[[#This Row],[Key(ID-date)]],'DATA BTO'!S:S,'DATA BTO'!E:E,FALSE)</f>
        <v>0</v>
      </c>
      <c r="AC53" s="3" t="b">
        <f>_xlfn.XLOOKUP(Tableau119[[#This Row],[Key(ID-date)]],'DATA BTO'!S:S,'DATA BTO'!F:F,FALSE)</f>
        <v>0</v>
      </c>
      <c r="AD53" s="50" t="b">
        <f>_xlfn.XLOOKUP(Tableau119[[#This Row],[Key(ID-date)]],'DATA BTO'!S:S,'DATA BTO'!G:G,FALSE)</f>
        <v>0</v>
      </c>
      <c r="AE53" s="50" t="b">
        <f>_xlfn.XLOOKUP(Tableau119[[#This Row],[Key(ID-date)]],'DATA BTO'!S:S,'DATA BTO'!H:H,FALSE)</f>
        <v>0</v>
      </c>
      <c r="AF53" s="50" t="e">
        <f>IF(Tableau119[[#This Row],[First Day to POL]]&lt;=Tableau119[[#This Row],[Day Cut Off]],Tableau119[[#This Row],[Day ETD]],Tableau119[[#This Row],[Day ETD]]+7)</f>
        <v>#N/A</v>
      </c>
      <c r="AG53" s="50" t="b">
        <f>_xlfn.XLOOKUP(Tableau119[[#This Row],[Key(ID-date)]],'DATA BTO'!S:S,'DATA BTO'!I:I,FALSE)</f>
        <v>0</v>
      </c>
      <c r="AH53" s="3" t="b">
        <f>_xlfn.XLOOKUP(Tableau119[[#This Row],[Key(ID-date)]],'DATA BTO'!S:S,'DATA BTO'!J:J,FALSE)</f>
        <v>0</v>
      </c>
      <c r="AI53" s="3" t="b">
        <f>_xlfn.XLOOKUP(Tableau119[[#This Row],[Key(ID-date)]],'DATA BTO'!S:S,'DATA BTO'!K:K,FALSE)</f>
        <v>0</v>
      </c>
      <c r="AJ53" s="50" t="b">
        <f>_xlfn.XLOOKUP(Tableau119[[#This Row],[Key(ID-date)]],'DATA BTO'!S:S,'DATA BTO'!L:L,FALSE)</f>
        <v>0</v>
      </c>
      <c r="AK53" s="53" t="b">
        <f>_xlfn.XLOOKUP(Tableau119[[#This Row],[Key(ID-date)]],'DATA BTO'!S:S,'DATA BTO'!N:N,FALSE)</f>
        <v>0</v>
      </c>
      <c r="AL53" s="54" t="e">
        <f>VLOOKUP(Tableau119[[#This Row],[Key(POD -PFI- Usine)]],'DATA Consignee'!A:F,6,FALSE)</f>
        <v>#N/A</v>
      </c>
      <c r="AM53" s="127"/>
      <c r="AN53" s="438" t="str">
        <f>IF(Tableau119[[#This Row],[Name PFI/CDD]]="","-",VLOOKUP(Tableau119[[#This Row],[Name PFI/CDD]],Plant_AILN!I:J,2,FALSE))</f>
        <v>-</v>
      </c>
      <c r="AO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" s="2" t="e">
        <f>VLOOKUP(Tableau119[[#This Row],[Key(POD -PFI- Usine)]],'DATA Consignee'!A:J,10,FALSE)</f>
        <v>#N/A</v>
      </c>
      <c r="AR53" s="50" t="e">
        <f>VLOOKUP(Tableau119[[#This Row],[Key(POD -PFI- Usine)]],'DATA Consignee'!A:N,14,FALSE)</f>
        <v>#N/A</v>
      </c>
      <c r="AS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" s="50">
        <f>Tableau119[[#This Row],[Transit time]]+Tableau119[[#This Row],[Time for security]]+Tableau119[[#This Row],[Time for security2 buffer]]</f>
        <v>0</v>
      </c>
      <c r="AV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" s="433" t="e">
        <f>Tableau119[[#This Row],[Leadtime SI2C]]+Tableau119[[#This Row],[First Receipt Days]]-Tableau119[[#This Row],[Day Customer Order]]+1</f>
        <v>#N/A</v>
      </c>
      <c r="AX53" s="119" t="e">
        <f>IF(Tableau119[[#This Row],[Name ILN]]&lt;&gt;"SFK Freight Forwarder",Tableau119[[#This Row],[Cust. Leadtime]],Tableau119[[#This Row],[Leadtime SI2C]])</f>
        <v>#N/A</v>
      </c>
      <c r="AY53" s="51" t="b">
        <f>_xlfn.XLOOKUP(Tableau119[[#This Row],[Key(ID-date)]],'DATA BTO'!S:S,'DATA BTO'!P:P,FALSE)</f>
        <v>0</v>
      </c>
      <c r="AZ53" s="338">
        <v>45777</v>
      </c>
      <c r="BA53" s="50"/>
    </row>
    <row r="54" spans="2:53">
      <c r="B54" s="474" t="str">
        <f>_xlfn.CONCAT(Tableau119[[#This Row],[Name ILN]],"-",Tableau119[[#This Row],[Name Shipper]],"-",Tableau119[[#This Row],[Name Site]])</f>
        <v>ILN Chennai-ILN Chennai-ORAN</v>
      </c>
      <c r="C54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54" s="66" t="str">
        <f>_xlfn.CONCAT(Tableau119[[#This Row],[Compte ILN]],"-",Tableau119[[#This Row],[Compte Shipper]],"-",Tableau119[[#This Row],[POL]])</f>
        <v>2533780546-2533780546-FALSO</v>
      </c>
      <c r="E54" s="434" t="str">
        <f>_xlfn.CONCAT(Tableau119[[#This Row],[POL]],"-",Tableau119[[#This Row],[Carrier]],"-",Tableau119[[#This Row],[POD]])</f>
        <v>FALSO-FALSO-FALSO</v>
      </c>
      <c r="F54" s="66" t="str">
        <f>_xlfn.CONCAT(Tableau119[[#This Row],[ID]],"-","Actif")</f>
        <v>17-Actif</v>
      </c>
      <c r="G54" s="66" t="str">
        <f>_xlfn.CONCAT(Tableau119[[#This Row],[POD]],"-",Tableau119[[#This Row],[Code PFI]],"-",Tableau119[[#This Row],[Compte Consignee]])</f>
        <v>FALSO-2839004-90021000</v>
      </c>
      <c r="H5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54" s="434" t="str">
        <f>_xlfn.CONCAT(Tableau119[[#This Row],[ID]],"-",Tableau119[[#This Row],[Expiration Date]])</f>
        <v>17-45777</v>
      </c>
      <c r="J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Mioveni-45777</v>
      </c>
      <c r="K54" s="435" t="str">
        <f ca="1">IF(COUNTIF(J:J,Tableau119[[#This Row],[Plant-ILN-shipper-POL-Carrier-POD-PFI]])=1,"Non","Oui")</f>
        <v>Non</v>
      </c>
      <c r="L54" s="128" t="str">
        <f>VLOOKUP(Tableau119[[#This Row],[Name Site]],Plant_AILN!A:D,4,FALSE)</f>
        <v>ALGERIA</v>
      </c>
      <c r="M54" s="411" t="s">
        <v>198</v>
      </c>
      <c r="N54" s="439">
        <f>VLOOKUP(Tableau119[[#This Row],[Name Site]],Plant_AILN!A:C,3,FALSE)</f>
        <v>90021000</v>
      </c>
      <c r="O54" s="55">
        <f>VLOOKUP(Tableau119[[#This Row],[Compte Consignee]],Order!C:D,2,FALSE)</f>
        <v>7</v>
      </c>
      <c r="P54" s="116" t="s">
        <v>149</v>
      </c>
      <c r="Q54" s="365">
        <f>VLOOKUP(Tableau119[[#This Row],[Name ILN]],Plant_AILN!F:G,2,FALSE)</f>
        <v>2533780546</v>
      </c>
      <c r="R54" s="50">
        <f>VLOOKUP(Tableau119[[#This Row],[Compte ILN]],'DATA ILN'!D:I,6,FALSE)</f>
        <v>9</v>
      </c>
      <c r="S54" s="50" t="e">
        <f>IFERROR(VLOOKUP(Tableau119[[#This Row],[Key(Compte ILN - shipper - POL - plant)]],'DATA ILN'!A:J,10,FALSE),VLOOKUP(Tableau119[[#This Row],[Key(Compte ILN - shipper - POL)]],'DATA ILN'!B:J,9,FALSE))</f>
        <v>#N/A</v>
      </c>
      <c r="T54" s="50" t="e">
        <f>IFERROR(VLOOKUP(Tableau119[[#This Row],[Key(Compte ILN - shipper - POL - plant)]],'DATA ILN'!A:K,11,FALSE),VLOOKUP(Tableau119[[#This Row],[Key(Compte ILN - shipper - POL)]],'DATA ILN'!B:K,10,FALSE))</f>
        <v>#N/A</v>
      </c>
      <c r="U54" s="50" t="e">
        <f>IFERROR(VLOOKUP(Tableau119[[#This Row],[Key(Compte ILN - shipper - POL - plant)]],'DATA ILN'!A:L,12,FALSE),VLOOKUP(Tableau119[[#This Row],[Key(Compte ILN - shipper - POL)]],'DATA ILN'!B:L,11,FALSE))</f>
        <v>#N/A</v>
      </c>
      <c r="V54" s="50" t="e">
        <f>Tableau119[[#This Row],[Day ILN Order]]+Tableau119[[#This Row],[Delivery time to ILN/Shipper]]-1</f>
        <v>#N/A</v>
      </c>
      <c r="W54" s="50" t="e">
        <f>IFERROR(VLOOKUP(Tableau119[[#This Row],[Key(Compte ILN - shipper - POL - plant)]],'DATA ILN'!A:N,14,FALSE),VLOOKUP(Tableau119[[#This Row],[Key(Compte ILN - shipper - POL)]],'DATA ILN'!B:N,13,FALSE))</f>
        <v>#N/A</v>
      </c>
      <c r="X54" s="53" t="e">
        <f>IFERROR(VLOOKUP(Tableau119[[#This Row],[Key(Compte ILN - shipper - POL - plant)]],'DATA ILN'!A:P,16,FALSE),VLOOKUP(Tableau119[[#This Row],[Key(Compte ILN - shipper - POL)]],'DATA ILN'!B:P,15,FALSE))</f>
        <v>#N/A</v>
      </c>
      <c r="Y54" s="284" t="s">
        <v>149</v>
      </c>
      <c r="Z54" s="437">
        <f>IFERROR(VLOOKUP(Tableau119[[#This Row],[Name Shipper]],Plant_AILN!L:M,2,FALSE),0)</f>
        <v>2533780546</v>
      </c>
      <c r="AA54" s="406">
        <v>17</v>
      </c>
      <c r="AB54" s="396" t="b">
        <f>_xlfn.XLOOKUP(Tableau119[[#This Row],[Key(ID-date)]],'DATA BTO'!S:S,'DATA BTO'!E:E,FALSE)</f>
        <v>0</v>
      </c>
      <c r="AC54" s="3" t="b">
        <f>_xlfn.XLOOKUP(Tableau119[[#This Row],[Key(ID-date)]],'DATA BTO'!S:S,'DATA BTO'!F:F,FALSE)</f>
        <v>0</v>
      </c>
      <c r="AD54" s="50" t="b">
        <f>_xlfn.XLOOKUP(Tableau119[[#This Row],[Key(ID-date)]],'DATA BTO'!S:S,'DATA BTO'!G:G,FALSE)</f>
        <v>0</v>
      </c>
      <c r="AE54" s="50" t="b">
        <f>_xlfn.XLOOKUP(Tableau119[[#This Row],[Key(ID-date)]],'DATA BTO'!S:S,'DATA BTO'!H:H,FALSE)</f>
        <v>0</v>
      </c>
      <c r="AF54" s="50" t="e">
        <f>IF(Tableau119[[#This Row],[First Day to POL]]&lt;=Tableau119[[#This Row],[Day Cut Off]],Tableau119[[#This Row],[Day ETD]],Tableau119[[#This Row],[Day ETD]]+7)</f>
        <v>#N/A</v>
      </c>
      <c r="AG54" s="50" t="b">
        <f>_xlfn.XLOOKUP(Tableau119[[#This Row],[Key(ID-date)]],'DATA BTO'!S:S,'DATA BTO'!I:I,FALSE)</f>
        <v>0</v>
      </c>
      <c r="AH54" s="3" t="b">
        <f>_xlfn.XLOOKUP(Tableau119[[#This Row],[Key(ID-date)]],'DATA BTO'!S:S,'DATA BTO'!J:J,FALSE)</f>
        <v>0</v>
      </c>
      <c r="AI54" s="3" t="b">
        <f>_xlfn.XLOOKUP(Tableau119[[#This Row],[Key(ID-date)]],'DATA BTO'!S:S,'DATA BTO'!K:K,FALSE)</f>
        <v>0</v>
      </c>
      <c r="AJ54" s="50" t="b">
        <f>_xlfn.XLOOKUP(Tableau119[[#This Row],[Key(ID-date)]],'DATA BTO'!S:S,'DATA BTO'!L:L,FALSE)</f>
        <v>0</v>
      </c>
      <c r="AK54" s="53" t="b">
        <f>_xlfn.XLOOKUP(Tableau119[[#This Row],[Key(ID-date)]],'DATA BTO'!S:S,'DATA BTO'!N:N,FALSE)</f>
        <v>0</v>
      </c>
      <c r="AL54" s="54" t="e">
        <f>VLOOKUP(Tableau119[[#This Row],[Key(POD -PFI- Usine)]],'DATA Consignee'!A:F,6,FALSE)</f>
        <v>#N/A</v>
      </c>
      <c r="AM54" s="127" t="s">
        <v>278</v>
      </c>
      <c r="AN54" s="438">
        <f>IF(Tableau119[[#This Row],[Name PFI/CDD]]="","-",VLOOKUP(Tableau119[[#This Row],[Name PFI/CDD]],Plant_AILN!I:J,2,FALSE))</f>
        <v>2839004</v>
      </c>
      <c r="AO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" s="2" t="e">
        <f>VLOOKUP(Tableau119[[#This Row],[Key(POD -PFI- Usine)]],'DATA Consignee'!A:J,10,FALSE)</f>
        <v>#N/A</v>
      </c>
      <c r="AR54" s="50" t="e">
        <f>VLOOKUP(Tableau119[[#This Row],[Key(POD -PFI- Usine)]],'DATA Consignee'!A:N,14,FALSE)</f>
        <v>#N/A</v>
      </c>
      <c r="AS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" s="50">
        <f>Tableau119[[#This Row],[Transit time]]+Tableau119[[#This Row],[Time for security]]+Tableau119[[#This Row],[Time for security2 buffer]]</f>
        <v>0</v>
      </c>
      <c r="AV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" s="433" t="e">
        <f>Tableau119[[#This Row],[Leadtime SI2C]]+Tableau119[[#This Row],[First Receipt Days]]-Tableau119[[#This Row],[Day Customer Order]]+1</f>
        <v>#N/A</v>
      </c>
      <c r="AX54" s="119" t="e">
        <f>IF(Tableau119[[#This Row],[Name ILN]]&lt;&gt;"SFK Freight Forwarder",Tableau119[[#This Row],[Cust. Leadtime]],Tableau119[[#This Row],[Leadtime SI2C]])</f>
        <v>#N/A</v>
      </c>
      <c r="AY54" s="51" t="b">
        <f>_xlfn.XLOOKUP(Tableau119[[#This Row],[Key(ID-date)]],'DATA BTO'!S:S,'DATA BTO'!P:P,FALSE)</f>
        <v>0</v>
      </c>
      <c r="AZ54" s="338">
        <v>45777</v>
      </c>
      <c r="BA54" s="50"/>
    </row>
    <row r="55" spans="2:53">
      <c r="B55" s="474" t="str">
        <f>_xlfn.CONCAT(Tableau119[[#This Row],[Name ILN]],"-",Tableau119[[#This Row],[Name Shipper]],"-",Tableau119[[#This Row],[Name Site]])</f>
        <v>ILN Chennai-ILN Chennai-REVOZ</v>
      </c>
      <c r="C55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55" s="66" t="str">
        <f>_xlfn.CONCAT(Tableau119[[#This Row],[Compte ILN]],"-",Tableau119[[#This Row],[Compte Shipper]],"-",Tableau119[[#This Row],[POL]])</f>
        <v>2533780546-2533780546-FALSO</v>
      </c>
      <c r="E55" s="434" t="str">
        <f>_xlfn.CONCAT(Tableau119[[#This Row],[POL]],"-",Tableau119[[#This Row],[Carrier]],"-",Tableau119[[#This Row],[POD]])</f>
        <v>FALSO-FALSO-FALSO</v>
      </c>
      <c r="F55" s="66" t="str">
        <f>_xlfn.CONCAT(Tableau119[[#This Row],[ID]],"-","Actif")</f>
        <v>17-Actif</v>
      </c>
      <c r="G55" s="66" t="str">
        <f>_xlfn.CONCAT(Tableau119[[#This Row],[POD]],"-",Tableau119[[#This Row],[Code PFI]],"-",Tableau119[[#This Row],[Compte Consignee]])</f>
        <v>FALSO-2839004-90016700</v>
      </c>
      <c r="H5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55" s="434" t="str">
        <f>_xlfn.CONCAT(Tableau119[[#This Row],[ID]],"-",Tableau119[[#This Row],[Expiration Date]])</f>
        <v>17-45582</v>
      </c>
      <c r="J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Mioveni-45582</v>
      </c>
      <c r="K55" s="435" t="str">
        <f ca="1">IF(COUNTIF(J:J,Tableau119[[#This Row],[Plant-ILN-shipper-POL-Carrier-POD-PFI]])=1,"Non","Oui")</f>
        <v>Non</v>
      </c>
      <c r="L55" s="128" t="str">
        <f>VLOOKUP(Tableau119[[#This Row],[Name Site]],Plant_AILN!A:D,4,FALSE)</f>
        <v>SLOVENIA</v>
      </c>
      <c r="M55" s="411" t="s">
        <v>35</v>
      </c>
      <c r="N55" s="439">
        <f>VLOOKUP(Tableau119[[#This Row],[Name Site]],Plant_AILN!A:C,3,FALSE)</f>
        <v>90016700</v>
      </c>
      <c r="O55" s="55">
        <f>VLOOKUP(Tableau119[[#This Row],[Compte Consignee]],Order!C:D,2,FALSE)</f>
        <v>7</v>
      </c>
      <c r="P55" s="116" t="s">
        <v>149</v>
      </c>
      <c r="Q55" s="365">
        <f>VLOOKUP(Tableau119[[#This Row],[Name ILN]],Plant_AILN!F:G,2,FALSE)</f>
        <v>2533780546</v>
      </c>
      <c r="R55" s="50">
        <f>VLOOKUP(Tableau119[[#This Row],[Compte ILN]],'DATA ILN'!D:I,6,FALSE)</f>
        <v>9</v>
      </c>
      <c r="S55" s="50" t="e">
        <f>IFERROR(VLOOKUP(Tableau119[[#This Row],[Key(Compte ILN - shipper - POL - plant)]],'DATA ILN'!A:J,10,FALSE),VLOOKUP(Tableau119[[#This Row],[Key(Compte ILN - shipper - POL)]],'DATA ILN'!B:J,9,FALSE))</f>
        <v>#N/A</v>
      </c>
      <c r="T55" s="50" t="e">
        <f>IFERROR(VLOOKUP(Tableau119[[#This Row],[Key(Compte ILN - shipper - POL - plant)]],'DATA ILN'!A:K,11,FALSE),VLOOKUP(Tableau119[[#This Row],[Key(Compte ILN - shipper - POL)]],'DATA ILN'!B:K,10,FALSE))</f>
        <v>#N/A</v>
      </c>
      <c r="U55" s="50" t="e">
        <f>IFERROR(VLOOKUP(Tableau119[[#This Row],[Key(Compte ILN - shipper - POL - plant)]],'DATA ILN'!A:L,12,FALSE),VLOOKUP(Tableau119[[#This Row],[Key(Compte ILN - shipper - POL)]],'DATA ILN'!B:L,11,FALSE))</f>
        <v>#N/A</v>
      </c>
      <c r="V55" s="50" t="e">
        <f>Tableau119[[#This Row],[Day ILN Order]]+Tableau119[[#This Row],[Delivery time to ILN/Shipper]]-1</f>
        <v>#N/A</v>
      </c>
      <c r="W55" s="50" t="e">
        <f>IFERROR(VLOOKUP(Tableau119[[#This Row],[Key(Compte ILN - shipper - POL - plant)]],'DATA ILN'!A:N,14,FALSE),VLOOKUP(Tableau119[[#This Row],[Key(Compte ILN - shipper - POL)]],'DATA ILN'!B:N,13,FALSE))</f>
        <v>#N/A</v>
      </c>
      <c r="X55" s="53" t="e">
        <f>IFERROR(VLOOKUP(Tableau119[[#This Row],[Key(Compte ILN - shipper - POL - plant)]],'DATA ILN'!A:P,16,FALSE),VLOOKUP(Tableau119[[#This Row],[Key(Compte ILN - shipper - POL)]],'DATA ILN'!B:P,15,FALSE))</f>
        <v>#N/A</v>
      </c>
      <c r="Y55" s="284" t="s">
        <v>149</v>
      </c>
      <c r="Z55" s="437">
        <f>IFERROR(VLOOKUP(Tableau119[[#This Row],[Name Shipper]],Plant_AILN!L:M,2,FALSE),0)</f>
        <v>2533780546</v>
      </c>
      <c r="AA55" s="406">
        <v>17</v>
      </c>
      <c r="AB55" s="396" t="b">
        <f>_xlfn.XLOOKUP(Tableau119[[#This Row],[Key(ID-date)]],'DATA BTO'!S:S,'DATA BTO'!E:E,FALSE)</f>
        <v>0</v>
      </c>
      <c r="AC55" s="3" t="b">
        <f>_xlfn.XLOOKUP(Tableau119[[#This Row],[Key(ID-date)]],'DATA BTO'!S:S,'DATA BTO'!F:F,FALSE)</f>
        <v>0</v>
      </c>
      <c r="AD55" s="50" t="b">
        <f>_xlfn.XLOOKUP(Tableau119[[#This Row],[Key(ID-date)]],'DATA BTO'!S:S,'DATA BTO'!G:G,FALSE)</f>
        <v>0</v>
      </c>
      <c r="AE55" s="50" t="b">
        <f>_xlfn.XLOOKUP(Tableau119[[#This Row],[Key(ID-date)]],'DATA BTO'!S:S,'DATA BTO'!H:H,FALSE)</f>
        <v>0</v>
      </c>
      <c r="AF55" s="50" t="e">
        <f>IF(Tableau119[[#This Row],[First Day to POL]]&lt;=Tableau119[[#This Row],[Day Cut Off]],Tableau119[[#This Row],[Day ETD]],Tableau119[[#This Row],[Day ETD]]+7)</f>
        <v>#N/A</v>
      </c>
      <c r="AG55" s="50" t="b">
        <f>_xlfn.XLOOKUP(Tableau119[[#This Row],[Key(ID-date)]],'DATA BTO'!S:S,'DATA BTO'!I:I,FALSE)</f>
        <v>0</v>
      </c>
      <c r="AH55" s="3" t="b">
        <f>_xlfn.XLOOKUP(Tableau119[[#This Row],[Key(ID-date)]],'DATA BTO'!S:S,'DATA BTO'!J:J,FALSE)</f>
        <v>0</v>
      </c>
      <c r="AI55" s="3" t="b">
        <f>_xlfn.XLOOKUP(Tableau119[[#This Row],[Key(ID-date)]],'DATA BTO'!S:S,'DATA BTO'!K:K,FALSE)</f>
        <v>0</v>
      </c>
      <c r="AJ55" s="50" t="b">
        <f>_xlfn.XLOOKUP(Tableau119[[#This Row],[Key(ID-date)]],'DATA BTO'!S:S,'DATA BTO'!L:L,FALSE)</f>
        <v>0</v>
      </c>
      <c r="AK55" s="53" t="b">
        <f>_xlfn.XLOOKUP(Tableau119[[#This Row],[Key(ID-date)]],'DATA BTO'!S:S,'DATA BTO'!N:N,FALSE)</f>
        <v>0</v>
      </c>
      <c r="AL55" s="54" t="e">
        <f>VLOOKUP(Tableau119[[#This Row],[Key(POD -PFI- Usine)]],'DATA Consignee'!A:F,6,FALSE)</f>
        <v>#N/A</v>
      </c>
      <c r="AM55" s="127" t="s">
        <v>278</v>
      </c>
      <c r="AN55" s="438">
        <f>IF(Tableau119[[#This Row],[Name PFI/CDD]]="","-",VLOOKUP(Tableau119[[#This Row],[Name PFI/CDD]],Plant_AILN!I:J,2,FALSE))</f>
        <v>2839004</v>
      </c>
      <c r="AO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" s="2" t="e">
        <f>VLOOKUP(Tableau119[[#This Row],[Key(POD -PFI- Usine)]],'DATA Consignee'!A:J,10,FALSE)</f>
        <v>#N/A</v>
      </c>
      <c r="AR55" s="50" t="e">
        <f>VLOOKUP(Tableau119[[#This Row],[Key(POD -PFI- Usine)]],'DATA Consignee'!A:N,14,FALSE)</f>
        <v>#N/A</v>
      </c>
      <c r="AS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" s="50">
        <f>Tableau119[[#This Row],[Transit time]]+Tableau119[[#This Row],[Time for security]]+Tableau119[[#This Row],[Time for security2 buffer]]</f>
        <v>0</v>
      </c>
      <c r="AV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" s="433" t="e">
        <f>Tableau119[[#This Row],[Leadtime SI2C]]+Tableau119[[#This Row],[First Receipt Days]]-Tableau119[[#This Row],[Day Customer Order]]+1</f>
        <v>#N/A</v>
      </c>
      <c r="AX55" s="119" t="e">
        <f>IF(Tableau119[[#This Row],[Name ILN]]&lt;&gt;"SFK Freight Forwarder",Tableau119[[#This Row],[Cust. Leadtime]],Tableau119[[#This Row],[Leadtime SI2C]])</f>
        <v>#N/A</v>
      </c>
      <c r="AY55" s="51" t="b">
        <f>_xlfn.XLOOKUP(Tableau119[[#This Row],[Key(ID-date)]],'DATA BTO'!S:S,'DATA BTO'!P:P,FALSE)</f>
        <v>0</v>
      </c>
      <c r="AZ55" s="338">
        <v>45582</v>
      </c>
      <c r="BA55" s="50"/>
    </row>
    <row r="56" spans="2:53">
      <c r="B56" s="474" t="str">
        <f>_xlfn.CONCAT(Tableau119[[#This Row],[Name ILN]],"-",Tableau119[[#This Row],[Name Shipper]],"-",Tableau119[[#This Row],[Name Site]])</f>
        <v>ILN Chennai-ILN Chennai-DACIA MONT</v>
      </c>
      <c r="C56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56" s="66" t="str">
        <f>_xlfn.CONCAT(Tableau119[[#This Row],[Compte ILN]],"-",Tableau119[[#This Row],[Compte Shipper]],"-",Tableau119[[#This Row],[POL]])</f>
        <v>2533780546-2533780546-FALSO</v>
      </c>
      <c r="E56" s="434" t="str">
        <f>_xlfn.CONCAT(Tableau119[[#This Row],[POL]],"-",Tableau119[[#This Row],[Carrier]],"-",Tableau119[[#This Row],[POD]])</f>
        <v>FALSO-FALSO-FALSO</v>
      </c>
      <c r="F56" s="66" t="str">
        <f>_xlfn.CONCAT(Tableau119[[#This Row],[ID]],"-","Actif")</f>
        <v>17-Actif</v>
      </c>
      <c r="G56" s="66" t="str">
        <f>_xlfn.CONCAT(Tableau119[[#This Row],[POD]],"-",Tableau119[[#This Row],[Code PFI]],"-",Tableau119[[#This Row],[Compte Consignee]])</f>
        <v>FALSO---90016800</v>
      </c>
      <c r="H5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56" s="434" t="str">
        <f>_xlfn.CONCAT(Tableau119[[#This Row],[ID]],"-",Tableau119[[#This Row],[Expiration Date]])</f>
        <v>17-45582</v>
      </c>
      <c r="J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Chennai-17-FALSO-FALSO-FALSO--45582</v>
      </c>
      <c r="K56" s="435" t="str">
        <f ca="1">IF(COUNTIF(J:J,Tableau119[[#This Row],[Plant-ILN-shipper-POL-Carrier-POD-PFI]])=1,"Non","Oui")</f>
        <v>Non</v>
      </c>
      <c r="L56" s="128" t="str">
        <f>VLOOKUP(Tableau119[[#This Row],[Name Site]],Plant_AILN!A:D,4,FALSE)</f>
        <v>ROMANIA</v>
      </c>
      <c r="M56" s="411" t="s">
        <v>185</v>
      </c>
      <c r="N56" s="439">
        <f>VLOOKUP(Tableau119[[#This Row],[Name Site]],Plant_AILN!A:C,3,FALSE)</f>
        <v>90016800</v>
      </c>
      <c r="O56" s="55">
        <f>VLOOKUP(Tableau119[[#This Row],[Compte Consignee]],Order!C:D,2,FALSE)</f>
        <v>7</v>
      </c>
      <c r="P56" s="116" t="s">
        <v>149</v>
      </c>
      <c r="Q56" s="365">
        <f>VLOOKUP(Tableau119[[#This Row],[Name ILN]],Plant_AILN!F:G,2,FALSE)</f>
        <v>2533780546</v>
      </c>
      <c r="R56" s="50">
        <f>VLOOKUP(Tableau119[[#This Row],[Compte ILN]],'DATA ILN'!D:I,6,FALSE)</f>
        <v>9</v>
      </c>
      <c r="S56" s="50" t="e">
        <f>IFERROR(VLOOKUP(Tableau119[[#This Row],[Key(Compte ILN - shipper - POL - plant)]],'DATA ILN'!A:J,10,FALSE),VLOOKUP(Tableau119[[#This Row],[Key(Compte ILN - shipper - POL)]],'DATA ILN'!B:J,9,FALSE))</f>
        <v>#N/A</v>
      </c>
      <c r="T56" s="50" t="e">
        <f>IFERROR(VLOOKUP(Tableau119[[#This Row],[Key(Compte ILN - shipper - POL - plant)]],'DATA ILN'!A:K,11,FALSE),VLOOKUP(Tableau119[[#This Row],[Key(Compte ILN - shipper - POL)]],'DATA ILN'!B:K,10,FALSE))</f>
        <v>#N/A</v>
      </c>
      <c r="U56" s="50" t="e">
        <f>IFERROR(VLOOKUP(Tableau119[[#This Row],[Key(Compte ILN - shipper - POL - plant)]],'DATA ILN'!A:L,12,FALSE),VLOOKUP(Tableau119[[#This Row],[Key(Compte ILN - shipper - POL)]],'DATA ILN'!B:L,11,FALSE))</f>
        <v>#N/A</v>
      </c>
      <c r="V56" s="50" t="e">
        <f>Tableau119[[#This Row],[Day ILN Order]]+Tableau119[[#This Row],[Delivery time to ILN/Shipper]]-1</f>
        <v>#N/A</v>
      </c>
      <c r="W56" s="50" t="e">
        <f>IFERROR(VLOOKUP(Tableau119[[#This Row],[Key(Compte ILN - shipper - POL - plant)]],'DATA ILN'!A:N,14,FALSE),VLOOKUP(Tableau119[[#This Row],[Key(Compte ILN - shipper - POL)]],'DATA ILN'!B:N,13,FALSE))</f>
        <v>#N/A</v>
      </c>
      <c r="X56" s="53" t="e">
        <f>IFERROR(VLOOKUP(Tableau119[[#This Row],[Key(Compte ILN - shipper - POL - plant)]],'DATA ILN'!A:P,16,FALSE),VLOOKUP(Tableau119[[#This Row],[Key(Compte ILN - shipper - POL)]],'DATA ILN'!B:P,15,FALSE))</f>
        <v>#N/A</v>
      </c>
      <c r="Y56" s="284" t="s">
        <v>149</v>
      </c>
      <c r="Z56" s="437">
        <f>IFERROR(VLOOKUP(Tableau119[[#This Row],[Name Shipper]],Plant_AILN!L:M,2,FALSE),0)</f>
        <v>2533780546</v>
      </c>
      <c r="AA56" s="406">
        <v>17</v>
      </c>
      <c r="AB56" s="396" t="b">
        <f>_xlfn.XLOOKUP(Tableau119[[#This Row],[Key(ID-date)]],'DATA BTO'!S:S,'DATA BTO'!E:E,FALSE)</f>
        <v>0</v>
      </c>
      <c r="AC56" s="3" t="b">
        <f>_xlfn.XLOOKUP(Tableau119[[#This Row],[Key(ID-date)]],'DATA BTO'!S:S,'DATA BTO'!F:F,FALSE)</f>
        <v>0</v>
      </c>
      <c r="AD56" s="50" t="b">
        <f>_xlfn.XLOOKUP(Tableau119[[#This Row],[Key(ID-date)]],'DATA BTO'!S:S,'DATA BTO'!G:G,FALSE)</f>
        <v>0</v>
      </c>
      <c r="AE56" s="50" t="b">
        <f>_xlfn.XLOOKUP(Tableau119[[#This Row],[Key(ID-date)]],'DATA BTO'!S:S,'DATA BTO'!H:H,FALSE)</f>
        <v>0</v>
      </c>
      <c r="AF56" s="50" t="e">
        <f>IF(Tableau119[[#This Row],[First Day to POL]]&lt;=Tableau119[[#This Row],[Day Cut Off]],Tableau119[[#This Row],[Day ETD]],Tableau119[[#This Row],[Day ETD]]+7)</f>
        <v>#N/A</v>
      </c>
      <c r="AG56" s="50" t="b">
        <f>_xlfn.XLOOKUP(Tableau119[[#This Row],[Key(ID-date)]],'DATA BTO'!S:S,'DATA BTO'!I:I,FALSE)</f>
        <v>0</v>
      </c>
      <c r="AH56" s="3" t="b">
        <f>_xlfn.XLOOKUP(Tableau119[[#This Row],[Key(ID-date)]],'DATA BTO'!S:S,'DATA BTO'!J:J,FALSE)</f>
        <v>0</v>
      </c>
      <c r="AI56" s="3" t="b">
        <f>_xlfn.XLOOKUP(Tableau119[[#This Row],[Key(ID-date)]],'DATA BTO'!S:S,'DATA BTO'!K:K,FALSE)</f>
        <v>0</v>
      </c>
      <c r="AJ56" s="50" t="b">
        <f>_xlfn.XLOOKUP(Tableau119[[#This Row],[Key(ID-date)]],'DATA BTO'!S:S,'DATA BTO'!L:L,FALSE)</f>
        <v>0</v>
      </c>
      <c r="AK56" s="53" t="b">
        <f>_xlfn.XLOOKUP(Tableau119[[#This Row],[Key(ID-date)]],'DATA BTO'!S:S,'DATA BTO'!N:N,FALSE)</f>
        <v>0</v>
      </c>
      <c r="AL56" s="54" t="e">
        <f>VLOOKUP(Tableau119[[#This Row],[Key(POD -PFI- Usine)]],'DATA Consignee'!A:F,6,FALSE)</f>
        <v>#N/A</v>
      </c>
      <c r="AM56" s="127"/>
      <c r="AN56" s="438" t="str">
        <f>IF(Tableau119[[#This Row],[Name PFI/CDD]]="","-",VLOOKUP(Tableau119[[#This Row],[Name PFI/CDD]],Plant_AILN!I:J,2,FALSE))</f>
        <v>-</v>
      </c>
      <c r="AO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" s="2" t="e">
        <f>VLOOKUP(Tableau119[[#This Row],[Key(POD -PFI- Usine)]],'DATA Consignee'!A:J,10,FALSE)</f>
        <v>#N/A</v>
      </c>
      <c r="AR56" s="50" t="e">
        <f>VLOOKUP(Tableau119[[#This Row],[Key(POD -PFI- Usine)]],'DATA Consignee'!A:N,14,FALSE)</f>
        <v>#N/A</v>
      </c>
      <c r="AS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" s="50">
        <f>Tableau119[[#This Row],[Transit time]]+Tableau119[[#This Row],[Time for security]]+Tableau119[[#This Row],[Time for security2 buffer]]</f>
        <v>0</v>
      </c>
      <c r="AV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" s="433" t="e">
        <f>Tableau119[[#This Row],[Leadtime SI2C]]+Tableau119[[#This Row],[First Receipt Days]]-Tableau119[[#This Row],[Day Customer Order]]+1</f>
        <v>#N/A</v>
      </c>
      <c r="AX56" s="119" t="e">
        <f>IF(Tableau119[[#This Row],[Name ILN]]&lt;&gt;"SFK Freight Forwarder",Tableau119[[#This Row],[Cust. Leadtime]],Tableau119[[#This Row],[Leadtime SI2C]])</f>
        <v>#N/A</v>
      </c>
      <c r="AY56" s="51" t="b">
        <f>_xlfn.XLOOKUP(Tableau119[[#This Row],[Key(ID-date)]],'DATA BTO'!S:S,'DATA BTO'!P:P,FALSE)</f>
        <v>0</v>
      </c>
      <c r="AZ56" s="338">
        <v>45582</v>
      </c>
      <c r="BA56" s="50"/>
    </row>
    <row r="57" spans="2:53">
      <c r="B57" s="474" t="str">
        <f>_xlfn.CONCAT(Tableau119[[#This Row],[Name ILN]],"-",Tableau119[[#This Row],[Name Shipper]],"-",Tableau119[[#This Row],[Name Site]])</f>
        <v>ILN Chennai-ILN Chennai-ORAN</v>
      </c>
      <c r="C57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57" s="66" t="str">
        <f>_xlfn.CONCAT(Tableau119[[#This Row],[Compte ILN]],"-",Tableau119[[#This Row],[Compte Shipper]],"-",Tableau119[[#This Row],[POL]])</f>
        <v>2533780546-2533780546-FALSO</v>
      </c>
      <c r="E57" s="434" t="str">
        <f>_xlfn.CONCAT(Tableau119[[#This Row],[POL]],"-",Tableau119[[#This Row],[Carrier]],"-",Tableau119[[#This Row],[POD]])</f>
        <v>FALSO-FALSO-FALSO</v>
      </c>
      <c r="F57" s="66" t="str">
        <f>_xlfn.CONCAT(Tableau119[[#This Row],[ID]],"-","Actif")</f>
        <v>17-Actif</v>
      </c>
      <c r="G57" s="66" t="str">
        <f>_xlfn.CONCAT(Tableau119[[#This Row],[POD]],"-",Tableau119[[#This Row],[Code PFI]],"-",Tableau119[[#This Row],[Compte Consignee]])</f>
        <v>FALSO-2839004-90021000</v>
      </c>
      <c r="H5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57" s="434" t="str">
        <f>_xlfn.CONCAT(Tableau119[[#This Row],[ID]],"-",Tableau119[[#This Row],[Expiration Date]])</f>
        <v>17-45582</v>
      </c>
      <c r="J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Mioveni-45582</v>
      </c>
      <c r="K57" s="435" t="str">
        <f ca="1">IF(COUNTIF(J:J,Tableau119[[#This Row],[Plant-ILN-shipper-POL-Carrier-POD-PFI]])=1,"Non","Oui")</f>
        <v>Non</v>
      </c>
      <c r="L57" s="128" t="str">
        <f>VLOOKUP(Tableau119[[#This Row],[Name Site]],Plant_AILN!A:D,4,FALSE)</f>
        <v>ALGERIA</v>
      </c>
      <c r="M57" s="411" t="s">
        <v>198</v>
      </c>
      <c r="N57" s="439">
        <f>VLOOKUP(Tableau119[[#This Row],[Name Site]],Plant_AILN!A:C,3,FALSE)</f>
        <v>90021000</v>
      </c>
      <c r="O57" s="55">
        <f>VLOOKUP(Tableau119[[#This Row],[Compte Consignee]],Order!C:D,2,FALSE)</f>
        <v>7</v>
      </c>
      <c r="P57" s="116" t="s">
        <v>149</v>
      </c>
      <c r="Q57" s="365">
        <f>VLOOKUP(Tableau119[[#This Row],[Name ILN]],Plant_AILN!F:G,2,FALSE)</f>
        <v>2533780546</v>
      </c>
      <c r="R57" s="50">
        <f>VLOOKUP(Tableau119[[#This Row],[Compte ILN]],'DATA ILN'!D:I,6,FALSE)</f>
        <v>9</v>
      </c>
      <c r="S57" s="50" t="e">
        <f>IFERROR(VLOOKUP(Tableau119[[#This Row],[Key(Compte ILN - shipper - POL - plant)]],'DATA ILN'!A:J,10,FALSE),VLOOKUP(Tableau119[[#This Row],[Key(Compte ILN - shipper - POL)]],'DATA ILN'!B:J,9,FALSE))</f>
        <v>#N/A</v>
      </c>
      <c r="T57" s="50" t="e">
        <f>IFERROR(VLOOKUP(Tableau119[[#This Row],[Key(Compte ILN - shipper - POL - plant)]],'DATA ILN'!A:K,11,FALSE),VLOOKUP(Tableau119[[#This Row],[Key(Compte ILN - shipper - POL)]],'DATA ILN'!B:K,10,FALSE))</f>
        <v>#N/A</v>
      </c>
      <c r="U57" s="50" t="e">
        <f>IFERROR(VLOOKUP(Tableau119[[#This Row],[Key(Compte ILN - shipper - POL - plant)]],'DATA ILN'!A:L,12,FALSE),VLOOKUP(Tableau119[[#This Row],[Key(Compte ILN - shipper - POL)]],'DATA ILN'!B:L,11,FALSE))</f>
        <v>#N/A</v>
      </c>
      <c r="V57" s="50" t="e">
        <f>Tableau119[[#This Row],[Day ILN Order]]+Tableau119[[#This Row],[Delivery time to ILN/Shipper]]-1</f>
        <v>#N/A</v>
      </c>
      <c r="W57" s="50" t="e">
        <f>IFERROR(VLOOKUP(Tableau119[[#This Row],[Key(Compte ILN - shipper - POL - plant)]],'DATA ILN'!A:N,14,FALSE),VLOOKUP(Tableau119[[#This Row],[Key(Compte ILN - shipper - POL)]],'DATA ILN'!B:N,13,FALSE))</f>
        <v>#N/A</v>
      </c>
      <c r="X57" s="53" t="e">
        <f>IFERROR(VLOOKUP(Tableau119[[#This Row],[Key(Compte ILN - shipper - POL - plant)]],'DATA ILN'!A:P,16,FALSE),VLOOKUP(Tableau119[[#This Row],[Key(Compte ILN - shipper - POL)]],'DATA ILN'!B:P,15,FALSE))</f>
        <v>#N/A</v>
      </c>
      <c r="Y57" s="284" t="s">
        <v>149</v>
      </c>
      <c r="Z57" s="437">
        <f>IFERROR(VLOOKUP(Tableau119[[#This Row],[Name Shipper]],Plant_AILN!L:M,2,FALSE),0)</f>
        <v>2533780546</v>
      </c>
      <c r="AA57" s="406">
        <v>17</v>
      </c>
      <c r="AB57" s="396" t="b">
        <f>_xlfn.XLOOKUP(Tableau119[[#This Row],[Key(ID-date)]],'DATA BTO'!S:S,'DATA BTO'!E:E,FALSE)</f>
        <v>0</v>
      </c>
      <c r="AC57" s="3" t="b">
        <f>_xlfn.XLOOKUP(Tableau119[[#This Row],[Key(ID-date)]],'DATA BTO'!S:S,'DATA BTO'!F:F,FALSE)</f>
        <v>0</v>
      </c>
      <c r="AD57" s="50" t="b">
        <f>_xlfn.XLOOKUP(Tableau119[[#This Row],[Key(ID-date)]],'DATA BTO'!S:S,'DATA BTO'!G:G,FALSE)</f>
        <v>0</v>
      </c>
      <c r="AE57" s="50" t="b">
        <f>_xlfn.XLOOKUP(Tableau119[[#This Row],[Key(ID-date)]],'DATA BTO'!S:S,'DATA BTO'!H:H,FALSE)</f>
        <v>0</v>
      </c>
      <c r="AF57" s="50" t="e">
        <f>IF(Tableau119[[#This Row],[First Day to POL]]&lt;=Tableau119[[#This Row],[Day Cut Off]],Tableau119[[#This Row],[Day ETD]],Tableau119[[#This Row],[Day ETD]]+7)</f>
        <v>#N/A</v>
      </c>
      <c r="AG57" s="50" t="b">
        <f>_xlfn.XLOOKUP(Tableau119[[#This Row],[Key(ID-date)]],'DATA BTO'!S:S,'DATA BTO'!I:I,FALSE)</f>
        <v>0</v>
      </c>
      <c r="AH57" s="3" t="b">
        <f>_xlfn.XLOOKUP(Tableau119[[#This Row],[Key(ID-date)]],'DATA BTO'!S:S,'DATA BTO'!J:J,FALSE)</f>
        <v>0</v>
      </c>
      <c r="AI57" s="3" t="b">
        <f>_xlfn.XLOOKUP(Tableau119[[#This Row],[Key(ID-date)]],'DATA BTO'!S:S,'DATA BTO'!K:K,FALSE)</f>
        <v>0</v>
      </c>
      <c r="AJ57" s="50" t="b">
        <f>_xlfn.XLOOKUP(Tableau119[[#This Row],[Key(ID-date)]],'DATA BTO'!S:S,'DATA BTO'!L:L,FALSE)</f>
        <v>0</v>
      </c>
      <c r="AK57" s="53" t="b">
        <f>_xlfn.XLOOKUP(Tableau119[[#This Row],[Key(ID-date)]],'DATA BTO'!S:S,'DATA BTO'!N:N,FALSE)</f>
        <v>0</v>
      </c>
      <c r="AL57" s="54" t="e">
        <f>VLOOKUP(Tableau119[[#This Row],[Key(POD -PFI- Usine)]],'DATA Consignee'!A:F,6,FALSE)</f>
        <v>#N/A</v>
      </c>
      <c r="AM57" s="127" t="s">
        <v>278</v>
      </c>
      <c r="AN57" s="438">
        <f>IF(Tableau119[[#This Row],[Name PFI/CDD]]="","-",VLOOKUP(Tableau119[[#This Row],[Name PFI/CDD]],Plant_AILN!I:J,2,FALSE))</f>
        <v>2839004</v>
      </c>
      <c r="AO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" s="2" t="e">
        <f>VLOOKUP(Tableau119[[#This Row],[Key(POD -PFI- Usine)]],'DATA Consignee'!A:J,10,FALSE)</f>
        <v>#N/A</v>
      </c>
      <c r="AR57" s="50" t="e">
        <f>VLOOKUP(Tableau119[[#This Row],[Key(POD -PFI- Usine)]],'DATA Consignee'!A:N,14,FALSE)</f>
        <v>#N/A</v>
      </c>
      <c r="AS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" s="50">
        <f>Tableau119[[#This Row],[Transit time]]+Tableau119[[#This Row],[Time for security]]+Tableau119[[#This Row],[Time for security2 buffer]]</f>
        <v>0</v>
      </c>
      <c r="AV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" s="433" t="e">
        <f>Tableau119[[#This Row],[Leadtime SI2C]]+Tableau119[[#This Row],[First Receipt Days]]-Tableau119[[#This Row],[Day Customer Order]]+1</f>
        <v>#N/A</v>
      </c>
      <c r="AX57" s="119" t="e">
        <f>IF(Tableau119[[#This Row],[Name ILN]]&lt;&gt;"SFK Freight Forwarder",Tableau119[[#This Row],[Cust. Leadtime]],Tableau119[[#This Row],[Leadtime SI2C]])</f>
        <v>#N/A</v>
      </c>
      <c r="AY57" s="51" t="b">
        <f>_xlfn.XLOOKUP(Tableau119[[#This Row],[Key(ID-date)]],'DATA BTO'!S:S,'DATA BTO'!P:P,FALSE)</f>
        <v>0</v>
      </c>
      <c r="AZ57" s="338">
        <v>45582</v>
      </c>
      <c r="BA57" s="50"/>
    </row>
    <row r="58" spans="2:53">
      <c r="B58" s="474" t="str">
        <f>_xlfn.CONCAT(Tableau119[[#This Row],[Name ILN]],"-",Tableau119[[#This Row],[Name Shipper]],"-",Tableau119[[#This Row],[Name Site]])</f>
        <v>ILN Chennai-ILN Chennai-REVOZ</v>
      </c>
      <c r="C58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58" s="66" t="str">
        <f>_xlfn.CONCAT(Tableau119[[#This Row],[Compte ILN]],"-",Tableau119[[#This Row],[Compte Shipper]],"-",Tableau119[[#This Row],[POL]])</f>
        <v>2533780546-2533780546-FALSO</v>
      </c>
      <c r="E58" s="434" t="str">
        <f>_xlfn.CONCAT(Tableau119[[#This Row],[POL]],"-",Tableau119[[#This Row],[Carrier]],"-",Tableau119[[#This Row],[POD]])</f>
        <v>FALSO-FALSO-FALSO</v>
      </c>
      <c r="F58" s="66" t="str">
        <f>_xlfn.CONCAT(Tableau119[[#This Row],[ID]],"-","Actif")</f>
        <v>17-Actif</v>
      </c>
      <c r="G58" s="66" t="str">
        <f>_xlfn.CONCAT(Tableau119[[#This Row],[POD]],"-",Tableau119[[#This Row],[Code PFI]],"-",Tableau119[[#This Row],[Compte Consignee]])</f>
        <v>FALSO-2839004-90016700</v>
      </c>
      <c r="H5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58" s="434" t="str">
        <f>_xlfn.CONCAT(Tableau119[[#This Row],[ID]],"-",Tableau119[[#This Row],[Expiration Date]])</f>
        <v>17-45473</v>
      </c>
      <c r="J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Mioveni-45473</v>
      </c>
      <c r="K58" s="435" t="str">
        <f ca="1">IF(COUNTIF(J:J,Tableau119[[#This Row],[Plant-ILN-shipper-POL-Carrier-POD-PFI]])=1,"Non","Oui")</f>
        <v>Non</v>
      </c>
      <c r="L58" s="128" t="str">
        <f>VLOOKUP(Tableau119[[#This Row],[Name Site]],Plant_AILN!A:D,4,FALSE)</f>
        <v>SLOVENIA</v>
      </c>
      <c r="M58" s="411" t="s">
        <v>35</v>
      </c>
      <c r="N58" s="439">
        <f>VLOOKUP(Tableau119[[#This Row],[Name Site]],Plant_AILN!A:C,3,FALSE)</f>
        <v>90016700</v>
      </c>
      <c r="O58" s="55">
        <f>VLOOKUP(Tableau119[[#This Row],[Compte Consignee]],Order!C:D,2,FALSE)</f>
        <v>7</v>
      </c>
      <c r="P58" s="116" t="s">
        <v>149</v>
      </c>
      <c r="Q58" s="365">
        <f>VLOOKUP(Tableau119[[#This Row],[Name ILN]],Plant_AILN!F:G,2,FALSE)</f>
        <v>2533780546</v>
      </c>
      <c r="R58" s="50">
        <f>VLOOKUP(Tableau119[[#This Row],[Compte ILN]],'DATA ILN'!D:I,6,FALSE)</f>
        <v>9</v>
      </c>
      <c r="S58" s="50" t="e">
        <f>IFERROR(VLOOKUP(Tableau119[[#This Row],[Key(Compte ILN - shipper - POL - plant)]],'DATA ILN'!A:J,10,FALSE),VLOOKUP(Tableau119[[#This Row],[Key(Compte ILN - shipper - POL)]],'DATA ILN'!B:J,9,FALSE))</f>
        <v>#N/A</v>
      </c>
      <c r="T58" s="50" t="e">
        <f>IFERROR(VLOOKUP(Tableau119[[#This Row],[Key(Compte ILN - shipper - POL - plant)]],'DATA ILN'!A:K,11,FALSE),VLOOKUP(Tableau119[[#This Row],[Key(Compte ILN - shipper - POL)]],'DATA ILN'!B:K,10,FALSE))</f>
        <v>#N/A</v>
      </c>
      <c r="U58" s="50" t="e">
        <f>IFERROR(VLOOKUP(Tableau119[[#This Row],[Key(Compte ILN - shipper - POL - plant)]],'DATA ILN'!A:L,12,FALSE),VLOOKUP(Tableau119[[#This Row],[Key(Compte ILN - shipper - POL)]],'DATA ILN'!B:L,11,FALSE))</f>
        <v>#N/A</v>
      </c>
      <c r="V58" s="50" t="e">
        <f>Tableau119[[#This Row],[Day ILN Order]]+Tableau119[[#This Row],[Delivery time to ILN/Shipper]]-1</f>
        <v>#N/A</v>
      </c>
      <c r="W58" s="50" t="e">
        <f>IFERROR(VLOOKUP(Tableau119[[#This Row],[Key(Compte ILN - shipper - POL - plant)]],'DATA ILN'!A:N,14,FALSE),VLOOKUP(Tableau119[[#This Row],[Key(Compte ILN - shipper - POL)]],'DATA ILN'!B:N,13,FALSE))</f>
        <v>#N/A</v>
      </c>
      <c r="X58" s="53" t="e">
        <f>IFERROR(VLOOKUP(Tableau119[[#This Row],[Key(Compte ILN - shipper - POL - plant)]],'DATA ILN'!A:P,16,FALSE),VLOOKUP(Tableau119[[#This Row],[Key(Compte ILN - shipper - POL)]],'DATA ILN'!B:P,15,FALSE))</f>
        <v>#N/A</v>
      </c>
      <c r="Y58" s="284" t="s">
        <v>149</v>
      </c>
      <c r="Z58" s="437">
        <f>IFERROR(VLOOKUP(Tableau119[[#This Row],[Name Shipper]],Plant_AILN!L:M,2,FALSE),0)</f>
        <v>2533780546</v>
      </c>
      <c r="AA58" s="406">
        <v>17</v>
      </c>
      <c r="AB58" s="396" t="b">
        <f>_xlfn.XLOOKUP(Tableau119[[#This Row],[Key(ID-date)]],'DATA BTO'!S:S,'DATA BTO'!E:E,FALSE)</f>
        <v>0</v>
      </c>
      <c r="AC58" s="3" t="b">
        <f>_xlfn.XLOOKUP(Tableau119[[#This Row],[Key(ID-date)]],'DATA BTO'!S:S,'DATA BTO'!F:F,FALSE)</f>
        <v>0</v>
      </c>
      <c r="AD58" s="50" t="b">
        <f>_xlfn.XLOOKUP(Tableau119[[#This Row],[Key(ID-date)]],'DATA BTO'!S:S,'DATA BTO'!G:G,FALSE)</f>
        <v>0</v>
      </c>
      <c r="AE58" s="50" t="b">
        <f>_xlfn.XLOOKUP(Tableau119[[#This Row],[Key(ID-date)]],'DATA BTO'!S:S,'DATA BTO'!H:H,FALSE)</f>
        <v>0</v>
      </c>
      <c r="AF58" s="50" t="e">
        <f>IF(Tableau119[[#This Row],[First Day to POL]]&lt;=Tableau119[[#This Row],[Day Cut Off]],Tableau119[[#This Row],[Day ETD]],Tableau119[[#This Row],[Day ETD]]+7)</f>
        <v>#N/A</v>
      </c>
      <c r="AG58" s="50" t="b">
        <f>_xlfn.XLOOKUP(Tableau119[[#This Row],[Key(ID-date)]],'DATA BTO'!S:S,'DATA BTO'!I:I,FALSE)</f>
        <v>0</v>
      </c>
      <c r="AH58" s="3" t="b">
        <f>_xlfn.XLOOKUP(Tableau119[[#This Row],[Key(ID-date)]],'DATA BTO'!S:S,'DATA BTO'!J:J,FALSE)</f>
        <v>0</v>
      </c>
      <c r="AI58" s="3" t="b">
        <f>_xlfn.XLOOKUP(Tableau119[[#This Row],[Key(ID-date)]],'DATA BTO'!S:S,'DATA BTO'!K:K,FALSE)</f>
        <v>0</v>
      </c>
      <c r="AJ58" s="50" t="b">
        <f>_xlfn.XLOOKUP(Tableau119[[#This Row],[Key(ID-date)]],'DATA BTO'!S:S,'DATA BTO'!L:L,FALSE)</f>
        <v>0</v>
      </c>
      <c r="AK58" s="53" t="b">
        <f>_xlfn.XLOOKUP(Tableau119[[#This Row],[Key(ID-date)]],'DATA BTO'!S:S,'DATA BTO'!N:N,FALSE)</f>
        <v>0</v>
      </c>
      <c r="AL58" s="54" t="e">
        <f>VLOOKUP(Tableau119[[#This Row],[Key(POD -PFI- Usine)]],'DATA Consignee'!A:F,6,FALSE)</f>
        <v>#N/A</v>
      </c>
      <c r="AM58" s="127" t="s">
        <v>278</v>
      </c>
      <c r="AN58" s="438">
        <f>IF(Tableau119[[#This Row],[Name PFI/CDD]]="","-",VLOOKUP(Tableau119[[#This Row],[Name PFI/CDD]],Plant_AILN!I:J,2,FALSE))</f>
        <v>2839004</v>
      </c>
      <c r="AO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" s="2" t="e">
        <f>VLOOKUP(Tableau119[[#This Row],[Key(POD -PFI- Usine)]],'DATA Consignee'!A:J,10,FALSE)</f>
        <v>#N/A</v>
      </c>
      <c r="AR58" s="50" t="e">
        <f>VLOOKUP(Tableau119[[#This Row],[Key(POD -PFI- Usine)]],'DATA Consignee'!A:N,14,FALSE)</f>
        <v>#N/A</v>
      </c>
      <c r="AS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" s="50">
        <f>Tableau119[[#This Row],[Transit time]]+Tableau119[[#This Row],[Time for security]]+Tableau119[[#This Row],[Time for security2 buffer]]</f>
        <v>0</v>
      </c>
      <c r="AV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" s="433" t="e">
        <f>Tableau119[[#This Row],[Leadtime SI2C]]+Tableau119[[#This Row],[First Receipt Days]]-Tableau119[[#This Row],[Day Customer Order]]+1</f>
        <v>#N/A</v>
      </c>
      <c r="AX58" s="119" t="e">
        <f>IF(Tableau119[[#This Row],[Name ILN]]&lt;&gt;"SFK Freight Forwarder",Tableau119[[#This Row],[Cust. Leadtime]],Tableau119[[#This Row],[Leadtime SI2C]])</f>
        <v>#N/A</v>
      </c>
      <c r="AY58" s="51" t="b">
        <f>_xlfn.XLOOKUP(Tableau119[[#This Row],[Key(ID-date)]],'DATA BTO'!S:S,'DATA BTO'!P:P,FALSE)</f>
        <v>0</v>
      </c>
      <c r="AZ58" s="338">
        <v>45473</v>
      </c>
      <c r="BA58" s="50"/>
    </row>
    <row r="59" spans="2:53">
      <c r="B59" s="474" t="str">
        <f>_xlfn.CONCAT(Tableau119[[#This Row],[Name ILN]],"-",Tableau119[[#This Row],[Name Shipper]],"-",Tableau119[[#This Row],[Name Site]])</f>
        <v>ILN Chennai-ILN Chennai-DACIA MONT</v>
      </c>
      <c r="C59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59" s="66" t="str">
        <f>_xlfn.CONCAT(Tableau119[[#This Row],[Compte ILN]],"-",Tableau119[[#This Row],[Compte Shipper]],"-",Tableau119[[#This Row],[POL]])</f>
        <v>2533780546-2533780546-FALSO</v>
      </c>
      <c r="E59" s="434" t="str">
        <f>_xlfn.CONCAT(Tableau119[[#This Row],[POL]],"-",Tableau119[[#This Row],[Carrier]],"-",Tableau119[[#This Row],[POD]])</f>
        <v>FALSO-FALSO-FALSO</v>
      </c>
      <c r="F59" s="66" t="str">
        <f>_xlfn.CONCAT(Tableau119[[#This Row],[ID]],"-","Actif")</f>
        <v>17-Actif</v>
      </c>
      <c r="G59" s="66" t="str">
        <f>_xlfn.CONCAT(Tableau119[[#This Row],[POD]],"-",Tableau119[[#This Row],[Code PFI]],"-",Tableau119[[#This Row],[Compte Consignee]])</f>
        <v>FALSO---90016800</v>
      </c>
      <c r="H5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59" s="434" t="str">
        <f>_xlfn.CONCAT(Tableau119[[#This Row],[ID]],"-",Tableau119[[#This Row],[Expiration Date]])</f>
        <v>17-45473</v>
      </c>
      <c r="J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Chennai-17-FALSO-FALSO-FALSO--45473</v>
      </c>
      <c r="K59" s="435" t="str">
        <f ca="1">IF(COUNTIF(J:J,Tableau119[[#This Row],[Plant-ILN-shipper-POL-Carrier-POD-PFI]])=1,"Non","Oui")</f>
        <v>Non</v>
      </c>
      <c r="L59" s="128" t="str">
        <f>VLOOKUP(Tableau119[[#This Row],[Name Site]],Plant_AILN!A:D,4,FALSE)</f>
        <v>ROMANIA</v>
      </c>
      <c r="M59" s="411" t="s">
        <v>185</v>
      </c>
      <c r="N59" s="439">
        <f>VLOOKUP(Tableau119[[#This Row],[Name Site]],Plant_AILN!A:C,3,FALSE)</f>
        <v>90016800</v>
      </c>
      <c r="O59" s="55">
        <f>VLOOKUP(Tableau119[[#This Row],[Compte Consignee]],Order!C:D,2,FALSE)</f>
        <v>7</v>
      </c>
      <c r="P59" s="116" t="s">
        <v>149</v>
      </c>
      <c r="Q59" s="365">
        <f>VLOOKUP(Tableau119[[#This Row],[Name ILN]],Plant_AILN!F:G,2,FALSE)</f>
        <v>2533780546</v>
      </c>
      <c r="R59" s="50">
        <f>VLOOKUP(Tableau119[[#This Row],[Compte ILN]],'DATA ILN'!D:I,6,FALSE)</f>
        <v>9</v>
      </c>
      <c r="S59" s="50" t="e">
        <f>IFERROR(VLOOKUP(Tableau119[[#This Row],[Key(Compte ILN - shipper - POL - plant)]],'DATA ILN'!A:J,10,FALSE),VLOOKUP(Tableau119[[#This Row],[Key(Compte ILN - shipper - POL)]],'DATA ILN'!B:J,9,FALSE))</f>
        <v>#N/A</v>
      </c>
      <c r="T59" s="50" t="e">
        <f>IFERROR(VLOOKUP(Tableau119[[#This Row],[Key(Compte ILN - shipper - POL - plant)]],'DATA ILN'!A:K,11,FALSE),VLOOKUP(Tableau119[[#This Row],[Key(Compte ILN - shipper - POL)]],'DATA ILN'!B:K,10,FALSE))</f>
        <v>#N/A</v>
      </c>
      <c r="U59" s="50" t="e">
        <f>IFERROR(VLOOKUP(Tableau119[[#This Row],[Key(Compte ILN - shipper - POL - plant)]],'DATA ILN'!A:L,12,FALSE),VLOOKUP(Tableau119[[#This Row],[Key(Compte ILN - shipper - POL)]],'DATA ILN'!B:L,11,FALSE))</f>
        <v>#N/A</v>
      </c>
      <c r="V59" s="50" t="e">
        <f>Tableau119[[#This Row],[Day ILN Order]]+Tableau119[[#This Row],[Delivery time to ILN/Shipper]]-1</f>
        <v>#N/A</v>
      </c>
      <c r="W59" s="50" t="e">
        <f>IFERROR(VLOOKUP(Tableau119[[#This Row],[Key(Compte ILN - shipper - POL - plant)]],'DATA ILN'!A:N,14,FALSE),VLOOKUP(Tableau119[[#This Row],[Key(Compte ILN - shipper - POL)]],'DATA ILN'!B:N,13,FALSE))</f>
        <v>#N/A</v>
      </c>
      <c r="X59" s="53" t="e">
        <f>IFERROR(VLOOKUP(Tableau119[[#This Row],[Key(Compte ILN - shipper - POL - plant)]],'DATA ILN'!A:P,16,FALSE),VLOOKUP(Tableau119[[#This Row],[Key(Compte ILN - shipper - POL)]],'DATA ILN'!B:P,15,FALSE))</f>
        <v>#N/A</v>
      </c>
      <c r="Y59" s="284" t="s">
        <v>149</v>
      </c>
      <c r="Z59" s="437">
        <f>IFERROR(VLOOKUP(Tableau119[[#This Row],[Name Shipper]],Plant_AILN!L:M,2,FALSE),0)</f>
        <v>2533780546</v>
      </c>
      <c r="AA59" s="406">
        <v>17</v>
      </c>
      <c r="AB59" s="396" t="b">
        <f>_xlfn.XLOOKUP(Tableau119[[#This Row],[Key(ID-date)]],'DATA BTO'!S:S,'DATA BTO'!E:E,FALSE)</f>
        <v>0</v>
      </c>
      <c r="AC59" s="3" t="b">
        <f>_xlfn.XLOOKUP(Tableau119[[#This Row],[Key(ID-date)]],'DATA BTO'!S:S,'DATA BTO'!F:F,FALSE)</f>
        <v>0</v>
      </c>
      <c r="AD59" s="50" t="b">
        <f>_xlfn.XLOOKUP(Tableau119[[#This Row],[Key(ID-date)]],'DATA BTO'!S:S,'DATA BTO'!G:G,FALSE)</f>
        <v>0</v>
      </c>
      <c r="AE59" s="50" t="b">
        <f>_xlfn.XLOOKUP(Tableau119[[#This Row],[Key(ID-date)]],'DATA BTO'!S:S,'DATA BTO'!H:H,FALSE)</f>
        <v>0</v>
      </c>
      <c r="AF59" s="50" t="e">
        <f>IF(Tableau119[[#This Row],[First Day to POL]]&lt;=Tableau119[[#This Row],[Day Cut Off]],Tableau119[[#This Row],[Day ETD]],Tableau119[[#This Row],[Day ETD]]+7)</f>
        <v>#N/A</v>
      </c>
      <c r="AG59" s="50" t="b">
        <f>_xlfn.XLOOKUP(Tableau119[[#This Row],[Key(ID-date)]],'DATA BTO'!S:S,'DATA BTO'!I:I,FALSE)</f>
        <v>0</v>
      </c>
      <c r="AH59" s="3" t="b">
        <f>_xlfn.XLOOKUP(Tableau119[[#This Row],[Key(ID-date)]],'DATA BTO'!S:S,'DATA BTO'!J:J,FALSE)</f>
        <v>0</v>
      </c>
      <c r="AI59" s="3" t="b">
        <f>_xlfn.XLOOKUP(Tableau119[[#This Row],[Key(ID-date)]],'DATA BTO'!S:S,'DATA BTO'!K:K,FALSE)</f>
        <v>0</v>
      </c>
      <c r="AJ59" s="50" t="b">
        <f>_xlfn.XLOOKUP(Tableau119[[#This Row],[Key(ID-date)]],'DATA BTO'!S:S,'DATA BTO'!L:L,FALSE)</f>
        <v>0</v>
      </c>
      <c r="AK59" s="53" t="b">
        <f>_xlfn.XLOOKUP(Tableau119[[#This Row],[Key(ID-date)]],'DATA BTO'!S:S,'DATA BTO'!N:N,FALSE)</f>
        <v>0</v>
      </c>
      <c r="AL59" s="54" t="e">
        <f>VLOOKUP(Tableau119[[#This Row],[Key(POD -PFI- Usine)]],'DATA Consignee'!A:F,6,FALSE)</f>
        <v>#N/A</v>
      </c>
      <c r="AM59" s="127"/>
      <c r="AN59" s="438" t="str">
        <f>IF(Tableau119[[#This Row],[Name PFI/CDD]]="","-",VLOOKUP(Tableau119[[#This Row],[Name PFI/CDD]],Plant_AILN!I:J,2,FALSE))</f>
        <v>-</v>
      </c>
      <c r="AO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" s="2" t="e">
        <f>VLOOKUP(Tableau119[[#This Row],[Key(POD -PFI- Usine)]],'DATA Consignee'!A:J,10,FALSE)</f>
        <v>#N/A</v>
      </c>
      <c r="AR59" s="50" t="e">
        <f>VLOOKUP(Tableau119[[#This Row],[Key(POD -PFI- Usine)]],'DATA Consignee'!A:N,14,FALSE)</f>
        <v>#N/A</v>
      </c>
      <c r="AS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" s="50">
        <f>Tableau119[[#This Row],[Transit time]]+Tableau119[[#This Row],[Time for security]]+Tableau119[[#This Row],[Time for security2 buffer]]</f>
        <v>0</v>
      </c>
      <c r="AV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" s="433" t="e">
        <f>Tableau119[[#This Row],[Leadtime SI2C]]+Tableau119[[#This Row],[First Receipt Days]]-Tableau119[[#This Row],[Day Customer Order]]+1</f>
        <v>#N/A</v>
      </c>
      <c r="AX59" s="119" t="e">
        <f>IF(Tableau119[[#This Row],[Name ILN]]&lt;&gt;"SFK Freight Forwarder",Tableau119[[#This Row],[Cust. Leadtime]],Tableau119[[#This Row],[Leadtime SI2C]])</f>
        <v>#N/A</v>
      </c>
      <c r="AY59" s="51" t="b">
        <f>_xlfn.XLOOKUP(Tableau119[[#This Row],[Key(ID-date)]],'DATA BTO'!S:S,'DATA BTO'!P:P,FALSE)</f>
        <v>0</v>
      </c>
      <c r="AZ59" s="338">
        <v>45473</v>
      </c>
      <c r="BA59" s="50"/>
    </row>
    <row r="60" spans="2:53">
      <c r="B60" s="474" t="str">
        <f>_xlfn.CONCAT(Tableau119[[#This Row],[Name ILN]],"-",Tableau119[[#This Row],[Name Shipper]],"-",Tableau119[[#This Row],[Name Site]])</f>
        <v>ILN Chennai-ILN Chennai-ORAN</v>
      </c>
      <c r="C60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60" s="66" t="str">
        <f>_xlfn.CONCAT(Tableau119[[#This Row],[Compte ILN]],"-",Tableau119[[#This Row],[Compte Shipper]],"-",Tableau119[[#This Row],[POL]])</f>
        <v>2533780546-2533780546-FALSO</v>
      </c>
      <c r="E60" s="434" t="str">
        <f>_xlfn.CONCAT(Tableau119[[#This Row],[POL]],"-",Tableau119[[#This Row],[Carrier]],"-",Tableau119[[#This Row],[POD]])</f>
        <v>FALSO-FALSO-FALSO</v>
      </c>
      <c r="F60" s="66" t="str">
        <f>_xlfn.CONCAT(Tableau119[[#This Row],[ID]],"-","Actif")</f>
        <v>17-Actif</v>
      </c>
      <c r="G60" s="66" t="str">
        <f>_xlfn.CONCAT(Tableau119[[#This Row],[POD]],"-",Tableau119[[#This Row],[Code PFI]],"-",Tableau119[[#This Row],[Compte Consignee]])</f>
        <v>FALSO-2839004-90021000</v>
      </c>
      <c r="H6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60" s="434" t="str">
        <f>_xlfn.CONCAT(Tableau119[[#This Row],[ID]],"-",Tableau119[[#This Row],[Expiration Date]])</f>
        <v>17-45473</v>
      </c>
      <c r="J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Mioveni-45473</v>
      </c>
      <c r="K60" s="435" t="str">
        <f ca="1">IF(COUNTIF(J:J,Tableau119[[#This Row],[Plant-ILN-shipper-POL-Carrier-POD-PFI]])=1,"Non","Oui")</f>
        <v>Non</v>
      </c>
      <c r="L60" s="128" t="str">
        <f>VLOOKUP(Tableau119[[#This Row],[Name Site]],Plant_AILN!A:D,4,FALSE)</f>
        <v>ALGERIA</v>
      </c>
      <c r="M60" s="411" t="s">
        <v>198</v>
      </c>
      <c r="N60" s="439">
        <f>VLOOKUP(Tableau119[[#This Row],[Name Site]],Plant_AILN!A:C,3,FALSE)</f>
        <v>90021000</v>
      </c>
      <c r="O60" s="55">
        <f>VLOOKUP(Tableau119[[#This Row],[Compte Consignee]],Order!C:D,2,FALSE)</f>
        <v>7</v>
      </c>
      <c r="P60" s="116" t="s">
        <v>149</v>
      </c>
      <c r="Q60" s="365">
        <f>VLOOKUP(Tableau119[[#This Row],[Name ILN]],Plant_AILN!F:G,2,FALSE)</f>
        <v>2533780546</v>
      </c>
      <c r="R60" s="50">
        <f>VLOOKUP(Tableau119[[#This Row],[Compte ILN]],'DATA ILN'!D:I,6,FALSE)</f>
        <v>9</v>
      </c>
      <c r="S60" s="50" t="e">
        <f>IFERROR(VLOOKUP(Tableau119[[#This Row],[Key(Compte ILN - shipper - POL - plant)]],'DATA ILN'!A:J,10,FALSE),VLOOKUP(Tableau119[[#This Row],[Key(Compte ILN - shipper - POL)]],'DATA ILN'!B:J,9,FALSE))</f>
        <v>#N/A</v>
      </c>
      <c r="T60" s="50" t="e">
        <f>IFERROR(VLOOKUP(Tableau119[[#This Row],[Key(Compte ILN - shipper - POL - plant)]],'DATA ILN'!A:K,11,FALSE),VLOOKUP(Tableau119[[#This Row],[Key(Compte ILN - shipper - POL)]],'DATA ILN'!B:K,10,FALSE))</f>
        <v>#N/A</v>
      </c>
      <c r="U60" s="50" t="e">
        <f>IFERROR(VLOOKUP(Tableau119[[#This Row],[Key(Compte ILN - shipper - POL - plant)]],'DATA ILN'!A:L,12,FALSE),VLOOKUP(Tableau119[[#This Row],[Key(Compte ILN - shipper - POL)]],'DATA ILN'!B:L,11,FALSE))</f>
        <v>#N/A</v>
      </c>
      <c r="V60" s="50" t="e">
        <f>Tableau119[[#This Row],[Day ILN Order]]+Tableau119[[#This Row],[Delivery time to ILN/Shipper]]-1</f>
        <v>#N/A</v>
      </c>
      <c r="W60" s="50" t="e">
        <f>IFERROR(VLOOKUP(Tableau119[[#This Row],[Key(Compte ILN - shipper - POL - plant)]],'DATA ILN'!A:N,14,FALSE),VLOOKUP(Tableau119[[#This Row],[Key(Compte ILN - shipper - POL)]],'DATA ILN'!B:N,13,FALSE))</f>
        <v>#N/A</v>
      </c>
      <c r="X60" s="53" t="e">
        <f>IFERROR(VLOOKUP(Tableau119[[#This Row],[Key(Compte ILN - shipper - POL - plant)]],'DATA ILN'!A:P,16,FALSE),VLOOKUP(Tableau119[[#This Row],[Key(Compte ILN - shipper - POL)]],'DATA ILN'!B:P,15,FALSE))</f>
        <v>#N/A</v>
      </c>
      <c r="Y60" s="284" t="s">
        <v>149</v>
      </c>
      <c r="Z60" s="437">
        <f>IFERROR(VLOOKUP(Tableau119[[#This Row],[Name Shipper]],Plant_AILN!L:M,2,FALSE),0)</f>
        <v>2533780546</v>
      </c>
      <c r="AA60" s="406">
        <v>17</v>
      </c>
      <c r="AB60" s="396" t="b">
        <f>_xlfn.XLOOKUP(Tableau119[[#This Row],[Key(ID-date)]],'DATA BTO'!S:S,'DATA BTO'!E:E,FALSE)</f>
        <v>0</v>
      </c>
      <c r="AC60" s="3" t="b">
        <f>_xlfn.XLOOKUP(Tableau119[[#This Row],[Key(ID-date)]],'DATA BTO'!S:S,'DATA BTO'!F:F,FALSE)</f>
        <v>0</v>
      </c>
      <c r="AD60" s="50" t="b">
        <f>_xlfn.XLOOKUP(Tableau119[[#This Row],[Key(ID-date)]],'DATA BTO'!S:S,'DATA BTO'!G:G,FALSE)</f>
        <v>0</v>
      </c>
      <c r="AE60" s="50" t="b">
        <f>_xlfn.XLOOKUP(Tableau119[[#This Row],[Key(ID-date)]],'DATA BTO'!S:S,'DATA BTO'!H:H,FALSE)</f>
        <v>0</v>
      </c>
      <c r="AF60" s="50" t="e">
        <f>IF(Tableau119[[#This Row],[First Day to POL]]&lt;=Tableau119[[#This Row],[Day Cut Off]],Tableau119[[#This Row],[Day ETD]],Tableau119[[#This Row],[Day ETD]]+7)</f>
        <v>#N/A</v>
      </c>
      <c r="AG60" s="50" t="b">
        <f>_xlfn.XLOOKUP(Tableau119[[#This Row],[Key(ID-date)]],'DATA BTO'!S:S,'DATA BTO'!I:I,FALSE)</f>
        <v>0</v>
      </c>
      <c r="AH60" s="3" t="b">
        <f>_xlfn.XLOOKUP(Tableau119[[#This Row],[Key(ID-date)]],'DATA BTO'!S:S,'DATA BTO'!J:J,FALSE)</f>
        <v>0</v>
      </c>
      <c r="AI60" s="3" t="b">
        <f>_xlfn.XLOOKUP(Tableau119[[#This Row],[Key(ID-date)]],'DATA BTO'!S:S,'DATA BTO'!K:K,FALSE)</f>
        <v>0</v>
      </c>
      <c r="AJ60" s="50" t="b">
        <f>_xlfn.XLOOKUP(Tableau119[[#This Row],[Key(ID-date)]],'DATA BTO'!S:S,'DATA BTO'!L:L,FALSE)</f>
        <v>0</v>
      </c>
      <c r="AK60" s="53" t="b">
        <f>_xlfn.XLOOKUP(Tableau119[[#This Row],[Key(ID-date)]],'DATA BTO'!S:S,'DATA BTO'!N:N,FALSE)</f>
        <v>0</v>
      </c>
      <c r="AL60" s="54" t="e">
        <f>VLOOKUP(Tableau119[[#This Row],[Key(POD -PFI- Usine)]],'DATA Consignee'!A:F,6,FALSE)</f>
        <v>#N/A</v>
      </c>
      <c r="AM60" s="127" t="s">
        <v>278</v>
      </c>
      <c r="AN60" s="438">
        <f>IF(Tableau119[[#This Row],[Name PFI/CDD]]="","-",VLOOKUP(Tableau119[[#This Row],[Name PFI/CDD]],Plant_AILN!I:J,2,FALSE))</f>
        <v>2839004</v>
      </c>
      <c r="AO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" s="2" t="e">
        <f>VLOOKUP(Tableau119[[#This Row],[Key(POD -PFI- Usine)]],'DATA Consignee'!A:J,10,FALSE)</f>
        <v>#N/A</v>
      </c>
      <c r="AR60" s="50" t="e">
        <f>VLOOKUP(Tableau119[[#This Row],[Key(POD -PFI- Usine)]],'DATA Consignee'!A:N,14,FALSE)</f>
        <v>#N/A</v>
      </c>
      <c r="AS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" s="50">
        <f>Tableau119[[#This Row],[Transit time]]+Tableau119[[#This Row],[Time for security]]+Tableau119[[#This Row],[Time for security2 buffer]]</f>
        <v>0</v>
      </c>
      <c r="AV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" s="433" t="e">
        <f>Tableau119[[#This Row],[Leadtime SI2C]]+Tableau119[[#This Row],[First Receipt Days]]-Tableau119[[#This Row],[Day Customer Order]]+1</f>
        <v>#N/A</v>
      </c>
      <c r="AX60" s="119" t="e">
        <f>IF(Tableau119[[#This Row],[Name ILN]]&lt;&gt;"SFK Freight Forwarder",Tableau119[[#This Row],[Cust. Leadtime]],Tableau119[[#This Row],[Leadtime SI2C]])</f>
        <v>#N/A</v>
      </c>
      <c r="AY60" s="51" t="b">
        <f>_xlfn.XLOOKUP(Tableau119[[#This Row],[Key(ID-date)]],'DATA BTO'!S:S,'DATA BTO'!P:P,FALSE)</f>
        <v>0</v>
      </c>
      <c r="AZ60" s="338">
        <v>45473</v>
      </c>
      <c r="BA60" s="50"/>
    </row>
    <row r="61" spans="2:53">
      <c r="B61" s="474" t="str">
        <f>_xlfn.CONCAT(Tableau119[[#This Row],[Name ILN]],"-",Tableau119[[#This Row],[Name Shipper]],"-",Tableau119[[#This Row],[Name Site]])</f>
        <v>ILN Chennai-ILN Chennai-REVOZ</v>
      </c>
      <c r="C61" s="67" t="str">
        <f>_xlfn.CONCAT(Tableau119[[#This Row],[Compte ILN]],"-",Tableau119[[#This Row],[Compte Shipper]],"-",Tableau119[[#This Row],[POL]],"-",Tableau119[[#This Row],[Compte Consignee]])</f>
        <v>2533780546-2533780546-FALSO-90016700</v>
      </c>
      <c r="D61" s="66" t="str">
        <f>_xlfn.CONCAT(Tableau119[[#This Row],[Compte ILN]],"-",Tableau119[[#This Row],[Compte Shipper]],"-",Tableau119[[#This Row],[POL]])</f>
        <v>2533780546-2533780546-FALSO</v>
      </c>
      <c r="E61" s="434" t="str">
        <f>_xlfn.CONCAT(Tableau119[[#This Row],[POL]],"-",Tableau119[[#This Row],[Carrier]],"-",Tableau119[[#This Row],[POD]])</f>
        <v>FALSO-FALSO-FALSO</v>
      </c>
      <c r="F61" s="66" t="str">
        <f>_xlfn.CONCAT(Tableau119[[#This Row],[ID]],"-","Actif")</f>
        <v>17-Actif</v>
      </c>
      <c r="G61" s="66" t="str">
        <f>_xlfn.CONCAT(Tableau119[[#This Row],[POD]],"-",Tableau119[[#This Row],[Code PFI]],"-",Tableau119[[#This Row],[Compte Consignee]])</f>
        <v>FALSO-2839004-90016700</v>
      </c>
      <c r="H6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ChennaiFALSOREVOZ</v>
      </c>
      <c r="I61" s="434" t="str">
        <f>_xlfn.CONCAT(Tableau119[[#This Row],[ID]],"-",Tableau119[[#This Row],[Expiration Date]])</f>
        <v>17-45412</v>
      </c>
      <c r="J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Chennai-ILN Chennai-17-FALSO-FALSO-FALSO-PFI Mioveni-45412</v>
      </c>
      <c r="K61" s="435" t="str">
        <f ca="1">IF(COUNTIF(J:J,Tableau119[[#This Row],[Plant-ILN-shipper-POL-Carrier-POD-PFI]])=1,"Non","Oui")</f>
        <v>Non</v>
      </c>
      <c r="L61" s="128" t="str">
        <f>VLOOKUP(Tableau119[[#This Row],[Name Site]],Plant_AILN!A:D,4,FALSE)</f>
        <v>SLOVENIA</v>
      </c>
      <c r="M61" s="411" t="s">
        <v>35</v>
      </c>
      <c r="N61" s="439">
        <f>VLOOKUP(Tableau119[[#This Row],[Name Site]],Plant_AILN!A:C,3,FALSE)</f>
        <v>90016700</v>
      </c>
      <c r="O61" s="55">
        <f>VLOOKUP(Tableau119[[#This Row],[Compte Consignee]],Order!C:D,2,FALSE)</f>
        <v>7</v>
      </c>
      <c r="P61" s="116" t="s">
        <v>149</v>
      </c>
      <c r="Q61" s="365">
        <f>VLOOKUP(Tableau119[[#This Row],[Name ILN]],Plant_AILN!F:G,2,FALSE)</f>
        <v>2533780546</v>
      </c>
      <c r="R61" s="50">
        <f>VLOOKUP(Tableau119[[#This Row],[Compte ILN]],'DATA ILN'!D:I,6,FALSE)</f>
        <v>9</v>
      </c>
      <c r="S61" s="50" t="e">
        <f>IFERROR(VLOOKUP(Tableau119[[#This Row],[Key(Compte ILN - shipper - POL - plant)]],'DATA ILN'!A:J,10,FALSE),VLOOKUP(Tableau119[[#This Row],[Key(Compte ILN - shipper - POL)]],'DATA ILN'!B:J,9,FALSE))</f>
        <v>#N/A</v>
      </c>
      <c r="T61" s="50" t="e">
        <f>IFERROR(VLOOKUP(Tableau119[[#This Row],[Key(Compte ILN - shipper - POL - plant)]],'DATA ILN'!A:K,11,FALSE),VLOOKUP(Tableau119[[#This Row],[Key(Compte ILN - shipper - POL)]],'DATA ILN'!B:K,10,FALSE))</f>
        <v>#N/A</v>
      </c>
      <c r="U61" s="50" t="e">
        <f>IFERROR(VLOOKUP(Tableau119[[#This Row],[Key(Compte ILN - shipper - POL - plant)]],'DATA ILN'!A:L,12,FALSE),VLOOKUP(Tableau119[[#This Row],[Key(Compte ILN - shipper - POL)]],'DATA ILN'!B:L,11,FALSE))</f>
        <v>#N/A</v>
      </c>
      <c r="V61" s="50" t="e">
        <f>Tableau119[[#This Row],[Day ILN Order]]+Tableau119[[#This Row],[Delivery time to ILN/Shipper]]-1</f>
        <v>#N/A</v>
      </c>
      <c r="W61" s="50" t="e">
        <f>IFERROR(VLOOKUP(Tableau119[[#This Row],[Key(Compte ILN - shipper - POL - plant)]],'DATA ILN'!A:N,14,FALSE),VLOOKUP(Tableau119[[#This Row],[Key(Compte ILN - shipper - POL)]],'DATA ILN'!B:N,13,FALSE))</f>
        <v>#N/A</v>
      </c>
      <c r="X61" s="53" t="e">
        <f>IFERROR(VLOOKUP(Tableau119[[#This Row],[Key(Compte ILN - shipper - POL - plant)]],'DATA ILN'!A:P,16,FALSE),VLOOKUP(Tableau119[[#This Row],[Key(Compte ILN - shipper - POL)]],'DATA ILN'!B:P,15,FALSE))</f>
        <v>#N/A</v>
      </c>
      <c r="Y61" s="284" t="s">
        <v>149</v>
      </c>
      <c r="Z61" s="437">
        <f>IFERROR(VLOOKUP(Tableau119[[#This Row],[Name Shipper]],Plant_AILN!L:M,2,FALSE),0)</f>
        <v>2533780546</v>
      </c>
      <c r="AA61" s="406">
        <v>17</v>
      </c>
      <c r="AB61" s="396" t="b">
        <f>_xlfn.XLOOKUP(Tableau119[[#This Row],[Key(ID-date)]],'DATA BTO'!S:S,'DATA BTO'!E:E,FALSE)</f>
        <v>0</v>
      </c>
      <c r="AC61" s="3" t="b">
        <f>_xlfn.XLOOKUP(Tableau119[[#This Row],[Key(ID-date)]],'DATA BTO'!S:S,'DATA BTO'!F:F,FALSE)</f>
        <v>0</v>
      </c>
      <c r="AD61" s="50" t="b">
        <f>_xlfn.XLOOKUP(Tableau119[[#This Row],[Key(ID-date)]],'DATA BTO'!S:S,'DATA BTO'!G:G,FALSE)</f>
        <v>0</v>
      </c>
      <c r="AE61" s="50" t="b">
        <f>_xlfn.XLOOKUP(Tableau119[[#This Row],[Key(ID-date)]],'DATA BTO'!S:S,'DATA BTO'!H:H,FALSE)</f>
        <v>0</v>
      </c>
      <c r="AF61" s="50" t="e">
        <f>IF(Tableau119[[#This Row],[First Day to POL]]&lt;=Tableau119[[#This Row],[Day Cut Off]],Tableau119[[#This Row],[Day ETD]],Tableau119[[#This Row],[Day ETD]]+7)</f>
        <v>#N/A</v>
      </c>
      <c r="AG61" s="50" t="b">
        <f>_xlfn.XLOOKUP(Tableau119[[#This Row],[Key(ID-date)]],'DATA BTO'!S:S,'DATA BTO'!I:I,FALSE)</f>
        <v>0</v>
      </c>
      <c r="AH61" s="3" t="b">
        <f>_xlfn.XLOOKUP(Tableau119[[#This Row],[Key(ID-date)]],'DATA BTO'!S:S,'DATA BTO'!J:J,FALSE)</f>
        <v>0</v>
      </c>
      <c r="AI61" s="3" t="b">
        <f>_xlfn.XLOOKUP(Tableau119[[#This Row],[Key(ID-date)]],'DATA BTO'!S:S,'DATA BTO'!K:K,FALSE)</f>
        <v>0</v>
      </c>
      <c r="AJ61" s="50" t="b">
        <f>_xlfn.XLOOKUP(Tableau119[[#This Row],[Key(ID-date)]],'DATA BTO'!S:S,'DATA BTO'!L:L,FALSE)</f>
        <v>0</v>
      </c>
      <c r="AK61" s="53" t="b">
        <f>_xlfn.XLOOKUP(Tableau119[[#This Row],[Key(ID-date)]],'DATA BTO'!S:S,'DATA BTO'!N:N,FALSE)</f>
        <v>0</v>
      </c>
      <c r="AL61" s="54" t="e">
        <f>VLOOKUP(Tableau119[[#This Row],[Key(POD -PFI- Usine)]],'DATA Consignee'!A:F,6,FALSE)</f>
        <v>#N/A</v>
      </c>
      <c r="AM61" s="127" t="s">
        <v>278</v>
      </c>
      <c r="AN61" s="438">
        <f>IF(Tableau119[[#This Row],[Name PFI/CDD]]="","-",VLOOKUP(Tableau119[[#This Row],[Name PFI/CDD]],Plant_AILN!I:J,2,FALSE))</f>
        <v>2839004</v>
      </c>
      <c r="AO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" s="2" t="e">
        <f>VLOOKUP(Tableau119[[#This Row],[Key(POD -PFI- Usine)]],'DATA Consignee'!A:J,10,FALSE)</f>
        <v>#N/A</v>
      </c>
      <c r="AR61" s="50" t="e">
        <f>VLOOKUP(Tableau119[[#This Row],[Key(POD -PFI- Usine)]],'DATA Consignee'!A:N,14,FALSE)</f>
        <v>#N/A</v>
      </c>
      <c r="AS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" s="50">
        <f>Tableau119[[#This Row],[Transit time]]+Tableau119[[#This Row],[Time for security]]+Tableau119[[#This Row],[Time for security2 buffer]]</f>
        <v>0</v>
      </c>
      <c r="AV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" s="433" t="e">
        <f>Tableau119[[#This Row],[Leadtime SI2C]]+Tableau119[[#This Row],[First Receipt Days]]-Tableau119[[#This Row],[Day Customer Order]]+1</f>
        <v>#N/A</v>
      </c>
      <c r="AX61" s="119" t="e">
        <f>IF(Tableau119[[#This Row],[Name ILN]]&lt;&gt;"SFK Freight Forwarder",Tableau119[[#This Row],[Cust. Leadtime]],Tableau119[[#This Row],[Leadtime SI2C]])</f>
        <v>#N/A</v>
      </c>
      <c r="AY61" s="51" t="b">
        <f>_xlfn.XLOOKUP(Tableau119[[#This Row],[Key(ID-date)]],'DATA BTO'!S:S,'DATA BTO'!P:P,FALSE)</f>
        <v>0</v>
      </c>
      <c r="AZ61" s="338">
        <v>45412</v>
      </c>
      <c r="BA61" s="50"/>
    </row>
    <row r="62" spans="2:53">
      <c r="B62" s="474" t="str">
        <f>_xlfn.CONCAT(Tableau119[[#This Row],[Name ILN]],"-",Tableau119[[#This Row],[Name Shipper]],"-",Tableau119[[#This Row],[Name Site]])</f>
        <v>ILN Chennai-ILN Chennai-DACIA MONT</v>
      </c>
      <c r="C62" s="67" t="str">
        <f>_xlfn.CONCAT(Tableau119[[#This Row],[Compte ILN]],"-",Tableau119[[#This Row],[Compte Shipper]],"-",Tableau119[[#This Row],[POL]],"-",Tableau119[[#This Row],[Compte Consignee]])</f>
        <v>2533780546-2533780546-FALSO-90016800</v>
      </c>
      <c r="D62" s="66" t="str">
        <f>_xlfn.CONCAT(Tableau119[[#This Row],[Compte ILN]],"-",Tableau119[[#This Row],[Compte Shipper]],"-",Tableau119[[#This Row],[POL]])</f>
        <v>2533780546-2533780546-FALSO</v>
      </c>
      <c r="E62" s="434" t="str">
        <f>_xlfn.CONCAT(Tableau119[[#This Row],[POL]],"-",Tableau119[[#This Row],[Carrier]],"-",Tableau119[[#This Row],[POD]])</f>
        <v>FALSO-FALSO-FALSO</v>
      </c>
      <c r="F62" s="66" t="str">
        <f>_xlfn.CONCAT(Tableau119[[#This Row],[ID]],"-","Actif")</f>
        <v>17-Actif</v>
      </c>
      <c r="G62" s="66" t="str">
        <f>_xlfn.CONCAT(Tableau119[[#This Row],[POD]],"-",Tableau119[[#This Row],[Code PFI]],"-",Tableau119[[#This Row],[Compte Consignee]])</f>
        <v>FALSO---90016800</v>
      </c>
      <c r="H6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ChennaiFALSODACIA MONT</v>
      </c>
      <c r="I62" s="434" t="str">
        <f>_xlfn.CONCAT(Tableau119[[#This Row],[ID]],"-",Tableau119[[#This Row],[Expiration Date]])</f>
        <v>17-45412</v>
      </c>
      <c r="J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Chennai-ILN Chennai-17-FALSO-FALSO-FALSO--45412</v>
      </c>
      <c r="K62" s="435" t="str">
        <f ca="1">IF(COUNTIF(J:J,Tableau119[[#This Row],[Plant-ILN-shipper-POL-Carrier-POD-PFI]])=1,"Non","Oui")</f>
        <v>Non</v>
      </c>
      <c r="L62" s="128" t="str">
        <f>VLOOKUP(Tableau119[[#This Row],[Name Site]],Plant_AILN!A:D,4,FALSE)</f>
        <v>ROMANIA</v>
      </c>
      <c r="M62" s="411" t="s">
        <v>185</v>
      </c>
      <c r="N62" s="439">
        <f>VLOOKUP(Tableau119[[#This Row],[Name Site]],Plant_AILN!A:C,3,FALSE)</f>
        <v>90016800</v>
      </c>
      <c r="O62" s="55">
        <f>VLOOKUP(Tableau119[[#This Row],[Compte Consignee]],Order!C:D,2,FALSE)</f>
        <v>7</v>
      </c>
      <c r="P62" s="116" t="s">
        <v>149</v>
      </c>
      <c r="Q62" s="365">
        <f>VLOOKUP(Tableau119[[#This Row],[Name ILN]],Plant_AILN!F:G,2,FALSE)</f>
        <v>2533780546</v>
      </c>
      <c r="R62" s="50">
        <f>VLOOKUP(Tableau119[[#This Row],[Compte ILN]],'DATA ILN'!D:I,6,FALSE)</f>
        <v>9</v>
      </c>
      <c r="S62" s="50" t="e">
        <f>IFERROR(VLOOKUP(Tableau119[[#This Row],[Key(Compte ILN - shipper - POL - plant)]],'DATA ILN'!A:J,10,FALSE),VLOOKUP(Tableau119[[#This Row],[Key(Compte ILN - shipper - POL)]],'DATA ILN'!B:J,9,FALSE))</f>
        <v>#N/A</v>
      </c>
      <c r="T62" s="50" t="e">
        <f>IFERROR(VLOOKUP(Tableau119[[#This Row],[Key(Compte ILN - shipper - POL - plant)]],'DATA ILN'!A:K,11,FALSE),VLOOKUP(Tableau119[[#This Row],[Key(Compte ILN - shipper - POL)]],'DATA ILN'!B:K,10,FALSE))</f>
        <v>#N/A</v>
      </c>
      <c r="U62" s="50" t="e">
        <f>IFERROR(VLOOKUP(Tableau119[[#This Row],[Key(Compte ILN - shipper - POL - plant)]],'DATA ILN'!A:L,12,FALSE),VLOOKUP(Tableau119[[#This Row],[Key(Compte ILN - shipper - POL)]],'DATA ILN'!B:L,11,FALSE))</f>
        <v>#N/A</v>
      </c>
      <c r="V62" s="50" t="e">
        <f>Tableau119[[#This Row],[Day ILN Order]]+Tableau119[[#This Row],[Delivery time to ILN/Shipper]]-1</f>
        <v>#N/A</v>
      </c>
      <c r="W62" s="50" t="e">
        <f>IFERROR(VLOOKUP(Tableau119[[#This Row],[Key(Compte ILN - shipper - POL - plant)]],'DATA ILN'!A:N,14,FALSE),VLOOKUP(Tableau119[[#This Row],[Key(Compte ILN - shipper - POL)]],'DATA ILN'!B:N,13,FALSE))</f>
        <v>#N/A</v>
      </c>
      <c r="X62" s="53" t="e">
        <f>IFERROR(VLOOKUP(Tableau119[[#This Row],[Key(Compte ILN - shipper - POL - plant)]],'DATA ILN'!A:P,16,FALSE),VLOOKUP(Tableau119[[#This Row],[Key(Compte ILN - shipper - POL)]],'DATA ILN'!B:P,15,FALSE))</f>
        <v>#N/A</v>
      </c>
      <c r="Y62" s="284" t="s">
        <v>149</v>
      </c>
      <c r="Z62" s="437">
        <f>IFERROR(VLOOKUP(Tableau119[[#This Row],[Name Shipper]],Plant_AILN!L:M,2,FALSE),0)</f>
        <v>2533780546</v>
      </c>
      <c r="AA62" s="406">
        <v>17</v>
      </c>
      <c r="AB62" s="396" t="b">
        <f>_xlfn.XLOOKUP(Tableau119[[#This Row],[Key(ID-date)]],'DATA BTO'!S:S,'DATA BTO'!E:E,FALSE)</f>
        <v>0</v>
      </c>
      <c r="AC62" s="3" t="b">
        <f>_xlfn.XLOOKUP(Tableau119[[#This Row],[Key(ID-date)]],'DATA BTO'!S:S,'DATA BTO'!F:F,FALSE)</f>
        <v>0</v>
      </c>
      <c r="AD62" s="50" t="b">
        <f>_xlfn.XLOOKUP(Tableau119[[#This Row],[Key(ID-date)]],'DATA BTO'!S:S,'DATA BTO'!G:G,FALSE)</f>
        <v>0</v>
      </c>
      <c r="AE62" s="50" t="b">
        <f>_xlfn.XLOOKUP(Tableau119[[#This Row],[Key(ID-date)]],'DATA BTO'!S:S,'DATA BTO'!H:H,FALSE)</f>
        <v>0</v>
      </c>
      <c r="AF62" s="50" t="e">
        <f>IF(Tableau119[[#This Row],[First Day to POL]]&lt;=Tableau119[[#This Row],[Day Cut Off]],Tableau119[[#This Row],[Day ETD]],Tableau119[[#This Row],[Day ETD]]+7)</f>
        <v>#N/A</v>
      </c>
      <c r="AG62" s="50" t="b">
        <f>_xlfn.XLOOKUP(Tableau119[[#This Row],[Key(ID-date)]],'DATA BTO'!S:S,'DATA BTO'!I:I,FALSE)</f>
        <v>0</v>
      </c>
      <c r="AH62" s="3" t="b">
        <f>_xlfn.XLOOKUP(Tableau119[[#This Row],[Key(ID-date)]],'DATA BTO'!S:S,'DATA BTO'!J:J,FALSE)</f>
        <v>0</v>
      </c>
      <c r="AI62" s="3" t="b">
        <f>_xlfn.XLOOKUP(Tableau119[[#This Row],[Key(ID-date)]],'DATA BTO'!S:S,'DATA BTO'!K:K,FALSE)</f>
        <v>0</v>
      </c>
      <c r="AJ62" s="50" t="b">
        <f>_xlfn.XLOOKUP(Tableau119[[#This Row],[Key(ID-date)]],'DATA BTO'!S:S,'DATA BTO'!L:L,FALSE)</f>
        <v>0</v>
      </c>
      <c r="AK62" s="53" t="b">
        <f>_xlfn.XLOOKUP(Tableau119[[#This Row],[Key(ID-date)]],'DATA BTO'!S:S,'DATA BTO'!N:N,FALSE)</f>
        <v>0</v>
      </c>
      <c r="AL62" s="54" t="e">
        <f>VLOOKUP(Tableau119[[#This Row],[Key(POD -PFI- Usine)]],'DATA Consignee'!A:F,6,FALSE)</f>
        <v>#N/A</v>
      </c>
      <c r="AM62" s="127"/>
      <c r="AN62" s="438" t="str">
        <f>IF(Tableau119[[#This Row],[Name PFI/CDD]]="","-",VLOOKUP(Tableau119[[#This Row],[Name PFI/CDD]],Plant_AILN!I:J,2,FALSE))</f>
        <v>-</v>
      </c>
      <c r="AO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" s="2" t="e">
        <f>VLOOKUP(Tableau119[[#This Row],[Key(POD -PFI- Usine)]],'DATA Consignee'!A:J,10,FALSE)</f>
        <v>#N/A</v>
      </c>
      <c r="AR62" s="50" t="e">
        <f>VLOOKUP(Tableau119[[#This Row],[Key(POD -PFI- Usine)]],'DATA Consignee'!A:N,14,FALSE)</f>
        <v>#N/A</v>
      </c>
      <c r="AS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" s="50">
        <f>Tableau119[[#This Row],[Transit time]]+Tableau119[[#This Row],[Time for security]]+Tableau119[[#This Row],[Time for security2 buffer]]</f>
        <v>0</v>
      </c>
      <c r="AV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" s="433" t="e">
        <f>Tableau119[[#This Row],[Leadtime SI2C]]+Tableau119[[#This Row],[First Receipt Days]]-Tableau119[[#This Row],[Day Customer Order]]+1</f>
        <v>#N/A</v>
      </c>
      <c r="AX62" s="119" t="e">
        <f>IF(Tableau119[[#This Row],[Name ILN]]&lt;&gt;"SFK Freight Forwarder",Tableau119[[#This Row],[Cust. Leadtime]],Tableau119[[#This Row],[Leadtime SI2C]])</f>
        <v>#N/A</v>
      </c>
      <c r="AY62" s="51" t="b">
        <f>_xlfn.XLOOKUP(Tableau119[[#This Row],[Key(ID-date)]],'DATA BTO'!S:S,'DATA BTO'!P:P,FALSE)</f>
        <v>0</v>
      </c>
      <c r="AZ62" s="338">
        <v>45412</v>
      </c>
      <c r="BA62" s="50"/>
    </row>
    <row r="63" spans="2:53">
      <c r="B63" s="474" t="str">
        <f>_xlfn.CONCAT(Tableau119[[#This Row],[Name ILN]],"-",Tableau119[[#This Row],[Name Shipper]],"-",Tableau119[[#This Row],[Name Site]])</f>
        <v>ILN Chennai-ILN Chennai-ORAN</v>
      </c>
      <c r="C63" s="67" t="str">
        <f>_xlfn.CONCAT(Tableau119[[#This Row],[Compte ILN]],"-",Tableau119[[#This Row],[Compte Shipper]],"-",Tableau119[[#This Row],[POL]],"-",Tableau119[[#This Row],[Compte Consignee]])</f>
        <v>2533780546-2533780546-FALSO-90021000</v>
      </c>
      <c r="D63" s="66" t="str">
        <f>_xlfn.CONCAT(Tableau119[[#This Row],[Compte ILN]],"-",Tableau119[[#This Row],[Compte Shipper]],"-",Tableau119[[#This Row],[POL]])</f>
        <v>2533780546-2533780546-FALSO</v>
      </c>
      <c r="E63" s="434" t="str">
        <f>_xlfn.CONCAT(Tableau119[[#This Row],[POL]],"-",Tableau119[[#This Row],[Carrier]],"-",Tableau119[[#This Row],[POD]])</f>
        <v>FALSO-FALSO-FALSO</v>
      </c>
      <c r="F63" s="66" t="str">
        <f>_xlfn.CONCAT(Tableau119[[#This Row],[ID]],"-","Actif")</f>
        <v>17-Actif</v>
      </c>
      <c r="G63" s="66" t="str">
        <f>_xlfn.CONCAT(Tableau119[[#This Row],[POD]],"-",Tableau119[[#This Row],[Code PFI]],"-",Tableau119[[#This Row],[Compte Consignee]])</f>
        <v>FALSO-2839004-90021000</v>
      </c>
      <c r="H6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ChennaiFALSOORAN</v>
      </c>
      <c r="I63" s="434" t="str">
        <f>_xlfn.CONCAT(Tableau119[[#This Row],[ID]],"-",Tableau119[[#This Row],[Expiration Date]])</f>
        <v>17-45412</v>
      </c>
      <c r="J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ORAN-ILN Chennai-ILN Chennai-17-FALSO-FALSO-FALSO-PFI Mioveni-45412</v>
      </c>
      <c r="K63" s="435" t="str">
        <f ca="1">IF(COUNTIF(J:J,Tableau119[[#This Row],[Plant-ILN-shipper-POL-Carrier-POD-PFI]])=1,"Non","Oui")</f>
        <v>Non</v>
      </c>
      <c r="L63" s="128" t="str">
        <f>VLOOKUP(Tableau119[[#This Row],[Name Site]],Plant_AILN!A:D,4,FALSE)</f>
        <v>ALGERIA</v>
      </c>
      <c r="M63" s="411" t="s">
        <v>198</v>
      </c>
      <c r="N63" s="439">
        <f>VLOOKUP(Tableau119[[#This Row],[Name Site]],Plant_AILN!A:C,3,FALSE)</f>
        <v>90021000</v>
      </c>
      <c r="O63" s="55">
        <f>VLOOKUP(Tableau119[[#This Row],[Compte Consignee]],Order!C:D,2,FALSE)</f>
        <v>7</v>
      </c>
      <c r="P63" s="116" t="s">
        <v>149</v>
      </c>
      <c r="Q63" s="365">
        <f>VLOOKUP(Tableau119[[#This Row],[Name ILN]],Plant_AILN!F:G,2,FALSE)</f>
        <v>2533780546</v>
      </c>
      <c r="R63" s="50">
        <f>VLOOKUP(Tableau119[[#This Row],[Compte ILN]],'DATA ILN'!D:I,6,FALSE)</f>
        <v>9</v>
      </c>
      <c r="S63" s="50" t="e">
        <f>IFERROR(VLOOKUP(Tableau119[[#This Row],[Key(Compte ILN - shipper - POL - plant)]],'DATA ILN'!A:J,10,FALSE),VLOOKUP(Tableau119[[#This Row],[Key(Compte ILN - shipper - POL)]],'DATA ILN'!B:J,9,FALSE))</f>
        <v>#N/A</v>
      </c>
      <c r="T63" s="50" t="e">
        <f>IFERROR(VLOOKUP(Tableau119[[#This Row],[Key(Compte ILN - shipper - POL - plant)]],'DATA ILN'!A:K,11,FALSE),VLOOKUP(Tableau119[[#This Row],[Key(Compte ILN - shipper - POL)]],'DATA ILN'!B:K,10,FALSE))</f>
        <v>#N/A</v>
      </c>
      <c r="U63" s="50" t="e">
        <f>IFERROR(VLOOKUP(Tableau119[[#This Row],[Key(Compte ILN - shipper - POL - plant)]],'DATA ILN'!A:L,12,FALSE),VLOOKUP(Tableau119[[#This Row],[Key(Compte ILN - shipper - POL)]],'DATA ILN'!B:L,11,FALSE))</f>
        <v>#N/A</v>
      </c>
      <c r="V63" s="50" t="e">
        <f>Tableau119[[#This Row],[Day ILN Order]]+Tableau119[[#This Row],[Delivery time to ILN/Shipper]]-1</f>
        <v>#N/A</v>
      </c>
      <c r="W63" s="50" t="e">
        <f>IFERROR(VLOOKUP(Tableau119[[#This Row],[Key(Compte ILN - shipper - POL - plant)]],'DATA ILN'!A:N,14,FALSE),VLOOKUP(Tableau119[[#This Row],[Key(Compte ILN - shipper - POL)]],'DATA ILN'!B:N,13,FALSE))</f>
        <v>#N/A</v>
      </c>
      <c r="X63" s="53" t="e">
        <f>IFERROR(VLOOKUP(Tableau119[[#This Row],[Key(Compte ILN - shipper - POL - plant)]],'DATA ILN'!A:P,16,FALSE),VLOOKUP(Tableau119[[#This Row],[Key(Compte ILN - shipper - POL)]],'DATA ILN'!B:P,15,FALSE))</f>
        <v>#N/A</v>
      </c>
      <c r="Y63" s="284" t="s">
        <v>149</v>
      </c>
      <c r="Z63" s="437">
        <f>IFERROR(VLOOKUP(Tableau119[[#This Row],[Name Shipper]],Plant_AILN!L:M,2,FALSE),0)</f>
        <v>2533780546</v>
      </c>
      <c r="AA63" s="406">
        <v>17</v>
      </c>
      <c r="AB63" s="396" t="b">
        <f>_xlfn.XLOOKUP(Tableau119[[#This Row],[Key(ID-date)]],'DATA BTO'!S:S,'DATA BTO'!E:E,FALSE)</f>
        <v>0</v>
      </c>
      <c r="AC63" s="3" t="b">
        <f>_xlfn.XLOOKUP(Tableau119[[#This Row],[Key(ID-date)]],'DATA BTO'!S:S,'DATA BTO'!F:F,FALSE)</f>
        <v>0</v>
      </c>
      <c r="AD63" s="50" t="b">
        <f>_xlfn.XLOOKUP(Tableau119[[#This Row],[Key(ID-date)]],'DATA BTO'!S:S,'DATA BTO'!G:G,FALSE)</f>
        <v>0</v>
      </c>
      <c r="AE63" s="50" t="b">
        <f>_xlfn.XLOOKUP(Tableau119[[#This Row],[Key(ID-date)]],'DATA BTO'!S:S,'DATA BTO'!H:H,FALSE)</f>
        <v>0</v>
      </c>
      <c r="AF63" s="50" t="e">
        <f>IF(Tableau119[[#This Row],[First Day to POL]]&lt;=Tableau119[[#This Row],[Day Cut Off]],Tableau119[[#This Row],[Day ETD]],Tableau119[[#This Row],[Day ETD]]+7)</f>
        <v>#N/A</v>
      </c>
      <c r="AG63" s="50" t="b">
        <f>_xlfn.XLOOKUP(Tableau119[[#This Row],[Key(ID-date)]],'DATA BTO'!S:S,'DATA BTO'!I:I,FALSE)</f>
        <v>0</v>
      </c>
      <c r="AH63" s="3" t="b">
        <f>_xlfn.XLOOKUP(Tableau119[[#This Row],[Key(ID-date)]],'DATA BTO'!S:S,'DATA BTO'!J:J,FALSE)</f>
        <v>0</v>
      </c>
      <c r="AI63" s="3" t="b">
        <f>_xlfn.XLOOKUP(Tableau119[[#This Row],[Key(ID-date)]],'DATA BTO'!S:S,'DATA BTO'!K:K,FALSE)</f>
        <v>0</v>
      </c>
      <c r="AJ63" s="50" t="b">
        <f>_xlfn.XLOOKUP(Tableau119[[#This Row],[Key(ID-date)]],'DATA BTO'!S:S,'DATA BTO'!L:L,FALSE)</f>
        <v>0</v>
      </c>
      <c r="AK63" s="53" t="b">
        <f>_xlfn.XLOOKUP(Tableau119[[#This Row],[Key(ID-date)]],'DATA BTO'!S:S,'DATA BTO'!N:N,FALSE)</f>
        <v>0</v>
      </c>
      <c r="AL63" s="54" t="e">
        <f>VLOOKUP(Tableau119[[#This Row],[Key(POD -PFI- Usine)]],'DATA Consignee'!A:F,6,FALSE)</f>
        <v>#N/A</v>
      </c>
      <c r="AM63" s="127" t="s">
        <v>278</v>
      </c>
      <c r="AN63" s="438">
        <f>IF(Tableau119[[#This Row],[Name PFI/CDD]]="","-",VLOOKUP(Tableau119[[#This Row],[Name PFI/CDD]],Plant_AILN!I:J,2,FALSE))</f>
        <v>2839004</v>
      </c>
      <c r="AO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" s="2" t="e">
        <f>VLOOKUP(Tableau119[[#This Row],[Key(POD -PFI- Usine)]],'DATA Consignee'!A:J,10,FALSE)</f>
        <v>#N/A</v>
      </c>
      <c r="AR63" s="50" t="e">
        <f>VLOOKUP(Tableau119[[#This Row],[Key(POD -PFI- Usine)]],'DATA Consignee'!A:N,14,FALSE)</f>
        <v>#N/A</v>
      </c>
      <c r="AS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" s="50">
        <f>Tableau119[[#This Row],[Transit time]]+Tableau119[[#This Row],[Time for security]]+Tableau119[[#This Row],[Time for security2 buffer]]</f>
        <v>0</v>
      </c>
      <c r="AV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" s="433" t="e">
        <f>Tableau119[[#This Row],[Leadtime SI2C]]+Tableau119[[#This Row],[First Receipt Days]]-Tableau119[[#This Row],[Day Customer Order]]+1</f>
        <v>#N/A</v>
      </c>
      <c r="AX63" s="119" t="e">
        <f>IF(Tableau119[[#This Row],[Name ILN]]&lt;&gt;"SFK Freight Forwarder",Tableau119[[#This Row],[Cust. Leadtime]],Tableau119[[#This Row],[Leadtime SI2C]])</f>
        <v>#N/A</v>
      </c>
      <c r="AY63" s="51" t="b">
        <f>_xlfn.XLOOKUP(Tableau119[[#This Row],[Key(ID-date)]],'DATA BTO'!S:S,'DATA BTO'!P:P,FALSE)</f>
        <v>0</v>
      </c>
      <c r="AZ63" s="338">
        <v>45412</v>
      </c>
      <c r="BA63" s="50"/>
    </row>
    <row r="64" spans="2:53">
      <c r="B64" s="67" t="str">
        <f>_xlfn.CONCAT(Tableau119[[#This Row],[Name ILN]],"-",Tableau119[[#This Row],[Name Shipper]],"-",Tableau119[[#This Row],[Name Site]])</f>
        <v>KWE Shanghai-KWE Shanghai-CORDOBA</v>
      </c>
      <c r="C64" s="67" t="str">
        <f>_xlfn.CONCAT(Tableau119[[#This Row],[Compte ILN]],"-",Tableau119[[#This Row],[Compte Shipper]],"-",Tableau119[[#This Row],[POL]],"-",Tableau119[[#This Row],[Compte Consignee]])</f>
        <v>26037000-26037000-FALSO-90016000</v>
      </c>
      <c r="D64" s="66" t="str">
        <f>_xlfn.CONCAT(Tableau119[[#This Row],[Compte ILN]],"-",Tableau119[[#This Row],[Compte Shipper]],"-",Tableau119[[#This Row],[POL]])</f>
        <v>26037000-26037000-FALSO</v>
      </c>
      <c r="E64" s="434" t="str">
        <f>_xlfn.CONCAT(Tableau119[[#This Row],[POL]],"-",Tableau119[[#This Row],[Carrier]],"-",Tableau119[[#This Row],[POD]])</f>
        <v>FALSO-FALSO-FALSO</v>
      </c>
      <c r="F64" s="66" t="str">
        <f>_xlfn.CONCAT(Tableau119[[#This Row],[ID]],"-","Actif")</f>
        <v>18-Actif</v>
      </c>
      <c r="G64" s="66" t="str">
        <f>_xlfn.CONCAT(Tableau119[[#This Row],[POD]],"-",Tableau119[[#This Row],[Code PFI]],"-",Tableau119[[#This Row],[Compte Consignee]])</f>
        <v>FALSO---90016000</v>
      </c>
      <c r="H6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ShanghaiFALSOCORDOBA</v>
      </c>
      <c r="I64" s="434" t="str">
        <f>_xlfn.CONCAT(Tableau119[[#This Row],[ID]],"-",Tableau119[[#This Row],[Expiration Date]])</f>
        <v>18-46142</v>
      </c>
      <c r="J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CORDOBA-KWE Shanghai-KWE Shanghai-18-FALSO-FALSO-FALSO--46142</v>
      </c>
      <c r="K64" s="435" t="str">
        <f ca="1">IF(COUNTIF(J:J,Tableau119[[#This Row],[Plant-ILN-shipper-POL-Carrier-POD-PFI]])=1,"Non","Oui")</f>
        <v>Non</v>
      </c>
      <c r="L64" s="436" t="str">
        <f>VLOOKUP(Tableau119[[#This Row],[Name Site]],Plant_AILN!A:D,4,FALSE)</f>
        <v>ARGENTINA</v>
      </c>
      <c r="M64" s="285" t="s">
        <v>158</v>
      </c>
      <c r="N64" s="439">
        <f>VLOOKUP(Tableau119[[#This Row],[Name Site]],Plant_AILN!A:C,3,FALSE)</f>
        <v>90016000</v>
      </c>
      <c r="O64" s="55">
        <f>IF(Tableau119[[#This Row],[Name PFI/CDD]]="PFI VLL",2,VLOOKUP(Tableau119[[#This Row],[Compte Consignee]],Order!C:D,2,FALSE))</f>
        <v>7</v>
      </c>
      <c r="P64" s="116" t="s">
        <v>62</v>
      </c>
      <c r="Q64" s="365">
        <f>VLOOKUP(Tableau119[[#This Row],[Name ILN]],Plant_AILN!F:G,2,FALSE)</f>
        <v>26037000</v>
      </c>
      <c r="R64" s="50">
        <f>VLOOKUP(Tableau119[[#This Row],[Compte ILN]],'DATA ILN'!D:I,6,FALSE)</f>
        <v>9</v>
      </c>
      <c r="S64" s="50" t="e">
        <f>IFERROR(VLOOKUP(Tableau119[[#This Row],[Key(Compte ILN - shipper - POL - plant)]],'DATA ILN'!A:J,10,FALSE),VLOOKUP(Tableau119[[#This Row],[Key(Compte ILN - shipper - POL)]],'DATA ILN'!B:J,9,FALSE))</f>
        <v>#N/A</v>
      </c>
      <c r="T64" s="50" t="e">
        <f>IFERROR(VLOOKUP(Tableau119[[#This Row],[Key(Compte ILN - shipper - POL - plant)]],'DATA ILN'!A:K,11,FALSE),VLOOKUP(Tableau119[[#This Row],[Key(Compte ILN - shipper - POL)]],'DATA ILN'!B:K,10,FALSE))</f>
        <v>#N/A</v>
      </c>
      <c r="U64" s="50" t="e">
        <f>IFERROR(VLOOKUP(Tableau119[[#This Row],[Key(Compte ILN - shipper - POL - plant)]],'DATA ILN'!A:L,12,FALSE),VLOOKUP(Tableau119[[#This Row],[Key(Compte ILN - shipper - POL)]],'DATA ILN'!B:L,11,FALSE))</f>
        <v>#N/A</v>
      </c>
      <c r="V64" s="50" t="e">
        <f>Tableau119[[#This Row],[Day ILN Order]]+Tableau119[[#This Row],[Delivery time to ILN/Shipper]]-1</f>
        <v>#N/A</v>
      </c>
      <c r="W64" s="50" t="e">
        <f>IFERROR(VLOOKUP(Tableau119[[#This Row],[Key(Compte ILN - shipper - POL - plant)]],'DATA ILN'!A:N,14,FALSE),VLOOKUP(Tableau119[[#This Row],[Key(Compte ILN - shipper - POL)]],'DATA ILN'!B:N,13,FALSE))</f>
        <v>#N/A</v>
      </c>
      <c r="X64" s="53" t="e">
        <f>IFERROR(VLOOKUP(Tableau119[[#This Row],[Key(Compte ILN - shipper - POL - plant)]],'DATA ILN'!A:P,16,FALSE),VLOOKUP(Tableau119[[#This Row],[Key(Compte ILN - shipper - POL)]],'DATA ILN'!B:P,15,FALSE))</f>
        <v>#N/A</v>
      </c>
      <c r="Y64" s="284" t="s">
        <v>62</v>
      </c>
      <c r="Z64" s="437">
        <f>IFERROR(VLOOKUP(Tableau119[[#This Row],[Name Shipper]],Plant_AILN!L:M,2,FALSE),0)</f>
        <v>26037000</v>
      </c>
      <c r="AA64" s="406">
        <v>18</v>
      </c>
      <c r="AB64" s="396" t="b">
        <f>_xlfn.XLOOKUP(Tableau119[[#This Row],[Key(ID-date)]],'DATA BTO'!S:S,'DATA BTO'!E:E,FALSE)</f>
        <v>0</v>
      </c>
      <c r="AC64" s="3" t="b">
        <f>_xlfn.XLOOKUP(Tableau119[[#This Row],[Key(ID-date)]],'DATA BTO'!S:S,'DATA BTO'!F:F,FALSE)</f>
        <v>0</v>
      </c>
      <c r="AD64" s="50" t="b">
        <f>_xlfn.XLOOKUP(Tableau119[[#This Row],[Key(ID-date)]],'DATA BTO'!S:S,'DATA BTO'!G:G,FALSE)</f>
        <v>0</v>
      </c>
      <c r="AE64" s="50" t="b">
        <f>_xlfn.XLOOKUP(Tableau119[[#This Row],[Key(ID-date)]],'DATA BTO'!S:S,'DATA BTO'!H:H,FALSE)</f>
        <v>0</v>
      </c>
      <c r="AF64" s="50" t="e">
        <f>IF(Tableau119[[#This Row],[First Day to POL]]&lt;=Tableau119[[#This Row],[Day Cut Off]],Tableau119[[#This Row],[Day ETD]],Tableau119[[#This Row],[Day ETD]]+7)</f>
        <v>#N/A</v>
      </c>
      <c r="AG64" s="50" t="b">
        <f>_xlfn.XLOOKUP(Tableau119[[#This Row],[Key(ID-date)]],'DATA BTO'!S:S,'DATA BTO'!I:I,FALSE)</f>
        <v>0</v>
      </c>
      <c r="AH64" s="3" t="b">
        <f>_xlfn.XLOOKUP(Tableau119[[#This Row],[Key(ID-date)]],'DATA BTO'!S:S,'DATA BTO'!J:J,FALSE)</f>
        <v>0</v>
      </c>
      <c r="AI64" s="3" t="b">
        <f>_xlfn.XLOOKUP(Tableau119[[#This Row],[Key(ID-date)]],'DATA BTO'!S:S,'DATA BTO'!K:K,FALSE)</f>
        <v>0</v>
      </c>
      <c r="AJ64" s="50" t="b">
        <f>_xlfn.XLOOKUP(Tableau119[[#This Row],[Key(ID-date)]],'DATA BTO'!S:S,'DATA BTO'!L:L,FALSE)</f>
        <v>0</v>
      </c>
      <c r="AK64" s="53" t="b">
        <f>_xlfn.XLOOKUP(Tableau119[[#This Row],[Key(ID-date)]],'DATA BTO'!S:S,'DATA BTO'!N:N,FALSE)</f>
        <v>0</v>
      </c>
      <c r="AL64" s="54" t="e">
        <f>VLOOKUP(Tableau119[[#This Row],[Key(POD -PFI- Usine)]],'DATA Consignee'!A:F,6,FALSE)</f>
        <v>#N/A</v>
      </c>
      <c r="AM64" s="127"/>
      <c r="AN64" s="438" t="str">
        <f>IF(Tableau119[[#This Row],[Name PFI/CDD]]="","-",VLOOKUP(Tableau119[[#This Row],[Name PFI/CDD]],Plant_AILN!I:J,2,FALSE))</f>
        <v>-</v>
      </c>
      <c r="AO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" s="2" t="e">
        <f>VLOOKUP(Tableau119[[#This Row],[Key(POD -PFI- Usine)]],'DATA Consignee'!A:J,10,FALSE)</f>
        <v>#N/A</v>
      </c>
      <c r="AR64" s="50" t="e">
        <f>VLOOKUP(Tableau119[[#This Row],[Key(POD -PFI- Usine)]],'DATA Consignee'!A:N,14,FALSE)</f>
        <v>#N/A</v>
      </c>
      <c r="AS6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" s="50">
        <f>Tableau119[[#This Row],[Transit time]]+Tableau119[[#This Row],[Time for security]]+Tableau119[[#This Row],[Time for security2 buffer]]</f>
        <v>0</v>
      </c>
      <c r="AV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" s="433" t="e">
        <f>Tableau119[[#This Row],[Leadtime SI2C]]+Tableau119[[#This Row],[First Receipt Days]]-Tableau119[[#This Row],[Day Customer Order]]+1</f>
        <v>#N/A</v>
      </c>
      <c r="AX64" s="119" t="e">
        <f>IF(Tableau119[[#This Row],[Name ILN]]&lt;&gt;"SFK Freight Forwarder",Tableau119[[#This Row],[Cust. Leadtime]],Tableau119[[#This Row],[Leadtime SI2C]])</f>
        <v>#N/A</v>
      </c>
      <c r="AY64" s="51" t="b">
        <f>_xlfn.XLOOKUP(Tableau119[[#This Row],[Key(ID-date)]],'DATA BTO'!S:S,'DATA BTO'!P:P,FALSE)</f>
        <v>0</v>
      </c>
      <c r="AZ64" s="338">
        <v>46142</v>
      </c>
      <c r="BA64" s="50"/>
    </row>
    <row r="65" spans="2:53">
      <c r="B65" s="474" t="str">
        <f>_xlfn.CONCAT(Tableau119[[#This Row],[Name ILN]],"-",Tableau119[[#This Row],[Name Shipper]],"-",Tableau119[[#This Row],[Name Site]])</f>
        <v>KWE Shanghai-KWE Shanghai-CORDOBA</v>
      </c>
      <c r="C65" s="67" t="str">
        <f>_xlfn.CONCAT(Tableau119[[#This Row],[Compte ILN]],"-",Tableau119[[#This Row],[Compte Shipper]],"-",Tableau119[[#This Row],[POL]],"-",Tableau119[[#This Row],[Compte Consignee]])</f>
        <v>26037000-26037000-FALSO-90016000</v>
      </c>
      <c r="D65" s="66" t="str">
        <f>_xlfn.CONCAT(Tableau119[[#This Row],[Compte ILN]],"-",Tableau119[[#This Row],[Compte Shipper]],"-",Tableau119[[#This Row],[POL]])</f>
        <v>26037000-26037000-FALSO</v>
      </c>
      <c r="E65" s="434" t="str">
        <f>_xlfn.CONCAT(Tableau119[[#This Row],[POL]],"-",Tableau119[[#This Row],[Carrier]],"-",Tableau119[[#This Row],[POD]])</f>
        <v>FALSO-FALSO-FALSO</v>
      </c>
      <c r="F65" s="66" t="str">
        <f>_xlfn.CONCAT(Tableau119[[#This Row],[ID]],"-","Actif")</f>
        <v>18-Actif</v>
      </c>
      <c r="G65" s="66" t="str">
        <f>_xlfn.CONCAT(Tableau119[[#This Row],[POD]],"-",Tableau119[[#This Row],[Code PFI]],"-",Tableau119[[#This Row],[Compte Consignee]])</f>
        <v>FALSO---90016000</v>
      </c>
      <c r="H6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ShanghaiFALSOCORDOBA</v>
      </c>
      <c r="I65" s="434" t="str">
        <f>_xlfn.CONCAT(Tableau119[[#This Row],[ID]],"-",Tableau119[[#This Row],[Expiration Date]])</f>
        <v>18-45900</v>
      </c>
      <c r="J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CORDOBA-KWE Shanghai-KWE Shanghai-18-FALSO-FALSO-FALSO--45900</v>
      </c>
      <c r="K65" s="435" t="str">
        <f ca="1">IF(COUNTIF(J:J,Tableau119[[#This Row],[Plant-ILN-shipper-POL-Carrier-POD-PFI]])=1,"Non","Oui")</f>
        <v>Non</v>
      </c>
      <c r="L65" s="128" t="str">
        <f>VLOOKUP(Tableau119[[#This Row],[Name Site]],Plant_AILN!A:D,4,FALSE)</f>
        <v>ARGENTINA</v>
      </c>
      <c r="M65" s="411" t="s">
        <v>158</v>
      </c>
      <c r="N65" s="439">
        <f>VLOOKUP(Tableau119[[#This Row],[Name Site]],Plant_AILN!A:C,3,FALSE)</f>
        <v>90016000</v>
      </c>
      <c r="O65" s="55">
        <f>VLOOKUP(Tableau119[[#This Row],[Compte Consignee]],Order!C:D,2,FALSE)</f>
        <v>7</v>
      </c>
      <c r="P65" s="116" t="s">
        <v>62</v>
      </c>
      <c r="Q65" s="365">
        <f>VLOOKUP(Tableau119[[#This Row],[Name ILN]],Plant_AILN!F:G,2,FALSE)</f>
        <v>26037000</v>
      </c>
      <c r="R65" s="50">
        <f>VLOOKUP(Tableau119[[#This Row],[Compte ILN]],'DATA ILN'!D:I,6,FALSE)</f>
        <v>9</v>
      </c>
      <c r="S65" s="50" t="e">
        <f>IFERROR(VLOOKUP(Tableau119[[#This Row],[Key(Compte ILN - shipper - POL - plant)]],'DATA ILN'!A:J,10,FALSE),VLOOKUP(Tableau119[[#This Row],[Key(Compte ILN - shipper - POL)]],'DATA ILN'!B:J,9,FALSE))</f>
        <v>#N/A</v>
      </c>
      <c r="T65" s="50" t="e">
        <f>IFERROR(VLOOKUP(Tableau119[[#This Row],[Key(Compte ILN - shipper - POL - plant)]],'DATA ILN'!A:K,11,FALSE),VLOOKUP(Tableau119[[#This Row],[Key(Compte ILN - shipper - POL)]],'DATA ILN'!B:K,10,FALSE))</f>
        <v>#N/A</v>
      </c>
      <c r="U65" s="50" t="e">
        <f>IFERROR(VLOOKUP(Tableau119[[#This Row],[Key(Compte ILN - shipper - POL - plant)]],'DATA ILN'!A:L,12,FALSE),VLOOKUP(Tableau119[[#This Row],[Key(Compte ILN - shipper - POL)]],'DATA ILN'!B:L,11,FALSE))</f>
        <v>#N/A</v>
      </c>
      <c r="V65" s="50" t="e">
        <f>Tableau119[[#This Row],[Day ILN Order]]+Tableau119[[#This Row],[Delivery time to ILN/Shipper]]-1</f>
        <v>#N/A</v>
      </c>
      <c r="W65" s="50" t="e">
        <f>IFERROR(VLOOKUP(Tableau119[[#This Row],[Key(Compte ILN - shipper - POL - plant)]],'DATA ILN'!A:N,14,FALSE),VLOOKUP(Tableau119[[#This Row],[Key(Compte ILN - shipper - POL)]],'DATA ILN'!B:N,13,FALSE))</f>
        <v>#N/A</v>
      </c>
      <c r="X65" s="53" t="e">
        <f>IFERROR(VLOOKUP(Tableau119[[#This Row],[Key(Compte ILN - shipper - POL - plant)]],'DATA ILN'!A:P,16,FALSE),VLOOKUP(Tableau119[[#This Row],[Key(Compte ILN - shipper - POL)]],'DATA ILN'!B:P,15,FALSE))</f>
        <v>#N/A</v>
      </c>
      <c r="Y65" s="284" t="s">
        <v>62</v>
      </c>
      <c r="Z65" s="437">
        <f>IFERROR(VLOOKUP(Tableau119[[#This Row],[Name Shipper]],Plant_AILN!L:M,2,FALSE),0)</f>
        <v>26037000</v>
      </c>
      <c r="AA65" s="406">
        <v>18</v>
      </c>
      <c r="AB65" s="396" t="b">
        <f>_xlfn.XLOOKUP(Tableau119[[#This Row],[Key(ID-date)]],'DATA BTO'!S:S,'DATA BTO'!E:E,FALSE)</f>
        <v>0</v>
      </c>
      <c r="AC65" s="3" t="b">
        <f>_xlfn.XLOOKUP(Tableau119[[#This Row],[Key(ID-date)]],'DATA BTO'!S:S,'DATA BTO'!F:F,FALSE)</f>
        <v>0</v>
      </c>
      <c r="AD65" s="50" t="b">
        <f>_xlfn.XLOOKUP(Tableau119[[#This Row],[Key(ID-date)]],'DATA BTO'!S:S,'DATA BTO'!G:G,FALSE)</f>
        <v>0</v>
      </c>
      <c r="AE65" s="50" t="b">
        <f>_xlfn.XLOOKUP(Tableau119[[#This Row],[Key(ID-date)]],'DATA BTO'!S:S,'DATA BTO'!H:H,FALSE)</f>
        <v>0</v>
      </c>
      <c r="AF65" s="50" t="e">
        <f>IF(Tableau119[[#This Row],[First Day to POL]]&lt;=Tableau119[[#This Row],[Day Cut Off]],Tableau119[[#This Row],[Day ETD]],Tableau119[[#This Row],[Day ETD]]+7)</f>
        <v>#N/A</v>
      </c>
      <c r="AG65" s="50" t="b">
        <f>_xlfn.XLOOKUP(Tableau119[[#This Row],[Key(ID-date)]],'DATA BTO'!S:S,'DATA BTO'!I:I,FALSE)</f>
        <v>0</v>
      </c>
      <c r="AH65" s="3" t="b">
        <f>_xlfn.XLOOKUP(Tableau119[[#This Row],[Key(ID-date)]],'DATA BTO'!S:S,'DATA BTO'!J:J,FALSE)</f>
        <v>0</v>
      </c>
      <c r="AI65" s="3" t="b">
        <f>_xlfn.XLOOKUP(Tableau119[[#This Row],[Key(ID-date)]],'DATA BTO'!S:S,'DATA BTO'!K:K,FALSE)</f>
        <v>0</v>
      </c>
      <c r="AJ65" s="50" t="b">
        <f>_xlfn.XLOOKUP(Tableau119[[#This Row],[Key(ID-date)]],'DATA BTO'!S:S,'DATA BTO'!L:L,FALSE)</f>
        <v>0</v>
      </c>
      <c r="AK65" s="53" t="b">
        <f>_xlfn.XLOOKUP(Tableau119[[#This Row],[Key(ID-date)]],'DATA BTO'!S:S,'DATA BTO'!N:N,FALSE)</f>
        <v>0</v>
      </c>
      <c r="AL65" s="54" t="e">
        <f>VLOOKUP(Tableau119[[#This Row],[Key(POD -PFI- Usine)]],'DATA Consignee'!A:F,6,FALSE)</f>
        <v>#N/A</v>
      </c>
      <c r="AM65" s="127"/>
      <c r="AN65" s="438" t="str">
        <f>IF(Tableau119[[#This Row],[Name PFI/CDD]]="","-",VLOOKUP(Tableau119[[#This Row],[Name PFI/CDD]],Plant_AILN!I:J,2,FALSE))</f>
        <v>-</v>
      </c>
      <c r="AO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" s="2" t="e">
        <f>VLOOKUP(Tableau119[[#This Row],[Key(POD -PFI- Usine)]],'DATA Consignee'!A:J,10,FALSE)</f>
        <v>#N/A</v>
      </c>
      <c r="AR65" s="50" t="e">
        <f>VLOOKUP(Tableau119[[#This Row],[Key(POD -PFI- Usine)]],'DATA Consignee'!A:N,14,FALSE)</f>
        <v>#N/A</v>
      </c>
      <c r="AS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" s="50">
        <f>Tableau119[[#This Row],[Transit time]]+Tableau119[[#This Row],[Time for security]]+Tableau119[[#This Row],[Time for security2 buffer]]</f>
        <v>0</v>
      </c>
      <c r="AV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" s="433" t="e">
        <f>Tableau119[[#This Row],[Leadtime SI2C]]+Tableau119[[#This Row],[First Receipt Days]]-Tableau119[[#This Row],[Day Customer Order]]+1</f>
        <v>#N/A</v>
      </c>
      <c r="AX65" s="119" t="e">
        <f>IF(Tableau119[[#This Row],[Name ILN]]&lt;&gt;"SFK Freight Forwarder",Tableau119[[#This Row],[Cust. Leadtime]],Tableau119[[#This Row],[Leadtime SI2C]])</f>
        <v>#N/A</v>
      </c>
      <c r="AY65" s="51" t="b">
        <f>_xlfn.XLOOKUP(Tableau119[[#This Row],[Key(ID-date)]],'DATA BTO'!S:S,'DATA BTO'!P:P,FALSE)</f>
        <v>0</v>
      </c>
      <c r="AZ65" s="338">
        <v>45900</v>
      </c>
      <c r="BA65" s="50"/>
    </row>
    <row r="66" spans="2:53">
      <c r="B66" s="474" t="str">
        <f>_xlfn.CONCAT(Tableau119[[#This Row],[Name ILN]],"-",Tableau119[[#This Row],[Name Shipper]],"-",Tableau119[[#This Row],[Name Site]])</f>
        <v>KWE Shanghai-KWE Shanghai-CORDOBA</v>
      </c>
      <c r="C66" s="67" t="str">
        <f>_xlfn.CONCAT(Tableau119[[#This Row],[Compte ILN]],"-",Tableau119[[#This Row],[Compte Shipper]],"-",Tableau119[[#This Row],[POL]],"-",Tableau119[[#This Row],[Compte Consignee]])</f>
        <v>26037000-26037000-FALSO-90016000</v>
      </c>
      <c r="D66" s="66" t="str">
        <f>_xlfn.CONCAT(Tableau119[[#This Row],[Compte ILN]],"-",Tableau119[[#This Row],[Compte Shipper]],"-",Tableau119[[#This Row],[POL]])</f>
        <v>26037000-26037000-FALSO</v>
      </c>
      <c r="E66" s="434" t="str">
        <f>_xlfn.CONCAT(Tableau119[[#This Row],[POL]],"-",Tableau119[[#This Row],[Carrier]],"-",Tableau119[[#This Row],[POD]])</f>
        <v>FALSO-FALSO-FALSO</v>
      </c>
      <c r="F66" s="66" t="str">
        <f>_xlfn.CONCAT(Tableau119[[#This Row],[ID]],"-","Actif")</f>
        <v>18-Actif</v>
      </c>
      <c r="G66" s="66" t="str">
        <f>_xlfn.CONCAT(Tableau119[[#This Row],[POD]],"-",Tableau119[[#This Row],[Code PFI]],"-",Tableau119[[#This Row],[Compte Consignee]])</f>
        <v>FALSO---90016000</v>
      </c>
      <c r="H6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ShanghaiFALSOCORDOBA</v>
      </c>
      <c r="I66" s="434" t="str">
        <f>_xlfn.CONCAT(Tableau119[[#This Row],[ID]],"-",Tableau119[[#This Row],[Expiration Date]])</f>
        <v>18-45777</v>
      </c>
      <c r="J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CORDOBA-KWE Shanghai-KWE Shanghai-18-FALSO-FALSO-FALSO--45777</v>
      </c>
      <c r="K66" s="435" t="str">
        <f ca="1">IF(COUNTIF(J:J,Tableau119[[#This Row],[Plant-ILN-shipper-POL-Carrier-POD-PFI]])=1,"Non","Oui")</f>
        <v>Non</v>
      </c>
      <c r="L66" s="128" t="str">
        <f>VLOOKUP(Tableau119[[#This Row],[Name Site]],Plant_AILN!A:D,4,FALSE)</f>
        <v>ARGENTINA</v>
      </c>
      <c r="M66" s="411" t="s">
        <v>158</v>
      </c>
      <c r="N66" s="439">
        <f>VLOOKUP(Tableau119[[#This Row],[Name Site]],Plant_AILN!A:C,3,FALSE)</f>
        <v>90016000</v>
      </c>
      <c r="O66" s="55">
        <f>VLOOKUP(Tableau119[[#This Row],[Compte Consignee]],Order!C:D,2,FALSE)</f>
        <v>7</v>
      </c>
      <c r="P66" s="116" t="s">
        <v>62</v>
      </c>
      <c r="Q66" s="365">
        <f>VLOOKUP(Tableau119[[#This Row],[Name ILN]],Plant_AILN!F:G,2,FALSE)</f>
        <v>26037000</v>
      </c>
      <c r="R66" s="50">
        <f>VLOOKUP(Tableau119[[#This Row],[Compte ILN]],'DATA ILN'!D:I,6,FALSE)</f>
        <v>9</v>
      </c>
      <c r="S66" s="50" t="e">
        <f>IFERROR(VLOOKUP(Tableau119[[#This Row],[Key(Compte ILN - shipper - POL - plant)]],'DATA ILN'!A:J,10,FALSE),VLOOKUP(Tableau119[[#This Row],[Key(Compte ILN - shipper - POL)]],'DATA ILN'!B:J,9,FALSE))</f>
        <v>#N/A</v>
      </c>
      <c r="T66" s="50" t="e">
        <f>IFERROR(VLOOKUP(Tableau119[[#This Row],[Key(Compte ILN - shipper - POL - plant)]],'DATA ILN'!A:K,11,FALSE),VLOOKUP(Tableau119[[#This Row],[Key(Compte ILN - shipper - POL)]],'DATA ILN'!B:K,10,FALSE))</f>
        <v>#N/A</v>
      </c>
      <c r="U66" s="50" t="e">
        <f>IFERROR(VLOOKUP(Tableau119[[#This Row],[Key(Compte ILN - shipper - POL - plant)]],'DATA ILN'!A:L,12,FALSE),VLOOKUP(Tableau119[[#This Row],[Key(Compte ILN - shipper - POL)]],'DATA ILN'!B:L,11,FALSE))</f>
        <v>#N/A</v>
      </c>
      <c r="V66" s="50" t="e">
        <f>Tableau119[[#This Row],[Day ILN Order]]+Tableau119[[#This Row],[Delivery time to ILN/Shipper]]-1</f>
        <v>#N/A</v>
      </c>
      <c r="W66" s="50" t="e">
        <f>IFERROR(VLOOKUP(Tableau119[[#This Row],[Key(Compte ILN - shipper - POL - plant)]],'DATA ILN'!A:N,14,FALSE),VLOOKUP(Tableau119[[#This Row],[Key(Compte ILN - shipper - POL)]],'DATA ILN'!B:N,13,FALSE))</f>
        <v>#N/A</v>
      </c>
      <c r="X66" s="53" t="e">
        <f>IFERROR(VLOOKUP(Tableau119[[#This Row],[Key(Compte ILN - shipper - POL - plant)]],'DATA ILN'!A:P,16,FALSE),VLOOKUP(Tableau119[[#This Row],[Key(Compte ILN - shipper - POL)]],'DATA ILN'!B:P,15,FALSE))</f>
        <v>#N/A</v>
      </c>
      <c r="Y66" s="284" t="s">
        <v>62</v>
      </c>
      <c r="Z66" s="437">
        <f>IFERROR(VLOOKUP(Tableau119[[#This Row],[Name Shipper]],Plant_AILN!L:M,2,FALSE),0)</f>
        <v>26037000</v>
      </c>
      <c r="AA66" s="406">
        <v>18</v>
      </c>
      <c r="AB66" s="396" t="b">
        <f>_xlfn.XLOOKUP(Tableau119[[#This Row],[Key(ID-date)]],'DATA BTO'!S:S,'DATA BTO'!E:E,FALSE)</f>
        <v>0</v>
      </c>
      <c r="AC66" s="3" t="b">
        <f>_xlfn.XLOOKUP(Tableau119[[#This Row],[Key(ID-date)]],'DATA BTO'!S:S,'DATA BTO'!F:F,FALSE)</f>
        <v>0</v>
      </c>
      <c r="AD66" s="50" t="b">
        <f>_xlfn.XLOOKUP(Tableau119[[#This Row],[Key(ID-date)]],'DATA BTO'!S:S,'DATA BTO'!G:G,FALSE)</f>
        <v>0</v>
      </c>
      <c r="AE66" s="50" t="b">
        <f>_xlfn.XLOOKUP(Tableau119[[#This Row],[Key(ID-date)]],'DATA BTO'!S:S,'DATA BTO'!H:H,FALSE)</f>
        <v>0</v>
      </c>
      <c r="AF66" s="50" t="e">
        <f>IF(Tableau119[[#This Row],[First Day to POL]]&lt;=Tableau119[[#This Row],[Day Cut Off]],Tableau119[[#This Row],[Day ETD]],Tableau119[[#This Row],[Day ETD]]+7)</f>
        <v>#N/A</v>
      </c>
      <c r="AG66" s="50" t="b">
        <f>_xlfn.XLOOKUP(Tableau119[[#This Row],[Key(ID-date)]],'DATA BTO'!S:S,'DATA BTO'!I:I,FALSE)</f>
        <v>0</v>
      </c>
      <c r="AH66" s="3" t="b">
        <f>_xlfn.XLOOKUP(Tableau119[[#This Row],[Key(ID-date)]],'DATA BTO'!S:S,'DATA BTO'!J:J,FALSE)</f>
        <v>0</v>
      </c>
      <c r="AI66" s="3" t="b">
        <f>_xlfn.XLOOKUP(Tableau119[[#This Row],[Key(ID-date)]],'DATA BTO'!S:S,'DATA BTO'!K:K,FALSE)</f>
        <v>0</v>
      </c>
      <c r="AJ66" s="50" t="b">
        <f>_xlfn.XLOOKUP(Tableau119[[#This Row],[Key(ID-date)]],'DATA BTO'!S:S,'DATA BTO'!L:L,FALSE)</f>
        <v>0</v>
      </c>
      <c r="AK66" s="53" t="b">
        <f>_xlfn.XLOOKUP(Tableau119[[#This Row],[Key(ID-date)]],'DATA BTO'!S:S,'DATA BTO'!N:N,FALSE)</f>
        <v>0</v>
      </c>
      <c r="AL66" s="54" t="e">
        <f>VLOOKUP(Tableau119[[#This Row],[Key(POD -PFI- Usine)]],'DATA Consignee'!A:F,6,FALSE)</f>
        <v>#N/A</v>
      </c>
      <c r="AM66" s="127"/>
      <c r="AN66" s="438" t="str">
        <f>IF(Tableau119[[#This Row],[Name PFI/CDD]]="","-",VLOOKUP(Tableau119[[#This Row],[Name PFI/CDD]],Plant_AILN!I:J,2,FALSE))</f>
        <v>-</v>
      </c>
      <c r="AO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" s="2" t="e">
        <f>VLOOKUP(Tableau119[[#This Row],[Key(POD -PFI- Usine)]],'DATA Consignee'!A:J,10,FALSE)</f>
        <v>#N/A</v>
      </c>
      <c r="AR66" s="50" t="e">
        <f>VLOOKUP(Tableau119[[#This Row],[Key(POD -PFI- Usine)]],'DATA Consignee'!A:N,14,FALSE)</f>
        <v>#N/A</v>
      </c>
      <c r="AS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" s="50">
        <f>Tableau119[[#This Row],[Transit time]]+Tableau119[[#This Row],[Time for security]]+Tableau119[[#This Row],[Time for security2 buffer]]</f>
        <v>0</v>
      </c>
      <c r="AV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" s="433" t="e">
        <f>Tableau119[[#This Row],[Leadtime SI2C]]+Tableau119[[#This Row],[First Receipt Days]]-Tableau119[[#This Row],[Day Customer Order]]+1</f>
        <v>#N/A</v>
      </c>
      <c r="AX66" s="119" t="e">
        <f>IF(Tableau119[[#This Row],[Name ILN]]&lt;&gt;"SFK Freight Forwarder",Tableau119[[#This Row],[Cust. Leadtime]],Tableau119[[#This Row],[Leadtime SI2C]])</f>
        <v>#N/A</v>
      </c>
      <c r="AY66" s="51" t="b">
        <f>_xlfn.XLOOKUP(Tableau119[[#This Row],[Key(ID-date)]],'DATA BTO'!S:S,'DATA BTO'!P:P,FALSE)</f>
        <v>0</v>
      </c>
      <c r="AZ66" s="338">
        <v>45777</v>
      </c>
      <c r="BA66" s="50"/>
    </row>
    <row r="67" spans="2:53">
      <c r="B67" s="474" t="str">
        <f>_xlfn.CONCAT(Tableau119[[#This Row],[Name ILN]],"-",Tableau119[[#This Row],[Name Shipper]],"-",Tableau119[[#This Row],[Name Site]])</f>
        <v>KWE Shanghai-KWE Shanghai-CORDOBA</v>
      </c>
      <c r="C67" s="67" t="str">
        <f>_xlfn.CONCAT(Tableau119[[#This Row],[Compte ILN]],"-",Tableau119[[#This Row],[Compte Shipper]],"-",Tableau119[[#This Row],[POL]],"-",Tableau119[[#This Row],[Compte Consignee]])</f>
        <v>26037000-26037000-FALSO-90016000</v>
      </c>
      <c r="D67" s="66" t="str">
        <f>_xlfn.CONCAT(Tableau119[[#This Row],[Compte ILN]],"-",Tableau119[[#This Row],[Compte Shipper]],"-",Tableau119[[#This Row],[POL]])</f>
        <v>26037000-26037000-FALSO</v>
      </c>
      <c r="E67" s="434" t="str">
        <f>_xlfn.CONCAT(Tableau119[[#This Row],[POL]],"-",Tableau119[[#This Row],[Carrier]],"-",Tableau119[[#This Row],[POD]])</f>
        <v>FALSO-FALSO-FALSO</v>
      </c>
      <c r="F67" s="66" t="str">
        <f>_xlfn.CONCAT(Tableau119[[#This Row],[ID]],"-","Actif")</f>
        <v>18-Actif</v>
      </c>
      <c r="G67" s="66" t="str">
        <f>_xlfn.CONCAT(Tableau119[[#This Row],[POD]],"-",Tableau119[[#This Row],[Code PFI]],"-",Tableau119[[#This Row],[Compte Consignee]])</f>
        <v>FALSO---90016000</v>
      </c>
      <c r="H6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ShanghaiFALSOCORDOBA</v>
      </c>
      <c r="I67" s="434" t="str">
        <f>_xlfn.CONCAT(Tableau119[[#This Row],[ID]],"-",Tableau119[[#This Row],[Expiration Date]])</f>
        <v>18-45412</v>
      </c>
      <c r="J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CORDOBA-KWE Shanghai-KWE Shanghai-18-FALSO-FALSO-FALSO--45412</v>
      </c>
      <c r="K67" s="435" t="str">
        <f ca="1">IF(COUNTIF(J:J,Tableau119[[#This Row],[Plant-ILN-shipper-POL-Carrier-POD-PFI]])=1,"Non","Oui")</f>
        <v>Non</v>
      </c>
      <c r="L67" s="128" t="str">
        <f>VLOOKUP(Tableau119[[#This Row],[Name Site]],Plant_AILN!A:D,4,FALSE)</f>
        <v>ARGENTINA</v>
      </c>
      <c r="M67" s="411" t="s">
        <v>158</v>
      </c>
      <c r="N67" s="439">
        <f>VLOOKUP(Tableau119[[#This Row],[Name Site]],Plant_AILN!A:C,3,FALSE)</f>
        <v>90016000</v>
      </c>
      <c r="O67" s="55">
        <f>VLOOKUP(Tableau119[[#This Row],[Compte Consignee]],Order!C:D,2,FALSE)</f>
        <v>7</v>
      </c>
      <c r="P67" s="116" t="s">
        <v>62</v>
      </c>
      <c r="Q67" s="365">
        <f>VLOOKUP(Tableau119[[#This Row],[Name ILN]],Plant_AILN!F:G,2,FALSE)</f>
        <v>26037000</v>
      </c>
      <c r="R67" s="50">
        <f>VLOOKUP(Tableau119[[#This Row],[Compte ILN]],'DATA ILN'!D:I,6,FALSE)</f>
        <v>9</v>
      </c>
      <c r="S67" s="50" t="e">
        <f>IFERROR(VLOOKUP(Tableau119[[#This Row],[Key(Compte ILN - shipper - POL - plant)]],'DATA ILN'!A:J,10,FALSE),VLOOKUP(Tableau119[[#This Row],[Key(Compte ILN - shipper - POL)]],'DATA ILN'!B:J,9,FALSE))</f>
        <v>#N/A</v>
      </c>
      <c r="T67" s="50" t="e">
        <f>IFERROR(VLOOKUP(Tableau119[[#This Row],[Key(Compte ILN - shipper - POL - plant)]],'DATA ILN'!A:K,11,FALSE),VLOOKUP(Tableau119[[#This Row],[Key(Compte ILN - shipper - POL)]],'DATA ILN'!B:K,10,FALSE))</f>
        <v>#N/A</v>
      </c>
      <c r="U67" s="50" t="e">
        <f>IFERROR(VLOOKUP(Tableau119[[#This Row],[Key(Compte ILN - shipper - POL - plant)]],'DATA ILN'!A:L,12,FALSE),VLOOKUP(Tableau119[[#This Row],[Key(Compte ILN - shipper - POL)]],'DATA ILN'!B:L,11,FALSE))</f>
        <v>#N/A</v>
      </c>
      <c r="V67" s="50" t="e">
        <f>Tableau119[[#This Row],[Day ILN Order]]+Tableau119[[#This Row],[Delivery time to ILN/Shipper]]-1</f>
        <v>#N/A</v>
      </c>
      <c r="W67" s="50" t="e">
        <f>IFERROR(VLOOKUP(Tableau119[[#This Row],[Key(Compte ILN - shipper - POL - plant)]],'DATA ILN'!A:N,14,FALSE),VLOOKUP(Tableau119[[#This Row],[Key(Compte ILN - shipper - POL)]],'DATA ILN'!B:N,13,FALSE))</f>
        <v>#N/A</v>
      </c>
      <c r="X67" s="53" t="e">
        <f>IFERROR(VLOOKUP(Tableau119[[#This Row],[Key(Compte ILN - shipper - POL - plant)]],'DATA ILN'!A:P,16,FALSE),VLOOKUP(Tableau119[[#This Row],[Key(Compte ILN - shipper - POL)]],'DATA ILN'!B:P,15,FALSE))</f>
        <v>#N/A</v>
      </c>
      <c r="Y67" s="284" t="s">
        <v>62</v>
      </c>
      <c r="Z67" s="437">
        <f>IFERROR(VLOOKUP(Tableau119[[#This Row],[Name Shipper]],Plant_AILN!L:M,2,FALSE),0)</f>
        <v>26037000</v>
      </c>
      <c r="AA67" s="406">
        <v>18</v>
      </c>
      <c r="AB67" s="396" t="b">
        <f>_xlfn.XLOOKUP(Tableau119[[#This Row],[Key(ID-date)]],'DATA BTO'!S:S,'DATA BTO'!E:E,FALSE)</f>
        <v>0</v>
      </c>
      <c r="AC67" s="3" t="b">
        <f>_xlfn.XLOOKUP(Tableau119[[#This Row],[Key(ID-date)]],'DATA BTO'!S:S,'DATA BTO'!F:F,FALSE)</f>
        <v>0</v>
      </c>
      <c r="AD67" s="50" t="b">
        <f>_xlfn.XLOOKUP(Tableau119[[#This Row],[Key(ID-date)]],'DATA BTO'!S:S,'DATA BTO'!G:G,FALSE)</f>
        <v>0</v>
      </c>
      <c r="AE67" s="50" t="b">
        <f>_xlfn.XLOOKUP(Tableau119[[#This Row],[Key(ID-date)]],'DATA BTO'!S:S,'DATA BTO'!H:H,FALSE)</f>
        <v>0</v>
      </c>
      <c r="AF67" s="50" t="e">
        <f>IF(Tableau119[[#This Row],[First Day to POL]]&lt;=Tableau119[[#This Row],[Day Cut Off]],Tableau119[[#This Row],[Day ETD]],Tableau119[[#This Row],[Day ETD]]+7)</f>
        <v>#N/A</v>
      </c>
      <c r="AG67" s="50" t="b">
        <f>_xlfn.XLOOKUP(Tableau119[[#This Row],[Key(ID-date)]],'DATA BTO'!S:S,'DATA BTO'!I:I,FALSE)</f>
        <v>0</v>
      </c>
      <c r="AH67" s="3" t="b">
        <f>_xlfn.XLOOKUP(Tableau119[[#This Row],[Key(ID-date)]],'DATA BTO'!S:S,'DATA BTO'!J:J,FALSE)</f>
        <v>0</v>
      </c>
      <c r="AI67" s="3" t="b">
        <f>_xlfn.XLOOKUP(Tableau119[[#This Row],[Key(ID-date)]],'DATA BTO'!S:S,'DATA BTO'!K:K,FALSE)</f>
        <v>0</v>
      </c>
      <c r="AJ67" s="50" t="b">
        <f>_xlfn.XLOOKUP(Tableau119[[#This Row],[Key(ID-date)]],'DATA BTO'!S:S,'DATA BTO'!L:L,FALSE)</f>
        <v>0</v>
      </c>
      <c r="AK67" s="53" t="b">
        <f>_xlfn.XLOOKUP(Tableau119[[#This Row],[Key(ID-date)]],'DATA BTO'!S:S,'DATA BTO'!N:N,FALSE)</f>
        <v>0</v>
      </c>
      <c r="AL67" s="54" t="e">
        <f>VLOOKUP(Tableau119[[#This Row],[Key(POD -PFI- Usine)]],'DATA Consignee'!A:F,6,FALSE)</f>
        <v>#N/A</v>
      </c>
      <c r="AM67" s="127"/>
      <c r="AN67" s="438" t="str">
        <f>IF(Tableau119[[#This Row],[Name PFI/CDD]]="","-",VLOOKUP(Tableau119[[#This Row],[Name PFI/CDD]],Plant_AILN!I:J,2,FALSE))</f>
        <v>-</v>
      </c>
      <c r="AO6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" s="2" t="e">
        <f>VLOOKUP(Tableau119[[#This Row],[Key(POD -PFI- Usine)]],'DATA Consignee'!A:J,10,FALSE)</f>
        <v>#N/A</v>
      </c>
      <c r="AR67" s="50" t="e">
        <f>VLOOKUP(Tableau119[[#This Row],[Key(POD -PFI- Usine)]],'DATA Consignee'!A:N,14,FALSE)</f>
        <v>#N/A</v>
      </c>
      <c r="AS6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" s="50">
        <f>Tableau119[[#This Row],[Transit time]]+Tableau119[[#This Row],[Time for security]]+Tableau119[[#This Row],[Time for security2 buffer]]</f>
        <v>0</v>
      </c>
      <c r="AV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" s="433" t="e">
        <f>Tableau119[[#This Row],[Leadtime SI2C]]+Tableau119[[#This Row],[First Receipt Days]]-Tableau119[[#This Row],[Day Customer Order]]+1</f>
        <v>#N/A</v>
      </c>
      <c r="AX67" s="119" t="e">
        <f>IF(Tableau119[[#This Row],[Name ILN]]&lt;&gt;"SFK Freight Forwarder",Tableau119[[#This Row],[Cust. Leadtime]],Tableau119[[#This Row],[Leadtime SI2C]])</f>
        <v>#N/A</v>
      </c>
      <c r="AY67" s="51" t="b">
        <f>_xlfn.XLOOKUP(Tableau119[[#This Row],[Key(ID-date)]],'DATA BTO'!S:S,'DATA BTO'!P:P,FALSE)</f>
        <v>0</v>
      </c>
      <c r="AZ67" s="338">
        <v>45412</v>
      </c>
      <c r="BA67" s="50"/>
    </row>
    <row r="68" spans="2:53">
      <c r="B68" s="67" t="str">
        <f>_xlfn.CONCAT(Tableau119[[#This Row],[Name ILN]],"-",Tableau119[[#This Row],[Name Shipper]],"-",Tableau119[[#This Row],[Name Site]])</f>
        <v>ILN Bursa-ILN Bursa-CHENNAI Powertrain</v>
      </c>
      <c r="C68" s="67" t="str">
        <f>_xlfn.CONCAT(Tableau119[[#This Row],[Compte ILN]],"-",Tableau119[[#This Row],[Compte Shipper]],"-",Tableau119[[#This Row],[POL]],"-",Tableau119[[#This Row],[Compte Consignee]])</f>
        <v>95112-95112-FALSO-26549500</v>
      </c>
      <c r="D68" s="66" t="str">
        <f>_xlfn.CONCAT(Tableau119[[#This Row],[Compte ILN]],"-",Tableau119[[#This Row],[Compte Shipper]],"-",Tableau119[[#This Row],[POL]])</f>
        <v>95112-95112-FALSO</v>
      </c>
      <c r="E68" s="434" t="str">
        <f>_xlfn.CONCAT(Tableau119[[#This Row],[POL]],"-",Tableau119[[#This Row],[Carrier]],"-",Tableau119[[#This Row],[POD]])</f>
        <v>FALSO-FALSO-FALSO</v>
      </c>
      <c r="F68" s="66" t="str">
        <f>_xlfn.CONCAT(Tableau119[[#This Row],[ID]],"-","Actif")</f>
        <v>20-Actif</v>
      </c>
      <c r="G68" s="66" t="str">
        <f>_xlfn.CONCAT(Tableau119[[#This Row],[POD]],"-",Tableau119[[#This Row],[Code PFI]],"-",Tableau119[[#This Row],[Compte Consignee]])</f>
        <v>FALSO---26549500</v>
      </c>
      <c r="H6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Powertrain</v>
      </c>
      <c r="I68" s="434" t="str">
        <f>_xlfn.CONCAT(Tableau119[[#This Row],[ID]],"-",Tableau119[[#This Row],[Expiration Date]])</f>
        <v>20-46142</v>
      </c>
      <c r="J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Bursa-ILN Bursa-20-FALSO-FALSO-FALSO--46142</v>
      </c>
      <c r="K68" s="435" t="str">
        <f ca="1">IF(COUNTIF(J:J,Tableau119[[#This Row],[Plant-ILN-shipper-POL-Carrier-POD-PFI]])=1,"Non","Oui")</f>
        <v>Non</v>
      </c>
      <c r="L68" s="436" t="str">
        <f>VLOOKUP(Tableau119[[#This Row],[Name Site]],Plant_AILN!A:D,4,FALSE)</f>
        <v>INDIA</v>
      </c>
      <c r="M68" s="285" t="s">
        <v>221</v>
      </c>
      <c r="N68" s="439">
        <f>VLOOKUP(Tableau119[[#This Row],[Name Site]],Plant_AILN!A:C,3,FALSE)</f>
        <v>26549500</v>
      </c>
      <c r="O68" s="55">
        <f>IF(Tableau119[[#This Row],[Name PFI/CDD]]="PFI VLL",2,VLOOKUP(Tableau119[[#This Row],[Compte Consignee]],Order!C:D,2,FALSE))</f>
        <v>5</v>
      </c>
      <c r="P68" s="116" t="s">
        <v>167</v>
      </c>
      <c r="Q68" s="365">
        <f>VLOOKUP(Tableau119[[#This Row],[Name ILN]],Plant_AILN!F:G,2,FALSE)</f>
        <v>95112</v>
      </c>
      <c r="R68" s="50">
        <f>VLOOKUP(Tableau119[[#This Row],[Compte ILN]],'DATA ILN'!D:I,6,FALSE)</f>
        <v>9</v>
      </c>
      <c r="S68" s="50" t="e">
        <f>IFERROR(VLOOKUP(Tableau119[[#This Row],[Key(Compte ILN - shipper - POL - plant)]],'DATA ILN'!A:J,10,FALSE),VLOOKUP(Tableau119[[#This Row],[Key(Compte ILN - shipper - POL)]],'DATA ILN'!B:J,9,FALSE))</f>
        <v>#N/A</v>
      </c>
      <c r="T68" s="50" t="e">
        <f>IFERROR(VLOOKUP(Tableau119[[#This Row],[Key(Compte ILN - shipper - POL - plant)]],'DATA ILN'!A:K,11,FALSE),VLOOKUP(Tableau119[[#This Row],[Key(Compte ILN - shipper - POL)]],'DATA ILN'!B:K,10,FALSE))</f>
        <v>#N/A</v>
      </c>
      <c r="U68" s="50" t="e">
        <f>IFERROR(VLOOKUP(Tableau119[[#This Row],[Key(Compte ILN - shipper - POL - plant)]],'DATA ILN'!A:L,12,FALSE),VLOOKUP(Tableau119[[#This Row],[Key(Compte ILN - shipper - POL)]],'DATA ILN'!B:L,11,FALSE))</f>
        <v>#N/A</v>
      </c>
      <c r="V68" s="50" t="e">
        <f>Tableau119[[#This Row],[Day ILN Order]]+Tableau119[[#This Row],[Delivery time to ILN/Shipper]]-1</f>
        <v>#N/A</v>
      </c>
      <c r="W68" s="50" t="e">
        <f>IFERROR(VLOOKUP(Tableau119[[#This Row],[Key(Compte ILN - shipper - POL - plant)]],'DATA ILN'!A:N,14,FALSE),VLOOKUP(Tableau119[[#This Row],[Key(Compte ILN - shipper - POL)]],'DATA ILN'!B:N,13,FALSE))</f>
        <v>#N/A</v>
      </c>
      <c r="X68" s="53" t="e">
        <f>IFERROR(VLOOKUP(Tableau119[[#This Row],[Key(Compte ILN - shipper - POL - plant)]],'DATA ILN'!A:P,16,FALSE),VLOOKUP(Tableau119[[#This Row],[Key(Compte ILN - shipper - POL)]],'DATA ILN'!B:P,15,FALSE))</f>
        <v>#N/A</v>
      </c>
      <c r="Y68" s="284" t="s">
        <v>167</v>
      </c>
      <c r="Z68" s="437">
        <f>IFERROR(VLOOKUP(Tableau119[[#This Row],[Name Shipper]],Plant_AILN!L:M,2,FALSE),0)</f>
        <v>95112</v>
      </c>
      <c r="AA68" s="406">
        <v>20</v>
      </c>
      <c r="AB68" s="396" t="b">
        <f>_xlfn.XLOOKUP(Tableau119[[#This Row],[Key(ID-date)]],'DATA BTO'!S:S,'DATA BTO'!E:E,FALSE)</f>
        <v>0</v>
      </c>
      <c r="AC68" s="3" t="b">
        <f>_xlfn.XLOOKUP(Tableau119[[#This Row],[Key(ID-date)]],'DATA BTO'!S:S,'DATA BTO'!F:F,FALSE)</f>
        <v>0</v>
      </c>
      <c r="AD68" s="50" t="b">
        <f>_xlfn.XLOOKUP(Tableau119[[#This Row],[Key(ID-date)]],'DATA BTO'!S:S,'DATA BTO'!G:G,FALSE)</f>
        <v>0</v>
      </c>
      <c r="AE68" s="50" t="b">
        <f>_xlfn.XLOOKUP(Tableau119[[#This Row],[Key(ID-date)]],'DATA BTO'!S:S,'DATA BTO'!H:H,FALSE)</f>
        <v>0</v>
      </c>
      <c r="AF68" s="50" t="e">
        <f>IF(Tableau119[[#This Row],[First Day to POL]]&lt;=Tableau119[[#This Row],[Day Cut Off]],Tableau119[[#This Row],[Day ETD]],Tableau119[[#This Row],[Day ETD]]+7)</f>
        <v>#N/A</v>
      </c>
      <c r="AG68" s="50" t="b">
        <f>_xlfn.XLOOKUP(Tableau119[[#This Row],[Key(ID-date)]],'DATA BTO'!S:S,'DATA BTO'!I:I,FALSE)</f>
        <v>0</v>
      </c>
      <c r="AH68" s="3" t="b">
        <f>_xlfn.XLOOKUP(Tableau119[[#This Row],[Key(ID-date)]],'DATA BTO'!S:S,'DATA BTO'!J:J,FALSE)</f>
        <v>0</v>
      </c>
      <c r="AI68" s="3" t="b">
        <f>_xlfn.XLOOKUP(Tableau119[[#This Row],[Key(ID-date)]],'DATA BTO'!S:S,'DATA BTO'!K:K,FALSE)</f>
        <v>0</v>
      </c>
      <c r="AJ68" s="50" t="b">
        <f>_xlfn.XLOOKUP(Tableau119[[#This Row],[Key(ID-date)]],'DATA BTO'!S:S,'DATA BTO'!L:L,FALSE)</f>
        <v>0</v>
      </c>
      <c r="AK68" s="53" t="b">
        <f>_xlfn.XLOOKUP(Tableau119[[#This Row],[Key(ID-date)]],'DATA BTO'!S:S,'DATA BTO'!N:N,FALSE)</f>
        <v>0</v>
      </c>
      <c r="AL68" s="54" t="e">
        <f>VLOOKUP(Tableau119[[#This Row],[Key(POD -PFI- Usine)]],'DATA Consignee'!A:F,6,FALSE)</f>
        <v>#N/A</v>
      </c>
      <c r="AM68" s="127"/>
      <c r="AN68" s="438" t="str">
        <f>IF(Tableau119[[#This Row],[Name PFI/CDD]]="","-",VLOOKUP(Tableau119[[#This Row],[Name PFI/CDD]],Plant_AILN!I:J,2,FALSE))</f>
        <v>-</v>
      </c>
      <c r="AO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" s="2" t="e">
        <f>VLOOKUP(Tableau119[[#This Row],[Key(POD -PFI- Usine)]],'DATA Consignee'!A:J,10,FALSE)</f>
        <v>#N/A</v>
      </c>
      <c r="AR68" s="50" t="e">
        <f>VLOOKUP(Tableau119[[#This Row],[Key(POD -PFI- Usine)]],'DATA Consignee'!A:N,14,FALSE)</f>
        <v>#N/A</v>
      </c>
      <c r="AS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" s="50">
        <f>Tableau119[[#This Row],[Transit time]]+Tableau119[[#This Row],[Time for security]]+Tableau119[[#This Row],[Time for security2 buffer]]</f>
        <v>0</v>
      </c>
      <c r="AV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" s="433" t="e">
        <f>Tableau119[[#This Row],[Leadtime SI2C]]+Tableau119[[#This Row],[First Receipt Days]]-Tableau119[[#This Row],[Day Customer Order]]+1</f>
        <v>#N/A</v>
      </c>
      <c r="AX68" s="119" t="e">
        <f>IF(Tableau119[[#This Row],[Name ILN]]&lt;&gt;"SFK Freight Forwarder",Tableau119[[#This Row],[Cust. Leadtime]],Tableau119[[#This Row],[Leadtime SI2C]])</f>
        <v>#N/A</v>
      </c>
      <c r="AY68" s="51" t="b">
        <f>_xlfn.XLOOKUP(Tableau119[[#This Row],[Key(ID-date)]],'DATA BTO'!S:S,'DATA BTO'!P:P,FALSE)</f>
        <v>0</v>
      </c>
      <c r="AZ68" s="338">
        <v>46142</v>
      </c>
      <c r="BA68" s="50"/>
    </row>
    <row r="69" spans="2:53">
      <c r="B69" s="67" t="str">
        <f>_xlfn.CONCAT(Tableau119[[#This Row],[Name ILN]],"-",Tableau119[[#This Row],[Name Shipper]],"-",Tableau119[[#This Row],[Name Site]])</f>
        <v>ILN Bursa-ILN Bursa-CHENNAI Vehicule</v>
      </c>
      <c r="C69" s="67" t="str">
        <f>_xlfn.CONCAT(Tableau119[[#This Row],[Compte ILN]],"-",Tableau119[[#This Row],[Compte Shipper]],"-",Tableau119[[#This Row],[POL]],"-",Tableau119[[#This Row],[Compte Consignee]])</f>
        <v>95112-95112-FALSO-26549502</v>
      </c>
      <c r="D69" s="66" t="str">
        <f>_xlfn.CONCAT(Tableau119[[#This Row],[Compte ILN]],"-",Tableau119[[#This Row],[Compte Shipper]],"-",Tableau119[[#This Row],[POL]])</f>
        <v>95112-95112-FALSO</v>
      </c>
      <c r="E69" s="434" t="str">
        <f>_xlfn.CONCAT(Tableau119[[#This Row],[POL]],"-",Tableau119[[#This Row],[Carrier]],"-",Tableau119[[#This Row],[POD]])</f>
        <v>FALSO-FALSO-FALSO</v>
      </c>
      <c r="F69" s="66" t="str">
        <f>_xlfn.CONCAT(Tableau119[[#This Row],[ID]],"-","Actif")</f>
        <v>20-Actif</v>
      </c>
      <c r="G69" s="66" t="str">
        <f>_xlfn.CONCAT(Tableau119[[#This Row],[POD]],"-",Tableau119[[#This Row],[Code PFI]],"-",Tableau119[[#This Row],[Compte Consignee]])</f>
        <v>FALSO---26549502</v>
      </c>
      <c r="H6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Vehicule</v>
      </c>
      <c r="I69" s="434" t="str">
        <f>_xlfn.CONCAT(Tableau119[[#This Row],[ID]],"-",Tableau119[[#This Row],[Expiration Date]])</f>
        <v>20-46142</v>
      </c>
      <c r="J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Bursa-ILN Bursa-20-FALSO-FALSO-FALSO--46142</v>
      </c>
      <c r="K69" s="435" t="str">
        <f ca="1">IF(COUNTIF(J:J,Tableau119[[#This Row],[Plant-ILN-shipper-POL-Carrier-POD-PFI]])=1,"Non","Oui")</f>
        <v>Non</v>
      </c>
      <c r="L69" s="436" t="str">
        <f>VLOOKUP(Tableau119[[#This Row],[Name Site]],Plant_AILN!A:D,4,FALSE)</f>
        <v>INDIA</v>
      </c>
      <c r="M69" s="285" t="s">
        <v>159</v>
      </c>
      <c r="N69" s="439">
        <f>VLOOKUP(Tableau119[[#This Row],[Name Site]],Plant_AILN!A:C,3,FALSE)</f>
        <v>26549502</v>
      </c>
      <c r="O69" s="55">
        <f>IF(Tableau119[[#This Row],[Name PFI/CDD]]="PFI VLL",2,VLOOKUP(Tableau119[[#This Row],[Compte Consignee]],Order!C:D,2,FALSE))</f>
        <v>5</v>
      </c>
      <c r="P69" s="116" t="s">
        <v>167</v>
      </c>
      <c r="Q69" s="365">
        <f>VLOOKUP(Tableau119[[#This Row],[Name ILN]],Plant_AILN!F:G,2,FALSE)</f>
        <v>95112</v>
      </c>
      <c r="R69" s="50">
        <f>VLOOKUP(Tableau119[[#This Row],[Compte ILN]],'DATA ILN'!D:I,6,FALSE)</f>
        <v>9</v>
      </c>
      <c r="S69" s="50" t="e">
        <f>IFERROR(VLOOKUP(Tableau119[[#This Row],[Key(Compte ILN - shipper - POL - plant)]],'DATA ILN'!A:J,10,FALSE),VLOOKUP(Tableau119[[#This Row],[Key(Compte ILN - shipper - POL)]],'DATA ILN'!B:J,9,FALSE))</f>
        <v>#N/A</v>
      </c>
      <c r="T69" s="50" t="e">
        <f>IFERROR(VLOOKUP(Tableau119[[#This Row],[Key(Compte ILN - shipper - POL - plant)]],'DATA ILN'!A:K,11,FALSE),VLOOKUP(Tableau119[[#This Row],[Key(Compte ILN - shipper - POL)]],'DATA ILN'!B:K,10,FALSE))</f>
        <v>#N/A</v>
      </c>
      <c r="U69" s="50" t="e">
        <f>IFERROR(VLOOKUP(Tableau119[[#This Row],[Key(Compte ILN - shipper - POL - plant)]],'DATA ILN'!A:L,12,FALSE),VLOOKUP(Tableau119[[#This Row],[Key(Compte ILN - shipper - POL)]],'DATA ILN'!B:L,11,FALSE))</f>
        <v>#N/A</v>
      </c>
      <c r="V69" s="50" t="e">
        <f>Tableau119[[#This Row],[Day ILN Order]]+Tableau119[[#This Row],[Delivery time to ILN/Shipper]]-1</f>
        <v>#N/A</v>
      </c>
      <c r="W69" s="50" t="e">
        <f>IFERROR(VLOOKUP(Tableau119[[#This Row],[Key(Compte ILN - shipper - POL - plant)]],'DATA ILN'!A:N,14,FALSE),VLOOKUP(Tableau119[[#This Row],[Key(Compte ILN - shipper - POL)]],'DATA ILN'!B:N,13,FALSE))</f>
        <v>#N/A</v>
      </c>
      <c r="X69" s="53" t="e">
        <f>IFERROR(VLOOKUP(Tableau119[[#This Row],[Key(Compte ILN - shipper - POL - plant)]],'DATA ILN'!A:P,16,FALSE),VLOOKUP(Tableau119[[#This Row],[Key(Compte ILN - shipper - POL)]],'DATA ILN'!B:P,15,FALSE))</f>
        <v>#N/A</v>
      </c>
      <c r="Y69" s="284" t="s">
        <v>167</v>
      </c>
      <c r="Z69" s="437">
        <f>IFERROR(VLOOKUP(Tableau119[[#This Row],[Name Shipper]],Plant_AILN!L:M,2,FALSE),0)</f>
        <v>95112</v>
      </c>
      <c r="AA69" s="406">
        <v>20</v>
      </c>
      <c r="AB69" s="396" t="b">
        <f>_xlfn.XLOOKUP(Tableau119[[#This Row],[Key(ID-date)]],'DATA BTO'!S:S,'DATA BTO'!E:E,FALSE)</f>
        <v>0</v>
      </c>
      <c r="AC69" s="3" t="b">
        <f>_xlfn.XLOOKUP(Tableau119[[#This Row],[Key(ID-date)]],'DATA BTO'!S:S,'DATA BTO'!F:F,FALSE)</f>
        <v>0</v>
      </c>
      <c r="AD69" s="50" t="b">
        <f>_xlfn.XLOOKUP(Tableau119[[#This Row],[Key(ID-date)]],'DATA BTO'!S:S,'DATA BTO'!G:G,FALSE)</f>
        <v>0</v>
      </c>
      <c r="AE69" s="50" t="b">
        <f>_xlfn.XLOOKUP(Tableau119[[#This Row],[Key(ID-date)]],'DATA BTO'!S:S,'DATA BTO'!H:H,FALSE)</f>
        <v>0</v>
      </c>
      <c r="AF69" s="50" t="e">
        <f>IF(Tableau119[[#This Row],[First Day to POL]]&lt;=Tableau119[[#This Row],[Day Cut Off]],Tableau119[[#This Row],[Day ETD]],Tableau119[[#This Row],[Day ETD]]+7)</f>
        <v>#N/A</v>
      </c>
      <c r="AG69" s="50" t="b">
        <f>_xlfn.XLOOKUP(Tableau119[[#This Row],[Key(ID-date)]],'DATA BTO'!S:S,'DATA BTO'!I:I,FALSE)</f>
        <v>0</v>
      </c>
      <c r="AH69" s="3" t="b">
        <f>_xlfn.XLOOKUP(Tableau119[[#This Row],[Key(ID-date)]],'DATA BTO'!S:S,'DATA BTO'!J:J,FALSE)</f>
        <v>0</v>
      </c>
      <c r="AI69" s="3" t="b">
        <f>_xlfn.XLOOKUP(Tableau119[[#This Row],[Key(ID-date)]],'DATA BTO'!S:S,'DATA BTO'!K:K,FALSE)</f>
        <v>0</v>
      </c>
      <c r="AJ69" s="50" t="b">
        <f>_xlfn.XLOOKUP(Tableau119[[#This Row],[Key(ID-date)]],'DATA BTO'!S:S,'DATA BTO'!L:L,FALSE)</f>
        <v>0</v>
      </c>
      <c r="AK69" s="53" t="b">
        <f>_xlfn.XLOOKUP(Tableau119[[#This Row],[Key(ID-date)]],'DATA BTO'!S:S,'DATA BTO'!N:N,FALSE)</f>
        <v>0</v>
      </c>
      <c r="AL69" s="54" t="e">
        <f>VLOOKUP(Tableau119[[#This Row],[Key(POD -PFI- Usine)]],'DATA Consignee'!A:F,6,FALSE)</f>
        <v>#N/A</v>
      </c>
      <c r="AM69" s="127"/>
      <c r="AN69" s="438" t="str">
        <f>IF(Tableau119[[#This Row],[Name PFI/CDD]]="","-",VLOOKUP(Tableau119[[#This Row],[Name PFI/CDD]],Plant_AILN!I:J,2,FALSE))</f>
        <v>-</v>
      </c>
      <c r="AO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" s="2" t="e">
        <f>VLOOKUP(Tableau119[[#This Row],[Key(POD -PFI- Usine)]],'DATA Consignee'!A:J,10,FALSE)</f>
        <v>#N/A</v>
      </c>
      <c r="AR69" s="50" t="e">
        <f>VLOOKUP(Tableau119[[#This Row],[Key(POD -PFI- Usine)]],'DATA Consignee'!A:N,14,FALSE)</f>
        <v>#N/A</v>
      </c>
      <c r="AS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" s="50">
        <f>Tableau119[[#This Row],[Transit time]]+Tableau119[[#This Row],[Time for security]]+Tableau119[[#This Row],[Time for security2 buffer]]</f>
        <v>0</v>
      </c>
      <c r="AV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" s="433" t="e">
        <f>Tableau119[[#This Row],[Leadtime SI2C]]+Tableau119[[#This Row],[First Receipt Days]]-Tableau119[[#This Row],[Day Customer Order]]+1</f>
        <v>#N/A</v>
      </c>
      <c r="AX69" s="119" t="e">
        <f>IF(Tableau119[[#This Row],[Name ILN]]&lt;&gt;"SFK Freight Forwarder",Tableau119[[#This Row],[Cust. Leadtime]],Tableau119[[#This Row],[Leadtime SI2C]])</f>
        <v>#N/A</v>
      </c>
      <c r="AY69" s="51" t="b">
        <f>_xlfn.XLOOKUP(Tableau119[[#This Row],[Key(ID-date)]],'DATA BTO'!S:S,'DATA BTO'!P:P,FALSE)</f>
        <v>0</v>
      </c>
      <c r="AZ69" s="338">
        <v>46142</v>
      </c>
      <c r="BA69" s="50"/>
    </row>
    <row r="70" spans="2:53">
      <c r="B70" s="474" t="str">
        <f>_xlfn.CONCAT(Tableau119[[#This Row],[Name ILN]],"-",Tableau119[[#This Row],[Name Shipper]],"-",Tableau119[[#This Row],[Name Site]])</f>
        <v>ILN Bursa-ILN Bursa-CHENNAI Powertrain</v>
      </c>
      <c r="C70" s="67" t="str">
        <f>_xlfn.CONCAT(Tableau119[[#This Row],[Compte ILN]],"-",Tableau119[[#This Row],[Compte Shipper]],"-",Tableau119[[#This Row],[POL]],"-",Tableau119[[#This Row],[Compte Consignee]])</f>
        <v>95112-95112-FALSO-26549500</v>
      </c>
      <c r="D70" s="66" t="str">
        <f>_xlfn.CONCAT(Tableau119[[#This Row],[Compte ILN]],"-",Tableau119[[#This Row],[Compte Shipper]],"-",Tableau119[[#This Row],[POL]])</f>
        <v>95112-95112-FALSO</v>
      </c>
      <c r="E70" s="434" t="str">
        <f>_xlfn.CONCAT(Tableau119[[#This Row],[POL]],"-",Tableau119[[#This Row],[Carrier]],"-",Tableau119[[#This Row],[POD]])</f>
        <v>FALSO-FALSO-FALSO</v>
      </c>
      <c r="F70" s="66" t="str">
        <f>_xlfn.CONCAT(Tableau119[[#This Row],[ID]],"-","Actif")</f>
        <v>20-Actif</v>
      </c>
      <c r="G70" s="66" t="str">
        <f>_xlfn.CONCAT(Tableau119[[#This Row],[POD]],"-",Tableau119[[#This Row],[Code PFI]],"-",Tableau119[[#This Row],[Compte Consignee]])</f>
        <v>FALSO---26549500</v>
      </c>
      <c r="H7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Powertrain</v>
      </c>
      <c r="I70" s="434" t="str">
        <f>_xlfn.CONCAT(Tableau119[[#This Row],[ID]],"-",Tableau119[[#This Row],[Expiration Date]])</f>
        <v>20-45777</v>
      </c>
      <c r="J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Bursa-ILN Bursa-20-FALSO-FALSO-FALSO--45777</v>
      </c>
      <c r="K70" s="435" t="str">
        <f ca="1">IF(COUNTIF(J:J,Tableau119[[#This Row],[Plant-ILN-shipper-POL-Carrier-POD-PFI]])=1,"Non","Oui")</f>
        <v>Non</v>
      </c>
      <c r="L70" s="128" t="str">
        <f>VLOOKUP(Tableau119[[#This Row],[Name Site]],Plant_AILN!A:D,4,FALSE)</f>
        <v>INDIA</v>
      </c>
      <c r="M70" s="411" t="s">
        <v>221</v>
      </c>
      <c r="N70" s="439">
        <f>VLOOKUP(Tableau119[[#This Row],[Name Site]],Plant_AILN!A:C,3,FALSE)</f>
        <v>26549500</v>
      </c>
      <c r="O70" s="55">
        <f>VLOOKUP(Tableau119[[#This Row],[Compte Consignee]],Order!C:D,2,FALSE)</f>
        <v>5</v>
      </c>
      <c r="P70" s="116" t="s">
        <v>167</v>
      </c>
      <c r="Q70" s="365">
        <f>VLOOKUP(Tableau119[[#This Row],[Name ILN]],Plant_AILN!F:G,2,FALSE)</f>
        <v>95112</v>
      </c>
      <c r="R70" s="50">
        <f>VLOOKUP(Tableau119[[#This Row],[Compte ILN]],'DATA ILN'!D:I,6,FALSE)</f>
        <v>9</v>
      </c>
      <c r="S70" s="50" t="e">
        <f>IFERROR(VLOOKUP(Tableau119[[#This Row],[Key(Compte ILN - shipper - POL - plant)]],'DATA ILN'!A:J,10,FALSE),VLOOKUP(Tableau119[[#This Row],[Key(Compte ILN - shipper - POL)]],'DATA ILN'!B:J,9,FALSE))</f>
        <v>#N/A</v>
      </c>
      <c r="T70" s="50" t="e">
        <f>IFERROR(VLOOKUP(Tableau119[[#This Row],[Key(Compte ILN - shipper - POL - plant)]],'DATA ILN'!A:K,11,FALSE),VLOOKUP(Tableau119[[#This Row],[Key(Compte ILN - shipper - POL)]],'DATA ILN'!B:K,10,FALSE))</f>
        <v>#N/A</v>
      </c>
      <c r="U70" s="50" t="e">
        <f>IFERROR(VLOOKUP(Tableau119[[#This Row],[Key(Compte ILN - shipper - POL - plant)]],'DATA ILN'!A:L,12,FALSE),VLOOKUP(Tableau119[[#This Row],[Key(Compte ILN - shipper - POL)]],'DATA ILN'!B:L,11,FALSE))</f>
        <v>#N/A</v>
      </c>
      <c r="V70" s="50" t="e">
        <f>Tableau119[[#This Row],[Day ILN Order]]+Tableau119[[#This Row],[Delivery time to ILN/Shipper]]-1</f>
        <v>#N/A</v>
      </c>
      <c r="W70" s="50" t="e">
        <f>IFERROR(VLOOKUP(Tableau119[[#This Row],[Key(Compte ILN - shipper - POL - plant)]],'DATA ILN'!A:N,14,FALSE),VLOOKUP(Tableau119[[#This Row],[Key(Compte ILN - shipper - POL)]],'DATA ILN'!B:N,13,FALSE))</f>
        <v>#N/A</v>
      </c>
      <c r="X70" s="53" t="e">
        <f>IFERROR(VLOOKUP(Tableau119[[#This Row],[Key(Compte ILN - shipper - POL - plant)]],'DATA ILN'!A:P,16,FALSE),VLOOKUP(Tableau119[[#This Row],[Key(Compte ILN - shipper - POL)]],'DATA ILN'!B:P,15,FALSE))</f>
        <v>#N/A</v>
      </c>
      <c r="Y70" s="284" t="s">
        <v>167</v>
      </c>
      <c r="Z70" s="437">
        <f>IFERROR(VLOOKUP(Tableau119[[#This Row],[Name Shipper]],Plant_AILN!L:M,2,FALSE),0)</f>
        <v>95112</v>
      </c>
      <c r="AA70" s="406">
        <v>20</v>
      </c>
      <c r="AB70" s="396" t="b">
        <f>_xlfn.XLOOKUP(Tableau119[[#This Row],[Key(ID-date)]],'DATA BTO'!S:S,'DATA BTO'!E:E,FALSE)</f>
        <v>0</v>
      </c>
      <c r="AC70" s="3" t="b">
        <f>_xlfn.XLOOKUP(Tableau119[[#This Row],[Key(ID-date)]],'DATA BTO'!S:S,'DATA BTO'!F:F,FALSE)</f>
        <v>0</v>
      </c>
      <c r="AD70" s="50" t="b">
        <f>_xlfn.XLOOKUP(Tableau119[[#This Row],[Key(ID-date)]],'DATA BTO'!S:S,'DATA BTO'!G:G,FALSE)</f>
        <v>0</v>
      </c>
      <c r="AE70" s="50" t="b">
        <f>_xlfn.XLOOKUP(Tableau119[[#This Row],[Key(ID-date)]],'DATA BTO'!S:S,'DATA BTO'!H:H,FALSE)</f>
        <v>0</v>
      </c>
      <c r="AF70" s="50" t="e">
        <f>IF(Tableau119[[#This Row],[First Day to POL]]&lt;=Tableau119[[#This Row],[Day Cut Off]],Tableau119[[#This Row],[Day ETD]],Tableau119[[#This Row],[Day ETD]]+7)</f>
        <v>#N/A</v>
      </c>
      <c r="AG70" s="50" t="b">
        <f>_xlfn.XLOOKUP(Tableau119[[#This Row],[Key(ID-date)]],'DATA BTO'!S:S,'DATA BTO'!I:I,FALSE)</f>
        <v>0</v>
      </c>
      <c r="AH70" s="3" t="b">
        <f>_xlfn.XLOOKUP(Tableau119[[#This Row],[Key(ID-date)]],'DATA BTO'!S:S,'DATA BTO'!J:J,FALSE)</f>
        <v>0</v>
      </c>
      <c r="AI70" s="3" t="b">
        <f>_xlfn.XLOOKUP(Tableau119[[#This Row],[Key(ID-date)]],'DATA BTO'!S:S,'DATA BTO'!K:K,FALSE)</f>
        <v>0</v>
      </c>
      <c r="AJ70" s="50" t="b">
        <f>_xlfn.XLOOKUP(Tableau119[[#This Row],[Key(ID-date)]],'DATA BTO'!S:S,'DATA BTO'!L:L,FALSE)</f>
        <v>0</v>
      </c>
      <c r="AK70" s="53" t="b">
        <f>_xlfn.XLOOKUP(Tableau119[[#This Row],[Key(ID-date)]],'DATA BTO'!S:S,'DATA BTO'!N:N,FALSE)</f>
        <v>0</v>
      </c>
      <c r="AL70" s="54" t="e">
        <f>VLOOKUP(Tableau119[[#This Row],[Key(POD -PFI- Usine)]],'DATA Consignee'!A:F,6,FALSE)</f>
        <v>#N/A</v>
      </c>
      <c r="AM70" s="127"/>
      <c r="AN70" s="438" t="str">
        <f>IF(Tableau119[[#This Row],[Name PFI/CDD]]="","-",VLOOKUP(Tableau119[[#This Row],[Name PFI/CDD]],Plant_AILN!I:J,2,FALSE))</f>
        <v>-</v>
      </c>
      <c r="AO7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" s="2" t="e">
        <f>VLOOKUP(Tableau119[[#This Row],[Key(POD -PFI- Usine)]],'DATA Consignee'!A:J,10,FALSE)</f>
        <v>#N/A</v>
      </c>
      <c r="AR70" s="50" t="e">
        <f>VLOOKUP(Tableau119[[#This Row],[Key(POD -PFI- Usine)]],'DATA Consignee'!A:N,14,FALSE)</f>
        <v>#N/A</v>
      </c>
      <c r="AS7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" s="50">
        <f>Tableau119[[#This Row],[Transit time]]+Tableau119[[#This Row],[Time for security]]+Tableau119[[#This Row],[Time for security2 buffer]]</f>
        <v>0</v>
      </c>
      <c r="AV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" s="433" t="e">
        <f>Tableau119[[#This Row],[Leadtime SI2C]]+Tableau119[[#This Row],[First Receipt Days]]-Tableau119[[#This Row],[Day Customer Order]]+1</f>
        <v>#N/A</v>
      </c>
      <c r="AX70" s="119" t="e">
        <f>IF(Tableau119[[#This Row],[Name ILN]]&lt;&gt;"SFK Freight Forwarder",Tableau119[[#This Row],[Cust. Leadtime]],Tableau119[[#This Row],[Leadtime SI2C]])</f>
        <v>#N/A</v>
      </c>
      <c r="AY70" s="51" t="b">
        <f>_xlfn.XLOOKUP(Tableau119[[#This Row],[Key(ID-date)]],'DATA BTO'!S:S,'DATA BTO'!P:P,FALSE)</f>
        <v>0</v>
      </c>
      <c r="AZ70" s="338">
        <v>45777</v>
      </c>
      <c r="BA70" s="50"/>
    </row>
    <row r="71" spans="2:53">
      <c r="B71" s="474" t="str">
        <f>_xlfn.CONCAT(Tableau119[[#This Row],[Name ILN]],"-",Tableau119[[#This Row],[Name Shipper]],"-",Tableau119[[#This Row],[Name Site]])</f>
        <v>ILN Bursa-ILN Bursa-CHENNAI Vehicule</v>
      </c>
      <c r="C71" s="67" t="str">
        <f>_xlfn.CONCAT(Tableau119[[#This Row],[Compte ILN]],"-",Tableau119[[#This Row],[Compte Shipper]],"-",Tableau119[[#This Row],[POL]],"-",Tableau119[[#This Row],[Compte Consignee]])</f>
        <v>95112-95112-FALSO-26549502</v>
      </c>
      <c r="D71" s="66" t="str">
        <f>_xlfn.CONCAT(Tableau119[[#This Row],[Compte ILN]],"-",Tableau119[[#This Row],[Compte Shipper]],"-",Tableau119[[#This Row],[POL]])</f>
        <v>95112-95112-FALSO</v>
      </c>
      <c r="E71" s="434" t="str">
        <f>_xlfn.CONCAT(Tableau119[[#This Row],[POL]],"-",Tableau119[[#This Row],[Carrier]],"-",Tableau119[[#This Row],[POD]])</f>
        <v>FALSO-FALSO-FALSO</v>
      </c>
      <c r="F71" s="66" t="str">
        <f>_xlfn.CONCAT(Tableau119[[#This Row],[ID]],"-","Actif")</f>
        <v>20-Actif</v>
      </c>
      <c r="G71" s="66" t="str">
        <f>_xlfn.CONCAT(Tableau119[[#This Row],[POD]],"-",Tableau119[[#This Row],[Code PFI]],"-",Tableau119[[#This Row],[Compte Consignee]])</f>
        <v>FALSO---26549502</v>
      </c>
      <c r="H7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Vehicule</v>
      </c>
      <c r="I71" s="434" t="str">
        <f>_xlfn.CONCAT(Tableau119[[#This Row],[ID]],"-",Tableau119[[#This Row],[Expiration Date]])</f>
        <v>20-45777</v>
      </c>
      <c r="J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Bursa-ILN Bursa-20-FALSO-FALSO-FALSO--45777</v>
      </c>
      <c r="K71" s="435" t="str">
        <f ca="1">IF(COUNTIF(J:J,Tableau119[[#This Row],[Plant-ILN-shipper-POL-Carrier-POD-PFI]])=1,"Non","Oui")</f>
        <v>Non</v>
      </c>
      <c r="L71" s="128" t="str">
        <f>VLOOKUP(Tableau119[[#This Row],[Name Site]],Plant_AILN!A:D,4,FALSE)</f>
        <v>INDIA</v>
      </c>
      <c r="M71" s="411" t="s">
        <v>159</v>
      </c>
      <c r="N71" s="439">
        <f>VLOOKUP(Tableau119[[#This Row],[Name Site]],Plant_AILN!A:C,3,FALSE)</f>
        <v>26549502</v>
      </c>
      <c r="O71" s="55">
        <f>VLOOKUP(Tableau119[[#This Row],[Compte Consignee]],Order!C:D,2,FALSE)</f>
        <v>5</v>
      </c>
      <c r="P71" s="116" t="s">
        <v>167</v>
      </c>
      <c r="Q71" s="365">
        <f>VLOOKUP(Tableau119[[#This Row],[Name ILN]],Plant_AILN!F:G,2,FALSE)</f>
        <v>95112</v>
      </c>
      <c r="R71" s="50">
        <f>VLOOKUP(Tableau119[[#This Row],[Compte ILN]],'DATA ILN'!D:I,6,FALSE)</f>
        <v>9</v>
      </c>
      <c r="S71" s="50" t="e">
        <f>IFERROR(VLOOKUP(Tableau119[[#This Row],[Key(Compte ILN - shipper - POL - plant)]],'DATA ILN'!A:J,10,FALSE),VLOOKUP(Tableau119[[#This Row],[Key(Compte ILN - shipper - POL)]],'DATA ILN'!B:J,9,FALSE))</f>
        <v>#N/A</v>
      </c>
      <c r="T71" s="50" t="e">
        <f>IFERROR(VLOOKUP(Tableau119[[#This Row],[Key(Compte ILN - shipper - POL - plant)]],'DATA ILN'!A:K,11,FALSE),VLOOKUP(Tableau119[[#This Row],[Key(Compte ILN - shipper - POL)]],'DATA ILN'!B:K,10,FALSE))</f>
        <v>#N/A</v>
      </c>
      <c r="U71" s="50" t="e">
        <f>IFERROR(VLOOKUP(Tableau119[[#This Row],[Key(Compte ILN - shipper - POL - plant)]],'DATA ILN'!A:L,12,FALSE),VLOOKUP(Tableau119[[#This Row],[Key(Compte ILN - shipper - POL)]],'DATA ILN'!B:L,11,FALSE))</f>
        <v>#N/A</v>
      </c>
      <c r="V71" s="50" t="e">
        <f>Tableau119[[#This Row],[Day ILN Order]]+Tableau119[[#This Row],[Delivery time to ILN/Shipper]]-1</f>
        <v>#N/A</v>
      </c>
      <c r="W71" s="50" t="e">
        <f>IFERROR(VLOOKUP(Tableau119[[#This Row],[Key(Compte ILN - shipper - POL - plant)]],'DATA ILN'!A:N,14,FALSE),VLOOKUP(Tableau119[[#This Row],[Key(Compte ILN - shipper - POL)]],'DATA ILN'!B:N,13,FALSE))</f>
        <v>#N/A</v>
      </c>
      <c r="X71" s="53" t="e">
        <f>IFERROR(VLOOKUP(Tableau119[[#This Row],[Key(Compte ILN - shipper - POL - plant)]],'DATA ILN'!A:P,16,FALSE),VLOOKUP(Tableau119[[#This Row],[Key(Compte ILN - shipper - POL)]],'DATA ILN'!B:P,15,FALSE))</f>
        <v>#N/A</v>
      </c>
      <c r="Y71" s="284" t="s">
        <v>167</v>
      </c>
      <c r="Z71" s="437">
        <f>IFERROR(VLOOKUP(Tableau119[[#This Row],[Name Shipper]],Plant_AILN!L:M,2,FALSE),0)</f>
        <v>95112</v>
      </c>
      <c r="AA71" s="406">
        <v>20</v>
      </c>
      <c r="AB71" s="396" t="b">
        <f>_xlfn.XLOOKUP(Tableau119[[#This Row],[Key(ID-date)]],'DATA BTO'!S:S,'DATA BTO'!E:E,FALSE)</f>
        <v>0</v>
      </c>
      <c r="AC71" s="3" t="b">
        <f>_xlfn.XLOOKUP(Tableau119[[#This Row],[Key(ID-date)]],'DATA BTO'!S:S,'DATA BTO'!F:F,FALSE)</f>
        <v>0</v>
      </c>
      <c r="AD71" s="50" t="b">
        <f>_xlfn.XLOOKUP(Tableau119[[#This Row],[Key(ID-date)]],'DATA BTO'!S:S,'DATA BTO'!G:G,FALSE)</f>
        <v>0</v>
      </c>
      <c r="AE71" s="50" t="b">
        <f>_xlfn.XLOOKUP(Tableau119[[#This Row],[Key(ID-date)]],'DATA BTO'!S:S,'DATA BTO'!H:H,FALSE)</f>
        <v>0</v>
      </c>
      <c r="AF71" s="50" t="e">
        <f>IF(Tableau119[[#This Row],[First Day to POL]]&lt;=Tableau119[[#This Row],[Day Cut Off]],Tableau119[[#This Row],[Day ETD]],Tableau119[[#This Row],[Day ETD]]+7)</f>
        <v>#N/A</v>
      </c>
      <c r="AG71" s="50" t="b">
        <f>_xlfn.XLOOKUP(Tableau119[[#This Row],[Key(ID-date)]],'DATA BTO'!S:S,'DATA BTO'!I:I,FALSE)</f>
        <v>0</v>
      </c>
      <c r="AH71" s="3" t="b">
        <f>_xlfn.XLOOKUP(Tableau119[[#This Row],[Key(ID-date)]],'DATA BTO'!S:S,'DATA BTO'!J:J,FALSE)</f>
        <v>0</v>
      </c>
      <c r="AI71" s="3" t="b">
        <f>_xlfn.XLOOKUP(Tableau119[[#This Row],[Key(ID-date)]],'DATA BTO'!S:S,'DATA BTO'!K:K,FALSE)</f>
        <v>0</v>
      </c>
      <c r="AJ71" s="50" t="b">
        <f>_xlfn.XLOOKUP(Tableau119[[#This Row],[Key(ID-date)]],'DATA BTO'!S:S,'DATA BTO'!L:L,FALSE)</f>
        <v>0</v>
      </c>
      <c r="AK71" s="53" t="b">
        <f>_xlfn.XLOOKUP(Tableau119[[#This Row],[Key(ID-date)]],'DATA BTO'!S:S,'DATA BTO'!N:N,FALSE)</f>
        <v>0</v>
      </c>
      <c r="AL71" s="54" t="e">
        <f>VLOOKUP(Tableau119[[#This Row],[Key(POD -PFI- Usine)]],'DATA Consignee'!A:F,6,FALSE)</f>
        <v>#N/A</v>
      </c>
      <c r="AM71" s="127"/>
      <c r="AN71" s="438" t="str">
        <f>IF(Tableau119[[#This Row],[Name PFI/CDD]]="","-",VLOOKUP(Tableau119[[#This Row],[Name PFI/CDD]],Plant_AILN!I:J,2,FALSE))</f>
        <v>-</v>
      </c>
      <c r="AO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" s="2" t="e">
        <f>VLOOKUP(Tableau119[[#This Row],[Key(POD -PFI- Usine)]],'DATA Consignee'!A:J,10,FALSE)</f>
        <v>#N/A</v>
      </c>
      <c r="AR71" s="50" t="e">
        <f>VLOOKUP(Tableau119[[#This Row],[Key(POD -PFI- Usine)]],'DATA Consignee'!A:N,14,FALSE)</f>
        <v>#N/A</v>
      </c>
      <c r="AS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" s="50">
        <f>Tableau119[[#This Row],[Transit time]]+Tableau119[[#This Row],[Time for security]]+Tableau119[[#This Row],[Time for security2 buffer]]</f>
        <v>0</v>
      </c>
      <c r="AV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" s="433" t="e">
        <f>Tableau119[[#This Row],[Leadtime SI2C]]+Tableau119[[#This Row],[First Receipt Days]]-Tableau119[[#This Row],[Day Customer Order]]+1</f>
        <v>#N/A</v>
      </c>
      <c r="AX71" s="119" t="e">
        <f>IF(Tableau119[[#This Row],[Name ILN]]&lt;&gt;"SFK Freight Forwarder",Tableau119[[#This Row],[Cust. Leadtime]],Tableau119[[#This Row],[Leadtime SI2C]])</f>
        <v>#N/A</v>
      </c>
      <c r="AY71" s="51" t="b">
        <f>_xlfn.XLOOKUP(Tableau119[[#This Row],[Key(ID-date)]],'DATA BTO'!S:S,'DATA BTO'!P:P,FALSE)</f>
        <v>0</v>
      </c>
      <c r="AZ71" s="338">
        <v>45777</v>
      </c>
      <c r="BA71" s="50"/>
    </row>
    <row r="72" spans="2:53">
      <c r="B72" s="474" t="str">
        <f>_xlfn.CONCAT(Tableau119[[#This Row],[Name ILN]],"-",Tableau119[[#This Row],[Name Shipper]],"-",Tableau119[[#This Row],[Name Site]])</f>
        <v>ILN Bursa-ILN Bursa-CHENNAI Powertrain</v>
      </c>
      <c r="C72" s="67" t="str">
        <f>_xlfn.CONCAT(Tableau119[[#This Row],[Compte ILN]],"-",Tableau119[[#This Row],[Compte Shipper]],"-",Tableau119[[#This Row],[POL]],"-",Tableau119[[#This Row],[Compte Consignee]])</f>
        <v>95112-95112-FALSO-26549500</v>
      </c>
      <c r="D72" s="66" t="str">
        <f>_xlfn.CONCAT(Tableau119[[#This Row],[Compte ILN]],"-",Tableau119[[#This Row],[Compte Shipper]],"-",Tableau119[[#This Row],[POL]])</f>
        <v>95112-95112-FALSO</v>
      </c>
      <c r="E72" s="434" t="str">
        <f>_xlfn.CONCAT(Tableau119[[#This Row],[POL]],"-",Tableau119[[#This Row],[Carrier]],"-",Tableau119[[#This Row],[POD]])</f>
        <v>FALSO-FALSO-FALSO</v>
      </c>
      <c r="F72" s="66" t="str">
        <f>_xlfn.CONCAT(Tableau119[[#This Row],[ID]],"-","Actif")</f>
        <v>20-Actif</v>
      </c>
      <c r="G72" s="66" t="str">
        <f>_xlfn.CONCAT(Tableau119[[#This Row],[POD]],"-",Tableau119[[#This Row],[Code PFI]],"-",Tableau119[[#This Row],[Compte Consignee]])</f>
        <v>FALSO---26549500</v>
      </c>
      <c r="H7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Powertrain</v>
      </c>
      <c r="I72" s="434" t="str">
        <f>_xlfn.CONCAT(Tableau119[[#This Row],[ID]],"-",Tableau119[[#This Row],[Expiration Date]])</f>
        <v>20-45473</v>
      </c>
      <c r="J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Bursa-ILN Bursa-20-FALSO-FALSO-FALSO--45473</v>
      </c>
      <c r="K72" s="435" t="str">
        <f ca="1">IF(COUNTIF(J:J,Tableau119[[#This Row],[Plant-ILN-shipper-POL-Carrier-POD-PFI]])=1,"Non","Oui")</f>
        <v>Non</v>
      </c>
      <c r="L72" s="128" t="str">
        <f>VLOOKUP(Tableau119[[#This Row],[Name Site]],Plant_AILN!A:D,4,FALSE)</f>
        <v>INDIA</v>
      </c>
      <c r="M72" s="411" t="s">
        <v>221</v>
      </c>
      <c r="N72" s="439">
        <f>VLOOKUP(Tableau119[[#This Row],[Name Site]],Plant_AILN!A:C,3,FALSE)</f>
        <v>26549500</v>
      </c>
      <c r="O72" s="55">
        <f>VLOOKUP(Tableau119[[#This Row],[Compte Consignee]],Order!C:D,2,FALSE)</f>
        <v>5</v>
      </c>
      <c r="P72" s="116" t="s">
        <v>167</v>
      </c>
      <c r="Q72" s="365">
        <f>VLOOKUP(Tableau119[[#This Row],[Name ILN]],Plant_AILN!F:G,2,FALSE)</f>
        <v>95112</v>
      </c>
      <c r="R72" s="50">
        <f>VLOOKUP(Tableau119[[#This Row],[Compte ILN]],'DATA ILN'!D:I,6,FALSE)</f>
        <v>9</v>
      </c>
      <c r="S72" s="50" t="e">
        <f>IFERROR(VLOOKUP(Tableau119[[#This Row],[Key(Compte ILN - shipper - POL - plant)]],'DATA ILN'!A:J,10,FALSE),VLOOKUP(Tableau119[[#This Row],[Key(Compte ILN - shipper - POL)]],'DATA ILN'!B:J,9,FALSE))</f>
        <v>#N/A</v>
      </c>
      <c r="T72" s="50" t="e">
        <f>IFERROR(VLOOKUP(Tableau119[[#This Row],[Key(Compte ILN - shipper - POL - plant)]],'DATA ILN'!A:K,11,FALSE),VLOOKUP(Tableau119[[#This Row],[Key(Compte ILN - shipper - POL)]],'DATA ILN'!B:K,10,FALSE))</f>
        <v>#N/A</v>
      </c>
      <c r="U72" s="50" t="e">
        <f>IFERROR(VLOOKUP(Tableau119[[#This Row],[Key(Compte ILN - shipper - POL - plant)]],'DATA ILN'!A:L,12,FALSE),VLOOKUP(Tableau119[[#This Row],[Key(Compte ILN - shipper - POL)]],'DATA ILN'!B:L,11,FALSE))</f>
        <v>#N/A</v>
      </c>
      <c r="V72" s="50" t="e">
        <f>Tableau119[[#This Row],[Day ILN Order]]+Tableau119[[#This Row],[Delivery time to ILN/Shipper]]-1</f>
        <v>#N/A</v>
      </c>
      <c r="W72" s="50" t="e">
        <f>IFERROR(VLOOKUP(Tableau119[[#This Row],[Key(Compte ILN - shipper - POL - plant)]],'DATA ILN'!A:N,14,FALSE),VLOOKUP(Tableau119[[#This Row],[Key(Compte ILN - shipper - POL)]],'DATA ILN'!B:N,13,FALSE))</f>
        <v>#N/A</v>
      </c>
      <c r="X72" s="53" t="e">
        <f>IFERROR(VLOOKUP(Tableau119[[#This Row],[Key(Compte ILN - shipper - POL - plant)]],'DATA ILN'!A:P,16,FALSE),VLOOKUP(Tableau119[[#This Row],[Key(Compte ILN - shipper - POL)]],'DATA ILN'!B:P,15,FALSE))</f>
        <v>#N/A</v>
      </c>
      <c r="Y72" s="284" t="s">
        <v>167</v>
      </c>
      <c r="Z72" s="437">
        <f>IFERROR(VLOOKUP(Tableau119[[#This Row],[Name Shipper]],Plant_AILN!L:M,2,FALSE),0)</f>
        <v>95112</v>
      </c>
      <c r="AA72" s="406">
        <v>20</v>
      </c>
      <c r="AB72" s="396" t="b">
        <f>_xlfn.XLOOKUP(Tableau119[[#This Row],[Key(ID-date)]],'DATA BTO'!S:S,'DATA BTO'!E:E,FALSE)</f>
        <v>0</v>
      </c>
      <c r="AC72" s="3" t="b">
        <f>_xlfn.XLOOKUP(Tableau119[[#This Row],[Key(ID-date)]],'DATA BTO'!S:S,'DATA BTO'!F:F,FALSE)</f>
        <v>0</v>
      </c>
      <c r="AD72" s="50" t="b">
        <f>_xlfn.XLOOKUP(Tableau119[[#This Row],[Key(ID-date)]],'DATA BTO'!S:S,'DATA BTO'!G:G,FALSE)</f>
        <v>0</v>
      </c>
      <c r="AE72" s="50" t="b">
        <f>_xlfn.XLOOKUP(Tableau119[[#This Row],[Key(ID-date)]],'DATA BTO'!S:S,'DATA BTO'!H:H,FALSE)</f>
        <v>0</v>
      </c>
      <c r="AF72" s="50" t="e">
        <f>IF(Tableau119[[#This Row],[First Day to POL]]&lt;=Tableau119[[#This Row],[Day Cut Off]],Tableau119[[#This Row],[Day ETD]],Tableau119[[#This Row],[Day ETD]]+7)</f>
        <v>#N/A</v>
      </c>
      <c r="AG72" s="50" t="b">
        <f>_xlfn.XLOOKUP(Tableau119[[#This Row],[Key(ID-date)]],'DATA BTO'!S:S,'DATA BTO'!I:I,FALSE)</f>
        <v>0</v>
      </c>
      <c r="AH72" s="3" t="b">
        <f>_xlfn.XLOOKUP(Tableau119[[#This Row],[Key(ID-date)]],'DATA BTO'!S:S,'DATA BTO'!J:J,FALSE)</f>
        <v>0</v>
      </c>
      <c r="AI72" s="3" t="b">
        <f>_xlfn.XLOOKUP(Tableau119[[#This Row],[Key(ID-date)]],'DATA BTO'!S:S,'DATA BTO'!K:K,FALSE)</f>
        <v>0</v>
      </c>
      <c r="AJ72" s="50" t="b">
        <f>_xlfn.XLOOKUP(Tableau119[[#This Row],[Key(ID-date)]],'DATA BTO'!S:S,'DATA BTO'!L:L,FALSE)</f>
        <v>0</v>
      </c>
      <c r="AK72" s="53" t="b">
        <f>_xlfn.XLOOKUP(Tableau119[[#This Row],[Key(ID-date)]],'DATA BTO'!S:S,'DATA BTO'!N:N,FALSE)</f>
        <v>0</v>
      </c>
      <c r="AL72" s="54" t="e">
        <f>VLOOKUP(Tableau119[[#This Row],[Key(POD -PFI- Usine)]],'DATA Consignee'!A:F,6,FALSE)</f>
        <v>#N/A</v>
      </c>
      <c r="AM72" s="127"/>
      <c r="AN72" s="438" t="str">
        <f>IF(Tableau119[[#This Row],[Name PFI/CDD]]="","-",VLOOKUP(Tableau119[[#This Row],[Name PFI/CDD]],Plant_AILN!I:J,2,FALSE))</f>
        <v>-</v>
      </c>
      <c r="AO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" s="2" t="e">
        <f>VLOOKUP(Tableau119[[#This Row],[Key(POD -PFI- Usine)]],'DATA Consignee'!A:J,10,FALSE)</f>
        <v>#N/A</v>
      </c>
      <c r="AR72" s="50" t="e">
        <f>VLOOKUP(Tableau119[[#This Row],[Key(POD -PFI- Usine)]],'DATA Consignee'!A:N,14,FALSE)</f>
        <v>#N/A</v>
      </c>
      <c r="AS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" s="50">
        <f>Tableau119[[#This Row],[Transit time]]+Tableau119[[#This Row],[Time for security]]+Tableau119[[#This Row],[Time for security2 buffer]]</f>
        <v>0</v>
      </c>
      <c r="AV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" s="433" t="e">
        <f>Tableau119[[#This Row],[Leadtime SI2C]]+Tableau119[[#This Row],[First Receipt Days]]-Tableau119[[#This Row],[Day Customer Order]]+1</f>
        <v>#N/A</v>
      </c>
      <c r="AX72" s="119" t="e">
        <f>IF(Tableau119[[#This Row],[Name ILN]]&lt;&gt;"SFK Freight Forwarder",Tableau119[[#This Row],[Cust. Leadtime]],Tableau119[[#This Row],[Leadtime SI2C]])</f>
        <v>#N/A</v>
      </c>
      <c r="AY72" s="51" t="b">
        <f>_xlfn.XLOOKUP(Tableau119[[#This Row],[Key(ID-date)]],'DATA BTO'!S:S,'DATA BTO'!P:P,FALSE)</f>
        <v>0</v>
      </c>
      <c r="AZ72" s="338">
        <v>45473</v>
      </c>
      <c r="BA72" s="50"/>
    </row>
    <row r="73" spans="2:53">
      <c r="B73" s="474" t="str">
        <f>_xlfn.CONCAT(Tableau119[[#This Row],[Name ILN]],"-",Tableau119[[#This Row],[Name Shipper]],"-",Tableau119[[#This Row],[Name Site]])</f>
        <v>ILN Bursa-ILN Bursa-CHENNAI Vehicule</v>
      </c>
      <c r="C73" s="67" t="str">
        <f>_xlfn.CONCAT(Tableau119[[#This Row],[Compte ILN]],"-",Tableau119[[#This Row],[Compte Shipper]],"-",Tableau119[[#This Row],[POL]],"-",Tableau119[[#This Row],[Compte Consignee]])</f>
        <v>95112-95112-FALSO-26549502</v>
      </c>
      <c r="D73" s="66" t="str">
        <f>_xlfn.CONCAT(Tableau119[[#This Row],[Compte ILN]],"-",Tableau119[[#This Row],[Compte Shipper]],"-",Tableau119[[#This Row],[POL]])</f>
        <v>95112-95112-FALSO</v>
      </c>
      <c r="E73" s="434" t="str">
        <f>_xlfn.CONCAT(Tableau119[[#This Row],[POL]],"-",Tableau119[[#This Row],[Carrier]],"-",Tableau119[[#This Row],[POD]])</f>
        <v>FALSO-FALSO-FALSO</v>
      </c>
      <c r="F73" s="66" t="str">
        <f>_xlfn.CONCAT(Tableau119[[#This Row],[ID]],"-","Actif")</f>
        <v>20-Actif</v>
      </c>
      <c r="G73" s="66" t="str">
        <f>_xlfn.CONCAT(Tableau119[[#This Row],[POD]],"-",Tableau119[[#This Row],[Code PFI]],"-",Tableau119[[#This Row],[Compte Consignee]])</f>
        <v>FALSO---26549502</v>
      </c>
      <c r="H7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Vehicule</v>
      </c>
      <c r="I73" s="434" t="str">
        <f>_xlfn.CONCAT(Tableau119[[#This Row],[ID]],"-",Tableau119[[#This Row],[Expiration Date]])</f>
        <v>20-45473</v>
      </c>
      <c r="J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Bursa-ILN Bursa-20-FALSO-FALSO-FALSO--45473</v>
      </c>
      <c r="K73" s="435" t="str">
        <f ca="1">IF(COUNTIF(J:J,Tableau119[[#This Row],[Plant-ILN-shipper-POL-Carrier-POD-PFI]])=1,"Non","Oui")</f>
        <v>Non</v>
      </c>
      <c r="L73" s="128" t="str">
        <f>VLOOKUP(Tableau119[[#This Row],[Name Site]],Plant_AILN!A:D,4,FALSE)</f>
        <v>INDIA</v>
      </c>
      <c r="M73" s="411" t="s">
        <v>159</v>
      </c>
      <c r="N73" s="439">
        <f>VLOOKUP(Tableau119[[#This Row],[Name Site]],Plant_AILN!A:C,3,FALSE)</f>
        <v>26549502</v>
      </c>
      <c r="O73" s="55">
        <f>VLOOKUP(Tableau119[[#This Row],[Compte Consignee]],Order!C:D,2,FALSE)</f>
        <v>5</v>
      </c>
      <c r="P73" s="116" t="s">
        <v>167</v>
      </c>
      <c r="Q73" s="365">
        <f>VLOOKUP(Tableau119[[#This Row],[Name ILN]],Plant_AILN!F:G,2,FALSE)</f>
        <v>95112</v>
      </c>
      <c r="R73" s="50">
        <f>VLOOKUP(Tableau119[[#This Row],[Compte ILN]],'DATA ILN'!D:I,6,FALSE)</f>
        <v>9</v>
      </c>
      <c r="S73" s="50" t="e">
        <f>IFERROR(VLOOKUP(Tableau119[[#This Row],[Key(Compte ILN - shipper - POL - plant)]],'DATA ILN'!A:J,10,FALSE),VLOOKUP(Tableau119[[#This Row],[Key(Compte ILN - shipper - POL)]],'DATA ILN'!B:J,9,FALSE))</f>
        <v>#N/A</v>
      </c>
      <c r="T73" s="50" t="e">
        <f>IFERROR(VLOOKUP(Tableau119[[#This Row],[Key(Compte ILN - shipper - POL - plant)]],'DATA ILN'!A:K,11,FALSE),VLOOKUP(Tableau119[[#This Row],[Key(Compte ILN - shipper - POL)]],'DATA ILN'!B:K,10,FALSE))</f>
        <v>#N/A</v>
      </c>
      <c r="U73" s="50" t="e">
        <f>IFERROR(VLOOKUP(Tableau119[[#This Row],[Key(Compte ILN - shipper - POL - plant)]],'DATA ILN'!A:L,12,FALSE),VLOOKUP(Tableau119[[#This Row],[Key(Compte ILN - shipper - POL)]],'DATA ILN'!B:L,11,FALSE))</f>
        <v>#N/A</v>
      </c>
      <c r="V73" s="50" t="e">
        <f>Tableau119[[#This Row],[Day ILN Order]]+Tableau119[[#This Row],[Delivery time to ILN/Shipper]]-1</f>
        <v>#N/A</v>
      </c>
      <c r="W73" s="50" t="e">
        <f>IFERROR(VLOOKUP(Tableau119[[#This Row],[Key(Compte ILN - shipper - POL - plant)]],'DATA ILN'!A:N,14,FALSE),VLOOKUP(Tableau119[[#This Row],[Key(Compte ILN - shipper - POL)]],'DATA ILN'!B:N,13,FALSE))</f>
        <v>#N/A</v>
      </c>
      <c r="X73" s="53" t="e">
        <f>IFERROR(VLOOKUP(Tableau119[[#This Row],[Key(Compte ILN - shipper - POL - plant)]],'DATA ILN'!A:P,16,FALSE),VLOOKUP(Tableau119[[#This Row],[Key(Compte ILN - shipper - POL)]],'DATA ILN'!B:P,15,FALSE))</f>
        <v>#N/A</v>
      </c>
      <c r="Y73" s="284" t="s">
        <v>167</v>
      </c>
      <c r="Z73" s="437">
        <f>IFERROR(VLOOKUP(Tableau119[[#This Row],[Name Shipper]],Plant_AILN!L:M,2,FALSE),0)</f>
        <v>95112</v>
      </c>
      <c r="AA73" s="406">
        <v>20</v>
      </c>
      <c r="AB73" s="396" t="b">
        <f>_xlfn.XLOOKUP(Tableau119[[#This Row],[Key(ID-date)]],'DATA BTO'!S:S,'DATA BTO'!E:E,FALSE)</f>
        <v>0</v>
      </c>
      <c r="AC73" s="3" t="b">
        <f>_xlfn.XLOOKUP(Tableau119[[#This Row],[Key(ID-date)]],'DATA BTO'!S:S,'DATA BTO'!F:F,FALSE)</f>
        <v>0</v>
      </c>
      <c r="AD73" s="50" t="b">
        <f>_xlfn.XLOOKUP(Tableau119[[#This Row],[Key(ID-date)]],'DATA BTO'!S:S,'DATA BTO'!G:G,FALSE)</f>
        <v>0</v>
      </c>
      <c r="AE73" s="50" t="b">
        <f>_xlfn.XLOOKUP(Tableau119[[#This Row],[Key(ID-date)]],'DATA BTO'!S:S,'DATA BTO'!H:H,FALSE)</f>
        <v>0</v>
      </c>
      <c r="AF73" s="50" t="e">
        <f>IF(Tableau119[[#This Row],[First Day to POL]]&lt;=Tableau119[[#This Row],[Day Cut Off]],Tableau119[[#This Row],[Day ETD]],Tableau119[[#This Row],[Day ETD]]+7)</f>
        <v>#N/A</v>
      </c>
      <c r="AG73" s="50" t="b">
        <f>_xlfn.XLOOKUP(Tableau119[[#This Row],[Key(ID-date)]],'DATA BTO'!S:S,'DATA BTO'!I:I,FALSE)</f>
        <v>0</v>
      </c>
      <c r="AH73" s="3" t="b">
        <f>_xlfn.XLOOKUP(Tableau119[[#This Row],[Key(ID-date)]],'DATA BTO'!S:S,'DATA BTO'!J:J,FALSE)</f>
        <v>0</v>
      </c>
      <c r="AI73" s="3" t="b">
        <f>_xlfn.XLOOKUP(Tableau119[[#This Row],[Key(ID-date)]],'DATA BTO'!S:S,'DATA BTO'!K:K,FALSE)</f>
        <v>0</v>
      </c>
      <c r="AJ73" s="50" t="b">
        <f>_xlfn.XLOOKUP(Tableau119[[#This Row],[Key(ID-date)]],'DATA BTO'!S:S,'DATA BTO'!L:L,FALSE)</f>
        <v>0</v>
      </c>
      <c r="AK73" s="53" t="b">
        <f>_xlfn.XLOOKUP(Tableau119[[#This Row],[Key(ID-date)]],'DATA BTO'!S:S,'DATA BTO'!N:N,FALSE)</f>
        <v>0</v>
      </c>
      <c r="AL73" s="54" t="e">
        <f>VLOOKUP(Tableau119[[#This Row],[Key(POD -PFI- Usine)]],'DATA Consignee'!A:F,6,FALSE)</f>
        <v>#N/A</v>
      </c>
      <c r="AM73" s="127"/>
      <c r="AN73" s="438" t="str">
        <f>IF(Tableau119[[#This Row],[Name PFI/CDD]]="","-",VLOOKUP(Tableau119[[#This Row],[Name PFI/CDD]],Plant_AILN!I:J,2,FALSE))</f>
        <v>-</v>
      </c>
      <c r="AO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" s="2" t="e">
        <f>VLOOKUP(Tableau119[[#This Row],[Key(POD -PFI- Usine)]],'DATA Consignee'!A:J,10,FALSE)</f>
        <v>#N/A</v>
      </c>
      <c r="AR73" s="50" t="e">
        <f>VLOOKUP(Tableau119[[#This Row],[Key(POD -PFI- Usine)]],'DATA Consignee'!A:N,14,FALSE)</f>
        <v>#N/A</v>
      </c>
      <c r="AS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" s="50">
        <f>Tableau119[[#This Row],[Transit time]]+Tableau119[[#This Row],[Time for security]]+Tableau119[[#This Row],[Time for security2 buffer]]</f>
        <v>0</v>
      </c>
      <c r="AV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" s="433" t="e">
        <f>Tableau119[[#This Row],[Leadtime SI2C]]+Tableau119[[#This Row],[First Receipt Days]]-Tableau119[[#This Row],[Day Customer Order]]+1</f>
        <v>#N/A</v>
      </c>
      <c r="AX73" s="119" t="e">
        <f>IF(Tableau119[[#This Row],[Name ILN]]&lt;&gt;"SFK Freight Forwarder",Tableau119[[#This Row],[Cust. Leadtime]],Tableau119[[#This Row],[Leadtime SI2C]])</f>
        <v>#N/A</v>
      </c>
      <c r="AY73" s="51" t="b">
        <f>_xlfn.XLOOKUP(Tableau119[[#This Row],[Key(ID-date)]],'DATA BTO'!S:S,'DATA BTO'!P:P,FALSE)</f>
        <v>0</v>
      </c>
      <c r="AZ73" s="338">
        <v>45473</v>
      </c>
      <c r="BA73" s="50"/>
    </row>
    <row r="74" spans="2:53">
      <c r="B74" s="474" t="str">
        <f>_xlfn.CONCAT(Tableau119[[#This Row],[Name ILN]],"-",Tableau119[[#This Row],[Name Shipper]],"-",Tableau119[[#This Row],[Name Site]])</f>
        <v>ILN Bursa-ILN Bursa-CHENNAI Powertrain</v>
      </c>
      <c r="C74" s="67" t="str">
        <f>_xlfn.CONCAT(Tableau119[[#This Row],[Compte ILN]],"-",Tableau119[[#This Row],[Compte Shipper]],"-",Tableau119[[#This Row],[POL]],"-",Tableau119[[#This Row],[Compte Consignee]])</f>
        <v>95112-95112-FALSO-26549500</v>
      </c>
      <c r="D74" s="66" t="str">
        <f>_xlfn.CONCAT(Tableau119[[#This Row],[Compte ILN]],"-",Tableau119[[#This Row],[Compte Shipper]],"-",Tableau119[[#This Row],[POL]])</f>
        <v>95112-95112-FALSO</v>
      </c>
      <c r="E74" s="434" t="str">
        <f>_xlfn.CONCAT(Tableau119[[#This Row],[POL]],"-",Tableau119[[#This Row],[Carrier]],"-",Tableau119[[#This Row],[POD]])</f>
        <v>FALSO-FALSO-FALSO</v>
      </c>
      <c r="F74" s="66" t="str">
        <f>_xlfn.CONCAT(Tableau119[[#This Row],[ID]],"-","Actif")</f>
        <v>20-Actif</v>
      </c>
      <c r="G74" s="66" t="str">
        <f>_xlfn.CONCAT(Tableau119[[#This Row],[POD]],"-",Tableau119[[#This Row],[Code PFI]],"-",Tableau119[[#This Row],[Compte Consignee]])</f>
        <v>FALSO---26549500</v>
      </c>
      <c r="H7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Powertrain</v>
      </c>
      <c r="I74" s="434" t="str">
        <f>_xlfn.CONCAT(Tableau119[[#This Row],[ID]],"-",Tableau119[[#This Row],[Expiration Date]])</f>
        <v>20-45412</v>
      </c>
      <c r="J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Bursa-ILN Bursa-20-FALSO-FALSO-FALSO--45412</v>
      </c>
      <c r="K74" s="435" t="str">
        <f ca="1">IF(COUNTIF(J:J,Tableau119[[#This Row],[Plant-ILN-shipper-POL-Carrier-POD-PFI]])=1,"Non","Oui")</f>
        <v>Non</v>
      </c>
      <c r="L74" s="128" t="str">
        <f>VLOOKUP(Tableau119[[#This Row],[Name Site]],Plant_AILN!A:D,4,FALSE)</f>
        <v>INDIA</v>
      </c>
      <c r="M74" s="411" t="s">
        <v>221</v>
      </c>
      <c r="N74" s="439">
        <f>VLOOKUP(Tableau119[[#This Row],[Name Site]],Plant_AILN!A:C,3,FALSE)</f>
        <v>26549500</v>
      </c>
      <c r="O74" s="55">
        <f>VLOOKUP(Tableau119[[#This Row],[Compte Consignee]],Order!C:D,2,FALSE)</f>
        <v>5</v>
      </c>
      <c r="P74" s="116" t="s">
        <v>167</v>
      </c>
      <c r="Q74" s="365">
        <f>VLOOKUP(Tableau119[[#This Row],[Name ILN]],Plant_AILN!F:G,2,FALSE)</f>
        <v>95112</v>
      </c>
      <c r="R74" s="50">
        <f>VLOOKUP(Tableau119[[#This Row],[Compte ILN]],'DATA ILN'!D:I,6,FALSE)</f>
        <v>9</v>
      </c>
      <c r="S74" s="50" t="e">
        <f>IFERROR(VLOOKUP(Tableau119[[#This Row],[Key(Compte ILN - shipper - POL - plant)]],'DATA ILN'!A:J,10,FALSE),VLOOKUP(Tableau119[[#This Row],[Key(Compte ILN - shipper - POL)]],'DATA ILN'!B:J,9,FALSE))</f>
        <v>#N/A</v>
      </c>
      <c r="T74" s="50" t="e">
        <f>IFERROR(VLOOKUP(Tableau119[[#This Row],[Key(Compte ILN - shipper - POL - plant)]],'DATA ILN'!A:K,11,FALSE),VLOOKUP(Tableau119[[#This Row],[Key(Compte ILN - shipper - POL)]],'DATA ILN'!B:K,10,FALSE))</f>
        <v>#N/A</v>
      </c>
      <c r="U74" s="50" t="e">
        <f>IFERROR(VLOOKUP(Tableau119[[#This Row],[Key(Compte ILN - shipper - POL - plant)]],'DATA ILN'!A:L,12,FALSE),VLOOKUP(Tableau119[[#This Row],[Key(Compte ILN - shipper - POL)]],'DATA ILN'!B:L,11,FALSE))</f>
        <v>#N/A</v>
      </c>
      <c r="V74" s="50" t="e">
        <f>Tableau119[[#This Row],[Day ILN Order]]+Tableau119[[#This Row],[Delivery time to ILN/Shipper]]-1</f>
        <v>#N/A</v>
      </c>
      <c r="W74" s="50" t="e">
        <f>IFERROR(VLOOKUP(Tableau119[[#This Row],[Key(Compte ILN - shipper - POL - plant)]],'DATA ILN'!A:N,14,FALSE),VLOOKUP(Tableau119[[#This Row],[Key(Compte ILN - shipper - POL)]],'DATA ILN'!B:N,13,FALSE))</f>
        <v>#N/A</v>
      </c>
      <c r="X74" s="53" t="e">
        <f>IFERROR(VLOOKUP(Tableau119[[#This Row],[Key(Compte ILN - shipper - POL - plant)]],'DATA ILN'!A:P,16,FALSE),VLOOKUP(Tableau119[[#This Row],[Key(Compte ILN - shipper - POL)]],'DATA ILN'!B:P,15,FALSE))</f>
        <v>#N/A</v>
      </c>
      <c r="Y74" s="284" t="s">
        <v>167</v>
      </c>
      <c r="Z74" s="437">
        <f>IFERROR(VLOOKUP(Tableau119[[#This Row],[Name Shipper]],Plant_AILN!L:M,2,FALSE),0)</f>
        <v>95112</v>
      </c>
      <c r="AA74" s="406">
        <v>20</v>
      </c>
      <c r="AB74" s="396" t="b">
        <f>_xlfn.XLOOKUP(Tableau119[[#This Row],[Key(ID-date)]],'DATA BTO'!S:S,'DATA BTO'!E:E,FALSE)</f>
        <v>0</v>
      </c>
      <c r="AC74" s="3" t="b">
        <f>_xlfn.XLOOKUP(Tableau119[[#This Row],[Key(ID-date)]],'DATA BTO'!S:S,'DATA BTO'!F:F,FALSE)</f>
        <v>0</v>
      </c>
      <c r="AD74" s="50" t="b">
        <f>_xlfn.XLOOKUP(Tableau119[[#This Row],[Key(ID-date)]],'DATA BTO'!S:S,'DATA BTO'!G:G,FALSE)</f>
        <v>0</v>
      </c>
      <c r="AE74" s="50" t="b">
        <f>_xlfn.XLOOKUP(Tableau119[[#This Row],[Key(ID-date)]],'DATA BTO'!S:S,'DATA BTO'!H:H,FALSE)</f>
        <v>0</v>
      </c>
      <c r="AF74" s="50" t="e">
        <f>IF(Tableau119[[#This Row],[First Day to POL]]&lt;=Tableau119[[#This Row],[Day Cut Off]],Tableau119[[#This Row],[Day ETD]],Tableau119[[#This Row],[Day ETD]]+7)</f>
        <v>#N/A</v>
      </c>
      <c r="AG74" s="50" t="b">
        <f>_xlfn.XLOOKUP(Tableau119[[#This Row],[Key(ID-date)]],'DATA BTO'!S:S,'DATA BTO'!I:I,FALSE)</f>
        <v>0</v>
      </c>
      <c r="AH74" s="3" t="b">
        <f>_xlfn.XLOOKUP(Tableau119[[#This Row],[Key(ID-date)]],'DATA BTO'!S:S,'DATA BTO'!J:J,FALSE)</f>
        <v>0</v>
      </c>
      <c r="AI74" s="3" t="b">
        <f>_xlfn.XLOOKUP(Tableau119[[#This Row],[Key(ID-date)]],'DATA BTO'!S:S,'DATA BTO'!K:K,FALSE)</f>
        <v>0</v>
      </c>
      <c r="AJ74" s="50" t="b">
        <f>_xlfn.XLOOKUP(Tableau119[[#This Row],[Key(ID-date)]],'DATA BTO'!S:S,'DATA BTO'!L:L,FALSE)</f>
        <v>0</v>
      </c>
      <c r="AK74" s="53" t="b">
        <f>_xlfn.XLOOKUP(Tableau119[[#This Row],[Key(ID-date)]],'DATA BTO'!S:S,'DATA BTO'!N:N,FALSE)</f>
        <v>0</v>
      </c>
      <c r="AL74" s="54" t="e">
        <f>VLOOKUP(Tableau119[[#This Row],[Key(POD -PFI- Usine)]],'DATA Consignee'!A:F,6,FALSE)</f>
        <v>#N/A</v>
      </c>
      <c r="AM74" s="127"/>
      <c r="AN74" s="438" t="str">
        <f>IF(Tableau119[[#This Row],[Name PFI/CDD]]="","-",VLOOKUP(Tableau119[[#This Row],[Name PFI/CDD]],Plant_AILN!I:J,2,FALSE))</f>
        <v>-</v>
      </c>
      <c r="AO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" s="2" t="e">
        <f>VLOOKUP(Tableau119[[#This Row],[Key(POD -PFI- Usine)]],'DATA Consignee'!A:J,10,FALSE)</f>
        <v>#N/A</v>
      </c>
      <c r="AR74" s="50" t="e">
        <f>VLOOKUP(Tableau119[[#This Row],[Key(POD -PFI- Usine)]],'DATA Consignee'!A:N,14,FALSE)</f>
        <v>#N/A</v>
      </c>
      <c r="AS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" s="50">
        <f>Tableau119[[#This Row],[Transit time]]+Tableau119[[#This Row],[Time for security]]+Tableau119[[#This Row],[Time for security2 buffer]]</f>
        <v>0</v>
      </c>
      <c r="AV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" s="433" t="e">
        <f>Tableau119[[#This Row],[Leadtime SI2C]]+Tableau119[[#This Row],[First Receipt Days]]-Tableau119[[#This Row],[Day Customer Order]]+1</f>
        <v>#N/A</v>
      </c>
      <c r="AX74" s="119" t="e">
        <f>IF(Tableau119[[#This Row],[Name ILN]]&lt;&gt;"SFK Freight Forwarder",Tableau119[[#This Row],[Cust. Leadtime]],Tableau119[[#This Row],[Leadtime SI2C]])</f>
        <v>#N/A</v>
      </c>
      <c r="AY74" s="51" t="b">
        <f>_xlfn.XLOOKUP(Tableau119[[#This Row],[Key(ID-date)]],'DATA BTO'!S:S,'DATA BTO'!P:P,FALSE)</f>
        <v>0</v>
      </c>
      <c r="AZ74" s="338">
        <v>45412</v>
      </c>
      <c r="BA74" s="50"/>
    </row>
    <row r="75" spans="2:53">
      <c r="B75" s="474" t="str">
        <f>_xlfn.CONCAT(Tableau119[[#This Row],[Name ILN]],"-",Tableau119[[#This Row],[Name Shipper]],"-",Tableau119[[#This Row],[Name Site]])</f>
        <v>ILN Bursa-ILN Bursa-CHENNAI Vehicule</v>
      </c>
      <c r="C75" s="67" t="str">
        <f>_xlfn.CONCAT(Tableau119[[#This Row],[Compte ILN]],"-",Tableau119[[#This Row],[Compte Shipper]],"-",Tableau119[[#This Row],[POL]],"-",Tableau119[[#This Row],[Compte Consignee]])</f>
        <v>95112-95112-FALSO-26549502</v>
      </c>
      <c r="D75" s="66" t="str">
        <f>_xlfn.CONCAT(Tableau119[[#This Row],[Compte ILN]],"-",Tableau119[[#This Row],[Compte Shipper]],"-",Tableau119[[#This Row],[POL]])</f>
        <v>95112-95112-FALSO</v>
      </c>
      <c r="E75" s="130" t="str">
        <f>_xlfn.CONCAT(Tableau119[[#This Row],[POL]],"-",Tableau119[[#This Row],[Carrier]],"-",Tableau119[[#This Row],[POD]])</f>
        <v>FALSO-FALSO-FALSO</v>
      </c>
      <c r="F75" s="66" t="str">
        <f>_xlfn.CONCAT(Tableau119[[#This Row],[ID]],"-","Actif")</f>
        <v>20-Actif</v>
      </c>
      <c r="G75" s="66" t="str">
        <f>_xlfn.CONCAT(Tableau119[[#This Row],[POD]],"-",Tableau119[[#This Row],[Code PFI]],"-",Tableau119[[#This Row],[Compte Consignee]])</f>
        <v>FALSO---26549502</v>
      </c>
      <c r="H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BursaFALSOCHENNAI Vehicule</v>
      </c>
      <c r="I75" s="434" t="str">
        <f>_xlfn.CONCAT(Tableau119[[#This Row],[ID]],"-",Tableau119[[#This Row],[Expiration Date]])</f>
        <v>20-45412</v>
      </c>
      <c r="J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Bursa-ILN Bursa-20-FALSO-FALSO-FALSO--45412</v>
      </c>
      <c r="K75" s="441" t="str">
        <f ca="1">IF(COUNTIF(J:J,Tableau119[[#This Row],[Plant-ILN-shipper-POL-Carrier-POD-PFI]])=1,"Non","Oui")</f>
        <v>Non</v>
      </c>
      <c r="L75" s="128" t="str">
        <f>VLOOKUP(Tableau119[[#This Row],[Name Site]],Plant_AILN!A:D,4,FALSE)</f>
        <v>INDIA</v>
      </c>
      <c r="M75" s="411" t="s">
        <v>159</v>
      </c>
      <c r="N75" s="439">
        <f>VLOOKUP(Tableau119[[#This Row],[Name Site]],Plant_AILN!A:C,3,FALSE)</f>
        <v>26549502</v>
      </c>
      <c r="O75" s="55">
        <f>VLOOKUP(Tableau119[[#This Row],[Compte Consignee]],Order!C:D,2,FALSE)</f>
        <v>5</v>
      </c>
      <c r="P75" s="116" t="s">
        <v>167</v>
      </c>
      <c r="Q75" s="365">
        <f>VLOOKUP(Tableau119[[#This Row],[Name ILN]],Plant_AILN!F:G,2,FALSE)</f>
        <v>95112</v>
      </c>
      <c r="R75" s="50">
        <f>VLOOKUP(Tableau119[[#This Row],[Compte ILN]],'DATA ILN'!D:I,6,FALSE)</f>
        <v>9</v>
      </c>
      <c r="S75" s="50" t="e">
        <f>IFERROR(VLOOKUP(Tableau119[[#This Row],[Key(Compte ILN - shipper - POL - plant)]],'DATA ILN'!A:J,10,FALSE),VLOOKUP(Tableau119[[#This Row],[Key(Compte ILN - shipper - POL)]],'DATA ILN'!B:J,9,FALSE))</f>
        <v>#N/A</v>
      </c>
      <c r="T75" s="50" t="e">
        <f>IFERROR(VLOOKUP(Tableau119[[#This Row],[Key(Compte ILN - shipper - POL - plant)]],'DATA ILN'!A:K,11,FALSE),VLOOKUP(Tableau119[[#This Row],[Key(Compte ILN - shipper - POL)]],'DATA ILN'!B:K,10,FALSE))</f>
        <v>#N/A</v>
      </c>
      <c r="U75" s="50" t="e">
        <f>IFERROR(VLOOKUP(Tableau119[[#This Row],[Key(Compte ILN - shipper - POL - plant)]],'DATA ILN'!A:L,12,FALSE),VLOOKUP(Tableau119[[#This Row],[Key(Compte ILN - shipper - POL)]],'DATA ILN'!B:L,11,FALSE))</f>
        <v>#N/A</v>
      </c>
      <c r="V75" s="50" t="e">
        <f>Tableau119[[#This Row],[Day ILN Order]]+Tableau119[[#This Row],[Delivery time to ILN/Shipper]]-1</f>
        <v>#N/A</v>
      </c>
      <c r="W75" s="50" t="e">
        <f>IFERROR(VLOOKUP(Tableau119[[#This Row],[Key(Compte ILN - shipper - POL - plant)]],'DATA ILN'!A:N,14,FALSE),VLOOKUP(Tableau119[[#This Row],[Key(Compte ILN - shipper - POL)]],'DATA ILN'!B:N,13,FALSE))</f>
        <v>#N/A</v>
      </c>
      <c r="X75" s="53" t="e">
        <f>IFERROR(VLOOKUP(Tableau119[[#This Row],[Key(Compte ILN - shipper - POL - plant)]],'DATA ILN'!A:P,16,FALSE),VLOOKUP(Tableau119[[#This Row],[Key(Compte ILN - shipper - POL)]],'DATA ILN'!B:P,15,FALSE))</f>
        <v>#N/A</v>
      </c>
      <c r="Y75" s="284" t="s">
        <v>167</v>
      </c>
      <c r="Z75" s="437">
        <f>IFERROR(VLOOKUP(Tableau119[[#This Row],[Name Shipper]],Plant_AILN!L:M,2,FALSE),0)</f>
        <v>95112</v>
      </c>
      <c r="AA75" s="406">
        <v>20</v>
      </c>
      <c r="AB75" s="396" t="b">
        <f>_xlfn.XLOOKUP(Tableau119[[#This Row],[Key(ID-date)]],'DATA BTO'!S:S,'DATA BTO'!E:E,FALSE)</f>
        <v>0</v>
      </c>
      <c r="AC75" s="3" t="b">
        <f>_xlfn.XLOOKUP(Tableau119[[#This Row],[Key(ID-date)]],'DATA BTO'!S:S,'DATA BTO'!F:F,FALSE)</f>
        <v>0</v>
      </c>
      <c r="AD75" s="50" t="b">
        <f>_xlfn.XLOOKUP(Tableau119[[#This Row],[Key(ID-date)]],'DATA BTO'!S:S,'DATA BTO'!G:G,FALSE)</f>
        <v>0</v>
      </c>
      <c r="AE75" s="50" t="b">
        <f>_xlfn.XLOOKUP(Tableau119[[#This Row],[Key(ID-date)]],'DATA BTO'!S:S,'DATA BTO'!H:H,FALSE)</f>
        <v>0</v>
      </c>
      <c r="AF75" s="50" t="e">
        <f>IF(Tableau119[[#This Row],[First Day to POL]]&lt;=Tableau119[[#This Row],[Day Cut Off]],Tableau119[[#This Row],[Day ETD]],Tableau119[[#This Row],[Day ETD]]+7)</f>
        <v>#N/A</v>
      </c>
      <c r="AG75" s="50" t="b">
        <f>_xlfn.XLOOKUP(Tableau119[[#This Row],[Key(ID-date)]],'DATA BTO'!S:S,'DATA BTO'!I:I,FALSE)</f>
        <v>0</v>
      </c>
      <c r="AH75" s="3" t="b">
        <f>_xlfn.XLOOKUP(Tableau119[[#This Row],[Key(ID-date)]],'DATA BTO'!S:S,'DATA BTO'!J:J,FALSE)</f>
        <v>0</v>
      </c>
      <c r="AI75" s="3" t="b">
        <f>_xlfn.XLOOKUP(Tableau119[[#This Row],[Key(ID-date)]],'DATA BTO'!S:S,'DATA BTO'!K:K,FALSE)</f>
        <v>0</v>
      </c>
      <c r="AJ75" s="50" t="b">
        <f>_xlfn.XLOOKUP(Tableau119[[#This Row],[Key(ID-date)]],'DATA BTO'!S:S,'DATA BTO'!L:L,FALSE)</f>
        <v>0</v>
      </c>
      <c r="AK75" s="53" t="b">
        <f>_xlfn.XLOOKUP(Tableau119[[#This Row],[Key(ID-date)]],'DATA BTO'!S:S,'DATA BTO'!N:N,FALSE)</f>
        <v>0</v>
      </c>
      <c r="AL75" s="54" t="e">
        <f>VLOOKUP(Tableau119[[#This Row],[Key(POD -PFI- Usine)]],'DATA Consignee'!A:F,6,FALSE)</f>
        <v>#N/A</v>
      </c>
      <c r="AM75" s="127"/>
      <c r="AN75" s="438" t="str">
        <f>IF(Tableau119[[#This Row],[Name PFI/CDD]]="","-",VLOOKUP(Tableau119[[#This Row],[Name PFI/CDD]],Plant_AILN!I:J,2,FALSE))</f>
        <v>-</v>
      </c>
      <c r="AO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" s="2" t="e">
        <f>VLOOKUP(Tableau119[[#This Row],[Key(POD -PFI- Usine)]],'DATA Consignee'!A:J,10,FALSE)</f>
        <v>#N/A</v>
      </c>
      <c r="AR75" s="50" t="e">
        <f>VLOOKUP(Tableau119[[#This Row],[Key(POD -PFI- Usine)]],'DATA Consignee'!A:N,14,FALSE)</f>
        <v>#N/A</v>
      </c>
      <c r="AS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" s="50">
        <f>Tableau119[[#This Row],[Transit time]]+Tableau119[[#This Row],[Time for security]]+Tableau119[[#This Row],[Time for security2 buffer]]</f>
        <v>0</v>
      </c>
      <c r="AV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" s="50" t="e">
        <f>Tableau119[[#This Row],[Leadtime SI2C]]+Tableau119[[#This Row],[First Receipt Days]]-Tableau119[[#This Row],[Day Customer Order]]+1</f>
        <v>#N/A</v>
      </c>
      <c r="AX75" s="119" t="e">
        <f>IF(Tableau119[[#This Row],[Name ILN]]&lt;&gt;"SFK Freight Forwarder",Tableau119[[#This Row],[Cust. Leadtime]],Tableau119[[#This Row],[Leadtime SI2C]])</f>
        <v>#N/A</v>
      </c>
      <c r="AY75" s="51" t="b">
        <f>_xlfn.XLOOKUP(Tableau119[[#This Row],[Key(ID-date)]],'DATA BTO'!S:S,'DATA BTO'!P:P,FALSE)</f>
        <v>0</v>
      </c>
      <c r="AZ75" s="338">
        <v>45412</v>
      </c>
      <c r="BA75" s="50"/>
    </row>
    <row r="76" spans="2:53">
      <c r="B76" s="67" t="str">
        <f>_xlfn.CONCAT(Tableau119[[#This Row],[Name ILN]],"-",Tableau119[[#This Row],[Name Shipper]],"-",Tableau119[[#This Row],[Name Site]])</f>
        <v>ILN Busan-ILN Busan-SOFASA</v>
      </c>
      <c r="C76" s="67" t="str">
        <f>_xlfn.CONCAT(Tableau119[[#This Row],[Compte ILN]],"-",Tableau119[[#This Row],[Compte Shipper]],"-",Tableau119[[#This Row],[POL]],"-",Tableau119[[#This Row],[Compte Consignee]])</f>
        <v>95436-95436-FALSO-9510600</v>
      </c>
      <c r="D76" s="66" t="str">
        <f>_xlfn.CONCAT(Tableau119[[#This Row],[Compte ILN]],"-",Tableau119[[#This Row],[Compte Shipper]],"-",Tableau119[[#This Row],[POL]])</f>
        <v>95436-95436-FALSO</v>
      </c>
      <c r="E76" s="434" t="str">
        <f>_xlfn.CONCAT(Tableau119[[#This Row],[POL]],"-",Tableau119[[#This Row],[Carrier]],"-",Tableau119[[#This Row],[POD]])</f>
        <v>FALSO-FALSO-FALSO</v>
      </c>
      <c r="F76" s="66" t="str">
        <f>_xlfn.CONCAT(Tableau119[[#This Row],[ID]],"-","Actif")</f>
        <v>22-Actif</v>
      </c>
      <c r="G76" s="66" t="str">
        <f>_xlfn.CONCAT(Tableau119[[#This Row],[POD]],"-",Tableau119[[#This Row],[Code PFI]],"-",Tableau119[[#This Row],[Compte Consignee]])</f>
        <v>FALSO---9510600</v>
      </c>
      <c r="H7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BusanFALSOSOFASA</v>
      </c>
      <c r="I76" s="434" t="str">
        <f>_xlfn.CONCAT(Tableau119[[#This Row],[ID]],"-",Tableau119[[#This Row],[Expiration Date]])</f>
        <v>22-46142</v>
      </c>
      <c r="J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Busan-ILN Busan-22-FALSO-FALSO-FALSO--46142</v>
      </c>
      <c r="K76" s="435" t="str">
        <f ca="1">IF(COUNTIF(J:J,Tableau119[[#This Row],[Plant-ILN-shipper-POL-Carrier-POD-PFI]])=1,"Non","Oui")</f>
        <v>Non</v>
      </c>
      <c r="L76" s="436" t="str">
        <f>VLOOKUP(Tableau119[[#This Row],[Name Site]],Plant_AILN!A:D,4,FALSE)</f>
        <v>COLOMBIA</v>
      </c>
      <c r="M76" s="285" t="s">
        <v>177</v>
      </c>
      <c r="N76" s="439">
        <f>VLOOKUP(Tableau119[[#This Row],[Name Site]],Plant_AILN!A:C,3,FALSE)</f>
        <v>9510600</v>
      </c>
      <c r="O76" s="55">
        <f>IF(Tableau119[[#This Row],[Name PFI/CDD]]="PFI VLL",2,VLOOKUP(Tableau119[[#This Row],[Compte Consignee]],Order!C:D,2,FALSE))</f>
        <v>7</v>
      </c>
      <c r="P76" s="116" t="s">
        <v>166</v>
      </c>
      <c r="Q76" s="365">
        <f>VLOOKUP(Tableau119[[#This Row],[Name ILN]],Plant_AILN!F:G,2,FALSE)</f>
        <v>95436</v>
      </c>
      <c r="R76" s="50">
        <f>VLOOKUP(Tableau119[[#This Row],[Compte ILN]],'DATA ILN'!D:I,6,FALSE)</f>
        <v>9</v>
      </c>
      <c r="S76" s="50" t="e">
        <f>IFERROR(VLOOKUP(Tableau119[[#This Row],[Key(Compte ILN - shipper - POL - plant)]],'DATA ILN'!A:J,10,FALSE),VLOOKUP(Tableau119[[#This Row],[Key(Compte ILN - shipper - POL)]],'DATA ILN'!B:J,9,FALSE))</f>
        <v>#N/A</v>
      </c>
      <c r="T76" s="50" t="e">
        <f>IFERROR(VLOOKUP(Tableau119[[#This Row],[Key(Compte ILN - shipper - POL - plant)]],'DATA ILN'!A:K,11,FALSE),VLOOKUP(Tableau119[[#This Row],[Key(Compte ILN - shipper - POL)]],'DATA ILN'!B:K,10,FALSE))</f>
        <v>#N/A</v>
      </c>
      <c r="U76" s="50" t="e">
        <f>IFERROR(VLOOKUP(Tableau119[[#This Row],[Key(Compte ILN - shipper - POL - plant)]],'DATA ILN'!A:L,12,FALSE),VLOOKUP(Tableau119[[#This Row],[Key(Compte ILN - shipper - POL)]],'DATA ILN'!B:L,11,FALSE))</f>
        <v>#N/A</v>
      </c>
      <c r="V76" s="50" t="e">
        <f>Tableau119[[#This Row],[Day ILN Order]]+Tableau119[[#This Row],[Delivery time to ILN/Shipper]]-1</f>
        <v>#N/A</v>
      </c>
      <c r="W76" s="50" t="e">
        <f>IFERROR(VLOOKUP(Tableau119[[#This Row],[Key(Compte ILN - shipper - POL - plant)]],'DATA ILN'!A:N,14,FALSE),VLOOKUP(Tableau119[[#This Row],[Key(Compte ILN - shipper - POL)]],'DATA ILN'!B:N,13,FALSE))</f>
        <v>#N/A</v>
      </c>
      <c r="X76" s="53" t="e">
        <f>IFERROR(VLOOKUP(Tableau119[[#This Row],[Key(Compte ILN - shipper - POL - plant)]],'DATA ILN'!A:P,16,FALSE),VLOOKUP(Tableau119[[#This Row],[Key(Compte ILN - shipper - POL)]],'DATA ILN'!B:P,15,FALSE))</f>
        <v>#N/A</v>
      </c>
      <c r="Y76" s="284" t="s">
        <v>166</v>
      </c>
      <c r="Z76" s="437">
        <f>IFERROR(VLOOKUP(Tableau119[[#This Row],[Name Shipper]],Plant_AILN!L:M,2,FALSE),0)</f>
        <v>95436</v>
      </c>
      <c r="AA76" s="406">
        <v>22</v>
      </c>
      <c r="AB76" s="396" t="b">
        <f>_xlfn.XLOOKUP(Tableau119[[#This Row],[Key(ID-date)]],'DATA BTO'!S:S,'DATA BTO'!E:E,FALSE)</f>
        <v>0</v>
      </c>
      <c r="AC76" s="3" t="b">
        <f>_xlfn.XLOOKUP(Tableau119[[#This Row],[Key(ID-date)]],'DATA BTO'!S:S,'DATA BTO'!F:F,FALSE)</f>
        <v>0</v>
      </c>
      <c r="AD76" s="50" t="b">
        <f>_xlfn.XLOOKUP(Tableau119[[#This Row],[Key(ID-date)]],'DATA BTO'!S:S,'DATA BTO'!G:G,FALSE)</f>
        <v>0</v>
      </c>
      <c r="AE76" s="50" t="b">
        <f>_xlfn.XLOOKUP(Tableau119[[#This Row],[Key(ID-date)]],'DATA BTO'!S:S,'DATA BTO'!H:H,FALSE)</f>
        <v>0</v>
      </c>
      <c r="AF76" s="50" t="e">
        <f>IF(Tableau119[[#This Row],[First Day to POL]]&lt;=Tableau119[[#This Row],[Day Cut Off]],Tableau119[[#This Row],[Day ETD]],Tableau119[[#This Row],[Day ETD]]+7)</f>
        <v>#N/A</v>
      </c>
      <c r="AG76" s="50" t="b">
        <f>_xlfn.XLOOKUP(Tableau119[[#This Row],[Key(ID-date)]],'DATA BTO'!S:S,'DATA BTO'!I:I,FALSE)</f>
        <v>0</v>
      </c>
      <c r="AH76" s="3" t="b">
        <f>_xlfn.XLOOKUP(Tableau119[[#This Row],[Key(ID-date)]],'DATA BTO'!S:S,'DATA BTO'!J:J,FALSE)</f>
        <v>0</v>
      </c>
      <c r="AI76" s="3" t="b">
        <f>_xlfn.XLOOKUP(Tableau119[[#This Row],[Key(ID-date)]],'DATA BTO'!S:S,'DATA BTO'!K:K,FALSE)</f>
        <v>0</v>
      </c>
      <c r="AJ76" s="50" t="b">
        <f>_xlfn.XLOOKUP(Tableau119[[#This Row],[Key(ID-date)]],'DATA BTO'!S:S,'DATA BTO'!L:L,FALSE)</f>
        <v>0</v>
      </c>
      <c r="AK76" s="53" t="b">
        <f>_xlfn.XLOOKUP(Tableau119[[#This Row],[Key(ID-date)]],'DATA BTO'!S:S,'DATA BTO'!N:N,FALSE)</f>
        <v>0</v>
      </c>
      <c r="AL76" s="54" t="e">
        <f>VLOOKUP(Tableau119[[#This Row],[Key(POD -PFI- Usine)]],'DATA Consignee'!A:F,6,FALSE)</f>
        <v>#N/A</v>
      </c>
      <c r="AM76" s="127"/>
      <c r="AN76" s="438" t="str">
        <f>IF(Tableau119[[#This Row],[Name PFI/CDD]]="","-",VLOOKUP(Tableau119[[#This Row],[Name PFI/CDD]],Plant_AILN!I:J,2,FALSE))</f>
        <v>-</v>
      </c>
      <c r="AO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" s="2" t="e">
        <f>VLOOKUP(Tableau119[[#This Row],[Key(POD -PFI- Usine)]],'DATA Consignee'!A:J,10,FALSE)</f>
        <v>#N/A</v>
      </c>
      <c r="AR76" s="50" t="e">
        <f>VLOOKUP(Tableau119[[#This Row],[Key(POD -PFI- Usine)]],'DATA Consignee'!A:N,14,FALSE)</f>
        <v>#N/A</v>
      </c>
      <c r="AS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" s="50">
        <f>Tableau119[[#This Row],[Transit time]]+Tableau119[[#This Row],[Time for security]]+Tableau119[[#This Row],[Time for security2 buffer]]</f>
        <v>0</v>
      </c>
      <c r="AV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" s="433" t="e">
        <f>Tableau119[[#This Row],[Leadtime SI2C]]+Tableau119[[#This Row],[First Receipt Days]]-Tableau119[[#This Row],[Day Customer Order]]+1</f>
        <v>#N/A</v>
      </c>
      <c r="AX76" s="119" t="e">
        <f>IF(Tableau119[[#This Row],[Name ILN]]&lt;&gt;"SFK Freight Forwarder",Tableau119[[#This Row],[Cust. Leadtime]],Tableau119[[#This Row],[Leadtime SI2C]])</f>
        <v>#N/A</v>
      </c>
      <c r="AY76" s="51" t="b">
        <f>_xlfn.XLOOKUP(Tableau119[[#This Row],[Key(ID-date)]],'DATA BTO'!S:S,'DATA BTO'!P:P,FALSE)</f>
        <v>0</v>
      </c>
      <c r="AZ76" s="338">
        <v>46142</v>
      </c>
      <c r="BA76" s="50"/>
    </row>
    <row r="77" spans="2:53">
      <c r="B77" s="474" t="str">
        <f>_xlfn.CONCAT(Tableau119[[#This Row],[Name ILN]],"-",Tableau119[[#This Row],[Name Shipper]],"-",Tableau119[[#This Row],[Name Site]])</f>
        <v>ILN Busan-ILN Busan-SOFASA</v>
      </c>
      <c r="C77" s="67" t="str">
        <f>_xlfn.CONCAT(Tableau119[[#This Row],[Compte ILN]],"-",Tableau119[[#This Row],[Compte Shipper]],"-",Tableau119[[#This Row],[POL]],"-",Tableau119[[#This Row],[Compte Consignee]])</f>
        <v>95436-95436-FALSO-9510600</v>
      </c>
      <c r="D77" s="66" t="str">
        <f>_xlfn.CONCAT(Tableau119[[#This Row],[Compte ILN]],"-",Tableau119[[#This Row],[Compte Shipper]],"-",Tableau119[[#This Row],[POL]])</f>
        <v>95436-95436-FALSO</v>
      </c>
      <c r="E77" s="434" t="str">
        <f>_xlfn.CONCAT(Tableau119[[#This Row],[POL]],"-",Tableau119[[#This Row],[Carrier]],"-",Tableau119[[#This Row],[POD]])</f>
        <v>FALSO-FALSO-FALSO</v>
      </c>
      <c r="F77" s="66" t="str">
        <f>_xlfn.CONCAT(Tableau119[[#This Row],[ID]],"-","Actif")</f>
        <v>22-Actif</v>
      </c>
      <c r="G77" s="66" t="str">
        <f>_xlfn.CONCAT(Tableau119[[#This Row],[POD]],"-",Tableau119[[#This Row],[Code PFI]],"-",Tableau119[[#This Row],[Compte Consignee]])</f>
        <v>FALSO---9510600</v>
      </c>
      <c r="H7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BusanFALSOSOFASA</v>
      </c>
      <c r="I77" s="434" t="str">
        <f>_xlfn.CONCAT(Tableau119[[#This Row],[ID]],"-",Tableau119[[#This Row],[Expiration Date]])</f>
        <v>22-45961</v>
      </c>
      <c r="J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Busan-ILN Busan-22-FALSO-FALSO-FALSO--45961</v>
      </c>
      <c r="K77" s="435" t="str">
        <f ca="1">IF(COUNTIF(J:J,Tableau119[[#This Row],[Plant-ILN-shipper-POL-Carrier-POD-PFI]])=1,"Non","Oui")</f>
        <v>Non</v>
      </c>
      <c r="L77" s="128" t="str">
        <f>VLOOKUP(Tableau119[[#This Row],[Name Site]],Plant_AILN!A:D,4,FALSE)</f>
        <v>COLOMBIA</v>
      </c>
      <c r="M77" s="411" t="s">
        <v>177</v>
      </c>
      <c r="N77" s="439">
        <f>VLOOKUP(Tableau119[[#This Row],[Name Site]],Plant_AILN!A:C,3,FALSE)</f>
        <v>9510600</v>
      </c>
      <c r="O77" s="55">
        <f>VLOOKUP(Tableau119[[#This Row],[Compte Consignee]],Order!C:D,2,FALSE)</f>
        <v>7</v>
      </c>
      <c r="P77" s="116" t="s">
        <v>166</v>
      </c>
      <c r="Q77" s="365">
        <f>VLOOKUP(Tableau119[[#This Row],[Name ILN]],Plant_AILN!F:G,2,FALSE)</f>
        <v>95436</v>
      </c>
      <c r="R77" s="50">
        <f>VLOOKUP(Tableau119[[#This Row],[Compte ILN]],'DATA ILN'!D:I,6,FALSE)</f>
        <v>9</v>
      </c>
      <c r="S77" s="50" t="e">
        <f>IFERROR(VLOOKUP(Tableau119[[#This Row],[Key(Compte ILN - shipper - POL - plant)]],'DATA ILN'!A:J,10,FALSE),VLOOKUP(Tableau119[[#This Row],[Key(Compte ILN - shipper - POL)]],'DATA ILN'!B:J,9,FALSE))</f>
        <v>#N/A</v>
      </c>
      <c r="T77" s="50" t="e">
        <f>IFERROR(VLOOKUP(Tableau119[[#This Row],[Key(Compte ILN - shipper - POL - plant)]],'DATA ILN'!A:K,11,FALSE),VLOOKUP(Tableau119[[#This Row],[Key(Compte ILN - shipper - POL)]],'DATA ILN'!B:K,10,FALSE))</f>
        <v>#N/A</v>
      </c>
      <c r="U77" s="50" t="e">
        <f>IFERROR(VLOOKUP(Tableau119[[#This Row],[Key(Compte ILN - shipper - POL - plant)]],'DATA ILN'!A:L,12,FALSE),VLOOKUP(Tableau119[[#This Row],[Key(Compte ILN - shipper - POL)]],'DATA ILN'!B:L,11,FALSE))</f>
        <v>#N/A</v>
      </c>
      <c r="V77" s="50" t="e">
        <f>Tableau119[[#This Row],[Day ILN Order]]+Tableau119[[#This Row],[Delivery time to ILN/Shipper]]-1</f>
        <v>#N/A</v>
      </c>
      <c r="W77" s="50" t="e">
        <f>IFERROR(VLOOKUP(Tableau119[[#This Row],[Key(Compte ILN - shipper - POL - plant)]],'DATA ILN'!A:N,14,FALSE),VLOOKUP(Tableau119[[#This Row],[Key(Compte ILN - shipper - POL)]],'DATA ILN'!B:N,13,FALSE))</f>
        <v>#N/A</v>
      </c>
      <c r="X77" s="53" t="e">
        <f>IFERROR(VLOOKUP(Tableau119[[#This Row],[Key(Compte ILN - shipper - POL - plant)]],'DATA ILN'!A:P,16,FALSE),VLOOKUP(Tableau119[[#This Row],[Key(Compte ILN - shipper - POL)]],'DATA ILN'!B:P,15,FALSE))</f>
        <v>#N/A</v>
      </c>
      <c r="Y77" s="284" t="s">
        <v>166</v>
      </c>
      <c r="Z77" s="437">
        <f>IFERROR(VLOOKUP(Tableau119[[#This Row],[Name Shipper]],Plant_AILN!L:M,2,FALSE),0)</f>
        <v>95436</v>
      </c>
      <c r="AA77" s="406">
        <v>22</v>
      </c>
      <c r="AB77" s="396" t="b">
        <f>_xlfn.XLOOKUP(Tableau119[[#This Row],[Key(ID-date)]],'DATA BTO'!S:S,'DATA BTO'!E:E,FALSE)</f>
        <v>0</v>
      </c>
      <c r="AC77" s="3" t="b">
        <f>_xlfn.XLOOKUP(Tableau119[[#This Row],[Key(ID-date)]],'DATA BTO'!S:S,'DATA BTO'!F:F,FALSE)</f>
        <v>0</v>
      </c>
      <c r="AD77" s="50" t="b">
        <f>_xlfn.XLOOKUP(Tableau119[[#This Row],[Key(ID-date)]],'DATA BTO'!S:S,'DATA BTO'!G:G,FALSE)</f>
        <v>0</v>
      </c>
      <c r="AE77" s="50" t="b">
        <f>_xlfn.XLOOKUP(Tableau119[[#This Row],[Key(ID-date)]],'DATA BTO'!S:S,'DATA BTO'!H:H,FALSE)</f>
        <v>0</v>
      </c>
      <c r="AF77" s="50" t="e">
        <f>IF(Tableau119[[#This Row],[First Day to POL]]&lt;=Tableau119[[#This Row],[Day Cut Off]],Tableau119[[#This Row],[Day ETD]],Tableau119[[#This Row],[Day ETD]]+7)</f>
        <v>#N/A</v>
      </c>
      <c r="AG77" s="50" t="b">
        <f>_xlfn.XLOOKUP(Tableau119[[#This Row],[Key(ID-date)]],'DATA BTO'!S:S,'DATA BTO'!I:I,FALSE)</f>
        <v>0</v>
      </c>
      <c r="AH77" s="3" t="b">
        <f>_xlfn.XLOOKUP(Tableau119[[#This Row],[Key(ID-date)]],'DATA BTO'!S:S,'DATA BTO'!J:J,FALSE)</f>
        <v>0</v>
      </c>
      <c r="AI77" s="3" t="b">
        <f>_xlfn.XLOOKUP(Tableau119[[#This Row],[Key(ID-date)]],'DATA BTO'!S:S,'DATA BTO'!K:K,FALSE)</f>
        <v>0</v>
      </c>
      <c r="AJ77" s="50" t="b">
        <f>_xlfn.XLOOKUP(Tableau119[[#This Row],[Key(ID-date)]],'DATA BTO'!S:S,'DATA BTO'!L:L,FALSE)</f>
        <v>0</v>
      </c>
      <c r="AK77" s="53" t="b">
        <f>_xlfn.XLOOKUP(Tableau119[[#This Row],[Key(ID-date)]],'DATA BTO'!S:S,'DATA BTO'!N:N,FALSE)</f>
        <v>0</v>
      </c>
      <c r="AL77" s="54" t="e">
        <f>VLOOKUP(Tableau119[[#This Row],[Key(POD -PFI- Usine)]],'DATA Consignee'!A:F,6,FALSE)</f>
        <v>#N/A</v>
      </c>
      <c r="AM77" s="127"/>
      <c r="AN77" s="438" t="str">
        <f>IF(Tableau119[[#This Row],[Name PFI/CDD]]="","-",VLOOKUP(Tableau119[[#This Row],[Name PFI/CDD]],Plant_AILN!I:J,2,FALSE))</f>
        <v>-</v>
      </c>
      <c r="AO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" s="2" t="e">
        <f>VLOOKUP(Tableau119[[#This Row],[Key(POD -PFI- Usine)]],'DATA Consignee'!A:J,10,FALSE)</f>
        <v>#N/A</v>
      </c>
      <c r="AR77" s="50" t="e">
        <f>VLOOKUP(Tableau119[[#This Row],[Key(POD -PFI- Usine)]],'DATA Consignee'!A:N,14,FALSE)</f>
        <v>#N/A</v>
      </c>
      <c r="AS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" s="50">
        <f>Tableau119[[#This Row],[Transit time]]+Tableau119[[#This Row],[Time for security]]+Tableau119[[#This Row],[Time for security2 buffer]]</f>
        <v>0</v>
      </c>
      <c r="AV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" s="433" t="e">
        <f>Tableau119[[#This Row],[Leadtime SI2C]]+Tableau119[[#This Row],[First Receipt Days]]-Tableau119[[#This Row],[Day Customer Order]]+1</f>
        <v>#N/A</v>
      </c>
      <c r="AX77" s="119" t="e">
        <f>IF(Tableau119[[#This Row],[Name ILN]]&lt;&gt;"SFK Freight Forwarder",Tableau119[[#This Row],[Cust. Leadtime]],Tableau119[[#This Row],[Leadtime SI2C]])</f>
        <v>#N/A</v>
      </c>
      <c r="AY77" s="51" t="b">
        <f>_xlfn.XLOOKUP(Tableau119[[#This Row],[Key(ID-date)]],'DATA BTO'!S:S,'DATA BTO'!P:P,FALSE)</f>
        <v>0</v>
      </c>
      <c r="AZ77" s="338">
        <v>45961</v>
      </c>
      <c r="BA77" s="50"/>
    </row>
    <row r="78" spans="2:53">
      <c r="B78" s="474" t="str">
        <f>_xlfn.CONCAT(Tableau119[[#This Row],[Name ILN]],"-",Tableau119[[#This Row],[Name Shipper]],"-",Tableau119[[#This Row],[Name Site]])</f>
        <v>ILN Busan-ILN Busan-SOFASA</v>
      </c>
      <c r="C78" s="67" t="str">
        <f>_xlfn.CONCAT(Tableau119[[#This Row],[Compte ILN]],"-",Tableau119[[#This Row],[Compte Shipper]],"-",Tableau119[[#This Row],[POL]],"-",Tableau119[[#This Row],[Compte Consignee]])</f>
        <v>95436-95436-FALSO-9510600</v>
      </c>
      <c r="D78" s="66" t="str">
        <f>_xlfn.CONCAT(Tableau119[[#This Row],[Compte ILN]],"-",Tableau119[[#This Row],[Compte Shipper]],"-",Tableau119[[#This Row],[POL]])</f>
        <v>95436-95436-FALSO</v>
      </c>
      <c r="E78" s="434" t="str">
        <f>_xlfn.CONCAT(Tableau119[[#This Row],[POL]],"-",Tableau119[[#This Row],[Carrier]],"-",Tableau119[[#This Row],[POD]])</f>
        <v>FALSO-FALSO-FALSO</v>
      </c>
      <c r="F78" s="66" t="str">
        <f>_xlfn.CONCAT(Tableau119[[#This Row],[ID]],"-","Actif")</f>
        <v>22-Actif</v>
      </c>
      <c r="G78" s="66" t="str">
        <f>_xlfn.CONCAT(Tableau119[[#This Row],[POD]],"-",Tableau119[[#This Row],[Code PFI]],"-",Tableau119[[#This Row],[Compte Consignee]])</f>
        <v>FALSO---9510600</v>
      </c>
      <c r="H7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BusanFALSOSOFASA</v>
      </c>
      <c r="I78" s="434" t="str">
        <f>_xlfn.CONCAT(Tableau119[[#This Row],[ID]],"-",Tableau119[[#This Row],[Expiration Date]])</f>
        <v>22-45777</v>
      </c>
      <c r="J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Busan-ILN Busan-22-FALSO-FALSO-FALSO--45777</v>
      </c>
      <c r="K78" s="435" t="str">
        <f ca="1">IF(COUNTIF(J:J,Tableau119[[#This Row],[Plant-ILN-shipper-POL-Carrier-POD-PFI]])=1,"Non","Oui")</f>
        <v>Non</v>
      </c>
      <c r="L78" s="128" t="str">
        <f>VLOOKUP(Tableau119[[#This Row],[Name Site]],Plant_AILN!A:D,4,FALSE)</f>
        <v>COLOMBIA</v>
      </c>
      <c r="M78" s="411" t="s">
        <v>177</v>
      </c>
      <c r="N78" s="439">
        <f>VLOOKUP(Tableau119[[#This Row],[Name Site]],Plant_AILN!A:C,3,FALSE)</f>
        <v>9510600</v>
      </c>
      <c r="O78" s="55">
        <f>VLOOKUP(Tableau119[[#This Row],[Compte Consignee]],Order!C:D,2,FALSE)</f>
        <v>7</v>
      </c>
      <c r="P78" s="116" t="s">
        <v>166</v>
      </c>
      <c r="Q78" s="365">
        <f>VLOOKUP(Tableau119[[#This Row],[Name ILN]],Plant_AILN!F:G,2,FALSE)</f>
        <v>95436</v>
      </c>
      <c r="R78" s="50">
        <f>VLOOKUP(Tableau119[[#This Row],[Compte ILN]],'DATA ILN'!D:I,6,FALSE)</f>
        <v>9</v>
      </c>
      <c r="S78" s="50" t="e">
        <f>IFERROR(VLOOKUP(Tableau119[[#This Row],[Key(Compte ILN - shipper - POL - plant)]],'DATA ILN'!A:J,10,FALSE),VLOOKUP(Tableau119[[#This Row],[Key(Compte ILN - shipper - POL)]],'DATA ILN'!B:J,9,FALSE))</f>
        <v>#N/A</v>
      </c>
      <c r="T78" s="50" t="e">
        <f>IFERROR(VLOOKUP(Tableau119[[#This Row],[Key(Compte ILN - shipper - POL - plant)]],'DATA ILN'!A:K,11,FALSE),VLOOKUP(Tableau119[[#This Row],[Key(Compte ILN - shipper - POL)]],'DATA ILN'!B:K,10,FALSE))</f>
        <v>#N/A</v>
      </c>
      <c r="U78" s="50" t="e">
        <f>IFERROR(VLOOKUP(Tableau119[[#This Row],[Key(Compte ILN - shipper - POL - plant)]],'DATA ILN'!A:L,12,FALSE),VLOOKUP(Tableau119[[#This Row],[Key(Compte ILN - shipper - POL)]],'DATA ILN'!B:L,11,FALSE))</f>
        <v>#N/A</v>
      </c>
      <c r="V78" s="50" t="e">
        <f>Tableau119[[#This Row],[Day ILN Order]]+Tableau119[[#This Row],[Delivery time to ILN/Shipper]]-1</f>
        <v>#N/A</v>
      </c>
      <c r="W78" s="50" t="e">
        <f>IFERROR(VLOOKUP(Tableau119[[#This Row],[Key(Compte ILN - shipper - POL - plant)]],'DATA ILN'!A:N,14,FALSE),VLOOKUP(Tableau119[[#This Row],[Key(Compte ILN - shipper - POL)]],'DATA ILN'!B:N,13,FALSE))</f>
        <v>#N/A</v>
      </c>
      <c r="X78" s="53" t="e">
        <f>IFERROR(VLOOKUP(Tableau119[[#This Row],[Key(Compte ILN - shipper - POL - plant)]],'DATA ILN'!A:P,16,FALSE),VLOOKUP(Tableau119[[#This Row],[Key(Compte ILN - shipper - POL)]],'DATA ILN'!B:P,15,FALSE))</f>
        <v>#N/A</v>
      </c>
      <c r="Y78" s="284" t="s">
        <v>166</v>
      </c>
      <c r="Z78" s="437">
        <f>IFERROR(VLOOKUP(Tableau119[[#This Row],[Name Shipper]],Plant_AILN!L:M,2,FALSE),0)</f>
        <v>95436</v>
      </c>
      <c r="AA78" s="406">
        <v>22</v>
      </c>
      <c r="AB78" s="396" t="b">
        <f>_xlfn.XLOOKUP(Tableau119[[#This Row],[Key(ID-date)]],'DATA BTO'!S:S,'DATA BTO'!E:E,FALSE)</f>
        <v>0</v>
      </c>
      <c r="AC78" s="3" t="b">
        <f>_xlfn.XLOOKUP(Tableau119[[#This Row],[Key(ID-date)]],'DATA BTO'!S:S,'DATA BTO'!F:F,FALSE)</f>
        <v>0</v>
      </c>
      <c r="AD78" s="50" t="b">
        <f>_xlfn.XLOOKUP(Tableau119[[#This Row],[Key(ID-date)]],'DATA BTO'!S:S,'DATA BTO'!G:G,FALSE)</f>
        <v>0</v>
      </c>
      <c r="AE78" s="50" t="b">
        <f>_xlfn.XLOOKUP(Tableau119[[#This Row],[Key(ID-date)]],'DATA BTO'!S:S,'DATA BTO'!H:H,FALSE)</f>
        <v>0</v>
      </c>
      <c r="AF78" s="50" t="e">
        <f>IF(Tableau119[[#This Row],[First Day to POL]]&lt;=Tableau119[[#This Row],[Day Cut Off]],Tableau119[[#This Row],[Day ETD]],Tableau119[[#This Row],[Day ETD]]+7)</f>
        <v>#N/A</v>
      </c>
      <c r="AG78" s="50" t="b">
        <f>_xlfn.XLOOKUP(Tableau119[[#This Row],[Key(ID-date)]],'DATA BTO'!S:S,'DATA BTO'!I:I,FALSE)</f>
        <v>0</v>
      </c>
      <c r="AH78" s="3" t="b">
        <f>_xlfn.XLOOKUP(Tableau119[[#This Row],[Key(ID-date)]],'DATA BTO'!S:S,'DATA BTO'!J:J,FALSE)</f>
        <v>0</v>
      </c>
      <c r="AI78" s="3" t="b">
        <f>_xlfn.XLOOKUP(Tableau119[[#This Row],[Key(ID-date)]],'DATA BTO'!S:S,'DATA BTO'!K:K,FALSE)</f>
        <v>0</v>
      </c>
      <c r="AJ78" s="50" t="b">
        <f>_xlfn.XLOOKUP(Tableau119[[#This Row],[Key(ID-date)]],'DATA BTO'!S:S,'DATA BTO'!L:L,FALSE)</f>
        <v>0</v>
      </c>
      <c r="AK78" s="53" t="b">
        <f>_xlfn.XLOOKUP(Tableau119[[#This Row],[Key(ID-date)]],'DATA BTO'!S:S,'DATA BTO'!N:N,FALSE)</f>
        <v>0</v>
      </c>
      <c r="AL78" s="54" t="e">
        <f>VLOOKUP(Tableau119[[#This Row],[Key(POD -PFI- Usine)]],'DATA Consignee'!A:F,6,FALSE)</f>
        <v>#N/A</v>
      </c>
      <c r="AM78" s="127"/>
      <c r="AN78" s="438" t="str">
        <f>IF(Tableau119[[#This Row],[Name PFI/CDD]]="","-",VLOOKUP(Tableau119[[#This Row],[Name PFI/CDD]],Plant_AILN!I:J,2,FALSE))</f>
        <v>-</v>
      </c>
      <c r="AO7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" s="2" t="e">
        <f>VLOOKUP(Tableau119[[#This Row],[Key(POD -PFI- Usine)]],'DATA Consignee'!A:J,10,FALSE)</f>
        <v>#N/A</v>
      </c>
      <c r="AR78" s="50" t="e">
        <f>VLOOKUP(Tableau119[[#This Row],[Key(POD -PFI- Usine)]],'DATA Consignee'!A:N,14,FALSE)</f>
        <v>#N/A</v>
      </c>
      <c r="AS7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" s="50">
        <f>Tableau119[[#This Row],[Transit time]]+Tableau119[[#This Row],[Time for security]]+Tableau119[[#This Row],[Time for security2 buffer]]</f>
        <v>0</v>
      </c>
      <c r="AV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" s="433" t="e">
        <f>Tableau119[[#This Row],[Leadtime SI2C]]+Tableau119[[#This Row],[First Receipt Days]]-Tableau119[[#This Row],[Day Customer Order]]+1</f>
        <v>#N/A</v>
      </c>
      <c r="AX78" s="119" t="e">
        <f>IF(Tableau119[[#This Row],[Name ILN]]&lt;&gt;"SFK Freight Forwarder",Tableau119[[#This Row],[Cust. Leadtime]],Tableau119[[#This Row],[Leadtime SI2C]])</f>
        <v>#N/A</v>
      </c>
      <c r="AY78" s="51" t="b">
        <f>_xlfn.XLOOKUP(Tableau119[[#This Row],[Key(ID-date)]],'DATA BTO'!S:S,'DATA BTO'!P:P,FALSE)</f>
        <v>0</v>
      </c>
      <c r="AZ78" s="338">
        <v>45777</v>
      </c>
      <c r="BA78" s="50"/>
    </row>
    <row r="79" spans="2:53">
      <c r="B79" s="67" t="str">
        <f>_xlfn.CONCAT(Tableau119[[#This Row],[Name ILN]],"-",Tableau119[[#This Row],[Name Shipper]],"-",Tableau119[[#This Row],[Name Site]])</f>
        <v>ILN Busan-ILN Busan-CHENNAI Powertrain</v>
      </c>
      <c r="C79" s="67" t="str">
        <f>_xlfn.CONCAT(Tableau119[[#This Row],[Compte ILN]],"-",Tableau119[[#This Row],[Compte Shipper]],"-",Tableau119[[#This Row],[POL]],"-",Tableau119[[#This Row],[Compte Consignee]])</f>
        <v>95436-95436-FALSO-26549500</v>
      </c>
      <c r="D79" s="66" t="str">
        <f>_xlfn.CONCAT(Tableau119[[#This Row],[Compte ILN]],"-",Tableau119[[#This Row],[Compte Shipper]],"-",Tableau119[[#This Row],[POL]])</f>
        <v>95436-95436-FALSO</v>
      </c>
      <c r="E79" s="434" t="str">
        <f>_xlfn.CONCAT(Tableau119[[#This Row],[POL]],"-",Tableau119[[#This Row],[Carrier]],"-",Tableau119[[#This Row],[POD]])</f>
        <v>FALSO-FALSO-FALSO</v>
      </c>
      <c r="F79" s="66" t="str">
        <f>_xlfn.CONCAT(Tableau119[[#This Row],[ID]],"-","Actif")</f>
        <v>23-Actif</v>
      </c>
      <c r="G79" s="66" t="str">
        <f>_xlfn.CONCAT(Tableau119[[#This Row],[POD]],"-",Tableau119[[#This Row],[Code PFI]],"-",Tableau119[[#This Row],[Compte Consignee]])</f>
        <v>FALSO---26549500</v>
      </c>
      <c r="H7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Powertrain</v>
      </c>
      <c r="I79" s="434" t="str">
        <f>_xlfn.CONCAT(Tableau119[[#This Row],[ID]],"-",Tableau119[[#This Row],[Expiration Date]])</f>
        <v>23-46142</v>
      </c>
      <c r="J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Busan-ILN Busan-23-FALSO-FALSO-FALSO--46142</v>
      </c>
      <c r="K79" s="435" t="str">
        <f ca="1">IF(COUNTIF(J:J,Tableau119[[#This Row],[Plant-ILN-shipper-POL-Carrier-POD-PFI]])=1,"Non","Oui")</f>
        <v>Non</v>
      </c>
      <c r="L79" s="436" t="str">
        <f>VLOOKUP(Tableau119[[#This Row],[Name Site]],Plant_AILN!A:D,4,FALSE)</f>
        <v>INDIA</v>
      </c>
      <c r="M79" s="285" t="s">
        <v>221</v>
      </c>
      <c r="N79" s="439">
        <f>VLOOKUP(Tableau119[[#This Row],[Name Site]],Plant_AILN!A:C,3,FALSE)</f>
        <v>26549500</v>
      </c>
      <c r="O79" s="55">
        <f>IF(Tableau119[[#This Row],[Name PFI/CDD]]="PFI VLL",2,VLOOKUP(Tableau119[[#This Row],[Compte Consignee]],Order!C:D,2,FALSE))</f>
        <v>5</v>
      </c>
      <c r="P79" s="116" t="s">
        <v>166</v>
      </c>
      <c r="Q79" s="365">
        <f>VLOOKUP(Tableau119[[#This Row],[Name ILN]],Plant_AILN!F:G,2,FALSE)</f>
        <v>95436</v>
      </c>
      <c r="R79" s="50">
        <f>VLOOKUP(Tableau119[[#This Row],[Compte ILN]],'DATA ILN'!D:I,6,FALSE)</f>
        <v>9</v>
      </c>
      <c r="S79" s="50" t="e">
        <f>IFERROR(VLOOKUP(Tableau119[[#This Row],[Key(Compte ILN - shipper - POL - plant)]],'DATA ILN'!A:J,10,FALSE),VLOOKUP(Tableau119[[#This Row],[Key(Compte ILN - shipper - POL)]],'DATA ILN'!B:J,9,FALSE))</f>
        <v>#N/A</v>
      </c>
      <c r="T79" s="50" t="e">
        <f>IFERROR(VLOOKUP(Tableau119[[#This Row],[Key(Compte ILN - shipper - POL - plant)]],'DATA ILN'!A:K,11,FALSE),VLOOKUP(Tableau119[[#This Row],[Key(Compte ILN - shipper - POL)]],'DATA ILN'!B:K,10,FALSE))</f>
        <v>#N/A</v>
      </c>
      <c r="U79" s="50" t="e">
        <f>IFERROR(VLOOKUP(Tableau119[[#This Row],[Key(Compte ILN - shipper - POL - plant)]],'DATA ILN'!A:L,12,FALSE),VLOOKUP(Tableau119[[#This Row],[Key(Compte ILN - shipper - POL)]],'DATA ILN'!B:L,11,FALSE))</f>
        <v>#N/A</v>
      </c>
      <c r="V79" s="50" t="e">
        <f>Tableau119[[#This Row],[Day ILN Order]]+Tableau119[[#This Row],[Delivery time to ILN/Shipper]]-1</f>
        <v>#N/A</v>
      </c>
      <c r="W79" s="50" t="e">
        <f>IFERROR(VLOOKUP(Tableau119[[#This Row],[Key(Compte ILN - shipper - POL - plant)]],'DATA ILN'!A:N,14,FALSE),VLOOKUP(Tableau119[[#This Row],[Key(Compte ILN - shipper - POL)]],'DATA ILN'!B:N,13,FALSE))</f>
        <v>#N/A</v>
      </c>
      <c r="X79" s="53" t="e">
        <f>IFERROR(VLOOKUP(Tableau119[[#This Row],[Key(Compte ILN - shipper - POL - plant)]],'DATA ILN'!A:P,16,FALSE),VLOOKUP(Tableau119[[#This Row],[Key(Compte ILN - shipper - POL)]],'DATA ILN'!B:P,15,FALSE))</f>
        <v>#N/A</v>
      </c>
      <c r="Y79" s="284" t="s">
        <v>166</v>
      </c>
      <c r="Z79" s="437">
        <f>IFERROR(VLOOKUP(Tableau119[[#This Row],[Name Shipper]],Plant_AILN!L:M,2,FALSE),0)</f>
        <v>95436</v>
      </c>
      <c r="AA79" s="406">
        <v>23</v>
      </c>
      <c r="AB79" s="396" t="b">
        <f>_xlfn.XLOOKUP(Tableau119[[#This Row],[Key(ID-date)]],'DATA BTO'!S:S,'DATA BTO'!E:E,FALSE)</f>
        <v>0</v>
      </c>
      <c r="AC79" s="3" t="b">
        <f>_xlfn.XLOOKUP(Tableau119[[#This Row],[Key(ID-date)]],'DATA BTO'!S:S,'DATA BTO'!F:F,FALSE)</f>
        <v>0</v>
      </c>
      <c r="AD79" s="50" t="b">
        <f>_xlfn.XLOOKUP(Tableau119[[#This Row],[Key(ID-date)]],'DATA BTO'!S:S,'DATA BTO'!G:G,FALSE)</f>
        <v>0</v>
      </c>
      <c r="AE79" s="50" t="b">
        <f>_xlfn.XLOOKUP(Tableau119[[#This Row],[Key(ID-date)]],'DATA BTO'!S:S,'DATA BTO'!H:H,FALSE)</f>
        <v>0</v>
      </c>
      <c r="AF79" s="50" t="e">
        <f>IF(Tableau119[[#This Row],[First Day to POL]]&lt;=Tableau119[[#This Row],[Day Cut Off]],Tableau119[[#This Row],[Day ETD]],Tableau119[[#This Row],[Day ETD]]+7)</f>
        <v>#N/A</v>
      </c>
      <c r="AG79" s="50" t="b">
        <f>_xlfn.XLOOKUP(Tableau119[[#This Row],[Key(ID-date)]],'DATA BTO'!S:S,'DATA BTO'!I:I,FALSE)</f>
        <v>0</v>
      </c>
      <c r="AH79" s="3" t="b">
        <f>_xlfn.XLOOKUP(Tableau119[[#This Row],[Key(ID-date)]],'DATA BTO'!S:S,'DATA BTO'!J:J,FALSE)</f>
        <v>0</v>
      </c>
      <c r="AI79" s="3" t="b">
        <f>_xlfn.XLOOKUP(Tableau119[[#This Row],[Key(ID-date)]],'DATA BTO'!S:S,'DATA BTO'!K:K,FALSE)</f>
        <v>0</v>
      </c>
      <c r="AJ79" s="50" t="b">
        <f>_xlfn.XLOOKUP(Tableau119[[#This Row],[Key(ID-date)]],'DATA BTO'!S:S,'DATA BTO'!L:L,FALSE)</f>
        <v>0</v>
      </c>
      <c r="AK79" s="53" t="b">
        <f>_xlfn.XLOOKUP(Tableau119[[#This Row],[Key(ID-date)]],'DATA BTO'!S:S,'DATA BTO'!N:N,FALSE)</f>
        <v>0</v>
      </c>
      <c r="AL79" s="54" t="e">
        <f>VLOOKUP(Tableau119[[#This Row],[Key(POD -PFI- Usine)]],'DATA Consignee'!A:F,6,FALSE)</f>
        <v>#N/A</v>
      </c>
      <c r="AM79" s="127"/>
      <c r="AN79" s="438" t="str">
        <f>IF(Tableau119[[#This Row],[Name PFI/CDD]]="","-",VLOOKUP(Tableau119[[#This Row],[Name PFI/CDD]],Plant_AILN!I:J,2,FALSE))</f>
        <v>-</v>
      </c>
      <c r="AO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" s="2" t="e">
        <f>VLOOKUP(Tableau119[[#This Row],[Key(POD -PFI- Usine)]],'DATA Consignee'!A:J,10,FALSE)</f>
        <v>#N/A</v>
      </c>
      <c r="AR79" s="50" t="e">
        <f>VLOOKUP(Tableau119[[#This Row],[Key(POD -PFI- Usine)]],'DATA Consignee'!A:N,14,FALSE)</f>
        <v>#N/A</v>
      </c>
      <c r="AS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9" s="50">
        <f>Tableau119[[#This Row],[Transit time]]+Tableau119[[#This Row],[Time for security]]+Tableau119[[#This Row],[Time for security2 buffer]]</f>
        <v>0</v>
      </c>
      <c r="AV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9" s="433" t="e">
        <f>Tableau119[[#This Row],[Leadtime SI2C]]+Tableau119[[#This Row],[First Receipt Days]]-Tableau119[[#This Row],[Day Customer Order]]+1</f>
        <v>#N/A</v>
      </c>
      <c r="AX79" s="119" t="e">
        <f>IF(Tableau119[[#This Row],[Name ILN]]&lt;&gt;"SFK Freight Forwarder",Tableau119[[#This Row],[Cust. Leadtime]],Tableau119[[#This Row],[Leadtime SI2C]])</f>
        <v>#N/A</v>
      </c>
      <c r="AY79" s="51" t="b">
        <f>_xlfn.XLOOKUP(Tableau119[[#This Row],[Key(ID-date)]],'DATA BTO'!S:S,'DATA BTO'!P:P,FALSE)</f>
        <v>0</v>
      </c>
      <c r="AZ79" s="338">
        <v>46142</v>
      </c>
      <c r="BA79" s="50"/>
    </row>
    <row r="80" spans="2:53">
      <c r="B80" s="67" t="str">
        <f>_xlfn.CONCAT(Tableau119[[#This Row],[Name ILN]],"-",Tableau119[[#This Row],[Name Shipper]],"-",Tableau119[[#This Row],[Name Site]])</f>
        <v>ILN Busan-ILN Busan-CHENNAI Vehicule</v>
      </c>
      <c r="C80" s="67" t="str">
        <f>_xlfn.CONCAT(Tableau119[[#This Row],[Compte ILN]],"-",Tableau119[[#This Row],[Compte Shipper]],"-",Tableau119[[#This Row],[POL]],"-",Tableau119[[#This Row],[Compte Consignee]])</f>
        <v>95436-95436-FALSO-26549502</v>
      </c>
      <c r="D80" s="66" t="str">
        <f>_xlfn.CONCAT(Tableau119[[#This Row],[Compte ILN]],"-",Tableau119[[#This Row],[Compte Shipper]],"-",Tableau119[[#This Row],[POL]])</f>
        <v>95436-95436-FALSO</v>
      </c>
      <c r="E80" s="434" t="str">
        <f>_xlfn.CONCAT(Tableau119[[#This Row],[POL]],"-",Tableau119[[#This Row],[Carrier]],"-",Tableau119[[#This Row],[POD]])</f>
        <v>FALSO-FALSO-FALSO</v>
      </c>
      <c r="F80" s="66" t="str">
        <f>_xlfn.CONCAT(Tableau119[[#This Row],[ID]],"-","Actif")</f>
        <v>23-Actif</v>
      </c>
      <c r="G80" s="66" t="str">
        <f>_xlfn.CONCAT(Tableau119[[#This Row],[POD]],"-",Tableau119[[#This Row],[Code PFI]],"-",Tableau119[[#This Row],[Compte Consignee]])</f>
        <v>FALSO---26549502</v>
      </c>
      <c r="H8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Vehicule</v>
      </c>
      <c r="I80" s="434" t="str">
        <f>_xlfn.CONCAT(Tableau119[[#This Row],[ID]],"-",Tableau119[[#This Row],[Expiration Date]])</f>
        <v>23-46142</v>
      </c>
      <c r="J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Busan-ILN Busan-23-FALSO-FALSO-FALSO--46142</v>
      </c>
      <c r="K80" s="435" t="str">
        <f ca="1">IF(COUNTIF(J:J,Tableau119[[#This Row],[Plant-ILN-shipper-POL-Carrier-POD-PFI]])=1,"Non","Oui")</f>
        <v>Non</v>
      </c>
      <c r="L80" s="436" t="str">
        <f>VLOOKUP(Tableau119[[#This Row],[Name Site]],Plant_AILN!A:D,4,FALSE)</f>
        <v>INDIA</v>
      </c>
      <c r="M80" s="285" t="s">
        <v>159</v>
      </c>
      <c r="N80" s="439">
        <f>VLOOKUP(Tableau119[[#This Row],[Name Site]],Plant_AILN!A:C,3,FALSE)</f>
        <v>26549502</v>
      </c>
      <c r="O80" s="55">
        <f>IF(Tableau119[[#This Row],[Name PFI/CDD]]="PFI VLL",2,VLOOKUP(Tableau119[[#This Row],[Compte Consignee]],Order!C:D,2,FALSE))</f>
        <v>5</v>
      </c>
      <c r="P80" s="116" t="s">
        <v>166</v>
      </c>
      <c r="Q80" s="365">
        <f>VLOOKUP(Tableau119[[#This Row],[Name ILN]],Plant_AILN!F:G,2,FALSE)</f>
        <v>95436</v>
      </c>
      <c r="R80" s="50">
        <f>VLOOKUP(Tableau119[[#This Row],[Compte ILN]],'DATA ILN'!D:I,6,FALSE)</f>
        <v>9</v>
      </c>
      <c r="S80" s="50" t="e">
        <f>IFERROR(VLOOKUP(Tableau119[[#This Row],[Key(Compte ILN - shipper - POL - plant)]],'DATA ILN'!A:J,10,FALSE),VLOOKUP(Tableau119[[#This Row],[Key(Compte ILN - shipper - POL)]],'DATA ILN'!B:J,9,FALSE))</f>
        <v>#N/A</v>
      </c>
      <c r="T80" s="50" t="e">
        <f>IFERROR(VLOOKUP(Tableau119[[#This Row],[Key(Compte ILN - shipper - POL - plant)]],'DATA ILN'!A:K,11,FALSE),VLOOKUP(Tableau119[[#This Row],[Key(Compte ILN - shipper - POL)]],'DATA ILN'!B:K,10,FALSE))</f>
        <v>#N/A</v>
      </c>
      <c r="U80" s="50" t="e">
        <f>IFERROR(VLOOKUP(Tableau119[[#This Row],[Key(Compte ILN - shipper - POL - plant)]],'DATA ILN'!A:L,12,FALSE),VLOOKUP(Tableau119[[#This Row],[Key(Compte ILN - shipper - POL)]],'DATA ILN'!B:L,11,FALSE))</f>
        <v>#N/A</v>
      </c>
      <c r="V80" s="50" t="e">
        <f>Tableau119[[#This Row],[Day ILN Order]]+Tableau119[[#This Row],[Delivery time to ILN/Shipper]]-1</f>
        <v>#N/A</v>
      </c>
      <c r="W80" s="50" t="e">
        <f>IFERROR(VLOOKUP(Tableau119[[#This Row],[Key(Compte ILN - shipper - POL - plant)]],'DATA ILN'!A:N,14,FALSE),VLOOKUP(Tableau119[[#This Row],[Key(Compte ILN - shipper - POL)]],'DATA ILN'!B:N,13,FALSE))</f>
        <v>#N/A</v>
      </c>
      <c r="X80" s="53" t="e">
        <f>IFERROR(VLOOKUP(Tableau119[[#This Row],[Key(Compte ILN - shipper - POL - plant)]],'DATA ILN'!A:P,16,FALSE),VLOOKUP(Tableau119[[#This Row],[Key(Compte ILN - shipper - POL)]],'DATA ILN'!B:P,15,FALSE))</f>
        <v>#N/A</v>
      </c>
      <c r="Y80" s="284" t="s">
        <v>166</v>
      </c>
      <c r="Z80" s="437">
        <f>IFERROR(VLOOKUP(Tableau119[[#This Row],[Name Shipper]],Plant_AILN!L:M,2,FALSE),0)</f>
        <v>95436</v>
      </c>
      <c r="AA80" s="406">
        <v>23</v>
      </c>
      <c r="AB80" s="396" t="b">
        <f>_xlfn.XLOOKUP(Tableau119[[#This Row],[Key(ID-date)]],'DATA BTO'!S:S,'DATA BTO'!E:E,FALSE)</f>
        <v>0</v>
      </c>
      <c r="AC80" s="3" t="b">
        <f>_xlfn.XLOOKUP(Tableau119[[#This Row],[Key(ID-date)]],'DATA BTO'!S:S,'DATA BTO'!F:F,FALSE)</f>
        <v>0</v>
      </c>
      <c r="AD80" s="50" t="b">
        <f>_xlfn.XLOOKUP(Tableau119[[#This Row],[Key(ID-date)]],'DATA BTO'!S:S,'DATA BTO'!G:G,FALSE)</f>
        <v>0</v>
      </c>
      <c r="AE80" s="50" t="b">
        <f>_xlfn.XLOOKUP(Tableau119[[#This Row],[Key(ID-date)]],'DATA BTO'!S:S,'DATA BTO'!H:H,FALSE)</f>
        <v>0</v>
      </c>
      <c r="AF80" s="50" t="e">
        <f>IF(Tableau119[[#This Row],[First Day to POL]]&lt;=Tableau119[[#This Row],[Day Cut Off]],Tableau119[[#This Row],[Day ETD]],Tableau119[[#This Row],[Day ETD]]+7)</f>
        <v>#N/A</v>
      </c>
      <c r="AG80" s="50" t="b">
        <f>_xlfn.XLOOKUP(Tableau119[[#This Row],[Key(ID-date)]],'DATA BTO'!S:S,'DATA BTO'!I:I,FALSE)</f>
        <v>0</v>
      </c>
      <c r="AH80" s="3" t="b">
        <f>_xlfn.XLOOKUP(Tableau119[[#This Row],[Key(ID-date)]],'DATA BTO'!S:S,'DATA BTO'!J:J,FALSE)</f>
        <v>0</v>
      </c>
      <c r="AI80" s="3" t="b">
        <f>_xlfn.XLOOKUP(Tableau119[[#This Row],[Key(ID-date)]],'DATA BTO'!S:S,'DATA BTO'!K:K,FALSE)</f>
        <v>0</v>
      </c>
      <c r="AJ80" s="50" t="b">
        <f>_xlfn.XLOOKUP(Tableau119[[#This Row],[Key(ID-date)]],'DATA BTO'!S:S,'DATA BTO'!L:L,FALSE)</f>
        <v>0</v>
      </c>
      <c r="AK80" s="53" t="b">
        <f>_xlfn.XLOOKUP(Tableau119[[#This Row],[Key(ID-date)]],'DATA BTO'!S:S,'DATA BTO'!N:N,FALSE)</f>
        <v>0</v>
      </c>
      <c r="AL80" s="54" t="e">
        <f>VLOOKUP(Tableau119[[#This Row],[Key(POD -PFI- Usine)]],'DATA Consignee'!A:F,6,FALSE)</f>
        <v>#N/A</v>
      </c>
      <c r="AM80" s="127"/>
      <c r="AN80" s="438" t="str">
        <f>IF(Tableau119[[#This Row],[Name PFI/CDD]]="","-",VLOOKUP(Tableau119[[#This Row],[Name PFI/CDD]],Plant_AILN!I:J,2,FALSE))</f>
        <v>-</v>
      </c>
      <c r="AO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" s="2" t="e">
        <f>VLOOKUP(Tableau119[[#This Row],[Key(POD -PFI- Usine)]],'DATA Consignee'!A:J,10,FALSE)</f>
        <v>#N/A</v>
      </c>
      <c r="AR80" s="50" t="e">
        <f>VLOOKUP(Tableau119[[#This Row],[Key(POD -PFI- Usine)]],'DATA Consignee'!A:N,14,FALSE)</f>
        <v>#N/A</v>
      </c>
      <c r="AS8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" s="50">
        <f>Tableau119[[#This Row],[Transit time]]+Tableau119[[#This Row],[Time for security]]+Tableau119[[#This Row],[Time for security2 buffer]]</f>
        <v>0</v>
      </c>
      <c r="AV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" s="433" t="e">
        <f>Tableau119[[#This Row],[Leadtime SI2C]]+Tableau119[[#This Row],[First Receipt Days]]-Tableau119[[#This Row],[Day Customer Order]]+1</f>
        <v>#N/A</v>
      </c>
      <c r="AX80" s="119" t="e">
        <f>IF(Tableau119[[#This Row],[Name ILN]]&lt;&gt;"SFK Freight Forwarder",Tableau119[[#This Row],[Cust. Leadtime]],Tableau119[[#This Row],[Leadtime SI2C]])</f>
        <v>#N/A</v>
      </c>
      <c r="AY80" s="51" t="b">
        <f>_xlfn.XLOOKUP(Tableau119[[#This Row],[Key(ID-date)]],'DATA BTO'!S:S,'DATA BTO'!P:P,FALSE)</f>
        <v>0</v>
      </c>
      <c r="AZ80" s="338">
        <v>46142</v>
      </c>
      <c r="BA80" s="50"/>
    </row>
    <row r="81" spans="2:53">
      <c r="B81" s="474" t="str">
        <f>_xlfn.CONCAT(Tableau119[[#This Row],[Name ILN]],"-",Tableau119[[#This Row],[Name Shipper]],"-",Tableau119[[#This Row],[Name Site]])</f>
        <v>ILN Busan-ILN Busan-CHENNAI Powertrain</v>
      </c>
      <c r="C81" s="67" t="str">
        <f>_xlfn.CONCAT(Tableau119[[#This Row],[Compte ILN]],"-",Tableau119[[#This Row],[Compte Shipper]],"-",Tableau119[[#This Row],[POL]],"-",Tableau119[[#This Row],[Compte Consignee]])</f>
        <v>95436-95436-FALSO-26549500</v>
      </c>
      <c r="D81" s="66" t="str">
        <f>_xlfn.CONCAT(Tableau119[[#This Row],[Compte ILN]],"-",Tableau119[[#This Row],[Compte Shipper]],"-",Tableau119[[#This Row],[POL]])</f>
        <v>95436-95436-FALSO</v>
      </c>
      <c r="E81" s="434" t="str">
        <f>_xlfn.CONCAT(Tableau119[[#This Row],[POL]],"-",Tableau119[[#This Row],[Carrier]],"-",Tableau119[[#This Row],[POD]])</f>
        <v>FALSO-FALSO-FALSO</v>
      </c>
      <c r="F81" s="66" t="str">
        <f>_xlfn.CONCAT(Tableau119[[#This Row],[ID]],"-","Actif")</f>
        <v>23-Actif</v>
      </c>
      <c r="G81" s="66" t="str">
        <f>_xlfn.CONCAT(Tableau119[[#This Row],[POD]],"-",Tableau119[[#This Row],[Code PFI]],"-",Tableau119[[#This Row],[Compte Consignee]])</f>
        <v>FALSO---26549500</v>
      </c>
      <c r="H8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Powertrain</v>
      </c>
      <c r="I81" s="434" t="str">
        <f>_xlfn.CONCAT(Tableau119[[#This Row],[ID]],"-",Tableau119[[#This Row],[Expiration Date]])</f>
        <v>23-45777</v>
      </c>
      <c r="J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Busan-ILN Busan-23-FALSO-FALSO-FALSO--45777</v>
      </c>
      <c r="K81" s="435" t="str">
        <f ca="1">IF(COUNTIF(J:J,Tableau119[[#This Row],[Plant-ILN-shipper-POL-Carrier-POD-PFI]])=1,"Non","Oui")</f>
        <v>Non</v>
      </c>
      <c r="L81" s="128" t="str">
        <f>VLOOKUP(Tableau119[[#This Row],[Name Site]],Plant_AILN!A:D,4,FALSE)</f>
        <v>INDIA</v>
      </c>
      <c r="M81" s="411" t="s">
        <v>221</v>
      </c>
      <c r="N81" s="439">
        <f>VLOOKUP(Tableau119[[#This Row],[Name Site]],Plant_AILN!A:C,3,FALSE)</f>
        <v>26549500</v>
      </c>
      <c r="O81" s="55">
        <f>VLOOKUP(Tableau119[[#This Row],[Compte Consignee]],Order!C:D,2,FALSE)</f>
        <v>5</v>
      </c>
      <c r="P81" s="116" t="s">
        <v>166</v>
      </c>
      <c r="Q81" s="365">
        <f>VLOOKUP(Tableau119[[#This Row],[Name ILN]],Plant_AILN!F:G,2,FALSE)</f>
        <v>95436</v>
      </c>
      <c r="R81" s="50">
        <f>VLOOKUP(Tableau119[[#This Row],[Compte ILN]],'DATA ILN'!D:I,6,FALSE)</f>
        <v>9</v>
      </c>
      <c r="S81" s="50" t="e">
        <f>IFERROR(VLOOKUP(Tableau119[[#This Row],[Key(Compte ILN - shipper - POL - plant)]],'DATA ILN'!A:J,10,FALSE),VLOOKUP(Tableau119[[#This Row],[Key(Compte ILN - shipper - POL)]],'DATA ILN'!B:J,9,FALSE))</f>
        <v>#N/A</v>
      </c>
      <c r="T81" s="50" t="e">
        <f>IFERROR(VLOOKUP(Tableau119[[#This Row],[Key(Compte ILN - shipper - POL - plant)]],'DATA ILN'!A:K,11,FALSE),VLOOKUP(Tableau119[[#This Row],[Key(Compte ILN - shipper - POL)]],'DATA ILN'!B:K,10,FALSE))</f>
        <v>#N/A</v>
      </c>
      <c r="U81" s="50" t="e">
        <f>IFERROR(VLOOKUP(Tableau119[[#This Row],[Key(Compte ILN - shipper - POL - plant)]],'DATA ILN'!A:L,12,FALSE),VLOOKUP(Tableau119[[#This Row],[Key(Compte ILN - shipper - POL)]],'DATA ILN'!B:L,11,FALSE))</f>
        <v>#N/A</v>
      </c>
      <c r="V81" s="50" t="e">
        <f>Tableau119[[#This Row],[Day ILN Order]]+Tableau119[[#This Row],[Delivery time to ILN/Shipper]]-1</f>
        <v>#N/A</v>
      </c>
      <c r="W81" s="50" t="e">
        <f>IFERROR(VLOOKUP(Tableau119[[#This Row],[Key(Compte ILN - shipper - POL - plant)]],'DATA ILN'!A:N,14,FALSE),VLOOKUP(Tableau119[[#This Row],[Key(Compte ILN - shipper - POL)]],'DATA ILN'!B:N,13,FALSE))</f>
        <v>#N/A</v>
      </c>
      <c r="X81" s="53" t="e">
        <f>IFERROR(VLOOKUP(Tableau119[[#This Row],[Key(Compte ILN - shipper - POL - plant)]],'DATA ILN'!A:P,16,FALSE),VLOOKUP(Tableau119[[#This Row],[Key(Compte ILN - shipper - POL)]],'DATA ILN'!B:P,15,FALSE))</f>
        <v>#N/A</v>
      </c>
      <c r="Y81" s="284" t="s">
        <v>166</v>
      </c>
      <c r="Z81" s="437">
        <f>IFERROR(VLOOKUP(Tableau119[[#This Row],[Name Shipper]],Plant_AILN!L:M,2,FALSE),0)</f>
        <v>95436</v>
      </c>
      <c r="AA81" s="406">
        <v>23</v>
      </c>
      <c r="AB81" s="396" t="b">
        <f>_xlfn.XLOOKUP(Tableau119[[#This Row],[Key(ID-date)]],'DATA BTO'!S:S,'DATA BTO'!E:E,FALSE)</f>
        <v>0</v>
      </c>
      <c r="AC81" s="3" t="b">
        <f>_xlfn.XLOOKUP(Tableau119[[#This Row],[Key(ID-date)]],'DATA BTO'!S:S,'DATA BTO'!F:F,FALSE)</f>
        <v>0</v>
      </c>
      <c r="AD81" s="50" t="b">
        <f>_xlfn.XLOOKUP(Tableau119[[#This Row],[Key(ID-date)]],'DATA BTO'!S:S,'DATA BTO'!G:G,FALSE)</f>
        <v>0</v>
      </c>
      <c r="AE81" s="50" t="b">
        <f>_xlfn.XLOOKUP(Tableau119[[#This Row],[Key(ID-date)]],'DATA BTO'!S:S,'DATA BTO'!H:H,FALSE)</f>
        <v>0</v>
      </c>
      <c r="AF81" s="50" t="e">
        <f>IF(Tableau119[[#This Row],[First Day to POL]]&lt;=Tableau119[[#This Row],[Day Cut Off]],Tableau119[[#This Row],[Day ETD]],Tableau119[[#This Row],[Day ETD]]+7)</f>
        <v>#N/A</v>
      </c>
      <c r="AG81" s="50" t="b">
        <f>_xlfn.XLOOKUP(Tableau119[[#This Row],[Key(ID-date)]],'DATA BTO'!S:S,'DATA BTO'!I:I,FALSE)</f>
        <v>0</v>
      </c>
      <c r="AH81" s="3" t="b">
        <f>_xlfn.XLOOKUP(Tableau119[[#This Row],[Key(ID-date)]],'DATA BTO'!S:S,'DATA BTO'!J:J,FALSE)</f>
        <v>0</v>
      </c>
      <c r="AI81" s="3" t="b">
        <f>_xlfn.XLOOKUP(Tableau119[[#This Row],[Key(ID-date)]],'DATA BTO'!S:S,'DATA BTO'!K:K,FALSE)</f>
        <v>0</v>
      </c>
      <c r="AJ81" s="50" t="b">
        <f>_xlfn.XLOOKUP(Tableau119[[#This Row],[Key(ID-date)]],'DATA BTO'!S:S,'DATA BTO'!L:L,FALSE)</f>
        <v>0</v>
      </c>
      <c r="AK81" s="53" t="b">
        <f>_xlfn.XLOOKUP(Tableau119[[#This Row],[Key(ID-date)]],'DATA BTO'!S:S,'DATA BTO'!N:N,FALSE)</f>
        <v>0</v>
      </c>
      <c r="AL81" s="54" t="e">
        <f>VLOOKUP(Tableau119[[#This Row],[Key(POD -PFI- Usine)]],'DATA Consignee'!A:F,6,FALSE)</f>
        <v>#N/A</v>
      </c>
      <c r="AM81" s="127"/>
      <c r="AN81" s="438" t="str">
        <f>IF(Tableau119[[#This Row],[Name PFI/CDD]]="","-",VLOOKUP(Tableau119[[#This Row],[Name PFI/CDD]],Plant_AILN!I:J,2,FALSE))</f>
        <v>-</v>
      </c>
      <c r="AO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" s="2" t="e">
        <f>VLOOKUP(Tableau119[[#This Row],[Key(POD -PFI- Usine)]],'DATA Consignee'!A:J,10,FALSE)</f>
        <v>#N/A</v>
      </c>
      <c r="AR81" s="50" t="e">
        <f>VLOOKUP(Tableau119[[#This Row],[Key(POD -PFI- Usine)]],'DATA Consignee'!A:N,14,FALSE)</f>
        <v>#N/A</v>
      </c>
      <c r="AS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1" s="50">
        <f>Tableau119[[#This Row],[Transit time]]+Tableau119[[#This Row],[Time for security]]+Tableau119[[#This Row],[Time for security2 buffer]]</f>
        <v>0</v>
      </c>
      <c r="AV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1" s="433" t="e">
        <f>Tableau119[[#This Row],[Leadtime SI2C]]+Tableau119[[#This Row],[First Receipt Days]]-Tableau119[[#This Row],[Day Customer Order]]+1</f>
        <v>#N/A</v>
      </c>
      <c r="AX81" s="119" t="e">
        <f>IF(Tableau119[[#This Row],[Name ILN]]&lt;&gt;"SFK Freight Forwarder",Tableau119[[#This Row],[Cust. Leadtime]],Tableau119[[#This Row],[Leadtime SI2C]])</f>
        <v>#N/A</v>
      </c>
      <c r="AY81" s="51" t="b">
        <f>_xlfn.XLOOKUP(Tableau119[[#This Row],[Key(ID-date)]],'DATA BTO'!S:S,'DATA BTO'!P:P,FALSE)</f>
        <v>0</v>
      </c>
      <c r="AZ81" s="338">
        <v>45777</v>
      </c>
      <c r="BA81" s="50"/>
    </row>
    <row r="82" spans="2:53">
      <c r="B82" s="474" t="str">
        <f>_xlfn.CONCAT(Tableau119[[#This Row],[Name ILN]],"-",Tableau119[[#This Row],[Name Shipper]],"-",Tableau119[[#This Row],[Name Site]])</f>
        <v>ILN Busan-ILN Busan-CHENNAI Vehicule</v>
      </c>
      <c r="C82" s="67" t="str">
        <f>_xlfn.CONCAT(Tableau119[[#This Row],[Compte ILN]],"-",Tableau119[[#This Row],[Compte Shipper]],"-",Tableau119[[#This Row],[POL]],"-",Tableau119[[#This Row],[Compte Consignee]])</f>
        <v>95436-95436-FALSO-26549502</v>
      </c>
      <c r="D82" s="66" t="str">
        <f>_xlfn.CONCAT(Tableau119[[#This Row],[Compte ILN]],"-",Tableau119[[#This Row],[Compte Shipper]],"-",Tableau119[[#This Row],[POL]])</f>
        <v>95436-95436-FALSO</v>
      </c>
      <c r="E82" s="434" t="str">
        <f>_xlfn.CONCAT(Tableau119[[#This Row],[POL]],"-",Tableau119[[#This Row],[Carrier]],"-",Tableau119[[#This Row],[POD]])</f>
        <v>FALSO-FALSO-FALSO</v>
      </c>
      <c r="F82" s="66" t="str">
        <f>_xlfn.CONCAT(Tableau119[[#This Row],[ID]],"-","Actif")</f>
        <v>23-Actif</v>
      </c>
      <c r="G82" s="66" t="str">
        <f>_xlfn.CONCAT(Tableau119[[#This Row],[POD]],"-",Tableau119[[#This Row],[Code PFI]],"-",Tableau119[[#This Row],[Compte Consignee]])</f>
        <v>FALSO---26549502</v>
      </c>
      <c r="H8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Vehicule</v>
      </c>
      <c r="I82" s="434" t="str">
        <f>_xlfn.CONCAT(Tableau119[[#This Row],[ID]],"-",Tableau119[[#This Row],[Expiration Date]])</f>
        <v>23-45777</v>
      </c>
      <c r="J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Busan-ILN Busan-23-FALSO-FALSO-FALSO--45777</v>
      </c>
      <c r="K82" s="435" t="str">
        <f ca="1">IF(COUNTIF(J:J,Tableau119[[#This Row],[Plant-ILN-shipper-POL-Carrier-POD-PFI]])=1,"Non","Oui")</f>
        <v>Non</v>
      </c>
      <c r="L82" s="128" t="str">
        <f>VLOOKUP(Tableau119[[#This Row],[Name Site]],Plant_AILN!A:D,4,FALSE)</f>
        <v>INDIA</v>
      </c>
      <c r="M82" s="411" t="s">
        <v>159</v>
      </c>
      <c r="N82" s="439">
        <f>VLOOKUP(Tableau119[[#This Row],[Name Site]],Plant_AILN!A:C,3,FALSE)</f>
        <v>26549502</v>
      </c>
      <c r="O82" s="55">
        <f>VLOOKUP(Tableau119[[#This Row],[Compte Consignee]],Order!C:D,2,FALSE)</f>
        <v>5</v>
      </c>
      <c r="P82" s="116" t="s">
        <v>166</v>
      </c>
      <c r="Q82" s="365">
        <f>VLOOKUP(Tableau119[[#This Row],[Name ILN]],Plant_AILN!F:G,2,FALSE)</f>
        <v>95436</v>
      </c>
      <c r="R82" s="50">
        <f>VLOOKUP(Tableau119[[#This Row],[Compte ILN]],'DATA ILN'!D:I,6,FALSE)</f>
        <v>9</v>
      </c>
      <c r="S82" s="50" t="e">
        <f>IFERROR(VLOOKUP(Tableau119[[#This Row],[Key(Compte ILN - shipper - POL - plant)]],'DATA ILN'!A:J,10,FALSE),VLOOKUP(Tableau119[[#This Row],[Key(Compte ILN - shipper - POL)]],'DATA ILN'!B:J,9,FALSE))</f>
        <v>#N/A</v>
      </c>
      <c r="T82" s="50" t="e">
        <f>IFERROR(VLOOKUP(Tableau119[[#This Row],[Key(Compte ILN - shipper - POL - plant)]],'DATA ILN'!A:K,11,FALSE),VLOOKUP(Tableau119[[#This Row],[Key(Compte ILN - shipper - POL)]],'DATA ILN'!B:K,10,FALSE))</f>
        <v>#N/A</v>
      </c>
      <c r="U82" s="50" t="e">
        <f>IFERROR(VLOOKUP(Tableau119[[#This Row],[Key(Compte ILN - shipper - POL - plant)]],'DATA ILN'!A:L,12,FALSE),VLOOKUP(Tableau119[[#This Row],[Key(Compte ILN - shipper - POL)]],'DATA ILN'!B:L,11,FALSE))</f>
        <v>#N/A</v>
      </c>
      <c r="V82" s="50" t="e">
        <f>Tableau119[[#This Row],[Day ILN Order]]+Tableau119[[#This Row],[Delivery time to ILN/Shipper]]-1</f>
        <v>#N/A</v>
      </c>
      <c r="W82" s="50" t="e">
        <f>IFERROR(VLOOKUP(Tableau119[[#This Row],[Key(Compte ILN - shipper - POL - plant)]],'DATA ILN'!A:N,14,FALSE),VLOOKUP(Tableau119[[#This Row],[Key(Compte ILN - shipper - POL)]],'DATA ILN'!B:N,13,FALSE))</f>
        <v>#N/A</v>
      </c>
      <c r="X82" s="53" t="e">
        <f>IFERROR(VLOOKUP(Tableau119[[#This Row],[Key(Compte ILN - shipper - POL - plant)]],'DATA ILN'!A:P,16,FALSE),VLOOKUP(Tableau119[[#This Row],[Key(Compte ILN - shipper - POL)]],'DATA ILN'!B:P,15,FALSE))</f>
        <v>#N/A</v>
      </c>
      <c r="Y82" s="284" t="s">
        <v>166</v>
      </c>
      <c r="Z82" s="437">
        <f>IFERROR(VLOOKUP(Tableau119[[#This Row],[Name Shipper]],Plant_AILN!L:M,2,FALSE),0)</f>
        <v>95436</v>
      </c>
      <c r="AA82" s="406">
        <v>23</v>
      </c>
      <c r="AB82" s="396" t="b">
        <f>_xlfn.XLOOKUP(Tableau119[[#This Row],[Key(ID-date)]],'DATA BTO'!S:S,'DATA BTO'!E:E,FALSE)</f>
        <v>0</v>
      </c>
      <c r="AC82" s="3" t="b">
        <f>_xlfn.XLOOKUP(Tableau119[[#This Row],[Key(ID-date)]],'DATA BTO'!S:S,'DATA BTO'!F:F,FALSE)</f>
        <v>0</v>
      </c>
      <c r="AD82" s="50" t="b">
        <f>_xlfn.XLOOKUP(Tableau119[[#This Row],[Key(ID-date)]],'DATA BTO'!S:S,'DATA BTO'!G:G,FALSE)</f>
        <v>0</v>
      </c>
      <c r="AE82" s="50" t="b">
        <f>_xlfn.XLOOKUP(Tableau119[[#This Row],[Key(ID-date)]],'DATA BTO'!S:S,'DATA BTO'!H:H,FALSE)</f>
        <v>0</v>
      </c>
      <c r="AF82" s="50" t="e">
        <f>IF(Tableau119[[#This Row],[First Day to POL]]&lt;=Tableau119[[#This Row],[Day Cut Off]],Tableau119[[#This Row],[Day ETD]],Tableau119[[#This Row],[Day ETD]]+7)</f>
        <v>#N/A</v>
      </c>
      <c r="AG82" s="50" t="b">
        <f>_xlfn.XLOOKUP(Tableau119[[#This Row],[Key(ID-date)]],'DATA BTO'!S:S,'DATA BTO'!I:I,FALSE)</f>
        <v>0</v>
      </c>
      <c r="AH82" s="3" t="b">
        <f>_xlfn.XLOOKUP(Tableau119[[#This Row],[Key(ID-date)]],'DATA BTO'!S:S,'DATA BTO'!J:J,FALSE)</f>
        <v>0</v>
      </c>
      <c r="AI82" s="3" t="b">
        <f>_xlfn.XLOOKUP(Tableau119[[#This Row],[Key(ID-date)]],'DATA BTO'!S:S,'DATA BTO'!K:K,FALSE)</f>
        <v>0</v>
      </c>
      <c r="AJ82" s="50" t="b">
        <f>_xlfn.XLOOKUP(Tableau119[[#This Row],[Key(ID-date)]],'DATA BTO'!S:S,'DATA BTO'!L:L,FALSE)</f>
        <v>0</v>
      </c>
      <c r="AK82" s="53" t="b">
        <f>_xlfn.XLOOKUP(Tableau119[[#This Row],[Key(ID-date)]],'DATA BTO'!S:S,'DATA BTO'!N:N,FALSE)</f>
        <v>0</v>
      </c>
      <c r="AL82" s="54" t="e">
        <f>VLOOKUP(Tableau119[[#This Row],[Key(POD -PFI- Usine)]],'DATA Consignee'!A:F,6,FALSE)</f>
        <v>#N/A</v>
      </c>
      <c r="AM82" s="127"/>
      <c r="AN82" s="438" t="str">
        <f>IF(Tableau119[[#This Row],[Name PFI/CDD]]="","-",VLOOKUP(Tableau119[[#This Row],[Name PFI/CDD]],Plant_AILN!I:J,2,FALSE))</f>
        <v>-</v>
      </c>
      <c r="AO8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" s="2" t="e">
        <f>VLOOKUP(Tableau119[[#This Row],[Key(POD -PFI- Usine)]],'DATA Consignee'!A:J,10,FALSE)</f>
        <v>#N/A</v>
      </c>
      <c r="AR82" s="50" t="e">
        <f>VLOOKUP(Tableau119[[#This Row],[Key(POD -PFI- Usine)]],'DATA Consignee'!A:N,14,FALSE)</f>
        <v>#N/A</v>
      </c>
      <c r="AS8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2" s="50">
        <f>Tableau119[[#This Row],[Transit time]]+Tableau119[[#This Row],[Time for security]]+Tableau119[[#This Row],[Time for security2 buffer]]</f>
        <v>0</v>
      </c>
      <c r="AV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2" s="433" t="e">
        <f>Tableau119[[#This Row],[Leadtime SI2C]]+Tableau119[[#This Row],[First Receipt Days]]-Tableau119[[#This Row],[Day Customer Order]]+1</f>
        <v>#N/A</v>
      </c>
      <c r="AX82" s="119" t="e">
        <f>IF(Tableau119[[#This Row],[Name ILN]]&lt;&gt;"SFK Freight Forwarder",Tableau119[[#This Row],[Cust. Leadtime]],Tableau119[[#This Row],[Leadtime SI2C]])</f>
        <v>#N/A</v>
      </c>
      <c r="AY82" s="51" t="b">
        <f>_xlfn.XLOOKUP(Tableau119[[#This Row],[Key(ID-date)]],'DATA BTO'!S:S,'DATA BTO'!P:P,FALSE)</f>
        <v>0</v>
      </c>
      <c r="AZ82" s="338">
        <v>45777</v>
      </c>
      <c r="BA82" s="50"/>
    </row>
    <row r="83" spans="2:53">
      <c r="B83" s="474" t="str">
        <f>_xlfn.CONCAT(Tableau119[[#This Row],[Name ILN]],"-",Tableau119[[#This Row],[Name Shipper]],"-",Tableau119[[#This Row],[Name Site]])</f>
        <v>ILN Busan-ILN Busan-CHENNAI Powertrain</v>
      </c>
      <c r="C83" s="67" t="str">
        <f>_xlfn.CONCAT(Tableau119[[#This Row],[Compte ILN]],"-",Tableau119[[#This Row],[Compte Shipper]],"-",Tableau119[[#This Row],[POL]],"-",Tableau119[[#This Row],[Compte Consignee]])</f>
        <v>95436-95436-FALSO-26549500</v>
      </c>
      <c r="D83" s="66" t="str">
        <f>_xlfn.CONCAT(Tableau119[[#This Row],[Compte ILN]],"-",Tableau119[[#This Row],[Compte Shipper]],"-",Tableau119[[#This Row],[POL]])</f>
        <v>95436-95436-FALSO</v>
      </c>
      <c r="E83" s="434" t="str">
        <f>_xlfn.CONCAT(Tableau119[[#This Row],[POL]],"-",Tableau119[[#This Row],[Carrier]],"-",Tableau119[[#This Row],[POD]])</f>
        <v>FALSO-FALSO-FALSO</v>
      </c>
      <c r="F83" s="66" t="str">
        <f>_xlfn.CONCAT(Tableau119[[#This Row],[ID]],"-","Actif")</f>
        <v>23-Actif</v>
      </c>
      <c r="G83" s="66" t="str">
        <f>_xlfn.CONCAT(Tableau119[[#This Row],[POD]],"-",Tableau119[[#This Row],[Code PFI]],"-",Tableau119[[#This Row],[Compte Consignee]])</f>
        <v>FALSO---26549500</v>
      </c>
      <c r="H8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Powertrain</v>
      </c>
      <c r="I83" s="434" t="str">
        <f>_xlfn.CONCAT(Tableau119[[#This Row],[ID]],"-",Tableau119[[#This Row],[Expiration Date]])</f>
        <v>23-45473</v>
      </c>
      <c r="J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Busan-ILN Busan-23-FALSO-FALSO-FALSO--45473</v>
      </c>
      <c r="K83" s="435" t="str">
        <f ca="1">IF(COUNTIF(J:J,Tableau119[[#This Row],[Plant-ILN-shipper-POL-Carrier-POD-PFI]])=1,"Non","Oui")</f>
        <v>Non</v>
      </c>
      <c r="L83" s="128" t="str">
        <f>VLOOKUP(Tableau119[[#This Row],[Name Site]],Plant_AILN!A:D,4,FALSE)</f>
        <v>INDIA</v>
      </c>
      <c r="M83" s="411" t="s">
        <v>221</v>
      </c>
      <c r="N83" s="439">
        <f>VLOOKUP(Tableau119[[#This Row],[Name Site]],Plant_AILN!A:C,3,FALSE)</f>
        <v>26549500</v>
      </c>
      <c r="O83" s="55">
        <f>VLOOKUP(Tableau119[[#This Row],[Compte Consignee]],Order!C:D,2,FALSE)</f>
        <v>5</v>
      </c>
      <c r="P83" s="116" t="s">
        <v>166</v>
      </c>
      <c r="Q83" s="365">
        <f>VLOOKUP(Tableau119[[#This Row],[Name ILN]],Plant_AILN!F:G,2,FALSE)</f>
        <v>95436</v>
      </c>
      <c r="R83" s="50">
        <f>VLOOKUP(Tableau119[[#This Row],[Compte ILN]],'DATA ILN'!D:I,6,FALSE)</f>
        <v>9</v>
      </c>
      <c r="S83" s="50" t="e">
        <f>IFERROR(VLOOKUP(Tableau119[[#This Row],[Key(Compte ILN - shipper - POL - plant)]],'DATA ILN'!A:J,10,FALSE),VLOOKUP(Tableau119[[#This Row],[Key(Compte ILN - shipper - POL)]],'DATA ILN'!B:J,9,FALSE))</f>
        <v>#N/A</v>
      </c>
      <c r="T83" s="50" t="e">
        <f>IFERROR(VLOOKUP(Tableau119[[#This Row],[Key(Compte ILN - shipper - POL - plant)]],'DATA ILN'!A:K,11,FALSE),VLOOKUP(Tableau119[[#This Row],[Key(Compte ILN - shipper - POL)]],'DATA ILN'!B:K,10,FALSE))</f>
        <v>#N/A</v>
      </c>
      <c r="U83" s="50" t="e">
        <f>IFERROR(VLOOKUP(Tableau119[[#This Row],[Key(Compte ILN - shipper - POL - plant)]],'DATA ILN'!A:L,12,FALSE),VLOOKUP(Tableau119[[#This Row],[Key(Compte ILN - shipper - POL)]],'DATA ILN'!B:L,11,FALSE))</f>
        <v>#N/A</v>
      </c>
      <c r="V83" s="50" t="e">
        <f>Tableau119[[#This Row],[Day ILN Order]]+Tableau119[[#This Row],[Delivery time to ILN/Shipper]]-1</f>
        <v>#N/A</v>
      </c>
      <c r="W83" s="50" t="e">
        <f>IFERROR(VLOOKUP(Tableau119[[#This Row],[Key(Compte ILN - shipper - POL - plant)]],'DATA ILN'!A:N,14,FALSE),VLOOKUP(Tableau119[[#This Row],[Key(Compte ILN - shipper - POL)]],'DATA ILN'!B:N,13,FALSE))</f>
        <v>#N/A</v>
      </c>
      <c r="X83" s="53" t="e">
        <f>IFERROR(VLOOKUP(Tableau119[[#This Row],[Key(Compte ILN - shipper - POL - plant)]],'DATA ILN'!A:P,16,FALSE),VLOOKUP(Tableau119[[#This Row],[Key(Compte ILN - shipper - POL)]],'DATA ILN'!B:P,15,FALSE))</f>
        <v>#N/A</v>
      </c>
      <c r="Y83" s="284" t="s">
        <v>166</v>
      </c>
      <c r="Z83" s="437">
        <f>IFERROR(VLOOKUP(Tableau119[[#This Row],[Name Shipper]],Plant_AILN!L:M,2,FALSE),0)</f>
        <v>95436</v>
      </c>
      <c r="AA83" s="406">
        <v>23</v>
      </c>
      <c r="AB83" s="396" t="b">
        <f>_xlfn.XLOOKUP(Tableau119[[#This Row],[Key(ID-date)]],'DATA BTO'!S:S,'DATA BTO'!E:E,FALSE)</f>
        <v>0</v>
      </c>
      <c r="AC83" s="3" t="b">
        <f>_xlfn.XLOOKUP(Tableau119[[#This Row],[Key(ID-date)]],'DATA BTO'!S:S,'DATA BTO'!F:F,FALSE)</f>
        <v>0</v>
      </c>
      <c r="AD83" s="50" t="b">
        <f>_xlfn.XLOOKUP(Tableau119[[#This Row],[Key(ID-date)]],'DATA BTO'!S:S,'DATA BTO'!G:G,FALSE)</f>
        <v>0</v>
      </c>
      <c r="AE83" s="50" t="b">
        <f>_xlfn.XLOOKUP(Tableau119[[#This Row],[Key(ID-date)]],'DATA BTO'!S:S,'DATA BTO'!H:H,FALSE)</f>
        <v>0</v>
      </c>
      <c r="AF83" s="50" t="e">
        <f>IF(Tableau119[[#This Row],[First Day to POL]]&lt;=Tableau119[[#This Row],[Day Cut Off]],Tableau119[[#This Row],[Day ETD]],Tableau119[[#This Row],[Day ETD]]+7)</f>
        <v>#N/A</v>
      </c>
      <c r="AG83" s="50" t="b">
        <f>_xlfn.XLOOKUP(Tableau119[[#This Row],[Key(ID-date)]],'DATA BTO'!S:S,'DATA BTO'!I:I,FALSE)</f>
        <v>0</v>
      </c>
      <c r="AH83" s="3" t="b">
        <f>_xlfn.XLOOKUP(Tableau119[[#This Row],[Key(ID-date)]],'DATA BTO'!S:S,'DATA BTO'!J:J,FALSE)</f>
        <v>0</v>
      </c>
      <c r="AI83" s="3" t="b">
        <f>_xlfn.XLOOKUP(Tableau119[[#This Row],[Key(ID-date)]],'DATA BTO'!S:S,'DATA BTO'!K:K,FALSE)</f>
        <v>0</v>
      </c>
      <c r="AJ83" s="50" t="b">
        <f>_xlfn.XLOOKUP(Tableau119[[#This Row],[Key(ID-date)]],'DATA BTO'!S:S,'DATA BTO'!L:L,FALSE)</f>
        <v>0</v>
      </c>
      <c r="AK83" s="53" t="b">
        <f>_xlfn.XLOOKUP(Tableau119[[#This Row],[Key(ID-date)]],'DATA BTO'!S:S,'DATA BTO'!N:N,FALSE)</f>
        <v>0</v>
      </c>
      <c r="AL83" s="54" t="e">
        <f>VLOOKUP(Tableau119[[#This Row],[Key(POD -PFI- Usine)]],'DATA Consignee'!A:F,6,FALSE)</f>
        <v>#N/A</v>
      </c>
      <c r="AM83" s="127"/>
      <c r="AN83" s="438" t="str">
        <f>IF(Tableau119[[#This Row],[Name PFI/CDD]]="","-",VLOOKUP(Tableau119[[#This Row],[Name PFI/CDD]],Plant_AILN!I:J,2,FALSE))</f>
        <v>-</v>
      </c>
      <c r="AO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" s="2" t="e">
        <f>VLOOKUP(Tableau119[[#This Row],[Key(POD -PFI- Usine)]],'DATA Consignee'!A:J,10,FALSE)</f>
        <v>#N/A</v>
      </c>
      <c r="AR83" s="50" t="e">
        <f>VLOOKUP(Tableau119[[#This Row],[Key(POD -PFI- Usine)]],'DATA Consignee'!A:N,14,FALSE)</f>
        <v>#N/A</v>
      </c>
      <c r="AS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3" s="50">
        <f>Tableau119[[#This Row],[Transit time]]+Tableau119[[#This Row],[Time for security]]+Tableau119[[#This Row],[Time for security2 buffer]]</f>
        <v>0</v>
      </c>
      <c r="AV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3" s="433" t="e">
        <f>Tableau119[[#This Row],[Leadtime SI2C]]+Tableau119[[#This Row],[First Receipt Days]]-Tableau119[[#This Row],[Day Customer Order]]+1</f>
        <v>#N/A</v>
      </c>
      <c r="AX83" s="119" t="e">
        <f>IF(Tableau119[[#This Row],[Name ILN]]&lt;&gt;"SFK Freight Forwarder",Tableau119[[#This Row],[Cust. Leadtime]],Tableau119[[#This Row],[Leadtime SI2C]])</f>
        <v>#N/A</v>
      </c>
      <c r="AY83" s="51" t="b">
        <f>_xlfn.XLOOKUP(Tableau119[[#This Row],[Key(ID-date)]],'DATA BTO'!S:S,'DATA BTO'!P:P,FALSE)</f>
        <v>0</v>
      </c>
      <c r="AZ83" s="338">
        <v>45473</v>
      </c>
      <c r="BA83" s="50"/>
    </row>
    <row r="84" spans="2:53">
      <c r="B84" s="474" t="str">
        <f>_xlfn.CONCAT(Tableau119[[#This Row],[Name ILN]],"-",Tableau119[[#This Row],[Name Shipper]],"-",Tableau119[[#This Row],[Name Site]])</f>
        <v>ILN Busan-ILN Busan-CHENNAI Vehicule</v>
      </c>
      <c r="C84" s="67" t="str">
        <f>_xlfn.CONCAT(Tableau119[[#This Row],[Compte ILN]],"-",Tableau119[[#This Row],[Compte Shipper]],"-",Tableau119[[#This Row],[POL]],"-",Tableau119[[#This Row],[Compte Consignee]])</f>
        <v>95436-95436-FALSO-26549502</v>
      </c>
      <c r="D84" s="66" t="str">
        <f>_xlfn.CONCAT(Tableau119[[#This Row],[Compte ILN]],"-",Tableau119[[#This Row],[Compte Shipper]],"-",Tableau119[[#This Row],[POL]])</f>
        <v>95436-95436-FALSO</v>
      </c>
      <c r="E84" s="434" t="str">
        <f>_xlfn.CONCAT(Tableau119[[#This Row],[POL]],"-",Tableau119[[#This Row],[Carrier]],"-",Tableau119[[#This Row],[POD]])</f>
        <v>FALSO-FALSO-FALSO</v>
      </c>
      <c r="F84" s="66" t="str">
        <f>_xlfn.CONCAT(Tableau119[[#This Row],[ID]],"-","Actif")</f>
        <v>23-Actif</v>
      </c>
      <c r="G84" s="66" t="str">
        <f>_xlfn.CONCAT(Tableau119[[#This Row],[POD]],"-",Tableau119[[#This Row],[Code PFI]],"-",Tableau119[[#This Row],[Compte Consignee]])</f>
        <v>FALSO---26549502</v>
      </c>
      <c r="H8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Vehicule</v>
      </c>
      <c r="I84" s="434" t="str">
        <f>_xlfn.CONCAT(Tableau119[[#This Row],[ID]],"-",Tableau119[[#This Row],[Expiration Date]])</f>
        <v>23-45473</v>
      </c>
      <c r="J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Busan-ILN Busan-23-FALSO-FALSO-FALSO--45473</v>
      </c>
      <c r="K84" s="435" t="str">
        <f ca="1">IF(COUNTIF(J:J,Tableau119[[#This Row],[Plant-ILN-shipper-POL-Carrier-POD-PFI]])=1,"Non","Oui")</f>
        <v>Non</v>
      </c>
      <c r="L84" s="128" t="str">
        <f>VLOOKUP(Tableau119[[#This Row],[Name Site]],Plant_AILN!A:D,4,FALSE)</f>
        <v>INDIA</v>
      </c>
      <c r="M84" s="411" t="s">
        <v>159</v>
      </c>
      <c r="N84" s="439">
        <f>VLOOKUP(Tableau119[[#This Row],[Name Site]],Plant_AILN!A:C,3,FALSE)</f>
        <v>26549502</v>
      </c>
      <c r="O84" s="55">
        <f>VLOOKUP(Tableau119[[#This Row],[Compte Consignee]],Order!C:D,2,FALSE)</f>
        <v>5</v>
      </c>
      <c r="P84" s="116" t="s">
        <v>166</v>
      </c>
      <c r="Q84" s="365">
        <f>VLOOKUP(Tableau119[[#This Row],[Name ILN]],Plant_AILN!F:G,2,FALSE)</f>
        <v>95436</v>
      </c>
      <c r="R84" s="50">
        <f>VLOOKUP(Tableau119[[#This Row],[Compte ILN]],'DATA ILN'!D:I,6,FALSE)</f>
        <v>9</v>
      </c>
      <c r="S84" s="50" t="e">
        <f>IFERROR(VLOOKUP(Tableau119[[#This Row],[Key(Compte ILN - shipper - POL - plant)]],'DATA ILN'!A:J,10,FALSE),VLOOKUP(Tableau119[[#This Row],[Key(Compte ILN - shipper - POL)]],'DATA ILN'!B:J,9,FALSE))</f>
        <v>#N/A</v>
      </c>
      <c r="T84" s="50" t="e">
        <f>IFERROR(VLOOKUP(Tableau119[[#This Row],[Key(Compte ILN - shipper - POL - plant)]],'DATA ILN'!A:K,11,FALSE),VLOOKUP(Tableau119[[#This Row],[Key(Compte ILN - shipper - POL)]],'DATA ILN'!B:K,10,FALSE))</f>
        <v>#N/A</v>
      </c>
      <c r="U84" s="50" t="e">
        <f>IFERROR(VLOOKUP(Tableau119[[#This Row],[Key(Compte ILN - shipper - POL - plant)]],'DATA ILN'!A:L,12,FALSE),VLOOKUP(Tableau119[[#This Row],[Key(Compte ILN - shipper - POL)]],'DATA ILN'!B:L,11,FALSE))</f>
        <v>#N/A</v>
      </c>
      <c r="V84" s="50" t="e">
        <f>Tableau119[[#This Row],[Day ILN Order]]+Tableau119[[#This Row],[Delivery time to ILN/Shipper]]-1</f>
        <v>#N/A</v>
      </c>
      <c r="W84" s="50" t="e">
        <f>IFERROR(VLOOKUP(Tableau119[[#This Row],[Key(Compte ILN - shipper - POL - plant)]],'DATA ILN'!A:N,14,FALSE),VLOOKUP(Tableau119[[#This Row],[Key(Compte ILN - shipper - POL)]],'DATA ILN'!B:N,13,FALSE))</f>
        <v>#N/A</v>
      </c>
      <c r="X84" s="53" t="e">
        <f>IFERROR(VLOOKUP(Tableau119[[#This Row],[Key(Compte ILN - shipper - POL - plant)]],'DATA ILN'!A:P,16,FALSE),VLOOKUP(Tableau119[[#This Row],[Key(Compte ILN - shipper - POL)]],'DATA ILN'!B:P,15,FALSE))</f>
        <v>#N/A</v>
      </c>
      <c r="Y84" s="284" t="s">
        <v>166</v>
      </c>
      <c r="Z84" s="437">
        <f>IFERROR(VLOOKUP(Tableau119[[#This Row],[Name Shipper]],Plant_AILN!L:M,2,FALSE),0)</f>
        <v>95436</v>
      </c>
      <c r="AA84" s="406">
        <v>23</v>
      </c>
      <c r="AB84" s="396" t="b">
        <f>_xlfn.XLOOKUP(Tableau119[[#This Row],[Key(ID-date)]],'DATA BTO'!S:S,'DATA BTO'!E:E,FALSE)</f>
        <v>0</v>
      </c>
      <c r="AC84" s="3" t="b">
        <f>_xlfn.XLOOKUP(Tableau119[[#This Row],[Key(ID-date)]],'DATA BTO'!S:S,'DATA BTO'!F:F,FALSE)</f>
        <v>0</v>
      </c>
      <c r="AD84" s="50" t="b">
        <f>_xlfn.XLOOKUP(Tableau119[[#This Row],[Key(ID-date)]],'DATA BTO'!S:S,'DATA BTO'!G:G,FALSE)</f>
        <v>0</v>
      </c>
      <c r="AE84" s="50" t="b">
        <f>_xlfn.XLOOKUP(Tableau119[[#This Row],[Key(ID-date)]],'DATA BTO'!S:S,'DATA BTO'!H:H,FALSE)</f>
        <v>0</v>
      </c>
      <c r="AF84" s="50" t="e">
        <f>IF(Tableau119[[#This Row],[First Day to POL]]&lt;=Tableau119[[#This Row],[Day Cut Off]],Tableau119[[#This Row],[Day ETD]],Tableau119[[#This Row],[Day ETD]]+7)</f>
        <v>#N/A</v>
      </c>
      <c r="AG84" s="50" t="b">
        <f>_xlfn.XLOOKUP(Tableau119[[#This Row],[Key(ID-date)]],'DATA BTO'!S:S,'DATA BTO'!I:I,FALSE)</f>
        <v>0</v>
      </c>
      <c r="AH84" s="3" t="b">
        <f>_xlfn.XLOOKUP(Tableau119[[#This Row],[Key(ID-date)]],'DATA BTO'!S:S,'DATA BTO'!J:J,FALSE)</f>
        <v>0</v>
      </c>
      <c r="AI84" s="3" t="b">
        <f>_xlfn.XLOOKUP(Tableau119[[#This Row],[Key(ID-date)]],'DATA BTO'!S:S,'DATA BTO'!K:K,FALSE)</f>
        <v>0</v>
      </c>
      <c r="AJ84" s="50" t="b">
        <f>_xlfn.XLOOKUP(Tableau119[[#This Row],[Key(ID-date)]],'DATA BTO'!S:S,'DATA BTO'!L:L,FALSE)</f>
        <v>0</v>
      </c>
      <c r="AK84" s="53" t="b">
        <f>_xlfn.XLOOKUP(Tableau119[[#This Row],[Key(ID-date)]],'DATA BTO'!S:S,'DATA BTO'!N:N,FALSE)</f>
        <v>0</v>
      </c>
      <c r="AL84" s="54" t="e">
        <f>VLOOKUP(Tableau119[[#This Row],[Key(POD -PFI- Usine)]],'DATA Consignee'!A:F,6,FALSE)</f>
        <v>#N/A</v>
      </c>
      <c r="AM84" s="127"/>
      <c r="AN84" s="438" t="str">
        <f>IF(Tableau119[[#This Row],[Name PFI/CDD]]="","-",VLOOKUP(Tableau119[[#This Row],[Name PFI/CDD]],Plant_AILN!I:J,2,FALSE))</f>
        <v>-</v>
      </c>
      <c r="AO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" s="2" t="e">
        <f>VLOOKUP(Tableau119[[#This Row],[Key(POD -PFI- Usine)]],'DATA Consignee'!A:J,10,FALSE)</f>
        <v>#N/A</v>
      </c>
      <c r="AR84" s="50" t="e">
        <f>VLOOKUP(Tableau119[[#This Row],[Key(POD -PFI- Usine)]],'DATA Consignee'!A:N,14,FALSE)</f>
        <v>#N/A</v>
      </c>
      <c r="AS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4" s="50">
        <f>Tableau119[[#This Row],[Transit time]]+Tableau119[[#This Row],[Time for security]]+Tableau119[[#This Row],[Time for security2 buffer]]</f>
        <v>0</v>
      </c>
      <c r="AV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4" s="433" t="e">
        <f>Tableau119[[#This Row],[Leadtime SI2C]]+Tableau119[[#This Row],[First Receipt Days]]-Tableau119[[#This Row],[Day Customer Order]]+1</f>
        <v>#N/A</v>
      </c>
      <c r="AX84" s="119" t="e">
        <f>IF(Tableau119[[#This Row],[Name ILN]]&lt;&gt;"SFK Freight Forwarder",Tableau119[[#This Row],[Cust. Leadtime]],Tableau119[[#This Row],[Leadtime SI2C]])</f>
        <v>#N/A</v>
      </c>
      <c r="AY84" s="51" t="b">
        <f>_xlfn.XLOOKUP(Tableau119[[#This Row],[Key(ID-date)]],'DATA BTO'!S:S,'DATA BTO'!P:P,FALSE)</f>
        <v>0</v>
      </c>
      <c r="AZ84" s="338">
        <v>45473</v>
      </c>
      <c r="BA84" s="50"/>
    </row>
    <row r="85" spans="2:53">
      <c r="B85" s="474" t="str">
        <f>_xlfn.CONCAT(Tableau119[[#This Row],[Name ILN]],"-",Tableau119[[#This Row],[Name Shipper]],"-",Tableau119[[#This Row],[Name Site]])</f>
        <v>ILN Busan-ILN Busan-CHENNAI Powertrain</v>
      </c>
      <c r="C85" s="67" t="str">
        <f>_xlfn.CONCAT(Tableau119[[#This Row],[Compte ILN]],"-",Tableau119[[#This Row],[Compte Shipper]],"-",Tableau119[[#This Row],[POL]],"-",Tableau119[[#This Row],[Compte Consignee]])</f>
        <v>95436-95436-FALSO-26549500</v>
      </c>
      <c r="D85" s="66" t="str">
        <f>_xlfn.CONCAT(Tableau119[[#This Row],[Compte ILN]],"-",Tableau119[[#This Row],[Compte Shipper]],"-",Tableau119[[#This Row],[POL]])</f>
        <v>95436-95436-FALSO</v>
      </c>
      <c r="E85" s="434" t="str">
        <f>_xlfn.CONCAT(Tableau119[[#This Row],[POL]],"-",Tableau119[[#This Row],[Carrier]],"-",Tableau119[[#This Row],[POD]])</f>
        <v>FALSO-FALSO-FALSO</v>
      </c>
      <c r="F85" s="66" t="str">
        <f>_xlfn.CONCAT(Tableau119[[#This Row],[ID]],"-","Actif")</f>
        <v>23-Actif</v>
      </c>
      <c r="G85" s="66" t="str">
        <f>_xlfn.CONCAT(Tableau119[[#This Row],[POD]],"-",Tableau119[[#This Row],[Code PFI]],"-",Tableau119[[#This Row],[Compte Consignee]])</f>
        <v>FALSO---26549500</v>
      </c>
      <c r="H8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Powertrain</v>
      </c>
      <c r="I85" s="434" t="str">
        <f>_xlfn.CONCAT(Tableau119[[#This Row],[ID]],"-",Tableau119[[#This Row],[Expiration Date]])</f>
        <v>23-45412</v>
      </c>
      <c r="J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Busan-ILN Busan-23-FALSO-FALSO-FALSO--45412</v>
      </c>
      <c r="K85" s="435" t="str">
        <f ca="1">IF(COUNTIF(J:J,Tableau119[[#This Row],[Plant-ILN-shipper-POL-Carrier-POD-PFI]])=1,"Non","Oui")</f>
        <v>Non</v>
      </c>
      <c r="L85" s="128" t="str">
        <f>VLOOKUP(Tableau119[[#This Row],[Name Site]],Plant_AILN!A:D,4,FALSE)</f>
        <v>INDIA</v>
      </c>
      <c r="M85" s="411" t="s">
        <v>221</v>
      </c>
      <c r="N85" s="439">
        <f>VLOOKUP(Tableau119[[#This Row],[Name Site]],Plant_AILN!A:C,3,FALSE)</f>
        <v>26549500</v>
      </c>
      <c r="O85" s="55">
        <f>VLOOKUP(Tableau119[[#This Row],[Compte Consignee]],Order!C:D,2,FALSE)</f>
        <v>5</v>
      </c>
      <c r="P85" s="116" t="s">
        <v>166</v>
      </c>
      <c r="Q85" s="365">
        <f>VLOOKUP(Tableau119[[#This Row],[Name ILN]],Plant_AILN!F:G,2,FALSE)</f>
        <v>95436</v>
      </c>
      <c r="R85" s="50">
        <f>VLOOKUP(Tableau119[[#This Row],[Compte ILN]],'DATA ILN'!D:I,6,FALSE)</f>
        <v>9</v>
      </c>
      <c r="S85" s="50" t="e">
        <f>IFERROR(VLOOKUP(Tableau119[[#This Row],[Key(Compte ILN - shipper - POL - plant)]],'DATA ILN'!A:J,10,FALSE),VLOOKUP(Tableau119[[#This Row],[Key(Compte ILN - shipper - POL)]],'DATA ILN'!B:J,9,FALSE))</f>
        <v>#N/A</v>
      </c>
      <c r="T85" s="50" t="e">
        <f>IFERROR(VLOOKUP(Tableau119[[#This Row],[Key(Compte ILN - shipper - POL - plant)]],'DATA ILN'!A:K,11,FALSE),VLOOKUP(Tableau119[[#This Row],[Key(Compte ILN - shipper - POL)]],'DATA ILN'!B:K,10,FALSE))</f>
        <v>#N/A</v>
      </c>
      <c r="U85" s="50" t="e">
        <f>IFERROR(VLOOKUP(Tableau119[[#This Row],[Key(Compte ILN - shipper - POL - plant)]],'DATA ILN'!A:L,12,FALSE),VLOOKUP(Tableau119[[#This Row],[Key(Compte ILN - shipper - POL)]],'DATA ILN'!B:L,11,FALSE))</f>
        <v>#N/A</v>
      </c>
      <c r="V85" s="50" t="e">
        <f>Tableau119[[#This Row],[Day ILN Order]]+Tableau119[[#This Row],[Delivery time to ILN/Shipper]]-1</f>
        <v>#N/A</v>
      </c>
      <c r="W85" s="50" t="e">
        <f>IFERROR(VLOOKUP(Tableau119[[#This Row],[Key(Compte ILN - shipper - POL - plant)]],'DATA ILN'!A:N,14,FALSE),VLOOKUP(Tableau119[[#This Row],[Key(Compte ILN - shipper - POL)]],'DATA ILN'!B:N,13,FALSE))</f>
        <v>#N/A</v>
      </c>
      <c r="X85" s="53" t="e">
        <f>IFERROR(VLOOKUP(Tableau119[[#This Row],[Key(Compte ILN - shipper - POL - plant)]],'DATA ILN'!A:P,16,FALSE),VLOOKUP(Tableau119[[#This Row],[Key(Compte ILN - shipper - POL)]],'DATA ILN'!B:P,15,FALSE))</f>
        <v>#N/A</v>
      </c>
      <c r="Y85" s="284" t="s">
        <v>166</v>
      </c>
      <c r="Z85" s="437">
        <f>IFERROR(VLOOKUP(Tableau119[[#This Row],[Name Shipper]],Plant_AILN!L:M,2,FALSE),0)</f>
        <v>95436</v>
      </c>
      <c r="AA85" s="406">
        <v>23</v>
      </c>
      <c r="AB85" s="396" t="b">
        <f>_xlfn.XLOOKUP(Tableau119[[#This Row],[Key(ID-date)]],'DATA BTO'!S:S,'DATA BTO'!E:E,FALSE)</f>
        <v>0</v>
      </c>
      <c r="AC85" s="3" t="b">
        <f>_xlfn.XLOOKUP(Tableau119[[#This Row],[Key(ID-date)]],'DATA BTO'!S:S,'DATA BTO'!F:F,FALSE)</f>
        <v>0</v>
      </c>
      <c r="AD85" s="50" t="b">
        <f>_xlfn.XLOOKUP(Tableau119[[#This Row],[Key(ID-date)]],'DATA BTO'!S:S,'DATA BTO'!G:G,FALSE)</f>
        <v>0</v>
      </c>
      <c r="AE85" s="50" t="b">
        <f>_xlfn.XLOOKUP(Tableau119[[#This Row],[Key(ID-date)]],'DATA BTO'!S:S,'DATA BTO'!H:H,FALSE)</f>
        <v>0</v>
      </c>
      <c r="AF85" s="50" t="e">
        <f>IF(Tableau119[[#This Row],[First Day to POL]]&lt;=Tableau119[[#This Row],[Day Cut Off]],Tableau119[[#This Row],[Day ETD]],Tableau119[[#This Row],[Day ETD]]+7)</f>
        <v>#N/A</v>
      </c>
      <c r="AG85" s="50" t="b">
        <f>_xlfn.XLOOKUP(Tableau119[[#This Row],[Key(ID-date)]],'DATA BTO'!S:S,'DATA BTO'!I:I,FALSE)</f>
        <v>0</v>
      </c>
      <c r="AH85" s="3" t="b">
        <f>_xlfn.XLOOKUP(Tableau119[[#This Row],[Key(ID-date)]],'DATA BTO'!S:S,'DATA BTO'!J:J,FALSE)</f>
        <v>0</v>
      </c>
      <c r="AI85" s="3" t="b">
        <f>_xlfn.XLOOKUP(Tableau119[[#This Row],[Key(ID-date)]],'DATA BTO'!S:S,'DATA BTO'!K:K,FALSE)</f>
        <v>0</v>
      </c>
      <c r="AJ85" s="50" t="b">
        <f>_xlfn.XLOOKUP(Tableau119[[#This Row],[Key(ID-date)]],'DATA BTO'!S:S,'DATA BTO'!L:L,FALSE)</f>
        <v>0</v>
      </c>
      <c r="AK85" s="53" t="b">
        <f>_xlfn.XLOOKUP(Tableau119[[#This Row],[Key(ID-date)]],'DATA BTO'!S:S,'DATA BTO'!N:N,FALSE)</f>
        <v>0</v>
      </c>
      <c r="AL85" s="54" t="e">
        <f>VLOOKUP(Tableau119[[#This Row],[Key(POD -PFI- Usine)]],'DATA Consignee'!A:F,6,FALSE)</f>
        <v>#N/A</v>
      </c>
      <c r="AM85" s="127"/>
      <c r="AN85" s="438" t="str">
        <f>IF(Tableau119[[#This Row],[Name PFI/CDD]]="","-",VLOOKUP(Tableau119[[#This Row],[Name PFI/CDD]],Plant_AILN!I:J,2,FALSE))</f>
        <v>-</v>
      </c>
      <c r="AO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" s="2" t="e">
        <f>VLOOKUP(Tableau119[[#This Row],[Key(POD -PFI- Usine)]],'DATA Consignee'!A:J,10,FALSE)</f>
        <v>#N/A</v>
      </c>
      <c r="AR85" s="50" t="e">
        <f>VLOOKUP(Tableau119[[#This Row],[Key(POD -PFI- Usine)]],'DATA Consignee'!A:N,14,FALSE)</f>
        <v>#N/A</v>
      </c>
      <c r="AS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5" s="50">
        <f>Tableau119[[#This Row],[Transit time]]+Tableau119[[#This Row],[Time for security]]+Tableau119[[#This Row],[Time for security2 buffer]]</f>
        <v>0</v>
      </c>
      <c r="AV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5" s="433" t="e">
        <f>Tableau119[[#This Row],[Leadtime SI2C]]+Tableau119[[#This Row],[First Receipt Days]]-Tableau119[[#This Row],[Day Customer Order]]+1</f>
        <v>#N/A</v>
      </c>
      <c r="AX85" s="119" t="e">
        <f>IF(Tableau119[[#This Row],[Name ILN]]&lt;&gt;"SFK Freight Forwarder",Tableau119[[#This Row],[Cust. Leadtime]],Tableau119[[#This Row],[Leadtime SI2C]])</f>
        <v>#N/A</v>
      </c>
      <c r="AY85" s="51" t="b">
        <f>_xlfn.XLOOKUP(Tableau119[[#This Row],[Key(ID-date)]],'DATA BTO'!S:S,'DATA BTO'!P:P,FALSE)</f>
        <v>0</v>
      </c>
      <c r="AZ85" s="338">
        <v>45412</v>
      </c>
      <c r="BA85" s="50"/>
    </row>
    <row r="86" spans="2:53">
      <c r="B86" s="474" t="str">
        <f>_xlfn.CONCAT(Tableau119[[#This Row],[Name ILN]],"-",Tableau119[[#This Row],[Name Shipper]],"-",Tableau119[[#This Row],[Name Site]])</f>
        <v>ILN Busan-ILN Busan-CHENNAI Vehicule</v>
      </c>
      <c r="C86" s="67" t="str">
        <f>_xlfn.CONCAT(Tableau119[[#This Row],[Compte ILN]],"-",Tableau119[[#This Row],[Compte Shipper]],"-",Tableau119[[#This Row],[POL]],"-",Tableau119[[#This Row],[Compte Consignee]])</f>
        <v>95436-95436-FALSO-26549502</v>
      </c>
      <c r="D86" s="66" t="str">
        <f>_xlfn.CONCAT(Tableau119[[#This Row],[Compte ILN]],"-",Tableau119[[#This Row],[Compte Shipper]],"-",Tableau119[[#This Row],[POL]])</f>
        <v>95436-95436-FALSO</v>
      </c>
      <c r="E86" s="434" t="str">
        <f>_xlfn.CONCAT(Tableau119[[#This Row],[POL]],"-",Tableau119[[#This Row],[Carrier]],"-",Tableau119[[#This Row],[POD]])</f>
        <v>FALSO-FALSO-FALSO</v>
      </c>
      <c r="F86" s="66" t="str">
        <f>_xlfn.CONCAT(Tableau119[[#This Row],[ID]],"-","Actif")</f>
        <v>23-Actif</v>
      </c>
      <c r="G86" s="66" t="str">
        <f>_xlfn.CONCAT(Tableau119[[#This Row],[POD]],"-",Tableau119[[#This Row],[Code PFI]],"-",Tableau119[[#This Row],[Compte Consignee]])</f>
        <v>FALSO---26549502</v>
      </c>
      <c r="H8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BusanFALSOCHENNAI Vehicule</v>
      </c>
      <c r="I86" s="434" t="str">
        <f>_xlfn.CONCAT(Tableau119[[#This Row],[ID]],"-",Tableau119[[#This Row],[Expiration Date]])</f>
        <v>23-45412</v>
      </c>
      <c r="J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Busan-ILN Busan-23-FALSO-FALSO-FALSO--45412</v>
      </c>
      <c r="K86" s="435" t="str">
        <f ca="1">IF(COUNTIF(J:J,Tableau119[[#This Row],[Plant-ILN-shipper-POL-Carrier-POD-PFI]])=1,"Non","Oui")</f>
        <v>Non</v>
      </c>
      <c r="L86" s="128" t="str">
        <f>VLOOKUP(Tableau119[[#This Row],[Name Site]],Plant_AILN!A:D,4,FALSE)</f>
        <v>INDIA</v>
      </c>
      <c r="M86" s="411" t="s">
        <v>159</v>
      </c>
      <c r="N86" s="439">
        <f>VLOOKUP(Tableau119[[#This Row],[Name Site]],Plant_AILN!A:C,3,FALSE)</f>
        <v>26549502</v>
      </c>
      <c r="O86" s="55">
        <f>VLOOKUP(Tableau119[[#This Row],[Compte Consignee]],Order!C:D,2,FALSE)</f>
        <v>5</v>
      </c>
      <c r="P86" s="116" t="s">
        <v>166</v>
      </c>
      <c r="Q86" s="365">
        <f>VLOOKUP(Tableau119[[#This Row],[Name ILN]],Plant_AILN!F:G,2,FALSE)</f>
        <v>95436</v>
      </c>
      <c r="R86" s="50">
        <f>VLOOKUP(Tableau119[[#This Row],[Compte ILN]],'DATA ILN'!D:I,6,FALSE)</f>
        <v>9</v>
      </c>
      <c r="S86" s="50" t="e">
        <f>IFERROR(VLOOKUP(Tableau119[[#This Row],[Key(Compte ILN - shipper - POL - plant)]],'DATA ILN'!A:J,10,FALSE),VLOOKUP(Tableau119[[#This Row],[Key(Compte ILN - shipper - POL)]],'DATA ILN'!B:J,9,FALSE))</f>
        <v>#N/A</v>
      </c>
      <c r="T86" s="50" t="e">
        <f>IFERROR(VLOOKUP(Tableau119[[#This Row],[Key(Compte ILN - shipper - POL - plant)]],'DATA ILN'!A:K,11,FALSE),VLOOKUP(Tableau119[[#This Row],[Key(Compte ILN - shipper - POL)]],'DATA ILN'!B:K,10,FALSE))</f>
        <v>#N/A</v>
      </c>
      <c r="U86" s="50" t="e">
        <f>IFERROR(VLOOKUP(Tableau119[[#This Row],[Key(Compte ILN - shipper - POL - plant)]],'DATA ILN'!A:L,12,FALSE),VLOOKUP(Tableau119[[#This Row],[Key(Compte ILN - shipper - POL)]],'DATA ILN'!B:L,11,FALSE))</f>
        <v>#N/A</v>
      </c>
      <c r="V86" s="50" t="e">
        <f>Tableau119[[#This Row],[Day ILN Order]]+Tableau119[[#This Row],[Delivery time to ILN/Shipper]]-1</f>
        <v>#N/A</v>
      </c>
      <c r="W86" s="50" t="e">
        <f>IFERROR(VLOOKUP(Tableau119[[#This Row],[Key(Compte ILN - shipper - POL - plant)]],'DATA ILN'!A:N,14,FALSE),VLOOKUP(Tableau119[[#This Row],[Key(Compte ILN - shipper - POL)]],'DATA ILN'!B:N,13,FALSE))</f>
        <v>#N/A</v>
      </c>
      <c r="X86" s="53" t="e">
        <f>IFERROR(VLOOKUP(Tableau119[[#This Row],[Key(Compte ILN - shipper - POL - plant)]],'DATA ILN'!A:P,16,FALSE),VLOOKUP(Tableau119[[#This Row],[Key(Compte ILN - shipper - POL)]],'DATA ILN'!B:P,15,FALSE))</f>
        <v>#N/A</v>
      </c>
      <c r="Y86" s="284" t="s">
        <v>166</v>
      </c>
      <c r="Z86" s="437">
        <f>IFERROR(VLOOKUP(Tableau119[[#This Row],[Name Shipper]],Plant_AILN!L:M,2,FALSE),0)</f>
        <v>95436</v>
      </c>
      <c r="AA86" s="406">
        <v>23</v>
      </c>
      <c r="AB86" s="396" t="b">
        <f>_xlfn.XLOOKUP(Tableau119[[#This Row],[Key(ID-date)]],'DATA BTO'!S:S,'DATA BTO'!E:E,FALSE)</f>
        <v>0</v>
      </c>
      <c r="AC86" s="3" t="b">
        <f>_xlfn.XLOOKUP(Tableau119[[#This Row],[Key(ID-date)]],'DATA BTO'!S:S,'DATA BTO'!F:F,FALSE)</f>
        <v>0</v>
      </c>
      <c r="AD86" s="50" t="b">
        <f>_xlfn.XLOOKUP(Tableau119[[#This Row],[Key(ID-date)]],'DATA BTO'!S:S,'DATA BTO'!G:G,FALSE)</f>
        <v>0</v>
      </c>
      <c r="AE86" s="50" t="b">
        <f>_xlfn.XLOOKUP(Tableau119[[#This Row],[Key(ID-date)]],'DATA BTO'!S:S,'DATA BTO'!H:H,FALSE)</f>
        <v>0</v>
      </c>
      <c r="AF86" s="50" t="e">
        <f>IF(Tableau119[[#This Row],[First Day to POL]]&lt;=Tableau119[[#This Row],[Day Cut Off]],Tableau119[[#This Row],[Day ETD]],Tableau119[[#This Row],[Day ETD]]+7)</f>
        <v>#N/A</v>
      </c>
      <c r="AG86" s="50" t="b">
        <f>_xlfn.XLOOKUP(Tableau119[[#This Row],[Key(ID-date)]],'DATA BTO'!S:S,'DATA BTO'!I:I,FALSE)</f>
        <v>0</v>
      </c>
      <c r="AH86" s="3" t="b">
        <f>_xlfn.XLOOKUP(Tableau119[[#This Row],[Key(ID-date)]],'DATA BTO'!S:S,'DATA BTO'!J:J,FALSE)</f>
        <v>0</v>
      </c>
      <c r="AI86" s="3" t="b">
        <f>_xlfn.XLOOKUP(Tableau119[[#This Row],[Key(ID-date)]],'DATA BTO'!S:S,'DATA BTO'!K:K,FALSE)</f>
        <v>0</v>
      </c>
      <c r="AJ86" s="50" t="b">
        <f>_xlfn.XLOOKUP(Tableau119[[#This Row],[Key(ID-date)]],'DATA BTO'!S:S,'DATA BTO'!L:L,FALSE)</f>
        <v>0</v>
      </c>
      <c r="AK86" s="53" t="b">
        <f>_xlfn.XLOOKUP(Tableau119[[#This Row],[Key(ID-date)]],'DATA BTO'!S:S,'DATA BTO'!N:N,FALSE)</f>
        <v>0</v>
      </c>
      <c r="AL86" s="54" t="e">
        <f>VLOOKUP(Tableau119[[#This Row],[Key(POD -PFI- Usine)]],'DATA Consignee'!A:F,6,FALSE)</f>
        <v>#N/A</v>
      </c>
      <c r="AM86" s="127"/>
      <c r="AN86" s="438" t="str">
        <f>IF(Tableau119[[#This Row],[Name PFI/CDD]]="","-",VLOOKUP(Tableau119[[#This Row],[Name PFI/CDD]],Plant_AILN!I:J,2,FALSE))</f>
        <v>-</v>
      </c>
      <c r="AO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6" s="2" t="e">
        <f>VLOOKUP(Tableau119[[#This Row],[Key(POD -PFI- Usine)]],'DATA Consignee'!A:J,10,FALSE)</f>
        <v>#N/A</v>
      </c>
      <c r="AR86" s="50" t="e">
        <f>VLOOKUP(Tableau119[[#This Row],[Key(POD -PFI- Usine)]],'DATA Consignee'!A:N,14,FALSE)</f>
        <v>#N/A</v>
      </c>
      <c r="AS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6" s="50">
        <f>Tableau119[[#This Row],[Transit time]]+Tableau119[[#This Row],[Time for security]]+Tableau119[[#This Row],[Time for security2 buffer]]</f>
        <v>0</v>
      </c>
      <c r="AV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6" s="433" t="e">
        <f>Tableau119[[#This Row],[Leadtime SI2C]]+Tableau119[[#This Row],[First Receipt Days]]-Tableau119[[#This Row],[Day Customer Order]]+1</f>
        <v>#N/A</v>
      </c>
      <c r="AX86" s="119" t="e">
        <f>IF(Tableau119[[#This Row],[Name ILN]]&lt;&gt;"SFK Freight Forwarder",Tableau119[[#This Row],[Cust. Leadtime]],Tableau119[[#This Row],[Leadtime SI2C]])</f>
        <v>#N/A</v>
      </c>
      <c r="AY86" s="51" t="b">
        <f>_xlfn.XLOOKUP(Tableau119[[#This Row],[Key(ID-date)]],'DATA BTO'!S:S,'DATA BTO'!P:P,FALSE)</f>
        <v>0</v>
      </c>
      <c r="AZ86" s="338">
        <v>45412</v>
      </c>
      <c r="BA86" s="50"/>
    </row>
    <row r="87" spans="2:53">
      <c r="B87" s="67" t="str">
        <f>_xlfn.CONCAT(Tableau119[[#This Row],[Name ILN]],"-",Tableau119[[#This Row],[Name Shipper]],"-",Tableau119[[#This Row],[Name Site]])</f>
        <v>ILN Busan-ILN Busan-SOMACA</v>
      </c>
      <c r="C87" s="67" t="str">
        <f>_xlfn.CONCAT(Tableau119[[#This Row],[Compte ILN]],"-",Tableau119[[#This Row],[Compte Shipper]],"-",Tableau119[[#This Row],[POL]],"-",Tableau119[[#This Row],[Compte Consignee]])</f>
        <v>95436-95436-FALSO-90038200</v>
      </c>
      <c r="D87" s="66" t="str">
        <f>_xlfn.CONCAT(Tableau119[[#This Row],[Compte ILN]],"-",Tableau119[[#This Row],[Compte Shipper]],"-",Tableau119[[#This Row],[POL]])</f>
        <v>95436-95436-FALSO</v>
      </c>
      <c r="E87" s="434" t="str">
        <f>_xlfn.CONCAT(Tableau119[[#This Row],[POL]],"-",Tableau119[[#This Row],[Carrier]],"-",Tableau119[[#This Row],[POD]])</f>
        <v>FALSO-FALSO-FALSO</v>
      </c>
      <c r="F87" s="66" t="str">
        <f>_xlfn.CONCAT(Tableau119[[#This Row],[ID]],"-","Actif")</f>
        <v>24-Actif</v>
      </c>
      <c r="G87" s="66" t="str">
        <f>_xlfn.CONCAT(Tableau119[[#This Row],[POD]],"-",Tableau119[[#This Row],[Code PFI]],"-",Tableau119[[#This Row],[Compte Consignee]])</f>
        <v>FALSO---90038200</v>
      </c>
      <c r="H8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BusanFALSOSOMACA</v>
      </c>
      <c r="I87" s="434" t="str">
        <f>_xlfn.CONCAT(Tableau119[[#This Row],[ID]],"-",Tableau119[[#This Row],[Expiration Date]])</f>
        <v>24-46142</v>
      </c>
      <c r="J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Busan-ILN Busan-24-FALSO-FALSO-FALSO--46142</v>
      </c>
      <c r="K87" s="435" t="str">
        <f ca="1">IF(COUNTIF(J:J,Tableau119[[#This Row],[Plant-ILN-shipper-POL-Carrier-POD-PFI]])=1,"Non","Oui")</f>
        <v>Non</v>
      </c>
      <c r="L87" s="128" t="str">
        <f>VLOOKUP(Tableau119[[#This Row],[Name Site]],Plant_AILN!A:D,4,FALSE)</f>
        <v>MOROCCO</v>
      </c>
      <c r="M87" s="10" t="s">
        <v>179</v>
      </c>
      <c r="N87" s="439">
        <f>VLOOKUP(Tableau119[[#This Row],[Name Site]],Plant_AILN!A:C,3,FALSE)</f>
        <v>90038200</v>
      </c>
      <c r="O87" s="55">
        <f>IF(Tableau119[[#This Row],[Name PFI/CDD]]="PFI VLL",2,VLOOKUP(Tableau119[[#This Row],[Compte Consignee]],Order!C:D,2,FALSE))</f>
        <v>7</v>
      </c>
      <c r="P87" s="132" t="s">
        <v>166</v>
      </c>
      <c r="Q87" s="365">
        <f>VLOOKUP(Tableau119[[#This Row],[Name ILN]],Plant_AILN!F:G,2,FALSE)</f>
        <v>95436</v>
      </c>
      <c r="R87" s="50">
        <f>VLOOKUP(Tableau119[[#This Row],[Compte ILN]],'DATA ILN'!D:I,6,FALSE)</f>
        <v>9</v>
      </c>
      <c r="S87" s="50" t="e">
        <f>IFERROR(VLOOKUP(Tableau119[[#This Row],[Key(Compte ILN - shipper - POL - plant)]],'DATA ILN'!A:J,10,FALSE),VLOOKUP(Tableau119[[#This Row],[Key(Compte ILN - shipper - POL)]],'DATA ILN'!B:J,9,FALSE))</f>
        <v>#N/A</v>
      </c>
      <c r="T87" s="50" t="e">
        <f>IFERROR(VLOOKUP(Tableau119[[#This Row],[Key(Compte ILN - shipper - POL - plant)]],'DATA ILN'!A:K,11,FALSE),VLOOKUP(Tableau119[[#This Row],[Key(Compte ILN - shipper - POL)]],'DATA ILN'!B:K,10,FALSE))</f>
        <v>#N/A</v>
      </c>
      <c r="U87" s="50" t="e">
        <f>IFERROR(VLOOKUP(Tableau119[[#This Row],[Key(Compte ILN - shipper - POL - plant)]],'DATA ILN'!A:L,12,FALSE),VLOOKUP(Tableau119[[#This Row],[Key(Compte ILN - shipper - POL)]],'DATA ILN'!B:L,11,FALSE))</f>
        <v>#N/A</v>
      </c>
      <c r="V87" s="50" t="e">
        <f>Tableau119[[#This Row],[Day ILN Order]]+Tableau119[[#This Row],[Delivery time to ILN/Shipper]]-1</f>
        <v>#N/A</v>
      </c>
      <c r="W87" s="50" t="e">
        <f>IFERROR(VLOOKUP(Tableau119[[#This Row],[Key(Compte ILN - shipper - POL - plant)]],'DATA ILN'!A:N,14,FALSE),VLOOKUP(Tableau119[[#This Row],[Key(Compte ILN - shipper - POL)]],'DATA ILN'!B:N,13,FALSE))</f>
        <v>#N/A</v>
      </c>
      <c r="X87" s="53" t="e">
        <f>IFERROR(VLOOKUP(Tableau119[[#This Row],[Key(Compte ILN - shipper - POL - plant)]],'DATA ILN'!A:P,16,FALSE),VLOOKUP(Tableau119[[#This Row],[Key(Compte ILN - shipper - POL)]],'DATA ILN'!B:P,15,FALSE))</f>
        <v>#N/A</v>
      </c>
      <c r="Y87" s="287" t="s">
        <v>166</v>
      </c>
      <c r="Z87" s="437">
        <f>IFERROR(VLOOKUP(Tableau119[[#This Row],[Name Shipper]],Plant_AILN!L:M,2,FALSE),0)</f>
        <v>95436</v>
      </c>
      <c r="AA87" s="406">
        <v>24</v>
      </c>
      <c r="AB87" s="396" t="b">
        <f>_xlfn.XLOOKUP(Tableau119[[#This Row],[Key(ID-date)]],'DATA BTO'!S:S,'DATA BTO'!E:E,FALSE)</f>
        <v>0</v>
      </c>
      <c r="AC87" s="3" t="b">
        <f>_xlfn.XLOOKUP(Tableau119[[#This Row],[Key(ID-date)]],'DATA BTO'!S:S,'DATA BTO'!F:F,FALSE)</f>
        <v>0</v>
      </c>
      <c r="AD87" s="50" t="b">
        <f>_xlfn.XLOOKUP(Tableau119[[#This Row],[Key(ID-date)]],'DATA BTO'!S:S,'DATA BTO'!G:G,FALSE)</f>
        <v>0</v>
      </c>
      <c r="AE87" s="50" t="b">
        <f>_xlfn.XLOOKUP(Tableau119[[#This Row],[Key(ID-date)]],'DATA BTO'!S:S,'DATA BTO'!H:H,FALSE)</f>
        <v>0</v>
      </c>
      <c r="AF87" s="50" t="e">
        <f>IF(Tableau119[[#This Row],[First Day to POL]]&lt;=Tableau119[[#This Row],[Day Cut Off]],Tableau119[[#This Row],[Day ETD]],Tableau119[[#This Row],[Day ETD]]+7)</f>
        <v>#N/A</v>
      </c>
      <c r="AG87" s="50" t="b">
        <f>_xlfn.XLOOKUP(Tableau119[[#This Row],[Key(ID-date)]],'DATA BTO'!S:S,'DATA BTO'!I:I,FALSE)</f>
        <v>0</v>
      </c>
      <c r="AH87" s="3" t="b">
        <f>_xlfn.XLOOKUP(Tableau119[[#This Row],[Key(ID-date)]],'DATA BTO'!S:S,'DATA BTO'!J:J,FALSE)</f>
        <v>0</v>
      </c>
      <c r="AI87" s="3" t="b">
        <f>_xlfn.XLOOKUP(Tableau119[[#This Row],[Key(ID-date)]],'DATA BTO'!S:S,'DATA BTO'!K:K,FALSE)</f>
        <v>0</v>
      </c>
      <c r="AJ87" s="50" t="b">
        <f>_xlfn.XLOOKUP(Tableau119[[#This Row],[Key(ID-date)]],'DATA BTO'!S:S,'DATA BTO'!L:L,FALSE)</f>
        <v>0</v>
      </c>
      <c r="AK87" s="53" t="b">
        <f>_xlfn.XLOOKUP(Tableau119[[#This Row],[Key(ID-date)]],'DATA BTO'!S:S,'DATA BTO'!N:N,FALSE)</f>
        <v>0</v>
      </c>
      <c r="AL87" s="54" t="e">
        <f>VLOOKUP(Tableau119[[#This Row],[Key(POD -PFI- Usine)]],'DATA Consignee'!A:F,6,FALSE)</f>
        <v>#N/A</v>
      </c>
      <c r="AM87" s="127"/>
      <c r="AN87" s="438" t="str">
        <f>IF(Tableau119[[#This Row],[Name PFI/CDD]]="","-",VLOOKUP(Tableau119[[#This Row],[Name PFI/CDD]],Plant_AILN!I:J,2,FALSE))</f>
        <v>-</v>
      </c>
      <c r="AO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" s="2" t="e">
        <f>VLOOKUP(Tableau119[[#This Row],[Key(POD -PFI- Usine)]],'DATA Consignee'!A:J,10,FALSE)</f>
        <v>#N/A</v>
      </c>
      <c r="AR87" s="50" t="e">
        <f>VLOOKUP(Tableau119[[#This Row],[Key(POD -PFI- Usine)]],'DATA Consignee'!A:N,14,FALSE)</f>
        <v>#N/A</v>
      </c>
      <c r="AS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7" s="50">
        <f>Tableau119[[#This Row],[Transit time]]+Tableau119[[#This Row],[Time for security]]+Tableau119[[#This Row],[Time for security2 buffer]]</f>
        <v>0</v>
      </c>
      <c r="AV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7" s="433" t="e">
        <f>Tableau119[[#This Row],[Leadtime SI2C]]+Tableau119[[#This Row],[First Receipt Days]]-Tableau119[[#This Row],[Day Customer Order]]+1</f>
        <v>#N/A</v>
      </c>
      <c r="AX87" s="119" t="e">
        <f>IF(Tableau119[[#This Row],[Name ILN]]&lt;&gt;"SFK Freight Forwarder",Tableau119[[#This Row],[Cust. Leadtime]],Tableau119[[#This Row],[Leadtime SI2C]])</f>
        <v>#N/A</v>
      </c>
      <c r="AY87" s="51" t="b">
        <f>_xlfn.XLOOKUP(Tableau119[[#This Row],[Key(ID-date)]],'DATA BTO'!S:S,'DATA BTO'!P:P,FALSE)</f>
        <v>0</v>
      </c>
      <c r="AZ87" s="338">
        <v>46142</v>
      </c>
      <c r="BA87" s="50"/>
    </row>
    <row r="88" spans="2:53">
      <c r="B88" s="67" t="str">
        <f>_xlfn.CONCAT(Tableau119[[#This Row],[Name ILN]],"-",Tableau119[[#This Row],[Name Shipper]],"-",Tableau119[[#This Row],[Name Site]])</f>
        <v>ILN Busan-ILN Busan-TANGER</v>
      </c>
      <c r="C88" s="67" t="str">
        <f>_xlfn.CONCAT(Tableau119[[#This Row],[Compte ILN]],"-",Tableau119[[#This Row],[Compte Shipper]],"-",Tableau119[[#This Row],[POL]],"-",Tableau119[[#This Row],[Compte Consignee]])</f>
        <v>95436-95436-FALSO-900383</v>
      </c>
      <c r="D88" s="66" t="str">
        <f>_xlfn.CONCAT(Tableau119[[#This Row],[Compte ILN]],"-",Tableau119[[#This Row],[Compte Shipper]],"-",Tableau119[[#This Row],[POL]])</f>
        <v>95436-95436-FALSO</v>
      </c>
      <c r="E88" s="434" t="str">
        <f>_xlfn.CONCAT(Tableau119[[#This Row],[POL]],"-",Tableau119[[#This Row],[Carrier]],"-",Tableau119[[#This Row],[POD]])</f>
        <v>FALSO-FALSO-FALSO</v>
      </c>
      <c r="F88" s="66" t="str">
        <f>_xlfn.CONCAT(Tableau119[[#This Row],[ID]],"-","Actif")</f>
        <v>24-Actif</v>
      </c>
      <c r="G88" s="66" t="str">
        <f>_xlfn.CONCAT(Tableau119[[#This Row],[POD]],"-",Tableau119[[#This Row],[Code PFI]],"-",Tableau119[[#This Row],[Compte Consignee]])</f>
        <v>FALSO---900383</v>
      </c>
      <c r="H8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BusanFALSOTANGER</v>
      </c>
      <c r="I88" s="434" t="str">
        <f>_xlfn.CONCAT(Tableau119[[#This Row],[ID]],"-",Tableau119[[#This Row],[Expiration Date]])</f>
        <v>24-46142</v>
      </c>
      <c r="J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Busan-ILN Busan-24-FALSO-FALSO-FALSO--46142</v>
      </c>
      <c r="K88" s="435" t="str">
        <f ca="1">IF(COUNTIF(J:J,Tableau119[[#This Row],[Plant-ILN-shipper-POL-Carrier-POD-PFI]])=1,"Non","Oui")</f>
        <v>Non</v>
      </c>
      <c r="L88" s="436" t="str">
        <f>VLOOKUP(Tableau119[[#This Row],[Name Site]],Plant_AILN!A:D,4,FALSE)</f>
        <v>MOROCCO</v>
      </c>
      <c r="M88" s="285" t="s">
        <v>180</v>
      </c>
      <c r="N88" s="439">
        <f>VLOOKUP(Tableau119[[#This Row],[Name Site]],Plant_AILN!A:C,3,FALSE)</f>
        <v>900383</v>
      </c>
      <c r="O88" s="55">
        <f>IF(Tableau119[[#This Row],[Name PFI/CDD]]="PFI VLL",2,VLOOKUP(Tableau119[[#This Row],[Compte Consignee]],Order!C:D,2,FALSE))</f>
        <v>7</v>
      </c>
      <c r="P88" s="116" t="s">
        <v>166</v>
      </c>
      <c r="Q88" s="365">
        <f>VLOOKUP(Tableau119[[#This Row],[Name ILN]],Plant_AILN!F:G,2,FALSE)</f>
        <v>95436</v>
      </c>
      <c r="R88" s="50">
        <f>VLOOKUP(Tableau119[[#This Row],[Compte ILN]],'DATA ILN'!D:I,6,FALSE)</f>
        <v>9</v>
      </c>
      <c r="S88" s="50" t="e">
        <f>IFERROR(VLOOKUP(Tableau119[[#This Row],[Key(Compte ILN - shipper - POL - plant)]],'DATA ILN'!A:J,10,FALSE),VLOOKUP(Tableau119[[#This Row],[Key(Compte ILN - shipper - POL)]],'DATA ILN'!B:J,9,FALSE))</f>
        <v>#N/A</v>
      </c>
      <c r="T88" s="50" t="e">
        <f>IFERROR(VLOOKUP(Tableau119[[#This Row],[Key(Compte ILN - shipper - POL - plant)]],'DATA ILN'!A:K,11,FALSE),VLOOKUP(Tableau119[[#This Row],[Key(Compte ILN - shipper - POL)]],'DATA ILN'!B:K,10,FALSE))</f>
        <v>#N/A</v>
      </c>
      <c r="U88" s="50" t="e">
        <f>IFERROR(VLOOKUP(Tableau119[[#This Row],[Key(Compte ILN - shipper - POL - plant)]],'DATA ILN'!A:L,12,FALSE),VLOOKUP(Tableau119[[#This Row],[Key(Compte ILN - shipper - POL)]],'DATA ILN'!B:L,11,FALSE))</f>
        <v>#N/A</v>
      </c>
      <c r="V88" s="50" t="e">
        <f>Tableau119[[#This Row],[Day ILN Order]]+Tableau119[[#This Row],[Delivery time to ILN/Shipper]]-1</f>
        <v>#N/A</v>
      </c>
      <c r="W88" s="50" t="e">
        <f>IFERROR(VLOOKUP(Tableau119[[#This Row],[Key(Compte ILN - shipper - POL - plant)]],'DATA ILN'!A:N,14,FALSE),VLOOKUP(Tableau119[[#This Row],[Key(Compte ILN - shipper - POL)]],'DATA ILN'!B:N,13,FALSE))</f>
        <v>#N/A</v>
      </c>
      <c r="X88" s="53" t="e">
        <f>IFERROR(VLOOKUP(Tableau119[[#This Row],[Key(Compte ILN - shipper - POL - plant)]],'DATA ILN'!A:P,16,FALSE),VLOOKUP(Tableau119[[#This Row],[Key(Compte ILN - shipper - POL)]],'DATA ILN'!B:P,15,FALSE))</f>
        <v>#N/A</v>
      </c>
      <c r="Y88" s="284" t="s">
        <v>166</v>
      </c>
      <c r="Z88" s="437">
        <f>IFERROR(VLOOKUP(Tableau119[[#This Row],[Name Shipper]],Plant_AILN!L:M,2,FALSE),0)</f>
        <v>95436</v>
      </c>
      <c r="AA88" s="406">
        <v>24</v>
      </c>
      <c r="AB88" s="396" t="b">
        <f>_xlfn.XLOOKUP(Tableau119[[#This Row],[Key(ID-date)]],'DATA BTO'!S:S,'DATA BTO'!E:E,FALSE)</f>
        <v>0</v>
      </c>
      <c r="AC88" s="3" t="b">
        <f>_xlfn.XLOOKUP(Tableau119[[#This Row],[Key(ID-date)]],'DATA BTO'!S:S,'DATA BTO'!F:F,FALSE)</f>
        <v>0</v>
      </c>
      <c r="AD88" s="50" t="b">
        <f>_xlfn.XLOOKUP(Tableau119[[#This Row],[Key(ID-date)]],'DATA BTO'!S:S,'DATA BTO'!G:G,FALSE)</f>
        <v>0</v>
      </c>
      <c r="AE88" s="50" t="b">
        <f>_xlfn.XLOOKUP(Tableau119[[#This Row],[Key(ID-date)]],'DATA BTO'!S:S,'DATA BTO'!H:H,FALSE)</f>
        <v>0</v>
      </c>
      <c r="AF88" s="50" t="e">
        <f>IF(Tableau119[[#This Row],[First Day to POL]]&lt;=Tableau119[[#This Row],[Day Cut Off]],Tableau119[[#This Row],[Day ETD]],Tableau119[[#This Row],[Day ETD]]+7)</f>
        <v>#N/A</v>
      </c>
      <c r="AG88" s="50" t="b">
        <f>_xlfn.XLOOKUP(Tableau119[[#This Row],[Key(ID-date)]],'DATA BTO'!S:S,'DATA BTO'!I:I,FALSE)</f>
        <v>0</v>
      </c>
      <c r="AH88" s="3" t="b">
        <f>_xlfn.XLOOKUP(Tableau119[[#This Row],[Key(ID-date)]],'DATA BTO'!S:S,'DATA BTO'!J:J,FALSE)</f>
        <v>0</v>
      </c>
      <c r="AI88" s="3" t="b">
        <f>_xlfn.XLOOKUP(Tableau119[[#This Row],[Key(ID-date)]],'DATA BTO'!S:S,'DATA BTO'!K:K,FALSE)</f>
        <v>0</v>
      </c>
      <c r="AJ88" s="50" t="b">
        <f>_xlfn.XLOOKUP(Tableau119[[#This Row],[Key(ID-date)]],'DATA BTO'!S:S,'DATA BTO'!L:L,FALSE)</f>
        <v>0</v>
      </c>
      <c r="AK88" s="53" t="b">
        <f>_xlfn.XLOOKUP(Tableau119[[#This Row],[Key(ID-date)]],'DATA BTO'!S:S,'DATA BTO'!N:N,FALSE)</f>
        <v>0</v>
      </c>
      <c r="AL88" s="54" t="e">
        <f>VLOOKUP(Tableau119[[#This Row],[Key(POD -PFI- Usine)]],'DATA Consignee'!A:F,6,FALSE)</f>
        <v>#N/A</v>
      </c>
      <c r="AM88" s="127"/>
      <c r="AN88" s="438" t="str">
        <f>IF(Tableau119[[#This Row],[Name PFI/CDD]]="","-",VLOOKUP(Tableau119[[#This Row],[Name PFI/CDD]],Plant_AILN!I:J,2,FALSE))</f>
        <v>-</v>
      </c>
      <c r="AO8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" s="2" t="e">
        <f>VLOOKUP(Tableau119[[#This Row],[Key(POD -PFI- Usine)]],'DATA Consignee'!A:J,10,FALSE)</f>
        <v>#N/A</v>
      </c>
      <c r="AR88" s="50" t="e">
        <f>VLOOKUP(Tableau119[[#This Row],[Key(POD -PFI- Usine)]],'DATA Consignee'!A:N,14,FALSE)</f>
        <v>#N/A</v>
      </c>
      <c r="AS8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8" s="50">
        <f>Tableau119[[#This Row],[Transit time]]+Tableau119[[#This Row],[Time for security]]+Tableau119[[#This Row],[Time for security2 buffer]]</f>
        <v>0</v>
      </c>
      <c r="AV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8" s="433" t="e">
        <f>Tableau119[[#This Row],[Leadtime SI2C]]+Tableau119[[#This Row],[First Receipt Days]]-Tableau119[[#This Row],[Day Customer Order]]+1</f>
        <v>#N/A</v>
      </c>
      <c r="AX88" s="119" t="e">
        <f>IF(Tableau119[[#This Row],[Name ILN]]&lt;&gt;"SFK Freight Forwarder",Tableau119[[#This Row],[Cust. Leadtime]],Tableau119[[#This Row],[Leadtime SI2C]])</f>
        <v>#N/A</v>
      </c>
      <c r="AY88" s="51" t="b">
        <f>_xlfn.XLOOKUP(Tableau119[[#This Row],[Key(ID-date)]],'DATA BTO'!S:S,'DATA BTO'!P:P,FALSE)</f>
        <v>0</v>
      </c>
      <c r="AZ88" s="338">
        <v>46142</v>
      </c>
      <c r="BA88" s="50"/>
    </row>
    <row r="89" spans="2:53">
      <c r="B89" s="474" t="str">
        <f>_xlfn.CONCAT(Tableau119[[#This Row],[Name ILN]],"-",Tableau119[[#This Row],[Name Shipper]],"-",Tableau119[[#This Row],[Name Site]])</f>
        <v>ILN Busan-ILN Busan-SOMACA</v>
      </c>
      <c r="C89" s="67" t="str">
        <f>_xlfn.CONCAT(Tableau119[[#This Row],[Compte ILN]],"-",Tableau119[[#This Row],[Compte Shipper]],"-",Tableau119[[#This Row],[POL]],"-",Tableau119[[#This Row],[Compte Consignee]])</f>
        <v>95436-95436-FALSO-90038200</v>
      </c>
      <c r="D89" s="66" t="str">
        <f>_xlfn.CONCAT(Tableau119[[#This Row],[Compte ILN]],"-",Tableau119[[#This Row],[Compte Shipper]],"-",Tableau119[[#This Row],[POL]])</f>
        <v>95436-95436-FALSO</v>
      </c>
      <c r="E89" s="434" t="str">
        <f>_xlfn.CONCAT(Tableau119[[#This Row],[POL]],"-",Tableau119[[#This Row],[Carrier]],"-",Tableau119[[#This Row],[POD]])</f>
        <v>FALSO-FALSO-FALSO</v>
      </c>
      <c r="F89" s="66" t="str">
        <f>_xlfn.CONCAT(Tableau119[[#This Row],[ID]],"-","Actif")</f>
        <v>24-Actif</v>
      </c>
      <c r="G89" s="66" t="str">
        <f>_xlfn.CONCAT(Tableau119[[#This Row],[POD]],"-",Tableau119[[#This Row],[Code PFI]],"-",Tableau119[[#This Row],[Compte Consignee]])</f>
        <v>FALSO---90038200</v>
      </c>
      <c r="H8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BusanFALSOSOMACA</v>
      </c>
      <c r="I89" s="434" t="str">
        <f>_xlfn.CONCAT(Tableau119[[#This Row],[ID]],"-",Tableau119[[#This Row],[Expiration Date]])</f>
        <v>24-45961</v>
      </c>
      <c r="J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Busan-ILN Busan-24-FALSO-FALSO-FALSO--45961</v>
      </c>
      <c r="K89" s="435" t="str">
        <f ca="1">IF(COUNTIF(J:J,Tableau119[[#This Row],[Plant-ILN-shipper-POL-Carrier-POD-PFI]])=1,"Non","Oui")</f>
        <v>Non</v>
      </c>
      <c r="L89" s="128" t="str">
        <f>VLOOKUP(Tableau119[[#This Row],[Name Site]],Plant_AILN!A:D,4,FALSE)</f>
        <v>MOROCCO</v>
      </c>
      <c r="M89" s="411" t="s">
        <v>179</v>
      </c>
      <c r="N89" s="439">
        <f>VLOOKUP(Tableau119[[#This Row],[Name Site]],Plant_AILN!A:C,3,FALSE)</f>
        <v>90038200</v>
      </c>
      <c r="O89" s="55">
        <f>VLOOKUP(Tableau119[[#This Row],[Compte Consignee]],Order!C:D,2,FALSE)</f>
        <v>7</v>
      </c>
      <c r="P89" s="116" t="s">
        <v>166</v>
      </c>
      <c r="Q89" s="365">
        <f>VLOOKUP(Tableau119[[#This Row],[Name ILN]],Plant_AILN!F:G,2,FALSE)</f>
        <v>95436</v>
      </c>
      <c r="R89" s="50">
        <f>VLOOKUP(Tableau119[[#This Row],[Compte ILN]],'DATA ILN'!D:I,6,FALSE)</f>
        <v>9</v>
      </c>
      <c r="S89" s="50" t="e">
        <f>IFERROR(VLOOKUP(Tableau119[[#This Row],[Key(Compte ILN - shipper - POL - plant)]],'DATA ILN'!A:J,10,FALSE),VLOOKUP(Tableau119[[#This Row],[Key(Compte ILN - shipper - POL)]],'DATA ILN'!B:J,9,FALSE))</f>
        <v>#N/A</v>
      </c>
      <c r="T89" s="50" t="e">
        <f>IFERROR(VLOOKUP(Tableau119[[#This Row],[Key(Compte ILN - shipper - POL - plant)]],'DATA ILN'!A:K,11,FALSE),VLOOKUP(Tableau119[[#This Row],[Key(Compte ILN - shipper - POL)]],'DATA ILN'!B:K,10,FALSE))</f>
        <v>#N/A</v>
      </c>
      <c r="U89" s="50" t="e">
        <f>IFERROR(VLOOKUP(Tableau119[[#This Row],[Key(Compte ILN - shipper - POL - plant)]],'DATA ILN'!A:L,12,FALSE),VLOOKUP(Tableau119[[#This Row],[Key(Compte ILN - shipper - POL)]],'DATA ILN'!B:L,11,FALSE))</f>
        <v>#N/A</v>
      </c>
      <c r="V89" s="50" t="e">
        <f>Tableau119[[#This Row],[Day ILN Order]]+Tableau119[[#This Row],[Delivery time to ILN/Shipper]]-1</f>
        <v>#N/A</v>
      </c>
      <c r="W89" s="50" t="e">
        <f>IFERROR(VLOOKUP(Tableau119[[#This Row],[Key(Compte ILN - shipper - POL - plant)]],'DATA ILN'!A:N,14,FALSE),VLOOKUP(Tableau119[[#This Row],[Key(Compte ILN - shipper - POL)]],'DATA ILN'!B:N,13,FALSE))</f>
        <v>#N/A</v>
      </c>
      <c r="X89" s="53" t="e">
        <f>IFERROR(VLOOKUP(Tableau119[[#This Row],[Key(Compte ILN - shipper - POL - plant)]],'DATA ILN'!A:P,16,FALSE),VLOOKUP(Tableau119[[#This Row],[Key(Compte ILN - shipper - POL)]],'DATA ILN'!B:P,15,FALSE))</f>
        <v>#N/A</v>
      </c>
      <c r="Y89" s="284" t="s">
        <v>166</v>
      </c>
      <c r="Z89" s="437">
        <f>IFERROR(VLOOKUP(Tableau119[[#This Row],[Name Shipper]],Plant_AILN!L:M,2,FALSE),0)</f>
        <v>95436</v>
      </c>
      <c r="AA89" s="406">
        <v>24</v>
      </c>
      <c r="AB89" s="396" t="b">
        <f>_xlfn.XLOOKUP(Tableau119[[#This Row],[Key(ID-date)]],'DATA BTO'!S:S,'DATA BTO'!E:E,FALSE)</f>
        <v>0</v>
      </c>
      <c r="AC89" s="3" t="b">
        <f>_xlfn.XLOOKUP(Tableau119[[#This Row],[Key(ID-date)]],'DATA BTO'!S:S,'DATA BTO'!F:F,FALSE)</f>
        <v>0</v>
      </c>
      <c r="AD89" s="50" t="b">
        <f>_xlfn.XLOOKUP(Tableau119[[#This Row],[Key(ID-date)]],'DATA BTO'!S:S,'DATA BTO'!G:G,FALSE)</f>
        <v>0</v>
      </c>
      <c r="AE89" s="50" t="b">
        <f>_xlfn.XLOOKUP(Tableau119[[#This Row],[Key(ID-date)]],'DATA BTO'!S:S,'DATA BTO'!H:H,FALSE)</f>
        <v>0</v>
      </c>
      <c r="AF89" s="50" t="e">
        <f>IF(Tableau119[[#This Row],[First Day to POL]]&lt;=Tableau119[[#This Row],[Day Cut Off]],Tableau119[[#This Row],[Day ETD]],Tableau119[[#This Row],[Day ETD]]+7)</f>
        <v>#N/A</v>
      </c>
      <c r="AG89" s="50" t="b">
        <f>_xlfn.XLOOKUP(Tableau119[[#This Row],[Key(ID-date)]],'DATA BTO'!S:S,'DATA BTO'!I:I,FALSE)</f>
        <v>0</v>
      </c>
      <c r="AH89" s="3" t="b">
        <f>_xlfn.XLOOKUP(Tableau119[[#This Row],[Key(ID-date)]],'DATA BTO'!S:S,'DATA BTO'!J:J,FALSE)</f>
        <v>0</v>
      </c>
      <c r="AI89" s="3" t="b">
        <f>_xlfn.XLOOKUP(Tableau119[[#This Row],[Key(ID-date)]],'DATA BTO'!S:S,'DATA BTO'!K:K,FALSE)</f>
        <v>0</v>
      </c>
      <c r="AJ89" s="50" t="b">
        <f>_xlfn.XLOOKUP(Tableau119[[#This Row],[Key(ID-date)]],'DATA BTO'!S:S,'DATA BTO'!L:L,FALSE)</f>
        <v>0</v>
      </c>
      <c r="AK89" s="53" t="b">
        <f>_xlfn.XLOOKUP(Tableau119[[#This Row],[Key(ID-date)]],'DATA BTO'!S:S,'DATA BTO'!N:N,FALSE)</f>
        <v>0</v>
      </c>
      <c r="AL89" s="54" t="e">
        <f>VLOOKUP(Tableau119[[#This Row],[Key(POD -PFI- Usine)]],'DATA Consignee'!A:F,6,FALSE)</f>
        <v>#N/A</v>
      </c>
      <c r="AM89" s="127"/>
      <c r="AN89" s="438" t="str">
        <f>IF(Tableau119[[#This Row],[Name PFI/CDD]]="","-",VLOOKUP(Tableau119[[#This Row],[Name PFI/CDD]],Plant_AILN!I:J,2,FALSE))</f>
        <v>-</v>
      </c>
      <c r="AO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9" s="2" t="e">
        <f>VLOOKUP(Tableau119[[#This Row],[Key(POD -PFI- Usine)]],'DATA Consignee'!A:J,10,FALSE)</f>
        <v>#N/A</v>
      </c>
      <c r="AR89" s="50" t="e">
        <f>VLOOKUP(Tableau119[[#This Row],[Key(POD -PFI- Usine)]],'DATA Consignee'!A:N,14,FALSE)</f>
        <v>#N/A</v>
      </c>
      <c r="AS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9" s="50">
        <f>Tableau119[[#This Row],[Transit time]]+Tableau119[[#This Row],[Time for security]]+Tableau119[[#This Row],[Time for security2 buffer]]</f>
        <v>0</v>
      </c>
      <c r="AV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9" s="433" t="e">
        <f>Tableau119[[#This Row],[Leadtime SI2C]]+Tableau119[[#This Row],[First Receipt Days]]-Tableau119[[#This Row],[Day Customer Order]]+1</f>
        <v>#N/A</v>
      </c>
      <c r="AX89" s="119" t="e">
        <f>IF(Tableau119[[#This Row],[Name ILN]]&lt;&gt;"SFK Freight Forwarder",Tableau119[[#This Row],[Cust. Leadtime]],Tableau119[[#This Row],[Leadtime SI2C]])</f>
        <v>#N/A</v>
      </c>
      <c r="AY89" s="51" t="b">
        <f>_xlfn.XLOOKUP(Tableau119[[#This Row],[Key(ID-date)]],'DATA BTO'!S:S,'DATA BTO'!P:P,FALSE)</f>
        <v>0</v>
      </c>
      <c r="AZ89" s="338">
        <v>45961</v>
      </c>
      <c r="BA89" s="50"/>
    </row>
    <row r="90" spans="2:53">
      <c r="B90" s="474" t="str">
        <f>_xlfn.CONCAT(Tableau119[[#This Row],[Name ILN]],"-",Tableau119[[#This Row],[Name Shipper]],"-",Tableau119[[#This Row],[Name Site]])</f>
        <v>ILN Busan-ILN Busan-TANGER</v>
      </c>
      <c r="C90" s="67" t="str">
        <f>_xlfn.CONCAT(Tableau119[[#This Row],[Compte ILN]],"-",Tableau119[[#This Row],[Compte Shipper]],"-",Tableau119[[#This Row],[POL]],"-",Tableau119[[#This Row],[Compte Consignee]])</f>
        <v>95436-95436-FALSO-900383</v>
      </c>
      <c r="D90" s="66" t="str">
        <f>_xlfn.CONCAT(Tableau119[[#This Row],[Compte ILN]],"-",Tableau119[[#This Row],[Compte Shipper]],"-",Tableau119[[#This Row],[POL]])</f>
        <v>95436-95436-FALSO</v>
      </c>
      <c r="E90" s="434" t="str">
        <f>_xlfn.CONCAT(Tableau119[[#This Row],[POL]],"-",Tableau119[[#This Row],[Carrier]],"-",Tableau119[[#This Row],[POD]])</f>
        <v>FALSO-FALSO-FALSO</v>
      </c>
      <c r="F90" s="66" t="str">
        <f>_xlfn.CONCAT(Tableau119[[#This Row],[ID]],"-","Actif")</f>
        <v>24-Actif</v>
      </c>
      <c r="G90" s="66" t="str">
        <f>_xlfn.CONCAT(Tableau119[[#This Row],[POD]],"-",Tableau119[[#This Row],[Code PFI]],"-",Tableau119[[#This Row],[Compte Consignee]])</f>
        <v>FALSO---900383</v>
      </c>
      <c r="H9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BusanFALSOTANGER</v>
      </c>
      <c r="I90" s="434" t="str">
        <f>_xlfn.CONCAT(Tableau119[[#This Row],[ID]],"-",Tableau119[[#This Row],[Expiration Date]])</f>
        <v>24-45961</v>
      </c>
      <c r="J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Busan-ILN Busan-24-FALSO-FALSO-FALSO--45961</v>
      </c>
      <c r="K90" s="435" t="str">
        <f ca="1">IF(COUNTIF(J:J,Tableau119[[#This Row],[Plant-ILN-shipper-POL-Carrier-POD-PFI]])=1,"Non","Oui")</f>
        <v>Non</v>
      </c>
      <c r="L90" s="128" t="str">
        <f>VLOOKUP(Tableau119[[#This Row],[Name Site]],Plant_AILN!A:D,4,FALSE)</f>
        <v>MOROCCO</v>
      </c>
      <c r="M90" s="411" t="s">
        <v>180</v>
      </c>
      <c r="N90" s="439">
        <f>VLOOKUP(Tableau119[[#This Row],[Name Site]],Plant_AILN!A:C,3,FALSE)</f>
        <v>900383</v>
      </c>
      <c r="O90" s="55">
        <f>VLOOKUP(Tableau119[[#This Row],[Compte Consignee]],Order!C:D,2,FALSE)</f>
        <v>7</v>
      </c>
      <c r="P90" s="116" t="s">
        <v>166</v>
      </c>
      <c r="Q90" s="365">
        <f>VLOOKUP(Tableau119[[#This Row],[Name ILN]],Plant_AILN!F:G,2,FALSE)</f>
        <v>95436</v>
      </c>
      <c r="R90" s="50">
        <f>VLOOKUP(Tableau119[[#This Row],[Compte ILN]],'DATA ILN'!D:I,6,FALSE)</f>
        <v>9</v>
      </c>
      <c r="S90" s="50" t="e">
        <f>IFERROR(VLOOKUP(Tableau119[[#This Row],[Key(Compte ILN - shipper - POL - plant)]],'DATA ILN'!A:J,10,FALSE),VLOOKUP(Tableau119[[#This Row],[Key(Compte ILN - shipper - POL)]],'DATA ILN'!B:J,9,FALSE))</f>
        <v>#N/A</v>
      </c>
      <c r="T90" s="50" t="e">
        <f>IFERROR(VLOOKUP(Tableau119[[#This Row],[Key(Compte ILN - shipper - POL - plant)]],'DATA ILN'!A:K,11,FALSE),VLOOKUP(Tableau119[[#This Row],[Key(Compte ILN - shipper - POL)]],'DATA ILN'!B:K,10,FALSE))</f>
        <v>#N/A</v>
      </c>
      <c r="U90" s="50" t="e">
        <f>IFERROR(VLOOKUP(Tableau119[[#This Row],[Key(Compte ILN - shipper - POL - plant)]],'DATA ILN'!A:L,12,FALSE),VLOOKUP(Tableau119[[#This Row],[Key(Compte ILN - shipper - POL)]],'DATA ILN'!B:L,11,FALSE))</f>
        <v>#N/A</v>
      </c>
      <c r="V90" s="50" t="e">
        <f>Tableau119[[#This Row],[Day ILN Order]]+Tableau119[[#This Row],[Delivery time to ILN/Shipper]]-1</f>
        <v>#N/A</v>
      </c>
      <c r="W90" s="50" t="e">
        <f>IFERROR(VLOOKUP(Tableau119[[#This Row],[Key(Compte ILN - shipper - POL - plant)]],'DATA ILN'!A:N,14,FALSE),VLOOKUP(Tableau119[[#This Row],[Key(Compte ILN - shipper - POL)]],'DATA ILN'!B:N,13,FALSE))</f>
        <v>#N/A</v>
      </c>
      <c r="X90" s="53" t="e">
        <f>IFERROR(VLOOKUP(Tableau119[[#This Row],[Key(Compte ILN - shipper - POL - plant)]],'DATA ILN'!A:P,16,FALSE),VLOOKUP(Tableau119[[#This Row],[Key(Compte ILN - shipper - POL)]],'DATA ILN'!B:P,15,FALSE))</f>
        <v>#N/A</v>
      </c>
      <c r="Y90" s="284" t="s">
        <v>166</v>
      </c>
      <c r="Z90" s="437">
        <f>IFERROR(VLOOKUP(Tableau119[[#This Row],[Name Shipper]],Plant_AILN!L:M,2,FALSE),0)</f>
        <v>95436</v>
      </c>
      <c r="AA90" s="406">
        <v>24</v>
      </c>
      <c r="AB90" s="396" t="b">
        <f>_xlfn.XLOOKUP(Tableau119[[#This Row],[Key(ID-date)]],'DATA BTO'!S:S,'DATA BTO'!E:E,FALSE)</f>
        <v>0</v>
      </c>
      <c r="AC90" s="3" t="b">
        <f>_xlfn.XLOOKUP(Tableau119[[#This Row],[Key(ID-date)]],'DATA BTO'!S:S,'DATA BTO'!F:F,FALSE)</f>
        <v>0</v>
      </c>
      <c r="AD90" s="50" t="b">
        <f>_xlfn.XLOOKUP(Tableau119[[#This Row],[Key(ID-date)]],'DATA BTO'!S:S,'DATA BTO'!G:G,FALSE)</f>
        <v>0</v>
      </c>
      <c r="AE90" s="50" t="b">
        <f>_xlfn.XLOOKUP(Tableau119[[#This Row],[Key(ID-date)]],'DATA BTO'!S:S,'DATA BTO'!H:H,FALSE)</f>
        <v>0</v>
      </c>
      <c r="AF90" s="50" t="e">
        <f>IF(Tableau119[[#This Row],[First Day to POL]]&lt;=Tableau119[[#This Row],[Day Cut Off]],Tableau119[[#This Row],[Day ETD]],Tableau119[[#This Row],[Day ETD]]+7)</f>
        <v>#N/A</v>
      </c>
      <c r="AG90" s="50" t="b">
        <f>_xlfn.XLOOKUP(Tableau119[[#This Row],[Key(ID-date)]],'DATA BTO'!S:S,'DATA BTO'!I:I,FALSE)</f>
        <v>0</v>
      </c>
      <c r="AH90" s="3" t="b">
        <f>_xlfn.XLOOKUP(Tableau119[[#This Row],[Key(ID-date)]],'DATA BTO'!S:S,'DATA BTO'!J:J,FALSE)</f>
        <v>0</v>
      </c>
      <c r="AI90" s="3" t="b">
        <f>_xlfn.XLOOKUP(Tableau119[[#This Row],[Key(ID-date)]],'DATA BTO'!S:S,'DATA BTO'!K:K,FALSE)</f>
        <v>0</v>
      </c>
      <c r="AJ90" s="50" t="b">
        <f>_xlfn.XLOOKUP(Tableau119[[#This Row],[Key(ID-date)]],'DATA BTO'!S:S,'DATA BTO'!L:L,FALSE)</f>
        <v>0</v>
      </c>
      <c r="AK90" s="53" t="b">
        <f>_xlfn.XLOOKUP(Tableau119[[#This Row],[Key(ID-date)]],'DATA BTO'!S:S,'DATA BTO'!N:N,FALSE)</f>
        <v>0</v>
      </c>
      <c r="AL90" s="54" t="e">
        <f>VLOOKUP(Tableau119[[#This Row],[Key(POD -PFI- Usine)]],'DATA Consignee'!A:F,6,FALSE)</f>
        <v>#N/A</v>
      </c>
      <c r="AM90" s="127"/>
      <c r="AN90" s="438" t="str">
        <f>IF(Tableau119[[#This Row],[Name PFI/CDD]]="","-",VLOOKUP(Tableau119[[#This Row],[Name PFI/CDD]],Plant_AILN!I:J,2,FALSE))</f>
        <v>-</v>
      </c>
      <c r="AO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" s="2" t="e">
        <f>VLOOKUP(Tableau119[[#This Row],[Key(POD -PFI- Usine)]],'DATA Consignee'!A:J,10,FALSE)</f>
        <v>#N/A</v>
      </c>
      <c r="AR90" s="50" t="e">
        <f>VLOOKUP(Tableau119[[#This Row],[Key(POD -PFI- Usine)]],'DATA Consignee'!A:N,14,FALSE)</f>
        <v>#N/A</v>
      </c>
      <c r="AS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0" s="50">
        <f>Tableau119[[#This Row],[Transit time]]+Tableau119[[#This Row],[Time for security]]+Tableau119[[#This Row],[Time for security2 buffer]]</f>
        <v>0</v>
      </c>
      <c r="AV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0" s="433" t="e">
        <f>Tableau119[[#This Row],[Leadtime SI2C]]+Tableau119[[#This Row],[First Receipt Days]]-Tableau119[[#This Row],[Day Customer Order]]+1</f>
        <v>#N/A</v>
      </c>
      <c r="AX90" s="119" t="e">
        <f>IF(Tableau119[[#This Row],[Name ILN]]&lt;&gt;"SFK Freight Forwarder",Tableau119[[#This Row],[Cust. Leadtime]],Tableau119[[#This Row],[Leadtime SI2C]])</f>
        <v>#N/A</v>
      </c>
      <c r="AY90" s="51" t="b">
        <f>_xlfn.XLOOKUP(Tableau119[[#This Row],[Key(ID-date)]],'DATA BTO'!S:S,'DATA BTO'!P:P,FALSE)</f>
        <v>0</v>
      </c>
      <c r="AZ90" s="338">
        <v>45961</v>
      </c>
      <c r="BA90" s="50"/>
    </row>
    <row r="91" spans="2:53">
      <c r="B91" s="474" t="str">
        <f>_xlfn.CONCAT(Tableau119[[#This Row],[Name ILN]],"-",Tableau119[[#This Row],[Name Shipper]],"-",Tableau119[[#This Row],[Name Site]])</f>
        <v>ILN Busan-ILN Busan-SOMACA</v>
      </c>
      <c r="C91" s="67" t="str">
        <f>_xlfn.CONCAT(Tableau119[[#This Row],[Compte ILN]],"-",Tableau119[[#This Row],[Compte Shipper]],"-",Tableau119[[#This Row],[POL]],"-",Tableau119[[#This Row],[Compte Consignee]])</f>
        <v>95436-95436-FALSO-90038200</v>
      </c>
      <c r="D91" s="66" t="str">
        <f>_xlfn.CONCAT(Tableau119[[#This Row],[Compte ILN]],"-",Tableau119[[#This Row],[Compte Shipper]],"-",Tableau119[[#This Row],[POL]])</f>
        <v>95436-95436-FALSO</v>
      </c>
      <c r="E91" s="434" t="str">
        <f>_xlfn.CONCAT(Tableau119[[#This Row],[POL]],"-",Tableau119[[#This Row],[Carrier]],"-",Tableau119[[#This Row],[POD]])</f>
        <v>FALSO-FALSO-FALSO</v>
      </c>
      <c r="F91" s="66" t="str">
        <f>_xlfn.CONCAT(Tableau119[[#This Row],[ID]],"-","Actif")</f>
        <v>24-Actif</v>
      </c>
      <c r="G91" s="66" t="str">
        <f>_xlfn.CONCAT(Tableau119[[#This Row],[POD]],"-",Tableau119[[#This Row],[Code PFI]],"-",Tableau119[[#This Row],[Compte Consignee]])</f>
        <v>FALSO---90038200</v>
      </c>
      <c r="H9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BusanFALSOSOMACA</v>
      </c>
      <c r="I91" s="434" t="str">
        <f>_xlfn.CONCAT(Tableau119[[#This Row],[ID]],"-",Tableau119[[#This Row],[Expiration Date]])</f>
        <v>24-45777</v>
      </c>
      <c r="J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Busan-ILN Busan-24-FALSO-FALSO-FALSO--45777</v>
      </c>
      <c r="K91" s="435" t="str">
        <f ca="1">IF(COUNTIF(J:J,Tableau119[[#This Row],[Plant-ILN-shipper-POL-Carrier-POD-PFI]])=1,"Non","Oui")</f>
        <v>Non</v>
      </c>
      <c r="L91" s="128" t="str">
        <f>VLOOKUP(Tableau119[[#This Row],[Name Site]],Plant_AILN!A:D,4,FALSE)</f>
        <v>MOROCCO</v>
      </c>
      <c r="M91" s="411" t="s">
        <v>179</v>
      </c>
      <c r="N91" s="439">
        <f>VLOOKUP(Tableau119[[#This Row],[Name Site]],Plant_AILN!A:C,3,FALSE)</f>
        <v>90038200</v>
      </c>
      <c r="O91" s="55">
        <f>VLOOKUP(Tableau119[[#This Row],[Compte Consignee]],Order!C:D,2,FALSE)</f>
        <v>7</v>
      </c>
      <c r="P91" s="116" t="s">
        <v>166</v>
      </c>
      <c r="Q91" s="365">
        <f>VLOOKUP(Tableau119[[#This Row],[Name ILN]],Plant_AILN!F:G,2,FALSE)</f>
        <v>95436</v>
      </c>
      <c r="R91" s="50">
        <f>VLOOKUP(Tableau119[[#This Row],[Compte ILN]],'DATA ILN'!D:I,6,FALSE)</f>
        <v>9</v>
      </c>
      <c r="S91" s="50" t="e">
        <f>IFERROR(VLOOKUP(Tableau119[[#This Row],[Key(Compte ILN - shipper - POL - plant)]],'DATA ILN'!A:J,10,FALSE),VLOOKUP(Tableau119[[#This Row],[Key(Compte ILN - shipper - POL)]],'DATA ILN'!B:J,9,FALSE))</f>
        <v>#N/A</v>
      </c>
      <c r="T91" s="50" t="e">
        <f>IFERROR(VLOOKUP(Tableau119[[#This Row],[Key(Compte ILN - shipper - POL - plant)]],'DATA ILN'!A:K,11,FALSE),VLOOKUP(Tableau119[[#This Row],[Key(Compte ILN - shipper - POL)]],'DATA ILN'!B:K,10,FALSE))</f>
        <v>#N/A</v>
      </c>
      <c r="U91" s="50" t="e">
        <f>IFERROR(VLOOKUP(Tableau119[[#This Row],[Key(Compte ILN - shipper - POL - plant)]],'DATA ILN'!A:L,12,FALSE),VLOOKUP(Tableau119[[#This Row],[Key(Compte ILN - shipper - POL)]],'DATA ILN'!B:L,11,FALSE))</f>
        <v>#N/A</v>
      </c>
      <c r="V91" s="50" t="e">
        <f>Tableau119[[#This Row],[Day ILN Order]]+Tableau119[[#This Row],[Delivery time to ILN/Shipper]]-1</f>
        <v>#N/A</v>
      </c>
      <c r="W91" s="50" t="e">
        <f>IFERROR(VLOOKUP(Tableau119[[#This Row],[Key(Compte ILN - shipper - POL - plant)]],'DATA ILN'!A:N,14,FALSE),VLOOKUP(Tableau119[[#This Row],[Key(Compte ILN - shipper - POL)]],'DATA ILN'!B:N,13,FALSE))</f>
        <v>#N/A</v>
      </c>
      <c r="X91" s="53" t="e">
        <f>IFERROR(VLOOKUP(Tableau119[[#This Row],[Key(Compte ILN - shipper - POL - plant)]],'DATA ILN'!A:P,16,FALSE),VLOOKUP(Tableau119[[#This Row],[Key(Compte ILN - shipper - POL)]],'DATA ILN'!B:P,15,FALSE))</f>
        <v>#N/A</v>
      </c>
      <c r="Y91" s="284" t="s">
        <v>166</v>
      </c>
      <c r="Z91" s="437">
        <f>IFERROR(VLOOKUP(Tableau119[[#This Row],[Name Shipper]],Plant_AILN!L:M,2,FALSE),0)</f>
        <v>95436</v>
      </c>
      <c r="AA91" s="406">
        <v>24</v>
      </c>
      <c r="AB91" s="396" t="b">
        <f>_xlfn.XLOOKUP(Tableau119[[#This Row],[Key(ID-date)]],'DATA BTO'!S:S,'DATA BTO'!E:E,FALSE)</f>
        <v>0</v>
      </c>
      <c r="AC91" s="3" t="b">
        <f>_xlfn.XLOOKUP(Tableau119[[#This Row],[Key(ID-date)]],'DATA BTO'!S:S,'DATA BTO'!F:F,FALSE)</f>
        <v>0</v>
      </c>
      <c r="AD91" s="50" t="b">
        <f>_xlfn.XLOOKUP(Tableau119[[#This Row],[Key(ID-date)]],'DATA BTO'!S:S,'DATA BTO'!G:G,FALSE)</f>
        <v>0</v>
      </c>
      <c r="AE91" s="50" t="b">
        <f>_xlfn.XLOOKUP(Tableau119[[#This Row],[Key(ID-date)]],'DATA BTO'!S:S,'DATA BTO'!H:H,FALSE)</f>
        <v>0</v>
      </c>
      <c r="AF91" s="50" t="e">
        <f>IF(Tableau119[[#This Row],[First Day to POL]]&lt;=Tableau119[[#This Row],[Day Cut Off]],Tableau119[[#This Row],[Day ETD]],Tableau119[[#This Row],[Day ETD]]+7)</f>
        <v>#N/A</v>
      </c>
      <c r="AG91" s="50" t="b">
        <f>_xlfn.XLOOKUP(Tableau119[[#This Row],[Key(ID-date)]],'DATA BTO'!S:S,'DATA BTO'!I:I,FALSE)</f>
        <v>0</v>
      </c>
      <c r="AH91" s="3" t="b">
        <f>_xlfn.XLOOKUP(Tableau119[[#This Row],[Key(ID-date)]],'DATA BTO'!S:S,'DATA BTO'!J:J,FALSE)</f>
        <v>0</v>
      </c>
      <c r="AI91" s="3" t="b">
        <f>_xlfn.XLOOKUP(Tableau119[[#This Row],[Key(ID-date)]],'DATA BTO'!S:S,'DATA BTO'!K:K,FALSE)</f>
        <v>0</v>
      </c>
      <c r="AJ91" s="50" t="b">
        <f>_xlfn.XLOOKUP(Tableau119[[#This Row],[Key(ID-date)]],'DATA BTO'!S:S,'DATA BTO'!L:L,FALSE)</f>
        <v>0</v>
      </c>
      <c r="AK91" s="53" t="b">
        <f>_xlfn.XLOOKUP(Tableau119[[#This Row],[Key(ID-date)]],'DATA BTO'!S:S,'DATA BTO'!N:N,FALSE)</f>
        <v>0</v>
      </c>
      <c r="AL91" s="54" t="e">
        <f>VLOOKUP(Tableau119[[#This Row],[Key(POD -PFI- Usine)]],'DATA Consignee'!A:F,6,FALSE)</f>
        <v>#N/A</v>
      </c>
      <c r="AM91" s="127"/>
      <c r="AN91" s="438" t="str">
        <f>IF(Tableau119[[#This Row],[Name PFI/CDD]]="","-",VLOOKUP(Tableau119[[#This Row],[Name PFI/CDD]],Plant_AILN!I:J,2,FALSE))</f>
        <v>-</v>
      </c>
      <c r="AO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" s="2" t="e">
        <f>VLOOKUP(Tableau119[[#This Row],[Key(POD -PFI- Usine)]],'DATA Consignee'!A:J,10,FALSE)</f>
        <v>#N/A</v>
      </c>
      <c r="AR91" s="50" t="e">
        <f>VLOOKUP(Tableau119[[#This Row],[Key(POD -PFI- Usine)]],'DATA Consignee'!A:N,14,FALSE)</f>
        <v>#N/A</v>
      </c>
      <c r="AS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" s="50">
        <f>Tableau119[[#This Row],[Transit time]]+Tableau119[[#This Row],[Time for security]]+Tableau119[[#This Row],[Time for security2 buffer]]</f>
        <v>0</v>
      </c>
      <c r="AV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" s="433" t="e">
        <f>Tableau119[[#This Row],[Leadtime SI2C]]+Tableau119[[#This Row],[First Receipt Days]]-Tableau119[[#This Row],[Day Customer Order]]+1</f>
        <v>#N/A</v>
      </c>
      <c r="AX91" s="119" t="e">
        <f>IF(Tableau119[[#This Row],[Name ILN]]&lt;&gt;"SFK Freight Forwarder",Tableau119[[#This Row],[Cust. Leadtime]],Tableau119[[#This Row],[Leadtime SI2C]])</f>
        <v>#N/A</v>
      </c>
      <c r="AY91" s="51" t="b">
        <f>_xlfn.XLOOKUP(Tableau119[[#This Row],[Key(ID-date)]],'DATA BTO'!S:S,'DATA BTO'!P:P,FALSE)</f>
        <v>0</v>
      </c>
      <c r="AZ91" s="338">
        <v>45777</v>
      </c>
      <c r="BA91" s="50"/>
    </row>
    <row r="92" spans="2:53">
      <c r="B92" s="474" t="str">
        <f>_xlfn.CONCAT(Tableau119[[#This Row],[Name ILN]],"-",Tableau119[[#This Row],[Name Shipper]],"-",Tableau119[[#This Row],[Name Site]])</f>
        <v>ILN Busan-ILN Busan-TANGER</v>
      </c>
      <c r="C92" s="67" t="str">
        <f>_xlfn.CONCAT(Tableau119[[#This Row],[Compte ILN]],"-",Tableau119[[#This Row],[Compte Shipper]],"-",Tableau119[[#This Row],[POL]],"-",Tableau119[[#This Row],[Compte Consignee]])</f>
        <v>95436-95436-FALSO-900383</v>
      </c>
      <c r="D92" s="66" t="str">
        <f>_xlfn.CONCAT(Tableau119[[#This Row],[Compte ILN]],"-",Tableau119[[#This Row],[Compte Shipper]],"-",Tableau119[[#This Row],[POL]])</f>
        <v>95436-95436-FALSO</v>
      </c>
      <c r="E92" s="434" t="str">
        <f>_xlfn.CONCAT(Tableau119[[#This Row],[POL]],"-",Tableau119[[#This Row],[Carrier]],"-",Tableau119[[#This Row],[POD]])</f>
        <v>FALSO-FALSO-FALSO</v>
      </c>
      <c r="F92" s="66" t="str">
        <f>_xlfn.CONCAT(Tableau119[[#This Row],[ID]],"-","Actif")</f>
        <v>24-Actif</v>
      </c>
      <c r="G92" s="66" t="str">
        <f>_xlfn.CONCAT(Tableau119[[#This Row],[POD]],"-",Tableau119[[#This Row],[Code PFI]],"-",Tableau119[[#This Row],[Compte Consignee]])</f>
        <v>FALSO---900383</v>
      </c>
      <c r="H9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BusanFALSOTANGER</v>
      </c>
      <c r="I92" s="434" t="str">
        <f>_xlfn.CONCAT(Tableau119[[#This Row],[ID]],"-",Tableau119[[#This Row],[Expiration Date]])</f>
        <v>24-45777</v>
      </c>
      <c r="J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Busan-ILN Busan-24-FALSO-FALSO-FALSO--45777</v>
      </c>
      <c r="K92" s="435" t="str">
        <f ca="1">IF(COUNTIF(J:J,Tableau119[[#This Row],[Plant-ILN-shipper-POL-Carrier-POD-PFI]])=1,"Non","Oui")</f>
        <v>Non</v>
      </c>
      <c r="L92" s="128" t="str">
        <f>VLOOKUP(Tableau119[[#This Row],[Name Site]],Plant_AILN!A:D,4,FALSE)</f>
        <v>MOROCCO</v>
      </c>
      <c r="M92" s="411" t="s">
        <v>180</v>
      </c>
      <c r="N92" s="439">
        <f>VLOOKUP(Tableau119[[#This Row],[Name Site]],Plant_AILN!A:C,3,FALSE)</f>
        <v>900383</v>
      </c>
      <c r="O92" s="55">
        <f>VLOOKUP(Tableau119[[#This Row],[Compte Consignee]],Order!C:D,2,FALSE)</f>
        <v>7</v>
      </c>
      <c r="P92" s="116" t="s">
        <v>166</v>
      </c>
      <c r="Q92" s="365">
        <f>VLOOKUP(Tableau119[[#This Row],[Name ILN]],Plant_AILN!F:G,2,FALSE)</f>
        <v>95436</v>
      </c>
      <c r="R92" s="50">
        <f>VLOOKUP(Tableau119[[#This Row],[Compte ILN]],'DATA ILN'!D:I,6,FALSE)</f>
        <v>9</v>
      </c>
      <c r="S92" s="50" t="e">
        <f>IFERROR(VLOOKUP(Tableau119[[#This Row],[Key(Compte ILN - shipper - POL - plant)]],'DATA ILN'!A:J,10,FALSE),VLOOKUP(Tableau119[[#This Row],[Key(Compte ILN - shipper - POL)]],'DATA ILN'!B:J,9,FALSE))</f>
        <v>#N/A</v>
      </c>
      <c r="T92" s="50" t="e">
        <f>IFERROR(VLOOKUP(Tableau119[[#This Row],[Key(Compte ILN - shipper - POL - plant)]],'DATA ILN'!A:K,11,FALSE),VLOOKUP(Tableau119[[#This Row],[Key(Compte ILN - shipper - POL)]],'DATA ILN'!B:K,10,FALSE))</f>
        <v>#N/A</v>
      </c>
      <c r="U92" s="50" t="e">
        <f>IFERROR(VLOOKUP(Tableau119[[#This Row],[Key(Compte ILN - shipper - POL - plant)]],'DATA ILN'!A:L,12,FALSE),VLOOKUP(Tableau119[[#This Row],[Key(Compte ILN - shipper - POL)]],'DATA ILN'!B:L,11,FALSE))</f>
        <v>#N/A</v>
      </c>
      <c r="V92" s="50" t="e">
        <f>Tableau119[[#This Row],[Day ILN Order]]+Tableau119[[#This Row],[Delivery time to ILN/Shipper]]-1</f>
        <v>#N/A</v>
      </c>
      <c r="W92" s="50" t="e">
        <f>IFERROR(VLOOKUP(Tableau119[[#This Row],[Key(Compte ILN - shipper - POL - plant)]],'DATA ILN'!A:N,14,FALSE),VLOOKUP(Tableau119[[#This Row],[Key(Compte ILN - shipper - POL)]],'DATA ILN'!B:N,13,FALSE))</f>
        <v>#N/A</v>
      </c>
      <c r="X92" s="53" t="e">
        <f>IFERROR(VLOOKUP(Tableau119[[#This Row],[Key(Compte ILN - shipper - POL - plant)]],'DATA ILN'!A:P,16,FALSE),VLOOKUP(Tableau119[[#This Row],[Key(Compte ILN - shipper - POL)]],'DATA ILN'!B:P,15,FALSE))</f>
        <v>#N/A</v>
      </c>
      <c r="Y92" s="284" t="s">
        <v>166</v>
      </c>
      <c r="Z92" s="437">
        <f>IFERROR(VLOOKUP(Tableau119[[#This Row],[Name Shipper]],Plant_AILN!L:M,2,FALSE),0)</f>
        <v>95436</v>
      </c>
      <c r="AA92" s="406">
        <v>24</v>
      </c>
      <c r="AB92" s="396" t="b">
        <f>_xlfn.XLOOKUP(Tableau119[[#This Row],[Key(ID-date)]],'DATA BTO'!S:S,'DATA BTO'!E:E,FALSE)</f>
        <v>0</v>
      </c>
      <c r="AC92" s="3" t="b">
        <f>_xlfn.XLOOKUP(Tableau119[[#This Row],[Key(ID-date)]],'DATA BTO'!S:S,'DATA BTO'!F:F,FALSE)</f>
        <v>0</v>
      </c>
      <c r="AD92" s="50" t="b">
        <f>_xlfn.XLOOKUP(Tableau119[[#This Row],[Key(ID-date)]],'DATA BTO'!S:S,'DATA BTO'!G:G,FALSE)</f>
        <v>0</v>
      </c>
      <c r="AE92" s="50" t="b">
        <f>_xlfn.XLOOKUP(Tableau119[[#This Row],[Key(ID-date)]],'DATA BTO'!S:S,'DATA BTO'!H:H,FALSE)</f>
        <v>0</v>
      </c>
      <c r="AF92" s="50" t="e">
        <f>IF(Tableau119[[#This Row],[First Day to POL]]&lt;=Tableau119[[#This Row],[Day Cut Off]],Tableau119[[#This Row],[Day ETD]],Tableau119[[#This Row],[Day ETD]]+7)</f>
        <v>#N/A</v>
      </c>
      <c r="AG92" s="50" t="b">
        <f>_xlfn.XLOOKUP(Tableau119[[#This Row],[Key(ID-date)]],'DATA BTO'!S:S,'DATA BTO'!I:I,FALSE)</f>
        <v>0</v>
      </c>
      <c r="AH92" s="3" t="b">
        <f>_xlfn.XLOOKUP(Tableau119[[#This Row],[Key(ID-date)]],'DATA BTO'!S:S,'DATA BTO'!J:J,FALSE)</f>
        <v>0</v>
      </c>
      <c r="AI92" s="3" t="b">
        <f>_xlfn.XLOOKUP(Tableau119[[#This Row],[Key(ID-date)]],'DATA BTO'!S:S,'DATA BTO'!K:K,FALSE)</f>
        <v>0</v>
      </c>
      <c r="AJ92" s="50" t="b">
        <f>_xlfn.XLOOKUP(Tableau119[[#This Row],[Key(ID-date)]],'DATA BTO'!S:S,'DATA BTO'!L:L,FALSE)</f>
        <v>0</v>
      </c>
      <c r="AK92" s="53" t="b">
        <f>_xlfn.XLOOKUP(Tableau119[[#This Row],[Key(ID-date)]],'DATA BTO'!S:S,'DATA BTO'!N:N,FALSE)</f>
        <v>0</v>
      </c>
      <c r="AL92" s="54" t="e">
        <f>VLOOKUP(Tableau119[[#This Row],[Key(POD -PFI- Usine)]],'DATA Consignee'!A:F,6,FALSE)</f>
        <v>#N/A</v>
      </c>
      <c r="AM92" s="127"/>
      <c r="AN92" s="438" t="str">
        <f>IF(Tableau119[[#This Row],[Name PFI/CDD]]="","-",VLOOKUP(Tableau119[[#This Row],[Name PFI/CDD]],Plant_AILN!I:J,2,FALSE))</f>
        <v>-</v>
      </c>
      <c r="AO9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" s="2" t="e">
        <f>VLOOKUP(Tableau119[[#This Row],[Key(POD -PFI- Usine)]],'DATA Consignee'!A:J,10,FALSE)</f>
        <v>#N/A</v>
      </c>
      <c r="AR92" s="50" t="e">
        <f>VLOOKUP(Tableau119[[#This Row],[Key(POD -PFI- Usine)]],'DATA Consignee'!A:N,14,FALSE)</f>
        <v>#N/A</v>
      </c>
      <c r="AS9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2" s="50">
        <f>Tableau119[[#This Row],[Transit time]]+Tableau119[[#This Row],[Time for security]]+Tableau119[[#This Row],[Time for security2 buffer]]</f>
        <v>0</v>
      </c>
      <c r="AV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2" s="433" t="e">
        <f>Tableau119[[#This Row],[Leadtime SI2C]]+Tableau119[[#This Row],[First Receipt Days]]-Tableau119[[#This Row],[Day Customer Order]]+1</f>
        <v>#N/A</v>
      </c>
      <c r="AX92" s="119" t="e">
        <f>IF(Tableau119[[#This Row],[Name ILN]]&lt;&gt;"SFK Freight Forwarder",Tableau119[[#This Row],[Cust. Leadtime]],Tableau119[[#This Row],[Leadtime SI2C]])</f>
        <v>#N/A</v>
      </c>
      <c r="AY92" s="51" t="b">
        <f>_xlfn.XLOOKUP(Tableau119[[#This Row],[Key(ID-date)]],'DATA BTO'!S:S,'DATA BTO'!P:P,FALSE)</f>
        <v>0</v>
      </c>
      <c r="AZ92" s="338">
        <v>45777</v>
      </c>
      <c r="BA92" s="50"/>
    </row>
    <row r="93" spans="2:53">
      <c r="B93" s="474" t="str">
        <f>_xlfn.CONCAT(Tableau119[[#This Row],[Name ILN]],"-",Tableau119[[#This Row],[Name Shipper]],"-",Tableau119[[#This Row],[Name Site]])</f>
        <v>ILN Busan-ILN Busan-SOMACA</v>
      </c>
      <c r="C93" s="67" t="str">
        <f>_xlfn.CONCAT(Tableau119[[#This Row],[Compte ILN]],"-",Tableau119[[#This Row],[Compte Shipper]],"-",Tableau119[[#This Row],[POL]],"-",Tableau119[[#This Row],[Compte Consignee]])</f>
        <v>95436-95436-FALSO-90038200</v>
      </c>
      <c r="D93" s="66" t="str">
        <f>_xlfn.CONCAT(Tableau119[[#This Row],[Compte ILN]],"-",Tableau119[[#This Row],[Compte Shipper]],"-",Tableau119[[#This Row],[POL]])</f>
        <v>95436-95436-FALSO</v>
      </c>
      <c r="E93" s="434" t="str">
        <f>_xlfn.CONCAT(Tableau119[[#This Row],[POL]],"-",Tableau119[[#This Row],[Carrier]],"-",Tableau119[[#This Row],[POD]])</f>
        <v>FALSO-FALSO-FALSO</v>
      </c>
      <c r="F93" s="66" t="str">
        <f>_xlfn.CONCAT(Tableau119[[#This Row],[ID]],"-","Actif")</f>
        <v>24-Actif</v>
      </c>
      <c r="G93" s="66" t="str">
        <f>_xlfn.CONCAT(Tableau119[[#This Row],[POD]],"-",Tableau119[[#This Row],[Code PFI]],"-",Tableau119[[#This Row],[Compte Consignee]])</f>
        <v>FALSO---90038200</v>
      </c>
      <c r="H9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BusanFALSOSOMACA</v>
      </c>
      <c r="I93" s="434" t="str">
        <f>_xlfn.CONCAT(Tableau119[[#This Row],[ID]],"-",Tableau119[[#This Row],[Expiration Date]])</f>
        <v>24-45473</v>
      </c>
      <c r="J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Busan-ILN Busan-24-FALSO-FALSO-FALSO--45473</v>
      </c>
      <c r="K93" s="435" t="str">
        <f ca="1">IF(COUNTIF(J:J,Tableau119[[#This Row],[Plant-ILN-shipper-POL-Carrier-POD-PFI]])=1,"Non","Oui")</f>
        <v>Non</v>
      </c>
      <c r="L93" s="128" t="str">
        <f>VLOOKUP(Tableau119[[#This Row],[Name Site]],Plant_AILN!A:D,4,FALSE)</f>
        <v>MOROCCO</v>
      </c>
      <c r="M93" s="411" t="s">
        <v>179</v>
      </c>
      <c r="N93" s="439">
        <f>VLOOKUP(Tableau119[[#This Row],[Name Site]],Plant_AILN!A:C,3,FALSE)</f>
        <v>90038200</v>
      </c>
      <c r="O93" s="55">
        <f>VLOOKUP(Tableau119[[#This Row],[Compte Consignee]],Order!C:D,2,FALSE)</f>
        <v>7</v>
      </c>
      <c r="P93" s="116" t="s">
        <v>166</v>
      </c>
      <c r="Q93" s="365">
        <f>VLOOKUP(Tableau119[[#This Row],[Name ILN]],Plant_AILN!F:G,2,FALSE)</f>
        <v>95436</v>
      </c>
      <c r="R93" s="50">
        <f>VLOOKUP(Tableau119[[#This Row],[Compte ILN]],'DATA ILN'!D:I,6,FALSE)</f>
        <v>9</v>
      </c>
      <c r="S93" s="50" t="e">
        <f>IFERROR(VLOOKUP(Tableau119[[#This Row],[Key(Compte ILN - shipper - POL - plant)]],'DATA ILN'!A:J,10,FALSE),VLOOKUP(Tableau119[[#This Row],[Key(Compte ILN - shipper - POL)]],'DATA ILN'!B:J,9,FALSE))</f>
        <v>#N/A</v>
      </c>
      <c r="T93" s="50" t="e">
        <f>IFERROR(VLOOKUP(Tableau119[[#This Row],[Key(Compte ILN - shipper - POL - plant)]],'DATA ILN'!A:K,11,FALSE),VLOOKUP(Tableau119[[#This Row],[Key(Compte ILN - shipper - POL)]],'DATA ILN'!B:K,10,FALSE))</f>
        <v>#N/A</v>
      </c>
      <c r="U93" s="50" t="e">
        <f>IFERROR(VLOOKUP(Tableau119[[#This Row],[Key(Compte ILN - shipper - POL - plant)]],'DATA ILN'!A:L,12,FALSE),VLOOKUP(Tableau119[[#This Row],[Key(Compte ILN - shipper - POL)]],'DATA ILN'!B:L,11,FALSE))</f>
        <v>#N/A</v>
      </c>
      <c r="V93" s="50" t="e">
        <f>Tableau119[[#This Row],[Day ILN Order]]+Tableau119[[#This Row],[Delivery time to ILN/Shipper]]-1</f>
        <v>#N/A</v>
      </c>
      <c r="W93" s="50" t="e">
        <f>IFERROR(VLOOKUP(Tableau119[[#This Row],[Key(Compte ILN - shipper - POL - plant)]],'DATA ILN'!A:N,14,FALSE),VLOOKUP(Tableau119[[#This Row],[Key(Compte ILN - shipper - POL)]],'DATA ILN'!B:N,13,FALSE))</f>
        <v>#N/A</v>
      </c>
      <c r="X93" s="53" t="e">
        <f>IFERROR(VLOOKUP(Tableau119[[#This Row],[Key(Compte ILN - shipper - POL - plant)]],'DATA ILN'!A:P,16,FALSE),VLOOKUP(Tableau119[[#This Row],[Key(Compte ILN - shipper - POL)]],'DATA ILN'!B:P,15,FALSE))</f>
        <v>#N/A</v>
      </c>
      <c r="Y93" s="284" t="s">
        <v>166</v>
      </c>
      <c r="Z93" s="437">
        <f>IFERROR(VLOOKUP(Tableau119[[#This Row],[Name Shipper]],Plant_AILN!L:M,2,FALSE),0)</f>
        <v>95436</v>
      </c>
      <c r="AA93" s="406">
        <v>24</v>
      </c>
      <c r="AB93" s="396" t="b">
        <f>_xlfn.XLOOKUP(Tableau119[[#This Row],[Key(ID-date)]],'DATA BTO'!S:S,'DATA BTO'!E:E,FALSE)</f>
        <v>0</v>
      </c>
      <c r="AC93" s="3" t="b">
        <f>_xlfn.XLOOKUP(Tableau119[[#This Row],[Key(ID-date)]],'DATA BTO'!S:S,'DATA BTO'!F:F,FALSE)</f>
        <v>0</v>
      </c>
      <c r="AD93" s="50" t="b">
        <f>_xlfn.XLOOKUP(Tableau119[[#This Row],[Key(ID-date)]],'DATA BTO'!S:S,'DATA BTO'!G:G,FALSE)</f>
        <v>0</v>
      </c>
      <c r="AE93" s="50" t="b">
        <f>_xlfn.XLOOKUP(Tableau119[[#This Row],[Key(ID-date)]],'DATA BTO'!S:S,'DATA BTO'!H:H,FALSE)</f>
        <v>0</v>
      </c>
      <c r="AF93" s="50" t="e">
        <f>IF(Tableau119[[#This Row],[First Day to POL]]&lt;=Tableau119[[#This Row],[Day Cut Off]],Tableau119[[#This Row],[Day ETD]],Tableau119[[#This Row],[Day ETD]]+7)</f>
        <v>#N/A</v>
      </c>
      <c r="AG93" s="50" t="b">
        <f>_xlfn.XLOOKUP(Tableau119[[#This Row],[Key(ID-date)]],'DATA BTO'!S:S,'DATA BTO'!I:I,FALSE)</f>
        <v>0</v>
      </c>
      <c r="AH93" s="3" t="b">
        <f>_xlfn.XLOOKUP(Tableau119[[#This Row],[Key(ID-date)]],'DATA BTO'!S:S,'DATA BTO'!J:J,FALSE)</f>
        <v>0</v>
      </c>
      <c r="AI93" s="3" t="b">
        <f>_xlfn.XLOOKUP(Tableau119[[#This Row],[Key(ID-date)]],'DATA BTO'!S:S,'DATA BTO'!K:K,FALSE)</f>
        <v>0</v>
      </c>
      <c r="AJ93" s="50" t="b">
        <f>_xlfn.XLOOKUP(Tableau119[[#This Row],[Key(ID-date)]],'DATA BTO'!S:S,'DATA BTO'!L:L,FALSE)</f>
        <v>0</v>
      </c>
      <c r="AK93" s="53" t="b">
        <f>_xlfn.XLOOKUP(Tableau119[[#This Row],[Key(ID-date)]],'DATA BTO'!S:S,'DATA BTO'!N:N,FALSE)</f>
        <v>0</v>
      </c>
      <c r="AL93" s="54" t="e">
        <f>VLOOKUP(Tableau119[[#This Row],[Key(POD -PFI- Usine)]],'DATA Consignee'!A:F,6,FALSE)</f>
        <v>#N/A</v>
      </c>
      <c r="AM93" s="127"/>
      <c r="AN93" s="438" t="str">
        <f>IF(Tableau119[[#This Row],[Name PFI/CDD]]="","-",VLOOKUP(Tableau119[[#This Row],[Name PFI/CDD]],Plant_AILN!I:J,2,FALSE))</f>
        <v>-</v>
      </c>
      <c r="AO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" s="2" t="e">
        <f>VLOOKUP(Tableau119[[#This Row],[Key(POD -PFI- Usine)]],'DATA Consignee'!A:J,10,FALSE)</f>
        <v>#N/A</v>
      </c>
      <c r="AR93" s="50" t="e">
        <f>VLOOKUP(Tableau119[[#This Row],[Key(POD -PFI- Usine)]],'DATA Consignee'!A:N,14,FALSE)</f>
        <v>#N/A</v>
      </c>
      <c r="AS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" s="50">
        <f>Tableau119[[#This Row],[Transit time]]+Tableau119[[#This Row],[Time for security]]+Tableau119[[#This Row],[Time for security2 buffer]]</f>
        <v>0</v>
      </c>
      <c r="AV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" s="433" t="e">
        <f>Tableau119[[#This Row],[Leadtime SI2C]]+Tableau119[[#This Row],[First Receipt Days]]-Tableau119[[#This Row],[Day Customer Order]]+1</f>
        <v>#N/A</v>
      </c>
      <c r="AX93" s="119" t="e">
        <f>IF(Tableau119[[#This Row],[Name ILN]]&lt;&gt;"SFK Freight Forwarder",Tableau119[[#This Row],[Cust. Leadtime]],Tableau119[[#This Row],[Leadtime SI2C]])</f>
        <v>#N/A</v>
      </c>
      <c r="AY93" s="51" t="b">
        <f>_xlfn.XLOOKUP(Tableau119[[#This Row],[Key(ID-date)]],'DATA BTO'!S:S,'DATA BTO'!P:P,FALSE)</f>
        <v>0</v>
      </c>
      <c r="AZ93" s="338">
        <v>45473</v>
      </c>
      <c r="BA93" s="50"/>
    </row>
    <row r="94" spans="2:53">
      <c r="B94" s="474" t="str">
        <f>_xlfn.CONCAT(Tableau119[[#This Row],[Name ILN]],"-",Tableau119[[#This Row],[Name Shipper]],"-",Tableau119[[#This Row],[Name Site]])</f>
        <v>ILN Busan-ILN Busan-TANGER</v>
      </c>
      <c r="C94" s="67" t="str">
        <f>_xlfn.CONCAT(Tableau119[[#This Row],[Compte ILN]],"-",Tableau119[[#This Row],[Compte Shipper]],"-",Tableau119[[#This Row],[POL]],"-",Tableau119[[#This Row],[Compte Consignee]])</f>
        <v>95436-95436-FALSO-900383</v>
      </c>
      <c r="D94" s="66" t="str">
        <f>_xlfn.CONCAT(Tableau119[[#This Row],[Compte ILN]],"-",Tableau119[[#This Row],[Compte Shipper]],"-",Tableau119[[#This Row],[POL]])</f>
        <v>95436-95436-FALSO</v>
      </c>
      <c r="E94" s="434" t="str">
        <f>_xlfn.CONCAT(Tableau119[[#This Row],[POL]],"-",Tableau119[[#This Row],[Carrier]],"-",Tableau119[[#This Row],[POD]])</f>
        <v>FALSO-FALSO-FALSO</v>
      </c>
      <c r="F94" s="66" t="str">
        <f>_xlfn.CONCAT(Tableau119[[#This Row],[ID]],"-","Actif")</f>
        <v>24-Actif</v>
      </c>
      <c r="G94" s="66" t="str">
        <f>_xlfn.CONCAT(Tableau119[[#This Row],[POD]],"-",Tableau119[[#This Row],[Code PFI]],"-",Tableau119[[#This Row],[Compte Consignee]])</f>
        <v>FALSO---900383</v>
      </c>
      <c r="H9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BusanFALSOTANGER</v>
      </c>
      <c r="I94" s="434" t="str">
        <f>_xlfn.CONCAT(Tableau119[[#This Row],[ID]],"-",Tableau119[[#This Row],[Expiration Date]])</f>
        <v>24-45473</v>
      </c>
      <c r="J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Busan-ILN Busan-24-FALSO-FALSO-FALSO--45473</v>
      </c>
      <c r="K94" s="435" t="str">
        <f ca="1">IF(COUNTIF(J:J,Tableau119[[#This Row],[Plant-ILN-shipper-POL-Carrier-POD-PFI]])=1,"Non","Oui")</f>
        <v>Non</v>
      </c>
      <c r="L94" s="128" t="str">
        <f>VLOOKUP(Tableau119[[#This Row],[Name Site]],Plant_AILN!A:D,4,FALSE)</f>
        <v>MOROCCO</v>
      </c>
      <c r="M94" s="411" t="s">
        <v>180</v>
      </c>
      <c r="N94" s="439">
        <f>VLOOKUP(Tableau119[[#This Row],[Name Site]],Plant_AILN!A:C,3,FALSE)</f>
        <v>900383</v>
      </c>
      <c r="O94" s="55">
        <f>VLOOKUP(Tableau119[[#This Row],[Compte Consignee]],Order!C:D,2,FALSE)</f>
        <v>7</v>
      </c>
      <c r="P94" s="116" t="s">
        <v>166</v>
      </c>
      <c r="Q94" s="365">
        <f>VLOOKUP(Tableau119[[#This Row],[Name ILN]],Plant_AILN!F:G,2,FALSE)</f>
        <v>95436</v>
      </c>
      <c r="R94" s="50">
        <f>VLOOKUP(Tableau119[[#This Row],[Compte ILN]],'DATA ILN'!D:I,6,FALSE)</f>
        <v>9</v>
      </c>
      <c r="S94" s="50" t="e">
        <f>IFERROR(VLOOKUP(Tableau119[[#This Row],[Key(Compte ILN - shipper - POL - plant)]],'DATA ILN'!A:J,10,FALSE),VLOOKUP(Tableau119[[#This Row],[Key(Compte ILN - shipper - POL)]],'DATA ILN'!B:J,9,FALSE))</f>
        <v>#N/A</v>
      </c>
      <c r="T94" s="50" t="e">
        <f>IFERROR(VLOOKUP(Tableau119[[#This Row],[Key(Compte ILN - shipper - POL - plant)]],'DATA ILN'!A:K,11,FALSE),VLOOKUP(Tableau119[[#This Row],[Key(Compte ILN - shipper - POL)]],'DATA ILN'!B:K,10,FALSE))</f>
        <v>#N/A</v>
      </c>
      <c r="U94" s="50" t="e">
        <f>IFERROR(VLOOKUP(Tableau119[[#This Row],[Key(Compte ILN - shipper - POL - plant)]],'DATA ILN'!A:L,12,FALSE),VLOOKUP(Tableau119[[#This Row],[Key(Compte ILN - shipper - POL)]],'DATA ILN'!B:L,11,FALSE))</f>
        <v>#N/A</v>
      </c>
      <c r="V94" s="50" t="e">
        <f>Tableau119[[#This Row],[Day ILN Order]]+Tableau119[[#This Row],[Delivery time to ILN/Shipper]]-1</f>
        <v>#N/A</v>
      </c>
      <c r="W94" s="50" t="e">
        <f>IFERROR(VLOOKUP(Tableau119[[#This Row],[Key(Compte ILN - shipper - POL - plant)]],'DATA ILN'!A:N,14,FALSE),VLOOKUP(Tableau119[[#This Row],[Key(Compte ILN - shipper - POL)]],'DATA ILN'!B:N,13,FALSE))</f>
        <v>#N/A</v>
      </c>
      <c r="X94" s="53" t="e">
        <f>IFERROR(VLOOKUP(Tableau119[[#This Row],[Key(Compte ILN - shipper - POL - plant)]],'DATA ILN'!A:P,16,FALSE),VLOOKUP(Tableau119[[#This Row],[Key(Compte ILN - shipper - POL)]],'DATA ILN'!B:P,15,FALSE))</f>
        <v>#N/A</v>
      </c>
      <c r="Y94" s="284" t="s">
        <v>166</v>
      </c>
      <c r="Z94" s="437">
        <f>IFERROR(VLOOKUP(Tableau119[[#This Row],[Name Shipper]],Plant_AILN!L:M,2,FALSE),0)</f>
        <v>95436</v>
      </c>
      <c r="AA94" s="406">
        <v>24</v>
      </c>
      <c r="AB94" s="396" t="b">
        <f>_xlfn.XLOOKUP(Tableau119[[#This Row],[Key(ID-date)]],'DATA BTO'!S:S,'DATA BTO'!E:E,FALSE)</f>
        <v>0</v>
      </c>
      <c r="AC94" s="3" t="b">
        <f>_xlfn.XLOOKUP(Tableau119[[#This Row],[Key(ID-date)]],'DATA BTO'!S:S,'DATA BTO'!F:F,FALSE)</f>
        <v>0</v>
      </c>
      <c r="AD94" s="50" t="b">
        <f>_xlfn.XLOOKUP(Tableau119[[#This Row],[Key(ID-date)]],'DATA BTO'!S:S,'DATA BTO'!G:G,FALSE)</f>
        <v>0</v>
      </c>
      <c r="AE94" s="50" t="b">
        <f>_xlfn.XLOOKUP(Tableau119[[#This Row],[Key(ID-date)]],'DATA BTO'!S:S,'DATA BTO'!H:H,FALSE)</f>
        <v>0</v>
      </c>
      <c r="AF94" s="50" t="e">
        <f>IF(Tableau119[[#This Row],[First Day to POL]]&lt;=Tableau119[[#This Row],[Day Cut Off]],Tableau119[[#This Row],[Day ETD]],Tableau119[[#This Row],[Day ETD]]+7)</f>
        <v>#N/A</v>
      </c>
      <c r="AG94" s="50" t="b">
        <f>_xlfn.XLOOKUP(Tableau119[[#This Row],[Key(ID-date)]],'DATA BTO'!S:S,'DATA BTO'!I:I,FALSE)</f>
        <v>0</v>
      </c>
      <c r="AH94" s="3" t="b">
        <f>_xlfn.XLOOKUP(Tableau119[[#This Row],[Key(ID-date)]],'DATA BTO'!S:S,'DATA BTO'!J:J,FALSE)</f>
        <v>0</v>
      </c>
      <c r="AI94" s="3" t="b">
        <f>_xlfn.XLOOKUP(Tableau119[[#This Row],[Key(ID-date)]],'DATA BTO'!S:S,'DATA BTO'!K:K,FALSE)</f>
        <v>0</v>
      </c>
      <c r="AJ94" s="50" t="b">
        <f>_xlfn.XLOOKUP(Tableau119[[#This Row],[Key(ID-date)]],'DATA BTO'!S:S,'DATA BTO'!L:L,FALSE)</f>
        <v>0</v>
      </c>
      <c r="AK94" s="53" t="b">
        <f>_xlfn.XLOOKUP(Tableau119[[#This Row],[Key(ID-date)]],'DATA BTO'!S:S,'DATA BTO'!N:N,FALSE)</f>
        <v>0</v>
      </c>
      <c r="AL94" s="54" t="e">
        <f>VLOOKUP(Tableau119[[#This Row],[Key(POD -PFI- Usine)]],'DATA Consignee'!A:F,6,FALSE)</f>
        <v>#N/A</v>
      </c>
      <c r="AM94" s="127"/>
      <c r="AN94" s="438" t="str">
        <f>IF(Tableau119[[#This Row],[Name PFI/CDD]]="","-",VLOOKUP(Tableau119[[#This Row],[Name PFI/CDD]],Plant_AILN!I:J,2,FALSE))</f>
        <v>-</v>
      </c>
      <c r="AO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" s="2" t="e">
        <f>VLOOKUP(Tableau119[[#This Row],[Key(POD -PFI- Usine)]],'DATA Consignee'!A:J,10,FALSE)</f>
        <v>#N/A</v>
      </c>
      <c r="AR94" s="50" t="e">
        <f>VLOOKUP(Tableau119[[#This Row],[Key(POD -PFI- Usine)]],'DATA Consignee'!A:N,14,FALSE)</f>
        <v>#N/A</v>
      </c>
      <c r="AS9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" s="50">
        <f>Tableau119[[#This Row],[Transit time]]+Tableau119[[#This Row],[Time for security]]+Tableau119[[#This Row],[Time for security2 buffer]]</f>
        <v>0</v>
      </c>
      <c r="AV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" s="433" t="e">
        <f>Tableau119[[#This Row],[Leadtime SI2C]]+Tableau119[[#This Row],[First Receipt Days]]-Tableau119[[#This Row],[Day Customer Order]]+1</f>
        <v>#N/A</v>
      </c>
      <c r="AX94" s="119" t="e">
        <f>IF(Tableau119[[#This Row],[Name ILN]]&lt;&gt;"SFK Freight Forwarder",Tableau119[[#This Row],[Cust. Leadtime]],Tableau119[[#This Row],[Leadtime SI2C]])</f>
        <v>#N/A</v>
      </c>
      <c r="AY94" s="51" t="b">
        <f>_xlfn.XLOOKUP(Tableau119[[#This Row],[Key(ID-date)]],'DATA BTO'!S:S,'DATA BTO'!P:P,FALSE)</f>
        <v>0</v>
      </c>
      <c r="AZ94" s="338">
        <v>45473</v>
      </c>
      <c r="BA94" s="50"/>
    </row>
    <row r="95" spans="2:53">
      <c r="B95" s="66" t="str">
        <f>_xlfn.CONCAT(Tableau119[[#This Row],[Name ILN]],"-",Tableau119[[#This Row],[Name Shipper]],"-",Tableau119[[#This Row],[Name Site]])</f>
        <v>ILN Busan-ILN Busan-DACIA MONT</v>
      </c>
      <c r="C95" s="66" t="str">
        <f>_xlfn.CONCAT(Tableau119[[#This Row],[Compte ILN]],"-",Tableau119[[#This Row],[Compte Shipper]],"-",Tableau119[[#This Row],[POL]],"-",Tableau119[[#This Row],[Compte Consignee]])</f>
        <v>95436-95436-FALSO-90016800</v>
      </c>
      <c r="D95" s="66" t="str">
        <f>_xlfn.CONCAT(Tableau119[[#This Row],[Compte ILN]],"-",Tableau119[[#This Row],[Compte Shipper]],"-",Tableau119[[#This Row],[POL]])</f>
        <v>95436-95436-FALSO</v>
      </c>
      <c r="E95" s="130" t="str">
        <f>_xlfn.CONCAT(Tableau119[[#This Row],[POL]],"-",Tableau119[[#This Row],[Carrier]],"-",Tableau119[[#This Row],[POD]])</f>
        <v>FALSO-FALSO-FALSO</v>
      </c>
      <c r="F95" s="66" t="str">
        <f>_xlfn.CONCAT(Tableau119[[#This Row],[ID]],"-","Actif")</f>
        <v>25-Actif</v>
      </c>
      <c r="G95" s="66" t="str">
        <f>_xlfn.CONCAT(Tableau119[[#This Row],[POD]],"-",Tableau119[[#This Row],[Code PFI]],"-",Tableau119[[#This Row],[Compte Consignee]])</f>
        <v>FALSO-2839004-90016800</v>
      </c>
      <c r="H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MONT</v>
      </c>
      <c r="I95" s="434" t="str">
        <f>_xlfn.CONCAT(Tableau119[[#This Row],[ID]],"-",Tableau119[[#This Row],[Expiration Date]])</f>
        <v>25-46142</v>
      </c>
      <c r="J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Busan-ILN Busan-25-FALSO-FALSO-FALSO-Magasin Dacia-46142</v>
      </c>
      <c r="K95" s="119" t="str">
        <f ca="1">IF(COUNTIF(J:J,Tableau119[[#This Row],[Plant-ILN-shipper-POL-Carrier-POD-PFI]])=1,"Non","Oui")</f>
        <v>Non</v>
      </c>
      <c r="L95" s="128" t="str">
        <f>VLOOKUP(Tableau119[[#This Row],[Name Site]],Plant_AILN!A:D,4,FALSE)</f>
        <v>ROMANIA</v>
      </c>
      <c r="M95" s="10" t="s">
        <v>185</v>
      </c>
      <c r="N95" s="439">
        <f>VLOOKUP(Tableau119[[#This Row],[Name Site]],Plant_AILN!A:C,3,FALSE)</f>
        <v>90016800</v>
      </c>
      <c r="O95" s="55">
        <f>IF(Tableau119[[#This Row],[Name PFI/CDD]]="PFI VLL",2,VLOOKUP(Tableau119[[#This Row],[Compte Consignee]],Order!C:D,2,FALSE))</f>
        <v>7</v>
      </c>
      <c r="P95" s="116" t="s">
        <v>166</v>
      </c>
      <c r="Q95" s="365">
        <f>VLOOKUP(Tableau119[[#This Row],[Name ILN]],Plant_AILN!F:G,2,FALSE)</f>
        <v>95436</v>
      </c>
      <c r="R95" s="50">
        <f>VLOOKUP(Tableau119[[#This Row],[Compte ILN]],'DATA ILN'!D:I,6,FALSE)</f>
        <v>9</v>
      </c>
      <c r="S95" s="50" t="e">
        <f>IFERROR(VLOOKUP(Tableau119[[#This Row],[Key(Compte ILN - shipper - POL - plant)]],'DATA ILN'!A:J,10,FALSE),VLOOKUP(Tableau119[[#This Row],[Key(Compte ILN - shipper - POL)]],'DATA ILN'!B:J,9,FALSE))</f>
        <v>#N/A</v>
      </c>
      <c r="T95" s="50" t="e">
        <f>IFERROR(VLOOKUP(Tableau119[[#This Row],[Key(Compte ILN - shipper - POL - plant)]],'DATA ILN'!A:K,11,FALSE),VLOOKUP(Tableau119[[#This Row],[Key(Compte ILN - shipper - POL)]],'DATA ILN'!B:K,10,FALSE))</f>
        <v>#N/A</v>
      </c>
      <c r="U95" s="50" t="e">
        <f>IFERROR(VLOOKUP(Tableau119[[#This Row],[Key(Compte ILN - shipper - POL - plant)]],'DATA ILN'!A:L,12,FALSE),VLOOKUP(Tableau119[[#This Row],[Key(Compte ILN - shipper - POL)]],'DATA ILN'!B:L,11,FALSE))</f>
        <v>#N/A</v>
      </c>
      <c r="V95" s="50" t="e">
        <f>Tableau119[[#This Row],[Day ILN Order]]+Tableau119[[#This Row],[Delivery time to ILN/Shipper]]-1</f>
        <v>#N/A</v>
      </c>
      <c r="W95" s="50" t="e">
        <f>IFERROR(VLOOKUP(Tableau119[[#This Row],[Key(Compte ILN - shipper - POL - plant)]],'DATA ILN'!A:N,14,FALSE),VLOOKUP(Tableau119[[#This Row],[Key(Compte ILN - shipper - POL)]],'DATA ILN'!B:N,13,FALSE))</f>
        <v>#N/A</v>
      </c>
      <c r="X95" s="53" t="e">
        <f>IFERROR(VLOOKUP(Tableau119[[#This Row],[Key(Compte ILN - shipper - POL - plant)]],'DATA ILN'!A:P,16,FALSE),VLOOKUP(Tableau119[[#This Row],[Key(Compte ILN - shipper - POL)]],'DATA ILN'!B:P,15,FALSE))</f>
        <v>#N/A</v>
      </c>
      <c r="Y95" s="284" t="s">
        <v>166</v>
      </c>
      <c r="Z95" s="437">
        <f>IFERROR(VLOOKUP(Tableau119[[#This Row],[Name Shipper]],Plant_AILN!L:M,2,FALSE),0)</f>
        <v>95436</v>
      </c>
      <c r="AA95" s="406">
        <v>25</v>
      </c>
      <c r="AB95" s="396" t="b">
        <f>_xlfn.XLOOKUP(Tableau119[[#This Row],[Key(ID-date)]],'DATA BTO'!S:S,'DATA BTO'!E:E,FALSE)</f>
        <v>0</v>
      </c>
      <c r="AC95" s="3" t="b">
        <f>_xlfn.XLOOKUP(Tableau119[[#This Row],[Key(ID-date)]],'DATA BTO'!S:S,'DATA BTO'!F:F,FALSE)</f>
        <v>0</v>
      </c>
      <c r="AD95" s="50" t="b">
        <f>_xlfn.XLOOKUP(Tableau119[[#This Row],[Key(ID-date)]],'DATA BTO'!S:S,'DATA BTO'!G:G,FALSE)</f>
        <v>0</v>
      </c>
      <c r="AE95" s="50" t="b">
        <f>_xlfn.XLOOKUP(Tableau119[[#This Row],[Key(ID-date)]],'DATA BTO'!S:S,'DATA BTO'!H:H,FALSE)</f>
        <v>0</v>
      </c>
      <c r="AF95" s="50" t="e">
        <f>IF(Tableau119[[#This Row],[First Day to POL]]&lt;=Tableau119[[#This Row],[Day Cut Off]],Tableau119[[#This Row],[Day ETD]],Tableau119[[#This Row],[Day ETD]]+7)</f>
        <v>#N/A</v>
      </c>
      <c r="AG95" s="50" t="b">
        <f>_xlfn.XLOOKUP(Tableau119[[#This Row],[Key(ID-date)]],'DATA BTO'!S:S,'DATA BTO'!I:I,FALSE)</f>
        <v>0</v>
      </c>
      <c r="AH95" s="3" t="b">
        <f>_xlfn.XLOOKUP(Tableau119[[#This Row],[Key(ID-date)]],'DATA BTO'!S:S,'DATA BTO'!J:J,FALSE)</f>
        <v>0</v>
      </c>
      <c r="AI95" s="3" t="b">
        <f>_xlfn.XLOOKUP(Tableau119[[#This Row],[Key(ID-date)]],'DATA BTO'!S:S,'DATA BTO'!K:K,FALSE)</f>
        <v>0</v>
      </c>
      <c r="AJ95" s="50" t="b">
        <f>_xlfn.XLOOKUP(Tableau119[[#This Row],[Key(ID-date)]],'DATA BTO'!S:S,'DATA BTO'!L:L,FALSE)</f>
        <v>0</v>
      </c>
      <c r="AK95" s="53" t="b">
        <f>_xlfn.XLOOKUP(Tableau119[[#This Row],[Key(ID-date)]],'DATA BTO'!S:S,'DATA BTO'!N:N,FALSE)</f>
        <v>0</v>
      </c>
      <c r="AL95" s="54" t="e">
        <f>VLOOKUP(Tableau119[[#This Row],[Key(POD -PFI- Usine)]],'DATA Consignee'!A:F,6,FALSE)</f>
        <v>#N/A</v>
      </c>
      <c r="AM95" s="127" t="s">
        <v>164</v>
      </c>
      <c r="AN95" s="438">
        <f>IF(Tableau119[[#This Row],[Name PFI/CDD]]="","-",VLOOKUP(Tableau119[[#This Row],[Name PFI/CDD]],Plant_AILN!I:J,2,FALSE))</f>
        <v>2839004</v>
      </c>
      <c r="AO9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" s="2" t="e">
        <f>VLOOKUP(Tableau119[[#This Row],[Key(POD -PFI- Usine)]],'DATA Consignee'!A:J,10,FALSE)</f>
        <v>#N/A</v>
      </c>
      <c r="AR95" s="50" t="e">
        <f>VLOOKUP(Tableau119[[#This Row],[Key(POD -PFI- Usine)]],'DATA Consignee'!A:N,14,FALSE)</f>
        <v>#N/A</v>
      </c>
      <c r="AS9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5" s="50">
        <f>Tableau119[[#This Row],[Transit time]]+Tableau119[[#This Row],[Time for security]]+Tableau119[[#This Row],[Time for security2 buffer]]</f>
        <v>0</v>
      </c>
      <c r="AV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5" s="433" t="e">
        <f>Tableau119[[#This Row],[Leadtime SI2C]]+Tableau119[[#This Row],[First Receipt Days]]-Tableau119[[#This Row],[Day Customer Order]]+1</f>
        <v>#N/A</v>
      </c>
      <c r="AX95" s="119" t="e">
        <f>IF(Tableau119[[#This Row],[Name ILN]]&lt;&gt;"SFK Freight Forwarder",Tableau119[[#This Row],[Cust. Leadtime]],Tableau119[[#This Row],[Leadtime SI2C]])</f>
        <v>#N/A</v>
      </c>
      <c r="AY95" s="51" t="b">
        <f>_xlfn.XLOOKUP(Tableau119[[#This Row],[Key(ID-date)]],'DATA BTO'!S:S,'DATA BTO'!P:P,FALSE)</f>
        <v>0</v>
      </c>
      <c r="AZ95" s="338">
        <v>46142</v>
      </c>
      <c r="BA95" s="50"/>
    </row>
    <row r="96" spans="2:53">
      <c r="B96" s="474" t="str">
        <f>_xlfn.CONCAT(Tableau119[[#This Row],[Name ILN]],"-",Tableau119[[#This Row],[Name Shipper]],"-",Tableau119[[#This Row],[Name Site]])</f>
        <v>ILN Busan-ILN Busan-DACIA MONT</v>
      </c>
      <c r="C96" s="67" t="str">
        <f>_xlfn.CONCAT(Tableau119[[#This Row],[Compte ILN]],"-",Tableau119[[#This Row],[Compte Shipper]],"-",Tableau119[[#This Row],[POL]],"-",Tableau119[[#This Row],[Compte Consignee]])</f>
        <v>95436-95436-FALSO-90016800</v>
      </c>
      <c r="D96" s="66" t="str">
        <f>_xlfn.CONCAT(Tableau119[[#This Row],[Compte ILN]],"-",Tableau119[[#This Row],[Compte Shipper]],"-",Tableau119[[#This Row],[POL]])</f>
        <v>95436-95436-FALSO</v>
      </c>
      <c r="E96" s="434" t="str">
        <f>_xlfn.CONCAT(Tableau119[[#This Row],[POL]],"-",Tableau119[[#This Row],[Carrier]],"-",Tableau119[[#This Row],[POD]])</f>
        <v>FALSO-FALSO-FALSO</v>
      </c>
      <c r="F96" s="66" t="str">
        <f>_xlfn.CONCAT(Tableau119[[#This Row],[ID]],"-","Actif")</f>
        <v>25-Actif</v>
      </c>
      <c r="G96" s="66" t="str">
        <f>_xlfn.CONCAT(Tableau119[[#This Row],[POD]],"-",Tableau119[[#This Row],[Code PFI]],"-",Tableau119[[#This Row],[Compte Consignee]])</f>
        <v>FALSO---90016800</v>
      </c>
      <c r="H9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MONT</v>
      </c>
      <c r="I96" s="434" t="str">
        <f>_xlfn.CONCAT(Tableau119[[#This Row],[ID]],"-",Tableau119[[#This Row],[Expiration Date]])</f>
        <v>25-45777</v>
      </c>
      <c r="J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Busan-ILN Busan-25-FALSO-FALSO-FALSO--45777</v>
      </c>
      <c r="K96" s="435" t="str">
        <f ca="1">IF(COUNTIF(J:J,Tableau119[[#This Row],[Plant-ILN-shipper-POL-Carrier-POD-PFI]])=1,"Non","Oui")</f>
        <v>Non</v>
      </c>
      <c r="L96" s="128" t="str">
        <f>VLOOKUP(Tableau119[[#This Row],[Name Site]],Plant_AILN!A:D,4,FALSE)</f>
        <v>ROMANIA</v>
      </c>
      <c r="M96" s="411" t="s">
        <v>185</v>
      </c>
      <c r="N96" s="439">
        <f>VLOOKUP(Tableau119[[#This Row],[Name Site]],Plant_AILN!A:C,3,FALSE)</f>
        <v>90016800</v>
      </c>
      <c r="O96" s="55">
        <f>VLOOKUP(Tableau119[[#This Row],[Compte Consignee]],Order!C:D,2,FALSE)</f>
        <v>7</v>
      </c>
      <c r="P96" s="116" t="s">
        <v>166</v>
      </c>
      <c r="Q96" s="365">
        <f>VLOOKUP(Tableau119[[#This Row],[Name ILN]],Plant_AILN!F:G,2,FALSE)</f>
        <v>95436</v>
      </c>
      <c r="R96" s="50">
        <f>VLOOKUP(Tableau119[[#This Row],[Compte ILN]],'DATA ILN'!D:I,6,FALSE)</f>
        <v>9</v>
      </c>
      <c r="S96" s="50" t="e">
        <f>IFERROR(VLOOKUP(Tableau119[[#This Row],[Key(Compte ILN - shipper - POL - plant)]],'DATA ILN'!A:J,10,FALSE),VLOOKUP(Tableau119[[#This Row],[Key(Compte ILN - shipper - POL)]],'DATA ILN'!B:J,9,FALSE))</f>
        <v>#N/A</v>
      </c>
      <c r="T96" s="50" t="e">
        <f>IFERROR(VLOOKUP(Tableau119[[#This Row],[Key(Compte ILN - shipper - POL - plant)]],'DATA ILN'!A:K,11,FALSE),VLOOKUP(Tableau119[[#This Row],[Key(Compte ILN - shipper - POL)]],'DATA ILN'!B:K,10,FALSE))</f>
        <v>#N/A</v>
      </c>
      <c r="U96" s="50" t="e">
        <f>IFERROR(VLOOKUP(Tableau119[[#This Row],[Key(Compte ILN - shipper - POL - plant)]],'DATA ILN'!A:L,12,FALSE),VLOOKUP(Tableau119[[#This Row],[Key(Compte ILN - shipper - POL)]],'DATA ILN'!B:L,11,FALSE))</f>
        <v>#N/A</v>
      </c>
      <c r="V96" s="50" t="e">
        <f>Tableau119[[#This Row],[Day ILN Order]]+Tableau119[[#This Row],[Delivery time to ILN/Shipper]]-1</f>
        <v>#N/A</v>
      </c>
      <c r="W96" s="50" t="e">
        <f>IFERROR(VLOOKUP(Tableau119[[#This Row],[Key(Compte ILN - shipper - POL - plant)]],'DATA ILN'!A:N,14,FALSE),VLOOKUP(Tableau119[[#This Row],[Key(Compte ILN - shipper - POL)]],'DATA ILN'!B:N,13,FALSE))</f>
        <v>#N/A</v>
      </c>
      <c r="X96" s="53" t="e">
        <f>IFERROR(VLOOKUP(Tableau119[[#This Row],[Key(Compte ILN - shipper - POL - plant)]],'DATA ILN'!A:P,16,FALSE),VLOOKUP(Tableau119[[#This Row],[Key(Compte ILN - shipper - POL)]],'DATA ILN'!B:P,15,FALSE))</f>
        <v>#N/A</v>
      </c>
      <c r="Y96" s="284" t="s">
        <v>166</v>
      </c>
      <c r="Z96" s="437">
        <f>IFERROR(VLOOKUP(Tableau119[[#This Row],[Name Shipper]],Plant_AILN!L:M,2,FALSE),0)</f>
        <v>95436</v>
      </c>
      <c r="AA96" s="406">
        <v>25</v>
      </c>
      <c r="AB96" s="396" t="b">
        <f>_xlfn.XLOOKUP(Tableau119[[#This Row],[Key(ID-date)]],'DATA BTO'!S:S,'DATA BTO'!E:E,FALSE)</f>
        <v>0</v>
      </c>
      <c r="AC96" s="3" t="b">
        <f>_xlfn.XLOOKUP(Tableau119[[#This Row],[Key(ID-date)]],'DATA BTO'!S:S,'DATA BTO'!F:F,FALSE)</f>
        <v>0</v>
      </c>
      <c r="AD96" s="50" t="b">
        <f>_xlfn.XLOOKUP(Tableau119[[#This Row],[Key(ID-date)]],'DATA BTO'!S:S,'DATA BTO'!G:G,FALSE)</f>
        <v>0</v>
      </c>
      <c r="AE96" s="50" t="b">
        <f>_xlfn.XLOOKUP(Tableau119[[#This Row],[Key(ID-date)]],'DATA BTO'!S:S,'DATA BTO'!H:H,FALSE)</f>
        <v>0</v>
      </c>
      <c r="AF96" s="50" t="e">
        <f>IF(Tableau119[[#This Row],[First Day to POL]]&lt;=Tableau119[[#This Row],[Day Cut Off]],Tableau119[[#This Row],[Day ETD]],Tableau119[[#This Row],[Day ETD]]+7)</f>
        <v>#N/A</v>
      </c>
      <c r="AG96" s="50" t="b">
        <f>_xlfn.XLOOKUP(Tableau119[[#This Row],[Key(ID-date)]],'DATA BTO'!S:S,'DATA BTO'!I:I,FALSE)</f>
        <v>0</v>
      </c>
      <c r="AH96" s="3" t="b">
        <f>_xlfn.XLOOKUP(Tableau119[[#This Row],[Key(ID-date)]],'DATA BTO'!S:S,'DATA BTO'!J:J,FALSE)</f>
        <v>0</v>
      </c>
      <c r="AI96" s="3" t="b">
        <f>_xlfn.XLOOKUP(Tableau119[[#This Row],[Key(ID-date)]],'DATA BTO'!S:S,'DATA BTO'!K:K,FALSE)</f>
        <v>0</v>
      </c>
      <c r="AJ96" s="50" t="b">
        <f>_xlfn.XLOOKUP(Tableau119[[#This Row],[Key(ID-date)]],'DATA BTO'!S:S,'DATA BTO'!L:L,FALSE)</f>
        <v>0</v>
      </c>
      <c r="AK96" s="53" t="b">
        <f>_xlfn.XLOOKUP(Tableau119[[#This Row],[Key(ID-date)]],'DATA BTO'!S:S,'DATA BTO'!N:N,FALSE)</f>
        <v>0</v>
      </c>
      <c r="AL96" s="54" t="e">
        <f>VLOOKUP(Tableau119[[#This Row],[Key(POD -PFI- Usine)]],'DATA Consignee'!A:F,6,FALSE)</f>
        <v>#N/A</v>
      </c>
      <c r="AM96" s="127"/>
      <c r="AN96" s="438" t="str">
        <f>IF(Tableau119[[#This Row],[Name PFI/CDD]]="","-",VLOOKUP(Tableau119[[#This Row],[Name PFI/CDD]],Plant_AILN!I:J,2,FALSE))</f>
        <v>-</v>
      </c>
      <c r="AO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" s="2" t="e">
        <f>VLOOKUP(Tableau119[[#This Row],[Key(POD -PFI- Usine)]],'DATA Consignee'!A:J,10,FALSE)</f>
        <v>#N/A</v>
      </c>
      <c r="AR96" s="50" t="e">
        <f>VLOOKUP(Tableau119[[#This Row],[Key(POD -PFI- Usine)]],'DATA Consignee'!A:N,14,FALSE)</f>
        <v>#N/A</v>
      </c>
      <c r="AS9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" s="50">
        <f>Tableau119[[#This Row],[Transit time]]+Tableau119[[#This Row],[Time for security]]+Tableau119[[#This Row],[Time for security2 buffer]]</f>
        <v>0</v>
      </c>
      <c r="AV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" s="433" t="e">
        <f>Tableau119[[#This Row],[Leadtime SI2C]]+Tableau119[[#This Row],[First Receipt Days]]-Tableau119[[#This Row],[Day Customer Order]]+1</f>
        <v>#N/A</v>
      </c>
      <c r="AX96" s="119" t="e">
        <f>IF(Tableau119[[#This Row],[Name ILN]]&lt;&gt;"SFK Freight Forwarder",Tableau119[[#This Row],[Cust. Leadtime]],Tableau119[[#This Row],[Leadtime SI2C]])</f>
        <v>#N/A</v>
      </c>
      <c r="AY96" s="51" t="b">
        <f>_xlfn.XLOOKUP(Tableau119[[#This Row],[Key(ID-date)]],'DATA BTO'!S:S,'DATA BTO'!P:P,FALSE)</f>
        <v>0</v>
      </c>
      <c r="AZ96" s="338">
        <v>45777</v>
      </c>
      <c r="BA96" s="50"/>
    </row>
    <row r="97" spans="2:53">
      <c r="B97" s="474" t="str">
        <f>_xlfn.CONCAT(Tableau119[[#This Row],[Name ILN]],"-",Tableau119[[#This Row],[Name Shipper]],"-",Tableau119[[#This Row],[Name Site]])</f>
        <v>ILN Busan-ILN Busan-DACIA MONT</v>
      </c>
      <c r="C97" s="67" t="str">
        <f>_xlfn.CONCAT(Tableau119[[#This Row],[Compte ILN]],"-",Tableau119[[#This Row],[Compte Shipper]],"-",Tableau119[[#This Row],[POL]],"-",Tableau119[[#This Row],[Compte Consignee]])</f>
        <v>95436-95436-FALSO-90016800</v>
      </c>
      <c r="D97" s="66" t="str">
        <f>_xlfn.CONCAT(Tableau119[[#This Row],[Compte ILN]],"-",Tableau119[[#This Row],[Compte Shipper]],"-",Tableau119[[#This Row],[POL]])</f>
        <v>95436-95436-FALSO</v>
      </c>
      <c r="E97" s="434" t="str">
        <f>_xlfn.CONCAT(Tableau119[[#This Row],[POL]],"-",Tableau119[[#This Row],[Carrier]],"-",Tableau119[[#This Row],[POD]])</f>
        <v>FALSO-FALSO-FALSO</v>
      </c>
      <c r="F97" s="66" t="str">
        <f>_xlfn.CONCAT(Tableau119[[#This Row],[ID]],"-","Actif")</f>
        <v>25-Actif</v>
      </c>
      <c r="G97" s="66" t="str">
        <f>_xlfn.CONCAT(Tableau119[[#This Row],[POD]],"-",Tableau119[[#This Row],[Code PFI]],"-",Tableau119[[#This Row],[Compte Consignee]])</f>
        <v>FALSO---90016800</v>
      </c>
      <c r="H9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MONT</v>
      </c>
      <c r="I97" s="434" t="str">
        <f>_xlfn.CONCAT(Tableau119[[#This Row],[ID]],"-",Tableau119[[#This Row],[Expiration Date]])</f>
        <v>25-45473</v>
      </c>
      <c r="J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Busan-ILN Busan-25-FALSO-FALSO-FALSO--45473</v>
      </c>
      <c r="K97" s="435" t="str">
        <f ca="1">IF(COUNTIF(J:J,Tableau119[[#This Row],[Plant-ILN-shipper-POL-Carrier-POD-PFI]])=1,"Non","Oui")</f>
        <v>Non</v>
      </c>
      <c r="L97" s="128" t="str">
        <f>VLOOKUP(Tableau119[[#This Row],[Name Site]],Plant_AILN!A:D,4,FALSE)</f>
        <v>ROMANIA</v>
      </c>
      <c r="M97" s="411" t="s">
        <v>185</v>
      </c>
      <c r="N97" s="439">
        <f>VLOOKUP(Tableau119[[#This Row],[Name Site]],Plant_AILN!A:C,3,FALSE)</f>
        <v>90016800</v>
      </c>
      <c r="O97" s="55">
        <f>VLOOKUP(Tableau119[[#This Row],[Compte Consignee]],Order!C:D,2,FALSE)</f>
        <v>7</v>
      </c>
      <c r="P97" s="116" t="s">
        <v>166</v>
      </c>
      <c r="Q97" s="365">
        <f>VLOOKUP(Tableau119[[#This Row],[Name ILN]],Plant_AILN!F:G,2,FALSE)</f>
        <v>95436</v>
      </c>
      <c r="R97" s="50">
        <f>VLOOKUP(Tableau119[[#This Row],[Compte ILN]],'DATA ILN'!D:I,6,FALSE)</f>
        <v>9</v>
      </c>
      <c r="S97" s="50" t="e">
        <f>IFERROR(VLOOKUP(Tableau119[[#This Row],[Key(Compte ILN - shipper - POL - plant)]],'DATA ILN'!A:J,10,FALSE),VLOOKUP(Tableau119[[#This Row],[Key(Compte ILN - shipper - POL)]],'DATA ILN'!B:J,9,FALSE))</f>
        <v>#N/A</v>
      </c>
      <c r="T97" s="50" t="e">
        <f>IFERROR(VLOOKUP(Tableau119[[#This Row],[Key(Compte ILN - shipper - POL - plant)]],'DATA ILN'!A:K,11,FALSE),VLOOKUP(Tableau119[[#This Row],[Key(Compte ILN - shipper - POL)]],'DATA ILN'!B:K,10,FALSE))</f>
        <v>#N/A</v>
      </c>
      <c r="U97" s="50" t="e">
        <f>IFERROR(VLOOKUP(Tableau119[[#This Row],[Key(Compte ILN - shipper - POL - plant)]],'DATA ILN'!A:L,12,FALSE),VLOOKUP(Tableau119[[#This Row],[Key(Compte ILN - shipper - POL)]],'DATA ILN'!B:L,11,FALSE))</f>
        <v>#N/A</v>
      </c>
      <c r="V97" s="50" t="e">
        <f>Tableau119[[#This Row],[Day ILN Order]]+Tableau119[[#This Row],[Delivery time to ILN/Shipper]]-1</f>
        <v>#N/A</v>
      </c>
      <c r="W97" s="50" t="e">
        <f>IFERROR(VLOOKUP(Tableau119[[#This Row],[Key(Compte ILN - shipper - POL - plant)]],'DATA ILN'!A:N,14,FALSE),VLOOKUP(Tableau119[[#This Row],[Key(Compte ILN - shipper - POL)]],'DATA ILN'!B:N,13,FALSE))</f>
        <v>#N/A</v>
      </c>
      <c r="X97" s="53" t="e">
        <f>IFERROR(VLOOKUP(Tableau119[[#This Row],[Key(Compte ILN - shipper - POL - plant)]],'DATA ILN'!A:P,16,FALSE),VLOOKUP(Tableau119[[#This Row],[Key(Compte ILN - shipper - POL)]],'DATA ILN'!B:P,15,FALSE))</f>
        <v>#N/A</v>
      </c>
      <c r="Y97" s="284" t="s">
        <v>166</v>
      </c>
      <c r="Z97" s="437">
        <f>IFERROR(VLOOKUP(Tableau119[[#This Row],[Name Shipper]],Plant_AILN!L:M,2,FALSE),0)</f>
        <v>95436</v>
      </c>
      <c r="AA97" s="406">
        <v>25</v>
      </c>
      <c r="AB97" s="396" t="b">
        <f>_xlfn.XLOOKUP(Tableau119[[#This Row],[Key(ID-date)]],'DATA BTO'!S:S,'DATA BTO'!E:E,FALSE)</f>
        <v>0</v>
      </c>
      <c r="AC97" s="3" t="b">
        <f>_xlfn.XLOOKUP(Tableau119[[#This Row],[Key(ID-date)]],'DATA BTO'!S:S,'DATA BTO'!F:F,FALSE)</f>
        <v>0</v>
      </c>
      <c r="AD97" s="50" t="b">
        <f>_xlfn.XLOOKUP(Tableau119[[#This Row],[Key(ID-date)]],'DATA BTO'!S:S,'DATA BTO'!G:G,FALSE)</f>
        <v>0</v>
      </c>
      <c r="AE97" s="50" t="b">
        <f>_xlfn.XLOOKUP(Tableau119[[#This Row],[Key(ID-date)]],'DATA BTO'!S:S,'DATA BTO'!H:H,FALSE)</f>
        <v>0</v>
      </c>
      <c r="AF97" s="50" t="e">
        <f>IF(Tableau119[[#This Row],[First Day to POL]]&lt;=Tableau119[[#This Row],[Day Cut Off]],Tableau119[[#This Row],[Day ETD]],Tableau119[[#This Row],[Day ETD]]+7)</f>
        <v>#N/A</v>
      </c>
      <c r="AG97" s="50" t="b">
        <f>_xlfn.XLOOKUP(Tableau119[[#This Row],[Key(ID-date)]],'DATA BTO'!S:S,'DATA BTO'!I:I,FALSE)</f>
        <v>0</v>
      </c>
      <c r="AH97" s="3" t="b">
        <f>_xlfn.XLOOKUP(Tableau119[[#This Row],[Key(ID-date)]],'DATA BTO'!S:S,'DATA BTO'!J:J,FALSE)</f>
        <v>0</v>
      </c>
      <c r="AI97" s="3" t="b">
        <f>_xlfn.XLOOKUP(Tableau119[[#This Row],[Key(ID-date)]],'DATA BTO'!S:S,'DATA BTO'!K:K,FALSE)</f>
        <v>0</v>
      </c>
      <c r="AJ97" s="50" t="b">
        <f>_xlfn.XLOOKUP(Tableau119[[#This Row],[Key(ID-date)]],'DATA BTO'!S:S,'DATA BTO'!L:L,FALSE)</f>
        <v>0</v>
      </c>
      <c r="AK97" s="53" t="b">
        <f>_xlfn.XLOOKUP(Tableau119[[#This Row],[Key(ID-date)]],'DATA BTO'!S:S,'DATA BTO'!N:N,FALSE)</f>
        <v>0</v>
      </c>
      <c r="AL97" s="54" t="e">
        <f>VLOOKUP(Tableau119[[#This Row],[Key(POD -PFI- Usine)]],'DATA Consignee'!A:F,6,FALSE)</f>
        <v>#N/A</v>
      </c>
      <c r="AM97" s="127"/>
      <c r="AN97" s="438" t="str">
        <f>IF(Tableau119[[#This Row],[Name PFI/CDD]]="","-",VLOOKUP(Tableau119[[#This Row],[Name PFI/CDD]],Plant_AILN!I:J,2,FALSE))</f>
        <v>-</v>
      </c>
      <c r="AO9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" s="2" t="e">
        <f>VLOOKUP(Tableau119[[#This Row],[Key(POD -PFI- Usine)]],'DATA Consignee'!A:J,10,FALSE)</f>
        <v>#N/A</v>
      </c>
      <c r="AR97" s="50" t="e">
        <f>VLOOKUP(Tableau119[[#This Row],[Key(POD -PFI- Usine)]],'DATA Consignee'!A:N,14,FALSE)</f>
        <v>#N/A</v>
      </c>
      <c r="AS9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7" s="50">
        <f>Tableau119[[#This Row],[Transit time]]+Tableau119[[#This Row],[Time for security]]+Tableau119[[#This Row],[Time for security2 buffer]]</f>
        <v>0</v>
      </c>
      <c r="AV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7" s="433" t="e">
        <f>Tableau119[[#This Row],[Leadtime SI2C]]+Tableau119[[#This Row],[First Receipt Days]]-Tableau119[[#This Row],[Day Customer Order]]+1</f>
        <v>#N/A</v>
      </c>
      <c r="AX97" s="119" t="e">
        <f>IF(Tableau119[[#This Row],[Name ILN]]&lt;&gt;"SFK Freight Forwarder",Tableau119[[#This Row],[Cust. Leadtime]],Tableau119[[#This Row],[Leadtime SI2C]])</f>
        <v>#N/A</v>
      </c>
      <c r="AY97" s="51" t="b">
        <f>_xlfn.XLOOKUP(Tableau119[[#This Row],[Key(ID-date)]],'DATA BTO'!S:S,'DATA BTO'!P:P,FALSE)</f>
        <v>0</v>
      </c>
      <c r="AZ97" s="338">
        <v>45473</v>
      </c>
      <c r="BA97" s="50"/>
    </row>
    <row r="98" spans="2:53">
      <c r="B98" s="67" t="str">
        <f>_xlfn.CONCAT(Tableau119[[#This Row],[Name ILN]],"-",Tableau119[[#This Row],[Name Shipper]],"-",Tableau119[[#This Row],[Name Site]])</f>
        <v>ILN Busan-ILN Busan-REVOZ</v>
      </c>
      <c r="C98" s="67" t="str">
        <f>_xlfn.CONCAT(Tableau119[[#This Row],[Compte ILN]],"-",Tableau119[[#This Row],[Compte Shipper]],"-",Tableau119[[#This Row],[POL]],"-",Tableau119[[#This Row],[Compte Consignee]])</f>
        <v>95436-95436-FALSO-90016700</v>
      </c>
      <c r="D98" s="66" t="str">
        <f>_xlfn.CONCAT(Tableau119[[#This Row],[Compte ILN]],"-",Tableau119[[#This Row],[Compte Shipper]],"-",Tableau119[[#This Row],[POL]])</f>
        <v>95436-95436-FALSO</v>
      </c>
      <c r="E98" s="434" t="str">
        <f>_xlfn.CONCAT(Tableau119[[#This Row],[POL]],"-",Tableau119[[#This Row],[Carrier]],"-",Tableau119[[#This Row],[POD]])</f>
        <v>FALSO-FALSO-FALSO</v>
      </c>
      <c r="F98" s="66" t="str">
        <f>_xlfn.CONCAT(Tableau119[[#This Row],[ID]],"-","Actif")</f>
        <v>26-Actif</v>
      </c>
      <c r="G98" s="66" t="str">
        <f>_xlfn.CONCAT(Tableau119[[#This Row],[POD]],"-",Tableau119[[#This Row],[Code PFI]],"-",Tableau119[[#This Row],[Compte Consignee]])</f>
        <v>FALSO---90016700</v>
      </c>
      <c r="H9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BusanFALSOREVOZ</v>
      </c>
      <c r="I98" s="434" t="str">
        <f>_xlfn.CONCAT(Tableau119[[#This Row],[ID]],"-",Tableau119[[#This Row],[Expiration Date]])</f>
        <v>26-46142</v>
      </c>
      <c r="J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Busan-ILN Busan-26-FALSO-FALSO-FALSO--46142</v>
      </c>
      <c r="K98" s="435" t="str">
        <f ca="1">IF(COUNTIF(J:J,Tableau119[[#This Row],[Plant-ILN-shipper-POL-Carrier-POD-PFI]])=1,"Non","Oui")</f>
        <v>Non</v>
      </c>
      <c r="L98" s="436" t="str">
        <f>VLOOKUP(Tableau119[[#This Row],[Name Site]],Plant_AILN!A:D,4,FALSE)</f>
        <v>SLOVENIA</v>
      </c>
      <c r="M98" s="285" t="s">
        <v>35</v>
      </c>
      <c r="N98" s="439">
        <f>VLOOKUP(Tableau119[[#This Row],[Name Site]],Plant_AILN!A:C,3,FALSE)</f>
        <v>90016700</v>
      </c>
      <c r="O98" s="55">
        <f>IF(Tableau119[[#This Row],[Name PFI/CDD]]="PFI VLL",2,VLOOKUP(Tableau119[[#This Row],[Compte Consignee]],Order!C:D,2,FALSE))</f>
        <v>7</v>
      </c>
      <c r="P98" s="116" t="s">
        <v>166</v>
      </c>
      <c r="Q98" s="365">
        <f>VLOOKUP(Tableau119[[#This Row],[Name ILN]],Plant_AILN!F:G,2,FALSE)</f>
        <v>95436</v>
      </c>
      <c r="R98" s="50">
        <f>VLOOKUP(Tableau119[[#This Row],[Compte ILN]],'DATA ILN'!D:I,6,FALSE)</f>
        <v>9</v>
      </c>
      <c r="S98" s="50" t="e">
        <f>IFERROR(VLOOKUP(Tableau119[[#This Row],[Key(Compte ILN - shipper - POL - plant)]],'DATA ILN'!A:J,10,FALSE),VLOOKUP(Tableau119[[#This Row],[Key(Compte ILN - shipper - POL)]],'DATA ILN'!B:J,9,FALSE))</f>
        <v>#N/A</v>
      </c>
      <c r="T98" s="50" t="e">
        <f>IFERROR(VLOOKUP(Tableau119[[#This Row],[Key(Compte ILN - shipper - POL - plant)]],'DATA ILN'!A:K,11,FALSE),VLOOKUP(Tableau119[[#This Row],[Key(Compte ILN - shipper - POL)]],'DATA ILN'!B:K,10,FALSE))</f>
        <v>#N/A</v>
      </c>
      <c r="U98" s="50" t="e">
        <f>IFERROR(VLOOKUP(Tableau119[[#This Row],[Key(Compte ILN - shipper - POL - plant)]],'DATA ILN'!A:L,12,FALSE),VLOOKUP(Tableau119[[#This Row],[Key(Compte ILN - shipper - POL)]],'DATA ILN'!B:L,11,FALSE))</f>
        <v>#N/A</v>
      </c>
      <c r="V98" s="50" t="e">
        <f>Tableau119[[#This Row],[Day ILN Order]]+Tableau119[[#This Row],[Delivery time to ILN/Shipper]]-1</f>
        <v>#N/A</v>
      </c>
      <c r="W98" s="50" t="e">
        <f>IFERROR(VLOOKUP(Tableau119[[#This Row],[Key(Compte ILN - shipper - POL - plant)]],'DATA ILN'!A:N,14,FALSE),VLOOKUP(Tableau119[[#This Row],[Key(Compte ILN - shipper - POL)]],'DATA ILN'!B:N,13,FALSE))</f>
        <v>#N/A</v>
      </c>
      <c r="X98" s="53" t="e">
        <f>IFERROR(VLOOKUP(Tableau119[[#This Row],[Key(Compte ILN - shipper - POL - plant)]],'DATA ILN'!A:P,16,FALSE),VLOOKUP(Tableau119[[#This Row],[Key(Compte ILN - shipper - POL)]],'DATA ILN'!B:P,15,FALSE))</f>
        <v>#N/A</v>
      </c>
      <c r="Y98" s="284" t="s">
        <v>166</v>
      </c>
      <c r="Z98" s="437">
        <f>IFERROR(VLOOKUP(Tableau119[[#This Row],[Name Shipper]],Plant_AILN!L:M,2,FALSE),0)</f>
        <v>95436</v>
      </c>
      <c r="AA98" s="406">
        <v>26</v>
      </c>
      <c r="AB98" s="396" t="b">
        <f>_xlfn.XLOOKUP(Tableau119[[#This Row],[Key(ID-date)]],'DATA BTO'!S:S,'DATA BTO'!E:E,FALSE)</f>
        <v>0</v>
      </c>
      <c r="AC98" s="3" t="b">
        <f>_xlfn.XLOOKUP(Tableau119[[#This Row],[Key(ID-date)]],'DATA BTO'!S:S,'DATA BTO'!F:F,FALSE)</f>
        <v>0</v>
      </c>
      <c r="AD98" s="50" t="b">
        <f>_xlfn.XLOOKUP(Tableau119[[#This Row],[Key(ID-date)]],'DATA BTO'!S:S,'DATA BTO'!G:G,FALSE)</f>
        <v>0</v>
      </c>
      <c r="AE98" s="50" t="b">
        <f>_xlfn.XLOOKUP(Tableau119[[#This Row],[Key(ID-date)]],'DATA BTO'!S:S,'DATA BTO'!H:H,FALSE)</f>
        <v>0</v>
      </c>
      <c r="AF98" s="50" t="e">
        <f>IF(Tableau119[[#This Row],[First Day to POL]]&lt;=Tableau119[[#This Row],[Day Cut Off]],Tableau119[[#This Row],[Day ETD]],Tableau119[[#This Row],[Day ETD]]+7)</f>
        <v>#N/A</v>
      </c>
      <c r="AG98" s="50" t="b">
        <f>_xlfn.XLOOKUP(Tableau119[[#This Row],[Key(ID-date)]],'DATA BTO'!S:S,'DATA BTO'!I:I,FALSE)</f>
        <v>0</v>
      </c>
      <c r="AH98" s="3" t="b">
        <f>_xlfn.XLOOKUP(Tableau119[[#This Row],[Key(ID-date)]],'DATA BTO'!S:S,'DATA BTO'!J:J,FALSE)</f>
        <v>0</v>
      </c>
      <c r="AI98" s="3" t="b">
        <f>_xlfn.XLOOKUP(Tableau119[[#This Row],[Key(ID-date)]],'DATA BTO'!S:S,'DATA BTO'!K:K,FALSE)</f>
        <v>0</v>
      </c>
      <c r="AJ98" s="50" t="b">
        <f>_xlfn.XLOOKUP(Tableau119[[#This Row],[Key(ID-date)]],'DATA BTO'!S:S,'DATA BTO'!L:L,FALSE)</f>
        <v>0</v>
      </c>
      <c r="AK98" s="53" t="b">
        <f>_xlfn.XLOOKUP(Tableau119[[#This Row],[Key(ID-date)]],'DATA BTO'!S:S,'DATA BTO'!N:N,FALSE)</f>
        <v>0</v>
      </c>
      <c r="AL98" s="54" t="e">
        <f>VLOOKUP(Tableau119[[#This Row],[Key(POD -PFI- Usine)]],'DATA Consignee'!A:F,6,FALSE)</f>
        <v>#N/A</v>
      </c>
      <c r="AM98" s="127"/>
      <c r="AN98" s="438" t="str">
        <f>IF(Tableau119[[#This Row],[Name PFI/CDD]]="","-",VLOOKUP(Tableau119[[#This Row],[Name PFI/CDD]],Plant_AILN!I:J,2,FALSE))</f>
        <v>-</v>
      </c>
      <c r="AO9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" s="2" t="e">
        <f>VLOOKUP(Tableau119[[#This Row],[Key(POD -PFI- Usine)]],'DATA Consignee'!A:J,10,FALSE)</f>
        <v>#N/A</v>
      </c>
      <c r="AR98" s="50" t="e">
        <f>VLOOKUP(Tableau119[[#This Row],[Key(POD -PFI- Usine)]],'DATA Consignee'!A:N,14,FALSE)</f>
        <v>#N/A</v>
      </c>
      <c r="AS9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8" s="50">
        <f>Tableau119[[#This Row],[Transit time]]+Tableau119[[#This Row],[Time for security]]+Tableau119[[#This Row],[Time for security2 buffer]]</f>
        <v>0</v>
      </c>
      <c r="AV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8" s="433" t="e">
        <f>Tableau119[[#This Row],[Leadtime SI2C]]+Tableau119[[#This Row],[First Receipt Days]]-Tableau119[[#This Row],[Day Customer Order]]+1</f>
        <v>#N/A</v>
      </c>
      <c r="AX98" s="119" t="e">
        <f>IF(Tableau119[[#This Row],[Name ILN]]&lt;&gt;"SFK Freight Forwarder",Tableau119[[#This Row],[Cust. Leadtime]],Tableau119[[#This Row],[Leadtime SI2C]])</f>
        <v>#N/A</v>
      </c>
      <c r="AY98" s="51" t="b">
        <f>_xlfn.XLOOKUP(Tableau119[[#This Row],[Key(ID-date)]],'DATA BTO'!S:S,'DATA BTO'!P:P,FALSE)</f>
        <v>0</v>
      </c>
      <c r="AZ98" s="338">
        <v>46142</v>
      </c>
      <c r="BA98" s="50"/>
    </row>
    <row r="99" spans="2:53">
      <c r="B99" s="474" t="str">
        <f>_xlfn.CONCAT(Tableau119[[#This Row],[Name ILN]],"-",Tableau119[[#This Row],[Name Shipper]],"-",Tableau119[[#This Row],[Name Site]])</f>
        <v>ILN Busan-ILN Busan-REVOZ</v>
      </c>
      <c r="C99" s="67" t="str">
        <f>_xlfn.CONCAT(Tableau119[[#This Row],[Compte ILN]],"-",Tableau119[[#This Row],[Compte Shipper]],"-",Tableau119[[#This Row],[POL]],"-",Tableau119[[#This Row],[Compte Consignee]])</f>
        <v>95436-95436-FALSO-90016700</v>
      </c>
      <c r="D99" s="66" t="str">
        <f>_xlfn.CONCAT(Tableau119[[#This Row],[Compte ILN]],"-",Tableau119[[#This Row],[Compte Shipper]],"-",Tableau119[[#This Row],[POL]])</f>
        <v>95436-95436-FALSO</v>
      </c>
      <c r="E99" s="434" t="str">
        <f>_xlfn.CONCAT(Tableau119[[#This Row],[POL]],"-",Tableau119[[#This Row],[Carrier]],"-",Tableau119[[#This Row],[POD]])</f>
        <v>FALSO-FALSO-FALSO</v>
      </c>
      <c r="F99" s="66" t="str">
        <f>_xlfn.CONCAT(Tableau119[[#This Row],[ID]],"-","Actif")</f>
        <v>26-Actif</v>
      </c>
      <c r="G99" s="66" t="str">
        <f>_xlfn.CONCAT(Tableau119[[#This Row],[POD]],"-",Tableau119[[#This Row],[Code PFI]],"-",Tableau119[[#This Row],[Compte Consignee]])</f>
        <v>FALSO---90016700</v>
      </c>
      <c r="H9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BusanFALSOREVOZ</v>
      </c>
      <c r="I99" s="434" t="str">
        <f>_xlfn.CONCAT(Tableau119[[#This Row],[ID]],"-",Tableau119[[#This Row],[Expiration Date]])</f>
        <v>26-45777</v>
      </c>
      <c r="J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Busan-ILN Busan-26-FALSO-FALSO-FALSO--45777</v>
      </c>
      <c r="K99" s="435" t="str">
        <f ca="1">IF(COUNTIF(J:J,Tableau119[[#This Row],[Plant-ILN-shipper-POL-Carrier-POD-PFI]])=1,"Non","Oui")</f>
        <v>Non</v>
      </c>
      <c r="L99" s="128" t="str">
        <f>VLOOKUP(Tableau119[[#This Row],[Name Site]],Plant_AILN!A:D,4,FALSE)</f>
        <v>SLOVENIA</v>
      </c>
      <c r="M99" s="411" t="s">
        <v>35</v>
      </c>
      <c r="N99" s="439">
        <f>VLOOKUP(Tableau119[[#This Row],[Name Site]],Plant_AILN!A:C,3,FALSE)</f>
        <v>90016700</v>
      </c>
      <c r="O99" s="55">
        <f>VLOOKUP(Tableau119[[#This Row],[Compte Consignee]],Order!C:D,2,FALSE)</f>
        <v>7</v>
      </c>
      <c r="P99" s="116" t="s">
        <v>166</v>
      </c>
      <c r="Q99" s="365">
        <f>VLOOKUP(Tableau119[[#This Row],[Name ILN]],Plant_AILN!F:G,2,FALSE)</f>
        <v>95436</v>
      </c>
      <c r="R99" s="50">
        <f>VLOOKUP(Tableau119[[#This Row],[Compte ILN]],'DATA ILN'!D:I,6,FALSE)</f>
        <v>9</v>
      </c>
      <c r="S99" s="50" t="e">
        <f>IFERROR(VLOOKUP(Tableau119[[#This Row],[Key(Compte ILN - shipper - POL - plant)]],'DATA ILN'!A:J,10,FALSE),VLOOKUP(Tableau119[[#This Row],[Key(Compte ILN - shipper - POL)]],'DATA ILN'!B:J,9,FALSE))</f>
        <v>#N/A</v>
      </c>
      <c r="T99" s="50" t="e">
        <f>IFERROR(VLOOKUP(Tableau119[[#This Row],[Key(Compte ILN - shipper - POL - plant)]],'DATA ILN'!A:K,11,FALSE),VLOOKUP(Tableau119[[#This Row],[Key(Compte ILN - shipper - POL)]],'DATA ILN'!B:K,10,FALSE))</f>
        <v>#N/A</v>
      </c>
      <c r="U99" s="50" t="e">
        <f>IFERROR(VLOOKUP(Tableau119[[#This Row],[Key(Compte ILN - shipper - POL - plant)]],'DATA ILN'!A:L,12,FALSE),VLOOKUP(Tableau119[[#This Row],[Key(Compte ILN - shipper - POL)]],'DATA ILN'!B:L,11,FALSE))</f>
        <v>#N/A</v>
      </c>
      <c r="V99" s="50" t="e">
        <f>Tableau119[[#This Row],[Day ILN Order]]+Tableau119[[#This Row],[Delivery time to ILN/Shipper]]-1</f>
        <v>#N/A</v>
      </c>
      <c r="W99" s="50" t="e">
        <f>IFERROR(VLOOKUP(Tableau119[[#This Row],[Key(Compte ILN - shipper - POL - plant)]],'DATA ILN'!A:N,14,FALSE),VLOOKUP(Tableau119[[#This Row],[Key(Compte ILN - shipper - POL)]],'DATA ILN'!B:N,13,FALSE))</f>
        <v>#N/A</v>
      </c>
      <c r="X99" s="53" t="e">
        <f>IFERROR(VLOOKUP(Tableau119[[#This Row],[Key(Compte ILN - shipper - POL - plant)]],'DATA ILN'!A:P,16,FALSE),VLOOKUP(Tableau119[[#This Row],[Key(Compte ILN - shipper - POL)]],'DATA ILN'!B:P,15,FALSE))</f>
        <v>#N/A</v>
      </c>
      <c r="Y99" s="284" t="s">
        <v>166</v>
      </c>
      <c r="Z99" s="437">
        <f>IFERROR(VLOOKUP(Tableau119[[#This Row],[Name Shipper]],Plant_AILN!L:M,2,FALSE),0)</f>
        <v>95436</v>
      </c>
      <c r="AA99" s="406">
        <v>26</v>
      </c>
      <c r="AB99" s="396" t="b">
        <f>_xlfn.XLOOKUP(Tableau119[[#This Row],[Key(ID-date)]],'DATA BTO'!S:S,'DATA BTO'!E:E,FALSE)</f>
        <v>0</v>
      </c>
      <c r="AC99" s="3" t="b">
        <f>_xlfn.XLOOKUP(Tableau119[[#This Row],[Key(ID-date)]],'DATA BTO'!S:S,'DATA BTO'!F:F,FALSE)</f>
        <v>0</v>
      </c>
      <c r="AD99" s="50" t="b">
        <f>_xlfn.XLOOKUP(Tableau119[[#This Row],[Key(ID-date)]],'DATA BTO'!S:S,'DATA BTO'!G:G,FALSE)</f>
        <v>0</v>
      </c>
      <c r="AE99" s="50" t="b">
        <f>_xlfn.XLOOKUP(Tableau119[[#This Row],[Key(ID-date)]],'DATA BTO'!S:S,'DATA BTO'!H:H,FALSE)</f>
        <v>0</v>
      </c>
      <c r="AF99" s="50" t="e">
        <f>IF(Tableau119[[#This Row],[First Day to POL]]&lt;=Tableau119[[#This Row],[Day Cut Off]],Tableau119[[#This Row],[Day ETD]],Tableau119[[#This Row],[Day ETD]]+7)</f>
        <v>#N/A</v>
      </c>
      <c r="AG99" s="50" t="b">
        <f>_xlfn.XLOOKUP(Tableau119[[#This Row],[Key(ID-date)]],'DATA BTO'!S:S,'DATA BTO'!I:I,FALSE)</f>
        <v>0</v>
      </c>
      <c r="AH99" s="3" t="b">
        <f>_xlfn.XLOOKUP(Tableau119[[#This Row],[Key(ID-date)]],'DATA BTO'!S:S,'DATA BTO'!J:J,FALSE)</f>
        <v>0</v>
      </c>
      <c r="AI99" s="3" t="b">
        <f>_xlfn.XLOOKUP(Tableau119[[#This Row],[Key(ID-date)]],'DATA BTO'!S:S,'DATA BTO'!K:K,FALSE)</f>
        <v>0</v>
      </c>
      <c r="AJ99" s="50" t="b">
        <f>_xlfn.XLOOKUP(Tableau119[[#This Row],[Key(ID-date)]],'DATA BTO'!S:S,'DATA BTO'!L:L,FALSE)</f>
        <v>0</v>
      </c>
      <c r="AK99" s="53" t="b">
        <f>_xlfn.XLOOKUP(Tableau119[[#This Row],[Key(ID-date)]],'DATA BTO'!S:S,'DATA BTO'!N:N,FALSE)</f>
        <v>0</v>
      </c>
      <c r="AL99" s="54" t="e">
        <f>VLOOKUP(Tableau119[[#This Row],[Key(POD -PFI- Usine)]],'DATA Consignee'!A:F,6,FALSE)</f>
        <v>#N/A</v>
      </c>
      <c r="AM99" s="127"/>
      <c r="AN99" s="438" t="str">
        <f>IF(Tableau119[[#This Row],[Name PFI/CDD]]="","-",VLOOKUP(Tableau119[[#This Row],[Name PFI/CDD]],Plant_AILN!I:J,2,FALSE))</f>
        <v>-</v>
      </c>
      <c r="AO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" s="2" t="e">
        <f>VLOOKUP(Tableau119[[#This Row],[Key(POD -PFI- Usine)]],'DATA Consignee'!A:J,10,FALSE)</f>
        <v>#N/A</v>
      </c>
      <c r="AR99" s="50" t="e">
        <f>VLOOKUP(Tableau119[[#This Row],[Key(POD -PFI- Usine)]],'DATA Consignee'!A:N,14,FALSE)</f>
        <v>#N/A</v>
      </c>
      <c r="AS9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" s="50">
        <f>Tableau119[[#This Row],[Transit time]]+Tableau119[[#This Row],[Time for security]]+Tableau119[[#This Row],[Time for security2 buffer]]</f>
        <v>0</v>
      </c>
      <c r="AV9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" s="433" t="e">
        <f>Tableau119[[#This Row],[Leadtime SI2C]]+Tableau119[[#This Row],[First Receipt Days]]-Tableau119[[#This Row],[Day Customer Order]]+1</f>
        <v>#N/A</v>
      </c>
      <c r="AX99" s="119" t="e">
        <f>IF(Tableau119[[#This Row],[Name ILN]]&lt;&gt;"SFK Freight Forwarder",Tableau119[[#This Row],[Cust. Leadtime]],Tableau119[[#This Row],[Leadtime SI2C]])</f>
        <v>#N/A</v>
      </c>
      <c r="AY99" s="51" t="b">
        <f>_xlfn.XLOOKUP(Tableau119[[#This Row],[Key(ID-date)]],'DATA BTO'!S:S,'DATA BTO'!P:P,FALSE)</f>
        <v>0</v>
      </c>
      <c r="AZ99" s="338">
        <v>45777</v>
      </c>
      <c r="BA99" s="50"/>
    </row>
    <row r="100" spans="2:53">
      <c r="B100" s="474" t="str">
        <f>_xlfn.CONCAT(Tableau119[[#This Row],[Name ILN]],"-",Tableau119[[#This Row],[Name Shipper]],"-",Tableau119[[#This Row],[Name Site]])</f>
        <v>ILN Busan-ILN Busan-REVOZ</v>
      </c>
      <c r="C100" s="67" t="str">
        <f>_xlfn.CONCAT(Tableau119[[#This Row],[Compte ILN]],"-",Tableau119[[#This Row],[Compte Shipper]],"-",Tableau119[[#This Row],[POL]],"-",Tableau119[[#This Row],[Compte Consignee]])</f>
        <v>95436-95436-FALSO-90016700</v>
      </c>
      <c r="D100" s="66" t="str">
        <f>_xlfn.CONCAT(Tableau119[[#This Row],[Compte ILN]],"-",Tableau119[[#This Row],[Compte Shipper]],"-",Tableau119[[#This Row],[POL]])</f>
        <v>95436-95436-FALSO</v>
      </c>
      <c r="E100" s="434" t="str">
        <f>_xlfn.CONCAT(Tableau119[[#This Row],[POL]],"-",Tableau119[[#This Row],[Carrier]],"-",Tableau119[[#This Row],[POD]])</f>
        <v>FALSO-FALSO-FALSO</v>
      </c>
      <c r="F100" s="66" t="str">
        <f>_xlfn.CONCAT(Tableau119[[#This Row],[ID]],"-","Actif")</f>
        <v>26-Actif</v>
      </c>
      <c r="G100" s="66" t="str">
        <f>_xlfn.CONCAT(Tableau119[[#This Row],[POD]],"-",Tableau119[[#This Row],[Code PFI]],"-",Tableau119[[#This Row],[Compte Consignee]])</f>
        <v>FALSO---90016700</v>
      </c>
      <c r="H10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BusanFALSOREVOZ</v>
      </c>
      <c r="I100" s="434" t="str">
        <f>_xlfn.CONCAT(Tableau119[[#This Row],[ID]],"-",Tableau119[[#This Row],[Expiration Date]])</f>
        <v>26-45473</v>
      </c>
      <c r="J1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Busan-ILN Busan-26-FALSO-FALSO-FALSO--45473</v>
      </c>
      <c r="K100" s="435" t="str">
        <f ca="1">IF(COUNTIF(J:J,Tableau119[[#This Row],[Plant-ILN-shipper-POL-Carrier-POD-PFI]])=1,"Non","Oui")</f>
        <v>Non</v>
      </c>
      <c r="L100" s="128" t="str">
        <f>VLOOKUP(Tableau119[[#This Row],[Name Site]],Plant_AILN!A:D,4,FALSE)</f>
        <v>SLOVENIA</v>
      </c>
      <c r="M100" s="411" t="s">
        <v>35</v>
      </c>
      <c r="N100" s="439">
        <f>VLOOKUP(Tableau119[[#This Row],[Name Site]],Plant_AILN!A:C,3,FALSE)</f>
        <v>90016700</v>
      </c>
      <c r="O100" s="55">
        <f>VLOOKUP(Tableau119[[#This Row],[Compte Consignee]],Order!C:D,2,FALSE)</f>
        <v>7</v>
      </c>
      <c r="P100" s="116" t="s">
        <v>166</v>
      </c>
      <c r="Q100" s="365">
        <f>VLOOKUP(Tableau119[[#This Row],[Name ILN]],Plant_AILN!F:G,2,FALSE)</f>
        <v>95436</v>
      </c>
      <c r="R100" s="50">
        <f>VLOOKUP(Tableau119[[#This Row],[Compte ILN]],'DATA ILN'!D:I,6,FALSE)</f>
        <v>9</v>
      </c>
      <c r="S100" s="50" t="e">
        <f>IFERROR(VLOOKUP(Tableau119[[#This Row],[Key(Compte ILN - shipper - POL - plant)]],'DATA ILN'!A:J,10,FALSE),VLOOKUP(Tableau119[[#This Row],[Key(Compte ILN - shipper - POL)]],'DATA ILN'!B:J,9,FALSE))</f>
        <v>#N/A</v>
      </c>
      <c r="T100" s="50" t="e">
        <f>IFERROR(VLOOKUP(Tableau119[[#This Row],[Key(Compte ILN - shipper - POL - plant)]],'DATA ILN'!A:K,11,FALSE),VLOOKUP(Tableau119[[#This Row],[Key(Compte ILN - shipper - POL)]],'DATA ILN'!B:K,10,FALSE))</f>
        <v>#N/A</v>
      </c>
      <c r="U100" s="50" t="e">
        <f>IFERROR(VLOOKUP(Tableau119[[#This Row],[Key(Compte ILN - shipper - POL - plant)]],'DATA ILN'!A:L,12,FALSE),VLOOKUP(Tableau119[[#This Row],[Key(Compte ILN - shipper - POL)]],'DATA ILN'!B:L,11,FALSE))</f>
        <v>#N/A</v>
      </c>
      <c r="V100" s="50" t="e">
        <f>Tableau119[[#This Row],[Day ILN Order]]+Tableau119[[#This Row],[Delivery time to ILN/Shipper]]-1</f>
        <v>#N/A</v>
      </c>
      <c r="W100" s="50" t="e">
        <f>IFERROR(VLOOKUP(Tableau119[[#This Row],[Key(Compte ILN - shipper - POL - plant)]],'DATA ILN'!A:N,14,FALSE),VLOOKUP(Tableau119[[#This Row],[Key(Compte ILN - shipper - POL)]],'DATA ILN'!B:N,13,FALSE))</f>
        <v>#N/A</v>
      </c>
      <c r="X100" s="53" t="e">
        <f>IFERROR(VLOOKUP(Tableau119[[#This Row],[Key(Compte ILN - shipper - POL - plant)]],'DATA ILN'!A:P,16,FALSE),VLOOKUP(Tableau119[[#This Row],[Key(Compte ILN - shipper - POL)]],'DATA ILN'!B:P,15,FALSE))</f>
        <v>#N/A</v>
      </c>
      <c r="Y100" s="284" t="s">
        <v>166</v>
      </c>
      <c r="Z100" s="437">
        <f>IFERROR(VLOOKUP(Tableau119[[#This Row],[Name Shipper]],Plant_AILN!L:M,2,FALSE),0)</f>
        <v>95436</v>
      </c>
      <c r="AA100" s="406">
        <v>26</v>
      </c>
      <c r="AB100" s="396" t="b">
        <f>_xlfn.XLOOKUP(Tableau119[[#This Row],[Key(ID-date)]],'DATA BTO'!S:S,'DATA BTO'!E:E,FALSE)</f>
        <v>0</v>
      </c>
      <c r="AC100" s="3" t="b">
        <f>_xlfn.XLOOKUP(Tableau119[[#This Row],[Key(ID-date)]],'DATA BTO'!S:S,'DATA BTO'!F:F,FALSE)</f>
        <v>0</v>
      </c>
      <c r="AD100" s="50" t="b">
        <f>_xlfn.XLOOKUP(Tableau119[[#This Row],[Key(ID-date)]],'DATA BTO'!S:S,'DATA BTO'!G:G,FALSE)</f>
        <v>0</v>
      </c>
      <c r="AE100" s="50" t="b">
        <f>_xlfn.XLOOKUP(Tableau119[[#This Row],[Key(ID-date)]],'DATA BTO'!S:S,'DATA BTO'!H:H,FALSE)</f>
        <v>0</v>
      </c>
      <c r="AF100" s="50" t="e">
        <f>IF(Tableau119[[#This Row],[First Day to POL]]&lt;=Tableau119[[#This Row],[Day Cut Off]],Tableau119[[#This Row],[Day ETD]],Tableau119[[#This Row],[Day ETD]]+7)</f>
        <v>#N/A</v>
      </c>
      <c r="AG100" s="50" t="b">
        <f>_xlfn.XLOOKUP(Tableau119[[#This Row],[Key(ID-date)]],'DATA BTO'!S:S,'DATA BTO'!I:I,FALSE)</f>
        <v>0</v>
      </c>
      <c r="AH100" s="3" t="b">
        <f>_xlfn.XLOOKUP(Tableau119[[#This Row],[Key(ID-date)]],'DATA BTO'!S:S,'DATA BTO'!J:J,FALSE)</f>
        <v>0</v>
      </c>
      <c r="AI100" s="3" t="b">
        <f>_xlfn.XLOOKUP(Tableau119[[#This Row],[Key(ID-date)]],'DATA BTO'!S:S,'DATA BTO'!K:K,FALSE)</f>
        <v>0</v>
      </c>
      <c r="AJ100" s="50" t="b">
        <f>_xlfn.XLOOKUP(Tableau119[[#This Row],[Key(ID-date)]],'DATA BTO'!S:S,'DATA BTO'!L:L,FALSE)</f>
        <v>0</v>
      </c>
      <c r="AK100" s="53" t="b">
        <f>_xlfn.XLOOKUP(Tableau119[[#This Row],[Key(ID-date)]],'DATA BTO'!S:S,'DATA BTO'!N:N,FALSE)</f>
        <v>0</v>
      </c>
      <c r="AL100" s="54" t="e">
        <f>VLOOKUP(Tableau119[[#This Row],[Key(POD -PFI- Usine)]],'DATA Consignee'!A:F,6,FALSE)</f>
        <v>#N/A</v>
      </c>
      <c r="AM100" s="127"/>
      <c r="AN100" s="438" t="str">
        <f>IF(Tableau119[[#This Row],[Name PFI/CDD]]="","-",VLOOKUP(Tableau119[[#This Row],[Name PFI/CDD]],Plant_AILN!I:J,2,FALSE))</f>
        <v>-</v>
      </c>
      <c r="AO1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00" s="2" t="e">
        <f>VLOOKUP(Tableau119[[#This Row],[Key(POD -PFI- Usine)]],'DATA Consignee'!A:J,10,FALSE)</f>
        <v>#N/A</v>
      </c>
      <c r="AR100" s="50" t="e">
        <f>VLOOKUP(Tableau119[[#This Row],[Key(POD -PFI- Usine)]],'DATA Consignee'!A:N,14,FALSE)</f>
        <v>#N/A</v>
      </c>
      <c r="AS10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0" s="50">
        <f>Tableau119[[#This Row],[Transit time]]+Tableau119[[#This Row],[Time for security]]+Tableau119[[#This Row],[Time for security2 buffer]]</f>
        <v>0</v>
      </c>
      <c r="AV10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0" s="433" t="e">
        <f>Tableau119[[#This Row],[Leadtime SI2C]]+Tableau119[[#This Row],[First Receipt Days]]-Tableau119[[#This Row],[Day Customer Order]]+1</f>
        <v>#N/A</v>
      </c>
      <c r="AX100" s="119" t="e">
        <f>IF(Tableau119[[#This Row],[Name ILN]]&lt;&gt;"SFK Freight Forwarder",Tableau119[[#This Row],[Cust. Leadtime]],Tableau119[[#This Row],[Leadtime SI2C]])</f>
        <v>#N/A</v>
      </c>
      <c r="AY100" s="51" t="b">
        <f>_xlfn.XLOOKUP(Tableau119[[#This Row],[Key(ID-date)]],'DATA BTO'!S:S,'DATA BTO'!P:P,FALSE)</f>
        <v>0</v>
      </c>
      <c r="AZ100" s="338">
        <v>45473</v>
      </c>
      <c r="BA100" s="50"/>
    </row>
    <row r="101" spans="2:53">
      <c r="B101" s="67" t="str">
        <f>_xlfn.CONCAT(Tableau119[[#This Row],[Name ILN]],"-",Tableau119[[#This Row],[Name Shipper]],"-",Tableau119[[#This Row],[Name Site]])</f>
        <v>ILN Busan-ILN Busan-CARROCERIAS</v>
      </c>
      <c r="C101" s="67" t="str">
        <f>_xlfn.CONCAT(Tableau119[[#This Row],[Compte ILN]],"-",Tableau119[[#This Row],[Compte Shipper]],"-",Tableau119[[#This Row],[POL]],"-",Tableau119[[#This Row],[Compte Consignee]])</f>
        <v>95436-95436-FALSO-91017600</v>
      </c>
      <c r="D101" s="66" t="str">
        <f>_xlfn.CONCAT(Tableau119[[#This Row],[Compte ILN]],"-",Tableau119[[#This Row],[Compte Shipper]],"-",Tableau119[[#This Row],[POL]])</f>
        <v>95436-95436-FALSO</v>
      </c>
      <c r="E101" s="434" t="str">
        <f>_xlfn.CONCAT(Tableau119[[#This Row],[POL]],"-",Tableau119[[#This Row],[Carrier]],"-",Tableau119[[#This Row],[POD]])</f>
        <v>FALSO-FALSO-FALSO</v>
      </c>
      <c r="F101" s="66" t="str">
        <f>_xlfn.CONCAT(Tableau119[[#This Row],[ID]],"-","Actif")</f>
        <v>27-Actif</v>
      </c>
      <c r="G101" s="66" t="str">
        <f>_xlfn.CONCAT(Tableau119[[#This Row],[POD]],"-",Tableau119[[#This Row],[Code PFI]],"-",Tableau119[[#This Row],[Compte Consignee]])</f>
        <v>FALSO-91018400-91017600</v>
      </c>
      <c r="H10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BusanFALSOCARROCERIAS</v>
      </c>
      <c r="I101" s="434" t="str">
        <f>_xlfn.CONCAT(Tableau119[[#This Row],[ID]],"-",Tableau119[[#This Row],[Expiration Date]])</f>
        <v>27-46142</v>
      </c>
      <c r="J1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CARROCERIAS-ILN Busan-ILN Busan-27-FALSO-FALSO-FALSO-CDD VLL-46142</v>
      </c>
      <c r="K101" s="435" t="str">
        <f ca="1">IF(COUNTIF(J:J,Tableau119[[#This Row],[Plant-ILN-shipper-POL-Carrier-POD-PFI]])=1,"Non","Oui")</f>
        <v>Non</v>
      </c>
      <c r="L101" s="128" t="str">
        <f>VLOOKUP(Tableau119[[#This Row],[Name Site]],Plant_AILN!A:D,4,FALSE)</f>
        <v>SPAIN</v>
      </c>
      <c r="M101" s="412" t="s">
        <v>211</v>
      </c>
      <c r="N101" s="439">
        <f>VLOOKUP(Tableau119[[#This Row],[Name Site]],Plant_AILN!A:C,3,FALSE)</f>
        <v>91017600</v>
      </c>
      <c r="O101" s="55">
        <f>IF(Tableau119[[#This Row],[Name PFI/CDD]]="PFI VLL",2,VLOOKUP(Tableau119[[#This Row],[Compte Consignee]],Order!C:D,2,FALSE))</f>
        <v>7</v>
      </c>
      <c r="P101" s="116" t="s">
        <v>166</v>
      </c>
      <c r="Q101" s="365">
        <f>VLOOKUP(Tableau119[[#This Row],[Name ILN]],Plant_AILN!F:G,2,FALSE)</f>
        <v>95436</v>
      </c>
      <c r="R101" s="50">
        <f>VLOOKUP(Tableau119[[#This Row],[Compte ILN]],'DATA ILN'!D:I,6,FALSE)</f>
        <v>9</v>
      </c>
      <c r="S101" s="50" t="e">
        <f>IFERROR(VLOOKUP(Tableau119[[#This Row],[Key(Compte ILN - shipper - POL - plant)]],'DATA ILN'!A:J,10,FALSE),VLOOKUP(Tableau119[[#This Row],[Key(Compte ILN - shipper - POL)]],'DATA ILN'!B:J,9,FALSE))</f>
        <v>#N/A</v>
      </c>
      <c r="T101" s="50" t="e">
        <f>IFERROR(VLOOKUP(Tableau119[[#This Row],[Key(Compte ILN - shipper - POL - plant)]],'DATA ILN'!A:K,11,FALSE),VLOOKUP(Tableau119[[#This Row],[Key(Compte ILN - shipper - POL)]],'DATA ILN'!B:K,10,FALSE))</f>
        <v>#N/A</v>
      </c>
      <c r="U101" s="50" t="e">
        <f>IFERROR(VLOOKUP(Tableau119[[#This Row],[Key(Compte ILN - shipper - POL - plant)]],'DATA ILN'!A:L,12,FALSE),VLOOKUP(Tableau119[[#This Row],[Key(Compte ILN - shipper - POL)]],'DATA ILN'!B:L,11,FALSE))</f>
        <v>#N/A</v>
      </c>
      <c r="V101" s="50" t="e">
        <f>Tableau119[[#This Row],[Day ILN Order]]+Tableau119[[#This Row],[Delivery time to ILN/Shipper]]-1</f>
        <v>#N/A</v>
      </c>
      <c r="W101" s="50" t="e">
        <f>IFERROR(VLOOKUP(Tableau119[[#This Row],[Key(Compte ILN - shipper - POL - plant)]],'DATA ILN'!A:N,14,FALSE),VLOOKUP(Tableau119[[#This Row],[Key(Compte ILN - shipper - POL)]],'DATA ILN'!B:N,13,FALSE))</f>
        <v>#N/A</v>
      </c>
      <c r="X101" s="53" t="e">
        <f>IFERROR(VLOOKUP(Tableau119[[#This Row],[Key(Compte ILN - shipper - POL - plant)]],'DATA ILN'!A:P,16,FALSE),VLOOKUP(Tableau119[[#This Row],[Key(Compte ILN - shipper - POL)]],'DATA ILN'!B:P,15,FALSE))</f>
        <v>#N/A</v>
      </c>
      <c r="Y101" s="284" t="s">
        <v>166</v>
      </c>
      <c r="Z101" s="437">
        <f>IFERROR(VLOOKUP(Tableau119[[#This Row],[Name Shipper]],Plant_AILN!L:M,2,FALSE),0)</f>
        <v>95436</v>
      </c>
      <c r="AA101" s="406">
        <v>27</v>
      </c>
      <c r="AB101" s="396" t="b">
        <f>_xlfn.XLOOKUP(Tableau119[[#This Row],[Key(ID-date)]],'DATA BTO'!S:S,'DATA BTO'!E:E,FALSE)</f>
        <v>0</v>
      </c>
      <c r="AC101" s="3" t="b">
        <f>_xlfn.XLOOKUP(Tableau119[[#This Row],[Key(ID-date)]],'DATA BTO'!S:S,'DATA BTO'!F:F,FALSE)</f>
        <v>0</v>
      </c>
      <c r="AD101" s="50" t="b">
        <f>_xlfn.XLOOKUP(Tableau119[[#This Row],[Key(ID-date)]],'DATA BTO'!S:S,'DATA BTO'!G:G,FALSE)</f>
        <v>0</v>
      </c>
      <c r="AE101" s="50" t="b">
        <f>_xlfn.XLOOKUP(Tableau119[[#This Row],[Key(ID-date)]],'DATA BTO'!S:S,'DATA BTO'!H:H,FALSE)</f>
        <v>0</v>
      </c>
      <c r="AF101" s="50" t="e">
        <f>IF(Tableau119[[#This Row],[First Day to POL]]&lt;=Tableau119[[#This Row],[Day Cut Off]],Tableau119[[#This Row],[Day ETD]],Tableau119[[#This Row],[Day ETD]]+7)</f>
        <v>#N/A</v>
      </c>
      <c r="AG101" s="50" t="b">
        <f>_xlfn.XLOOKUP(Tableau119[[#This Row],[Key(ID-date)]],'DATA BTO'!S:S,'DATA BTO'!I:I,FALSE)</f>
        <v>0</v>
      </c>
      <c r="AH101" s="3" t="b">
        <f>_xlfn.XLOOKUP(Tableau119[[#This Row],[Key(ID-date)]],'DATA BTO'!S:S,'DATA BTO'!J:J,FALSE)</f>
        <v>0</v>
      </c>
      <c r="AI101" s="3" t="b">
        <f>_xlfn.XLOOKUP(Tableau119[[#This Row],[Key(ID-date)]],'DATA BTO'!S:S,'DATA BTO'!K:K,FALSE)</f>
        <v>0</v>
      </c>
      <c r="AJ101" s="50" t="b">
        <f>_xlfn.XLOOKUP(Tableau119[[#This Row],[Key(ID-date)]],'DATA BTO'!S:S,'DATA BTO'!L:L,FALSE)</f>
        <v>0</v>
      </c>
      <c r="AK101" s="53" t="b">
        <f>_xlfn.XLOOKUP(Tableau119[[#This Row],[Key(ID-date)]],'DATA BTO'!S:S,'DATA BTO'!N:N,FALSE)</f>
        <v>0</v>
      </c>
      <c r="AL101" s="54" t="e">
        <f>VLOOKUP(Tableau119[[#This Row],[Key(POD -PFI- Usine)]],'DATA Consignee'!A:F,6,FALSE)</f>
        <v>#N/A</v>
      </c>
      <c r="AM101" s="489" t="s">
        <v>169</v>
      </c>
      <c r="AN101" s="438">
        <f>IF(Tableau119[[#This Row],[Name PFI/CDD]]="","-",VLOOKUP(Tableau119[[#This Row],[Name PFI/CDD]],Plant_AILN!I:J,2,FALSE))</f>
        <v>91018400</v>
      </c>
      <c r="AO101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1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1" s="2" t="e">
        <f>VLOOKUP(Tableau119[[#This Row],[Key(POD -PFI- Usine)]],'DATA Consignee'!A:J,10,FALSE)</f>
        <v>#N/A</v>
      </c>
      <c r="AR101" s="50" t="e">
        <f>VLOOKUP(Tableau119[[#This Row],[Key(POD -PFI- Usine)]],'DATA Consignee'!A:N,14,FALSE)</f>
        <v>#N/A</v>
      </c>
      <c r="AS10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1" s="50">
        <f>Tableau119[[#This Row],[Transit time]]+Tableau119[[#This Row],[Time for security]]+Tableau119[[#This Row],[Time for security2 buffer]]</f>
        <v>0</v>
      </c>
      <c r="AV1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1" s="433" t="e">
        <f>Tableau119[[#This Row],[Leadtime SI2C]]+Tableau119[[#This Row],[First Receipt Days]]-Tableau119[[#This Row],[Day Customer Order]]+1</f>
        <v>#N/A</v>
      </c>
      <c r="AX101" s="119" t="e">
        <f>IF(Tableau119[[#This Row],[Name ILN]]&lt;&gt;"SFK Freight Forwarder",Tableau119[[#This Row],[Cust. Leadtime]],Tableau119[[#This Row],[Leadtime SI2C]])</f>
        <v>#N/A</v>
      </c>
      <c r="AY101" s="51" t="b">
        <f>_xlfn.XLOOKUP(Tableau119[[#This Row],[Key(ID-date)]],'DATA BTO'!S:S,'DATA BTO'!P:P,FALSE)</f>
        <v>0</v>
      </c>
      <c r="AZ101" s="338">
        <v>46142</v>
      </c>
      <c r="BA101" s="50"/>
    </row>
    <row r="102" spans="2:53">
      <c r="B102" s="67" t="str">
        <f>_xlfn.CONCAT(Tableau119[[#This Row],[Name ILN]],"-",Tableau119[[#This Row],[Name Shipper]],"-",Tableau119[[#This Row],[Name Site]])</f>
        <v>ILN Busan-ILN Busan-PALENCIA</v>
      </c>
      <c r="C102" s="67" t="str">
        <f>_xlfn.CONCAT(Tableau119[[#This Row],[Compte ILN]],"-",Tableau119[[#This Row],[Compte Shipper]],"-",Tableau119[[#This Row],[POL]],"-",Tableau119[[#This Row],[Compte Consignee]])</f>
        <v>95436-95436-FALSO-91017200</v>
      </c>
      <c r="D102" s="66" t="str">
        <f>_xlfn.CONCAT(Tableau119[[#This Row],[Compte ILN]],"-",Tableau119[[#This Row],[Compte Shipper]],"-",Tableau119[[#This Row],[POL]])</f>
        <v>95436-95436-FALSO</v>
      </c>
      <c r="E102" s="434" t="str">
        <f>_xlfn.CONCAT(Tableau119[[#This Row],[POL]],"-",Tableau119[[#This Row],[Carrier]],"-",Tableau119[[#This Row],[POD]])</f>
        <v>FALSO-FALSO-FALSO</v>
      </c>
      <c r="F102" s="66" t="str">
        <f>_xlfn.CONCAT(Tableau119[[#This Row],[ID]],"-","Actif")</f>
        <v>27-Actif</v>
      </c>
      <c r="G102" s="66" t="str">
        <f>_xlfn.CONCAT(Tableau119[[#This Row],[POD]],"-",Tableau119[[#This Row],[Code PFI]],"-",Tableau119[[#This Row],[Compte Consignee]])</f>
        <v>FALSO-91018400-91017200</v>
      </c>
      <c r="H10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BusanFALSOPALENCIA</v>
      </c>
      <c r="I102" s="434" t="str">
        <f>_xlfn.CONCAT(Tableau119[[#This Row],[ID]],"-",Tableau119[[#This Row],[Expiration Date]])</f>
        <v>27-46142</v>
      </c>
      <c r="J1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Busan-ILN Busan-27-FALSO-FALSO-FALSO-CDD VLL-46142</v>
      </c>
      <c r="K102" s="435" t="str">
        <f ca="1">IF(COUNTIF(J:J,Tableau119[[#This Row],[Plant-ILN-shipper-POL-Carrier-POD-PFI]])=1,"Non","Oui")</f>
        <v>Non</v>
      </c>
      <c r="L102" s="128" t="str">
        <f>VLOOKUP(Tableau119[[#This Row],[Name Site]],Plant_AILN!A:D,4,FALSE)</f>
        <v>SPAIN</v>
      </c>
      <c r="M102" s="10" t="s">
        <v>184</v>
      </c>
      <c r="N102" s="439">
        <f>VLOOKUP(Tableau119[[#This Row],[Name Site]],Plant_AILN!A:C,3,FALSE)</f>
        <v>91017200</v>
      </c>
      <c r="O102" s="55">
        <f>IF(Tableau119[[#This Row],[Name PFI/CDD]]="PFI VLL",2,VLOOKUP(Tableau119[[#This Row],[Compte Consignee]],Order!C:D,2,FALSE))</f>
        <v>7</v>
      </c>
      <c r="P102" s="116" t="s">
        <v>166</v>
      </c>
      <c r="Q102" s="365">
        <f>VLOOKUP(Tableau119[[#This Row],[Name ILN]],Plant_AILN!F:G,2,FALSE)</f>
        <v>95436</v>
      </c>
      <c r="R102" s="50">
        <f>VLOOKUP(Tableau119[[#This Row],[Compte ILN]],'DATA ILN'!D:I,6,FALSE)</f>
        <v>9</v>
      </c>
      <c r="S102" s="50" t="e">
        <f>IFERROR(VLOOKUP(Tableau119[[#This Row],[Key(Compte ILN - shipper - POL - plant)]],'DATA ILN'!A:J,10,FALSE),VLOOKUP(Tableau119[[#This Row],[Key(Compte ILN - shipper - POL)]],'DATA ILN'!B:J,9,FALSE))</f>
        <v>#N/A</v>
      </c>
      <c r="T102" s="50" t="e">
        <f>IFERROR(VLOOKUP(Tableau119[[#This Row],[Key(Compte ILN - shipper - POL - plant)]],'DATA ILN'!A:K,11,FALSE),VLOOKUP(Tableau119[[#This Row],[Key(Compte ILN - shipper - POL)]],'DATA ILN'!B:K,10,FALSE))</f>
        <v>#N/A</v>
      </c>
      <c r="U102" s="50" t="e">
        <f>IFERROR(VLOOKUP(Tableau119[[#This Row],[Key(Compte ILN - shipper - POL - plant)]],'DATA ILN'!A:L,12,FALSE),VLOOKUP(Tableau119[[#This Row],[Key(Compte ILN - shipper - POL)]],'DATA ILN'!B:L,11,FALSE))</f>
        <v>#N/A</v>
      </c>
      <c r="V102" s="50" t="e">
        <f>Tableau119[[#This Row],[Day ILN Order]]+Tableau119[[#This Row],[Delivery time to ILN/Shipper]]-1</f>
        <v>#N/A</v>
      </c>
      <c r="W102" s="50" t="e">
        <f>IFERROR(VLOOKUP(Tableau119[[#This Row],[Key(Compte ILN - shipper - POL - plant)]],'DATA ILN'!A:N,14,FALSE),VLOOKUP(Tableau119[[#This Row],[Key(Compte ILN - shipper - POL)]],'DATA ILN'!B:N,13,FALSE))</f>
        <v>#N/A</v>
      </c>
      <c r="X102" s="53" t="e">
        <f>IFERROR(VLOOKUP(Tableau119[[#This Row],[Key(Compte ILN - shipper - POL - plant)]],'DATA ILN'!A:P,16,FALSE),VLOOKUP(Tableau119[[#This Row],[Key(Compte ILN - shipper - POL)]],'DATA ILN'!B:P,15,FALSE))</f>
        <v>#N/A</v>
      </c>
      <c r="Y102" s="284" t="s">
        <v>166</v>
      </c>
      <c r="Z102" s="437">
        <f>IFERROR(VLOOKUP(Tableau119[[#This Row],[Name Shipper]],Plant_AILN!L:M,2,FALSE),0)</f>
        <v>95436</v>
      </c>
      <c r="AA102" s="406">
        <v>27</v>
      </c>
      <c r="AB102" s="396" t="b">
        <f>_xlfn.XLOOKUP(Tableau119[[#This Row],[Key(ID-date)]],'DATA BTO'!S:S,'DATA BTO'!E:E,FALSE)</f>
        <v>0</v>
      </c>
      <c r="AC102" s="3" t="b">
        <f>_xlfn.XLOOKUP(Tableau119[[#This Row],[Key(ID-date)]],'DATA BTO'!S:S,'DATA BTO'!F:F,FALSE)</f>
        <v>0</v>
      </c>
      <c r="AD102" s="50" t="b">
        <f>_xlfn.XLOOKUP(Tableau119[[#This Row],[Key(ID-date)]],'DATA BTO'!S:S,'DATA BTO'!G:G,FALSE)</f>
        <v>0</v>
      </c>
      <c r="AE102" s="50" t="b">
        <f>_xlfn.XLOOKUP(Tableau119[[#This Row],[Key(ID-date)]],'DATA BTO'!S:S,'DATA BTO'!H:H,FALSE)</f>
        <v>0</v>
      </c>
      <c r="AF102" s="50" t="e">
        <f>IF(Tableau119[[#This Row],[First Day to POL]]&lt;=Tableau119[[#This Row],[Day Cut Off]],Tableau119[[#This Row],[Day ETD]],Tableau119[[#This Row],[Day ETD]]+7)</f>
        <v>#N/A</v>
      </c>
      <c r="AG102" s="50" t="b">
        <f>_xlfn.XLOOKUP(Tableau119[[#This Row],[Key(ID-date)]],'DATA BTO'!S:S,'DATA BTO'!I:I,FALSE)</f>
        <v>0</v>
      </c>
      <c r="AH102" s="3" t="b">
        <f>_xlfn.XLOOKUP(Tableau119[[#This Row],[Key(ID-date)]],'DATA BTO'!S:S,'DATA BTO'!J:J,FALSE)</f>
        <v>0</v>
      </c>
      <c r="AI102" s="3" t="b">
        <f>_xlfn.XLOOKUP(Tableau119[[#This Row],[Key(ID-date)]],'DATA BTO'!S:S,'DATA BTO'!K:K,FALSE)</f>
        <v>0</v>
      </c>
      <c r="AJ102" s="50" t="b">
        <f>_xlfn.XLOOKUP(Tableau119[[#This Row],[Key(ID-date)]],'DATA BTO'!S:S,'DATA BTO'!L:L,FALSE)</f>
        <v>0</v>
      </c>
      <c r="AK102" s="53" t="b">
        <f>_xlfn.XLOOKUP(Tableau119[[#This Row],[Key(ID-date)]],'DATA BTO'!S:S,'DATA BTO'!N:N,FALSE)</f>
        <v>0</v>
      </c>
      <c r="AL102" s="54" t="e">
        <f>VLOOKUP(Tableau119[[#This Row],[Key(POD -PFI- Usine)]],'DATA Consignee'!A:F,6,FALSE)</f>
        <v>#N/A</v>
      </c>
      <c r="AM102" s="127" t="s">
        <v>169</v>
      </c>
      <c r="AN102" s="438">
        <f>IF(Tableau119[[#This Row],[Name PFI/CDD]]="","-",VLOOKUP(Tableau119[[#This Row],[Name PFI/CDD]],Plant_AILN!I:J,2,FALSE))</f>
        <v>91018400</v>
      </c>
      <c r="AO10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2" s="2" t="e">
        <f>VLOOKUP(Tableau119[[#This Row],[Key(POD -PFI- Usine)]],'DATA Consignee'!A:J,10,FALSE)</f>
        <v>#N/A</v>
      </c>
      <c r="AR102" s="50" t="e">
        <f>VLOOKUP(Tableau119[[#This Row],[Key(POD -PFI- Usine)]],'DATA Consignee'!A:N,14,FALSE)</f>
        <v>#N/A</v>
      </c>
      <c r="AS10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2" s="50">
        <f>Tableau119[[#This Row],[Transit time]]+Tableau119[[#This Row],[Time for security]]+Tableau119[[#This Row],[Time for security2 buffer]]</f>
        <v>0</v>
      </c>
      <c r="AV1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2" s="433" t="e">
        <f>Tableau119[[#This Row],[Leadtime SI2C]]+Tableau119[[#This Row],[First Receipt Days]]-Tableau119[[#This Row],[Day Customer Order]]+1</f>
        <v>#N/A</v>
      </c>
      <c r="AX102" s="119" t="e">
        <f>IF(Tableau119[[#This Row],[Name ILN]]&lt;&gt;"SFK Freight Forwarder",Tableau119[[#This Row],[Cust. Leadtime]],Tableau119[[#This Row],[Leadtime SI2C]])</f>
        <v>#N/A</v>
      </c>
      <c r="AY102" s="51" t="b">
        <f>_xlfn.XLOOKUP(Tableau119[[#This Row],[Key(ID-date)]],'DATA BTO'!S:S,'DATA BTO'!P:P,FALSE)</f>
        <v>0</v>
      </c>
      <c r="AZ102" s="338">
        <v>46142</v>
      </c>
      <c r="BA102" s="50"/>
    </row>
    <row r="103" spans="2:53">
      <c r="B103" s="67" t="str">
        <f>_xlfn.CONCAT(Tableau119[[#This Row],[Name ILN]],"-",Tableau119[[#This Row],[Name Shipper]],"-",Tableau119[[#This Row],[Name Site]])</f>
        <v>ILN Busan-ILN Busan-VALL MONTAGE</v>
      </c>
      <c r="C103" s="67" t="str">
        <f>_xlfn.CONCAT(Tableau119[[#This Row],[Compte ILN]],"-",Tableau119[[#This Row],[Compte Shipper]],"-",Tableau119[[#This Row],[POL]],"-",Tableau119[[#This Row],[Compte Consignee]])</f>
        <v>95436-95436-FALSO-91017300</v>
      </c>
      <c r="D103" s="66" t="str">
        <f>_xlfn.CONCAT(Tableau119[[#This Row],[Compte ILN]],"-",Tableau119[[#This Row],[Compte Shipper]],"-",Tableau119[[#This Row],[POL]])</f>
        <v>95436-95436-FALSO</v>
      </c>
      <c r="E103" s="434" t="str">
        <f>_xlfn.CONCAT(Tableau119[[#This Row],[POL]],"-",Tableau119[[#This Row],[Carrier]],"-",Tableau119[[#This Row],[POD]])</f>
        <v>FALSO-FALSO-FALSO</v>
      </c>
      <c r="F103" s="66" t="str">
        <f>_xlfn.CONCAT(Tableau119[[#This Row],[ID]],"-","Actif")</f>
        <v>27-Actif</v>
      </c>
      <c r="G103" s="66" t="str">
        <f>_xlfn.CONCAT(Tableau119[[#This Row],[POD]],"-",Tableau119[[#This Row],[Code PFI]],"-",Tableau119[[#This Row],[Compte Consignee]])</f>
        <v>FALSO-91018400-91017300</v>
      </c>
      <c r="H10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BusanFALSOVALL MONTAGE</v>
      </c>
      <c r="I103" s="434" t="str">
        <f>_xlfn.CONCAT(Tableau119[[#This Row],[ID]],"-",Tableau119[[#This Row],[Expiration Date]])</f>
        <v>27-46142</v>
      </c>
      <c r="J1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Busan-ILN Busan-27-FALSO-FALSO-FALSO-CDD VLL-46142</v>
      </c>
      <c r="K103" s="435" t="str">
        <f ca="1">IF(COUNTIF(J:J,Tableau119[[#This Row],[Plant-ILN-shipper-POL-Carrier-POD-PFI]])=1,"Non","Oui")</f>
        <v>Non</v>
      </c>
      <c r="L103" s="128" t="str">
        <f>VLOOKUP(Tableau119[[#This Row],[Name Site]],Plant_AILN!A:D,4,FALSE)</f>
        <v>SPAIN</v>
      </c>
      <c r="M103" s="10" t="s">
        <v>175</v>
      </c>
      <c r="N103" s="439">
        <f>VLOOKUP(Tableau119[[#This Row],[Name Site]],Plant_AILN!A:C,3,FALSE)</f>
        <v>91017300</v>
      </c>
      <c r="O103" s="55">
        <f>IF(Tableau119[[#This Row],[Name PFI/CDD]]="PFI VLL",2,VLOOKUP(Tableau119[[#This Row],[Compte Consignee]],Order!C:D,2,FALSE))</f>
        <v>7</v>
      </c>
      <c r="P103" s="116" t="s">
        <v>166</v>
      </c>
      <c r="Q103" s="365">
        <f>VLOOKUP(Tableau119[[#This Row],[Name ILN]],Plant_AILN!F:G,2,FALSE)</f>
        <v>95436</v>
      </c>
      <c r="R103" s="50">
        <f>VLOOKUP(Tableau119[[#This Row],[Compte ILN]],'DATA ILN'!D:I,6,FALSE)</f>
        <v>9</v>
      </c>
      <c r="S103" s="50" t="e">
        <f>IFERROR(VLOOKUP(Tableau119[[#This Row],[Key(Compte ILN - shipper - POL - plant)]],'DATA ILN'!A:J,10,FALSE),VLOOKUP(Tableau119[[#This Row],[Key(Compte ILN - shipper - POL)]],'DATA ILN'!B:J,9,FALSE))</f>
        <v>#N/A</v>
      </c>
      <c r="T103" s="50" t="e">
        <f>IFERROR(VLOOKUP(Tableau119[[#This Row],[Key(Compte ILN - shipper - POL - plant)]],'DATA ILN'!A:K,11,FALSE),VLOOKUP(Tableau119[[#This Row],[Key(Compte ILN - shipper - POL)]],'DATA ILN'!B:K,10,FALSE))</f>
        <v>#N/A</v>
      </c>
      <c r="U103" s="50" t="e">
        <f>IFERROR(VLOOKUP(Tableau119[[#This Row],[Key(Compte ILN - shipper - POL - plant)]],'DATA ILN'!A:L,12,FALSE),VLOOKUP(Tableau119[[#This Row],[Key(Compte ILN - shipper - POL)]],'DATA ILN'!B:L,11,FALSE))</f>
        <v>#N/A</v>
      </c>
      <c r="V103" s="50" t="e">
        <f>Tableau119[[#This Row],[Day ILN Order]]+Tableau119[[#This Row],[Delivery time to ILN/Shipper]]-1</f>
        <v>#N/A</v>
      </c>
      <c r="W103" s="50" t="e">
        <f>IFERROR(VLOOKUP(Tableau119[[#This Row],[Key(Compte ILN - shipper - POL - plant)]],'DATA ILN'!A:N,14,FALSE),VLOOKUP(Tableau119[[#This Row],[Key(Compte ILN - shipper - POL)]],'DATA ILN'!B:N,13,FALSE))</f>
        <v>#N/A</v>
      </c>
      <c r="X103" s="53" t="e">
        <f>IFERROR(VLOOKUP(Tableau119[[#This Row],[Key(Compte ILN - shipper - POL - plant)]],'DATA ILN'!A:P,16,FALSE),VLOOKUP(Tableau119[[#This Row],[Key(Compte ILN - shipper - POL)]],'DATA ILN'!B:P,15,FALSE))</f>
        <v>#N/A</v>
      </c>
      <c r="Y103" s="284" t="s">
        <v>166</v>
      </c>
      <c r="Z103" s="437">
        <f>IFERROR(VLOOKUP(Tableau119[[#This Row],[Name Shipper]],Plant_AILN!L:M,2,FALSE),0)</f>
        <v>95436</v>
      </c>
      <c r="AA103" s="406">
        <v>27</v>
      </c>
      <c r="AB103" s="396" t="b">
        <f>_xlfn.XLOOKUP(Tableau119[[#This Row],[Key(ID-date)]],'DATA BTO'!S:S,'DATA BTO'!E:E,FALSE)</f>
        <v>0</v>
      </c>
      <c r="AC103" s="3" t="b">
        <f>_xlfn.XLOOKUP(Tableau119[[#This Row],[Key(ID-date)]],'DATA BTO'!S:S,'DATA BTO'!F:F,FALSE)</f>
        <v>0</v>
      </c>
      <c r="AD103" s="50" t="b">
        <f>_xlfn.XLOOKUP(Tableau119[[#This Row],[Key(ID-date)]],'DATA BTO'!S:S,'DATA BTO'!G:G,FALSE)</f>
        <v>0</v>
      </c>
      <c r="AE103" s="50" t="b">
        <f>_xlfn.XLOOKUP(Tableau119[[#This Row],[Key(ID-date)]],'DATA BTO'!S:S,'DATA BTO'!H:H,FALSE)</f>
        <v>0</v>
      </c>
      <c r="AF103" s="50" t="e">
        <f>IF(Tableau119[[#This Row],[First Day to POL]]&lt;=Tableau119[[#This Row],[Day Cut Off]],Tableau119[[#This Row],[Day ETD]],Tableau119[[#This Row],[Day ETD]]+7)</f>
        <v>#N/A</v>
      </c>
      <c r="AG103" s="50" t="b">
        <f>_xlfn.XLOOKUP(Tableau119[[#This Row],[Key(ID-date)]],'DATA BTO'!S:S,'DATA BTO'!I:I,FALSE)</f>
        <v>0</v>
      </c>
      <c r="AH103" s="3" t="b">
        <f>_xlfn.XLOOKUP(Tableau119[[#This Row],[Key(ID-date)]],'DATA BTO'!S:S,'DATA BTO'!J:J,FALSE)</f>
        <v>0</v>
      </c>
      <c r="AI103" s="3" t="b">
        <f>_xlfn.XLOOKUP(Tableau119[[#This Row],[Key(ID-date)]],'DATA BTO'!S:S,'DATA BTO'!K:K,FALSE)</f>
        <v>0</v>
      </c>
      <c r="AJ103" s="50" t="b">
        <f>_xlfn.XLOOKUP(Tableau119[[#This Row],[Key(ID-date)]],'DATA BTO'!S:S,'DATA BTO'!L:L,FALSE)</f>
        <v>0</v>
      </c>
      <c r="AK103" s="53" t="b">
        <f>_xlfn.XLOOKUP(Tableau119[[#This Row],[Key(ID-date)]],'DATA BTO'!S:S,'DATA BTO'!N:N,FALSE)</f>
        <v>0</v>
      </c>
      <c r="AL103" s="54" t="e">
        <f>VLOOKUP(Tableau119[[#This Row],[Key(POD -PFI- Usine)]],'DATA Consignee'!A:F,6,FALSE)</f>
        <v>#N/A</v>
      </c>
      <c r="AM103" s="127" t="s">
        <v>169</v>
      </c>
      <c r="AN103" s="438">
        <f>IF(Tableau119[[#This Row],[Name PFI/CDD]]="","-",VLOOKUP(Tableau119[[#This Row],[Name PFI/CDD]],Plant_AILN!I:J,2,FALSE))</f>
        <v>91018400</v>
      </c>
      <c r="AO10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3" s="2" t="e">
        <f>VLOOKUP(Tableau119[[#This Row],[Key(POD -PFI- Usine)]],'DATA Consignee'!A:J,10,FALSE)</f>
        <v>#N/A</v>
      </c>
      <c r="AR103" s="50" t="e">
        <f>VLOOKUP(Tableau119[[#This Row],[Key(POD -PFI- Usine)]],'DATA Consignee'!A:N,14,FALSE)</f>
        <v>#N/A</v>
      </c>
      <c r="AS10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3" s="50">
        <f>Tableau119[[#This Row],[Transit time]]+Tableau119[[#This Row],[Time for security]]+Tableau119[[#This Row],[Time for security2 buffer]]</f>
        <v>0</v>
      </c>
      <c r="AV1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3" s="433" t="e">
        <f>Tableau119[[#This Row],[Leadtime SI2C]]+Tableau119[[#This Row],[First Receipt Days]]-Tableau119[[#This Row],[Day Customer Order]]+1</f>
        <v>#N/A</v>
      </c>
      <c r="AX103" s="119" t="e">
        <f>IF(Tableau119[[#This Row],[Name ILN]]&lt;&gt;"SFK Freight Forwarder",Tableau119[[#This Row],[Cust. Leadtime]],Tableau119[[#This Row],[Leadtime SI2C]])</f>
        <v>#N/A</v>
      </c>
      <c r="AY103" s="51" t="b">
        <f>_xlfn.XLOOKUP(Tableau119[[#This Row],[Key(ID-date)]],'DATA BTO'!S:S,'DATA BTO'!P:P,FALSE)</f>
        <v>0</v>
      </c>
      <c r="AZ103" s="338">
        <v>46142</v>
      </c>
      <c r="BA103" s="50"/>
    </row>
    <row r="104" spans="2:53">
      <c r="B104" s="474" t="str">
        <f>_xlfn.CONCAT(Tableau119[[#This Row],[Name ILN]],"-",Tableau119[[#This Row],[Name Shipper]],"-",Tableau119[[#This Row],[Name Site]])</f>
        <v>ILN Busan-ILN Busan-PALENCIA</v>
      </c>
      <c r="C104" s="67" t="str">
        <f>_xlfn.CONCAT(Tableau119[[#This Row],[Compte ILN]],"-",Tableau119[[#This Row],[Compte Shipper]],"-",Tableau119[[#This Row],[POL]],"-",Tableau119[[#This Row],[Compte Consignee]])</f>
        <v>95436-95436-FALSO-91017200</v>
      </c>
      <c r="D104" s="66" t="str">
        <f>_xlfn.CONCAT(Tableau119[[#This Row],[Compte ILN]],"-",Tableau119[[#This Row],[Compte Shipper]],"-",Tableau119[[#This Row],[POL]])</f>
        <v>95436-95436-FALSO</v>
      </c>
      <c r="E104" s="434" t="str">
        <f>_xlfn.CONCAT(Tableau119[[#This Row],[POL]],"-",Tableau119[[#This Row],[Carrier]],"-",Tableau119[[#This Row],[POD]])</f>
        <v>FALSO-FALSO-FALSO</v>
      </c>
      <c r="F104" s="66" t="str">
        <f>_xlfn.CONCAT(Tableau119[[#This Row],[ID]],"-","Actif")</f>
        <v>27-Actif</v>
      </c>
      <c r="G104" s="66" t="str">
        <f>_xlfn.CONCAT(Tableau119[[#This Row],[POD]],"-",Tableau119[[#This Row],[Code PFI]],"-",Tableau119[[#This Row],[Compte Consignee]])</f>
        <v>FALSO-91018400-91017200</v>
      </c>
      <c r="H10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BusanFALSOPALENCIA</v>
      </c>
      <c r="I104" s="434" t="str">
        <f>_xlfn.CONCAT(Tableau119[[#This Row],[ID]],"-",Tableau119[[#This Row],[Expiration Date]])</f>
        <v>27-45777</v>
      </c>
      <c r="J1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Busan-ILN Busan-27-FALSO-FALSO-FALSO-CDD VLL-45777</v>
      </c>
      <c r="K104" s="435" t="str">
        <f ca="1">IF(COUNTIF(J:J,Tableau119[[#This Row],[Plant-ILN-shipper-POL-Carrier-POD-PFI]])=1,"Non","Oui")</f>
        <v>Non</v>
      </c>
      <c r="L104" s="128" t="str">
        <f>VLOOKUP(Tableau119[[#This Row],[Name Site]],Plant_AILN!A:D,4,FALSE)</f>
        <v>SPAIN</v>
      </c>
      <c r="M104" s="411" t="s">
        <v>184</v>
      </c>
      <c r="N104" s="439">
        <f>VLOOKUP(Tableau119[[#This Row],[Name Site]],Plant_AILN!A:C,3,FALSE)</f>
        <v>91017200</v>
      </c>
      <c r="O104" s="55">
        <f>VLOOKUP(Tableau119[[#This Row],[Compte Consignee]],Order!C:D,2,FALSE)</f>
        <v>7</v>
      </c>
      <c r="P104" s="116" t="s">
        <v>166</v>
      </c>
      <c r="Q104" s="365">
        <f>VLOOKUP(Tableau119[[#This Row],[Name ILN]],Plant_AILN!F:G,2,FALSE)</f>
        <v>95436</v>
      </c>
      <c r="R104" s="50">
        <f>VLOOKUP(Tableau119[[#This Row],[Compte ILN]],'DATA ILN'!D:I,6,FALSE)</f>
        <v>9</v>
      </c>
      <c r="S104" s="50" t="e">
        <f>IFERROR(VLOOKUP(Tableau119[[#This Row],[Key(Compte ILN - shipper - POL - plant)]],'DATA ILN'!A:J,10,FALSE),VLOOKUP(Tableau119[[#This Row],[Key(Compte ILN - shipper - POL)]],'DATA ILN'!B:J,9,FALSE))</f>
        <v>#N/A</v>
      </c>
      <c r="T104" s="50" t="e">
        <f>IFERROR(VLOOKUP(Tableau119[[#This Row],[Key(Compte ILN - shipper - POL - plant)]],'DATA ILN'!A:K,11,FALSE),VLOOKUP(Tableau119[[#This Row],[Key(Compte ILN - shipper - POL)]],'DATA ILN'!B:K,10,FALSE))</f>
        <v>#N/A</v>
      </c>
      <c r="U104" s="50" t="e">
        <f>IFERROR(VLOOKUP(Tableau119[[#This Row],[Key(Compte ILN - shipper - POL - plant)]],'DATA ILN'!A:L,12,FALSE),VLOOKUP(Tableau119[[#This Row],[Key(Compte ILN - shipper - POL)]],'DATA ILN'!B:L,11,FALSE))</f>
        <v>#N/A</v>
      </c>
      <c r="V104" s="50" t="e">
        <f>Tableau119[[#This Row],[Day ILN Order]]+Tableau119[[#This Row],[Delivery time to ILN/Shipper]]-1</f>
        <v>#N/A</v>
      </c>
      <c r="W104" s="50" t="e">
        <f>IFERROR(VLOOKUP(Tableau119[[#This Row],[Key(Compte ILN - shipper - POL - plant)]],'DATA ILN'!A:N,14,FALSE),VLOOKUP(Tableau119[[#This Row],[Key(Compte ILN - shipper - POL)]],'DATA ILN'!B:N,13,FALSE))</f>
        <v>#N/A</v>
      </c>
      <c r="X104" s="53" t="e">
        <f>IFERROR(VLOOKUP(Tableau119[[#This Row],[Key(Compte ILN - shipper - POL - plant)]],'DATA ILN'!A:P,16,FALSE),VLOOKUP(Tableau119[[#This Row],[Key(Compte ILN - shipper - POL)]],'DATA ILN'!B:P,15,FALSE))</f>
        <v>#N/A</v>
      </c>
      <c r="Y104" s="284" t="s">
        <v>166</v>
      </c>
      <c r="Z104" s="437">
        <f>IFERROR(VLOOKUP(Tableau119[[#This Row],[Name Shipper]],Plant_AILN!L:M,2,FALSE),0)</f>
        <v>95436</v>
      </c>
      <c r="AA104" s="406">
        <v>27</v>
      </c>
      <c r="AB104" s="396" t="b">
        <f>_xlfn.XLOOKUP(Tableau119[[#This Row],[Key(ID-date)]],'DATA BTO'!S:S,'DATA BTO'!E:E,FALSE)</f>
        <v>0</v>
      </c>
      <c r="AC104" s="3" t="b">
        <f>_xlfn.XLOOKUP(Tableau119[[#This Row],[Key(ID-date)]],'DATA BTO'!S:S,'DATA BTO'!F:F,FALSE)</f>
        <v>0</v>
      </c>
      <c r="AD104" s="50" t="b">
        <f>_xlfn.XLOOKUP(Tableau119[[#This Row],[Key(ID-date)]],'DATA BTO'!S:S,'DATA BTO'!G:G,FALSE)</f>
        <v>0</v>
      </c>
      <c r="AE104" s="50" t="b">
        <f>_xlfn.XLOOKUP(Tableau119[[#This Row],[Key(ID-date)]],'DATA BTO'!S:S,'DATA BTO'!H:H,FALSE)</f>
        <v>0</v>
      </c>
      <c r="AF104" s="50" t="e">
        <f>IF(Tableau119[[#This Row],[First Day to POL]]&lt;=Tableau119[[#This Row],[Day Cut Off]],Tableau119[[#This Row],[Day ETD]],Tableau119[[#This Row],[Day ETD]]+7)</f>
        <v>#N/A</v>
      </c>
      <c r="AG104" s="50" t="b">
        <f>_xlfn.XLOOKUP(Tableau119[[#This Row],[Key(ID-date)]],'DATA BTO'!S:S,'DATA BTO'!I:I,FALSE)</f>
        <v>0</v>
      </c>
      <c r="AH104" s="3" t="b">
        <f>_xlfn.XLOOKUP(Tableau119[[#This Row],[Key(ID-date)]],'DATA BTO'!S:S,'DATA BTO'!J:J,FALSE)</f>
        <v>0</v>
      </c>
      <c r="AI104" s="3" t="b">
        <f>_xlfn.XLOOKUP(Tableau119[[#This Row],[Key(ID-date)]],'DATA BTO'!S:S,'DATA BTO'!K:K,FALSE)</f>
        <v>0</v>
      </c>
      <c r="AJ104" s="50" t="b">
        <f>_xlfn.XLOOKUP(Tableau119[[#This Row],[Key(ID-date)]],'DATA BTO'!S:S,'DATA BTO'!L:L,FALSE)</f>
        <v>0</v>
      </c>
      <c r="AK104" s="53" t="b">
        <f>_xlfn.XLOOKUP(Tableau119[[#This Row],[Key(ID-date)]],'DATA BTO'!S:S,'DATA BTO'!N:N,FALSE)</f>
        <v>0</v>
      </c>
      <c r="AL104" s="54" t="e">
        <f>VLOOKUP(Tableau119[[#This Row],[Key(POD -PFI- Usine)]],'DATA Consignee'!A:F,6,FALSE)</f>
        <v>#N/A</v>
      </c>
      <c r="AM104" s="127" t="s">
        <v>169</v>
      </c>
      <c r="AN104" s="438">
        <f>IF(Tableau119[[#This Row],[Name PFI/CDD]]="","-",VLOOKUP(Tableau119[[#This Row],[Name PFI/CDD]],Plant_AILN!I:J,2,FALSE))</f>
        <v>91018400</v>
      </c>
      <c r="AO104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4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4" s="2" t="e">
        <f>VLOOKUP(Tableau119[[#This Row],[Key(POD -PFI- Usine)]],'DATA Consignee'!A:J,10,FALSE)</f>
        <v>#N/A</v>
      </c>
      <c r="AR104" s="50" t="e">
        <f>VLOOKUP(Tableau119[[#This Row],[Key(POD -PFI- Usine)]],'DATA Consignee'!A:N,14,FALSE)</f>
        <v>#N/A</v>
      </c>
      <c r="AS10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4" s="50">
        <f>Tableau119[[#This Row],[Transit time]]+Tableau119[[#This Row],[Time for security]]+Tableau119[[#This Row],[Time for security2 buffer]]</f>
        <v>0</v>
      </c>
      <c r="AV1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4" s="433" t="e">
        <f>Tableau119[[#This Row],[Leadtime SI2C]]+Tableau119[[#This Row],[First Receipt Days]]-Tableau119[[#This Row],[Day Customer Order]]+1</f>
        <v>#N/A</v>
      </c>
      <c r="AX104" s="119" t="e">
        <f>IF(Tableau119[[#This Row],[Name ILN]]&lt;&gt;"SFK Freight Forwarder",Tableau119[[#This Row],[Cust. Leadtime]],Tableau119[[#This Row],[Leadtime SI2C]])</f>
        <v>#N/A</v>
      </c>
      <c r="AY104" s="51" t="b">
        <f>_xlfn.XLOOKUP(Tableau119[[#This Row],[Key(ID-date)]],'DATA BTO'!S:S,'DATA BTO'!P:P,FALSE)</f>
        <v>0</v>
      </c>
      <c r="AZ104" s="338">
        <v>45777</v>
      </c>
      <c r="BA104" s="50"/>
    </row>
    <row r="105" spans="2:53">
      <c r="B105" s="474" t="str">
        <f>_xlfn.CONCAT(Tableau119[[#This Row],[Name ILN]],"-",Tableau119[[#This Row],[Name Shipper]],"-",Tableau119[[#This Row],[Name Site]])</f>
        <v>ILN Busan-ILN Busan-VALL MONTAGE</v>
      </c>
      <c r="C105" s="67" t="str">
        <f>_xlfn.CONCAT(Tableau119[[#This Row],[Compte ILN]],"-",Tableau119[[#This Row],[Compte Shipper]],"-",Tableau119[[#This Row],[POL]],"-",Tableau119[[#This Row],[Compte Consignee]])</f>
        <v>95436-95436-FALSO-91017300</v>
      </c>
      <c r="D105" s="66" t="str">
        <f>_xlfn.CONCAT(Tableau119[[#This Row],[Compte ILN]],"-",Tableau119[[#This Row],[Compte Shipper]],"-",Tableau119[[#This Row],[POL]])</f>
        <v>95436-95436-FALSO</v>
      </c>
      <c r="E105" s="434" t="str">
        <f>_xlfn.CONCAT(Tableau119[[#This Row],[POL]],"-",Tableau119[[#This Row],[Carrier]],"-",Tableau119[[#This Row],[POD]])</f>
        <v>FALSO-FALSO-FALSO</v>
      </c>
      <c r="F105" s="66" t="str">
        <f>_xlfn.CONCAT(Tableau119[[#This Row],[ID]],"-","Actif")</f>
        <v>27-Actif</v>
      </c>
      <c r="G105" s="66" t="str">
        <f>_xlfn.CONCAT(Tableau119[[#This Row],[POD]],"-",Tableau119[[#This Row],[Code PFI]],"-",Tableau119[[#This Row],[Compte Consignee]])</f>
        <v>FALSO-91018400-91017300</v>
      </c>
      <c r="H10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BusanFALSOVALL MONTAGE</v>
      </c>
      <c r="I105" s="434" t="str">
        <f>_xlfn.CONCAT(Tableau119[[#This Row],[ID]],"-",Tableau119[[#This Row],[Expiration Date]])</f>
        <v>27-45777</v>
      </c>
      <c r="J1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Busan-ILN Busan-27-FALSO-FALSO-FALSO-CDD VLL-45777</v>
      </c>
      <c r="K105" s="435" t="str">
        <f ca="1">IF(COUNTIF(J:J,Tableau119[[#This Row],[Plant-ILN-shipper-POL-Carrier-POD-PFI]])=1,"Non","Oui")</f>
        <v>Non</v>
      </c>
      <c r="L105" s="128" t="str">
        <f>VLOOKUP(Tableau119[[#This Row],[Name Site]],Plant_AILN!A:D,4,FALSE)</f>
        <v>SPAIN</v>
      </c>
      <c r="M105" s="411" t="s">
        <v>175</v>
      </c>
      <c r="N105" s="439">
        <f>VLOOKUP(Tableau119[[#This Row],[Name Site]],Plant_AILN!A:C,3,FALSE)</f>
        <v>91017300</v>
      </c>
      <c r="O105" s="55">
        <f>VLOOKUP(Tableau119[[#This Row],[Compte Consignee]],Order!C:D,2,FALSE)</f>
        <v>7</v>
      </c>
      <c r="P105" s="116" t="s">
        <v>166</v>
      </c>
      <c r="Q105" s="365">
        <f>VLOOKUP(Tableau119[[#This Row],[Name ILN]],Plant_AILN!F:G,2,FALSE)</f>
        <v>95436</v>
      </c>
      <c r="R105" s="50">
        <f>VLOOKUP(Tableau119[[#This Row],[Compte ILN]],'DATA ILN'!D:I,6,FALSE)</f>
        <v>9</v>
      </c>
      <c r="S105" s="50" t="e">
        <f>IFERROR(VLOOKUP(Tableau119[[#This Row],[Key(Compte ILN - shipper - POL - plant)]],'DATA ILN'!A:J,10,FALSE),VLOOKUP(Tableau119[[#This Row],[Key(Compte ILN - shipper - POL)]],'DATA ILN'!B:J,9,FALSE))</f>
        <v>#N/A</v>
      </c>
      <c r="T105" s="50" t="e">
        <f>IFERROR(VLOOKUP(Tableau119[[#This Row],[Key(Compte ILN - shipper - POL - plant)]],'DATA ILN'!A:K,11,FALSE),VLOOKUP(Tableau119[[#This Row],[Key(Compte ILN - shipper - POL)]],'DATA ILN'!B:K,10,FALSE))</f>
        <v>#N/A</v>
      </c>
      <c r="U105" s="50" t="e">
        <f>IFERROR(VLOOKUP(Tableau119[[#This Row],[Key(Compte ILN - shipper - POL - plant)]],'DATA ILN'!A:L,12,FALSE),VLOOKUP(Tableau119[[#This Row],[Key(Compte ILN - shipper - POL)]],'DATA ILN'!B:L,11,FALSE))</f>
        <v>#N/A</v>
      </c>
      <c r="V105" s="50" t="e">
        <f>Tableau119[[#This Row],[Day ILN Order]]+Tableau119[[#This Row],[Delivery time to ILN/Shipper]]-1</f>
        <v>#N/A</v>
      </c>
      <c r="W105" s="50" t="e">
        <f>IFERROR(VLOOKUP(Tableau119[[#This Row],[Key(Compte ILN - shipper - POL - plant)]],'DATA ILN'!A:N,14,FALSE),VLOOKUP(Tableau119[[#This Row],[Key(Compte ILN - shipper - POL)]],'DATA ILN'!B:N,13,FALSE))</f>
        <v>#N/A</v>
      </c>
      <c r="X105" s="53" t="e">
        <f>IFERROR(VLOOKUP(Tableau119[[#This Row],[Key(Compte ILN - shipper - POL - plant)]],'DATA ILN'!A:P,16,FALSE),VLOOKUP(Tableau119[[#This Row],[Key(Compte ILN - shipper - POL)]],'DATA ILN'!B:P,15,FALSE))</f>
        <v>#N/A</v>
      </c>
      <c r="Y105" s="284" t="s">
        <v>166</v>
      </c>
      <c r="Z105" s="437">
        <f>IFERROR(VLOOKUP(Tableau119[[#This Row],[Name Shipper]],Plant_AILN!L:M,2,FALSE),0)</f>
        <v>95436</v>
      </c>
      <c r="AA105" s="406">
        <v>27</v>
      </c>
      <c r="AB105" s="396" t="b">
        <f>_xlfn.XLOOKUP(Tableau119[[#This Row],[Key(ID-date)]],'DATA BTO'!S:S,'DATA BTO'!E:E,FALSE)</f>
        <v>0</v>
      </c>
      <c r="AC105" s="3" t="b">
        <f>_xlfn.XLOOKUP(Tableau119[[#This Row],[Key(ID-date)]],'DATA BTO'!S:S,'DATA BTO'!F:F,FALSE)</f>
        <v>0</v>
      </c>
      <c r="AD105" s="50" t="b">
        <f>_xlfn.XLOOKUP(Tableau119[[#This Row],[Key(ID-date)]],'DATA BTO'!S:S,'DATA BTO'!G:G,FALSE)</f>
        <v>0</v>
      </c>
      <c r="AE105" s="50" t="b">
        <f>_xlfn.XLOOKUP(Tableau119[[#This Row],[Key(ID-date)]],'DATA BTO'!S:S,'DATA BTO'!H:H,FALSE)</f>
        <v>0</v>
      </c>
      <c r="AF105" s="50" t="e">
        <f>IF(Tableau119[[#This Row],[First Day to POL]]&lt;=Tableau119[[#This Row],[Day Cut Off]],Tableau119[[#This Row],[Day ETD]],Tableau119[[#This Row],[Day ETD]]+7)</f>
        <v>#N/A</v>
      </c>
      <c r="AG105" s="50" t="b">
        <f>_xlfn.XLOOKUP(Tableau119[[#This Row],[Key(ID-date)]],'DATA BTO'!S:S,'DATA BTO'!I:I,FALSE)</f>
        <v>0</v>
      </c>
      <c r="AH105" s="3" t="b">
        <f>_xlfn.XLOOKUP(Tableau119[[#This Row],[Key(ID-date)]],'DATA BTO'!S:S,'DATA BTO'!J:J,FALSE)</f>
        <v>0</v>
      </c>
      <c r="AI105" s="3" t="b">
        <f>_xlfn.XLOOKUP(Tableau119[[#This Row],[Key(ID-date)]],'DATA BTO'!S:S,'DATA BTO'!K:K,FALSE)</f>
        <v>0</v>
      </c>
      <c r="AJ105" s="50" t="b">
        <f>_xlfn.XLOOKUP(Tableau119[[#This Row],[Key(ID-date)]],'DATA BTO'!S:S,'DATA BTO'!L:L,FALSE)</f>
        <v>0</v>
      </c>
      <c r="AK105" s="53" t="b">
        <f>_xlfn.XLOOKUP(Tableau119[[#This Row],[Key(ID-date)]],'DATA BTO'!S:S,'DATA BTO'!N:N,FALSE)</f>
        <v>0</v>
      </c>
      <c r="AL105" s="54" t="e">
        <f>VLOOKUP(Tableau119[[#This Row],[Key(POD -PFI- Usine)]],'DATA Consignee'!A:F,6,FALSE)</f>
        <v>#N/A</v>
      </c>
      <c r="AM105" s="127" t="s">
        <v>169</v>
      </c>
      <c r="AN105" s="438">
        <f>IF(Tableau119[[#This Row],[Name PFI/CDD]]="","-",VLOOKUP(Tableau119[[#This Row],[Name PFI/CDD]],Plant_AILN!I:J,2,FALSE))</f>
        <v>91018400</v>
      </c>
      <c r="AO10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5" s="2" t="e">
        <f>VLOOKUP(Tableau119[[#This Row],[Key(POD -PFI- Usine)]],'DATA Consignee'!A:J,10,FALSE)</f>
        <v>#N/A</v>
      </c>
      <c r="AR105" s="50" t="e">
        <f>VLOOKUP(Tableau119[[#This Row],[Key(POD -PFI- Usine)]],'DATA Consignee'!A:N,14,FALSE)</f>
        <v>#N/A</v>
      </c>
      <c r="AS1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5" s="50">
        <f>Tableau119[[#This Row],[Transit time]]+Tableau119[[#This Row],[Time for security]]+Tableau119[[#This Row],[Time for security2 buffer]]</f>
        <v>0</v>
      </c>
      <c r="AV1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5" s="433" t="e">
        <f>Tableau119[[#This Row],[Leadtime SI2C]]+Tableau119[[#This Row],[First Receipt Days]]-Tableau119[[#This Row],[Day Customer Order]]+1</f>
        <v>#N/A</v>
      </c>
      <c r="AX105" s="119" t="e">
        <f>IF(Tableau119[[#This Row],[Name ILN]]&lt;&gt;"SFK Freight Forwarder",Tableau119[[#This Row],[Cust. Leadtime]],Tableau119[[#This Row],[Leadtime SI2C]])</f>
        <v>#N/A</v>
      </c>
      <c r="AY105" s="51" t="b">
        <f>_xlfn.XLOOKUP(Tableau119[[#This Row],[Key(ID-date)]],'DATA BTO'!S:S,'DATA BTO'!P:P,FALSE)</f>
        <v>0</v>
      </c>
      <c r="AZ105" s="338">
        <v>45777</v>
      </c>
      <c r="BA105" s="50"/>
    </row>
    <row r="106" spans="2:53">
      <c r="B106" s="474" t="str">
        <f>_xlfn.CONCAT(Tableau119[[#This Row],[Name ILN]],"-",Tableau119[[#This Row],[Name Shipper]],"-",Tableau119[[#This Row],[Name Site]])</f>
        <v>ILN Busan-ILN Busan-CARROCERIAS</v>
      </c>
      <c r="C106" s="67" t="str">
        <f>_xlfn.CONCAT(Tableau119[[#This Row],[Compte ILN]],"-",Tableau119[[#This Row],[Compte Shipper]],"-",Tableau119[[#This Row],[POL]],"-",Tableau119[[#This Row],[Compte Consignee]])</f>
        <v>95436-95436-FALSO-91017600</v>
      </c>
      <c r="D106" s="66" t="str">
        <f>_xlfn.CONCAT(Tableau119[[#This Row],[Compte ILN]],"-",Tableau119[[#This Row],[Compte Shipper]],"-",Tableau119[[#This Row],[POL]])</f>
        <v>95436-95436-FALSO</v>
      </c>
      <c r="E106" s="434" t="str">
        <f>_xlfn.CONCAT(Tableau119[[#This Row],[POL]],"-",Tableau119[[#This Row],[Carrier]],"-",Tableau119[[#This Row],[POD]])</f>
        <v>FALSO-FALSO-FALSO</v>
      </c>
      <c r="F106" s="66" t="str">
        <f>_xlfn.CONCAT(Tableau119[[#This Row],[ID]],"-","Actif")</f>
        <v>27-Actif</v>
      </c>
      <c r="G106" s="66" t="str">
        <f>_xlfn.CONCAT(Tableau119[[#This Row],[POD]],"-",Tableau119[[#This Row],[Code PFI]],"-",Tableau119[[#This Row],[Compte Consignee]])</f>
        <v>FALSO-91018400-91017600</v>
      </c>
      <c r="H10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BusanFALSOCARROCERIAS</v>
      </c>
      <c r="I106" s="434" t="str">
        <f>_xlfn.CONCAT(Tableau119[[#This Row],[ID]],"-",Tableau119[[#This Row],[Expiration Date]])</f>
        <v>27-45777</v>
      </c>
      <c r="J1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CARROCERIAS-ILN Busan-ILN Busan-27-FALSO-FALSO-FALSO-CDD VLL-45777</v>
      </c>
      <c r="K106" s="435" t="str">
        <f ca="1">IF(COUNTIF(J:J,Tableau119[[#This Row],[Plant-ILN-shipper-POL-Carrier-POD-PFI]])=1,"Non","Oui")</f>
        <v>Non</v>
      </c>
      <c r="L106" s="128" t="str">
        <f>VLOOKUP(Tableau119[[#This Row],[Name Site]],Plant_AILN!A:D,4,FALSE)</f>
        <v>SPAIN</v>
      </c>
      <c r="M106" s="411" t="s">
        <v>211</v>
      </c>
      <c r="N106" s="439">
        <f>VLOOKUP(Tableau119[[#This Row],[Name Site]],Plant_AILN!A:C,3,FALSE)</f>
        <v>91017600</v>
      </c>
      <c r="O106" s="55">
        <f>VLOOKUP(Tableau119[[#This Row],[Compte Consignee]],Order!C:D,2,FALSE)</f>
        <v>7</v>
      </c>
      <c r="P106" s="116" t="s">
        <v>166</v>
      </c>
      <c r="Q106" s="365">
        <f>VLOOKUP(Tableau119[[#This Row],[Name ILN]],Plant_AILN!F:G,2,FALSE)</f>
        <v>95436</v>
      </c>
      <c r="R106" s="50">
        <f>VLOOKUP(Tableau119[[#This Row],[Compte ILN]],'DATA ILN'!D:I,6,FALSE)</f>
        <v>9</v>
      </c>
      <c r="S106" s="50" t="e">
        <f>IFERROR(VLOOKUP(Tableau119[[#This Row],[Key(Compte ILN - shipper - POL - plant)]],'DATA ILN'!A:J,10,FALSE),VLOOKUP(Tableau119[[#This Row],[Key(Compte ILN - shipper - POL)]],'DATA ILN'!B:J,9,FALSE))</f>
        <v>#N/A</v>
      </c>
      <c r="T106" s="50" t="e">
        <f>IFERROR(VLOOKUP(Tableau119[[#This Row],[Key(Compte ILN - shipper - POL - plant)]],'DATA ILN'!A:K,11,FALSE),VLOOKUP(Tableau119[[#This Row],[Key(Compte ILN - shipper - POL)]],'DATA ILN'!B:K,10,FALSE))</f>
        <v>#N/A</v>
      </c>
      <c r="U106" s="50" t="e">
        <f>IFERROR(VLOOKUP(Tableau119[[#This Row],[Key(Compte ILN - shipper - POL - plant)]],'DATA ILN'!A:L,12,FALSE),VLOOKUP(Tableau119[[#This Row],[Key(Compte ILN - shipper - POL)]],'DATA ILN'!B:L,11,FALSE))</f>
        <v>#N/A</v>
      </c>
      <c r="V106" s="50" t="e">
        <f>Tableau119[[#This Row],[Day ILN Order]]+Tableau119[[#This Row],[Delivery time to ILN/Shipper]]-1</f>
        <v>#N/A</v>
      </c>
      <c r="W106" s="50" t="e">
        <f>IFERROR(VLOOKUP(Tableau119[[#This Row],[Key(Compte ILN - shipper - POL - plant)]],'DATA ILN'!A:N,14,FALSE),VLOOKUP(Tableau119[[#This Row],[Key(Compte ILN - shipper - POL)]],'DATA ILN'!B:N,13,FALSE))</f>
        <v>#N/A</v>
      </c>
      <c r="X106" s="53" t="e">
        <f>IFERROR(VLOOKUP(Tableau119[[#This Row],[Key(Compte ILN - shipper - POL - plant)]],'DATA ILN'!A:P,16,FALSE),VLOOKUP(Tableau119[[#This Row],[Key(Compte ILN - shipper - POL)]],'DATA ILN'!B:P,15,FALSE))</f>
        <v>#N/A</v>
      </c>
      <c r="Y106" s="102" t="s">
        <v>166</v>
      </c>
      <c r="Z106" s="437">
        <f>IFERROR(VLOOKUP(Tableau119[[#This Row],[Name Shipper]],Plant_AILN!L:M,2,FALSE),0)</f>
        <v>95436</v>
      </c>
      <c r="AA106" s="406">
        <v>27</v>
      </c>
      <c r="AB106" s="396" t="b">
        <f>_xlfn.XLOOKUP(Tableau119[[#This Row],[Key(ID-date)]],'DATA BTO'!S:S,'DATA BTO'!E:E,FALSE)</f>
        <v>0</v>
      </c>
      <c r="AC106" s="3" t="b">
        <f>_xlfn.XLOOKUP(Tableau119[[#This Row],[Key(ID-date)]],'DATA BTO'!S:S,'DATA BTO'!F:F,FALSE)</f>
        <v>0</v>
      </c>
      <c r="AD106" s="50" t="b">
        <f>_xlfn.XLOOKUP(Tableau119[[#This Row],[Key(ID-date)]],'DATA BTO'!S:S,'DATA BTO'!G:G,FALSE)</f>
        <v>0</v>
      </c>
      <c r="AE106" s="50" t="b">
        <f>_xlfn.XLOOKUP(Tableau119[[#This Row],[Key(ID-date)]],'DATA BTO'!S:S,'DATA BTO'!H:H,FALSE)</f>
        <v>0</v>
      </c>
      <c r="AF106" s="50" t="e">
        <f>IF(Tableau119[[#This Row],[First Day to POL]]&lt;=Tableau119[[#This Row],[Day Cut Off]],Tableau119[[#This Row],[Day ETD]],Tableau119[[#This Row],[Day ETD]]+7)</f>
        <v>#N/A</v>
      </c>
      <c r="AG106" s="50" t="b">
        <f>_xlfn.XLOOKUP(Tableau119[[#This Row],[Key(ID-date)]],'DATA BTO'!S:S,'DATA BTO'!I:I,FALSE)</f>
        <v>0</v>
      </c>
      <c r="AH106" s="3" t="b">
        <f>_xlfn.XLOOKUP(Tableau119[[#This Row],[Key(ID-date)]],'DATA BTO'!S:S,'DATA BTO'!J:J,FALSE)</f>
        <v>0</v>
      </c>
      <c r="AI106" s="3" t="b">
        <f>_xlfn.XLOOKUP(Tableau119[[#This Row],[Key(ID-date)]],'DATA BTO'!S:S,'DATA BTO'!K:K,FALSE)</f>
        <v>0</v>
      </c>
      <c r="AJ106" s="50" t="b">
        <f>_xlfn.XLOOKUP(Tableau119[[#This Row],[Key(ID-date)]],'DATA BTO'!S:S,'DATA BTO'!L:L,FALSE)</f>
        <v>0</v>
      </c>
      <c r="AK106" s="53" t="b">
        <f>_xlfn.XLOOKUP(Tableau119[[#This Row],[Key(ID-date)]],'DATA BTO'!S:S,'DATA BTO'!N:N,FALSE)</f>
        <v>0</v>
      </c>
      <c r="AL106" s="54" t="e">
        <f>VLOOKUP(Tableau119[[#This Row],[Key(POD -PFI- Usine)]],'DATA Consignee'!A:F,6,FALSE)</f>
        <v>#N/A</v>
      </c>
      <c r="AM106" s="127" t="s">
        <v>169</v>
      </c>
      <c r="AN106" s="438">
        <f>IF(Tableau119[[#This Row],[Name PFI/CDD]]="","-",VLOOKUP(Tableau119[[#This Row],[Name PFI/CDD]],Plant_AILN!I:J,2,FALSE))</f>
        <v>91018400</v>
      </c>
      <c r="AO106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6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6" s="2" t="e">
        <f>VLOOKUP(Tableau119[[#This Row],[Key(POD -PFI- Usine)]],'DATA Consignee'!A:J,10,FALSE)</f>
        <v>#N/A</v>
      </c>
      <c r="AR106" s="50" t="e">
        <f>VLOOKUP(Tableau119[[#This Row],[Key(POD -PFI- Usine)]],'DATA Consignee'!A:N,14,FALSE)</f>
        <v>#N/A</v>
      </c>
      <c r="AS10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6" s="50">
        <f>Tableau119[[#This Row],[Transit time]]+Tableau119[[#This Row],[Time for security]]+Tableau119[[#This Row],[Time for security2 buffer]]</f>
        <v>0</v>
      </c>
      <c r="AV1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6" s="433" t="e">
        <f>Tableau119[[#This Row],[Leadtime SI2C]]+Tableau119[[#This Row],[First Receipt Days]]-Tableau119[[#This Row],[Day Customer Order]]+1</f>
        <v>#N/A</v>
      </c>
      <c r="AX106" s="119" t="e">
        <f>IF(Tableau119[[#This Row],[Name ILN]]&lt;&gt;"SFK Freight Forwarder",Tableau119[[#This Row],[Cust. Leadtime]],Tableau119[[#This Row],[Leadtime SI2C]])</f>
        <v>#N/A</v>
      </c>
      <c r="AY106" s="51" t="b">
        <f>_xlfn.XLOOKUP(Tableau119[[#This Row],[Key(ID-date)]],'DATA BTO'!S:S,'DATA BTO'!P:P,FALSE)</f>
        <v>0</v>
      </c>
      <c r="AZ106" s="338">
        <v>45777</v>
      </c>
      <c r="BA106" s="50"/>
    </row>
    <row r="107" spans="2:53">
      <c r="B107" s="474" t="str">
        <f>_xlfn.CONCAT(Tableau119[[#This Row],[Name ILN]],"-",Tableau119[[#This Row],[Name Shipper]],"-",Tableau119[[#This Row],[Name Site]])</f>
        <v>ILN Busan-ILN Busan-PALENCIA</v>
      </c>
      <c r="C107" s="67" t="str">
        <f>_xlfn.CONCAT(Tableau119[[#This Row],[Compte ILN]],"-",Tableau119[[#This Row],[Compte Shipper]],"-",Tableau119[[#This Row],[POL]],"-",Tableau119[[#This Row],[Compte Consignee]])</f>
        <v>95436-95436-FALSO-91017200</v>
      </c>
      <c r="D107" s="66" t="str">
        <f>_xlfn.CONCAT(Tableau119[[#This Row],[Compte ILN]],"-",Tableau119[[#This Row],[Compte Shipper]],"-",Tableau119[[#This Row],[POL]])</f>
        <v>95436-95436-FALSO</v>
      </c>
      <c r="E107" s="434" t="str">
        <f>_xlfn.CONCAT(Tableau119[[#This Row],[POL]],"-",Tableau119[[#This Row],[Carrier]],"-",Tableau119[[#This Row],[POD]])</f>
        <v>FALSO-FALSO-FALSO</v>
      </c>
      <c r="F107" s="66" t="str">
        <f>_xlfn.CONCAT(Tableau119[[#This Row],[ID]],"-","Actif")</f>
        <v>27-Actif</v>
      </c>
      <c r="G107" s="66" t="str">
        <f>_xlfn.CONCAT(Tableau119[[#This Row],[POD]],"-",Tableau119[[#This Row],[Code PFI]],"-",Tableau119[[#This Row],[Compte Consignee]])</f>
        <v>FALSO-91018400-91017200</v>
      </c>
      <c r="H10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BusanFALSOPALENCIA</v>
      </c>
      <c r="I107" s="434" t="str">
        <f>_xlfn.CONCAT(Tableau119[[#This Row],[ID]],"-",Tableau119[[#This Row],[Expiration Date]])</f>
        <v>27-45473</v>
      </c>
      <c r="J1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Busan-ILN Busan-27-FALSO-FALSO-FALSO-CDD VLL-45473</v>
      </c>
      <c r="K107" s="435" t="str">
        <f ca="1">IF(COUNTIF(J:J,Tableau119[[#This Row],[Plant-ILN-shipper-POL-Carrier-POD-PFI]])=1,"Non","Oui")</f>
        <v>Non</v>
      </c>
      <c r="L107" s="128" t="str">
        <f>VLOOKUP(Tableau119[[#This Row],[Name Site]],Plant_AILN!A:D,4,FALSE)</f>
        <v>SPAIN</v>
      </c>
      <c r="M107" s="411" t="s">
        <v>184</v>
      </c>
      <c r="N107" s="439">
        <f>VLOOKUP(Tableau119[[#This Row],[Name Site]],Plant_AILN!A:C,3,FALSE)</f>
        <v>91017200</v>
      </c>
      <c r="O107" s="55">
        <f>VLOOKUP(Tableau119[[#This Row],[Compte Consignee]],Order!C:D,2,FALSE)</f>
        <v>7</v>
      </c>
      <c r="P107" s="116" t="s">
        <v>166</v>
      </c>
      <c r="Q107" s="365">
        <f>VLOOKUP(Tableau119[[#This Row],[Name ILN]],Plant_AILN!F:G,2,FALSE)</f>
        <v>95436</v>
      </c>
      <c r="R107" s="50">
        <f>VLOOKUP(Tableau119[[#This Row],[Compte ILN]],'DATA ILN'!D:I,6,FALSE)</f>
        <v>9</v>
      </c>
      <c r="S107" s="50" t="e">
        <f>IFERROR(VLOOKUP(Tableau119[[#This Row],[Key(Compte ILN - shipper - POL - plant)]],'DATA ILN'!A:J,10,FALSE),VLOOKUP(Tableau119[[#This Row],[Key(Compte ILN - shipper - POL)]],'DATA ILN'!B:J,9,FALSE))</f>
        <v>#N/A</v>
      </c>
      <c r="T107" s="50" t="e">
        <f>IFERROR(VLOOKUP(Tableau119[[#This Row],[Key(Compte ILN - shipper - POL - plant)]],'DATA ILN'!A:K,11,FALSE),VLOOKUP(Tableau119[[#This Row],[Key(Compte ILN - shipper - POL)]],'DATA ILN'!B:K,10,FALSE))</f>
        <v>#N/A</v>
      </c>
      <c r="U107" s="50" t="e">
        <f>IFERROR(VLOOKUP(Tableau119[[#This Row],[Key(Compte ILN - shipper - POL - plant)]],'DATA ILN'!A:L,12,FALSE),VLOOKUP(Tableau119[[#This Row],[Key(Compte ILN - shipper - POL)]],'DATA ILN'!B:L,11,FALSE))</f>
        <v>#N/A</v>
      </c>
      <c r="V107" s="50" t="e">
        <f>Tableau119[[#This Row],[Day ILN Order]]+Tableau119[[#This Row],[Delivery time to ILN/Shipper]]-1</f>
        <v>#N/A</v>
      </c>
      <c r="W107" s="50" t="e">
        <f>IFERROR(VLOOKUP(Tableau119[[#This Row],[Key(Compte ILN - shipper - POL - plant)]],'DATA ILN'!A:N,14,FALSE),VLOOKUP(Tableau119[[#This Row],[Key(Compte ILN - shipper - POL)]],'DATA ILN'!B:N,13,FALSE))</f>
        <v>#N/A</v>
      </c>
      <c r="X107" s="53" t="e">
        <f>IFERROR(VLOOKUP(Tableau119[[#This Row],[Key(Compte ILN - shipper - POL - plant)]],'DATA ILN'!A:P,16,FALSE),VLOOKUP(Tableau119[[#This Row],[Key(Compte ILN - shipper - POL)]],'DATA ILN'!B:P,15,FALSE))</f>
        <v>#N/A</v>
      </c>
      <c r="Y107" s="284" t="s">
        <v>166</v>
      </c>
      <c r="Z107" s="437">
        <f>IFERROR(VLOOKUP(Tableau119[[#This Row],[Name Shipper]],Plant_AILN!L:M,2,FALSE),0)</f>
        <v>95436</v>
      </c>
      <c r="AA107" s="406">
        <v>27</v>
      </c>
      <c r="AB107" s="396" t="b">
        <f>_xlfn.XLOOKUP(Tableau119[[#This Row],[Key(ID-date)]],'DATA BTO'!S:S,'DATA BTO'!E:E,FALSE)</f>
        <v>0</v>
      </c>
      <c r="AC107" s="3" t="b">
        <f>_xlfn.XLOOKUP(Tableau119[[#This Row],[Key(ID-date)]],'DATA BTO'!S:S,'DATA BTO'!F:F,FALSE)</f>
        <v>0</v>
      </c>
      <c r="AD107" s="50" t="b">
        <f>_xlfn.XLOOKUP(Tableau119[[#This Row],[Key(ID-date)]],'DATA BTO'!S:S,'DATA BTO'!G:G,FALSE)</f>
        <v>0</v>
      </c>
      <c r="AE107" s="50" t="b">
        <f>_xlfn.XLOOKUP(Tableau119[[#This Row],[Key(ID-date)]],'DATA BTO'!S:S,'DATA BTO'!H:H,FALSE)</f>
        <v>0</v>
      </c>
      <c r="AF107" s="50" t="e">
        <f>IF(Tableau119[[#This Row],[First Day to POL]]&lt;=Tableau119[[#This Row],[Day Cut Off]],Tableau119[[#This Row],[Day ETD]],Tableau119[[#This Row],[Day ETD]]+7)</f>
        <v>#N/A</v>
      </c>
      <c r="AG107" s="50" t="b">
        <f>_xlfn.XLOOKUP(Tableau119[[#This Row],[Key(ID-date)]],'DATA BTO'!S:S,'DATA BTO'!I:I,FALSE)</f>
        <v>0</v>
      </c>
      <c r="AH107" s="3" t="b">
        <f>_xlfn.XLOOKUP(Tableau119[[#This Row],[Key(ID-date)]],'DATA BTO'!S:S,'DATA BTO'!J:J,FALSE)</f>
        <v>0</v>
      </c>
      <c r="AI107" s="3" t="b">
        <f>_xlfn.XLOOKUP(Tableau119[[#This Row],[Key(ID-date)]],'DATA BTO'!S:S,'DATA BTO'!K:K,FALSE)</f>
        <v>0</v>
      </c>
      <c r="AJ107" s="50" t="b">
        <f>_xlfn.XLOOKUP(Tableau119[[#This Row],[Key(ID-date)]],'DATA BTO'!S:S,'DATA BTO'!L:L,FALSE)</f>
        <v>0</v>
      </c>
      <c r="AK107" s="53" t="b">
        <f>_xlfn.XLOOKUP(Tableau119[[#This Row],[Key(ID-date)]],'DATA BTO'!S:S,'DATA BTO'!N:N,FALSE)</f>
        <v>0</v>
      </c>
      <c r="AL107" s="54" t="e">
        <f>VLOOKUP(Tableau119[[#This Row],[Key(POD -PFI- Usine)]],'DATA Consignee'!A:F,6,FALSE)</f>
        <v>#N/A</v>
      </c>
      <c r="AM107" s="127" t="s">
        <v>169</v>
      </c>
      <c r="AN107" s="438">
        <f>IF(Tableau119[[#This Row],[Name PFI/CDD]]="","-",VLOOKUP(Tableau119[[#This Row],[Name PFI/CDD]],Plant_AILN!I:J,2,FALSE))</f>
        <v>91018400</v>
      </c>
      <c r="AO10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7" s="2" t="e">
        <f>VLOOKUP(Tableau119[[#This Row],[Key(POD -PFI- Usine)]],'DATA Consignee'!A:J,10,FALSE)</f>
        <v>#N/A</v>
      </c>
      <c r="AR107" s="50" t="e">
        <f>VLOOKUP(Tableau119[[#This Row],[Key(POD -PFI- Usine)]],'DATA Consignee'!A:N,14,FALSE)</f>
        <v>#N/A</v>
      </c>
      <c r="AS10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7" s="50">
        <f>Tableau119[[#This Row],[Transit time]]+Tableau119[[#This Row],[Time for security]]+Tableau119[[#This Row],[Time for security2 buffer]]</f>
        <v>0</v>
      </c>
      <c r="AV1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7" s="433" t="e">
        <f>Tableau119[[#This Row],[Leadtime SI2C]]+Tableau119[[#This Row],[First Receipt Days]]-Tableau119[[#This Row],[Day Customer Order]]+1</f>
        <v>#N/A</v>
      </c>
      <c r="AX107" s="119" t="e">
        <f>IF(Tableau119[[#This Row],[Name ILN]]&lt;&gt;"SFK Freight Forwarder",Tableau119[[#This Row],[Cust. Leadtime]],Tableau119[[#This Row],[Leadtime SI2C]])</f>
        <v>#N/A</v>
      </c>
      <c r="AY107" s="51" t="b">
        <f>_xlfn.XLOOKUP(Tableau119[[#This Row],[Key(ID-date)]],'DATA BTO'!S:S,'DATA BTO'!P:P,FALSE)</f>
        <v>0</v>
      </c>
      <c r="AZ107" s="338">
        <v>45473</v>
      </c>
      <c r="BA107" s="50"/>
    </row>
    <row r="108" spans="2:53">
      <c r="B108" s="474" t="str">
        <f>_xlfn.CONCAT(Tableau119[[#This Row],[Name ILN]],"-",Tableau119[[#This Row],[Name Shipper]],"-",Tableau119[[#This Row],[Name Site]])</f>
        <v>ILN Busan-ILN Busan-VALL MONTAGE</v>
      </c>
      <c r="C108" s="67" t="str">
        <f>_xlfn.CONCAT(Tableau119[[#This Row],[Compte ILN]],"-",Tableau119[[#This Row],[Compte Shipper]],"-",Tableau119[[#This Row],[POL]],"-",Tableau119[[#This Row],[Compte Consignee]])</f>
        <v>95436-95436-FALSO-91017300</v>
      </c>
      <c r="D108" s="66" t="str">
        <f>_xlfn.CONCAT(Tableau119[[#This Row],[Compte ILN]],"-",Tableau119[[#This Row],[Compte Shipper]],"-",Tableau119[[#This Row],[POL]])</f>
        <v>95436-95436-FALSO</v>
      </c>
      <c r="E108" s="434" t="str">
        <f>_xlfn.CONCAT(Tableau119[[#This Row],[POL]],"-",Tableau119[[#This Row],[Carrier]],"-",Tableau119[[#This Row],[POD]])</f>
        <v>FALSO-FALSO-FALSO</v>
      </c>
      <c r="F108" s="66" t="str">
        <f>_xlfn.CONCAT(Tableau119[[#This Row],[ID]],"-","Actif")</f>
        <v>27-Actif</v>
      </c>
      <c r="G108" s="66" t="str">
        <f>_xlfn.CONCAT(Tableau119[[#This Row],[POD]],"-",Tableau119[[#This Row],[Code PFI]],"-",Tableau119[[#This Row],[Compte Consignee]])</f>
        <v>FALSO-91018400-91017300</v>
      </c>
      <c r="H10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BusanFALSOVALL MONTAGE</v>
      </c>
      <c r="I108" s="434" t="str">
        <f>_xlfn.CONCAT(Tableau119[[#This Row],[ID]],"-",Tableau119[[#This Row],[Expiration Date]])</f>
        <v>27-45473</v>
      </c>
      <c r="J1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Busan-ILN Busan-27-FALSO-FALSO-FALSO-CDD VLL-45473</v>
      </c>
      <c r="K108" s="435" t="str">
        <f ca="1">IF(COUNTIF(J:J,Tableau119[[#This Row],[Plant-ILN-shipper-POL-Carrier-POD-PFI]])=1,"Non","Oui")</f>
        <v>Non</v>
      </c>
      <c r="L108" s="128" t="str">
        <f>VLOOKUP(Tableau119[[#This Row],[Name Site]],Plant_AILN!A:D,4,FALSE)</f>
        <v>SPAIN</v>
      </c>
      <c r="M108" s="411" t="s">
        <v>175</v>
      </c>
      <c r="N108" s="439">
        <f>VLOOKUP(Tableau119[[#This Row],[Name Site]],Plant_AILN!A:C,3,FALSE)</f>
        <v>91017300</v>
      </c>
      <c r="O108" s="55">
        <f>VLOOKUP(Tableau119[[#This Row],[Compte Consignee]],Order!C:D,2,FALSE)</f>
        <v>7</v>
      </c>
      <c r="P108" s="116" t="s">
        <v>166</v>
      </c>
      <c r="Q108" s="365">
        <f>VLOOKUP(Tableau119[[#This Row],[Name ILN]],Plant_AILN!F:G,2,FALSE)</f>
        <v>95436</v>
      </c>
      <c r="R108" s="50">
        <f>VLOOKUP(Tableau119[[#This Row],[Compte ILN]],'DATA ILN'!D:I,6,FALSE)</f>
        <v>9</v>
      </c>
      <c r="S108" s="50" t="e">
        <f>IFERROR(VLOOKUP(Tableau119[[#This Row],[Key(Compte ILN - shipper - POL - plant)]],'DATA ILN'!A:J,10,FALSE),VLOOKUP(Tableau119[[#This Row],[Key(Compte ILN - shipper - POL)]],'DATA ILN'!B:J,9,FALSE))</f>
        <v>#N/A</v>
      </c>
      <c r="T108" s="50" t="e">
        <f>IFERROR(VLOOKUP(Tableau119[[#This Row],[Key(Compte ILN - shipper - POL - plant)]],'DATA ILN'!A:K,11,FALSE),VLOOKUP(Tableau119[[#This Row],[Key(Compte ILN - shipper - POL)]],'DATA ILN'!B:K,10,FALSE))</f>
        <v>#N/A</v>
      </c>
      <c r="U108" s="50" t="e">
        <f>IFERROR(VLOOKUP(Tableau119[[#This Row],[Key(Compte ILN - shipper - POL - plant)]],'DATA ILN'!A:L,12,FALSE),VLOOKUP(Tableau119[[#This Row],[Key(Compte ILN - shipper - POL)]],'DATA ILN'!B:L,11,FALSE))</f>
        <v>#N/A</v>
      </c>
      <c r="V108" s="50" t="e">
        <f>Tableau119[[#This Row],[Day ILN Order]]+Tableau119[[#This Row],[Delivery time to ILN/Shipper]]-1</f>
        <v>#N/A</v>
      </c>
      <c r="W108" s="50" t="e">
        <f>IFERROR(VLOOKUP(Tableau119[[#This Row],[Key(Compte ILN - shipper - POL - plant)]],'DATA ILN'!A:N,14,FALSE),VLOOKUP(Tableau119[[#This Row],[Key(Compte ILN - shipper - POL)]],'DATA ILN'!B:N,13,FALSE))</f>
        <v>#N/A</v>
      </c>
      <c r="X108" s="53" t="e">
        <f>IFERROR(VLOOKUP(Tableau119[[#This Row],[Key(Compte ILN - shipper - POL - plant)]],'DATA ILN'!A:P,16,FALSE),VLOOKUP(Tableau119[[#This Row],[Key(Compte ILN - shipper - POL)]],'DATA ILN'!B:P,15,FALSE))</f>
        <v>#N/A</v>
      </c>
      <c r="Y108" s="284" t="s">
        <v>166</v>
      </c>
      <c r="Z108" s="437">
        <f>IFERROR(VLOOKUP(Tableau119[[#This Row],[Name Shipper]],Plant_AILN!L:M,2,FALSE),0)</f>
        <v>95436</v>
      </c>
      <c r="AA108" s="406">
        <v>27</v>
      </c>
      <c r="AB108" s="396" t="b">
        <f>_xlfn.XLOOKUP(Tableau119[[#This Row],[Key(ID-date)]],'DATA BTO'!S:S,'DATA BTO'!E:E,FALSE)</f>
        <v>0</v>
      </c>
      <c r="AC108" s="3" t="b">
        <f>_xlfn.XLOOKUP(Tableau119[[#This Row],[Key(ID-date)]],'DATA BTO'!S:S,'DATA BTO'!F:F,FALSE)</f>
        <v>0</v>
      </c>
      <c r="AD108" s="50" t="b">
        <f>_xlfn.XLOOKUP(Tableau119[[#This Row],[Key(ID-date)]],'DATA BTO'!S:S,'DATA BTO'!G:G,FALSE)</f>
        <v>0</v>
      </c>
      <c r="AE108" s="50" t="b">
        <f>_xlfn.XLOOKUP(Tableau119[[#This Row],[Key(ID-date)]],'DATA BTO'!S:S,'DATA BTO'!H:H,FALSE)</f>
        <v>0</v>
      </c>
      <c r="AF108" s="50" t="e">
        <f>IF(Tableau119[[#This Row],[First Day to POL]]&lt;=Tableau119[[#This Row],[Day Cut Off]],Tableau119[[#This Row],[Day ETD]],Tableau119[[#This Row],[Day ETD]]+7)</f>
        <v>#N/A</v>
      </c>
      <c r="AG108" s="50" t="b">
        <f>_xlfn.XLOOKUP(Tableau119[[#This Row],[Key(ID-date)]],'DATA BTO'!S:S,'DATA BTO'!I:I,FALSE)</f>
        <v>0</v>
      </c>
      <c r="AH108" s="3" t="b">
        <f>_xlfn.XLOOKUP(Tableau119[[#This Row],[Key(ID-date)]],'DATA BTO'!S:S,'DATA BTO'!J:J,FALSE)</f>
        <v>0</v>
      </c>
      <c r="AI108" s="3" t="b">
        <f>_xlfn.XLOOKUP(Tableau119[[#This Row],[Key(ID-date)]],'DATA BTO'!S:S,'DATA BTO'!K:K,FALSE)</f>
        <v>0</v>
      </c>
      <c r="AJ108" s="50" t="b">
        <f>_xlfn.XLOOKUP(Tableau119[[#This Row],[Key(ID-date)]],'DATA BTO'!S:S,'DATA BTO'!L:L,FALSE)</f>
        <v>0</v>
      </c>
      <c r="AK108" s="53" t="b">
        <f>_xlfn.XLOOKUP(Tableau119[[#This Row],[Key(ID-date)]],'DATA BTO'!S:S,'DATA BTO'!N:N,FALSE)</f>
        <v>0</v>
      </c>
      <c r="AL108" s="54" t="e">
        <f>VLOOKUP(Tableau119[[#This Row],[Key(POD -PFI- Usine)]],'DATA Consignee'!A:F,6,FALSE)</f>
        <v>#N/A</v>
      </c>
      <c r="AM108" s="127" t="s">
        <v>169</v>
      </c>
      <c r="AN108" s="438">
        <f>IF(Tableau119[[#This Row],[Name PFI/CDD]]="","-",VLOOKUP(Tableau119[[#This Row],[Name PFI/CDD]],Plant_AILN!I:J,2,FALSE))</f>
        <v>91018400</v>
      </c>
      <c r="AO10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8" s="2" t="e">
        <f>VLOOKUP(Tableau119[[#This Row],[Key(POD -PFI- Usine)]],'DATA Consignee'!A:J,10,FALSE)</f>
        <v>#N/A</v>
      </c>
      <c r="AR108" s="50" t="e">
        <f>VLOOKUP(Tableau119[[#This Row],[Key(POD -PFI- Usine)]],'DATA Consignee'!A:N,14,FALSE)</f>
        <v>#N/A</v>
      </c>
      <c r="AS1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8" s="50">
        <f>Tableau119[[#This Row],[Transit time]]+Tableau119[[#This Row],[Time for security]]+Tableau119[[#This Row],[Time for security2 buffer]]</f>
        <v>0</v>
      </c>
      <c r="AV1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8" s="433" t="e">
        <f>Tableau119[[#This Row],[Leadtime SI2C]]+Tableau119[[#This Row],[First Receipt Days]]-Tableau119[[#This Row],[Day Customer Order]]+1</f>
        <v>#N/A</v>
      </c>
      <c r="AX108" s="119" t="e">
        <f>IF(Tableau119[[#This Row],[Name ILN]]&lt;&gt;"SFK Freight Forwarder",Tableau119[[#This Row],[Cust. Leadtime]],Tableau119[[#This Row],[Leadtime SI2C]])</f>
        <v>#N/A</v>
      </c>
      <c r="AY108" s="51" t="b">
        <f>_xlfn.XLOOKUP(Tableau119[[#This Row],[Key(ID-date)]],'DATA BTO'!S:S,'DATA BTO'!P:P,FALSE)</f>
        <v>0</v>
      </c>
      <c r="AZ108" s="338">
        <v>45473</v>
      </c>
      <c r="BA108" s="50"/>
    </row>
    <row r="109" spans="2:53">
      <c r="B109" s="474" t="str">
        <f>_xlfn.CONCAT(Tableau119[[#This Row],[Name ILN]],"-",Tableau119[[#This Row],[Name Shipper]],"-",Tableau119[[#This Row],[Name Site]])</f>
        <v>ILN Busan-ILN Busan-CARROCERIAS</v>
      </c>
      <c r="C109" s="67" t="str">
        <f>_xlfn.CONCAT(Tableau119[[#This Row],[Compte ILN]],"-",Tableau119[[#This Row],[Compte Shipper]],"-",Tableau119[[#This Row],[POL]],"-",Tableau119[[#This Row],[Compte Consignee]])</f>
        <v>95436-95436-FALSO-91017600</v>
      </c>
      <c r="D109" s="66" t="str">
        <f>_xlfn.CONCAT(Tableau119[[#This Row],[Compte ILN]],"-",Tableau119[[#This Row],[Compte Shipper]],"-",Tableau119[[#This Row],[POL]])</f>
        <v>95436-95436-FALSO</v>
      </c>
      <c r="E109" s="434" t="str">
        <f>_xlfn.CONCAT(Tableau119[[#This Row],[POL]],"-",Tableau119[[#This Row],[Carrier]],"-",Tableau119[[#This Row],[POD]])</f>
        <v>FALSO-FALSO-FALSO</v>
      </c>
      <c r="F109" s="66" t="str">
        <f>_xlfn.CONCAT(Tableau119[[#This Row],[ID]],"-","Actif")</f>
        <v>27-Actif</v>
      </c>
      <c r="G109" s="66" t="str">
        <f>_xlfn.CONCAT(Tableau119[[#This Row],[POD]],"-",Tableau119[[#This Row],[Code PFI]],"-",Tableau119[[#This Row],[Compte Consignee]])</f>
        <v>FALSO-91018400-91017600</v>
      </c>
      <c r="H10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BusanFALSOCARROCERIAS</v>
      </c>
      <c r="I109" s="434" t="str">
        <f>_xlfn.CONCAT(Tableau119[[#This Row],[ID]],"-",Tableau119[[#This Row],[Expiration Date]])</f>
        <v>27-45473</v>
      </c>
      <c r="J1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CARROCERIAS-ILN Busan-ILN Busan-27-FALSO-FALSO-FALSO-CDD VLL-45473</v>
      </c>
      <c r="K109" s="435" t="str">
        <f ca="1">IF(COUNTIF(J:J,Tableau119[[#This Row],[Plant-ILN-shipper-POL-Carrier-POD-PFI]])=1,"Non","Oui")</f>
        <v>Non</v>
      </c>
      <c r="L109" s="128" t="str">
        <f>VLOOKUP(Tableau119[[#This Row],[Name Site]],Plant_AILN!A:D,4,FALSE)</f>
        <v>SPAIN</v>
      </c>
      <c r="M109" s="411" t="s">
        <v>211</v>
      </c>
      <c r="N109" s="439">
        <f>VLOOKUP(Tableau119[[#This Row],[Name Site]],Plant_AILN!A:C,3,FALSE)</f>
        <v>91017600</v>
      </c>
      <c r="O109" s="55">
        <f>VLOOKUP(Tableau119[[#This Row],[Compte Consignee]],Order!C:D,2,FALSE)</f>
        <v>7</v>
      </c>
      <c r="P109" s="116" t="s">
        <v>166</v>
      </c>
      <c r="Q109" s="365">
        <f>VLOOKUP(Tableau119[[#This Row],[Name ILN]],Plant_AILN!F:G,2,FALSE)</f>
        <v>95436</v>
      </c>
      <c r="R109" s="50">
        <f>VLOOKUP(Tableau119[[#This Row],[Compte ILN]],'DATA ILN'!D:I,6,FALSE)</f>
        <v>9</v>
      </c>
      <c r="S109" s="50" t="e">
        <f>IFERROR(VLOOKUP(Tableau119[[#This Row],[Key(Compte ILN - shipper - POL - plant)]],'DATA ILN'!A:J,10,FALSE),VLOOKUP(Tableau119[[#This Row],[Key(Compte ILN - shipper - POL)]],'DATA ILN'!B:J,9,FALSE))</f>
        <v>#N/A</v>
      </c>
      <c r="T109" s="50" t="e">
        <f>IFERROR(VLOOKUP(Tableau119[[#This Row],[Key(Compte ILN - shipper - POL - plant)]],'DATA ILN'!A:K,11,FALSE),VLOOKUP(Tableau119[[#This Row],[Key(Compte ILN - shipper - POL)]],'DATA ILN'!B:K,10,FALSE))</f>
        <v>#N/A</v>
      </c>
      <c r="U109" s="50" t="e">
        <f>IFERROR(VLOOKUP(Tableau119[[#This Row],[Key(Compte ILN - shipper - POL - plant)]],'DATA ILN'!A:L,12,FALSE),VLOOKUP(Tableau119[[#This Row],[Key(Compte ILN - shipper - POL)]],'DATA ILN'!B:L,11,FALSE))</f>
        <v>#N/A</v>
      </c>
      <c r="V109" s="50" t="e">
        <f>Tableau119[[#This Row],[Day ILN Order]]+Tableau119[[#This Row],[Delivery time to ILN/Shipper]]-1</f>
        <v>#N/A</v>
      </c>
      <c r="W109" s="50" t="e">
        <f>IFERROR(VLOOKUP(Tableau119[[#This Row],[Key(Compte ILN - shipper - POL - plant)]],'DATA ILN'!A:N,14,FALSE),VLOOKUP(Tableau119[[#This Row],[Key(Compte ILN - shipper - POL)]],'DATA ILN'!B:N,13,FALSE))</f>
        <v>#N/A</v>
      </c>
      <c r="X109" s="53" t="e">
        <f>IFERROR(VLOOKUP(Tableau119[[#This Row],[Key(Compte ILN - shipper - POL - plant)]],'DATA ILN'!A:P,16,FALSE),VLOOKUP(Tableau119[[#This Row],[Key(Compte ILN - shipper - POL)]],'DATA ILN'!B:P,15,FALSE))</f>
        <v>#N/A</v>
      </c>
      <c r="Y109" s="284" t="s">
        <v>166</v>
      </c>
      <c r="Z109" s="437">
        <f>IFERROR(VLOOKUP(Tableau119[[#This Row],[Name Shipper]],Plant_AILN!L:M,2,FALSE),0)</f>
        <v>95436</v>
      </c>
      <c r="AA109" s="406">
        <v>27</v>
      </c>
      <c r="AB109" s="396" t="b">
        <f>_xlfn.XLOOKUP(Tableau119[[#This Row],[Key(ID-date)]],'DATA BTO'!S:S,'DATA BTO'!E:E,FALSE)</f>
        <v>0</v>
      </c>
      <c r="AC109" s="3" t="b">
        <f>_xlfn.XLOOKUP(Tableau119[[#This Row],[Key(ID-date)]],'DATA BTO'!S:S,'DATA BTO'!F:F,FALSE)</f>
        <v>0</v>
      </c>
      <c r="AD109" s="50" t="b">
        <f>_xlfn.XLOOKUP(Tableau119[[#This Row],[Key(ID-date)]],'DATA BTO'!S:S,'DATA BTO'!G:G,FALSE)</f>
        <v>0</v>
      </c>
      <c r="AE109" s="50" t="b">
        <f>_xlfn.XLOOKUP(Tableau119[[#This Row],[Key(ID-date)]],'DATA BTO'!S:S,'DATA BTO'!H:H,FALSE)</f>
        <v>0</v>
      </c>
      <c r="AF109" s="50" t="e">
        <f>IF(Tableau119[[#This Row],[First Day to POL]]&lt;=Tableau119[[#This Row],[Day Cut Off]],Tableau119[[#This Row],[Day ETD]],Tableau119[[#This Row],[Day ETD]]+7)</f>
        <v>#N/A</v>
      </c>
      <c r="AG109" s="50" t="b">
        <f>_xlfn.XLOOKUP(Tableau119[[#This Row],[Key(ID-date)]],'DATA BTO'!S:S,'DATA BTO'!I:I,FALSE)</f>
        <v>0</v>
      </c>
      <c r="AH109" s="3" t="b">
        <f>_xlfn.XLOOKUP(Tableau119[[#This Row],[Key(ID-date)]],'DATA BTO'!S:S,'DATA BTO'!J:J,FALSE)</f>
        <v>0</v>
      </c>
      <c r="AI109" s="3" t="b">
        <f>_xlfn.XLOOKUP(Tableau119[[#This Row],[Key(ID-date)]],'DATA BTO'!S:S,'DATA BTO'!K:K,FALSE)</f>
        <v>0</v>
      </c>
      <c r="AJ109" s="50" t="b">
        <f>_xlfn.XLOOKUP(Tableau119[[#This Row],[Key(ID-date)]],'DATA BTO'!S:S,'DATA BTO'!L:L,FALSE)</f>
        <v>0</v>
      </c>
      <c r="AK109" s="53" t="b">
        <f>_xlfn.XLOOKUP(Tableau119[[#This Row],[Key(ID-date)]],'DATA BTO'!S:S,'DATA BTO'!N:N,FALSE)</f>
        <v>0</v>
      </c>
      <c r="AL109" s="54" t="e">
        <f>VLOOKUP(Tableau119[[#This Row],[Key(POD -PFI- Usine)]],'DATA Consignee'!A:F,6,FALSE)</f>
        <v>#N/A</v>
      </c>
      <c r="AM109" s="127" t="s">
        <v>169</v>
      </c>
      <c r="AN109" s="438">
        <f>IF(Tableau119[[#This Row],[Name PFI/CDD]]="","-",VLOOKUP(Tableau119[[#This Row],[Name PFI/CDD]],Plant_AILN!I:J,2,FALSE))</f>
        <v>91018400</v>
      </c>
      <c r="AO10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10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109" s="2" t="e">
        <f>VLOOKUP(Tableau119[[#This Row],[Key(POD -PFI- Usine)]],'DATA Consignee'!A:J,10,FALSE)</f>
        <v>#N/A</v>
      </c>
      <c r="AR109" s="50" t="e">
        <f>VLOOKUP(Tableau119[[#This Row],[Key(POD -PFI- Usine)]],'DATA Consignee'!A:N,14,FALSE)</f>
        <v>#N/A</v>
      </c>
      <c r="AS1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09" s="50">
        <f>Tableau119[[#This Row],[Transit time]]+Tableau119[[#This Row],[Time for security]]+Tableau119[[#This Row],[Time for security2 buffer]]</f>
        <v>0</v>
      </c>
      <c r="AV1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09" s="433" t="e">
        <f>Tableau119[[#This Row],[Leadtime SI2C]]+Tableau119[[#This Row],[First Receipt Days]]-Tableau119[[#This Row],[Day Customer Order]]+1</f>
        <v>#N/A</v>
      </c>
      <c r="AX109" s="119" t="e">
        <f>IF(Tableau119[[#This Row],[Name ILN]]&lt;&gt;"SFK Freight Forwarder",Tableau119[[#This Row],[Cust. Leadtime]],Tableau119[[#This Row],[Leadtime SI2C]])</f>
        <v>#N/A</v>
      </c>
      <c r="AY109" s="51" t="b">
        <f>_xlfn.XLOOKUP(Tableau119[[#This Row],[Key(ID-date)]],'DATA BTO'!S:S,'DATA BTO'!P:P,FALSE)</f>
        <v>0</v>
      </c>
      <c r="AZ109" s="338">
        <v>45473</v>
      </c>
      <c r="BA109" s="50"/>
    </row>
    <row r="110" spans="2:53">
      <c r="B110" s="67" t="str">
        <f>_xlfn.CONCAT(Tableau119[[#This Row],[Name ILN]],"-",Tableau119[[#This Row],[Name Shipper]],"-",Tableau119[[#This Row],[Name Site]])</f>
        <v>ILN Busan-ILN Busan-KARSAN</v>
      </c>
      <c r="C110" s="67" t="str">
        <f>_xlfn.CONCAT(Tableau119[[#This Row],[Compte ILN]],"-",Tableau119[[#This Row],[Compte Shipper]],"-",Tableau119[[#This Row],[POL]],"-",Tableau119[[#This Row],[Compte Consignee]])</f>
        <v>95436-95436-FALSO-90022000</v>
      </c>
      <c r="D110" s="66" t="str">
        <f>_xlfn.CONCAT(Tableau119[[#This Row],[Compte ILN]],"-",Tableau119[[#This Row],[Compte Shipper]],"-",Tableau119[[#This Row],[POL]])</f>
        <v>95436-95436-FALSO</v>
      </c>
      <c r="E110" s="434" t="str">
        <f>_xlfn.CONCAT(Tableau119[[#This Row],[POL]],"-",Tableau119[[#This Row],[Carrier]],"-",Tableau119[[#This Row],[POD]])</f>
        <v>FALSO-FALSO-FALSO</v>
      </c>
      <c r="F110" s="66" t="str">
        <f>_xlfn.CONCAT(Tableau119[[#This Row],[ID]],"-","Actif")</f>
        <v>28-Actif</v>
      </c>
      <c r="G110" s="66" t="str">
        <f>_xlfn.CONCAT(Tableau119[[#This Row],[POD]],"-",Tableau119[[#This Row],[Code PFI]],"-",Tableau119[[#This Row],[Compte Consignee]])</f>
        <v>FALSO---90022000</v>
      </c>
      <c r="H11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BusanFALSOKARSAN</v>
      </c>
      <c r="I110" s="434" t="str">
        <f>_xlfn.CONCAT(Tableau119[[#This Row],[ID]],"-",Tableau119[[#This Row],[Expiration Date]])</f>
        <v>28-46142</v>
      </c>
      <c r="J1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Busan-ILN Busan-28-FALSO-FALSO-FALSO--46142</v>
      </c>
      <c r="K110" s="435" t="str">
        <f ca="1">IF(COUNTIF(J:J,Tableau119[[#This Row],[Plant-ILN-shipper-POL-Carrier-POD-PFI]])=1,"Non","Oui")</f>
        <v>Non</v>
      </c>
      <c r="L110" s="128" t="str">
        <f>VLOOKUP(Tableau119[[#This Row],[Name Site]],Plant_AILN!A:D,4,FALSE)</f>
        <v>TURKEY</v>
      </c>
      <c r="M110" s="412" t="s">
        <v>235</v>
      </c>
      <c r="N110" s="439">
        <f>VLOOKUP(Tableau119[[#This Row],[Name Site]],Plant_AILN!A:C,3,FALSE)</f>
        <v>90022000</v>
      </c>
      <c r="O110" s="55">
        <f>IF(Tableau119[[#This Row],[Name PFI/CDD]]="PFI VLL",2,VLOOKUP(Tableau119[[#This Row],[Compte Consignee]],Order!C:D,2,FALSE))</f>
        <v>7</v>
      </c>
      <c r="P110" s="498" t="s">
        <v>166</v>
      </c>
      <c r="Q110" s="365">
        <f>VLOOKUP(Tableau119[[#This Row],[Name ILN]],Plant_AILN!F:G,2,FALSE)</f>
        <v>95436</v>
      </c>
      <c r="R110" s="50">
        <f>VLOOKUP(Tableau119[[#This Row],[Compte ILN]],'DATA ILN'!D:I,6,FALSE)</f>
        <v>9</v>
      </c>
      <c r="S110" s="50" t="e">
        <f>IFERROR(VLOOKUP(Tableau119[[#This Row],[Key(Compte ILN - shipper - POL - plant)]],'DATA ILN'!A:J,10,FALSE),VLOOKUP(Tableau119[[#This Row],[Key(Compte ILN - shipper - POL)]],'DATA ILN'!B:J,9,FALSE))</f>
        <v>#N/A</v>
      </c>
      <c r="T110" s="50" t="e">
        <f>IFERROR(VLOOKUP(Tableau119[[#This Row],[Key(Compte ILN - shipper - POL - plant)]],'DATA ILN'!A:K,11,FALSE),VLOOKUP(Tableau119[[#This Row],[Key(Compte ILN - shipper - POL)]],'DATA ILN'!B:K,10,FALSE))</f>
        <v>#N/A</v>
      </c>
      <c r="U110" s="50" t="e">
        <f>IFERROR(VLOOKUP(Tableau119[[#This Row],[Key(Compte ILN - shipper - POL - plant)]],'DATA ILN'!A:L,12,FALSE),VLOOKUP(Tableau119[[#This Row],[Key(Compte ILN - shipper - POL)]],'DATA ILN'!B:L,11,FALSE))</f>
        <v>#N/A</v>
      </c>
      <c r="V110" s="50" t="e">
        <f>Tableau119[[#This Row],[Day ILN Order]]+Tableau119[[#This Row],[Delivery time to ILN/Shipper]]-1</f>
        <v>#N/A</v>
      </c>
      <c r="W110" s="50" t="e">
        <f>IFERROR(VLOOKUP(Tableau119[[#This Row],[Key(Compte ILN - shipper - POL - plant)]],'DATA ILN'!A:N,14,FALSE),VLOOKUP(Tableau119[[#This Row],[Key(Compte ILN - shipper - POL)]],'DATA ILN'!B:N,13,FALSE))</f>
        <v>#N/A</v>
      </c>
      <c r="X110" s="53" t="e">
        <f>IFERROR(VLOOKUP(Tableau119[[#This Row],[Key(Compte ILN - shipper - POL - plant)]],'DATA ILN'!A:P,16,FALSE),VLOOKUP(Tableau119[[#This Row],[Key(Compte ILN - shipper - POL)]],'DATA ILN'!B:P,15,FALSE))</f>
        <v>#N/A</v>
      </c>
      <c r="Y110" s="284" t="s">
        <v>166</v>
      </c>
      <c r="Z110" s="437">
        <f>IFERROR(VLOOKUP(Tableau119[[#This Row],[Name Shipper]],Plant_AILN!L:M,2,FALSE),0)</f>
        <v>95436</v>
      </c>
      <c r="AA110" s="414">
        <v>28</v>
      </c>
      <c r="AB110" s="396" t="b">
        <f>_xlfn.XLOOKUP(Tableau119[[#This Row],[Key(ID-date)]],'DATA BTO'!S:S,'DATA BTO'!E:E,FALSE)</f>
        <v>0</v>
      </c>
      <c r="AC110" s="3" t="b">
        <f>_xlfn.XLOOKUP(Tableau119[[#This Row],[Key(ID-date)]],'DATA BTO'!S:S,'DATA BTO'!F:F,FALSE)</f>
        <v>0</v>
      </c>
      <c r="AD110" s="50" t="b">
        <f>_xlfn.XLOOKUP(Tableau119[[#This Row],[Key(ID-date)]],'DATA BTO'!S:S,'DATA BTO'!G:G,FALSE)</f>
        <v>0</v>
      </c>
      <c r="AE110" s="50" t="b">
        <f>_xlfn.XLOOKUP(Tableau119[[#This Row],[Key(ID-date)]],'DATA BTO'!S:S,'DATA BTO'!H:H,FALSE)</f>
        <v>0</v>
      </c>
      <c r="AF110" s="50" t="e">
        <f>IF(Tableau119[[#This Row],[First Day to POL]]&lt;=Tableau119[[#This Row],[Day Cut Off]],Tableau119[[#This Row],[Day ETD]],Tableau119[[#This Row],[Day ETD]]+7)</f>
        <v>#N/A</v>
      </c>
      <c r="AG110" s="50" t="b">
        <f>_xlfn.XLOOKUP(Tableau119[[#This Row],[Key(ID-date)]],'DATA BTO'!S:S,'DATA BTO'!I:I,FALSE)</f>
        <v>0</v>
      </c>
      <c r="AH110" s="3" t="b">
        <f>_xlfn.XLOOKUP(Tableau119[[#This Row],[Key(ID-date)]],'DATA BTO'!S:S,'DATA BTO'!J:J,FALSE)</f>
        <v>0</v>
      </c>
      <c r="AI110" s="3" t="b">
        <f>_xlfn.XLOOKUP(Tableau119[[#This Row],[Key(ID-date)]],'DATA BTO'!S:S,'DATA BTO'!K:K,FALSE)</f>
        <v>0</v>
      </c>
      <c r="AJ110" s="50" t="b">
        <f>_xlfn.XLOOKUP(Tableau119[[#This Row],[Key(ID-date)]],'DATA BTO'!S:S,'DATA BTO'!L:L,FALSE)</f>
        <v>0</v>
      </c>
      <c r="AK110" s="53" t="b">
        <f>_xlfn.XLOOKUP(Tableau119[[#This Row],[Key(ID-date)]],'DATA BTO'!S:S,'DATA BTO'!N:N,FALSE)</f>
        <v>0</v>
      </c>
      <c r="AL110" s="54" t="e">
        <f>VLOOKUP(Tableau119[[#This Row],[Key(POD -PFI- Usine)]],'DATA Consignee'!A:F,6,FALSE)</f>
        <v>#N/A</v>
      </c>
      <c r="AM110" s="127"/>
      <c r="AN110" s="438" t="str">
        <f>IF(Tableau119[[#This Row],[Name PFI/CDD]]="","-",VLOOKUP(Tableau119[[#This Row],[Name PFI/CDD]],Plant_AILN!I:J,2,FALSE))</f>
        <v>-</v>
      </c>
      <c r="AO1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0" s="2" t="e">
        <f>VLOOKUP(Tableau119[[#This Row],[Key(POD -PFI- Usine)]],'DATA Consignee'!A:J,10,FALSE)</f>
        <v>#N/A</v>
      </c>
      <c r="AR110" s="50" t="e">
        <f>VLOOKUP(Tableau119[[#This Row],[Key(POD -PFI- Usine)]],'DATA Consignee'!A:N,14,FALSE)</f>
        <v>#N/A</v>
      </c>
      <c r="AS1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0" s="50">
        <f>Tableau119[[#This Row],[Transit time]]+Tableau119[[#This Row],[Time for security]]+Tableau119[[#This Row],[Time for security2 buffer]]</f>
        <v>0</v>
      </c>
      <c r="AV1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0" s="433" t="e">
        <f>Tableau119[[#This Row],[Leadtime SI2C]]+Tableau119[[#This Row],[First Receipt Days]]-Tableau119[[#This Row],[Day Customer Order]]+1</f>
        <v>#N/A</v>
      </c>
      <c r="AX110" s="119" t="e">
        <f>IF(Tableau119[[#This Row],[Name ILN]]&lt;&gt;"SFK Freight Forwarder",Tableau119[[#This Row],[Cust. Leadtime]],Tableau119[[#This Row],[Leadtime SI2C]])</f>
        <v>#N/A</v>
      </c>
      <c r="AY110" s="51" t="b">
        <f>_xlfn.XLOOKUP(Tableau119[[#This Row],[Key(ID-date)]],'DATA BTO'!S:S,'DATA BTO'!P:P,FALSE)</f>
        <v>0</v>
      </c>
      <c r="AZ110" s="338">
        <v>46142</v>
      </c>
      <c r="BA110" s="50"/>
    </row>
    <row r="111" spans="2:53">
      <c r="B111" s="67" t="str">
        <f>_xlfn.CONCAT(Tableau119[[#This Row],[Name ILN]],"-",Tableau119[[#This Row],[Name Shipper]],"-",Tableau119[[#This Row],[Name Site]])</f>
        <v>ILN Busan-ILN Busan-OYAK MONT</v>
      </c>
      <c r="C111" s="67" t="str">
        <f>_xlfn.CONCAT(Tableau119[[#This Row],[Compte ILN]],"-",Tableau119[[#This Row],[Compte Shipper]],"-",Tableau119[[#This Row],[POL]],"-",Tableau119[[#This Row],[Compte Consignee]])</f>
        <v>95436-95436-FALSO-90017000</v>
      </c>
      <c r="D111" s="66" t="str">
        <f>_xlfn.CONCAT(Tableau119[[#This Row],[Compte ILN]],"-",Tableau119[[#This Row],[Compte Shipper]],"-",Tableau119[[#This Row],[POL]])</f>
        <v>95436-95436-FALSO</v>
      </c>
      <c r="E111" s="434" t="str">
        <f>_xlfn.CONCAT(Tableau119[[#This Row],[POL]],"-",Tableau119[[#This Row],[Carrier]],"-",Tableau119[[#This Row],[POD]])</f>
        <v>FALSO-FALSO-FALSO</v>
      </c>
      <c r="F111" s="66" t="str">
        <f>_xlfn.CONCAT(Tableau119[[#This Row],[ID]],"-","Actif")</f>
        <v>28-Actif</v>
      </c>
      <c r="G111" s="66" t="str">
        <f>_xlfn.CONCAT(Tableau119[[#This Row],[POD]],"-",Tableau119[[#This Row],[Code PFI]],"-",Tableau119[[#This Row],[Compte Consignee]])</f>
        <v>FALSO---90017000</v>
      </c>
      <c r="H11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BusanFALSOOYAK MONT</v>
      </c>
      <c r="I111" s="434" t="str">
        <f>_xlfn.CONCAT(Tableau119[[#This Row],[ID]],"-",Tableau119[[#This Row],[Expiration Date]])</f>
        <v>28-46142</v>
      </c>
      <c r="J1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Busan-ILN Busan-28-FALSO-FALSO-FALSO--46142</v>
      </c>
      <c r="K111" s="435" t="str">
        <f ca="1">IF(COUNTIF(J:J,Tableau119[[#This Row],[Plant-ILN-shipper-POL-Carrier-POD-PFI]])=1,"Non","Oui")</f>
        <v>Non</v>
      </c>
      <c r="L111" s="436" t="str">
        <f>VLOOKUP(Tableau119[[#This Row],[Name Site]],Plant_AILN!A:D,4,FALSE)</f>
        <v>TURKEY</v>
      </c>
      <c r="M111" s="285" t="s">
        <v>173</v>
      </c>
      <c r="N111" s="439">
        <f>VLOOKUP(Tableau119[[#This Row],[Name Site]],Plant_AILN!A:C,3,FALSE)</f>
        <v>90017000</v>
      </c>
      <c r="O111" s="55">
        <f>IF(Tableau119[[#This Row],[Name PFI/CDD]]="PFI VLL",2,VLOOKUP(Tableau119[[#This Row],[Compte Consignee]],Order!C:D,2,FALSE))</f>
        <v>7</v>
      </c>
      <c r="P111" s="116" t="s">
        <v>166</v>
      </c>
      <c r="Q111" s="365">
        <f>VLOOKUP(Tableau119[[#This Row],[Name ILN]],Plant_AILN!F:G,2,FALSE)</f>
        <v>95436</v>
      </c>
      <c r="R111" s="50">
        <f>VLOOKUP(Tableau119[[#This Row],[Compte ILN]],'DATA ILN'!D:I,6,FALSE)</f>
        <v>9</v>
      </c>
      <c r="S111" s="50" t="e">
        <f>IFERROR(VLOOKUP(Tableau119[[#This Row],[Key(Compte ILN - shipper - POL - plant)]],'DATA ILN'!A:J,10,FALSE),VLOOKUP(Tableau119[[#This Row],[Key(Compte ILN - shipper - POL)]],'DATA ILN'!B:J,9,FALSE))</f>
        <v>#N/A</v>
      </c>
      <c r="T111" s="50" t="e">
        <f>IFERROR(VLOOKUP(Tableau119[[#This Row],[Key(Compte ILN - shipper - POL - plant)]],'DATA ILN'!A:K,11,FALSE),VLOOKUP(Tableau119[[#This Row],[Key(Compte ILN - shipper - POL)]],'DATA ILN'!B:K,10,FALSE))</f>
        <v>#N/A</v>
      </c>
      <c r="U111" s="50" t="e">
        <f>IFERROR(VLOOKUP(Tableau119[[#This Row],[Key(Compte ILN - shipper - POL - plant)]],'DATA ILN'!A:L,12,FALSE),VLOOKUP(Tableau119[[#This Row],[Key(Compte ILN - shipper - POL)]],'DATA ILN'!B:L,11,FALSE))</f>
        <v>#N/A</v>
      </c>
      <c r="V111" s="50" t="e">
        <f>Tableau119[[#This Row],[Day ILN Order]]+Tableau119[[#This Row],[Delivery time to ILN/Shipper]]-1</f>
        <v>#N/A</v>
      </c>
      <c r="W111" s="50" t="e">
        <f>IFERROR(VLOOKUP(Tableau119[[#This Row],[Key(Compte ILN - shipper - POL - plant)]],'DATA ILN'!A:N,14,FALSE),VLOOKUP(Tableau119[[#This Row],[Key(Compte ILN - shipper - POL)]],'DATA ILN'!B:N,13,FALSE))</f>
        <v>#N/A</v>
      </c>
      <c r="X111" s="53" t="e">
        <f>IFERROR(VLOOKUP(Tableau119[[#This Row],[Key(Compte ILN - shipper - POL - plant)]],'DATA ILN'!A:P,16,FALSE),VLOOKUP(Tableau119[[#This Row],[Key(Compte ILN - shipper - POL)]],'DATA ILN'!B:P,15,FALSE))</f>
        <v>#N/A</v>
      </c>
      <c r="Y111" s="284" t="s">
        <v>166</v>
      </c>
      <c r="Z111" s="437">
        <f>IFERROR(VLOOKUP(Tableau119[[#This Row],[Name Shipper]],Plant_AILN!L:M,2,FALSE),0)</f>
        <v>95436</v>
      </c>
      <c r="AA111" s="406">
        <v>28</v>
      </c>
      <c r="AB111" s="396" t="b">
        <f>_xlfn.XLOOKUP(Tableau119[[#This Row],[Key(ID-date)]],'DATA BTO'!S:S,'DATA BTO'!E:E,FALSE)</f>
        <v>0</v>
      </c>
      <c r="AC111" s="3" t="b">
        <f>_xlfn.XLOOKUP(Tableau119[[#This Row],[Key(ID-date)]],'DATA BTO'!S:S,'DATA BTO'!F:F,FALSE)</f>
        <v>0</v>
      </c>
      <c r="AD111" s="50" t="b">
        <f>_xlfn.XLOOKUP(Tableau119[[#This Row],[Key(ID-date)]],'DATA BTO'!S:S,'DATA BTO'!G:G,FALSE)</f>
        <v>0</v>
      </c>
      <c r="AE111" s="50" t="b">
        <f>_xlfn.XLOOKUP(Tableau119[[#This Row],[Key(ID-date)]],'DATA BTO'!S:S,'DATA BTO'!H:H,FALSE)</f>
        <v>0</v>
      </c>
      <c r="AF111" s="50" t="e">
        <f>IF(Tableau119[[#This Row],[First Day to POL]]&lt;=Tableau119[[#This Row],[Day Cut Off]],Tableau119[[#This Row],[Day ETD]],Tableau119[[#This Row],[Day ETD]]+7)</f>
        <v>#N/A</v>
      </c>
      <c r="AG111" s="50" t="b">
        <f>_xlfn.XLOOKUP(Tableau119[[#This Row],[Key(ID-date)]],'DATA BTO'!S:S,'DATA BTO'!I:I,FALSE)</f>
        <v>0</v>
      </c>
      <c r="AH111" s="3" t="b">
        <f>_xlfn.XLOOKUP(Tableau119[[#This Row],[Key(ID-date)]],'DATA BTO'!S:S,'DATA BTO'!J:J,FALSE)</f>
        <v>0</v>
      </c>
      <c r="AI111" s="3" t="b">
        <f>_xlfn.XLOOKUP(Tableau119[[#This Row],[Key(ID-date)]],'DATA BTO'!S:S,'DATA BTO'!K:K,FALSE)</f>
        <v>0</v>
      </c>
      <c r="AJ111" s="50" t="b">
        <f>_xlfn.XLOOKUP(Tableau119[[#This Row],[Key(ID-date)]],'DATA BTO'!S:S,'DATA BTO'!L:L,FALSE)</f>
        <v>0</v>
      </c>
      <c r="AK111" s="53" t="b">
        <f>_xlfn.XLOOKUP(Tableau119[[#This Row],[Key(ID-date)]],'DATA BTO'!S:S,'DATA BTO'!N:N,FALSE)</f>
        <v>0</v>
      </c>
      <c r="AL111" s="54" t="e">
        <f>VLOOKUP(Tableau119[[#This Row],[Key(POD -PFI- Usine)]],'DATA Consignee'!A:F,6,FALSE)</f>
        <v>#N/A</v>
      </c>
      <c r="AM111" s="127"/>
      <c r="AN111" s="438" t="str">
        <f>IF(Tableau119[[#This Row],[Name PFI/CDD]]="","-",VLOOKUP(Tableau119[[#This Row],[Name PFI/CDD]],Plant_AILN!I:J,2,FALSE))</f>
        <v>-</v>
      </c>
      <c r="AO1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1" s="2" t="e">
        <f>VLOOKUP(Tableau119[[#This Row],[Key(POD -PFI- Usine)]],'DATA Consignee'!A:J,10,FALSE)</f>
        <v>#N/A</v>
      </c>
      <c r="AR111" s="50" t="e">
        <f>VLOOKUP(Tableau119[[#This Row],[Key(POD -PFI- Usine)]],'DATA Consignee'!A:N,14,FALSE)</f>
        <v>#N/A</v>
      </c>
      <c r="AS1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1" s="50">
        <f>Tableau119[[#This Row],[Transit time]]+Tableau119[[#This Row],[Time for security]]+Tableau119[[#This Row],[Time for security2 buffer]]</f>
        <v>0</v>
      </c>
      <c r="AV1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1" s="433" t="e">
        <f>Tableau119[[#This Row],[Leadtime SI2C]]+Tableau119[[#This Row],[First Receipt Days]]-Tableau119[[#This Row],[Day Customer Order]]+1</f>
        <v>#N/A</v>
      </c>
      <c r="AX111" s="119" t="e">
        <f>IF(Tableau119[[#This Row],[Name ILN]]&lt;&gt;"SFK Freight Forwarder",Tableau119[[#This Row],[Cust. Leadtime]],Tableau119[[#This Row],[Leadtime SI2C]])</f>
        <v>#N/A</v>
      </c>
      <c r="AY111" s="51" t="b">
        <f>_xlfn.XLOOKUP(Tableau119[[#This Row],[Key(ID-date)]],'DATA BTO'!S:S,'DATA BTO'!P:P,FALSE)</f>
        <v>0</v>
      </c>
      <c r="AZ111" s="338">
        <v>46142</v>
      </c>
      <c r="BA111" s="50"/>
    </row>
    <row r="112" spans="2:53">
      <c r="B112" s="474" t="str">
        <f>_xlfn.CONCAT(Tableau119[[#This Row],[Name ILN]],"-",Tableau119[[#This Row],[Name Shipper]],"-",Tableau119[[#This Row],[Name Site]])</f>
        <v>ILN Busan-ILN Busan-OYAK MONT</v>
      </c>
      <c r="C112" s="67" t="str">
        <f>_xlfn.CONCAT(Tableau119[[#This Row],[Compte ILN]],"-",Tableau119[[#This Row],[Compte Shipper]],"-",Tableau119[[#This Row],[POL]],"-",Tableau119[[#This Row],[Compte Consignee]])</f>
        <v>95436-95436-FALSO-90017000</v>
      </c>
      <c r="D112" s="66" t="str">
        <f>_xlfn.CONCAT(Tableau119[[#This Row],[Compte ILN]],"-",Tableau119[[#This Row],[Compte Shipper]],"-",Tableau119[[#This Row],[POL]])</f>
        <v>95436-95436-FALSO</v>
      </c>
      <c r="E112" s="434" t="str">
        <f>_xlfn.CONCAT(Tableau119[[#This Row],[POL]],"-",Tableau119[[#This Row],[Carrier]],"-",Tableau119[[#This Row],[POD]])</f>
        <v>FALSO-FALSO-FALSO</v>
      </c>
      <c r="F112" s="66" t="str">
        <f>_xlfn.CONCAT(Tableau119[[#This Row],[ID]],"-","Actif")</f>
        <v>28-Actif</v>
      </c>
      <c r="G112" s="66" t="str">
        <f>_xlfn.CONCAT(Tableau119[[#This Row],[POD]],"-",Tableau119[[#This Row],[Code PFI]],"-",Tableau119[[#This Row],[Compte Consignee]])</f>
        <v>FALSO---90017000</v>
      </c>
      <c r="H11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BusanFALSOOYAK MONT</v>
      </c>
      <c r="I112" s="434" t="str">
        <f>_xlfn.CONCAT(Tableau119[[#This Row],[ID]],"-",Tableau119[[#This Row],[Expiration Date]])</f>
        <v>28-45961</v>
      </c>
      <c r="J1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Busan-ILN Busan-28-FALSO-FALSO-FALSO--45961</v>
      </c>
      <c r="K112" s="435" t="str">
        <f ca="1">IF(COUNTIF(J:J,Tableau119[[#This Row],[Plant-ILN-shipper-POL-Carrier-POD-PFI]])=1,"Non","Oui")</f>
        <v>Non</v>
      </c>
      <c r="L112" s="128" t="str">
        <f>VLOOKUP(Tableau119[[#This Row],[Name Site]],Plant_AILN!A:D,4,FALSE)</f>
        <v>TURKEY</v>
      </c>
      <c r="M112" s="411" t="s">
        <v>173</v>
      </c>
      <c r="N112" s="439">
        <f>VLOOKUP(Tableau119[[#This Row],[Name Site]],Plant_AILN!A:C,3,FALSE)</f>
        <v>90017000</v>
      </c>
      <c r="O112" s="55">
        <f>VLOOKUP(Tableau119[[#This Row],[Compte Consignee]],Order!C:D,2,FALSE)</f>
        <v>7</v>
      </c>
      <c r="P112" s="116" t="s">
        <v>166</v>
      </c>
      <c r="Q112" s="365">
        <f>VLOOKUP(Tableau119[[#This Row],[Name ILN]],Plant_AILN!F:G,2,FALSE)</f>
        <v>95436</v>
      </c>
      <c r="R112" s="50">
        <f>VLOOKUP(Tableau119[[#This Row],[Compte ILN]],'DATA ILN'!D:I,6,FALSE)</f>
        <v>9</v>
      </c>
      <c r="S112" s="50" t="e">
        <f>IFERROR(VLOOKUP(Tableau119[[#This Row],[Key(Compte ILN - shipper - POL - plant)]],'DATA ILN'!A:J,10,FALSE),VLOOKUP(Tableau119[[#This Row],[Key(Compte ILN - shipper - POL)]],'DATA ILN'!B:J,9,FALSE))</f>
        <v>#N/A</v>
      </c>
      <c r="T112" s="50" t="e">
        <f>IFERROR(VLOOKUP(Tableau119[[#This Row],[Key(Compte ILN - shipper - POL - plant)]],'DATA ILN'!A:K,11,FALSE),VLOOKUP(Tableau119[[#This Row],[Key(Compte ILN - shipper - POL)]],'DATA ILN'!B:K,10,FALSE))</f>
        <v>#N/A</v>
      </c>
      <c r="U112" s="50" t="e">
        <f>IFERROR(VLOOKUP(Tableau119[[#This Row],[Key(Compte ILN - shipper - POL - plant)]],'DATA ILN'!A:L,12,FALSE),VLOOKUP(Tableau119[[#This Row],[Key(Compte ILN - shipper - POL)]],'DATA ILN'!B:L,11,FALSE))</f>
        <v>#N/A</v>
      </c>
      <c r="V112" s="50" t="e">
        <f>Tableau119[[#This Row],[Day ILN Order]]+Tableau119[[#This Row],[Delivery time to ILN/Shipper]]-1</f>
        <v>#N/A</v>
      </c>
      <c r="W112" s="50" t="e">
        <f>IFERROR(VLOOKUP(Tableau119[[#This Row],[Key(Compte ILN - shipper - POL - plant)]],'DATA ILN'!A:N,14,FALSE),VLOOKUP(Tableau119[[#This Row],[Key(Compte ILN - shipper - POL)]],'DATA ILN'!B:N,13,FALSE))</f>
        <v>#N/A</v>
      </c>
      <c r="X112" s="53" t="e">
        <f>IFERROR(VLOOKUP(Tableau119[[#This Row],[Key(Compte ILN - shipper - POL - plant)]],'DATA ILN'!A:P,16,FALSE),VLOOKUP(Tableau119[[#This Row],[Key(Compte ILN - shipper - POL)]],'DATA ILN'!B:P,15,FALSE))</f>
        <v>#N/A</v>
      </c>
      <c r="Y112" s="284" t="s">
        <v>166</v>
      </c>
      <c r="Z112" s="437">
        <f>IFERROR(VLOOKUP(Tableau119[[#This Row],[Name Shipper]],Plant_AILN!L:M,2,FALSE),0)</f>
        <v>95436</v>
      </c>
      <c r="AA112" s="406">
        <v>28</v>
      </c>
      <c r="AB112" s="396" t="b">
        <f>_xlfn.XLOOKUP(Tableau119[[#This Row],[Key(ID-date)]],'DATA BTO'!S:S,'DATA BTO'!E:E,FALSE)</f>
        <v>0</v>
      </c>
      <c r="AC112" s="3" t="b">
        <f>_xlfn.XLOOKUP(Tableau119[[#This Row],[Key(ID-date)]],'DATA BTO'!S:S,'DATA BTO'!F:F,FALSE)</f>
        <v>0</v>
      </c>
      <c r="AD112" s="50" t="b">
        <f>_xlfn.XLOOKUP(Tableau119[[#This Row],[Key(ID-date)]],'DATA BTO'!S:S,'DATA BTO'!G:G,FALSE)</f>
        <v>0</v>
      </c>
      <c r="AE112" s="50" t="b">
        <f>_xlfn.XLOOKUP(Tableau119[[#This Row],[Key(ID-date)]],'DATA BTO'!S:S,'DATA BTO'!H:H,FALSE)</f>
        <v>0</v>
      </c>
      <c r="AF112" s="50" t="e">
        <f>IF(Tableau119[[#This Row],[First Day to POL]]&lt;=Tableau119[[#This Row],[Day Cut Off]],Tableau119[[#This Row],[Day ETD]],Tableau119[[#This Row],[Day ETD]]+7)</f>
        <v>#N/A</v>
      </c>
      <c r="AG112" s="50" t="b">
        <f>_xlfn.XLOOKUP(Tableau119[[#This Row],[Key(ID-date)]],'DATA BTO'!S:S,'DATA BTO'!I:I,FALSE)</f>
        <v>0</v>
      </c>
      <c r="AH112" s="3" t="b">
        <f>_xlfn.XLOOKUP(Tableau119[[#This Row],[Key(ID-date)]],'DATA BTO'!S:S,'DATA BTO'!J:J,FALSE)</f>
        <v>0</v>
      </c>
      <c r="AI112" s="3" t="b">
        <f>_xlfn.XLOOKUP(Tableau119[[#This Row],[Key(ID-date)]],'DATA BTO'!S:S,'DATA BTO'!K:K,FALSE)</f>
        <v>0</v>
      </c>
      <c r="AJ112" s="50" t="b">
        <f>_xlfn.XLOOKUP(Tableau119[[#This Row],[Key(ID-date)]],'DATA BTO'!S:S,'DATA BTO'!L:L,FALSE)</f>
        <v>0</v>
      </c>
      <c r="AK112" s="53" t="b">
        <f>_xlfn.XLOOKUP(Tableau119[[#This Row],[Key(ID-date)]],'DATA BTO'!S:S,'DATA BTO'!N:N,FALSE)</f>
        <v>0</v>
      </c>
      <c r="AL112" s="54" t="e">
        <f>VLOOKUP(Tableau119[[#This Row],[Key(POD -PFI- Usine)]],'DATA Consignee'!A:F,6,FALSE)</f>
        <v>#N/A</v>
      </c>
      <c r="AM112" s="127"/>
      <c r="AN112" s="438" t="str">
        <f>IF(Tableau119[[#This Row],[Name PFI/CDD]]="","-",VLOOKUP(Tableau119[[#This Row],[Name PFI/CDD]],Plant_AILN!I:J,2,FALSE))</f>
        <v>-</v>
      </c>
      <c r="AO1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2" s="2" t="e">
        <f>VLOOKUP(Tableau119[[#This Row],[Key(POD -PFI- Usine)]],'DATA Consignee'!A:J,10,FALSE)</f>
        <v>#N/A</v>
      </c>
      <c r="AR112" s="50" t="e">
        <f>VLOOKUP(Tableau119[[#This Row],[Key(POD -PFI- Usine)]],'DATA Consignee'!A:N,14,FALSE)</f>
        <v>#N/A</v>
      </c>
      <c r="AS1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2" s="50">
        <f>Tableau119[[#This Row],[Transit time]]+Tableau119[[#This Row],[Time for security]]+Tableau119[[#This Row],[Time for security2 buffer]]</f>
        <v>0</v>
      </c>
      <c r="AV1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2" s="433" t="e">
        <f>Tableau119[[#This Row],[Leadtime SI2C]]+Tableau119[[#This Row],[First Receipt Days]]-Tableau119[[#This Row],[Day Customer Order]]+1</f>
        <v>#N/A</v>
      </c>
      <c r="AX112" s="119" t="e">
        <f>IF(Tableau119[[#This Row],[Name ILN]]&lt;&gt;"SFK Freight Forwarder",Tableau119[[#This Row],[Cust. Leadtime]],Tableau119[[#This Row],[Leadtime SI2C]])</f>
        <v>#N/A</v>
      </c>
      <c r="AY112" s="51" t="b">
        <f>_xlfn.XLOOKUP(Tableau119[[#This Row],[Key(ID-date)]],'DATA BTO'!S:S,'DATA BTO'!P:P,FALSE)</f>
        <v>0</v>
      </c>
      <c r="AZ112" s="338">
        <v>45961</v>
      </c>
      <c r="BA112" s="50"/>
    </row>
    <row r="113" spans="2:53">
      <c r="B113" s="474" t="str">
        <f>_xlfn.CONCAT(Tableau119[[#This Row],[Name ILN]],"-",Tableau119[[#This Row],[Name Shipper]],"-",Tableau119[[#This Row],[Name Site]])</f>
        <v>ILN Busan-ILN Busan-KARSAN</v>
      </c>
      <c r="C113" s="67" t="str">
        <f>_xlfn.CONCAT(Tableau119[[#This Row],[Compte ILN]],"-",Tableau119[[#This Row],[Compte Shipper]],"-",Tableau119[[#This Row],[POL]],"-",Tableau119[[#This Row],[Compte Consignee]])</f>
        <v>95436-95436-FALSO-90022000</v>
      </c>
      <c r="D113" s="66" t="str">
        <f>_xlfn.CONCAT(Tableau119[[#This Row],[Compte ILN]],"-",Tableau119[[#This Row],[Compte Shipper]],"-",Tableau119[[#This Row],[POL]])</f>
        <v>95436-95436-FALSO</v>
      </c>
      <c r="E113" s="434" t="str">
        <f>_xlfn.CONCAT(Tableau119[[#This Row],[POL]],"-",Tableau119[[#This Row],[Carrier]],"-",Tableau119[[#This Row],[POD]])</f>
        <v>FALSO-FALSO-FALSO</v>
      </c>
      <c r="F113" s="66" t="str">
        <f>_xlfn.CONCAT(Tableau119[[#This Row],[ID]],"-","Actif")</f>
        <v>28-Actif</v>
      </c>
      <c r="G113" s="66" t="str">
        <f>_xlfn.CONCAT(Tableau119[[#This Row],[POD]],"-",Tableau119[[#This Row],[Code PFI]],"-",Tableau119[[#This Row],[Compte Consignee]])</f>
        <v>FALSO---90022000</v>
      </c>
      <c r="H11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BusanFALSOKARSAN</v>
      </c>
      <c r="I113" s="434" t="str">
        <f>_xlfn.CONCAT(Tableau119[[#This Row],[ID]],"-",Tableau119[[#This Row],[Expiration Date]])</f>
        <v>28-45961</v>
      </c>
      <c r="J1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Busan-ILN Busan-28-FALSO-FALSO-FALSO--45961</v>
      </c>
      <c r="K113" s="435" t="str">
        <f ca="1">IF(COUNTIF(J:J,Tableau119[[#This Row],[Plant-ILN-shipper-POL-Carrier-POD-PFI]])=1,"Non","Oui")</f>
        <v>Non</v>
      </c>
      <c r="L113" s="128" t="str">
        <f>VLOOKUP(Tableau119[[#This Row],[Name Site]],Plant_AILN!A:D,4,FALSE)</f>
        <v>TURKEY</v>
      </c>
      <c r="M113" s="411" t="s">
        <v>235</v>
      </c>
      <c r="N113" s="439">
        <f>VLOOKUP(Tableau119[[#This Row],[Name Site]],Plant_AILN!A:C,3,FALSE)</f>
        <v>90022000</v>
      </c>
      <c r="O113" s="55">
        <f>VLOOKUP(Tableau119[[#This Row],[Compte Consignee]],Order!C:D,2,FALSE)</f>
        <v>7</v>
      </c>
      <c r="P113" s="116" t="s">
        <v>166</v>
      </c>
      <c r="Q113" s="365">
        <f>VLOOKUP(Tableau119[[#This Row],[Name ILN]],Plant_AILN!F:G,2,FALSE)</f>
        <v>95436</v>
      </c>
      <c r="R113" s="50">
        <f>VLOOKUP(Tableau119[[#This Row],[Compte ILN]],'DATA ILN'!D:I,6,FALSE)</f>
        <v>9</v>
      </c>
      <c r="S113" s="50" t="e">
        <f>IFERROR(VLOOKUP(Tableau119[[#This Row],[Key(Compte ILN - shipper - POL - plant)]],'DATA ILN'!A:J,10,FALSE),VLOOKUP(Tableau119[[#This Row],[Key(Compte ILN - shipper - POL)]],'DATA ILN'!B:J,9,FALSE))</f>
        <v>#N/A</v>
      </c>
      <c r="T113" s="50" t="e">
        <f>IFERROR(VLOOKUP(Tableau119[[#This Row],[Key(Compte ILN - shipper - POL - plant)]],'DATA ILN'!A:K,11,FALSE),VLOOKUP(Tableau119[[#This Row],[Key(Compte ILN - shipper - POL)]],'DATA ILN'!B:K,10,FALSE))</f>
        <v>#N/A</v>
      </c>
      <c r="U113" s="50" t="e">
        <f>IFERROR(VLOOKUP(Tableau119[[#This Row],[Key(Compte ILN - shipper - POL - plant)]],'DATA ILN'!A:L,12,FALSE),VLOOKUP(Tableau119[[#This Row],[Key(Compte ILN - shipper - POL)]],'DATA ILN'!B:L,11,FALSE))</f>
        <v>#N/A</v>
      </c>
      <c r="V113" s="50" t="e">
        <f>Tableau119[[#This Row],[Day ILN Order]]+Tableau119[[#This Row],[Delivery time to ILN/Shipper]]-1</f>
        <v>#N/A</v>
      </c>
      <c r="W113" s="50" t="e">
        <f>IFERROR(VLOOKUP(Tableau119[[#This Row],[Key(Compte ILN - shipper - POL - plant)]],'DATA ILN'!A:N,14,FALSE),VLOOKUP(Tableau119[[#This Row],[Key(Compte ILN - shipper - POL)]],'DATA ILN'!B:N,13,FALSE))</f>
        <v>#N/A</v>
      </c>
      <c r="X113" s="53" t="e">
        <f>IFERROR(VLOOKUP(Tableau119[[#This Row],[Key(Compte ILN - shipper - POL - plant)]],'DATA ILN'!A:P,16,FALSE),VLOOKUP(Tableau119[[#This Row],[Key(Compte ILN - shipper - POL)]],'DATA ILN'!B:P,15,FALSE))</f>
        <v>#N/A</v>
      </c>
      <c r="Y113" s="284" t="s">
        <v>166</v>
      </c>
      <c r="Z113" s="437">
        <f>IFERROR(VLOOKUP(Tableau119[[#This Row],[Name Shipper]],Plant_AILN!L:M,2,FALSE),0)</f>
        <v>95436</v>
      </c>
      <c r="AA113" s="406">
        <v>28</v>
      </c>
      <c r="AB113" s="396" t="b">
        <f>_xlfn.XLOOKUP(Tableau119[[#This Row],[Key(ID-date)]],'DATA BTO'!S:S,'DATA BTO'!E:E,FALSE)</f>
        <v>0</v>
      </c>
      <c r="AC113" s="3" t="b">
        <f>_xlfn.XLOOKUP(Tableau119[[#This Row],[Key(ID-date)]],'DATA BTO'!S:S,'DATA BTO'!F:F,FALSE)</f>
        <v>0</v>
      </c>
      <c r="AD113" s="50" t="b">
        <f>_xlfn.XLOOKUP(Tableau119[[#This Row],[Key(ID-date)]],'DATA BTO'!S:S,'DATA BTO'!G:G,FALSE)</f>
        <v>0</v>
      </c>
      <c r="AE113" s="50" t="b">
        <f>_xlfn.XLOOKUP(Tableau119[[#This Row],[Key(ID-date)]],'DATA BTO'!S:S,'DATA BTO'!H:H,FALSE)</f>
        <v>0</v>
      </c>
      <c r="AF113" s="50" t="e">
        <f>IF(Tableau119[[#This Row],[First Day to POL]]&lt;=Tableau119[[#This Row],[Day Cut Off]],Tableau119[[#This Row],[Day ETD]],Tableau119[[#This Row],[Day ETD]]+7)</f>
        <v>#N/A</v>
      </c>
      <c r="AG113" s="50" t="b">
        <f>_xlfn.XLOOKUP(Tableau119[[#This Row],[Key(ID-date)]],'DATA BTO'!S:S,'DATA BTO'!I:I,FALSE)</f>
        <v>0</v>
      </c>
      <c r="AH113" s="3" t="b">
        <f>_xlfn.XLOOKUP(Tableau119[[#This Row],[Key(ID-date)]],'DATA BTO'!S:S,'DATA BTO'!J:J,FALSE)</f>
        <v>0</v>
      </c>
      <c r="AI113" s="3" t="b">
        <f>_xlfn.XLOOKUP(Tableau119[[#This Row],[Key(ID-date)]],'DATA BTO'!S:S,'DATA BTO'!K:K,FALSE)</f>
        <v>0</v>
      </c>
      <c r="AJ113" s="50" t="b">
        <f>_xlfn.XLOOKUP(Tableau119[[#This Row],[Key(ID-date)]],'DATA BTO'!S:S,'DATA BTO'!L:L,FALSE)</f>
        <v>0</v>
      </c>
      <c r="AK113" s="53" t="b">
        <f>_xlfn.XLOOKUP(Tableau119[[#This Row],[Key(ID-date)]],'DATA BTO'!S:S,'DATA BTO'!N:N,FALSE)</f>
        <v>0</v>
      </c>
      <c r="AL113" s="54" t="e">
        <f>VLOOKUP(Tableau119[[#This Row],[Key(POD -PFI- Usine)]],'DATA Consignee'!A:F,6,FALSE)</f>
        <v>#N/A</v>
      </c>
      <c r="AM113" s="127"/>
      <c r="AN113" s="438" t="str">
        <f>IF(Tableau119[[#This Row],[Name PFI/CDD]]="","-",VLOOKUP(Tableau119[[#This Row],[Name PFI/CDD]],Plant_AILN!I:J,2,FALSE))</f>
        <v>-</v>
      </c>
      <c r="AO1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3" s="2" t="e">
        <f>VLOOKUP(Tableau119[[#This Row],[Key(POD -PFI- Usine)]],'DATA Consignee'!A:J,10,FALSE)</f>
        <v>#N/A</v>
      </c>
      <c r="AR113" s="50" t="e">
        <f>VLOOKUP(Tableau119[[#This Row],[Key(POD -PFI- Usine)]],'DATA Consignee'!A:N,14,FALSE)</f>
        <v>#N/A</v>
      </c>
      <c r="AS1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3" s="50">
        <f>Tableau119[[#This Row],[Transit time]]+Tableau119[[#This Row],[Time for security]]+Tableau119[[#This Row],[Time for security2 buffer]]</f>
        <v>0</v>
      </c>
      <c r="AV1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3" s="433" t="e">
        <f>Tableau119[[#This Row],[Leadtime SI2C]]+Tableau119[[#This Row],[First Receipt Days]]-Tableau119[[#This Row],[Day Customer Order]]+1</f>
        <v>#N/A</v>
      </c>
      <c r="AX113" s="119" t="e">
        <f>IF(Tableau119[[#This Row],[Name ILN]]&lt;&gt;"SFK Freight Forwarder",Tableau119[[#This Row],[Cust. Leadtime]],Tableau119[[#This Row],[Leadtime SI2C]])</f>
        <v>#N/A</v>
      </c>
      <c r="AY113" s="51" t="b">
        <f>_xlfn.XLOOKUP(Tableau119[[#This Row],[Key(ID-date)]],'DATA BTO'!S:S,'DATA BTO'!P:P,FALSE)</f>
        <v>0</v>
      </c>
      <c r="AZ113" s="338">
        <v>45961</v>
      </c>
      <c r="BA113" s="50"/>
    </row>
    <row r="114" spans="2:53">
      <c r="B114" s="474" t="str">
        <f>_xlfn.CONCAT(Tableau119[[#This Row],[Name ILN]],"-",Tableau119[[#This Row],[Name Shipper]],"-",Tableau119[[#This Row],[Name Site]])</f>
        <v>ILN Busan-ILN Busan-OYAK MONT</v>
      </c>
      <c r="C114" s="67" t="str">
        <f>_xlfn.CONCAT(Tableau119[[#This Row],[Compte ILN]],"-",Tableau119[[#This Row],[Compte Shipper]],"-",Tableau119[[#This Row],[POL]],"-",Tableau119[[#This Row],[Compte Consignee]])</f>
        <v>95436-95436-FALSO-90017000</v>
      </c>
      <c r="D114" s="66" t="str">
        <f>_xlfn.CONCAT(Tableau119[[#This Row],[Compte ILN]],"-",Tableau119[[#This Row],[Compte Shipper]],"-",Tableau119[[#This Row],[POL]])</f>
        <v>95436-95436-FALSO</v>
      </c>
      <c r="E114" s="434" t="str">
        <f>_xlfn.CONCAT(Tableau119[[#This Row],[POL]],"-",Tableau119[[#This Row],[Carrier]],"-",Tableau119[[#This Row],[POD]])</f>
        <v>FALSO-FALSO-FALSO</v>
      </c>
      <c r="F114" s="66" t="str">
        <f>_xlfn.CONCAT(Tableau119[[#This Row],[ID]],"-","Actif")</f>
        <v>28-Actif</v>
      </c>
      <c r="G114" s="66" t="str">
        <f>_xlfn.CONCAT(Tableau119[[#This Row],[POD]],"-",Tableau119[[#This Row],[Code PFI]],"-",Tableau119[[#This Row],[Compte Consignee]])</f>
        <v>FALSO---90017000</v>
      </c>
      <c r="H11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BusanFALSOOYAK MONT</v>
      </c>
      <c r="I114" s="434" t="str">
        <f>_xlfn.CONCAT(Tableau119[[#This Row],[ID]],"-",Tableau119[[#This Row],[Expiration Date]])</f>
        <v>28-45777</v>
      </c>
      <c r="J1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Busan-ILN Busan-28-FALSO-FALSO-FALSO--45777</v>
      </c>
      <c r="K114" s="435" t="str">
        <f ca="1">IF(COUNTIF(J:J,Tableau119[[#This Row],[Plant-ILN-shipper-POL-Carrier-POD-PFI]])=1,"Non","Oui")</f>
        <v>Non</v>
      </c>
      <c r="L114" s="128" t="str">
        <f>VLOOKUP(Tableau119[[#This Row],[Name Site]],Plant_AILN!A:D,4,FALSE)</f>
        <v>TURKEY</v>
      </c>
      <c r="M114" s="411" t="s">
        <v>173</v>
      </c>
      <c r="N114" s="439">
        <f>VLOOKUP(Tableau119[[#This Row],[Name Site]],Plant_AILN!A:C,3,FALSE)</f>
        <v>90017000</v>
      </c>
      <c r="O114" s="55">
        <f>VLOOKUP(Tableau119[[#This Row],[Compte Consignee]],Order!C:D,2,FALSE)</f>
        <v>7</v>
      </c>
      <c r="P114" s="116" t="s">
        <v>166</v>
      </c>
      <c r="Q114" s="365">
        <f>VLOOKUP(Tableau119[[#This Row],[Name ILN]],Plant_AILN!F:G,2,FALSE)</f>
        <v>95436</v>
      </c>
      <c r="R114" s="50">
        <f>VLOOKUP(Tableau119[[#This Row],[Compte ILN]],'DATA ILN'!D:I,6,FALSE)</f>
        <v>9</v>
      </c>
      <c r="S114" s="50" t="e">
        <f>IFERROR(VLOOKUP(Tableau119[[#This Row],[Key(Compte ILN - shipper - POL - plant)]],'DATA ILN'!A:J,10,FALSE),VLOOKUP(Tableau119[[#This Row],[Key(Compte ILN - shipper - POL)]],'DATA ILN'!B:J,9,FALSE))</f>
        <v>#N/A</v>
      </c>
      <c r="T114" s="50" t="e">
        <f>IFERROR(VLOOKUP(Tableau119[[#This Row],[Key(Compte ILN - shipper - POL - plant)]],'DATA ILN'!A:K,11,FALSE),VLOOKUP(Tableau119[[#This Row],[Key(Compte ILN - shipper - POL)]],'DATA ILN'!B:K,10,FALSE))</f>
        <v>#N/A</v>
      </c>
      <c r="U114" s="50" t="e">
        <f>IFERROR(VLOOKUP(Tableau119[[#This Row],[Key(Compte ILN - shipper - POL - plant)]],'DATA ILN'!A:L,12,FALSE),VLOOKUP(Tableau119[[#This Row],[Key(Compte ILN - shipper - POL)]],'DATA ILN'!B:L,11,FALSE))</f>
        <v>#N/A</v>
      </c>
      <c r="V114" s="50" t="e">
        <f>Tableau119[[#This Row],[Day ILN Order]]+Tableau119[[#This Row],[Delivery time to ILN/Shipper]]-1</f>
        <v>#N/A</v>
      </c>
      <c r="W114" s="50" t="e">
        <f>IFERROR(VLOOKUP(Tableau119[[#This Row],[Key(Compte ILN - shipper - POL - plant)]],'DATA ILN'!A:N,14,FALSE),VLOOKUP(Tableau119[[#This Row],[Key(Compte ILN - shipper - POL)]],'DATA ILN'!B:N,13,FALSE))</f>
        <v>#N/A</v>
      </c>
      <c r="X114" s="53" t="e">
        <f>IFERROR(VLOOKUP(Tableau119[[#This Row],[Key(Compte ILN - shipper - POL - plant)]],'DATA ILN'!A:P,16,FALSE),VLOOKUP(Tableau119[[#This Row],[Key(Compte ILN - shipper - POL)]],'DATA ILN'!B:P,15,FALSE))</f>
        <v>#N/A</v>
      </c>
      <c r="Y114" s="284" t="s">
        <v>166</v>
      </c>
      <c r="Z114" s="437">
        <f>IFERROR(VLOOKUP(Tableau119[[#This Row],[Name Shipper]],Plant_AILN!L:M,2,FALSE),0)</f>
        <v>95436</v>
      </c>
      <c r="AA114" s="406">
        <v>28</v>
      </c>
      <c r="AB114" s="396" t="b">
        <f>_xlfn.XLOOKUP(Tableau119[[#This Row],[Key(ID-date)]],'DATA BTO'!S:S,'DATA BTO'!E:E,FALSE)</f>
        <v>0</v>
      </c>
      <c r="AC114" s="3" t="b">
        <f>_xlfn.XLOOKUP(Tableau119[[#This Row],[Key(ID-date)]],'DATA BTO'!S:S,'DATA BTO'!F:F,FALSE)</f>
        <v>0</v>
      </c>
      <c r="AD114" s="50" t="b">
        <f>_xlfn.XLOOKUP(Tableau119[[#This Row],[Key(ID-date)]],'DATA BTO'!S:S,'DATA BTO'!G:G,FALSE)</f>
        <v>0</v>
      </c>
      <c r="AE114" s="50" t="b">
        <f>_xlfn.XLOOKUP(Tableau119[[#This Row],[Key(ID-date)]],'DATA BTO'!S:S,'DATA BTO'!H:H,FALSE)</f>
        <v>0</v>
      </c>
      <c r="AF114" s="50" t="e">
        <f>IF(Tableau119[[#This Row],[First Day to POL]]&lt;=Tableau119[[#This Row],[Day Cut Off]],Tableau119[[#This Row],[Day ETD]],Tableau119[[#This Row],[Day ETD]]+7)</f>
        <v>#N/A</v>
      </c>
      <c r="AG114" s="50" t="b">
        <f>_xlfn.XLOOKUP(Tableau119[[#This Row],[Key(ID-date)]],'DATA BTO'!S:S,'DATA BTO'!I:I,FALSE)</f>
        <v>0</v>
      </c>
      <c r="AH114" s="3" t="b">
        <f>_xlfn.XLOOKUP(Tableau119[[#This Row],[Key(ID-date)]],'DATA BTO'!S:S,'DATA BTO'!J:J,FALSE)</f>
        <v>0</v>
      </c>
      <c r="AI114" s="3" t="b">
        <f>_xlfn.XLOOKUP(Tableau119[[#This Row],[Key(ID-date)]],'DATA BTO'!S:S,'DATA BTO'!K:K,FALSE)</f>
        <v>0</v>
      </c>
      <c r="AJ114" s="50" t="b">
        <f>_xlfn.XLOOKUP(Tableau119[[#This Row],[Key(ID-date)]],'DATA BTO'!S:S,'DATA BTO'!L:L,FALSE)</f>
        <v>0</v>
      </c>
      <c r="AK114" s="53" t="b">
        <f>_xlfn.XLOOKUP(Tableau119[[#This Row],[Key(ID-date)]],'DATA BTO'!S:S,'DATA BTO'!N:N,FALSE)</f>
        <v>0</v>
      </c>
      <c r="AL114" s="54" t="e">
        <f>VLOOKUP(Tableau119[[#This Row],[Key(POD -PFI- Usine)]],'DATA Consignee'!A:F,6,FALSE)</f>
        <v>#N/A</v>
      </c>
      <c r="AM114" s="127"/>
      <c r="AN114" s="438" t="str">
        <f>IF(Tableau119[[#This Row],[Name PFI/CDD]]="","-",VLOOKUP(Tableau119[[#This Row],[Name PFI/CDD]],Plant_AILN!I:J,2,FALSE))</f>
        <v>-</v>
      </c>
      <c r="AO1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4" s="2" t="e">
        <f>VLOOKUP(Tableau119[[#This Row],[Key(POD -PFI- Usine)]],'DATA Consignee'!A:J,10,FALSE)</f>
        <v>#N/A</v>
      </c>
      <c r="AR114" s="50" t="e">
        <f>VLOOKUP(Tableau119[[#This Row],[Key(POD -PFI- Usine)]],'DATA Consignee'!A:N,14,FALSE)</f>
        <v>#N/A</v>
      </c>
      <c r="AS1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4" s="50">
        <f>Tableau119[[#This Row],[Transit time]]+Tableau119[[#This Row],[Time for security]]+Tableau119[[#This Row],[Time for security2 buffer]]</f>
        <v>0</v>
      </c>
      <c r="AV1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4" s="433" t="e">
        <f>Tableau119[[#This Row],[Leadtime SI2C]]+Tableau119[[#This Row],[First Receipt Days]]-Tableau119[[#This Row],[Day Customer Order]]+1</f>
        <v>#N/A</v>
      </c>
      <c r="AX114" s="119" t="e">
        <f>IF(Tableau119[[#This Row],[Name ILN]]&lt;&gt;"SFK Freight Forwarder",Tableau119[[#This Row],[Cust. Leadtime]],Tableau119[[#This Row],[Leadtime SI2C]])</f>
        <v>#N/A</v>
      </c>
      <c r="AY114" s="51" t="b">
        <f>_xlfn.XLOOKUP(Tableau119[[#This Row],[Key(ID-date)]],'DATA BTO'!S:S,'DATA BTO'!P:P,FALSE)</f>
        <v>0</v>
      </c>
      <c r="AZ114" s="338">
        <v>45777</v>
      </c>
      <c r="BA114" s="50"/>
    </row>
    <row r="115" spans="2:53">
      <c r="B115" s="474" t="str">
        <f>_xlfn.CONCAT(Tableau119[[#This Row],[Name ILN]],"-",Tableau119[[#This Row],[Name Shipper]],"-",Tableau119[[#This Row],[Name Site]])</f>
        <v>ILN Busan-ILN Busan-KARSAN</v>
      </c>
      <c r="C115" s="67" t="str">
        <f>_xlfn.CONCAT(Tableau119[[#This Row],[Compte ILN]],"-",Tableau119[[#This Row],[Compte Shipper]],"-",Tableau119[[#This Row],[POL]],"-",Tableau119[[#This Row],[Compte Consignee]])</f>
        <v>95436-95436-FALSO-90022000</v>
      </c>
      <c r="D115" s="66" t="str">
        <f>_xlfn.CONCAT(Tableau119[[#This Row],[Compte ILN]],"-",Tableau119[[#This Row],[Compte Shipper]],"-",Tableau119[[#This Row],[POL]])</f>
        <v>95436-95436-FALSO</v>
      </c>
      <c r="E115" s="434" t="str">
        <f>_xlfn.CONCAT(Tableau119[[#This Row],[POL]],"-",Tableau119[[#This Row],[Carrier]],"-",Tableau119[[#This Row],[POD]])</f>
        <v>FALSO-FALSO-FALSO</v>
      </c>
      <c r="F115" s="66" t="str">
        <f>_xlfn.CONCAT(Tableau119[[#This Row],[ID]],"-","Actif")</f>
        <v>28-Actif</v>
      </c>
      <c r="G115" s="66" t="str">
        <f>_xlfn.CONCAT(Tableau119[[#This Row],[POD]],"-",Tableau119[[#This Row],[Code PFI]],"-",Tableau119[[#This Row],[Compte Consignee]])</f>
        <v>FALSO---90022000</v>
      </c>
      <c r="H11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BusanFALSOKARSAN</v>
      </c>
      <c r="I115" s="434" t="str">
        <f>_xlfn.CONCAT(Tableau119[[#This Row],[ID]],"-",Tableau119[[#This Row],[Expiration Date]])</f>
        <v>28-45777</v>
      </c>
      <c r="J1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Busan-ILN Busan-28-FALSO-FALSO-FALSO--45777</v>
      </c>
      <c r="K115" s="435" t="str">
        <f ca="1">IF(COUNTIF(J:J,Tableau119[[#This Row],[Plant-ILN-shipper-POL-Carrier-POD-PFI]])=1,"Non","Oui")</f>
        <v>Non</v>
      </c>
      <c r="L115" s="128" t="str">
        <f>VLOOKUP(Tableau119[[#This Row],[Name Site]],Plant_AILN!A:D,4,FALSE)</f>
        <v>TURKEY</v>
      </c>
      <c r="M115" s="411" t="s">
        <v>235</v>
      </c>
      <c r="N115" s="439">
        <f>VLOOKUP(Tableau119[[#This Row],[Name Site]],Plant_AILN!A:C,3,FALSE)</f>
        <v>90022000</v>
      </c>
      <c r="O115" s="55">
        <f>VLOOKUP(Tableau119[[#This Row],[Compte Consignee]],Order!C:D,2,FALSE)</f>
        <v>7</v>
      </c>
      <c r="P115" s="116" t="s">
        <v>166</v>
      </c>
      <c r="Q115" s="365">
        <f>VLOOKUP(Tableau119[[#This Row],[Name ILN]],Plant_AILN!F:G,2,FALSE)</f>
        <v>95436</v>
      </c>
      <c r="R115" s="50">
        <f>VLOOKUP(Tableau119[[#This Row],[Compte ILN]],'DATA ILN'!D:I,6,FALSE)</f>
        <v>9</v>
      </c>
      <c r="S115" s="50" t="e">
        <f>IFERROR(VLOOKUP(Tableau119[[#This Row],[Key(Compte ILN - shipper - POL - plant)]],'DATA ILN'!A:J,10,FALSE),VLOOKUP(Tableau119[[#This Row],[Key(Compte ILN - shipper - POL)]],'DATA ILN'!B:J,9,FALSE))</f>
        <v>#N/A</v>
      </c>
      <c r="T115" s="50" t="e">
        <f>IFERROR(VLOOKUP(Tableau119[[#This Row],[Key(Compte ILN - shipper - POL - plant)]],'DATA ILN'!A:K,11,FALSE),VLOOKUP(Tableau119[[#This Row],[Key(Compte ILN - shipper - POL)]],'DATA ILN'!B:K,10,FALSE))</f>
        <v>#N/A</v>
      </c>
      <c r="U115" s="50" t="e">
        <f>IFERROR(VLOOKUP(Tableau119[[#This Row],[Key(Compte ILN - shipper - POL - plant)]],'DATA ILN'!A:L,12,FALSE),VLOOKUP(Tableau119[[#This Row],[Key(Compte ILN - shipper - POL)]],'DATA ILN'!B:L,11,FALSE))</f>
        <v>#N/A</v>
      </c>
      <c r="V115" s="50" t="e">
        <f>Tableau119[[#This Row],[Day ILN Order]]+Tableau119[[#This Row],[Delivery time to ILN/Shipper]]-1</f>
        <v>#N/A</v>
      </c>
      <c r="W115" s="50" t="e">
        <f>IFERROR(VLOOKUP(Tableau119[[#This Row],[Key(Compte ILN - shipper - POL - plant)]],'DATA ILN'!A:N,14,FALSE),VLOOKUP(Tableau119[[#This Row],[Key(Compte ILN - shipper - POL)]],'DATA ILN'!B:N,13,FALSE))</f>
        <v>#N/A</v>
      </c>
      <c r="X115" s="53" t="e">
        <f>IFERROR(VLOOKUP(Tableau119[[#This Row],[Key(Compte ILN - shipper - POL - plant)]],'DATA ILN'!A:P,16,FALSE),VLOOKUP(Tableau119[[#This Row],[Key(Compte ILN - shipper - POL)]],'DATA ILN'!B:P,15,FALSE))</f>
        <v>#N/A</v>
      </c>
      <c r="Y115" s="284" t="s">
        <v>166</v>
      </c>
      <c r="Z115" s="437">
        <f>IFERROR(VLOOKUP(Tableau119[[#This Row],[Name Shipper]],Plant_AILN!L:M,2,FALSE),0)</f>
        <v>95436</v>
      </c>
      <c r="AA115" s="406">
        <v>28</v>
      </c>
      <c r="AB115" s="396" t="b">
        <f>_xlfn.XLOOKUP(Tableau119[[#This Row],[Key(ID-date)]],'DATA BTO'!S:S,'DATA BTO'!E:E,FALSE)</f>
        <v>0</v>
      </c>
      <c r="AC115" s="3" t="b">
        <f>_xlfn.XLOOKUP(Tableau119[[#This Row],[Key(ID-date)]],'DATA BTO'!S:S,'DATA BTO'!F:F,FALSE)</f>
        <v>0</v>
      </c>
      <c r="AD115" s="50" t="b">
        <f>_xlfn.XLOOKUP(Tableau119[[#This Row],[Key(ID-date)]],'DATA BTO'!S:S,'DATA BTO'!G:G,FALSE)</f>
        <v>0</v>
      </c>
      <c r="AE115" s="50" t="b">
        <f>_xlfn.XLOOKUP(Tableau119[[#This Row],[Key(ID-date)]],'DATA BTO'!S:S,'DATA BTO'!H:H,FALSE)</f>
        <v>0</v>
      </c>
      <c r="AF115" s="50" t="e">
        <f>IF(Tableau119[[#This Row],[First Day to POL]]&lt;=Tableau119[[#This Row],[Day Cut Off]],Tableau119[[#This Row],[Day ETD]],Tableau119[[#This Row],[Day ETD]]+7)</f>
        <v>#N/A</v>
      </c>
      <c r="AG115" s="50" t="b">
        <f>_xlfn.XLOOKUP(Tableau119[[#This Row],[Key(ID-date)]],'DATA BTO'!S:S,'DATA BTO'!I:I,FALSE)</f>
        <v>0</v>
      </c>
      <c r="AH115" s="3" t="b">
        <f>_xlfn.XLOOKUP(Tableau119[[#This Row],[Key(ID-date)]],'DATA BTO'!S:S,'DATA BTO'!J:J,FALSE)</f>
        <v>0</v>
      </c>
      <c r="AI115" s="3" t="b">
        <f>_xlfn.XLOOKUP(Tableau119[[#This Row],[Key(ID-date)]],'DATA BTO'!S:S,'DATA BTO'!K:K,FALSE)</f>
        <v>0</v>
      </c>
      <c r="AJ115" s="50" t="b">
        <f>_xlfn.XLOOKUP(Tableau119[[#This Row],[Key(ID-date)]],'DATA BTO'!S:S,'DATA BTO'!L:L,FALSE)</f>
        <v>0</v>
      </c>
      <c r="AK115" s="53" t="b">
        <f>_xlfn.XLOOKUP(Tableau119[[#This Row],[Key(ID-date)]],'DATA BTO'!S:S,'DATA BTO'!N:N,FALSE)</f>
        <v>0</v>
      </c>
      <c r="AL115" s="54" t="e">
        <f>VLOOKUP(Tableau119[[#This Row],[Key(POD -PFI- Usine)]],'DATA Consignee'!A:F,6,FALSE)</f>
        <v>#N/A</v>
      </c>
      <c r="AM115" s="127"/>
      <c r="AN115" s="438" t="str">
        <f>IF(Tableau119[[#This Row],[Name PFI/CDD]]="","-",VLOOKUP(Tableau119[[#This Row],[Name PFI/CDD]],Plant_AILN!I:J,2,FALSE))</f>
        <v>-</v>
      </c>
      <c r="AO1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5" s="2" t="e">
        <f>VLOOKUP(Tableau119[[#This Row],[Key(POD -PFI- Usine)]],'DATA Consignee'!A:J,10,FALSE)</f>
        <v>#N/A</v>
      </c>
      <c r="AR115" s="50" t="e">
        <f>VLOOKUP(Tableau119[[#This Row],[Key(POD -PFI- Usine)]],'DATA Consignee'!A:N,14,FALSE)</f>
        <v>#N/A</v>
      </c>
      <c r="AS1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5" s="50">
        <f>Tableau119[[#This Row],[Transit time]]+Tableau119[[#This Row],[Time for security]]+Tableau119[[#This Row],[Time for security2 buffer]]</f>
        <v>0</v>
      </c>
      <c r="AV1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5" s="433" t="e">
        <f>Tableau119[[#This Row],[Leadtime SI2C]]+Tableau119[[#This Row],[First Receipt Days]]-Tableau119[[#This Row],[Day Customer Order]]+1</f>
        <v>#N/A</v>
      </c>
      <c r="AX115" s="119" t="e">
        <f>IF(Tableau119[[#This Row],[Name ILN]]&lt;&gt;"SFK Freight Forwarder",Tableau119[[#This Row],[Cust. Leadtime]],Tableau119[[#This Row],[Leadtime SI2C]])</f>
        <v>#N/A</v>
      </c>
      <c r="AY115" s="51" t="b">
        <f>_xlfn.XLOOKUP(Tableau119[[#This Row],[Key(ID-date)]],'DATA BTO'!S:S,'DATA BTO'!P:P,FALSE)</f>
        <v>0</v>
      </c>
      <c r="AZ115" s="338">
        <v>45777</v>
      </c>
      <c r="BA115" s="50"/>
    </row>
    <row r="116" spans="2:53">
      <c r="B116" s="474" t="str">
        <f>_xlfn.CONCAT(Tableau119[[#This Row],[Name ILN]],"-",Tableau119[[#This Row],[Name Shipper]],"-",Tableau119[[#This Row],[Name Site]])</f>
        <v>ILN Busan-ILN Busan-OYAK MONT</v>
      </c>
      <c r="C116" s="67" t="str">
        <f>_xlfn.CONCAT(Tableau119[[#This Row],[Compte ILN]],"-",Tableau119[[#This Row],[Compte Shipper]],"-",Tableau119[[#This Row],[POL]],"-",Tableau119[[#This Row],[Compte Consignee]])</f>
        <v>95436-95436-FALSO-90017000</v>
      </c>
      <c r="D116" s="66" t="str">
        <f>_xlfn.CONCAT(Tableau119[[#This Row],[Compte ILN]],"-",Tableau119[[#This Row],[Compte Shipper]],"-",Tableau119[[#This Row],[POL]])</f>
        <v>95436-95436-FALSO</v>
      </c>
      <c r="E116" s="434" t="str">
        <f>_xlfn.CONCAT(Tableau119[[#This Row],[POL]],"-",Tableau119[[#This Row],[Carrier]],"-",Tableau119[[#This Row],[POD]])</f>
        <v>FALSO-FALSO-FALSO</v>
      </c>
      <c r="F116" s="66" t="str">
        <f>_xlfn.CONCAT(Tableau119[[#This Row],[ID]],"-","Actif")</f>
        <v>28-Actif</v>
      </c>
      <c r="G116" s="66" t="str">
        <f>_xlfn.CONCAT(Tableau119[[#This Row],[POD]],"-",Tableau119[[#This Row],[Code PFI]],"-",Tableau119[[#This Row],[Compte Consignee]])</f>
        <v>FALSO---90017000</v>
      </c>
      <c r="H11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BusanFALSOOYAK MONT</v>
      </c>
      <c r="I116" s="434" t="str">
        <f>_xlfn.CONCAT(Tableau119[[#This Row],[ID]],"-",Tableau119[[#This Row],[Expiration Date]])</f>
        <v>28-45473</v>
      </c>
      <c r="J1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Busan-ILN Busan-28-FALSO-FALSO-FALSO--45473</v>
      </c>
      <c r="K116" s="435" t="str">
        <f ca="1">IF(COUNTIF(J:J,Tableau119[[#This Row],[Plant-ILN-shipper-POL-Carrier-POD-PFI]])=1,"Non","Oui")</f>
        <v>Non</v>
      </c>
      <c r="L116" s="128" t="str">
        <f>VLOOKUP(Tableau119[[#This Row],[Name Site]],Plant_AILN!A:D,4,FALSE)</f>
        <v>TURKEY</v>
      </c>
      <c r="M116" s="411" t="s">
        <v>173</v>
      </c>
      <c r="N116" s="439">
        <f>VLOOKUP(Tableau119[[#This Row],[Name Site]],Plant_AILN!A:C,3,FALSE)</f>
        <v>90017000</v>
      </c>
      <c r="O116" s="55">
        <f>VLOOKUP(Tableau119[[#This Row],[Compte Consignee]],Order!C:D,2,FALSE)</f>
        <v>7</v>
      </c>
      <c r="P116" s="116" t="s">
        <v>166</v>
      </c>
      <c r="Q116" s="365">
        <f>VLOOKUP(Tableau119[[#This Row],[Name ILN]],Plant_AILN!F:G,2,FALSE)</f>
        <v>95436</v>
      </c>
      <c r="R116" s="50">
        <f>VLOOKUP(Tableau119[[#This Row],[Compte ILN]],'DATA ILN'!D:I,6,FALSE)</f>
        <v>9</v>
      </c>
      <c r="S116" s="50" t="e">
        <f>IFERROR(VLOOKUP(Tableau119[[#This Row],[Key(Compte ILN - shipper - POL - plant)]],'DATA ILN'!A:J,10,FALSE),VLOOKUP(Tableau119[[#This Row],[Key(Compte ILN - shipper - POL)]],'DATA ILN'!B:J,9,FALSE))</f>
        <v>#N/A</v>
      </c>
      <c r="T116" s="50" t="e">
        <f>IFERROR(VLOOKUP(Tableau119[[#This Row],[Key(Compte ILN - shipper - POL - plant)]],'DATA ILN'!A:K,11,FALSE),VLOOKUP(Tableau119[[#This Row],[Key(Compte ILN - shipper - POL)]],'DATA ILN'!B:K,10,FALSE))</f>
        <v>#N/A</v>
      </c>
      <c r="U116" s="50" t="e">
        <f>IFERROR(VLOOKUP(Tableau119[[#This Row],[Key(Compte ILN - shipper - POL - plant)]],'DATA ILN'!A:L,12,FALSE),VLOOKUP(Tableau119[[#This Row],[Key(Compte ILN - shipper - POL)]],'DATA ILN'!B:L,11,FALSE))</f>
        <v>#N/A</v>
      </c>
      <c r="V116" s="50" t="e">
        <f>Tableau119[[#This Row],[Day ILN Order]]+Tableau119[[#This Row],[Delivery time to ILN/Shipper]]-1</f>
        <v>#N/A</v>
      </c>
      <c r="W116" s="50" t="e">
        <f>IFERROR(VLOOKUP(Tableau119[[#This Row],[Key(Compte ILN - shipper - POL - plant)]],'DATA ILN'!A:N,14,FALSE),VLOOKUP(Tableau119[[#This Row],[Key(Compte ILN - shipper - POL)]],'DATA ILN'!B:N,13,FALSE))</f>
        <v>#N/A</v>
      </c>
      <c r="X116" s="53" t="e">
        <f>IFERROR(VLOOKUP(Tableau119[[#This Row],[Key(Compte ILN - shipper - POL - plant)]],'DATA ILN'!A:P,16,FALSE),VLOOKUP(Tableau119[[#This Row],[Key(Compte ILN - shipper - POL)]],'DATA ILN'!B:P,15,FALSE))</f>
        <v>#N/A</v>
      </c>
      <c r="Y116" s="284" t="s">
        <v>166</v>
      </c>
      <c r="Z116" s="437">
        <f>IFERROR(VLOOKUP(Tableau119[[#This Row],[Name Shipper]],Plant_AILN!L:M,2,FALSE),0)</f>
        <v>95436</v>
      </c>
      <c r="AA116" s="406">
        <v>28</v>
      </c>
      <c r="AB116" s="396" t="b">
        <f>_xlfn.XLOOKUP(Tableau119[[#This Row],[Key(ID-date)]],'DATA BTO'!S:S,'DATA BTO'!E:E,FALSE)</f>
        <v>0</v>
      </c>
      <c r="AC116" s="3" t="b">
        <f>_xlfn.XLOOKUP(Tableau119[[#This Row],[Key(ID-date)]],'DATA BTO'!S:S,'DATA BTO'!F:F,FALSE)</f>
        <v>0</v>
      </c>
      <c r="AD116" s="50" t="b">
        <f>_xlfn.XLOOKUP(Tableau119[[#This Row],[Key(ID-date)]],'DATA BTO'!S:S,'DATA BTO'!G:G,FALSE)</f>
        <v>0</v>
      </c>
      <c r="AE116" s="50" t="b">
        <f>_xlfn.XLOOKUP(Tableau119[[#This Row],[Key(ID-date)]],'DATA BTO'!S:S,'DATA BTO'!H:H,FALSE)</f>
        <v>0</v>
      </c>
      <c r="AF116" s="50" t="e">
        <f>IF(Tableau119[[#This Row],[First Day to POL]]&lt;=Tableau119[[#This Row],[Day Cut Off]],Tableau119[[#This Row],[Day ETD]],Tableau119[[#This Row],[Day ETD]]+7)</f>
        <v>#N/A</v>
      </c>
      <c r="AG116" s="50" t="b">
        <f>_xlfn.XLOOKUP(Tableau119[[#This Row],[Key(ID-date)]],'DATA BTO'!S:S,'DATA BTO'!I:I,FALSE)</f>
        <v>0</v>
      </c>
      <c r="AH116" s="3" t="b">
        <f>_xlfn.XLOOKUP(Tableau119[[#This Row],[Key(ID-date)]],'DATA BTO'!S:S,'DATA BTO'!J:J,FALSE)</f>
        <v>0</v>
      </c>
      <c r="AI116" s="3" t="b">
        <f>_xlfn.XLOOKUP(Tableau119[[#This Row],[Key(ID-date)]],'DATA BTO'!S:S,'DATA BTO'!K:K,FALSE)</f>
        <v>0</v>
      </c>
      <c r="AJ116" s="50" t="b">
        <f>_xlfn.XLOOKUP(Tableau119[[#This Row],[Key(ID-date)]],'DATA BTO'!S:S,'DATA BTO'!L:L,FALSE)</f>
        <v>0</v>
      </c>
      <c r="AK116" s="53" t="b">
        <f>_xlfn.XLOOKUP(Tableau119[[#This Row],[Key(ID-date)]],'DATA BTO'!S:S,'DATA BTO'!N:N,FALSE)</f>
        <v>0</v>
      </c>
      <c r="AL116" s="54" t="e">
        <f>VLOOKUP(Tableau119[[#This Row],[Key(POD -PFI- Usine)]],'DATA Consignee'!A:F,6,FALSE)</f>
        <v>#N/A</v>
      </c>
      <c r="AM116" s="127"/>
      <c r="AN116" s="438" t="str">
        <f>IF(Tableau119[[#This Row],[Name PFI/CDD]]="","-",VLOOKUP(Tableau119[[#This Row],[Name PFI/CDD]],Plant_AILN!I:J,2,FALSE))</f>
        <v>-</v>
      </c>
      <c r="AO1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6" s="2" t="e">
        <f>VLOOKUP(Tableau119[[#This Row],[Key(POD -PFI- Usine)]],'DATA Consignee'!A:J,10,FALSE)</f>
        <v>#N/A</v>
      </c>
      <c r="AR116" s="50" t="e">
        <f>VLOOKUP(Tableau119[[#This Row],[Key(POD -PFI- Usine)]],'DATA Consignee'!A:N,14,FALSE)</f>
        <v>#N/A</v>
      </c>
      <c r="AS1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6" s="50">
        <f>Tableau119[[#This Row],[Transit time]]+Tableau119[[#This Row],[Time for security]]+Tableau119[[#This Row],[Time for security2 buffer]]</f>
        <v>0</v>
      </c>
      <c r="AV1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6" s="433" t="e">
        <f>Tableau119[[#This Row],[Leadtime SI2C]]+Tableau119[[#This Row],[First Receipt Days]]-Tableau119[[#This Row],[Day Customer Order]]+1</f>
        <v>#N/A</v>
      </c>
      <c r="AX116" s="119" t="e">
        <f>IF(Tableau119[[#This Row],[Name ILN]]&lt;&gt;"SFK Freight Forwarder",Tableau119[[#This Row],[Cust. Leadtime]],Tableau119[[#This Row],[Leadtime SI2C]])</f>
        <v>#N/A</v>
      </c>
      <c r="AY116" s="51" t="b">
        <f>_xlfn.XLOOKUP(Tableau119[[#This Row],[Key(ID-date)]],'DATA BTO'!S:S,'DATA BTO'!P:P,FALSE)</f>
        <v>0</v>
      </c>
      <c r="AZ116" s="338">
        <v>45473</v>
      </c>
      <c r="BA116" s="50"/>
    </row>
    <row r="117" spans="2:53">
      <c r="B117" s="474" t="str">
        <f>_xlfn.CONCAT(Tableau119[[#This Row],[Name ILN]],"-",Tableau119[[#This Row],[Name Shipper]],"-",Tableau119[[#This Row],[Name Site]])</f>
        <v>ILN Busan-ILN Busan-KARSAN</v>
      </c>
      <c r="C117" s="67" t="str">
        <f>_xlfn.CONCAT(Tableau119[[#This Row],[Compte ILN]],"-",Tableau119[[#This Row],[Compte Shipper]],"-",Tableau119[[#This Row],[POL]],"-",Tableau119[[#This Row],[Compte Consignee]])</f>
        <v>95436-95436-FALSO-90022000</v>
      </c>
      <c r="D117" s="66" t="str">
        <f>_xlfn.CONCAT(Tableau119[[#This Row],[Compte ILN]],"-",Tableau119[[#This Row],[Compte Shipper]],"-",Tableau119[[#This Row],[POL]])</f>
        <v>95436-95436-FALSO</v>
      </c>
      <c r="E117" s="434" t="str">
        <f>_xlfn.CONCAT(Tableau119[[#This Row],[POL]],"-",Tableau119[[#This Row],[Carrier]],"-",Tableau119[[#This Row],[POD]])</f>
        <v>FALSO-FALSO-FALSO</v>
      </c>
      <c r="F117" s="66" t="str">
        <f>_xlfn.CONCAT(Tableau119[[#This Row],[ID]],"-","Actif")</f>
        <v>28-Actif</v>
      </c>
      <c r="G117" s="66" t="str">
        <f>_xlfn.CONCAT(Tableau119[[#This Row],[POD]],"-",Tableau119[[#This Row],[Code PFI]],"-",Tableau119[[#This Row],[Compte Consignee]])</f>
        <v>FALSO---90022000</v>
      </c>
      <c r="H11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BusanFALSOKARSAN</v>
      </c>
      <c r="I117" s="434" t="str">
        <f>_xlfn.CONCAT(Tableau119[[#This Row],[ID]],"-",Tableau119[[#This Row],[Expiration Date]])</f>
        <v>28-45473</v>
      </c>
      <c r="J1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Busan-ILN Busan-28-FALSO-FALSO-FALSO--45473</v>
      </c>
      <c r="K117" s="435" t="str">
        <f ca="1">IF(COUNTIF(J:J,Tableau119[[#This Row],[Plant-ILN-shipper-POL-Carrier-POD-PFI]])=1,"Non","Oui")</f>
        <v>Non</v>
      </c>
      <c r="L117" s="128" t="str">
        <f>VLOOKUP(Tableau119[[#This Row],[Name Site]],Plant_AILN!A:D,4,FALSE)</f>
        <v>TURKEY</v>
      </c>
      <c r="M117" s="411" t="s">
        <v>235</v>
      </c>
      <c r="N117" s="439">
        <f>VLOOKUP(Tableau119[[#This Row],[Name Site]],Plant_AILN!A:C,3,FALSE)</f>
        <v>90022000</v>
      </c>
      <c r="O117" s="55">
        <f>VLOOKUP(Tableau119[[#This Row],[Compte Consignee]],Order!C:D,2,FALSE)</f>
        <v>7</v>
      </c>
      <c r="P117" s="116" t="s">
        <v>166</v>
      </c>
      <c r="Q117" s="365">
        <f>VLOOKUP(Tableau119[[#This Row],[Name ILN]],Plant_AILN!F:G,2,FALSE)</f>
        <v>95436</v>
      </c>
      <c r="R117" s="50">
        <f>VLOOKUP(Tableau119[[#This Row],[Compte ILN]],'DATA ILN'!D:I,6,FALSE)</f>
        <v>9</v>
      </c>
      <c r="S117" s="50" t="e">
        <f>IFERROR(VLOOKUP(Tableau119[[#This Row],[Key(Compte ILN - shipper - POL - plant)]],'DATA ILN'!A:J,10,FALSE),VLOOKUP(Tableau119[[#This Row],[Key(Compte ILN - shipper - POL)]],'DATA ILN'!B:J,9,FALSE))</f>
        <v>#N/A</v>
      </c>
      <c r="T117" s="50" t="e">
        <f>IFERROR(VLOOKUP(Tableau119[[#This Row],[Key(Compte ILN - shipper - POL - plant)]],'DATA ILN'!A:K,11,FALSE),VLOOKUP(Tableau119[[#This Row],[Key(Compte ILN - shipper - POL)]],'DATA ILN'!B:K,10,FALSE))</f>
        <v>#N/A</v>
      </c>
      <c r="U117" s="50" t="e">
        <f>IFERROR(VLOOKUP(Tableau119[[#This Row],[Key(Compte ILN - shipper - POL - plant)]],'DATA ILN'!A:L,12,FALSE),VLOOKUP(Tableau119[[#This Row],[Key(Compte ILN - shipper - POL)]],'DATA ILN'!B:L,11,FALSE))</f>
        <v>#N/A</v>
      </c>
      <c r="V117" s="50" t="e">
        <f>Tableau119[[#This Row],[Day ILN Order]]+Tableau119[[#This Row],[Delivery time to ILN/Shipper]]-1</f>
        <v>#N/A</v>
      </c>
      <c r="W117" s="50" t="e">
        <f>IFERROR(VLOOKUP(Tableau119[[#This Row],[Key(Compte ILN - shipper - POL - plant)]],'DATA ILN'!A:N,14,FALSE),VLOOKUP(Tableau119[[#This Row],[Key(Compte ILN - shipper - POL)]],'DATA ILN'!B:N,13,FALSE))</f>
        <v>#N/A</v>
      </c>
      <c r="X117" s="53" t="e">
        <f>IFERROR(VLOOKUP(Tableau119[[#This Row],[Key(Compte ILN - shipper - POL - plant)]],'DATA ILN'!A:P,16,FALSE),VLOOKUP(Tableau119[[#This Row],[Key(Compte ILN - shipper - POL)]],'DATA ILN'!B:P,15,FALSE))</f>
        <v>#N/A</v>
      </c>
      <c r="Y117" s="284" t="s">
        <v>166</v>
      </c>
      <c r="Z117" s="437">
        <f>IFERROR(VLOOKUP(Tableau119[[#This Row],[Name Shipper]],Plant_AILN!L:M,2,FALSE),0)</f>
        <v>95436</v>
      </c>
      <c r="AA117" s="406">
        <v>28</v>
      </c>
      <c r="AB117" s="396" t="b">
        <f>_xlfn.XLOOKUP(Tableau119[[#This Row],[Key(ID-date)]],'DATA BTO'!S:S,'DATA BTO'!E:E,FALSE)</f>
        <v>0</v>
      </c>
      <c r="AC117" s="3" t="b">
        <f>_xlfn.XLOOKUP(Tableau119[[#This Row],[Key(ID-date)]],'DATA BTO'!S:S,'DATA BTO'!F:F,FALSE)</f>
        <v>0</v>
      </c>
      <c r="AD117" s="50" t="b">
        <f>_xlfn.XLOOKUP(Tableau119[[#This Row],[Key(ID-date)]],'DATA BTO'!S:S,'DATA BTO'!G:G,FALSE)</f>
        <v>0</v>
      </c>
      <c r="AE117" s="50" t="b">
        <f>_xlfn.XLOOKUP(Tableau119[[#This Row],[Key(ID-date)]],'DATA BTO'!S:S,'DATA BTO'!H:H,FALSE)</f>
        <v>0</v>
      </c>
      <c r="AF117" s="50" t="e">
        <f>IF(Tableau119[[#This Row],[First Day to POL]]&lt;=Tableau119[[#This Row],[Day Cut Off]],Tableau119[[#This Row],[Day ETD]],Tableau119[[#This Row],[Day ETD]]+7)</f>
        <v>#N/A</v>
      </c>
      <c r="AG117" s="50" t="b">
        <f>_xlfn.XLOOKUP(Tableau119[[#This Row],[Key(ID-date)]],'DATA BTO'!S:S,'DATA BTO'!I:I,FALSE)</f>
        <v>0</v>
      </c>
      <c r="AH117" s="3" t="b">
        <f>_xlfn.XLOOKUP(Tableau119[[#This Row],[Key(ID-date)]],'DATA BTO'!S:S,'DATA BTO'!J:J,FALSE)</f>
        <v>0</v>
      </c>
      <c r="AI117" s="3" t="b">
        <f>_xlfn.XLOOKUP(Tableau119[[#This Row],[Key(ID-date)]],'DATA BTO'!S:S,'DATA BTO'!K:K,FALSE)</f>
        <v>0</v>
      </c>
      <c r="AJ117" s="50" t="b">
        <f>_xlfn.XLOOKUP(Tableau119[[#This Row],[Key(ID-date)]],'DATA BTO'!S:S,'DATA BTO'!L:L,FALSE)</f>
        <v>0</v>
      </c>
      <c r="AK117" s="53" t="b">
        <f>_xlfn.XLOOKUP(Tableau119[[#This Row],[Key(ID-date)]],'DATA BTO'!S:S,'DATA BTO'!N:N,FALSE)</f>
        <v>0</v>
      </c>
      <c r="AL117" s="54" t="e">
        <f>VLOOKUP(Tableau119[[#This Row],[Key(POD -PFI- Usine)]],'DATA Consignee'!A:F,6,FALSE)</f>
        <v>#N/A</v>
      </c>
      <c r="AM117" s="127"/>
      <c r="AN117" s="438" t="str">
        <f>IF(Tableau119[[#This Row],[Name PFI/CDD]]="","-",VLOOKUP(Tableau119[[#This Row],[Name PFI/CDD]],Plant_AILN!I:J,2,FALSE))</f>
        <v>-</v>
      </c>
      <c r="AO1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7" s="2" t="e">
        <f>VLOOKUP(Tableau119[[#This Row],[Key(POD -PFI- Usine)]],'DATA Consignee'!A:J,10,FALSE)</f>
        <v>#N/A</v>
      </c>
      <c r="AR117" s="50" t="e">
        <f>VLOOKUP(Tableau119[[#This Row],[Key(POD -PFI- Usine)]],'DATA Consignee'!A:N,14,FALSE)</f>
        <v>#N/A</v>
      </c>
      <c r="AS1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7" s="50">
        <f>Tableau119[[#This Row],[Transit time]]+Tableau119[[#This Row],[Time for security]]+Tableau119[[#This Row],[Time for security2 buffer]]</f>
        <v>0</v>
      </c>
      <c r="AV1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7" s="433" t="e">
        <f>Tableau119[[#This Row],[Leadtime SI2C]]+Tableau119[[#This Row],[First Receipt Days]]-Tableau119[[#This Row],[Day Customer Order]]+1</f>
        <v>#N/A</v>
      </c>
      <c r="AX117" s="119" t="e">
        <f>IF(Tableau119[[#This Row],[Name ILN]]&lt;&gt;"SFK Freight Forwarder",Tableau119[[#This Row],[Cust. Leadtime]],Tableau119[[#This Row],[Leadtime SI2C]])</f>
        <v>#N/A</v>
      </c>
      <c r="AY117" s="51" t="b">
        <f>_xlfn.XLOOKUP(Tableau119[[#This Row],[Key(ID-date)]],'DATA BTO'!S:S,'DATA BTO'!P:P,FALSE)</f>
        <v>0</v>
      </c>
      <c r="AZ117" s="338">
        <v>45473</v>
      </c>
      <c r="BA117" s="50"/>
    </row>
    <row r="118" spans="2:53">
      <c r="B118" s="67" t="str">
        <f>_xlfn.CONCAT(Tableau119[[#This Row],[Name ILN]],"-",Tableau119[[#This Row],[Name Shipper]],"-",Tableau119[[#This Row],[Name Site]])</f>
        <v>ILN Busan-ILN Busan-DOUAI</v>
      </c>
      <c r="C118" s="67" t="str">
        <f>_xlfn.CONCAT(Tableau119[[#This Row],[Compte ILN]],"-",Tableau119[[#This Row],[Compte Shipper]],"-",Tableau119[[#This Row],[POL]],"-",Tableau119[[#This Row],[Compte Consignee]])</f>
        <v>95436-95436-FALSO-90019100</v>
      </c>
      <c r="D118" s="66" t="str">
        <f>_xlfn.CONCAT(Tableau119[[#This Row],[Compte ILN]],"-",Tableau119[[#This Row],[Compte Shipper]],"-",Tableau119[[#This Row],[POL]])</f>
        <v>95436-95436-FALSO</v>
      </c>
      <c r="E118" s="434" t="str">
        <f>_xlfn.CONCAT(Tableau119[[#This Row],[POL]],"-",Tableau119[[#This Row],[Carrier]],"-",Tableau119[[#This Row],[POD]])</f>
        <v>FALSO-FALSO-FALSO</v>
      </c>
      <c r="F118" s="66" t="str">
        <f>_xlfn.CONCAT(Tableau119[[#This Row],[ID]],"-","Actif")</f>
        <v>29-Actif</v>
      </c>
      <c r="G118" s="66" t="str">
        <f>_xlfn.CONCAT(Tableau119[[#This Row],[POD]],"-",Tableau119[[#This Row],[Code PFI]],"-",Tableau119[[#This Row],[Compte Consignee]])</f>
        <v>FALSO---90019100</v>
      </c>
      <c r="H11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BusanFALSODOUAI</v>
      </c>
      <c r="I118" s="434" t="str">
        <f>_xlfn.CONCAT(Tableau119[[#This Row],[ID]],"-",Tableau119[[#This Row],[Expiration Date]])</f>
        <v>29-46142</v>
      </c>
      <c r="J1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Busan-ILN Busan-29-FALSO-FALSO-FALSO--46142</v>
      </c>
      <c r="K118" s="435" t="str">
        <f ca="1">IF(COUNTIF(J:J,Tableau119[[#This Row],[Plant-ILN-shipper-POL-Carrier-POD-PFI]])=1,"Non","Oui")</f>
        <v>Non</v>
      </c>
      <c r="L118" s="436" t="str">
        <f>VLOOKUP(Tableau119[[#This Row],[Name Site]],Plant_AILN!A:D,4,FALSE)</f>
        <v>FRANCE</v>
      </c>
      <c r="M118" s="285" t="s">
        <v>188</v>
      </c>
      <c r="N118" s="439">
        <f>VLOOKUP(Tableau119[[#This Row],[Name Site]],Plant_AILN!A:C,3,FALSE)</f>
        <v>90019100</v>
      </c>
      <c r="O118" s="55">
        <f>IF(Tableau119[[#This Row],[Name PFI/CDD]]="PFI VLL",2,VLOOKUP(Tableau119[[#This Row],[Compte Consignee]],Order!C:D,2,FALSE))</f>
        <v>7</v>
      </c>
      <c r="P118" s="116" t="s">
        <v>166</v>
      </c>
      <c r="Q118" s="365">
        <f>VLOOKUP(Tableau119[[#This Row],[Name ILN]],Plant_AILN!F:G,2,FALSE)</f>
        <v>95436</v>
      </c>
      <c r="R118" s="50">
        <f>VLOOKUP(Tableau119[[#This Row],[Compte ILN]],'DATA ILN'!D:I,6,FALSE)</f>
        <v>9</v>
      </c>
      <c r="S118" s="50" t="e">
        <f>IFERROR(VLOOKUP(Tableau119[[#This Row],[Key(Compte ILN - shipper - POL - plant)]],'DATA ILN'!A:J,10,FALSE),VLOOKUP(Tableau119[[#This Row],[Key(Compte ILN - shipper - POL)]],'DATA ILN'!B:J,9,FALSE))</f>
        <v>#N/A</v>
      </c>
      <c r="T118" s="50" t="e">
        <f>IFERROR(VLOOKUP(Tableau119[[#This Row],[Key(Compte ILN - shipper - POL - plant)]],'DATA ILN'!A:K,11,FALSE),VLOOKUP(Tableau119[[#This Row],[Key(Compte ILN - shipper - POL)]],'DATA ILN'!B:K,10,FALSE))</f>
        <v>#N/A</v>
      </c>
      <c r="U118" s="50" t="e">
        <f>IFERROR(VLOOKUP(Tableau119[[#This Row],[Key(Compte ILN - shipper - POL - plant)]],'DATA ILN'!A:L,12,FALSE),VLOOKUP(Tableau119[[#This Row],[Key(Compte ILN - shipper - POL)]],'DATA ILN'!B:L,11,FALSE))</f>
        <v>#N/A</v>
      </c>
      <c r="V118" s="50" t="e">
        <f>Tableau119[[#This Row],[Day ILN Order]]+Tableau119[[#This Row],[Delivery time to ILN/Shipper]]-1</f>
        <v>#N/A</v>
      </c>
      <c r="W118" s="50" t="e">
        <f>IFERROR(VLOOKUP(Tableau119[[#This Row],[Key(Compte ILN - shipper - POL - plant)]],'DATA ILN'!A:N,14,FALSE),VLOOKUP(Tableau119[[#This Row],[Key(Compte ILN - shipper - POL)]],'DATA ILN'!B:N,13,FALSE))</f>
        <v>#N/A</v>
      </c>
      <c r="X118" s="53" t="e">
        <f>IFERROR(VLOOKUP(Tableau119[[#This Row],[Key(Compte ILN - shipper - POL - plant)]],'DATA ILN'!A:P,16,FALSE),VLOOKUP(Tableau119[[#This Row],[Key(Compte ILN - shipper - POL)]],'DATA ILN'!B:P,15,FALSE))</f>
        <v>#N/A</v>
      </c>
      <c r="Y118" s="284" t="s">
        <v>166</v>
      </c>
      <c r="Z118" s="437">
        <f>IFERROR(VLOOKUP(Tableau119[[#This Row],[Name Shipper]],Plant_AILN!L:M,2,FALSE),0)</f>
        <v>95436</v>
      </c>
      <c r="AA118" s="406">
        <v>29</v>
      </c>
      <c r="AB118" s="396" t="b">
        <f>_xlfn.XLOOKUP(Tableau119[[#This Row],[Key(ID-date)]],'DATA BTO'!S:S,'DATA BTO'!E:E,FALSE)</f>
        <v>0</v>
      </c>
      <c r="AC118" s="3" t="b">
        <f>_xlfn.XLOOKUP(Tableau119[[#This Row],[Key(ID-date)]],'DATA BTO'!S:S,'DATA BTO'!F:F,FALSE)</f>
        <v>0</v>
      </c>
      <c r="AD118" s="50" t="b">
        <f>_xlfn.XLOOKUP(Tableau119[[#This Row],[Key(ID-date)]],'DATA BTO'!S:S,'DATA BTO'!G:G,FALSE)</f>
        <v>0</v>
      </c>
      <c r="AE118" s="50" t="b">
        <f>_xlfn.XLOOKUP(Tableau119[[#This Row],[Key(ID-date)]],'DATA BTO'!S:S,'DATA BTO'!H:H,FALSE)</f>
        <v>0</v>
      </c>
      <c r="AF118" s="50" t="e">
        <f>IF(Tableau119[[#This Row],[First Day to POL]]&lt;=Tableau119[[#This Row],[Day Cut Off]],Tableau119[[#This Row],[Day ETD]],Tableau119[[#This Row],[Day ETD]]+7)</f>
        <v>#N/A</v>
      </c>
      <c r="AG118" s="50" t="b">
        <f>_xlfn.XLOOKUP(Tableau119[[#This Row],[Key(ID-date)]],'DATA BTO'!S:S,'DATA BTO'!I:I,FALSE)</f>
        <v>0</v>
      </c>
      <c r="AH118" s="3" t="b">
        <f>_xlfn.XLOOKUP(Tableau119[[#This Row],[Key(ID-date)]],'DATA BTO'!S:S,'DATA BTO'!J:J,FALSE)</f>
        <v>0</v>
      </c>
      <c r="AI118" s="3" t="b">
        <f>_xlfn.XLOOKUP(Tableau119[[#This Row],[Key(ID-date)]],'DATA BTO'!S:S,'DATA BTO'!K:K,FALSE)</f>
        <v>0</v>
      </c>
      <c r="AJ118" s="50" t="b">
        <f>_xlfn.XLOOKUP(Tableau119[[#This Row],[Key(ID-date)]],'DATA BTO'!S:S,'DATA BTO'!L:L,FALSE)</f>
        <v>0</v>
      </c>
      <c r="AK118" s="53" t="b">
        <f>_xlfn.XLOOKUP(Tableau119[[#This Row],[Key(ID-date)]],'DATA BTO'!S:S,'DATA BTO'!N:N,FALSE)</f>
        <v>0</v>
      </c>
      <c r="AL118" s="54" t="e">
        <f>VLOOKUP(Tableau119[[#This Row],[Key(POD -PFI- Usine)]],'DATA Consignee'!A:F,6,FALSE)</f>
        <v>#N/A</v>
      </c>
      <c r="AM118" s="127"/>
      <c r="AN118" s="438" t="str">
        <f>IF(Tableau119[[#This Row],[Name PFI/CDD]]="","-",VLOOKUP(Tableau119[[#This Row],[Name PFI/CDD]],Plant_AILN!I:J,2,FALSE))</f>
        <v>-</v>
      </c>
      <c r="AO1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8" s="2" t="e">
        <f>VLOOKUP(Tableau119[[#This Row],[Key(POD -PFI- Usine)]],'DATA Consignee'!A:J,10,FALSE)</f>
        <v>#N/A</v>
      </c>
      <c r="AR118" s="50" t="e">
        <f>VLOOKUP(Tableau119[[#This Row],[Key(POD -PFI- Usine)]],'DATA Consignee'!A:N,14,FALSE)</f>
        <v>#N/A</v>
      </c>
      <c r="AS11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8" s="50">
        <f>Tableau119[[#This Row],[Transit time]]+Tableau119[[#This Row],[Time for security]]+Tableau119[[#This Row],[Time for security2 buffer]]</f>
        <v>0</v>
      </c>
      <c r="AV1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8" s="433" t="e">
        <f>Tableau119[[#This Row],[Leadtime SI2C]]+Tableau119[[#This Row],[First Receipt Days]]-Tableau119[[#This Row],[Day Customer Order]]+1</f>
        <v>#N/A</v>
      </c>
      <c r="AX118" s="119" t="e">
        <f>IF(Tableau119[[#This Row],[Name ILN]]&lt;&gt;"SFK Freight Forwarder",Tableau119[[#This Row],[Cust. Leadtime]],Tableau119[[#This Row],[Leadtime SI2C]])</f>
        <v>#N/A</v>
      </c>
      <c r="AY118" s="51" t="b">
        <f>_xlfn.XLOOKUP(Tableau119[[#This Row],[Key(ID-date)]],'DATA BTO'!S:S,'DATA BTO'!P:P,FALSE)</f>
        <v>0</v>
      </c>
      <c r="AZ118" s="338">
        <v>46142</v>
      </c>
      <c r="BA118" s="50"/>
    </row>
    <row r="119" spans="2:53">
      <c r="B119" s="474" t="str">
        <f>_xlfn.CONCAT(Tableau119[[#This Row],[Name ILN]],"-",Tableau119[[#This Row],[Name Shipper]],"-",Tableau119[[#This Row],[Name Site]])</f>
        <v>ILN Busan-ILN Busan-DOUAI</v>
      </c>
      <c r="C119" s="67" t="str">
        <f>_xlfn.CONCAT(Tableau119[[#This Row],[Compte ILN]],"-",Tableau119[[#This Row],[Compte Shipper]],"-",Tableau119[[#This Row],[POL]],"-",Tableau119[[#This Row],[Compte Consignee]])</f>
        <v>95436-95436-FALSO-90019100</v>
      </c>
      <c r="D119" s="66" t="str">
        <f>_xlfn.CONCAT(Tableau119[[#This Row],[Compte ILN]],"-",Tableau119[[#This Row],[Compte Shipper]],"-",Tableau119[[#This Row],[POL]])</f>
        <v>95436-95436-FALSO</v>
      </c>
      <c r="E119" s="434" t="str">
        <f>_xlfn.CONCAT(Tableau119[[#This Row],[POL]],"-",Tableau119[[#This Row],[Carrier]],"-",Tableau119[[#This Row],[POD]])</f>
        <v>FALSO-FALSO-FALSO</v>
      </c>
      <c r="F119" s="66" t="str">
        <f>_xlfn.CONCAT(Tableau119[[#This Row],[ID]],"-","Actif")</f>
        <v>29-Actif</v>
      </c>
      <c r="G119" s="66" t="str">
        <f>_xlfn.CONCAT(Tableau119[[#This Row],[POD]],"-",Tableau119[[#This Row],[Code PFI]],"-",Tableau119[[#This Row],[Compte Consignee]])</f>
        <v>FALSO---90019100</v>
      </c>
      <c r="H11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BusanFALSODOUAI</v>
      </c>
      <c r="I119" s="434" t="str">
        <f>_xlfn.CONCAT(Tableau119[[#This Row],[ID]],"-",Tableau119[[#This Row],[Expiration Date]])</f>
        <v>29-46000</v>
      </c>
      <c r="J1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Busan-ILN Busan-29-FALSO-FALSO-FALSO--46000</v>
      </c>
      <c r="K119" s="435" t="str">
        <f ca="1">IF(COUNTIF(J:J,Tableau119[[#This Row],[Plant-ILN-shipper-POL-Carrier-POD-PFI]])=1,"Non","Oui")</f>
        <v>Non</v>
      </c>
      <c r="L119" s="128" t="str">
        <f>VLOOKUP(Tableau119[[#This Row],[Name Site]],Plant_AILN!A:D,4,FALSE)</f>
        <v>FRANCE</v>
      </c>
      <c r="M119" s="411" t="s">
        <v>188</v>
      </c>
      <c r="N119" s="439">
        <f>VLOOKUP(Tableau119[[#This Row],[Name Site]],Plant_AILN!A:C,3,FALSE)</f>
        <v>90019100</v>
      </c>
      <c r="O119" s="55">
        <f>VLOOKUP(Tableau119[[#This Row],[Compte Consignee]],Order!C:D,2,FALSE)</f>
        <v>7</v>
      </c>
      <c r="P119" s="116" t="s">
        <v>166</v>
      </c>
      <c r="Q119" s="365">
        <f>VLOOKUP(Tableau119[[#This Row],[Name ILN]],Plant_AILN!F:G,2,FALSE)</f>
        <v>95436</v>
      </c>
      <c r="R119" s="50">
        <f>VLOOKUP(Tableau119[[#This Row],[Compte ILN]],'DATA ILN'!D:I,6,FALSE)</f>
        <v>9</v>
      </c>
      <c r="S119" s="50" t="e">
        <f>IFERROR(VLOOKUP(Tableau119[[#This Row],[Key(Compte ILN - shipper - POL - plant)]],'DATA ILN'!A:J,10,FALSE),VLOOKUP(Tableau119[[#This Row],[Key(Compte ILN - shipper - POL)]],'DATA ILN'!B:J,9,FALSE))</f>
        <v>#N/A</v>
      </c>
      <c r="T119" s="50" t="e">
        <f>IFERROR(VLOOKUP(Tableau119[[#This Row],[Key(Compte ILN - shipper - POL - plant)]],'DATA ILN'!A:K,11,FALSE),VLOOKUP(Tableau119[[#This Row],[Key(Compte ILN - shipper - POL)]],'DATA ILN'!B:K,10,FALSE))</f>
        <v>#N/A</v>
      </c>
      <c r="U119" s="50" t="e">
        <f>IFERROR(VLOOKUP(Tableau119[[#This Row],[Key(Compte ILN - shipper - POL - plant)]],'DATA ILN'!A:L,12,FALSE),VLOOKUP(Tableau119[[#This Row],[Key(Compte ILN - shipper - POL)]],'DATA ILN'!B:L,11,FALSE))</f>
        <v>#N/A</v>
      </c>
      <c r="V119" s="50" t="e">
        <f>Tableau119[[#This Row],[Day ILN Order]]+Tableau119[[#This Row],[Delivery time to ILN/Shipper]]-1</f>
        <v>#N/A</v>
      </c>
      <c r="W119" s="50" t="e">
        <f>IFERROR(VLOOKUP(Tableau119[[#This Row],[Key(Compte ILN - shipper - POL - plant)]],'DATA ILN'!A:N,14,FALSE),VLOOKUP(Tableau119[[#This Row],[Key(Compte ILN - shipper - POL)]],'DATA ILN'!B:N,13,FALSE))</f>
        <v>#N/A</v>
      </c>
      <c r="X119" s="53" t="e">
        <f>IFERROR(VLOOKUP(Tableau119[[#This Row],[Key(Compte ILN - shipper - POL - plant)]],'DATA ILN'!A:P,16,FALSE),VLOOKUP(Tableau119[[#This Row],[Key(Compte ILN - shipper - POL)]],'DATA ILN'!B:P,15,FALSE))</f>
        <v>#N/A</v>
      </c>
      <c r="Y119" s="284" t="s">
        <v>166</v>
      </c>
      <c r="Z119" s="437">
        <f>IFERROR(VLOOKUP(Tableau119[[#This Row],[Name Shipper]],Plant_AILN!L:M,2,FALSE),0)</f>
        <v>95436</v>
      </c>
      <c r="AA119" s="406">
        <v>29</v>
      </c>
      <c r="AB119" s="396" t="b">
        <f>_xlfn.XLOOKUP(Tableau119[[#This Row],[Key(ID-date)]],'DATA BTO'!S:S,'DATA BTO'!E:E,FALSE)</f>
        <v>0</v>
      </c>
      <c r="AC119" s="3" t="b">
        <f>_xlfn.XLOOKUP(Tableau119[[#This Row],[Key(ID-date)]],'DATA BTO'!S:S,'DATA BTO'!F:F,FALSE)</f>
        <v>0</v>
      </c>
      <c r="AD119" s="50" t="b">
        <f>_xlfn.XLOOKUP(Tableau119[[#This Row],[Key(ID-date)]],'DATA BTO'!S:S,'DATA BTO'!G:G,FALSE)</f>
        <v>0</v>
      </c>
      <c r="AE119" s="50" t="b">
        <f>_xlfn.XLOOKUP(Tableau119[[#This Row],[Key(ID-date)]],'DATA BTO'!S:S,'DATA BTO'!H:H,FALSE)</f>
        <v>0</v>
      </c>
      <c r="AF119" s="50" t="e">
        <f>IF(Tableau119[[#This Row],[First Day to POL]]&lt;=Tableau119[[#This Row],[Day Cut Off]],Tableau119[[#This Row],[Day ETD]],Tableau119[[#This Row],[Day ETD]]+7)</f>
        <v>#N/A</v>
      </c>
      <c r="AG119" s="50" t="b">
        <f>_xlfn.XLOOKUP(Tableau119[[#This Row],[Key(ID-date)]],'DATA BTO'!S:S,'DATA BTO'!I:I,FALSE)</f>
        <v>0</v>
      </c>
      <c r="AH119" s="3" t="b">
        <f>_xlfn.XLOOKUP(Tableau119[[#This Row],[Key(ID-date)]],'DATA BTO'!S:S,'DATA BTO'!J:J,FALSE)</f>
        <v>0</v>
      </c>
      <c r="AI119" s="3" t="b">
        <f>_xlfn.XLOOKUP(Tableau119[[#This Row],[Key(ID-date)]],'DATA BTO'!S:S,'DATA BTO'!K:K,FALSE)</f>
        <v>0</v>
      </c>
      <c r="AJ119" s="50" t="b">
        <f>_xlfn.XLOOKUP(Tableau119[[#This Row],[Key(ID-date)]],'DATA BTO'!S:S,'DATA BTO'!L:L,FALSE)</f>
        <v>0</v>
      </c>
      <c r="AK119" s="53" t="b">
        <f>_xlfn.XLOOKUP(Tableau119[[#This Row],[Key(ID-date)]],'DATA BTO'!S:S,'DATA BTO'!N:N,FALSE)</f>
        <v>0</v>
      </c>
      <c r="AL119" s="54" t="e">
        <f>VLOOKUP(Tableau119[[#This Row],[Key(POD -PFI- Usine)]],'DATA Consignee'!A:F,6,FALSE)</f>
        <v>#N/A</v>
      </c>
      <c r="AM119" s="127"/>
      <c r="AN119" s="438" t="str">
        <f>IF(Tableau119[[#This Row],[Name PFI/CDD]]="","-",VLOOKUP(Tableau119[[#This Row],[Name PFI/CDD]],Plant_AILN!I:J,2,FALSE))</f>
        <v>-</v>
      </c>
      <c r="AO1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19" s="2" t="e">
        <f>VLOOKUP(Tableau119[[#This Row],[Key(POD -PFI- Usine)]],'DATA Consignee'!A:J,10,FALSE)</f>
        <v>#N/A</v>
      </c>
      <c r="AR119" s="50" t="e">
        <f>VLOOKUP(Tableau119[[#This Row],[Key(POD -PFI- Usine)]],'DATA Consignee'!A:N,14,FALSE)</f>
        <v>#N/A</v>
      </c>
      <c r="AS11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1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19" s="50">
        <f>Tableau119[[#This Row],[Transit time]]+Tableau119[[#This Row],[Time for security]]+Tableau119[[#This Row],[Time for security2 buffer]]</f>
        <v>0</v>
      </c>
      <c r="AV1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19" s="433" t="e">
        <f>Tableau119[[#This Row],[Leadtime SI2C]]+Tableau119[[#This Row],[First Receipt Days]]-Tableau119[[#This Row],[Day Customer Order]]+1</f>
        <v>#N/A</v>
      </c>
      <c r="AX119" s="119" t="e">
        <f>IF(Tableau119[[#This Row],[Name ILN]]&lt;&gt;"SFK Freight Forwarder",Tableau119[[#This Row],[Cust. Leadtime]],Tableau119[[#This Row],[Leadtime SI2C]])</f>
        <v>#N/A</v>
      </c>
      <c r="AY119" s="51" t="b">
        <f>_xlfn.XLOOKUP(Tableau119[[#This Row],[Key(ID-date)]],'DATA BTO'!S:S,'DATA BTO'!P:P,FALSE)</f>
        <v>0</v>
      </c>
      <c r="AZ119" s="338">
        <v>46000</v>
      </c>
      <c r="BA119" s="50"/>
    </row>
    <row r="120" spans="2:53">
      <c r="B120" s="474" t="str">
        <f>_xlfn.CONCAT(Tableau119[[#This Row],[Name ILN]],"-",Tableau119[[#This Row],[Name Shipper]],"-",Tableau119[[#This Row],[Name Site]])</f>
        <v>ILN Busan-ILN Busan-DOUAI</v>
      </c>
      <c r="C120" s="67" t="str">
        <f>_xlfn.CONCAT(Tableau119[[#This Row],[Compte ILN]],"-",Tableau119[[#This Row],[Compte Shipper]],"-",Tableau119[[#This Row],[POL]],"-",Tableau119[[#This Row],[Compte Consignee]])</f>
        <v>95436-95436-FALSO-90019100</v>
      </c>
      <c r="D120" s="66" t="str">
        <f>_xlfn.CONCAT(Tableau119[[#This Row],[Compte ILN]],"-",Tableau119[[#This Row],[Compte Shipper]],"-",Tableau119[[#This Row],[POL]])</f>
        <v>95436-95436-FALSO</v>
      </c>
      <c r="E120" s="434" t="str">
        <f>_xlfn.CONCAT(Tableau119[[#This Row],[POL]],"-",Tableau119[[#This Row],[Carrier]],"-",Tableau119[[#This Row],[POD]])</f>
        <v>FALSO-FALSO-FALSO</v>
      </c>
      <c r="F120" s="66" t="str">
        <f>_xlfn.CONCAT(Tableau119[[#This Row],[ID]],"-","Actif")</f>
        <v>29-Actif</v>
      </c>
      <c r="G120" s="66" t="str">
        <f>_xlfn.CONCAT(Tableau119[[#This Row],[POD]],"-",Tableau119[[#This Row],[Code PFI]],"-",Tableau119[[#This Row],[Compte Consignee]])</f>
        <v>FALSO---90019100</v>
      </c>
      <c r="H12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BusanFALSODOUAI</v>
      </c>
      <c r="I120" s="434" t="str">
        <f>_xlfn.CONCAT(Tableau119[[#This Row],[ID]],"-",Tableau119[[#This Row],[Expiration Date]])</f>
        <v>29-45777</v>
      </c>
      <c r="J1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Busan-ILN Busan-29-FALSO-FALSO-FALSO--45777</v>
      </c>
      <c r="K120" s="435" t="str">
        <f ca="1">IF(COUNTIF(J:J,Tableau119[[#This Row],[Plant-ILN-shipper-POL-Carrier-POD-PFI]])=1,"Non","Oui")</f>
        <v>Non</v>
      </c>
      <c r="L120" s="128" t="str">
        <f>VLOOKUP(Tableau119[[#This Row],[Name Site]],Plant_AILN!A:D,4,FALSE)</f>
        <v>FRANCE</v>
      </c>
      <c r="M120" s="411" t="s">
        <v>188</v>
      </c>
      <c r="N120" s="439">
        <f>VLOOKUP(Tableau119[[#This Row],[Name Site]],Plant_AILN!A:C,3,FALSE)</f>
        <v>90019100</v>
      </c>
      <c r="O120" s="55">
        <f>VLOOKUP(Tableau119[[#This Row],[Compte Consignee]],Order!C:D,2,FALSE)</f>
        <v>7</v>
      </c>
      <c r="P120" s="116" t="s">
        <v>166</v>
      </c>
      <c r="Q120" s="365">
        <f>VLOOKUP(Tableau119[[#This Row],[Name ILN]],Plant_AILN!F:G,2,FALSE)</f>
        <v>95436</v>
      </c>
      <c r="R120" s="50">
        <f>VLOOKUP(Tableau119[[#This Row],[Compte ILN]],'DATA ILN'!D:I,6,FALSE)</f>
        <v>9</v>
      </c>
      <c r="S120" s="50" t="e">
        <f>IFERROR(VLOOKUP(Tableau119[[#This Row],[Key(Compte ILN - shipper - POL - plant)]],'DATA ILN'!A:J,10,FALSE),VLOOKUP(Tableau119[[#This Row],[Key(Compte ILN - shipper - POL)]],'DATA ILN'!B:J,9,FALSE))</f>
        <v>#N/A</v>
      </c>
      <c r="T120" s="50" t="e">
        <f>IFERROR(VLOOKUP(Tableau119[[#This Row],[Key(Compte ILN - shipper - POL - plant)]],'DATA ILN'!A:K,11,FALSE),VLOOKUP(Tableau119[[#This Row],[Key(Compte ILN - shipper - POL)]],'DATA ILN'!B:K,10,FALSE))</f>
        <v>#N/A</v>
      </c>
      <c r="U120" s="50" t="e">
        <f>IFERROR(VLOOKUP(Tableau119[[#This Row],[Key(Compte ILN - shipper - POL - plant)]],'DATA ILN'!A:L,12,FALSE),VLOOKUP(Tableau119[[#This Row],[Key(Compte ILN - shipper - POL)]],'DATA ILN'!B:L,11,FALSE))</f>
        <v>#N/A</v>
      </c>
      <c r="V120" s="50" t="e">
        <f>Tableau119[[#This Row],[Day ILN Order]]+Tableau119[[#This Row],[Delivery time to ILN/Shipper]]-1</f>
        <v>#N/A</v>
      </c>
      <c r="W120" s="50" t="e">
        <f>IFERROR(VLOOKUP(Tableau119[[#This Row],[Key(Compte ILN - shipper - POL - plant)]],'DATA ILN'!A:N,14,FALSE),VLOOKUP(Tableau119[[#This Row],[Key(Compte ILN - shipper - POL)]],'DATA ILN'!B:N,13,FALSE))</f>
        <v>#N/A</v>
      </c>
      <c r="X120" s="53" t="e">
        <f>IFERROR(VLOOKUP(Tableau119[[#This Row],[Key(Compte ILN - shipper - POL - plant)]],'DATA ILN'!A:P,16,FALSE),VLOOKUP(Tableau119[[#This Row],[Key(Compte ILN - shipper - POL)]],'DATA ILN'!B:P,15,FALSE))</f>
        <v>#N/A</v>
      </c>
      <c r="Y120" s="284" t="s">
        <v>166</v>
      </c>
      <c r="Z120" s="437">
        <f>IFERROR(VLOOKUP(Tableau119[[#This Row],[Name Shipper]],Plant_AILN!L:M,2,FALSE),0)</f>
        <v>95436</v>
      </c>
      <c r="AA120" s="406">
        <v>29</v>
      </c>
      <c r="AB120" s="396" t="b">
        <f>_xlfn.XLOOKUP(Tableau119[[#This Row],[Key(ID-date)]],'DATA BTO'!S:S,'DATA BTO'!E:E,FALSE)</f>
        <v>0</v>
      </c>
      <c r="AC120" s="3" t="b">
        <f>_xlfn.XLOOKUP(Tableau119[[#This Row],[Key(ID-date)]],'DATA BTO'!S:S,'DATA BTO'!F:F,FALSE)</f>
        <v>0</v>
      </c>
      <c r="AD120" s="50" t="b">
        <f>_xlfn.XLOOKUP(Tableau119[[#This Row],[Key(ID-date)]],'DATA BTO'!S:S,'DATA BTO'!G:G,FALSE)</f>
        <v>0</v>
      </c>
      <c r="AE120" s="50" t="b">
        <f>_xlfn.XLOOKUP(Tableau119[[#This Row],[Key(ID-date)]],'DATA BTO'!S:S,'DATA BTO'!H:H,FALSE)</f>
        <v>0</v>
      </c>
      <c r="AF120" s="50" t="e">
        <f>IF(Tableau119[[#This Row],[First Day to POL]]&lt;=Tableau119[[#This Row],[Day Cut Off]],Tableau119[[#This Row],[Day ETD]],Tableau119[[#This Row],[Day ETD]]+7)</f>
        <v>#N/A</v>
      </c>
      <c r="AG120" s="50" t="b">
        <f>_xlfn.XLOOKUP(Tableau119[[#This Row],[Key(ID-date)]],'DATA BTO'!S:S,'DATA BTO'!I:I,FALSE)</f>
        <v>0</v>
      </c>
      <c r="AH120" s="3" t="b">
        <f>_xlfn.XLOOKUP(Tableau119[[#This Row],[Key(ID-date)]],'DATA BTO'!S:S,'DATA BTO'!J:J,FALSE)</f>
        <v>0</v>
      </c>
      <c r="AI120" s="3" t="b">
        <f>_xlfn.XLOOKUP(Tableau119[[#This Row],[Key(ID-date)]],'DATA BTO'!S:S,'DATA BTO'!K:K,FALSE)</f>
        <v>0</v>
      </c>
      <c r="AJ120" s="50" t="b">
        <f>_xlfn.XLOOKUP(Tableau119[[#This Row],[Key(ID-date)]],'DATA BTO'!S:S,'DATA BTO'!L:L,FALSE)</f>
        <v>0</v>
      </c>
      <c r="AK120" s="53" t="b">
        <f>_xlfn.XLOOKUP(Tableau119[[#This Row],[Key(ID-date)]],'DATA BTO'!S:S,'DATA BTO'!N:N,FALSE)</f>
        <v>0</v>
      </c>
      <c r="AL120" s="54" t="e">
        <f>VLOOKUP(Tableau119[[#This Row],[Key(POD -PFI- Usine)]],'DATA Consignee'!A:F,6,FALSE)</f>
        <v>#N/A</v>
      </c>
      <c r="AM120" s="127"/>
      <c r="AN120" s="438" t="str">
        <f>IF(Tableau119[[#This Row],[Name PFI/CDD]]="","-",VLOOKUP(Tableau119[[#This Row],[Name PFI/CDD]],Plant_AILN!I:J,2,FALSE))</f>
        <v>-</v>
      </c>
      <c r="AO1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0" s="2" t="e">
        <f>VLOOKUP(Tableau119[[#This Row],[Key(POD -PFI- Usine)]],'DATA Consignee'!A:J,10,FALSE)</f>
        <v>#N/A</v>
      </c>
      <c r="AR120" s="50" t="e">
        <f>VLOOKUP(Tableau119[[#This Row],[Key(POD -PFI- Usine)]],'DATA Consignee'!A:N,14,FALSE)</f>
        <v>#N/A</v>
      </c>
      <c r="AS1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0" s="50">
        <f>Tableau119[[#This Row],[Transit time]]+Tableau119[[#This Row],[Time for security]]+Tableau119[[#This Row],[Time for security2 buffer]]</f>
        <v>0</v>
      </c>
      <c r="AV1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0" s="433" t="e">
        <f>Tableau119[[#This Row],[Leadtime SI2C]]+Tableau119[[#This Row],[First Receipt Days]]-Tableau119[[#This Row],[Day Customer Order]]+1</f>
        <v>#N/A</v>
      </c>
      <c r="AX120" s="119" t="e">
        <f>IF(Tableau119[[#This Row],[Name ILN]]&lt;&gt;"SFK Freight Forwarder",Tableau119[[#This Row],[Cust. Leadtime]],Tableau119[[#This Row],[Leadtime SI2C]])</f>
        <v>#N/A</v>
      </c>
      <c r="AY120" s="51" t="b">
        <f>_xlfn.XLOOKUP(Tableau119[[#This Row],[Key(ID-date)]],'DATA BTO'!S:S,'DATA BTO'!P:P,FALSE)</f>
        <v>0</v>
      </c>
      <c r="AZ120" s="338">
        <v>45777</v>
      </c>
      <c r="BA120" s="50"/>
    </row>
    <row r="121" spans="2:53">
      <c r="B121" s="474" t="str">
        <f>_xlfn.CONCAT(Tableau119[[#This Row],[Name ILN]],"-",Tableau119[[#This Row],[Name Shipper]],"-",Tableau119[[#This Row],[Name Site]])</f>
        <v>ILN Busan-ILN Busan-DOUAI</v>
      </c>
      <c r="C121" s="67" t="str">
        <f>_xlfn.CONCAT(Tableau119[[#This Row],[Compte ILN]],"-",Tableau119[[#This Row],[Compte Shipper]],"-",Tableau119[[#This Row],[POL]],"-",Tableau119[[#This Row],[Compte Consignee]])</f>
        <v>95436-95436-FALSO-90019100</v>
      </c>
      <c r="D121" s="66" t="str">
        <f>_xlfn.CONCAT(Tableau119[[#This Row],[Compte ILN]],"-",Tableau119[[#This Row],[Compte Shipper]],"-",Tableau119[[#This Row],[POL]])</f>
        <v>95436-95436-FALSO</v>
      </c>
      <c r="E121" s="434" t="str">
        <f>_xlfn.CONCAT(Tableau119[[#This Row],[POL]],"-",Tableau119[[#This Row],[Carrier]],"-",Tableau119[[#This Row],[POD]])</f>
        <v>FALSO-FALSO-FALSO</v>
      </c>
      <c r="F121" s="66" t="str">
        <f>_xlfn.CONCAT(Tableau119[[#This Row],[ID]],"-","Actif")</f>
        <v>29-Actif</v>
      </c>
      <c r="G121" s="66" t="str">
        <f>_xlfn.CONCAT(Tableau119[[#This Row],[POD]],"-",Tableau119[[#This Row],[Code PFI]],"-",Tableau119[[#This Row],[Compte Consignee]])</f>
        <v>FALSO---90019100</v>
      </c>
      <c r="H12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BusanFALSODOUAI</v>
      </c>
      <c r="I121" s="434" t="str">
        <f>_xlfn.CONCAT(Tableau119[[#This Row],[ID]],"-",Tableau119[[#This Row],[Expiration Date]])</f>
        <v>29-45473</v>
      </c>
      <c r="J1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Busan-ILN Busan-29-FALSO-FALSO-FALSO--45473</v>
      </c>
      <c r="K121" s="435" t="str">
        <f ca="1">IF(COUNTIF(J:J,Tableau119[[#This Row],[Plant-ILN-shipper-POL-Carrier-POD-PFI]])=1,"Non","Oui")</f>
        <v>Non</v>
      </c>
      <c r="L121" s="128" t="str">
        <f>VLOOKUP(Tableau119[[#This Row],[Name Site]],Plant_AILN!A:D,4,FALSE)</f>
        <v>FRANCE</v>
      </c>
      <c r="M121" s="411" t="s">
        <v>188</v>
      </c>
      <c r="N121" s="439">
        <f>VLOOKUP(Tableau119[[#This Row],[Name Site]],Plant_AILN!A:C,3,FALSE)</f>
        <v>90019100</v>
      </c>
      <c r="O121" s="55">
        <f>VLOOKUP(Tableau119[[#This Row],[Compte Consignee]],Order!C:D,2,FALSE)</f>
        <v>7</v>
      </c>
      <c r="P121" s="116" t="s">
        <v>166</v>
      </c>
      <c r="Q121" s="365">
        <f>VLOOKUP(Tableau119[[#This Row],[Name ILN]],Plant_AILN!F:G,2,FALSE)</f>
        <v>95436</v>
      </c>
      <c r="R121" s="50">
        <f>VLOOKUP(Tableau119[[#This Row],[Compte ILN]],'DATA ILN'!D:I,6,FALSE)</f>
        <v>9</v>
      </c>
      <c r="S121" s="50" t="e">
        <f>IFERROR(VLOOKUP(Tableau119[[#This Row],[Key(Compte ILN - shipper - POL - plant)]],'DATA ILN'!A:J,10,FALSE),VLOOKUP(Tableau119[[#This Row],[Key(Compte ILN - shipper - POL)]],'DATA ILN'!B:J,9,FALSE))</f>
        <v>#N/A</v>
      </c>
      <c r="T121" s="50" t="e">
        <f>IFERROR(VLOOKUP(Tableau119[[#This Row],[Key(Compte ILN - shipper - POL - plant)]],'DATA ILN'!A:K,11,FALSE),VLOOKUP(Tableau119[[#This Row],[Key(Compte ILN - shipper - POL)]],'DATA ILN'!B:K,10,FALSE))</f>
        <v>#N/A</v>
      </c>
      <c r="U121" s="50" t="e">
        <f>IFERROR(VLOOKUP(Tableau119[[#This Row],[Key(Compte ILN - shipper - POL - plant)]],'DATA ILN'!A:L,12,FALSE),VLOOKUP(Tableau119[[#This Row],[Key(Compte ILN - shipper - POL)]],'DATA ILN'!B:L,11,FALSE))</f>
        <v>#N/A</v>
      </c>
      <c r="V121" s="50" t="e">
        <f>Tableau119[[#This Row],[Day ILN Order]]+Tableau119[[#This Row],[Delivery time to ILN/Shipper]]-1</f>
        <v>#N/A</v>
      </c>
      <c r="W121" s="50" t="e">
        <f>IFERROR(VLOOKUP(Tableau119[[#This Row],[Key(Compte ILN - shipper - POL - plant)]],'DATA ILN'!A:N,14,FALSE),VLOOKUP(Tableau119[[#This Row],[Key(Compte ILN - shipper - POL)]],'DATA ILN'!B:N,13,FALSE))</f>
        <v>#N/A</v>
      </c>
      <c r="X121" s="53" t="e">
        <f>IFERROR(VLOOKUP(Tableau119[[#This Row],[Key(Compte ILN - shipper - POL - plant)]],'DATA ILN'!A:P,16,FALSE),VLOOKUP(Tableau119[[#This Row],[Key(Compte ILN - shipper - POL)]],'DATA ILN'!B:P,15,FALSE))</f>
        <v>#N/A</v>
      </c>
      <c r="Y121" s="284" t="s">
        <v>166</v>
      </c>
      <c r="Z121" s="437">
        <f>IFERROR(VLOOKUP(Tableau119[[#This Row],[Name Shipper]],Plant_AILN!L:M,2,FALSE),0)</f>
        <v>95436</v>
      </c>
      <c r="AA121" s="406">
        <v>29</v>
      </c>
      <c r="AB121" s="396" t="b">
        <f>_xlfn.XLOOKUP(Tableau119[[#This Row],[Key(ID-date)]],'DATA BTO'!S:S,'DATA BTO'!E:E,FALSE)</f>
        <v>0</v>
      </c>
      <c r="AC121" s="3" t="b">
        <f>_xlfn.XLOOKUP(Tableau119[[#This Row],[Key(ID-date)]],'DATA BTO'!S:S,'DATA BTO'!F:F,FALSE)</f>
        <v>0</v>
      </c>
      <c r="AD121" s="50" t="b">
        <f>_xlfn.XLOOKUP(Tableau119[[#This Row],[Key(ID-date)]],'DATA BTO'!S:S,'DATA BTO'!G:G,FALSE)</f>
        <v>0</v>
      </c>
      <c r="AE121" s="50" t="b">
        <f>_xlfn.XLOOKUP(Tableau119[[#This Row],[Key(ID-date)]],'DATA BTO'!S:S,'DATA BTO'!H:H,FALSE)</f>
        <v>0</v>
      </c>
      <c r="AF121" s="50" t="e">
        <f>IF(Tableau119[[#This Row],[First Day to POL]]&lt;=Tableau119[[#This Row],[Day Cut Off]],Tableau119[[#This Row],[Day ETD]],Tableau119[[#This Row],[Day ETD]]+7)</f>
        <v>#N/A</v>
      </c>
      <c r="AG121" s="50" t="b">
        <f>_xlfn.XLOOKUP(Tableau119[[#This Row],[Key(ID-date)]],'DATA BTO'!S:S,'DATA BTO'!I:I,FALSE)</f>
        <v>0</v>
      </c>
      <c r="AH121" s="3" t="b">
        <f>_xlfn.XLOOKUP(Tableau119[[#This Row],[Key(ID-date)]],'DATA BTO'!S:S,'DATA BTO'!J:J,FALSE)</f>
        <v>0</v>
      </c>
      <c r="AI121" s="3" t="b">
        <f>_xlfn.XLOOKUP(Tableau119[[#This Row],[Key(ID-date)]],'DATA BTO'!S:S,'DATA BTO'!K:K,FALSE)</f>
        <v>0</v>
      </c>
      <c r="AJ121" s="50" t="b">
        <f>_xlfn.XLOOKUP(Tableau119[[#This Row],[Key(ID-date)]],'DATA BTO'!S:S,'DATA BTO'!L:L,FALSE)</f>
        <v>0</v>
      </c>
      <c r="AK121" s="53" t="b">
        <f>_xlfn.XLOOKUP(Tableau119[[#This Row],[Key(ID-date)]],'DATA BTO'!S:S,'DATA BTO'!N:N,FALSE)</f>
        <v>0</v>
      </c>
      <c r="AL121" s="54" t="e">
        <f>VLOOKUP(Tableau119[[#This Row],[Key(POD -PFI- Usine)]],'DATA Consignee'!A:F,6,FALSE)</f>
        <v>#N/A</v>
      </c>
      <c r="AM121" s="127"/>
      <c r="AN121" s="438" t="str">
        <f>IF(Tableau119[[#This Row],[Name PFI/CDD]]="","-",VLOOKUP(Tableau119[[#This Row],[Name PFI/CDD]],Plant_AILN!I:J,2,FALSE))</f>
        <v>-</v>
      </c>
      <c r="AO1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1" s="2" t="e">
        <f>VLOOKUP(Tableau119[[#This Row],[Key(POD -PFI- Usine)]],'DATA Consignee'!A:J,10,FALSE)</f>
        <v>#N/A</v>
      </c>
      <c r="AR121" s="50" t="e">
        <f>VLOOKUP(Tableau119[[#This Row],[Key(POD -PFI- Usine)]],'DATA Consignee'!A:N,14,FALSE)</f>
        <v>#N/A</v>
      </c>
      <c r="AS1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1" s="50">
        <f>Tableau119[[#This Row],[Transit time]]+Tableau119[[#This Row],[Time for security]]+Tableau119[[#This Row],[Time for security2 buffer]]</f>
        <v>0</v>
      </c>
      <c r="AV1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1" s="433" t="e">
        <f>Tableau119[[#This Row],[Leadtime SI2C]]+Tableau119[[#This Row],[First Receipt Days]]-Tableau119[[#This Row],[Day Customer Order]]+1</f>
        <v>#N/A</v>
      </c>
      <c r="AX121" s="119" t="e">
        <f>IF(Tableau119[[#This Row],[Name ILN]]&lt;&gt;"SFK Freight Forwarder",Tableau119[[#This Row],[Cust. Leadtime]],Tableau119[[#This Row],[Leadtime SI2C]])</f>
        <v>#N/A</v>
      </c>
      <c r="AY121" s="51" t="b">
        <f>_xlfn.XLOOKUP(Tableau119[[#This Row],[Key(ID-date)]],'DATA BTO'!S:S,'DATA BTO'!P:P,FALSE)</f>
        <v>0</v>
      </c>
      <c r="AZ121" s="338">
        <v>45473</v>
      </c>
      <c r="BA121" s="50"/>
    </row>
    <row r="122" spans="2:53">
      <c r="B122" s="474" t="str">
        <f>_xlfn.CONCAT(Tableau119[[#This Row],[Name ILN]],"-",Tableau119[[#This Row],[Name Shipper]],"-",Tableau119[[#This Row],[Name Site]])</f>
        <v>ILN Busan-ILN Busan-ACI Le mans</v>
      </c>
      <c r="C122" s="67" t="str">
        <f>_xlfn.CONCAT(Tableau119[[#This Row],[Compte ILN]],"-",Tableau119[[#This Row],[Compte Shipper]],"-",Tableau119[[#This Row],[POL]],"-",Tableau119[[#This Row],[Compte Consignee]])</f>
        <v>95436-95436-FALSO-9624700</v>
      </c>
      <c r="D122" s="66" t="str">
        <f>_xlfn.CONCAT(Tableau119[[#This Row],[Compte ILN]],"-",Tableau119[[#This Row],[Compte Shipper]],"-",Tableau119[[#This Row],[POL]])</f>
        <v>95436-95436-FALSO</v>
      </c>
      <c r="E122" s="434" t="str">
        <f>_xlfn.CONCAT(Tableau119[[#This Row],[POL]],"-",Tableau119[[#This Row],[Carrier]],"-",Tableau119[[#This Row],[POD]])</f>
        <v>FALSO-FALSO-FALSO</v>
      </c>
      <c r="F122" s="66" t="str">
        <f>_xlfn.CONCAT(Tableau119[[#This Row],[ID]],"-","Actif")</f>
        <v>30-Actif</v>
      </c>
      <c r="G122" s="66" t="str">
        <f>_xlfn.CONCAT(Tableau119[[#This Row],[POD]],"-",Tableau119[[#This Row],[Code PFI]],"-",Tableau119[[#This Row],[Compte Consignee]])</f>
        <v>FALSO-90016600-9624700</v>
      </c>
      <c r="H12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BusanFALSOACI Le mans</v>
      </c>
      <c r="I122" s="434" t="str">
        <f>_xlfn.CONCAT(Tableau119[[#This Row],[ID]],"-",Tableau119[[#This Row],[Expiration Date]])</f>
        <v>30-46142</v>
      </c>
      <c r="J1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mans-ILN Busan-ILN Busan-30-FALSO-FALSO-FALSO-CDD FR-46142</v>
      </c>
      <c r="K122" s="435" t="str">
        <f ca="1">IF(COUNTIF(J:J,Tableau119[[#This Row],[Plant-ILN-shipper-POL-Carrier-POD-PFI]])=1,"Non","Oui")</f>
        <v>Non</v>
      </c>
      <c r="L122" s="128" t="str">
        <f>VLOOKUP(Tableau119[[#This Row],[Name Site]],Plant_AILN!A:D,4,FALSE)</f>
        <v>FRANCE</v>
      </c>
      <c r="M122" s="411" t="s">
        <v>218</v>
      </c>
      <c r="N122" s="439">
        <f>VLOOKUP(Tableau119[[#This Row],[Name Site]],Plant_AILN!A:C,3,FALSE)</f>
        <v>9624700</v>
      </c>
      <c r="O122" s="55">
        <f>IF(Tableau119[[#This Row],[Name PFI/CDD]]="PFI VLL",2,VLOOKUP(Tableau119[[#This Row],[Compte Consignee]],Order!C:D,2,FALSE))</f>
        <v>7</v>
      </c>
      <c r="P122" s="116" t="s">
        <v>166</v>
      </c>
      <c r="Q122" s="365">
        <f>VLOOKUP(Tableau119[[#This Row],[Name ILN]],Plant_AILN!F:G,2,FALSE)</f>
        <v>95436</v>
      </c>
      <c r="R122" s="50">
        <f>VLOOKUP(Tableau119[[#This Row],[Compte ILN]],'DATA ILN'!D:I,6,FALSE)</f>
        <v>9</v>
      </c>
      <c r="S122" s="50" t="e">
        <f>IFERROR(VLOOKUP(Tableau119[[#This Row],[Key(Compte ILN - shipper - POL - plant)]],'DATA ILN'!A:J,10,FALSE),VLOOKUP(Tableau119[[#This Row],[Key(Compte ILN - shipper - POL)]],'DATA ILN'!B:J,9,FALSE))</f>
        <v>#N/A</v>
      </c>
      <c r="T122" s="50" t="e">
        <f>IFERROR(VLOOKUP(Tableau119[[#This Row],[Key(Compte ILN - shipper - POL - plant)]],'DATA ILN'!A:K,11,FALSE),VLOOKUP(Tableau119[[#This Row],[Key(Compte ILN - shipper - POL)]],'DATA ILN'!B:K,10,FALSE))</f>
        <v>#N/A</v>
      </c>
      <c r="U122" s="50" t="e">
        <f>IFERROR(VLOOKUP(Tableau119[[#This Row],[Key(Compte ILN - shipper - POL - plant)]],'DATA ILN'!A:L,12,FALSE),VLOOKUP(Tableau119[[#This Row],[Key(Compte ILN - shipper - POL)]],'DATA ILN'!B:L,11,FALSE))</f>
        <v>#N/A</v>
      </c>
      <c r="V122" s="50" t="e">
        <f>Tableau119[[#This Row],[Day ILN Order]]+Tableau119[[#This Row],[Delivery time to ILN/Shipper]]-1</f>
        <v>#N/A</v>
      </c>
      <c r="W122" s="50" t="e">
        <f>IFERROR(VLOOKUP(Tableau119[[#This Row],[Key(Compte ILN - shipper - POL - plant)]],'DATA ILN'!A:N,14,FALSE),VLOOKUP(Tableau119[[#This Row],[Key(Compte ILN - shipper - POL)]],'DATA ILN'!B:N,13,FALSE))</f>
        <v>#N/A</v>
      </c>
      <c r="X122" s="53" t="e">
        <f>IFERROR(VLOOKUP(Tableau119[[#This Row],[Key(Compte ILN - shipper - POL - plant)]],'DATA ILN'!A:P,16,FALSE),VLOOKUP(Tableau119[[#This Row],[Key(Compte ILN - shipper - POL)]],'DATA ILN'!B:P,15,FALSE))</f>
        <v>#N/A</v>
      </c>
      <c r="Y122" s="284" t="s">
        <v>166</v>
      </c>
      <c r="Z122" s="437">
        <f>IFERROR(VLOOKUP(Tableau119[[#This Row],[Name Shipper]],Plant_AILN!L:M,2,FALSE),0)</f>
        <v>95436</v>
      </c>
      <c r="AA122" s="406">
        <v>30</v>
      </c>
      <c r="AB122" s="396" t="b">
        <f>_xlfn.XLOOKUP(Tableau119[[#This Row],[Key(ID-date)]],'DATA BTO'!S:S,'DATA BTO'!E:E,FALSE)</f>
        <v>0</v>
      </c>
      <c r="AC122" s="3" t="b">
        <f>_xlfn.XLOOKUP(Tableau119[[#This Row],[Key(ID-date)]],'DATA BTO'!S:S,'DATA BTO'!F:F,FALSE)</f>
        <v>0</v>
      </c>
      <c r="AD122" s="50" t="b">
        <f>_xlfn.XLOOKUP(Tableau119[[#This Row],[Key(ID-date)]],'DATA BTO'!S:S,'DATA BTO'!G:G,FALSE)</f>
        <v>0</v>
      </c>
      <c r="AE122" s="50" t="b">
        <f>_xlfn.XLOOKUP(Tableau119[[#This Row],[Key(ID-date)]],'DATA BTO'!S:S,'DATA BTO'!H:H,FALSE)</f>
        <v>0</v>
      </c>
      <c r="AF122" s="50" t="e">
        <f>IF(Tableau119[[#This Row],[First Day to POL]]&lt;=Tableau119[[#This Row],[Day Cut Off]],Tableau119[[#This Row],[Day ETD]],Tableau119[[#This Row],[Day ETD]]+7)</f>
        <v>#N/A</v>
      </c>
      <c r="AG122" s="50" t="b">
        <f>_xlfn.XLOOKUP(Tableau119[[#This Row],[Key(ID-date)]],'DATA BTO'!S:S,'DATA BTO'!I:I,FALSE)</f>
        <v>0</v>
      </c>
      <c r="AH122" s="3" t="b">
        <f>_xlfn.XLOOKUP(Tableau119[[#This Row],[Key(ID-date)]],'DATA BTO'!S:S,'DATA BTO'!J:J,FALSE)</f>
        <v>0</v>
      </c>
      <c r="AI122" s="3" t="b">
        <f>_xlfn.XLOOKUP(Tableau119[[#This Row],[Key(ID-date)]],'DATA BTO'!S:S,'DATA BTO'!K:K,FALSE)</f>
        <v>0</v>
      </c>
      <c r="AJ122" s="50" t="b">
        <f>_xlfn.XLOOKUP(Tableau119[[#This Row],[Key(ID-date)]],'DATA BTO'!S:S,'DATA BTO'!L:L,FALSE)</f>
        <v>0</v>
      </c>
      <c r="AK122" s="53" t="b">
        <f>_xlfn.XLOOKUP(Tableau119[[#This Row],[Key(ID-date)]],'DATA BTO'!S:S,'DATA BTO'!N:N,FALSE)</f>
        <v>0</v>
      </c>
      <c r="AL122" s="54" t="e">
        <f>VLOOKUP(Tableau119[[#This Row],[Key(POD -PFI- Usine)]],'DATA Consignee'!A:F,6,FALSE)</f>
        <v>#N/A</v>
      </c>
      <c r="AM122" s="127" t="s">
        <v>155</v>
      </c>
      <c r="AN122" s="438">
        <f>IF(Tableau119[[#This Row],[Name PFI/CDD]]="","-",VLOOKUP(Tableau119[[#This Row],[Name PFI/CDD]],Plant_AILN!I:J,2,FALSE))</f>
        <v>90016600</v>
      </c>
      <c r="AO1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2" s="2" t="e">
        <f>VLOOKUP(Tableau119[[#This Row],[Key(POD -PFI- Usine)]],'DATA Consignee'!A:J,10,FALSE)</f>
        <v>#N/A</v>
      </c>
      <c r="AR122" s="50" t="e">
        <f>VLOOKUP(Tableau119[[#This Row],[Key(POD -PFI- Usine)]],'DATA Consignee'!A:N,14,FALSE)</f>
        <v>#N/A</v>
      </c>
      <c r="AS1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2" s="50">
        <f>Tableau119[[#This Row],[Transit time]]+Tableau119[[#This Row],[Time for security]]+Tableau119[[#This Row],[Time for security2 buffer]]</f>
        <v>0</v>
      </c>
      <c r="AV1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2" s="433" t="e">
        <f>Tableau119[[#This Row],[Leadtime SI2C]]+Tableau119[[#This Row],[First Receipt Days]]-Tableau119[[#This Row],[Day Customer Order]]+1</f>
        <v>#N/A</v>
      </c>
      <c r="AX122" s="119" t="e">
        <f>IF(Tableau119[[#This Row],[Name ILN]]&lt;&gt;"SFK Freight Forwarder",Tableau119[[#This Row],[Cust. Leadtime]],Tableau119[[#This Row],[Leadtime SI2C]])</f>
        <v>#N/A</v>
      </c>
      <c r="AY122" s="51" t="b">
        <f>_xlfn.XLOOKUP(Tableau119[[#This Row],[Key(ID-date)]],'DATA BTO'!S:S,'DATA BTO'!P:P,FALSE)</f>
        <v>0</v>
      </c>
      <c r="AZ122" s="338">
        <v>46142</v>
      </c>
      <c r="BA122" s="50"/>
    </row>
    <row r="123" spans="2:53">
      <c r="B123" s="67" t="str">
        <f>_xlfn.CONCAT(Tableau119[[#This Row],[Name ILN]],"-",Tableau119[[#This Row],[Name Shipper]],"-",Tableau119[[#This Row],[Name Site]])</f>
        <v>ILN Busan-ILN Busan-ALPINE</v>
      </c>
      <c r="C123" s="67" t="str">
        <f>_xlfn.CONCAT(Tableau119[[#This Row],[Compte ILN]],"-",Tableau119[[#This Row],[Compte Shipper]],"-",Tableau119[[#This Row],[POL]],"-",Tableau119[[#This Row],[Compte Consignee]])</f>
        <v>95436-95436-FALSO-90018300</v>
      </c>
      <c r="D123" s="66" t="str">
        <f>_xlfn.CONCAT(Tableau119[[#This Row],[Compte ILN]],"-",Tableau119[[#This Row],[Compte Shipper]],"-",Tableau119[[#This Row],[POL]])</f>
        <v>95436-95436-FALSO</v>
      </c>
      <c r="E123" s="434" t="str">
        <f>_xlfn.CONCAT(Tableau119[[#This Row],[POL]],"-",Tableau119[[#This Row],[Carrier]],"-",Tableau119[[#This Row],[POD]])</f>
        <v>FALSO-FALSO-FALSO</v>
      </c>
      <c r="F123" s="66" t="str">
        <f>_xlfn.CONCAT(Tableau119[[#This Row],[ID]],"-","Actif")</f>
        <v>30-Actif</v>
      </c>
      <c r="G123" s="66" t="str">
        <f>_xlfn.CONCAT(Tableau119[[#This Row],[POD]],"-",Tableau119[[#This Row],[Code PFI]],"-",Tableau119[[#This Row],[Compte Consignee]])</f>
        <v>FALSO-90016600-90018300</v>
      </c>
      <c r="H12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BusanFALSOALPINE</v>
      </c>
      <c r="I123" s="434" t="str">
        <f>_xlfn.CONCAT(Tableau119[[#This Row],[ID]],"-",Tableau119[[#This Row],[Expiration Date]])</f>
        <v>30-46142</v>
      </c>
      <c r="J1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Busan-ILN Busan-30-FALSO-FALSO-FALSO-CDD FR-46142</v>
      </c>
      <c r="K123" s="435" t="str">
        <f ca="1">IF(COUNTIF(J:J,Tableau119[[#This Row],[Plant-ILN-shipper-POL-Carrier-POD-PFI]])=1,"Non","Oui")</f>
        <v>Non</v>
      </c>
      <c r="L123" s="128" t="str">
        <f>VLOOKUP(Tableau119[[#This Row],[Name Site]],Plant_AILN!A:D,4,FALSE)</f>
        <v>FRANCE</v>
      </c>
      <c r="M123" s="10" t="s">
        <v>220</v>
      </c>
      <c r="N123" s="439">
        <f>VLOOKUP(Tableau119[[#This Row],[Name Site]],Plant_AILN!A:C,3,FALSE)</f>
        <v>90018300</v>
      </c>
      <c r="O123" s="55">
        <f>IF(Tableau119[[#This Row],[Name PFI/CDD]]="PFI VLL",2,VLOOKUP(Tableau119[[#This Row],[Compte Consignee]],Order!C:D,2,FALSE))</f>
        <v>7</v>
      </c>
      <c r="P123" s="116" t="s">
        <v>166</v>
      </c>
      <c r="Q123" s="365">
        <f>VLOOKUP(Tableau119[[#This Row],[Name ILN]],Plant_AILN!F:G,2,FALSE)</f>
        <v>95436</v>
      </c>
      <c r="R123" s="50">
        <f>VLOOKUP(Tableau119[[#This Row],[Compte ILN]],'DATA ILN'!D:I,6,FALSE)</f>
        <v>9</v>
      </c>
      <c r="S123" s="50" t="e">
        <f>IFERROR(VLOOKUP(Tableau119[[#This Row],[Key(Compte ILN - shipper - POL - plant)]],'DATA ILN'!A:J,10,FALSE),VLOOKUP(Tableau119[[#This Row],[Key(Compte ILN - shipper - POL)]],'DATA ILN'!B:J,9,FALSE))</f>
        <v>#N/A</v>
      </c>
      <c r="T123" s="50" t="e">
        <f>IFERROR(VLOOKUP(Tableau119[[#This Row],[Key(Compte ILN - shipper - POL - plant)]],'DATA ILN'!A:K,11,FALSE),VLOOKUP(Tableau119[[#This Row],[Key(Compte ILN - shipper - POL)]],'DATA ILN'!B:K,10,FALSE))</f>
        <v>#N/A</v>
      </c>
      <c r="U123" s="50" t="e">
        <f>IFERROR(VLOOKUP(Tableau119[[#This Row],[Key(Compte ILN - shipper - POL - plant)]],'DATA ILN'!A:L,12,FALSE),VLOOKUP(Tableau119[[#This Row],[Key(Compte ILN - shipper - POL)]],'DATA ILN'!B:L,11,FALSE))</f>
        <v>#N/A</v>
      </c>
      <c r="V123" s="50" t="e">
        <f>Tableau119[[#This Row],[Day ILN Order]]+Tableau119[[#This Row],[Delivery time to ILN/Shipper]]-1</f>
        <v>#N/A</v>
      </c>
      <c r="W123" s="50" t="e">
        <f>IFERROR(VLOOKUP(Tableau119[[#This Row],[Key(Compte ILN - shipper - POL - plant)]],'DATA ILN'!A:N,14,FALSE),VLOOKUP(Tableau119[[#This Row],[Key(Compte ILN - shipper - POL)]],'DATA ILN'!B:N,13,FALSE))</f>
        <v>#N/A</v>
      </c>
      <c r="X123" s="53" t="e">
        <f>IFERROR(VLOOKUP(Tableau119[[#This Row],[Key(Compte ILN - shipper - POL - plant)]],'DATA ILN'!A:P,16,FALSE),VLOOKUP(Tableau119[[#This Row],[Key(Compte ILN - shipper - POL)]],'DATA ILN'!B:P,15,FALSE))</f>
        <v>#N/A</v>
      </c>
      <c r="Y123" s="284" t="s">
        <v>166</v>
      </c>
      <c r="Z123" s="437">
        <f>IFERROR(VLOOKUP(Tableau119[[#This Row],[Name Shipper]],Plant_AILN!L:M,2,FALSE),0)</f>
        <v>95436</v>
      </c>
      <c r="AA123" s="406">
        <v>30</v>
      </c>
      <c r="AB123" s="396" t="b">
        <f>_xlfn.XLOOKUP(Tableau119[[#This Row],[Key(ID-date)]],'DATA BTO'!S:S,'DATA BTO'!E:E,FALSE)</f>
        <v>0</v>
      </c>
      <c r="AC123" s="3" t="b">
        <f>_xlfn.XLOOKUP(Tableau119[[#This Row],[Key(ID-date)]],'DATA BTO'!S:S,'DATA BTO'!F:F,FALSE)</f>
        <v>0</v>
      </c>
      <c r="AD123" s="50" t="b">
        <f>_xlfn.XLOOKUP(Tableau119[[#This Row],[Key(ID-date)]],'DATA BTO'!S:S,'DATA BTO'!G:G,FALSE)</f>
        <v>0</v>
      </c>
      <c r="AE123" s="50" t="b">
        <f>_xlfn.XLOOKUP(Tableau119[[#This Row],[Key(ID-date)]],'DATA BTO'!S:S,'DATA BTO'!H:H,FALSE)</f>
        <v>0</v>
      </c>
      <c r="AF123" s="50" t="e">
        <f>IF(Tableau119[[#This Row],[First Day to POL]]&lt;=Tableau119[[#This Row],[Day Cut Off]],Tableau119[[#This Row],[Day ETD]],Tableau119[[#This Row],[Day ETD]]+7)</f>
        <v>#N/A</v>
      </c>
      <c r="AG123" s="50" t="b">
        <f>_xlfn.XLOOKUP(Tableau119[[#This Row],[Key(ID-date)]],'DATA BTO'!S:S,'DATA BTO'!I:I,FALSE)</f>
        <v>0</v>
      </c>
      <c r="AH123" s="3" t="b">
        <f>_xlfn.XLOOKUP(Tableau119[[#This Row],[Key(ID-date)]],'DATA BTO'!S:S,'DATA BTO'!J:J,FALSE)</f>
        <v>0</v>
      </c>
      <c r="AI123" s="3" t="b">
        <f>_xlfn.XLOOKUP(Tableau119[[#This Row],[Key(ID-date)]],'DATA BTO'!S:S,'DATA BTO'!K:K,FALSE)</f>
        <v>0</v>
      </c>
      <c r="AJ123" s="50" t="b">
        <f>_xlfn.XLOOKUP(Tableau119[[#This Row],[Key(ID-date)]],'DATA BTO'!S:S,'DATA BTO'!L:L,FALSE)</f>
        <v>0</v>
      </c>
      <c r="AK123" s="53" t="b">
        <f>_xlfn.XLOOKUP(Tableau119[[#This Row],[Key(ID-date)]],'DATA BTO'!S:S,'DATA BTO'!N:N,FALSE)</f>
        <v>0</v>
      </c>
      <c r="AL123" s="54" t="e">
        <f>VLOOKUP(Tableau119[[#This Row],[Key(POD -PFI- Usine)]],'DATA Consignee'!A:F,6,FALSE)</f>
        <v>#N/A</v>
      </c>
      <c r="AM123" s="127" t="s">
        <v>155</v>
      </c>
      <c r="AN123" s="438">
        <f>IF(Tableau119[[#This Row],[Name PFI/CDD]]="","-",VLOOKUP(Tableau119[[#This Row],[Name PFI/CDD]],Plant_AILN!I:J,2,FALSE))</f>
        <v>90016600</v>
      </c>
      <c r="AO1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3" s="2" t="e">
        <f>VLOOKUP(Tableau119[[#This Row],[Key(POD -PFI- Usine)]],'DATA Consignee'!A:J,10,FALSE)</f>
        <v>#N/A</v>
      </c>
      <c r="AR123" s="50" t="e">
        <f>VLOOKUP(Tableau119[[#This Row],[Key(POD -PFI- Usine)]],'DATA Consignee'!A:N,14,FALSE)</f>
        <v>#N/A</v>
      </c>
      <c r="AS1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3" s="50">
        <f>Tableau119[[#This Row],[Transit time]]+Tableau119[[#This Row],[Time for security]]+Tableau119[[#This Row],[Time for security2 buffer]]</f>
        <v>0</v>
      </c>
      <c r="AV1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3" s="433" t="e">
        <f>Tableau119[[#This Row],[Leadtime SI2C]]+Tableau119[[#This Row],[First Receipt Days]]-Tableau119[[#This Row],[Day Customer Order]]+1</f>
        <v>#N/A</v>
      </c>
      <c r="AX123" s="119" t="e">
        <f>IF(Tableau119[[#This Row],[Name ILN]]&lt;&gt;"SFK Freight Forwarder",Tableau119[[#This Row],[Cust. Leadtime]],Tableau119[[#This Row],[Leadtime SI2C]])</f>
        <v>#N/A</v>
      </c>
      <c r="AY123" s="51" t="b">
        <f>_xlfn.XLOOKUP(Tableau119[[#This Row],[Key(ID-date)]],'DATA BTO'!S:S,'DATA BTO'!P:P,FALSE)</f>
        <v>0</v>
      </c>
      <c r="AZ123" s="338">
        <v>46142</v>
      </c>
      <c r="BA123" s="50"/>
    </row>
    <row r="124" spans="2:53">
      <c r="B124" s="67" t="str">
        <f>_xlfn.CONCAT(Tableau119[[#This Row],[Name ILN]],"-",Tableau119[[#This Row],[Name Shipper]],"-",Tableau119[[#This Row],[Name Site]])</f>
        <v>ILN Busan-ILN Busan-CLEON</v>
      </c>
      <c r="C124" s="67" t="str">
        <f>_xlfn.CONCAT(Tableau119[[#This Row],[Compte ILN]],"-",Tableau119[[#This Row],[Compte Shipper]],"-",Tableau119[[#This Row],[POL]],"-",Tableau119[[#This Row],[Compte Consignee]])</f>
        <v>95436-95436-FALSO-92000100</v>
      </c>
      <c r="D124" s="66" t="str">
        <f>_xlfn.CONCAT(Tableau119[[#This Row],[Compte ILN]],"-",Tableau119[[#This Row],[Compte Shipper]],"-",Tableau119[[#This Row],[POL]])</f>
        <v>95436-95436-FALSO</v>
      </c>
      <c r="E124" s="434" t="str">
        <f>_xlfn.CONCAT(Tableau119[[#This Row],[POL]],"-",Tableau119[[#This Row],[Carrier]],"-",Tableau119[[#This Row],[POD]])</f>
        <v>FALSO-FALSO-FALSO</v>
      </c>
      <c r="F124" s="66" t="str">
        <f>_xlfn.CONCAT(Tableau119[[#This Row],[ID]],"-","Actif")</f>
        <v>30-Actif</v>
      </c>
      <c r="G124" s="66" t="str">
        <f>_xlfn.CONCAT(Tableau119[[#This Row],[POD]],"-",Tableau119[[#This Row],[Code PFI]],"-",Tableau119[[#This Row],[Compte Consignee]])</f>
        <v>FALSO-90016600-92000100</v>
      </c>
      <c r="H12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BusanFALSOCLEON</v>
      </c>
      <c r="I124" s="434" t="str">
        <f>_xlfn.CONCAT(Tableau119[[#This Row],[ID]],"-",Tableau119[[#This Row],[Expiration Date]])</f>
        <v>30-46142</v>
      </c>
      <c r="J1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Busan-ILN Busan-30-FALSO-FALSO-FALSO-CDD FR-46142</v>
      </c>
      <c r="K124" s="435" t="str">
        <f ca="1">IF(COUNTIF(J:J,Tableau119[[#This Row],[Plant-ILN-shipper-POL-Carrier-POD-PFI]])=1,"Non","Oui")</f>
        <v>Non</v>
      </c>
      <c r="L124" s="128" t="str">
        <f>VLOOKUP(Tableau119[[#This Row],[Name Site]],Plant_AILN!A:D,4,FALSE)</f>
        <v>FRANCE</v>
      </c>
      <c r="M124" s="10" t="s">
        <v>183</v>
      </c>
      <c r="N124" s="439">
        <f>VLOOKUP(Tableau119[[#This Row],[Name Site]],Plant_AILN!A:C,3,FALSE)</f>
        <v>92000100</v>
      </c>
      <c r="O124" s="55">
        <f>IF(Tableau119[[#This Row],[Name PFI/CDD]]="PFI VLL",2,VLOOKUP(Tableau119[[#This Row],[Compte Consignee]],Order!C:D,2,FALSE))</f>
        <v>7</v>
      </c>
      <c r="P124" s="116" t="s">
        <v>166</v>
      </c>
      <c r="Q124" s="365">
        <f>VLOOKUP(Tableau119[[#This Row],[Name ILN]],Plant_AILN!F:G,2,FALSE)</f>
        <v>95436</v>
      </c>
      <c r="R124" s="50">
        <f>VLOOKUP(Tableau119[[#This Row],[Compte ILN]],'DATA ILN'!D:I,6,FALSE)</f>
        <v>9</v>
      </c>
      <c r="S124" s="50" t="e">
        <f>IFERROR(VLOOKUP(Tableau119[[#This Row],[Key(Compte ILN - shipper - POL - plant)]],'DATA ILN'!A:J,10,FALSE),VLOOKUP(Tableau119[[#This Row],[Key(Compte ILN - shipper - POL)]],'DATA ILN'!B:J,9,FALSE))</f>
        <v>#N/A</v>
      </c>
      <c r="T124" s="50" t="e">
        <f>IFERROR(VLOOKUP(Tableau119[[#This Row],[Key(Compte ILN - shipper - POL - plant)]],'DATA ILN'!A:K,11,FALSE),VLOOKUP(Tableau119[[#This Row],[Key(Compte ILN - shipper - POL)]],'DATA ILN'!B:K,10,FALSE))</f>
        <v>#N/A</v>
      </c>
      <c r="U124" s="50" t="e">
        <f>IFERROR(VLOOKUP(Tableau119[[#This Row],[Key(Compte ILN - shipper - POL - plant)]],'DATA ILN'!A:L,12,FALSE),VLOOKUP(Tableau119[[#This Row],[Key(Compte ILN - shipper - POL)]],'DATA ILN'!B:L,11,FALSE))</f>
        <v>#N/A</v>
      </c>
      <c r="V124" s="50" t="e">
        <f>Tableau119[[#This Row],[Day ILN Order]]+Tableau119[[#This Row],[Delivery time to ILN/Shipper]]-1</f>
        <v>#N/A</v>
      </c>
      <c r="W124" s="50" t="e">
        <f>IFERROR(VLOOKUP(Tableau119[[#This Row],[Key(Compte ILN - shipper - POL - plant)]],'DATA ILN'!A:N,14,FALSE),VLOOKUP(Tableau119[[#This Row],[Key(Compte ILN - shipper - POL)]],'DATA ILN'!B:N,13,FALSE))</f>
        <v>#N/A</v>
      </c>
      <c r="X124" s="53" t="e">
        <f>IFERROR(VLOOKUP(Tableau119[[#This Row],[Key(Compte ILN - shipper - POL - plant)]],'DATA ILN'!A:P,16,FALSE),VLOOKUP(Tableau119[[#This Row],[Key(Compte ILN - shipper - POL)]],'DATA ILN'!B:P,15,FALSE))</f>
        <v>#N/A</v>
      </c>
      <c r="Y124" s="284" t="s">
        <v>166</v>
      </c>
      <c r="Z124" s="437">
        <f>IFERROR(VLOOKUP(Tableau119[[#This Row],[Name Shipper]],Plant_AILN!L:M,2,FALSE),0)</f>
        <v>95436</v>
      </c>
      <c r="AA124" s="406">
        <v>30</v>
      </c>
      <c r="AB124" s="396" t="b">
        <f>_xlfn.XLOOKUP(Tableau119[[#This Row],[Key(ID-date)]],'DATA BTO'!S:S,'DATA BTO'!E:E,FALSE)</f>
        <v>0</v>
      </c>
      <c r="AC124" s="3" t="b">
        <f>_xlfn.XLOOKUP(Tableau119[[#This Row],[Key(ID-date)]],'DATA BTO'!S:S,'DATA BTO'!F:F,FALSE)</f>
        <v>0</v>
      </c>
      <c r="AD124" s="50" t="b">
        <f>_xlfn.XLOOKUP(Tableau119[[#This Row],[Key(ID-date)]],'DATA BTO'!S:S,'DATA BTO'!G:G,FALSE)</f>
        <v>0</v>
      </c>
      <c r="AE124" s="50" t="b">
        <f>_xlfn.XLOOKUP(Tableau119[[#This Row],[Key(ID-date)]],'DATA BTO'!S:S,'DATA BTO'!H:H,FALSE)</f>
        <v>0</v>
      </c>
      <c r="AF124" s="50" t="e">
        <f>IF(Tableau119[[#This Row],[First Day to POL]]&lt;=Tableau119[[#This Row],[Day Cut Off]],Tableau119[[#This Row],[Day ETD]],Tableau119[[#This Row],[Day ETD]]+7)</f>
        <v>#N/A</v>
      </c>
      <c r="AG124" s="50" t="b">
        <f>_xlfn.XLOOKUP(Tableau119[[#This Row],[Key(ID-date)]],'DATA BTO'!S:S,'DATA BTO'!I:I,FALSE)</f>
        <v>0</v>
      </c>
      <c r="AH124" s="3" t="b">
        <f>_xlfn.XLOOKUP(Tableau119[[#This Row],[Key(ID-date)]],'DATA BTO'!S:S,'DATA BTO'!J:J,FALSE)</f>
        <v>0</v>
      </c>
      <c r="AI124" s="3" t="b">
        <f>_xlfn.XLOOKUP(Tableau119[[#This Row],[Key(ID-date)]],'DATA BTO'!S:S,'DATA BTO'!K:K,FALSE)</f>
        <v>0</v>
      </c>
      <c r="AJ124" s="50" t="b">
        <f>_xlfn.XLOOKUP(Tableau119[[#This Row],[Key(ID-date)]],'DATA BTO'!S:S,'DATA BTO'!L:L,FALSE)</f>
        <v>0</v>
      </c>
      <c r="AK124" s="53" t="b">
        <f>_xlfn.XLOOKUP(Tableau119[[#This Row],[Key(ID-date)]],'DATA BTO'!S:S,'DATA BTO'!N:N,FALSE)</f>
        <v>0</v>
      </c>
      <c r="AL124" s="54" t="e">
        <f>VLOOKUP(Tableau119[[#This Row],[Key(POD -PFI- Usine)]],'DATA Consignee'!A:F,6,FALSE)</f>
        <v>#N/A</v>
      </c>
      <c r="AM124" s="127" t="s">
        <v>155</v>
      </c>
      <c r="AN124" s="438">
        <f>IF(Tableau119[[#This Row],[Name PFI/CDD]]="","-",VLOOKUP(Tableau119[[#This Row],[Name PFI/CDD]],Plant_AILN!I:J,2,FALSE))</f>
        <v>90016600</v>
      </c>
      <c r="AO12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4" s="2" t="e">
        <f>VLOOKUP(Tableau119[[#This Row],[Key(POD -PFI- Usine)]],'DATA Consignee'!A:J,10,FALSE)</f>
        <v>#N/A</v>
      </c>
      <c r="AR124" s="50" t="e">
        <f>VLOOKUP(Tableau119[[#This Row],[Key(POD -PFI- Usine)]],'DATA Consignee'!A:N,14,FALSE)</f>
        <v>#N/A</v>
      </c>
      <c r="AS12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4" s="50">
        <f>Tableau119[[#This Row],[Transit time]]+Tableau119[[#This Row],[Time for security]]+Tableau119[[#This Row],[Time for security2 buffer]]</f>
        <v>0</v>
      </c>
      <c r="AV1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4" s="433" t="e">
        <f>Tableau119[[#This Row],[Leadtime SI2C]]+Tableau119[[#This Row],[First Receipt Days]]-Tableau119[[#This Row],[Day Customer Order]]+1</f>
        <v>#N/A</v>
      </c>
      <c r="AX124" s="119" t="e">
        <f>IF(Tableau119[[#This Row],[Name ILN]]&lt;&gt;"SFK Freight Forwarder",Tableau119[[#This Row],[Cust. Leadtime]],Tableau119[[#This Row],[Leadtime SI2C]])</f>
        <v>#N/A</v>
      </c>
      <c r="AY124" s="51" t="b">
        <f>_xlfn.XLOOKUP(Tableau119[[#This Row],[Key(ID-date)]],'DATA BTO'!S:S,'DATA BTO'!P:P,FALSE)</f>
        <v>0</v>
      </c>
      <c r="AZ124" s="338">
        <v>46142</v>
      </c>
      <c r="BA124" s="50"/>
    </row>
    <row r="125" spans="2:53">
      <c r="B125" s="67" t="str">
        <f>_xlfn.CONCAT(Tableau119[[#This Row],[Name ILN]],"-",Tableau119[[#This Row],[Name Shipper]],"-",Tableau119[[#This Row],[Name Site]])</f>
        <v>ILN Busan-ILN Busan-FLINS</v>
      </c>
      <c r="C125" s="67" t="str">
        <f>_xlfn.CONCAT(Tableau119[[#This Row],[Compte ILN]],"-",Tableau119[[#This Row],[Compte Shipper]],"-",Tableau119[[#This Row],[POL]],"-",Tableau119[[#This Row],[Compte Consignee]])</f>
        <v>95436-95436-FALSO-90015100</v>
      </c>
      <c r="D125" s="66" t="str">
        <f>_xlfn.CONCAT(Tableau119[[#This Row],[Compte ILN]],"-",Tableau119[[#This Row],[Compte Shipper]],"-",Tableau119[[#This Row],[POL]])</f>
        <v>95436-95436-FALSO</v>
      </c>
      <c r="E125" s="434" t="str">
        <f>_xlfn.CONCAT(Tableau119[[#This Row],[POL]],"-",Tableau119[[#This Row],[Carrier]],"-",Tableau119[[#This Row],[POD]])</f>
        <v>FALSO-FALSO-FALSO</v>
      </c>
      <c r="F125" s="66" t="str">
        <f>_xlfn.CONCAT(Tableau119[[#This Row],[ID]],"-","Actif")</f>
        <v>30-Actif</v>
      </c>
      <c r="G125" s="66" t="str">
        <f>_xlfn.CONCAT(Tableau119[[#This Row],[POD]],"-",Tableau119[[#This Row],[Code PFI]],"-",Tableau119[[#This Row],[Compte Consignee]])</f>
        <v>FALSO---90015100</v>
      </c>
      <c r="H12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BusanFALSOFLINS</v>
      </c>
      <c r="I125" s="434" t="str">
        <f>_xlfn.CONCAT(Tableau119[[#This Row],[ID]],"-",Tableau119[[#This Row],[Expiration Date]])</f>
        <v>30-46142</v>
      </c>
      <c r="J1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Busan-ILN Busan-30-FALSO-FALSO-FALSO--46142</v>
      </c>
      <c r="K125" s="435" t="str">
        <f ca="1">IF(COUNTIF(J:J,Tableau119[[#This Row],[Plant-ILN-shipper-POL-Carrier-POD-PFI]])=1,"Non","Oui")</f>
        <v>Non</v>
      </c>
      <c r="L125" s="436" t="str">
        <f>VLOOKUP(Tableau119[[#This Row],[Name Site]],Plant_AILN!A:D,4,FALSE)</f>
        <v>FRANCE</v>
      </c>
      <c r="M125" s="285" t="s">
        <v>209</v>
      </c>
      <c r="N125" s="439">
        <f>VLOOKUP(Tableau119[[#This Row],[Name Site]],Plant_AILN!A:C,3,FALSE)</f>
        <v>90015100</v>
      </c>
      <c r="O125" s="55">
        <f>IF(Tableau119[[#This Row],[Name PFI/CDD]]="PFI VLL",2,VLOOKUP(Tableau119[[#This Row],[Compte Consignee]],Order!C:D,2,FALSE))</f>
        <v>7</v>
      </c>
      <c r="P125" s="116" t="s">
        <v>166</v>
      </c>
      <c r="Q125" s="365">
        <f>VLOOKUP(Tableau119[[#This Row],[Name ILN]],Plant_AILN!F:G,2,FALSE)</f>
        <v>95436</v>
      </c>
      <c r="R125" s="50">
        <f>VLOOKUP(Tableau119[[#This Row],[Compte ILN]],'DATA ILN'!D:I,6,FALSE)</f>
        <v>9</v>
      </c>
      <c r="S125" s="50" t="e">
        <f>IFERROR(VLOOKUP(Tableau119[[#This Row],[Key(Compte ILN - shipper - POL - plant)]],'DATA ILN'!A:J,10,FALSE),VLOOKUP(Tableau119[[#This Row],[Key(Compte ILN - shipper - POL)]],'DATA ILN'!B:J,9,FALSE))</f>
        <v>#N/A</v>
      </c>
      <c r="T125" s="50" t="e">
        <f>IFERROR(VLOOKUP(Tableau119[[#This Row],[Key(Compte ILN - shipper - POL - plant)]],'DATA ILN'!A:K,11,FALSE),VLOOKUP(Tableau119[[#This Row],[Key(Compte ILN - shipper - POL)]],'DATA ILN'!B:K,10,FALSE))</f>
        <v>#N/A</v>
      </c>
      <c r="U125" s="50" t="e">
        <f>IFERROR(VLOOKUP(Tableau119[[#This Row],[Key(Compte ILN - shipper - POL - plant)]],'DATA ILN'!A:L,12,FALSE),VLOOKUP(Tableau119[[#This Row],[Key(Compte ILN - shipper - POL)]],'DATA ILN'!B:L,11,FALSE))</f>
        <v>#N/A</v>
      </c>
      <c r="V125" s="50" t="e">
        <f>Tableau119[[#This Row],[Day ILN Order]]+Tableau119[[#This Row],[Delivery time to ILN/Shipper]]-1</f>
        <v>#N/A</v>
      </c>
      <c r="W125" s="50" t="e">
        <f>IFERROR(VLOOKUP(Tableau119[[#This Row],[Key(Compte ILN - shipper - POL - plant)]],'DATA ILN'!A:N,14,FALSE),VLOOKUP(Tableau119[[#This Row],[Key(Compte ILN - shipper - POL)]],'DATA ILN'!B:N,13,FALSE))</f>
        <v>#N/A</v>
      </c>
      <c r="X125" s="53" t="e">
        <f>IFERROR(VLOOKUP(Tableau119[[#This Row],[Key(Compte ILN - shipper - POL - plant)]],'DATA ILN'!A:P,16,FALSE),VLOOKUP(Tableau119[[#This Row],[Key(Compte ILN - shipper - POL)]],'DATA ILN'!B:P,15,FALSE))</f>
        <v>#N/A</v>
      </c>
      <c r="Y125" s="284" t="s">
        <v>166</v>
      </c>
      <c r="Z125" s="437">
        <f>IFERROR(VLOOKUP(Tableau119[[#This Row],[Name Shipper]],Plant_AILN!L:M,2,FALSE),0)</f>
        <v>95436</v>
      </c>
      <c r="AA125" s="406">
        <v>30</v>
      </c>
      <c r="AB125" s="396" t="b">
        <f>_xlfn.XLOOKUP(Tableau119[[#This Row],[Key(ID-date)]],'DATA BTO'!S:S,'DATA BTO'!E:E,FALSE)</f>
        <v>0</v>
      </c>
      <c r="AC125" s="3" t="b">
        <f>_xlfn.XLOOKUP(Tableau119[[#This Row],[Key(ID-date)]],'DATA BTO'!S:S,'DATA BTO'!F:F,FALSE)</f>
        <v>0</v>
      </c>
      <c r="AD125" s="50" t="b">
        <f>_xlfn.XLOOKUP(Tableau119[[#This Row],[Key(ID-date)]],'DATA BTO'!S:S,'DATA BTO'!G:G,FALSE)</f>
        <v>0</v>
      </c>
      <c r="AE125" s="50" t="b">
        <f>_xlfn.XLOOKUP(Tableau119[[#This Row],[Key(ID-date)]],'DATA BTO'!S:S,'DATA BTO'!H:H,FALSE)</f>
        <v>0</v>
      </c>
      <c r="AF125" s="50" t="e">
        <f>IF(Tableau119[[#This Row],[First Day to POL]]&lt;=Tableau119[[#This Row],[Day Cut Off]],Tableau119[[#This Row],[Day ETD]],Tableau119[[#This Row],[Day ETD]]+7)</f>
        <v>#N/A</v>
      </c>
      <c r="AG125" s="50" t="b">
        <f>_xlfn.XLOOKUP(Tableau119[[#This Row],[Key(ID-date)]],'DATA BTO'!S:S,'DATA BTO'!I:I,FALSE)</f>
        <v>0</v>
      </c>
      <c r="AH125" s="3" t="b">
        <f>_xlfn.XLOOKUP(Tableau119[[#This Row],[Key(ID-date)]],'DATA BTO'!S:S,'DATA BTO'!J:J,FALSE)</f>
        <v>0</v>
      </c>
      <c r="AI125" s="3" t="b">
        <f>_xlfn.XLOOKUP(Tableau119[[#This Row],[Key(ID-date)]],'DATA BTO'!S:S,'DATA BTO'!K:K,FALSE)</f>
        <v>0</v>
      </c>
      <c r="AJ125" s="50" t="b">
        <f>_xlfn.XLOOKUP(Tableau119[[#This Row],[Key(ID-date)]],'DATA BTO'!S:S,'DATA BTO'!L:L,FALSE)</f>
        <v>0</v>
      </c>
      <c r="AK125" s="53" t="b">
        <f>_xlfn.XLOOKUP(Tableau119[[#This Row],[Key(ID-date)]],'DATA BTO'!S:S,'DATA BTO'!N:N,FALSE)</f>
        <v>0</v>
      </c>
      <c r="AL125" s="54" t="e">
        <f>VLOOKUP(Tableau119[[#This Row],[Key(POD -PFI- Usine)]],'DATA Consignee'!A:F,6,FALSE)</f>
        <v>#N/A</v>
      </c>
      <c r="AM125" s="127"/>
      <c r="AN125" s="438" t="str">
        <f>IF(Tableau119[[#This Row],[Name PFI/CDD]]="","-",VLOOKUP(Tableau119[[#This Row],[Name PFI/CDD]],Plant_AILN!I:J,2,FALSE))</f>
        <v>-</v>
      </c>
      <c r="AO1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5" s="2" t="e">
        <f>VLOOKUP(Tableau119[[#This Row],[Key(POD -PFI- Usine)]],'DATA Consignee'!A:J,10,FALSE)</f>
        <v>#N/A</v>
      </c>
      <c r="AR125" s="50" t="e">
        <f>VLOOKUP(Tableau119[[#This Row],[Key(POD -PFI- Usine)]],'DATA Consignee'!A:N,14,FALSE)</f>
        <v>#N/A</v>
      </c>
      <c r="AS1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5" s="50">
        <f>Tableau119[[#This Row],[Transit time]]+Tableau119[[#This Row],[Time for security]]+Tableau119[[#This Row],[Time for security2 buffer]]</f>
        <v>0</v>
      </c>
      <c r="AV1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5" s="433" t="e">
        <f>Tableau119[[#This Row],[Leadtime SI2C]]+Tableau119[[#This Row],[First Receipt Days]]-Tableau119[[#This Row],[Day Customer Order]]+1</f>
        <v>#N/A</v>
      </c>
      <c r="AX125" s="119" t="e">
        <f>IF(Tableau119[[#This Row],[Name ILN]]&lt;&gt;"SFK Freight Forwarder",Tableau119[[#This Row],[Cust. Leadtime]],Tableau119[[#This Row],[Leadtime SI2C]])</f>
        <v>#N/A</v>
      </c>
      <c r="AY125" s="51" t="b">
        <f>_xlfn.XLOOKUP(Tableau119[[#This Row],[Key(ID-date)]],'DATA BTO'!S:S,'DATA BTO'!P:P,FALSE)</f>
        <v>0</v>
      </c>
      <c r="AZ125" s="338">
        <v>46142</v>
      </c>
      <c r="BA125" s="50"/>
    </row>
    <row r="126" spans="2:53">
      <c r="B126" s="67" t="str">
        <f>_xlfn.CONCAT(Tableau119[[#This Row],[Name ILN]],"-",Tableau119[[#This Row],[Name Shipper]],"-",Tableau119[[#This Row],[Name Site]])</f>
        <v>ILN Busan-ILN Busan-MAUBEUGE</v>
      </c>
      <c r="C126" s="67" t="str">
        <f>_xlfn.CONCAT(Tableau119[[#This Row],[Compte ILN]],"-",Tableau119[[#This Row],[Compte Shipper]],"-",Tableau119[[#This Row],[POL]],"-",Tableau119[[#This Row],[Compte Consignee]])</f>
        <v>95436-95436-FALSO-90016200</v>
      </c>
      <c r="D126" s="66" t="str">
        <f>_xlfn.CONCAT(Tableau119[[#This Row],[Compte ILN]],"-",Tableau119[[#This Row],[Compte Shipper]],"-",Tableau119[[#This Row],[POL]])</f>
        <v>95436-95436-FALSO</v>
      </c>
      <c r="E126" s="434" t="str">
        <f>_xlfn.CONCAT(Tableau119[[#This Row],[POL]],"-",Tableau119[[#This Row],[Carrier]],"-",Tableau119[[#This Row],[POD]])</f>
        <v>FALSO-FALSO-FALSO</v>
      </c>
      <c r="F126" s="66" t="str">
        <f>_xlfn.CONCAT(Tableau119[[#This Row],[ID]],"-","Actif")</f>
        <v>30-Actif</v>
      </c>
      <c r="G126" s="66" t="str">
        <f>_xlfn.CONCAT(Tableau119[[#This Row],[POD]],"-",Tableau119[[#This Row],[Code PFI]],"-",Tableau119[[#This Row],[Compte Consignee]])</f>
        <v>FALSO-90016600-90016200</v>
      </c>
      <c r="H12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BusanFALSOMAUBEUGE</v>
      </c>
      <c r="I126" s="434" t="str">
        <f>_xlfn.CONCAT(Tableau119[[#This Row],[ID]],"-",Tableau119[[#This Row],[Expiration Date]])</f>
        <v>30-46142</v>
      </c>
      <c r="J1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Busan-ILN Busan-30-FALSO-FALSO-FALSO-CDD FR-46142</v>
      </c>
      <c r="K126" s="435" t="str">
        <f ca="1">IF(COUNTIF(J:J,Tableau119[[#This Row],[Plant-ILN-shipper-POL-Carrier-POD-PFI]])=1,"Non","Oui")</f>
        <v>Non</v>
      </c>
      <c r="L126" s="128" t="str">
        <f>VLOOKUP(Tableau119[[#This Row],[Name Site]],Plant_AILN!A:D,4,FALSE)</f>
        <v>FRANCE</v>
      </c>
      <c r="M126" s="10" t="s">
        <v>210</v>
      </c>
      <c r="N126" s="439">
        <f>VLOOKUP(Tableau119[[#This Row],[Name Site]],Plant_AILN!A:C,3,FALSE)</f>
        <v>90016200</v>
      </c>
      <c r="O126" s="55">
        <f>IF(Tableau119[[#This Row],[Name PFI/CDD]]="PFI VLL",2,VLOOKUP(Tableau119[[#This Row],[Compte Consignee]],Order!C:D,2,FALSE))</f>
        <v>7</v>
      </c>
      <c r="P126" s="116" t="s">
        <v>166</v>
      </c>
      <c r="Q126" s="365">
        <f>VLOOKUP(Tableau119[[#This Row],[Name ILN]],Plant_AILN!F:G,2,FALSE)</f>
        <v>95436</v>
      </c>
      <c r="R126" s="50">
        <f>VLOOKUP(Tableau119[[#This Row],[Compte ILN]],'DATA ILN'!D:I,6,FALSE)</f>
        <v>9</v>
      </c>
      <c r="S126" s="50" t="e">
        <f>IFERROR(VLOOKUP(Tableau119[[#This Row],[Key(Compte ILN - shipper - POL - plant)]],'DATA ILN'!A:J,10,FALSE),VLOOKUP(Tableau119[[#This Row],[Key(Compte ILN - shipper - POL)]],'DATA ILN'!B:J,9,FALSE))</f>
        <v>#N/A</v>
      </c>
      <c r="T126" s="50" t="e">
        <f>IFERROR(VLOOKUP(Tableau119[[#This Row],[Key(Compte ILN - shipper - POL - plant)]],'DATA ILN'!A:K,11,FALSE),VLOOKUP(Tableau119[[#This Row],[Key(Compte ILN - shipper - POL)]],'DATA ILN'!B:K,10,FALSE))</f>
        <v>#N/A</v>
      </c>
      <c r="U126" s="50" t="e">
        <f>IFERROR(VLOOKUP(Tableau119[[#This Row],[Key(Compte ILN - shipper - POL - plant)]],'DATA ILN'!A:L,12,FALSE),VLOOKUP(Tableau119[[#This Row],[Key(Compte ILN - shipper - POL)]],'DATA ILN'!B:L,11,FALSE))</f>
        <v>#N/A</v>
      </c>
      <c r="V126" s="50" t="e">
        <f>Tableau119[[#This Row],[Day ILN Order]]+Tableau119[[#This Row],[Delivery time to ILN/Shipper]]-1</f>
        <v>#N/A</v>
      </c>
      <c r="W126" s="50" t="e">
        <f>IFERROR(VLOOKUP(Tableau119[[#This Row],[Key(Compte ILN - shipper - POL - plant)]],'DATA ILN'!A:N,14,FALSE),VLOOKUP(Tableau119[[#This Row],[Key(Compte ILN - shipper - POL)]],'DATA ILN'!B:N,13,FALSE))</f>
        <v>#N/A</v>
      </c>
      <c r="X126" s="53" t="e">
        <f>IFERROR(VLOOKUP(Tableau119[[#This Row],[Key(Compte ILN - shipper - POL - plant)]],'DATA ILN'!A:P,16,FALSE),VLOOKUP(Tableau119[[#This Row],[Key(Compte ILN - shipper - POL)]],'DATA ILN'!B:P,15,FALSE))</f>
        <v>#N/A</v>
      </c>
      <c r="Y126" s="284" t="s">
        <v>166</v>
      </c>
      <c r="Z126" s="437">
        <f>IFERROR(VLOOKUP(Tableau119[[#This Row],[Name Shipper]],Plant_AILN!L:M,2,FALSE),0)</f>
        <v>95436</v>
      </c>
      <c r="AA126" s="406">
        <v>30</v>
      </c>
      <c r="AB126" s="396" t="b">
        <f>_xlfn.XLOOKUP(Tableau119[[#This Row],[Key(ID-date)]],'DATA BTO'!S:S,'DATA BTO'!E:E,FALSE)</f>
        <v>0</v>
      </c>
      <c r="AC126" s="3" t="b">
        <f>_xlfn.XLOOKUP(Tableau119[[#This Row],[Key(ID-date)]],'DATA BTO'!S:S,'DATA BTO'!F:F,FALSE)</f>
        <v>0</v>
      </c>
      <c r="AD126" s="50" t="b">
        <f>_xlfn.XLOOKUP(Tableau119[[#This Row],[Key(ID-date)]],'DATA BTO'!S:S,'DATA BTO'!G:G,FALSE)</f>
        <v>0</v>
      </c>
      <c r="AE126" s="50" t="b">
        <f>_xlfn.XLOOKUP(Tableau119[[#This Row],[Key(ID-date)]],'DATA BTO'!S:S,'DATA BTO'!H:H,FALSE)</f>
        <v>0</v>
      </c>
      <c r="AF126" s="50" t="e">
        <f>IF(Tableau119[[#This Row],[First Day to POL]]&lt;=Tableau119[[#This Row],[Day Cut Off]],Tableau119[[#This Row],[Day ETD]],Tableau119[[#This Row],[Day ETD]]+7)</f>
        <v>#N/A</v>
      </c>
      <c r="AG126" s="50" t="b">
        <f>_xlfn.XLOOKUP(Tableau119[[#This Row],[Key(ID-date)]],'DATA BTO'!S:S,'DATA BTO'!I:I,FALSE)</f>
        <v>0</v>
      </c>
      <c r="AH126" s="3" t="b">
        <f>_xlfn.XLOOKUP(Tableau119[[#This Row],[Key(ID-date)]],'DATA BTO'!S:S,'DATA BTO'!J:J,FALSE)</f>
        <v>0</v>
      </c>
      <c r="AI126" s="3" t="b">
        <f>_xlfn.XLOOKUP(Tableau119[[#This Row],[Key(ID-date)]],'DATA BTO'!S:S,'DATA BTO'!K:K,FALSE)</f>
        <v>0</v>
      </c>
      <c r="AJ126" s="50" t="b">
        <f>_xlfn.XLOOKUP(Tableau119[[#This Row],[Key(ID-date)]],'DATA BTO'!S:S,'DATA BTO'!L:L,FALSE)</f>
        <v>0</v>
      </c>
      <c r="AK126" s="53" t="b">
        <f>_xlfn.XLOOKUP(Tableau119[[#This Row],[Key(ID-date)]],'DATA BTO'!S:S,'DATA BTO'!N:N,FALSE)</f>
        <v>0</v>
      </c>
      <c r="AL126" s="54" t="e">
        <f>VLOOKUP(Tableau119[[#This Row],[Key(POD -PFI- Usine)]],'DATA Consignee'!A:F,6,FALSE)</f>
        <v>#N/A</v>
      </c>
      <c r="AM126" s="127" t="s">
        <v>155</v>
      </c>
      <c r="AN126" s="438">
        <f>IF(Tableau119[[#This Row],[Name PFI/CDD]]="","-",VLOOKUP(Tableau119[[#This Row],[Name PFI/CDD]],Plant_AILN!I:J,2,FALSE))</f>
        <v>90016600</v>
      </c>
      <c r="AO1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6" s="2" t="e">
        <f>VLOOKUP(Tableau119[[#This Row],[Key(POD -PFI- Usine)]],'DATA Consignee'!A:J,10,FALSE)</f>
        <v>#N/A</v>
      </c>
      <c r="AR126" s="50" t="e">
        <f>VLOOKUP(Tableau119[[#This Row],[Key(POD -PFI- Usine)]],'DATA Consignee'!A:N,14,FALSE)</f>
        <v>#N/A</v>
      </c>
      <c r="AS1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6" s="50">
        <f>Tableau119[[#This Row],[Transit time]]+Tableau119[[#This Row],[Time for security]]+Tableau119[[#This Row],[Time for security2 buffer]]</f>
        <v>0</v>
      </c>
      <c r="AV1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6" s="433" t="e">
        <f>Tableau119[[#This Row],[Leadtime SI2C]]+Tableau119[[#This Row],[First Receipt Days]]-Tableau119[[#This Row],[Day Customer Order]]+1</f>
        <v>#N/A</v>
      </c>
      <c r="AX126" s="119" t="e">
        <f>IF(Tableau119[[#This Row],[Name ILN]]&lt;&gt;"SFK Freight Forwarder",Tableau119[[#This Row],[Cust. Leadtime]],Tableau119[[#This Row],[Leadtime SI2C]])</f>
        <v>#N/A</v>
      </c>
      <c r="AY126" s="51" t="b">
        <f>_xlfn.XLOOKUP(Tableau119[[#This Row],[Key(ID-date)]],'DATA BTO'!S:S,'DATA BTO'!P:P,FALSE)</f>
        <v>0</v>
      </c>
      <c r="AZ126" s="338">
        <v>46142</v>
      </c>
      <c r="BA126" s="50"/>
    </row>
    <row r="127" spans="2:53">
      <c r="B127" s="67" t="str">
        <f>_xlfn.CONCAT(Tableau119[[#This Row],[Name ILN]],"-",Tableau119[[#This Row],[Name Shipper]],"-",Tableau119[[#This Row],[Name Site]])</f>
        <v>ILN Busan-ILN Busan-SANDOUVILLE</v>
      </c>
      <c r="C127" s="67" t="str">
        <f>_xlfn.CONCAT(Tableau119[[#This Row],[Compte ILN]],"-",Tableau119[[#This Row],[Compte Shipper]],"-",Tableau119[[#This Row],[POL]],"-",Tableau119[[#This Row],[Compte Consignee]])</f>
        <v>95436-95436-FALSO-90017100</v>
      </c>
      <c r="D127" s="66" t="str">
        <f>_xlfn.CONCAT(Tableau119[[#This Row],[Compte ILN]],"-",Tableau119[[#This Row],[Compte Shipper]],"-",Tableau119[[#This Row],[POL]])</f>
        <v>95436-95436-FALSO</v>
      </c>
      <c r="E127" s="434" t="str">
        <f>_xlfn.CONCAT(Tableau119[[#This Row],[POL]],"-",Tableau119[[#This Row],[Carrier]],"-",Tableau119[[#This Row],[POD]])</f>
        <v>FALSO-FALSO-FALSO</v>
      </c>
      <c r="F127" s="66" t="str">
        <f>_xlfn.CONCAT(Tableau119[[#This Row],[ID]],"-","Actif")</f>
        <v>30-Actif</v>
      </c>
      <c r="G127" s="66" t="str">
        <f>_xlfn.CONCAT(Tableau119[[#This Row],[POD]],"-",Tableau119[[#This Row],[Code PFI]],"-",Tableau119[[#This Row],[Compte Consignee]])</f>
        <v>FALSO-90016600-90017100</v>
      </c>
      <c r="H12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BusanFALSOSANDOUVILLE</v>
      </c>
      <c r="I127" s="434" t="str">
        <f>_xlfn.CONCAT(Tableau119[[#This Row],[ID]],"-",Tableau119[[#This Row],[Expiration Date]])</f>
        <v>30-46142</v>
      </c>
      <c r="J1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Busan-ILN Busan-30-FALSO-FALSO-FALSO-CDD FR-46142</v>
      </c>
      <c r="K127" s="435" t="str">
        <f ca="1">IF(COUNTIF(J:J,Tableau119[[#This Row],[Plant-ILN-shipper-POL-Carrier-POD-PFI]])=1,"Non","Oui")</f>
        <v>Non</v>
      </c>
      <c r="L127" s="128" t="str">
        <f>VLOOKUP(Tableau119[[#This Row],[Name Site]],Plant_AILN!A:D,4,FALSE)</f>
        <v>FRANCE</v>
      </c>
      <c r="M127" s="10" t="s">
        <v>196</v>
      </c>
      <c r="N127" s="439">
        <f>VLOOKUP(Tableau119[[#This Row],[Name Site]],Plant_AILN!A:C,3,FALSE)</f>
        <v>90017100</v>
      </c>
      <c r="O127" s="55">
        <f>IF(Tableau119[[#This Row],[Name PFI/CDD]]="PFI VLL",2,VLOOKUP(Tableau119[[#This Row],[Compte Consignee]],Order!C:D,2,FALSE))</f>
        <v>7</v>
      </c>
      <c r="P127" s="116" t="s">
        <v>166</v>
      </c>
      <c r="Q127" s="365">
        <f>VLOOKUP(Tableau119[[#This Row],[Name ILN]],Plant_AILN!F:G,2,FALSE)</f>
        <v>95436</v>
      </c>
      <c r="R127" s="50">
        <f>VLOOKUP(Tableau119[[#This Row],[Compte ILN]],'DATA ILN'!D:I,6,FALSE)</f>
        <v>9</v>
      </c>
      <c r="S127" s="50" t="e">
        <f>IFERROR(VLOOKUP(Tableau119[[#This Row],[Key(Compte ILN - shipper - POL - plant)]],'DATA ILN'!A:J,10,FALSE),VLOOKUP(Tableau119[[#This Row],[Key(Compte ILN - shipper - POL)]],'DATA ILN'!B:J,9,FALSE))</f>
        <v>#N/A</v>
      </c>
      <c r="T127" s="50" t="e">
        <f>IFERROR(VLOOKUP(Tableau119[[#This Row],[Key(Compte ILN - shipper - POL - plant)]],'DATA ILN'!A:K,11,FALSE),VLOOKUP(Tableau119[[#This Row],[Key(Compte ILN - shipper - POL)]],'DATA ILN'!B:K,10,FALSE))</f>
        <v>#N/A</v>
      </c>
      <c r="U127" s="50" t="e">
        <f>IFERROR(VLOOKUP(Tableau119[[#This Row],[Key(Compte ILN - shipper - POL - plant)]],'DATA ILN'!A:L,12,FALSE),VLOOKUP(Tableau119[[#This Row],[Key(Compte ILN - shipper - POL)]],'DATA ILN'!B:L,11,FALSE))</f>
        <v>#N/A</v>
      </c>
      <c r="V127" s="50" t="e">
        <f>Tableau119[[#This Row],[Day ILN Order]]+Tableau119[[#This Row],[Delivery time to ILN/Shipper]]-1</f>
        <v>#N/A</v>
      </c>
      <c r="W127" s="50" t="e">
        <f>IFERROR(VLOOKUP(Tableau119[[#This Row],[Key(Compte ILN - shipper - POL - plant)]],'DATA ILN'!A:N,14,FALSE),VLOOKUP(Tableau119[[#This Row],[Key(Compte ILN - shipper - POL)]],'DATA ILN'!B:N,13,FALSE))</f>
        <v>#N/A</v>
      </c>
      <c r="X127" s="53" t="e">
        <f>IFERROR(VLOOKUP(Tableau119[[#This Row],[Key(Compte ILN - shipper - POL - plant)]],'DATA ILN'!A:P,16,FALSE),VLOOKUP(Tableau119[[#This Row],[Key(Compte ILN - shipper - POL)]],'DATA ILN'!B:P,15,FALSE))</f>
        <v>#N/A</v>
      </c>
      <c r="Y127" s="284" t="s">
        <v>166</v>
      </c>
      <c r="Z127" s="437">
        <f>IFERROR(VLOOKUP(Tableau119[[#This Row],[Name Shipper]],Plant_AILN!L:M,2,FALSE),0)</f>
        <v>95436</v>
      </c>
      <c r="AA127" s="406">
        <v>30</v>
      </c>
      <c r="AB127" s="396" t="b">
        <f>_xlfn.XLOOKUP(Tableau119[[#This Row],[Key(ID-date)]],'DATA BTO'!S:S,'DATA BTO'!E:E,FALSE)</f>
        <v>0</v>
      </c>
      <c r="AC127" s="3" t="b">
        <f>_xlfn.XLOOKUP(Tableau119[[#This Row],[Key(ID-date)]],'DATA BTO'!S:S,'DATA BTO'!F:F,FALSE)</f>
        <v>0</v>
      </c>
      <c r="AD127" s="50" t="b">
        <f>_xlfn.XLOOKUP(Tableau119[[#This Row],[Key(ID-date)]],'DATA BTO'!S:S,'DATA BTO'!G:G,FALSE)</f>
        <v>0</v>
      </c>
      <c r="AE127" s="50" t="b">
        <f>_xlfn.XLOOKUP(Tableau119[[#This Row],[Key(ID-date)]],'DATA BTO'!S:S,'DATA BTO'!H:H,FALSE)</f>
        <v>0</v>
      </c>
      <c r="AF127" s="50" t="e">
        <f>IF(Tableau119[[#This Row],[First Day to POL]]&lt;=Tableau119[[#This Row],[Day Cut Off]],Tableau119[[#This Row],[Day ETD]],Tableau119[[#This Row],[Day ETD]]+7)</f>
        <v>#N/A</v>
      </c>
      <c r="AG127" s="50" t="b">
        <f>_xlfn.XLOOKUP(Tableau119[[#This Row],[Key(ID-date)]],'DATA BTO'!S:S,'DATA BTO'!I:I,FALSE)</f>
        <v>0</v>
      </c>
      <c r="AH127" s="3" t="b">
        <f>_xlfn.XLOOKUP(Tableau119[[#This Row],[Key(ID-date)]],'DATA BTO'!S:S,'DATA BTO'!J:J,FALSE)</f>
        <v>0</v>
      </c>
      <c r="AI127" s="3" t="b">
        <f>_xlfn.XLOOKUP(Tableau119[[#This Row],[Key(ID-date)]],'DATA BTO'!S:S,'DATA BTO'!K:K,FALSE)</f>
        <v>0</v>
      </c>
      <c r="AJ127" s="50" t="b">
        <f>_xlfn.XLOOKUP(Tableau119[[#This Row],[Key(ID-date)]],'DATA BTO'!S:S,'DATA BTO'!L:L,FALSE)</f>
        <v>0</v>
      </c>
      <c r="AK127" s="53" t="b">
        <f>_xlfn.XLOOKUP(Tableau119[[#This Row],[Key(ID-date)]],'DATA BTO'!S:S,'DATA BTO'!N:N,FALSE)</f>
        <v>0</v>
      </c>
      <c r="AL127" s="54" t="e">
        <f>VLOOKUP(Tableau119[[#This Row],[Key(POD -PFI- Usine)]],'DATA Consignee'!A:F,6,FALSE)</f>
        <v>#N/A</v>
      </c>
      <c r="AM127" s="127" t="s">
        <v>155</v>
      </c>
      <c r="AN127" s="438">
        <f>IF(Tableau119[[#This Row],[Name PFI/CDD]]="","-",VLOOKUP(Tableau119[[#This Row],[Name PFI/CDD]],Plant_AILN!I:J,2,FALSE))</f>
        <v>90016600</v>
      </c>
      <c r="AO1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7" s="2" t="e">
        <f>VLOOKUP(Tableau119[[#This Row],[Key(POD -PFI- Usine)]],'DATA Consignee'!A:J,10,FALSE)</f>
        <v>#N/A</v>
      </c>
      <c r="AR127" s="50" t="e">
        <f>VLOOKUP(Tableau119[[#This Row],[Key(POD -PFI- Usine)]],'DATA Consignee'!A:N,14,FALSE)</f>
        <v>#N/A</v>
      </c>
      <c r="AS12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7" s="50">
        <f>Tableau119[[#This Row],[Transit time]]+Tableau119[[#This Row],[Time for security]]+Tableau119[[#This Row],[Time for security2 buffer]]</f>
        <v>0</v>
      </c>
      <c r="AV1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7" s="433" t="e">
        <f>Tableau119[[#This Row],[Leadtime SI2C]]+Tableau119[[#This Row],[First Receipt Days]]-Tableau119[[#This Row],[Day Customer Order]]+1</f>
        <v>#N/A</v>
      </c>
      <c r="AX127" s="119" t="e">
        <f>IF(Tableau119[[#This Row],[Name ILN]]&lt;&gt;"SFK Freight Forwarder",Tableau119[[#This Row],[Cust. Leadtime]],Tableau119[[#This Row],[Leadtime SI2C]])</f>
        <v>#N/A</v>
      </c>
      <c r="AY127" s="51" t="b">
        <f>_xlfn.XLOOKUP(Tableau119[[#This Row],[Key(ID-date)]],'DATA BTO'!S:S,'DATA BTO'!P:P,FALSE)</f>
        <v>0</v>
      </c>
      <c r="AZ127" s="338">
        <v>46142</v>
      </c>
      <c r="BA127" s="50"/>
    </row>
    <row r="128" spans="2:53">
      <c r="B128" s="67" t="str">
        <f>_xlfn.CONCAT(Tableau119[[#This Row],[Name ILN]],"-",Tableau119[[#This Row],[Name Shipper]],"-",Tableau119[[#This Row],[Name Site]])</f>
        <v>ILN Busan-ILN Busan-SOVAB</v>
      </c>
      <c r="C128" s="67" t="str">
        <f>_xlfn.CONCAT(Tableau119[[#This Row],[Compte ILN]],"-",Tableau119[[#This Row],[Compte Shipper]],"-",Tableau119[[#This Row],[POL]],"-",Tableau119[[#This Row],[Compte Consignee]])</f>
        <v>95436-95436-FALSO-90016900</v>
      </c>
      <c r="D128" s="66" t="str">
        <f>_xlfn.CONCAT(Tableau119[[#This Row],[Compte ILN]],"-",Tableau119[[#This Row],[Compte Shipper]],"-",Tableau119[[#This Row],[POL]])</f>
        <v>95436-95436-FALSO</v>
      </c>
      <c r="E128" s="434" t="str">
        <f>_xlfn.CONCAT(Tableau119[[#This Row],[POL]],"-",Tableau119[[#This Row],[Carrier]],"-",Tableau119[[#This Row],[POD]])</f>
        <v>FALSO-FALSO-FALSO</v>
      </c>
      <c r="F128" s="66" t="str">
        <f>_xlfn.CONCAT(Tableau119[[#This Row],[ID]],"-","Actif")</f>
        <v>30-Actif</v>
      </c>
      <c r="G128" s="66" t="str">
        <f>_xlfn.CONCAT(Tableau119[[#This Row],[POD]],"-",Tableau119[[#This Row],[Code PFI]],"-",Tableau119[[#This Row],[Compte Consignee]])</f>
        <v>FALSO-90016600-90016900</v>
      </c>
      <c r="H12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BusanFALSOSOVAB</v>
      </c>
      <c r="I128" s="434" t="str">
        <f>_xlfn.CONCAT(Tableau119[[#This Row],[ID]],"-",Tableau119[[#This Row],[Expiration Date]])</f>
        <v>30-46142</v>
      </c>
      <c r="J1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Busan-ILN Busan-30-FALSO-FALSO-FALSO-CDD FR-46142</v>
      </c>
      <c r="K128" s="435" t="str">
        <f ca="1">IF(COUNTIF(J:J,Tableau119[[#This Row],[Plant-ILN-shipper-POL-Carrier-POD-PFI]])=1,"Non","Oui")</f>
        <v>Non</v>
      </c>
      <c r="L128" s="128" t="str">
        <f>VLOOKUP(Tableau119[[#This Row],[Name Site]],Plant_AILN!A:D,4,FALSE)</f>
        <v>FRANCE</v>
      </c>
      <c r="M128" s="10" t="s">
        <v>154</v>
      </c>
      <c r="N128" s="439">
        <f>VLOOKUP(Tableau119[[#This Row],[Name Site]],Plant_AILN!A:C,3,FALSE)</f>
        <v>90016900</v>
      </c>
      <c r="O128" s="55">
        <f>IF(Tableau119[[#This Row],[Name PFI/CDD]]="PFI VLL",2,VLOOKUP(Tableau119[[#This Row],[Compte Consignee]],Order!C:D,2,FALSE))</f>
        <v>7</v>
      </c>
      <c r="P128" s="116" t="s">
        <v>166</v>
      </c>
      <c r="Q128" s="365">
        <f>VLOOKUP(Tableau119[[#This Row],[Name ILN]],Plant_AILN!F:G,2,FALSE)</f>
        <v>95436</v>
      </c>
      <c r="R128" s="50">
        <f>VLOOKUP(Tableau119[[#This Row],[Compte ILN]],'DATA ILN'!D:I,6,FALSE)</f>
        <v>9</v>
      </c>
      <c r="S128" s="50" t="e">
        <f>IFERROR(VLOOKUP(Tableau119[[#This Row],[Key(Compte ILN - shipper - POL - plant)]],'DATA ILN'!A:J,10,FALSE),VLOOKUP(Tableau119[[#This Row],[Key(Compte ILN - shipper - POL)]],'DATA ILN'!B:J,9,FALSE))</f>
        <v>#N/A</v>
      </c>
      <c r="T128" s="50" t="e">
        <f>IFERROR(VLOOKUP(Tableau119[[#This Row],[Key(Compte ILN - shipper - POL - plant)]],'DATA ILN'!A:K,11,FALSE),VLOOKUP(Tableau119[[#This Row],[Key(Compte ILN - shipper - POL)]],'DATA ILN'!B:K,10,FALSE))</f>
        <v>#N/A</v>
      </c>
      <c r="U128" s="50" t="e">
        <f>IFERROR(VLOOKUP(Tableau119[[#This Row],[Key(Compte ILN - shipper - POL - plant)]],'DATA ILN'!A:L,12,FALSE),VLOOKUP(Tableau119[[#This Row],[Key(Compte ILN - shipper - POL)]],'DATA ILN'!B:L,11,FALSE))</f>
        <v>#N/A</v>
      </c>
      <c r="V128" s="50" t="e">
        <f>Tableau119[[#This Row],[Day ILN Order]]+Tableau119[[#This Row],[Delivery time to ILN/Shipper]]-1</f>
        <v>#N/A</v>
      </c>
      <c r="W128" s="50" t="e">
        <f>IFERROR(VLOOKUP(Tableau119[[#This Row],[Key(Compte ILN - shipper - POL - plant)]],'DATA ILN'!A:N,14,FALSE),VLOOKUP(Tableau119[[#This Row],[Key(Compte ILN - shipper - POL)]],'DATA ILN'!B:N,13,FALSE))</f>
        <v>#N/A</v>
      </c>
      <c r="X128" s="53" t="e">
        <f>IFERROR(VLOOKUP(Tableau119[[#This Row],[Key(Compte ILN - shipper - POL - plant)]],'DATA ILN'!A:P,16,FALSE),VLOOKUP(Tableau119[[#This Row],[Key(Compte ILN - shipper - POL)]],'DATA ILN'!B:P,15,FALSE))</f>
        <v>#N/A</v>
      </c>
      <c r="Y128" s="284" t="s">
        <v>166</v>
      </c>
      <c r="Z128" s="437">
        <f>IFERROR(VLOOKUP(Tableau119[[#This Row],[Name Shipper]],Plant_AILN!L:M,2,FALSE),0)</f>
        <v>95436</v>
      </c>
      <c r="AA128" s="406">
        <v>30</v>
      </c>
      <c r="AB128" s="396" t="b">
        <f>_xlfn.XLOOKUP(Tableau119[[#This Row],[Key(ID-date)]],'DATA BTO'!S:S,'DATA BTO'!E:E,FALSE)</f>
        <v>0</v>
      </c>
      <c r="AC128" s="3" t="b">
        <f>_xlfn.XLOOKUP(Tableau119[[#This Row],[Key(ID-date)]],'DATA BTO'!S:S,'DATA BTO'!F:F,FALSE)</f>
        <v>0</v>
      </c>
      <c r="AD128" s="50" t="b">
        <f>_xlfn.XLOOKUP(Tableau119[[#This Row],[Key(ID-date)]],'DATA BTO'!S:S,'DATA BTO'!G:G,FALSE)</f>
        <v>0</v>
      </c>
      <c r="AE128" s="50" t="b">
        <f>_xlfn.XLOOKUP(Tableau119[[#This Row],[Key(ID-date)]],'DATA BTO'!S:S,'DATA BTO'!H:H,FALSE)</f>
        <v>0</v>
      </c>
      <c r="AF128" s="50" t="e">
        <f>IF(Tableau119[[#This Row],[First Day to POL]]&lt;=Tableau119[[#This Row],[Day Cut Off]],Tableau119[[#This Row],[Day ETD]],Tableau119[[#This Row],[Day ETD]]+7)</f>
        <v>#N/A</v>
      </c>
      <c r="AG128" s="50" t="b">
        <f>_xlfn.XLOOKUP(Tableau119[[#This Row],[Key(ID-date)]],'DATA BTO'!S:S,'DATA BTO'!I:I,FALSE)</f>
        <v>0</v>
      </c>
      <c r="AH128" s="3" t="b">
        <f>_xlfn.XLOOKUP(Tableau119[[#This Row],[Key(ID-date)]],'DATA BTO'!S:S,'DATA BTO'!J:J,FALSE)</f>
        <v>0</v>
      </c>
      <c r="AI128" s="3" t="b">
        <f>_xlfn.XLOOKUP(Tableau119[[#This Row],[Key(ID-date)]],'DATA BTO'!S:S,'DATA BTO'!K:K,FALSE)</f>
        <v>0</v>
      </c>
      <c r="AJ128" s="50" t="b">
        <f>_xlfn.XLOOKUP(Tableau119[[#This Row],[Key(ID-date)]],'DATA BTO'!S:S,'DATA BTO'!L:L,FALSE)</f>
        <v>0</v>
      </c>
      <c r="AK128" s="53" t="b">
        <f>_xlfn.XLOOKUP(Tableau119[[#This Row],[Key(ID-date)]],'DATA BTO'!S:S,'DATA BTO'!N:N,FALSE)</f>
        <v>0</v>
      </c>
      <c r="AL128" s="54" t="e">
        <f>VLOOKUP(Tableau119[[#This Row],[Key(POD -PFI- Usine)]],'DATA Consignee'!A:F,6,FALSE)</f>
        <v>#N/A</v>
      </c>
      <c r="AM128" s="127" t="s">
        <v>155</v>
      </c>
      <c r="AN128" s="438">
        <f>IF(Tableau119[[#This Row],[Name PFI/CDD]]="","-",VLOOKUP(Tableau119[[#This Row],[Name PFI/CDD]],Plant_AILN!I:J,2,FALSE))</f>
        <v>90016600</v>
      </c>
      <c r="AO1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8" s="2" t="e">
        <f>VLOOKUP(Tableau119[[#This Row],[Key(POD -PFI- Usine)]],'DATA Consignee'!A:J,10,FALSE)</f>
        <v>#N/A</v>
      </c>
      <c r="AR128" s="50" t="e">
        <f>VLOOKUP(Tableau119[[#This Row],[Key(POD -PFI- Usine)]],'DATA Consignee'!A:N,14,FALSE)</f>
        <v>#N/A</v>
      </c>
      <c r="AS1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8" s="50">
        <f>Tableau119[[#This Row],[Transit time]]+Tableau119[[#This Row],[Time for security]]+Tableau119[[#This Row],[Time for security2 buffer]]</f>
        <v>0</v>
      </c>
      <c r="AV1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8" s="433" t="e">
        <f>Tableau119[[#This Row],[Leadtime SI2C]]+Tableau119[[#This Row],[First Receipt Days]]-Tableau119[[#This Row],[Day Customer Order]]+1</f>
        <v>#N/A</v>
      </c>
      <c r="AX128" s="119" t="e">
        <f>IF(Tableau119[[#This Row],[Name ILN]]&lt;&gt;"SFK Freight Forwarder",Tableau119[[#This Row],[Cust. Leadtime]],Tableau119[[#This Row],[Leadtime SI2C]])</f>
        <v>#N/A</v>
      </c>
      <c r="AY128" s="51" t="b">
        <f>_xlfn.XLOOKUP(Tableau119[[#This Row],[Key(ID-date)]],'DATA BTO'!S:S,'DATA BTO'!P:P,FALSE)</f>
        <v>0</v>
      </c>
      <c r="AZ128" s="338">
        <v>46142</v>
      </c>
      <c r="BA128" s="50"/>
    </row>
    <row r="129" spans="2:53">
      <c r="B129" s="67" t="str">
        <f>_xlfn.CONCAT(Tableau119[[#This Row],[Name ILN]],"-",Tableau119[[#This Row],[Name Shipper]],"-",Tableau119[[#This Row],[Name Site]])</f>
        <v>ILN Busan-ILN Busan-STA</v>
      </c>
      <c r="C129" s="67" t="str">
        <f>_xlfn.CONCAT(Tableau119[[#This Row],[Compte ILN]],"-",Tableau119[[#This Row],[Compte Shipper]],"-",Tableau119[[#This Row],[POL]],"-",Tableau119[[#This Row],[Compte Consignee]])</f>
        <v>95436-95436-FALSO-90018400</v>
      </c>
      <c r="D129" s="66" t="str">
        <f>_xlfn.CONCAT(Tableau119[[#This Row],[Compte ILN]],"-",Tableau119[[#This Row],[Compte Shipper]],"-",Tableau119[[#This Row],[POL]])</f>
        <v>95436-95436-FALSO</v>
      </c>
      <c r="E129" s="434" t="str">
        <f>_xlfn.CONCAT(Tableau119[[#This Row],[POL]],"-",Tableau119[[#This Row],[Carrier]],"-",Tableau119[[#This Row],[POD]])</f>
        <v>FALSO-FALSO-FALSO</v>
      </c>
      <c r="F129" s="66" t="str">
        <f>_xlfn.CONCAT(Tableau119[[#This Row],[ID]],"-","Actif")</f>
        <v>30-Actif</v>
      </c>
      <c r="G129" s="66" t="str">
        <f>_xlfn.CONCAT(Tableau119[[#This Row],[POD]],"-",Tableau119[[#This Row],[Code PFI]],"-",Tableau119[[#This Row],[Compte Consignee]])</f>
        <v>FALSO-90016600-90018400</v>
      </c>
      <c r="H12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BusanFALSOSTA</v>
      </c>
      <c r="I129" s="434" t="str">
        <f>_xlfn.CONCAT(Tableau119[[#This Row],[ID]],"-",Tableau119[[#This Row],[Expiration Date]])</f>
        <v>30-46142</v>
      </c>
      <c r="J1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Busan-ILN Busan-30-FALSO-FALSO-FALSO-CDD FR-46142</v>
      </c>
      <c r="K129" s="435" t="str">
        <f ca="1">IF(COUNTIF(J:J,Tableau119[[#This Row],[Plant-ILN-shipper-POL-Carrier-POD-PFI]])=1,"Non","Oui")</f>
        <v>Non</v>
      </c>
      <c r="L129" s="128" t="str">
        <f>VLOOKUP(Tableau119[[#This Row],[Name Site]],Plant_AILN!A:D,4,FALSE)</f>
        <v>FRANCE</v>
      </c>
      <c r="M129" s="10" t="s">
        <v>219</v>
      </c>
      <c r="N129" s="439">
        <f>VLOOKUP(Tableau119[[#This Row],[Name Site]],Plant_AILN!A:C,3,FALSE)</f>
        <v>90018400</v>
      </c>
      <c r="O129" s="55">
        <f>IF(Tableau119[[#This Row],[Name PFI/CDD]]="PFI VLL",2,VLOOKUP(Tableau119[[#This Row],[Compte Consignee]],Order!C:D,2,FALSE))</f>
        <v>7</v>
      </c>
      <c r="P129" s="116" t="s">
        <v>166</v>
      </c>
      <c r="Q129" s="365">
        <f>VLOOKUP(Tableau119[[#This Row],[Name ILN]],Plant_AILN!F:G,2,FALSE)</f>
        <v>95436</v>
      </c>
      <c r="R129" s="50">
        <f>VLOOKUP(Tableau119[[#This Row],[Compte ILN]],'DATA ILN'!D:I,6,FALSE)</f>
        <v>9</v>
      </c>
      <c r="S129" s="50" t="e">
        <f>IFERROR(VLOOKUP(Tableau119[[#This Row],[Key(Compte ILN - shipper - POL - plant)]],'DATA ILN'!A:J,10,FALSE),VLOOKUP(Tableau119[[#This Row],[Key(Compte ILN - shipper - POL)]],'DATA ILN'!B:J,9,FALSE))</f>
        <v>#N/A</v>
      </c>
      <c r="T129" s="50" t="e">
        <f>IFERROR(VLOOKUP(Tableau119[[#This Row],[Key(Compte ILN - shipper - POL - plant)]],'DATA ILN'!A:K,11,FALSE),VLOOKUP(Tableau119[[#This Row],[Key(Compte ILN - shipper - POL)]],'DATA ILN'!B:K,10,FALSE))</f>
        <v>#N/A</v>
      </c>
      <c r="U129" s="50" t="e">
        <f>IFERROR(VLOOKUP(Tableau119[[#This Row],[Key(Compte ILN - shipper - POL - plant)]],'DATA ILN'!A:L,12,FALSE),VLOOKUP(Tableau119[[#This Row],[Key(Compte ILN - shipper - POL)]],'DATA ILN'!B:L,11,FALSE))</f>
        <v>#N/A</v>
      </c>
      <c r="V129" s="50" t="e">
        <f>Tableau119[[#This Row],[Day ILN Order]]+Tableau119[[#This Row],[Delivery time to ILN/Shipper]]-1</f>
        <v>#N/A</v>
      </c>
      <c r="W129" s="50" t="e">
        <f>IFERROR(VLOOKUP(Tableau119[[#This Row],[Key(Compte ILN - shipper - POL - plant)]],'DATA ILN'!A:N,14,FALSE),VLOOKUP(Tableau119[[#This Row],[Key(Compte ILN - shipper - POL)]],'DATA ILN'!B:N,13,FALSE))</f>
        <v>#N/A</v>
      </c>
      <c r="X129" s="53" t="e">
        <f>IFERROR(VLOOKUP(Tableau119[[#This Row],[Key(Compte ILN - shipper - POL - plant)]],'DATA ILN'!A:P,16,FALSE),VLOOKUP(Tableau119[[#This Row],[Key(Compte ILN - shipper - POL)]],'DATA ILN'!B:P,15,FALSE))</f>
        <v>#N/A</v>
      </c>
      <c r="Y129" s="284" t="s">
        <v>166</v>
      </c>
      <c r="Z129" s="437">
        <f>IFERROR(VLOOKUP(Tableau119[[#This Row],[Name Shipper]],Plant_AILN!L:M,2,FALSE),0)</f>
        <v>95436</v>
      </c>
      <c r="AA129" s="406">
        <v>30</v>
      </c>
      <c r="AB129" s="396" t="b">
        <f>_xlfn.XLOOKUP(Tableau119[[#This Row],[Key(ID-date)]],'DATA BTO'!S:S,'DATA BTO'!E:E,FALSE)</f>
        <v>0</v>
      </c>
      <c r="AC129" s="3" t="b">
        <f>_xlfn.XLOOKUP(Tableau119[[#This Row],[Key(ID-date)]],'DATA BTO'!S:S,'DATA BTO'!F:F,FALSE)</f>
        <v>0</v>
      </c>
      <c r="AD129" s="50" t="b">
        <f>_xlfn.XLOOKUP(Tableau119[[#This Row],[Key(ID-date)]],'DATA BTO'!S:S,'DATA BTO'!G:G,FALSE)</f>
        <v>0</v>
      </c>
      <c r="AE129" s="50" t="b">
        <f>_xlfn.XLOOKUP(Tableau119[[#This Row],[Key(ID-date)]],'DATA BTO'!S:S,'DATA BTO'!H:H,FALSE)</f>
        <v>0</v>
      </c>
      <c r="AF129" s="50" t="e">
        <f>IF(Tableau119[[#This Row],[First Day to POL]]&lt;=Tableau119[[#This Row],[Day Cut Off]],Tableau119[[#This Row],[Day ETD]],Tableau119[[#This Row],[Day ETD]]+7)</f>
        <v>#N/A</v>
      </c>
      <c r="AG129" s="50" t="b">
        <f>_xlfn.XLOOKUP(Tableau119[[#This Row],[Key(ID-date)]],'DATA BTO'!S:S,'DATA BTO'!I:I,FALSE)</f>
        <v>0</v>
      </c>
      <c r="AH129" s="3" t="b">
        <f>_xlfn.XLOOKUP(Tableau119[[#This Row],[Key(ID-date)]],'DATA BTO'!S:S,'DATA BTO'!J:J,FALSE)</f>
        <v>0</v>
      </c>
      <c r="AI129" s="3" t="b">
        <f>_xlfn.XLOOKUP(Tableau119[[#This Row],[Key(ID-date)]],'DATA BTO'!S:S,'DATA BTO'!K:K,FALSE)</f>
        <v>0</v>
      </c>
      <c r="AJ129" s="50" t="b">
        <f>_xlfn.XLOOKUP(Tableau119[[#This Row],[Key(ID-date)]],'DATA BTO'!S:S,'DATA BTO'!L:L,FALSE)</f>
        <v>0</v>
      </c>
      <c r="AK129" s="53" t="b">
        <f>_xlfn.XLOOKUP(Tableau119[[#This Row],[Key(ID-date)]],'DATA BTO'!S:S,'DATA BTO'!N:N,FALSE)</f>
        <v>0</v>
      </c>
      <c r="AL129" s="54" t="e">
        <f>VLOOKUP(Tableau119[[#This Row],[Key(POD -PFI- Usine)]],'DATA Consignee'!A:F,6,FALSE)</f>
        <v>#N/A</v>
      </c>
      <c r="AM129" s="127" t="s">
        <v>155</v>
      </c>
      <c r="AN129" s="438">
        <f>IF(Tableau119[[#This Row],[Name PFI/CDD]]="","-",VLOOKUP(Tableau119[[#This Row],[Name PFI/CDD]],Plant_AILN!I:J,2,FALSE))</f>
        <v>90016600</v>
      </c>
      <c r="AO1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29" s="2" t="e">
        <f>VLOOKUP(Tableau119[[#This Row],[Key(POD -PFI- Usine)]],'DATA Consignee'!A:J,10,FALSE)</f>
        <v>#N/A</v>
      </c>
      <c r="AR129" s="50" t="e">
        <f>VLOOKUP(Tableau119[[#This Row],[Key(POD -PFI- Usine)]],'DATA Consignee'!A:N,14,FALSE)</f>
        <v>#N/A</v>
      </c>
      <c r="AS1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29" s="50">
        <f>Tableau119[[#This Row],[Transit time]]+Tableau119[[#This Row],[Time for security]]+Tableau119[[#This Row],[Time for security2 buffer]]</f>
        <v>0</v>
      </c>
      <c r="AV1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29" s="433" t="e">
        <f>Tableau119[[#This Row],[Leadtime SI2C]]+Tableau119[[#This Row],[First Receipt Days]]-Tableau119[[#This Row],[Day Customer Order]]+1</f>
        <v>#N/A</v>
      </c>
      <c r="AX129" s="119" t="e">
        <f>IF(Tableau119[[#This Row],[Name ILN]]&lt;&gt;"SFK Freight Forwarder",Tableau119[[#This Row],[Cust. Leadtime]],Tableau119[[#This Row],[Leadtime SI2C]])</f>
        <v>#N/A</v>
      </c>
      <c r="AY129" s="51" t="b">
        <f>_xlfn.XLOOKUP(Tableau119[[#This Row],[Key(ID-date)]],'DATA BTO'!S:S,'DATA BTO'!P:P,FALSE)</f>
        <v>0</v>
      </c>
      <c r="AZ129" s="338">
        <v>46142</v>
      </c>
      <c r="BA129" s="50"/>
    </row>
    <row r="130" spans="2:53">
      <c r="B130" s="474" t="str">
        <f>_xlfn.CONCAT(Tableau119[[#This Row],[Name ILN]],"-",Tableau119[[#This Row],[Name Shipper]],"-",Tableau119[[#This Row],[Name Site]])</f>
        <v>ILN Busan-ILN Busan-FLINS</v>
      </c>
      <c r="C130" s="67" t="str">
        <f>_xlfn.CONCAT(Tableau119[[#This Row],[Compte ILN]],"-",Tableau119[[#This Row],[Compte Shipper]],"-",Tableau119[[#This Row],[POL]],"-",Tableau119[[#This Row],[Compte Consignee]])</f>
        <v>95436-95436-FALSO-90015100</v>
      </c>
      <c r="D130" s="66" t="str">
        <f>_xlfn.CONCAT(Tableau119[[#This Row],[Compte ILN]],"-",Tableau119[[#This Row],[Compte Shipper]],"-",Tableau119[[#This Row],[POL]])</f>
        <v>95436-95436-FALSO</v>
      </c>
      <c r="E130" s="434" t="str">
        <f>_xlfn.CONCAT(Tableau119[[#This Row],[POL]],"-",Tableau119[[#This Row],[Carrier]],"-",Tableau119[[#This Row],[POD]])</f>
        <v>FALSO-FALSO-FALSO</v>
      </c>
      <c r="F130" s="66" t="str">
        <f>_xlfn.CONCAT(Tableau119[[#This Row],[ID]],"-","Actif")</f>
        <v>30-Actif</v>
      </c>
      <c r="G130" s="66" t="str">
        <f>_xlfn.CONCAT(Tableau119[[#This Row],[POD]],"-",Tableau119[[#This Row],[Code PFI]],"-",Tableau119[[#This Row],[Compte Consignee]])</f>
        <v>FALSO---90015100</v>
      </c>
      <c r="H13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BusanFALSOFLINS</v>
      </c>
      <c r="I130" s="434" t="str">
        <f>_xlfn.CONCAT(Tableau119[[#This Row],[ID]],"-",Tableau119[[#This Row],[Expiration Date]])</f>
        <v>30-45869</v>
      </c>
      <c r="J1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Busan-ILN Busan-30-FALSO-FALSO-FALSO--45869</v>
      </c>
      <c r="K130" s="435" t="str">
        <f ca="1">IF(COUNTIF(J:J,Tableau119[[#This Row],[Plant-ILN-shipper-POL-Carrier-POD-PFI]])=1,"Non","Oui")</f>
        <v>Non</v>
      </c>
      <c r="L130" s="128" t="str">
        <f>VLOOKUP(Tableau119[[#This Row],[Name Site]],Plant_AILN!A:D,4,FALSE)</f>
        <v>FRANCE</v>
      </c>
      <c r="M130" s="411" t="s">
        <v>209</v>
      </c>
      <c r="N130" s="439">
        <f>VLOOKUP(Tableau119[[#This Row],[Name Site]],Plant_AILN!A:C,3,FALSE)</f>
        <v>90015100</v>
      </c>
      <c r="O130" s="55">
        <f>VLOOKUP(Tableau119[[#This Row],[Compte Consignee]],Order!C:D,2,FALSE)</f>
        <v>7</v>
      </c>
      <c r="P130" s="124" t="s">
        <v>166</v>
      </c>
      <c r="Q130" s="365">
        <f>VLOOKUP(Tableau119[[#This Row],[Name ILN]],Plant_AILN!F:G,2,FALSE)</f>
        <v>95436</v>
      </c>
      <c r="R130" s="50">
        <f>VLOOKUP(Tableau119[[#This Row],[Compte ILN]],'DATA ILN'!D:I,6,FALSE)</f>
        <v>9</v>
      </c>
      <c r="S130" s="50" t="e">
        <f>IFERROR(VLOOKUP(Tableau119[[#This Row],[Key(Compte ILN - shipper - POL - plant)]],'DATA ILN'!A:J,10,FALSE),VLOOKUP(Tableau119[[#This Row],[Key(Compte ILN - shipper - POL)]],'DATA ILN'!B:J,9,FALSE))</f>
        <v>#N/A</v>
      </c>
      <c r="T130" s="50" t="e">
        <f>IFERROR(VLOOKUP(Tableau119[[#This Row],[Key(Compte ILN - shipper - POL - plant)]],'DATA ILN'!A:K,11,FALSE),VLOOKUP(Tableau119[[#This Row],[Key(Compte ILN - shipper - POL)]],'DATA ILN'!B:K,10,FALSE))</f>
        <v>#N/A</v>
      </c>
      <c r="U130" s="50" t="e">
        <f>IFERROR(VLOOKUP(Tableau119[[#This Row],[Key(Compte ILN - shipper - POL - plant)]],'DATA ILN'!A:L,12,FALSE),VLOOKUP(Tableau119[[#This Row],[Key(Compte ILN - shipper - POL)]],'DATA ILN'!B:L,11,FALSE))</f>
        <v>#N/A</v>
      </c>
      <c r="V130" s="50" t="e">
        <f>Tableau119[[#This Row],[Day ILN Order]]+Tableau119[[#This Row],[Delivery time to ILN/Shipper]]-1</f>
        <v>#N/A</v>
      </c>
      <c r="W130" s="50" t="e">
        <f>IFERROR(VLOOKUP(Tableau119[[#This Row],[Key(Compte ILN - shipper - POL - plant)]],'DATA ILN'!A:N,14,FALSE),VLOOKUP(Tableau119[[#This Row],[Key(Compte ILN - shipper - POL)]],'DATA ILN'!B:N,13,FALSE))</f>
        <v>#N/A</v>
      </c>
      <c r="X130" s="53" t="e">
        <f>IFERROR(VLOOKUP(Tableau119[[#This Row],[Key(Compte ILN - shipper - POL - plant)]],'DATA ILN'!A:P,16,FALSE),VLOOKUP(Tableau119[[#This Row],[Key(Compte ILN - shipper - POL)]],'DATA ILN'!B:P,15,FALSE))</f>
        <v>#N/A</v>
      </c>
      <c r="Y130" s="284" t="s">
        <v>166</v>
      </c>
      <c r="Z130" s="437">
        <f>IFERROR(VLOOKUP(Tableau119[[#This Row],[Name Shipper]],Plant_AILN!L:M,2,FALSE),0)</f>
        <v>95436</v>
      </c>
      <c r="AA130" s="406">
        <v>30</v>
      </c>
      <c r="AB130" s="396" t="b">
        <f>_xlfn.XLOOKUP(Tableau119[[#This Row],[Key(ID-date)]],'DATA BTO'!S:S,'DATA BTO'!E:E,FALSE)</f>
        <v>0</v>
      </c>
      <c r="AC130" s="3" t="b">
        <f>_xlfn.XLOOKUP(Tableau119[[#This Row],[Key(ID-date)]],'DATA BTO'!S:S,'DATA BTO'!F:F,FALSE)</f>
        <v>0</v>
      </c>
      <c r="AD130" s="50" t="b">
        <f>_xlfn.XLOOKUP(Tableau119[[#This Row],[Key(ID-date)]],'DATA BTO'!S:S,'DATA BTO'!G:G,FALSE)</f>
        <v>0</v>
      </c>
      <c r="AE130" s="50" t="b">
        <f>_xlfn.XLOOKUP(Tableau119[[#This Row],[Key(ID-date)]],'DATA BTO'!S:S,'DATA BTO'!H:H,FALSE)</f>
        <v>0</v>
      </c>
      <c r="AF130" s="50" t="e">
        <f>IF(Tableau119[[#This Row],[First Day to POL]]&lt;=Tableau119[[#This Row],[Day Cut Off]],Tableau119[[#This Row],[Day ETD]],Tableau119[[#This Row],[Day ETD]]+7)</f>
        <v>#N/A</v>
      </c>
      <c r="AG130" s="50" t="b">
        <f>_xlfn.XLOOKUP(Tableau119[[#This Row],[Key(ID-date)]],'DATA BTO'!S:S,'DATA BTO'!I:I,FALSE)</f>
        <v>0</v>
      </c>
      <c r="AH130" s="3" t="b">
        <f>_xlfn.XLOOKUP(Tableau119[[#This Row],[Key(ID-date)]],'DATA BTO'!S:S,'DATA BTO'!J:J,FALSE)</f>
        <v>0</v>
      </c>
      <c r="AI130" s="3" t="b">
        <f>_xlfn.XLOOKUP(Tableau119[[#This Row],[Key(ID-date)]],'DATA BTO'!S:S,'DATA BTO'!K:K,FALSE)</f>
        <v>0</v>
      </c>
      <c r="AJ130" s="50" t="b">
        <f>_xlfn.XLOOKUP(Tableau119[[#This Row],[Key(ID-date)]],'DATA BTO'!S:S,'DATA BTO'!L:L,FALSE)</f>
        <v>0</v>
      </c>
      <c r="AK130" s="53" t="b">
        <f>_xlfn.XLOOKUP(Tableau119[[#This Row],[Key(ID-date)]],'DATA BTO'!S:S,'DATA BTO'!N:N,FALSE)</f>
        <v>0</v>
      </c>
      <c r="AL130" s="54" t="e">
        <f>VLOOKUP(Tableau119[[#This Row],[Key(POD -PFI- Usine)]],'DATA Consignee'!A:F,6,FALSE)</f>
        <v>#N/A</v>
      </c>
      <c r="AM130" s="127"/>
      <c r="AN130" s="438" t="str">
        <f>IF(Tableau119[[#This Row],[Name PFI/CDD]]="","-",VLOOKUP(Tableau119[[#This Row],[Name PFI/CDD]],Plant_AILN!I:J,2,FALSE))</f>
        <v>-</v>
      </c>
      <c r="AO1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0" s="2" t="e">
        <f>VLOOKUP(Tableau119[[#This Row],[Key(POD -PFI- Usine)]],'DATA Consignee'!A:J,10,FALSE)</f>
        <v>#N/A</v>
      </c>
      <c r="AR130" s="50" t="e">
        <f>VLOOKUP(Tableau119[[#This Row],[Key(POD -PFI- Usine)]],'DATA Consignee'!A:N,14,FALSE)</f>
        <v>#N/A</v>
      </c>
      <c r="AS1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0" s="50">
        <f>Tableau119[[#This Row],[Transit time]]+Tableau119[[#This Row],[Time for security]]+Tableau119[[#This Row],[Time for security2 buffer]]</f>
        <v>0</v>
      </c>
      <c r="AV1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0" s="433" t="e">
        <f>Tableau119[[#This Row],[Leadtime SI2C]]+Tableau119[[#This Row],[First Receipt Days]]-Tableau119[[#This Row],[Day Customer Order]]+1</f>
        <v>#N/A</v>
      </c>
      <c r="AX130" s="119" t="e">
        <f>IF(Tableau119[[#This Row],[Name ILN]]&lt;&gt;"SFK Freight Forwarder",Tableau119[[#This Row],[Cust. Leadtime]],Tableau119[[#This Row],[Leadtime SI2C]])</f>
        <v>#N/A</v>
      </c>
      <c r="AY130" s="51" t="b">
        <f>_xlfn.XLOOKUP(Tableau119[[#This Row],[Key(ID-date)]],'DATA BTO'!S:S,'DATA BTO'!P:P,FALSE)</f>
        <v>0</v>
      </c>
      <c r="AZ130" s="338">
        <v>45869</v>
      </c>
      <c r="BA130" s="50"/>
    </row>
    <row r="131" spans="2:53">
      <c r="B131" s="474" t="str">
        <f>_xlfn.CONCAT(Tableau119[[#This Row],[Name ILN]],"-",Tableau119[[#This Row],[Name Shipper]],"-",Tableau119[[#This Row],[Name Site]])</f>
        <v>ILN Busan-ILN Busan-MAUBEUGE</v>
      </c>
      <c r="C131" s="67" t="str">
        <f>_xlfn.CONCAT(Tableau119[[#This Row],[Compte ILN]],"-",Tableau119[[#This Row],[Compte Shipper]],"-",Tableau119[[#This Row],[POL]],"-",Tableau119[[#This Row],[Compte Consignee]])</f>
        <v>95436-95436-FALSO-90016200</v>
      </c>
      <c r="D131" s="66" t="str">
        <f>_xlfn.CONCAT(Tableau119[[#This Row],[Compte ILN]],"-",Tableau119[[#This Row],[Compte Shipper]],"-",Tableau119[[#This Row],[POL]])</f>
        <v>95436-95436-FALSO</v>
      </c>
      <c r="E131" s="434" t="str">
        <f>_xlfn.CONCAT(Tableau119[[#This Row],[POL]],"-",Tableau119[[#This Row],[Carrier]],"-",Tableau119[[#This Row],[POD]])</f>
        <v>FALSO-FALSO-FALSO</v>
      </c>
      <c r="F131" s="66" t="str">
        <f>_xlfn.CONCAT(Tableau119[[#This Row],[ID]],"-","Actif")</f>
        <v>30-Actif</v>
      </c>
      <c r="G131" s="66" t="str">
        <f>_xlfn.CONCAT(Tableau119[[#This Row],[POD]],"-",Tableau119[[#This Row],[Code PFI]],"-",Tableau119[[#This Row],[Compte Consignee]])</f>
        <v>FALSO-90016600-90016200</v>
      </c>
      <c r="H13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BusanFALSOMAUBEUGE</v>
      </c>
      <c r="I131" s="434" t="str">
        <f>_xlfn.CONCAT(Tableau119[[#This Row],[ID]],"-",Tableau119[[#This Row],[Expiration Date]])</f>
        <v>30-45869</v>
      </c>
      <c r="J1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Busan-ILN Busan-30-FALSO-FALSO-FALSO-CDD FR-45869</v>
      </c>
      <c r="K131" s="435" t="str">
        <f ca="1">IF(COUNTIF(J:J,Tableau119[[#This Row],[Plant-ILN-shipper-POL-Carrier-POD-PFI]])=1,"Non","Oui")</f>
        <v>Non</v>
      </c>
      <c r="L131" s="128" t="str">
        <f>VLOOKUP(Tableau119[[#This Row],[Name Site]],Plant_AILN!A:D,4,FALSE)</f>
        <v>FRANCE</v>
      </c>
      <c r="M131" s="411" t="s">
        <v>210</v>
      </c>
      <c r="N131" s="439">
        <f>VLOOKUP(Tableau119[[#This Row],[Name Site]],Plant_AILN!A:C,3,FALSE)</f>
        <v>90016200</v>
      </c>
      <c r="O131" s="55">
        <f>VLOOKUP(Tableau119[[#This Row],[Compte Consignee]],Order!C:D,2,FALSE)</f>
        <v>7</v>
      </c>
      <c r="P131" s="116" t="s">
        <v>166</v>
      </c>
      <c r="Q131" s="365">
        <f>VLOOKUP(Tableau119[[#This Row],[Name ILN]],Plant_AILN!F:G,2,FALSE)</f>
        <v>95436</v>
      </c>
      <c r="R131" s="50">
        <f>VLOOKUP(Tableau119[[#This Row],[Compte ILN]],'DATA ILN'!D:I,6,FALSE)</f>
        <v>9</v>
      </c>
      <c r="S131" s="50" t="e">
        <f>IFERROR(VLOOKUP(Tableau119[[#This Row],[Key(Compte ILN - shipper - POL - plant)]],'DATA ILN'!A:J,10,FALSE),VLOOKUP(Tableau119[[#This Row],[Key(Compte ILN - shipper - POL)]],'DATA ILN'!B:J,9,FALSE))</f>
        <v>#N/A</v>
      </c>
      <c r="T131" s="50" t="e">
        <f>IFERROR(VLOOKUP(Tableau119[[#This Row],[Key(Compte ILN - shipper - POL - plant)]],'DATA ILN'!A:K,11,FALSE),VLOOKUP(Tableau119[[#This Row],[Key(Compte ILN - shipper - POL)]],'DATA ILN'!B:K,10,FALSE))</f>
        <v>#N/A</v>
      </c>
      <c r="U131" s="50" t="e">
        <f>IFERROR(VLOOKUP(Tableau119[[#This Row],[Key(Compte ILN - shipper - POL - plant)]],'DATA ILN'!A:L,12,FALSE),VLOOKUP(Tableau119[[#This Row],[Key(Compte ILN - shipper - POL)]],'DATA ILN'!B:L,11,FALSE))</f>
        <v>#N/A</v>
      </c>
      <c r="V131" s="50" t="e">
        <f>Tableau119[[#This Row],[Day ILN Order]]+Tableau119[[#This Row],[Delivery time to ILN/Shipper]]-1</f>
        <v>#N/A</v>
      </c>
      <c r="W131" s="50" t="e">
        <f>IFERROR(VLOOKUP(Tableau119[[#This Row],[Key(Compte ILN - shipper - POL - plant)]],'DATA ILN'!A:N,14,FALSE),VLOOKUP(Tableau119[[#This Row],[Key(Compte ILN - shipper - POL)]],'DATA ILN'!B:N,13,FALSE))</f>
        <v>#N/A</v>
      </c>
      <c r="X131" s="53" t="e">
        <f>IFERROR(VLOOKUP(Tableau119[[#This Row],[Key(Compte ILN - shipper - POL - plant)]],'DATA ILN'!A:P,16,FALSE),VLOOKUP(Tableau119[[#This Row],[Key(Compte ILN - shipper - POL)]],'DATA ILN'!B:P,15,FALSE))</f>
        <v>#N/A</v>
      </c>
      <c r="Y131" s="284" t="s">
        <v>166</v>
      </c>
      <c r="Z131" s="437">
        <f>IFERROR(VLOOKUP(Tableau119[[#This Row],[Name Shipper]],Plant_AILN!L:M,2,FALSE),0)</f>
        <v>95436</v>
      </c>
      <c r="AA131" s="406">
        <v>30</v>
      </c>
      <c r="AB131" s="396" t="b">
        <f>_xlfn.XLOOKUP(Tableau119[[#This Row],[Key(ID-date)]],'DATA BTO'!S:S,'DATA BTO'!E:E,FALSE)</f>
        <v>0</v>
      </c>
      <c r="AC131" s="3" t="b">
        <f>_xlfn.XLOOKUP(Tableau119[[#This Row],[Key(ID-date)]],'DATA BTO'!S:S,'DATA BTO'!F:F,FALSE)</f>
        <v>0</v>
      </c>
      <c r="AD131" s="50" t="b">
        <f>_xlfn.XLOOKUP(Tableau119[[#This Row],[Key(ID-date)]],'DATA BTO'!S:S,'DATA BTO'!G:G,FALSE)</f>
        <v>0</v>
      </c>
      <c r="AE131" s="50" t="b">
        <f>_xlfn.XLOOKUP(Tableau119[[#This Row],[Key(ID-date)]],'DATA BTO'!S:S,'DATA BTO'!H:H,FALSE)</f>
        <v>0</v>
      </c>
      <c r="AF131" s="50" t="e">
        <f>IF(Tableau119[[#This Row],[First Day to POL]]&lt;=Tableau119[[#This Row],[Day Cut Off]],Tableau119[[#This Row],[Day ETD]],Tableau119[[#This Row],[Day ETD]]+7)</f>
        <v>#N/A</v>
      </c>
      <c r="AG131" s="50" t="b">
        <f>_xlfn.XLOOKUP(Tableau119[[#This Row],[Key(ID-date)]],'DATA BTO'!S:S,'DATA BTO'!I:I,FALSE)</f>
        <v>0</v>
      </c>
      <c r="AH131" s="3" t="b">
        <f>_xlfn.XLOOKUP(Tableau119[[#This Row],[Key(ID-date)]],'DATA BTO'!S:S,'DATA BTO'!J:J,FALSE)</f>
        <v>0</v>
      </c>
      <c r="AI131" s="3" t="b">
        <f>_xlfn.XLOOKUP(Tableau119[[#This Row],[Key(ID-date)]],'DATA BTO'!S:S,'DATA BTO'!K:K,FALSE)</f>
        <v>0</v>
      </c>
      <c r="AJ131" s="50" t="b">
        <f>_xlfn.XLOOKUP(Tableau119[[#This Row],[Key(ID-date)]],'DATA BTO'!S:S,'DATA BTO'!L:L,FALSE)</f>
        <v>0</v>
      </c>
      <c r="AK131" s="53" t="b">
        <f>_xlfn.XLOOKUP(Tableau119[[#This Row],[Key(ID-date)]],'DATA BTO'!S:S,'DATA BTO'!N:N,FALSE)</f>
        <v>0</v>
      </c>
      <c r="AL131" s="54" t="e">
        <f>VLOOKUP(Tableau119[[#This Row],[Key(POD -PFI- Usine)]],'DATA Consignee'!A:F,6,FALSE)</f>
        <v>#N/A</v>
      </c>
      <c r="AM131" s="127" t="s">
        <v>155</v>
      </c>
      <c r="AN131" s="438">
        <f>IF(Tableau119[[#This Row],[Name PFI/CDD]]="","-",VLOOKUP(Tableau119[[#This Row],[Name PFI/CDD]],Plant_AILN!I:J,2,FALSE))</f>
        <v>90016600</v>
      </c>
      <c r="AO1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1" s="2" t="e">
        <f>VLOOKUP(Tableau119[[#This Row],[Key(POD -PFI- Usine)]],'DATA Consignee'!A:J,10,FALSE)</f>
        <v>#N/A</v>
      </c>
      <c r="AR131" s="50" t="e">
        <f>VLOOKUP(Tableau119[[#This Row],[Key(POD -PFI- Usine)]],'DATA Consignee'!A:N,14,FALSE)</f>
        <v>#N/A</v>
      </c>
      <c r="AS1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1" s="50">
        <f>Tableau119[[#This Row],[Transit time]]+Tableau119[[#This Row],[Time for security]]+Tableau119[[#This Row],[Time for security2 buffer]]</f>
        <v>0</v>
      </c>
      <c r="AV1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1" s="433" t="e">
        <f>Tableau119[[#This Row],[Leadtime SI2C]]+Tableau119[[#This Row],[First Receipt Days]]-Tableau119[[#This Row],[Day Customer Order]]+1</f>
        <v>#N/A</v>
      </c>
      <c r="AX131" s="119" t="e">
        <f>IF(Tableau119[[#This Row],[Name ILN]]&lt;&gt;"SFK Freight Forwarder",Tableau119[[#This Row],[Cust. Leadtime]],Tableau119[[#This Row],[Leadtime SI2C]])</f>
        <v>#N/A</v>
      </c>
      <c r="AY131" s="51" t="b">
        <f>_xlfn.XLOOKUP(Tableau119[[#This Row],[Key(ID-date)]],'DATA BTO'!S:S,'DATA BTO'!P:P,FALSE)</f>
        <v>0</v>
      </c>
      <c r="AZ131" s="338">
        <v>45869</v>
      </c>
      <c r="BA131" s="50"/>
    </row>
    <row r="132" spans="2:53">
      <c r="B132" s="474" t="str">
        <f>_xlfn.CONCAT(Tableau119[[#This Row],[Name ILN]],"-",Tableau119[[#This Row],[Name Shipper]],"-",Tableau119[[#This Row],[Name Site]])</f>
        <v>ILN Busan-ILN Busan-SOVAB</v>
      </c>
      <c r="C132" s="67" t="str">
        <f>_xlfn.CONCAT(Tableau119[[#This Row],[Compte ILN]],"-",Tableau119[[#This Row],[Compte Shipper]],"-",Tableau119[[#This Row],[POL]],"-",Tableau119[[#This Row],[Compte Consignee]])</f>
        <v>95436-95436-FALSO-90016900</v>
      </c>
      <c r="D132" s="66" t="str">
        <f>_xlfn.CONCAT(Tableau119[[#This Row],[Compte ILN]],"-",Tableau119[[#This Row],[Compte Shipper]],"-",Tableau119[[#This Row],[POL]])</f>
        <v>95436-95436-FALSO</v>
      </c>
      <c r="E132" s="434" t="str">
        <f>_xlfn.CONCAT(Tableau119[[#This Row],[POL]],"-",Tableau119[[#This Row],[Carrier]],"-",Tableau119[[#This Row],[POD]])</f>
        <v>FALSO-FALSO-FALSO</v>
      </c>
      <c r="F132" s="66" t="str">
        <f>_xlfn.CONCAT(Tableau119[[#This Row],[ID]],"-","Actif")</f>
        <v>30-Actif</v>
      </c>
      <c r="G132" s="66" t="str">
        <f>_xlfn.CONCAT(Tableau119[[#This Row],[POD]],"-",Tableau119[[#This Row],[Code PFI]],"-",Tableau119[[#This Row],[Compte Consignee]])</f>
        <v>FALSO-90016600-90016900</v>
      </c>
      <c r="H13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BusanFALSOSOVAB</v>
      </c>
      <c r="I132" s="434" t="str">
        <f>_xlfn.CONCAT(Tableau119[[#This Row],[ID]],"-",Tableau119[[#This Row],[Expiration Date]])</f>
        <v>30-45869</v>
      </c>
      <c r="J1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Busan-ILN Busan-30-FALSO-FALSO-FALSO-CDD FR-45869</v>
      </c>
      <c r="K132" s="435" t="str">
        <f ca="1">IF(COUNTIF(J:J,Tableau119[[#This Row],[Plant-ILN-shipper-POL-Carrier-POD-PFI]])=1,"Non","Oui")</f>
        <v>Non</v>
      </c>
      <c r="L132" s="128" t="str">
        <f>VLOOKUP(Tableau119[[#This Row],[Name Site]],Plant_AILN!A:D,4,FALSE)</f>
        <v>FRANCE</v>
      </c>
      <c r="M132" s="411" t="s">
        <v>154</v>
      </c>
      <c r="N132" s="439">
        <f>VLOOKUP(Tableau119[[#This Row],[Name Site]],Plant_AILN!A:C,3,FALSE)</f>
        <v>90016900</v>
      </c>
      <c r="O132" s="55">
        <f>VLOOKUP(Tableau119[[#This Row],[Compte Consignee]],Order!C:D,2,FALSE)</f>
        <v>7</v>
      </c>
      <c r="P132" s="116" t="s">
        <v>166</v>
      </c>
      <c r="Q132" s="365">
        <f>VLOOKUP(Tableau119[[#This Row],[Name ILN]],Plant_AILN!F:G,2,FALSE)</f>
        <v>95436</v>
      </c>
      <c r="R132" s="50">
        <f>VLOOKUP(Tableau119[[#This Row],[Compte ILN]],'DATA ILN'!D:I,6,FALSE)</f>
        <v>9</v>
      </c>
      <c r="S132" s="50" t="e">
        <f>IFERROR(VLOOKUP(Tableau119[[#This Row],[Key(Compte ILN - shipper - POL - plant)]],'DATA ILN'!A:J,10,FALSE),VLOOKUP(Tableau119[[#This Row],[Key(Compte ILN - shipper - POL)]],'DATA ILN'!B:J,9,FALSE))</f>
        <v>#N/A</v>
      </c>
      <c r="T132" s="50" t="e">
        <f>IFERROR(VLOOKUP(Tableau119[[#This Row],[Key(Compte ILN - shipper - POL - plant)]],'DATA ILN'!A:K,11,FALSE),VLOOKUP(Tableau119[[#This Row],[Key(Compte ILN - shipper - POL)]],'DATA ILN'!B:K,10,FALSE))</f>
        <v>#N/A</v>
      </c>
      <c r="U132" s="50" t="e">
        <f>IFERROR(VLOOKUP(Tableau119[[#This Row],[Key(Compte ILN - shipper - POL - plant)]],'DATA ILN'!A:L,12,FALSE),VLOOKUP(Tableau119[[#This Row],[Key(Compte ILN - shipper - POL)]],'DATA ILN'!B:L,11,FALSE))</f>
        <v>#N/A</v>
      </c>
      <c r="V132" s="50" t="e">
        <f>Tableau119[[#This Row],[Day ILN Order]]+Tableau119[[#This Row],[Delivery time to ILN/Shipper]]-1</f>
        <v>#N/A</v>
      </c>
      <c r="W132" s="50" t="e">
        <f>IFERROR(VLOOKUP(Tableau119[[#This Row],[Key(Compte ILN - shipper - POL - plant)]],'DATA ILN'!A:N,14,FALSE),VLOOKUP(Tableau119[[#This Row],[Key(Compte ILN - shipper - POL)]],'DATA ILN'!B:N,13,FALSE))</f>
        <v>#N/A</v>
      </c>
      <c r="X132" s="53" t="e">
        <f>IFERROR(VLOOKUP(Tableau119[[#This Row],[Key(Compte ILN - shipper - POL - plant)]],'DATA ILN'!A:P,16,FALSE),VLOOKUP(Tableau119[[#This Row],[Key(Compte ILN - shipper - POL)]],'DATA ILN'!B:P,15,FALSE))</f>
        <v>#N/A</v>
      </c>
      <c r="Y132" s="284" t="s">
        <v>166</v>
      </c>
      <c r="Z132" s="437">
        <f>IFERROR(VLOOKUP(Tableau119[[#This Row],[Name Shipper]],Plant_AILN!L:M,2,FALSE),0)</f>
        <v>95436</v>
      </c>
      <c r="AA132" s="406">
        <v>30</v>
      </c>
      <c r="AB132" s="396" t="b">
        <f>_xlfn.XLOOKUP(Tableau119[[#This Row],[Key(ID-date)]],'DATA BTO'!S:S,'DATA BTO'!E:E,FALSE)</f>
        <v>0</v>
      </c>
      <c r="AC132" s="3" t="b">
        <f>_xlfn.XLOOKUP(Tableau119[[#This Row],[Key(ID-date)]],'DATA BTO'!S:S,'DATA BTO'!F:F,FALSE)</f>
        <v>0</v>
      </c>
      <c r="AD132" s="50" t="b">
        <f>_xlfn.XLOOKUP(Tableau119[[#This Row],[Key(ID-date)]],'DATA BTO'!S:S,'DATA BTO'!G:G,FALSE)</f>
        <v>0</v>
      </c>
      <c r="AE132" s="50" t="b">
        <f>_xlfn.XLOOKUP(Tableau119[[#This Row],[Key(ID-date)]],'DATA BTO'!S:S,'DATA BTO'!H:H,FALSE)</f>
        <v>0</v>
      </c>
      <c r="AF132" s="50" t="e">
        <f>IF(Tableau119[[#This Row],[First Day to POL]]&lt;=Tableau119[[#This Row],[Day Cut Off]],Tableau119[[#This Row],[Day ETD]],Tableau119[[#This Row],[Day ETD]]+7)</f>
        <v>#N/A</v>
      </c>
      <c r="AG132" s="50" t="b">
        <f>_xlfn.XLOOKUP(Tableau119[[#This Row],[Key(ID-date)]],'DATA BTO'!S:S,'DATA BTO'!I:I,FALSE)</f>
        <v>0</v>
      </c>
      <c r="AH132" s="3" t="b">
        <f>_xlfn.XLOOKUP(Tableau119[[#This Row],[Key(ID-date)]],'DATA BTO'!S:S,'DATA BTO'!J:J,FALSE)</f>
        <v>0</v>
      </c>
      <c r="AI132" s="3" t="b">
        <f>_xlfn.XLOOKUP(Tableau119[[#This Row],[Key(ID-date)]],'DATA BTO'!S:S,'DATA BTO'!K:K,FALSE)</f>
        <v>0</v>
      </c>
      <c r="AJ132" s="50" t="b">
        <f>_xlfn.XLOOKUP(Tableau119[[#This Row],[Key(ID-date)]],'DATA BTO'!S:S,'DATA BTO'!L:L,FALSE)</f>
        <v>0</v>
      </c>
      <c r="AK132" s="53" t="b">
        <f>_xlfn.XLOOKUP(Tableau119[[#This Row],[Key(ID-date)]],'DATA BTO'!S:S,'DATA BTO'!N:N,FALSE)</f>
        <v>0</v>
      </c>
      <c r="AL132" s="54" t="e">
        <f>VLOOKUP(Tableau119[[#This Row],[Key(POD -PFI- Usine)]],'DATA Consignee'!A:F,6,FALSE)</f>
        <v>#N/A</v>
      </c>
      <c r="AM132" s="127" t="s">
        <v>155</v>
      </c>
      <c r="AN132" s="438">
        <f>IF(Tableau119[[#This Row],[Name PFI/CDD]]="","-",VLOOKUP(Tableau119[[#This Row],[Name PFI/CDD]],Plant_AILN!I:J,2,FALSE))</f>
        <v>90016600</v>
      </c>
      <c r="AO1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2" s="2" t="e">
        <f>VLOOKUP(Tableau119[[#This Row],[Key(POD -PFI- Usine)]],'DATA Consignee'!A:J,10,FALSE)</f>
        <v>#N/A</v>
      </c>
      <c r="AR132" s="50" t="e">
        <f>VLOOKUP(Tableau119[[#This Row],[Key(POD -PFI- Usine)]],'DATA Consignee'!A:N,14,FALSE)</f>
        <v>#N/A</v>
      </c>
      <c r="AS1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2" s="50">
        <f>Tableau119[[#This Row],[Transit time]]+Tableau119[[#This Row],[Time for security]]+Tableau119[[#This Row],[Time for security2 buffer]]</f>
        <v>0</v>
      </c>
      <c r="AV1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2" s="433" t="e">
        <f>Tableau119[[#This Row],[Leadtime SI2C]]+Tableau119[[#This Row],[First Receipt Days]]-Tableau119[[#This Row],[Day Customer Order]]+1</f>
        <v>#N/A</v>
      </c>
      <c r="AX132" s="119" t="e">
        <f>IF(Tableau119[[#This Row],[Name ILN]]&lt;&gt;"SFK Freight Forwarder",Tableau119[[#This Row],[Cust. Leadtime]],Tableau119[[#This Row],[Leadtime SI2C]])</f>
        <v>#N/A</v>
      </c>
      <c r="AY132" s="51" t="b">
        <f>_xlfn.XLOOKUP(Tableau119[[#This Row],[Key(ID-date)]],'DATA BTO'!S:S,'DATA BTO'!P:P,FALSE)</f>
        <v>0</v>
      </c>
      <c r="AZ132" s="338">
        <v>45869</v>
      </c>
      <c r="BA132" s="50"/>
    </row>
    <row r="133" spans="2:53">
      <c r="B133" s="474" t="str">
        <f>_xlfn.CONCAT(Tableau119[[#This Row],[Name ILN]],"-",Tableau119[[#This Row],[Name Shipper]],"-",Tableau119[[#This Row],[Name Site]])</f>
        <v>ILN Busan-ILN Busan-SANDOUVILLE</v>
      </c>
      <c r="C133" s="67" t="str">
        <f>_xlfn.CONCAT(Tableau119[[#This Row],[Compte ILN]],"-",Tableau119[[#This Row],[Compte Shipper]],"-",Tableau119[[#This Row],[POL]],"-",Tableau119[[#This Row],[Compte Consignee]])</f>
        <v>95436-95436-FALSO-90017100</v>
      </c>
      <c r="D133" s="66" t="str">
        <f>_xlfn.CONCAT(Tableau119[[#This Row],[Compte ILN]],"-",Tableau119[[#This Row],[Compte Shipper]],"-",Tableau119[[#This Row],[POL]])</f>
        <v>95436-95436-FALSO</v>
      </c>
      <c r="E133" s="434" t="str">
        <f>_xlfn.CONCAT(Tableau119[[#This Row],[POL]],"-",Tableau119[[#This Row],[Carrier]],"-",Tableau119[[#This Row],[POD]])</f>
        <v>FALSO-FALSO-FALSO</v>
      </c>
      <c r="F133" s="66" t="str">
        <f>_xlfn.CONCAT(Tableau119[[#This Row],[ID]],"-","Actif")</f>
        <v>30-Actif</v>
      </c>
      <c r="G133" s="66" t="str">
        <f>_xlfn.CONCAT(Tableau119[[#This Row],[POD]],"-",Tableau119[[#This Row],[Code PFI]],"-",Tableau119[[#This Row],[Compte Consignee]])</f>
        <v>FALSO-90016600-90017100</v>
      </c>
      <c r="H13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BusanFALSOSANDOUVILLE</v>
      </c>
      <c r="I133" s="434" t="str">
        <f>_xlfn.CONCAT(Tableau119[[#This Row],[ID]],"-",Tableau119[[#This Row],[Expiration Date]])</f>
        <v>30-45869</v>
      </c>
      <c r="J1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Busan-ILN Busan-30-FALSO-FALSO-FALSO-CDD FR-45869</v>
      </c>
      <c r="K133" s="435" t="str">
        <f ca="1">IF(COUNTIF(J:J,Tableau119[[#This Row],[Plant-ILN-shipper-POL-Carrier-POD-PFI]])=1,"Non","Oui")</f>
        <v>Non</v>
      </c>
      <c r="L133" s="128" t="str">
        <f>VLOOKUP(Tableau119[[#This Row],[Name Site]],Plant_AILN!A:D,4,FALSE)</f>
        <v>FRANCE</v>
      </c>
      <c r="M133" s="411" t="s">
        <v>196</v>
      </c>
      <c r="N133" s="439">
        <f>VLOOKUP(Tableau119[[#This Row],[Name Site]],Plant_AILN!A:C,3,FALSE)</f>
        <v>90017100</v>
      </c>
      <c r="O133" s="55">
        <f>VLOOKUP(Tableau119[[#This Row],[Compte Consignee]],Order!C:D,2,FALSE)</f>
        <v>7</v>
      </c>
      <c r="P133" s="116" t="s">
        <v>166</v>
      </c>
      <c r="Q133" s="365">
        <f>VLOOKUP(Tableau119[[#This Row],[Name ILN]],Plant_AILN!F:G,2,FALSE)</f>
        <v>95436</v>
      </c>
      <c r="R133" s="50">
        <f>VLOOKUP(Tableau119[[#This Row],[Compte ILN]],'DATA ILN'!D:I,6,FALSE)</f>
        <v>9</v>
      </c>
      <c r="S133" s="50" t="e">
        <f>IFERROR(VLOOKUP(Tableau119[[#This Row],[Key(Compte ILN - shipper - POL - plant)]],'DATA ILN'!A:J,10,FALSE),VLOOKUP(Tableau119[[#This Row],[Key(Compte ILN - shipper - POL)]],'DATA ILN'!B:J,9,FALSE))</f>
        <v>#N/A</v>
      </c>
      <c r="T133" s="50" t="e">
        <f>IFERROR(VLOOKUP(Tableau119[[#This Row],[Key(Compte ILN - shipper - POL - plant)]],'DATA ILN'!A:K,11,FALSE),VLOOKUP(Tableau119[[#This Row],[Key(Compte ILN - shipper - POL)]],'DATA ILN'!B:K,10,FALSE))</f>
        <v>#N/A</v>
      </c>
      <c r="U133" s="50" t="e">
        <f>IFERROR(VLOOKUP(Tableau119[[#This Row],[Key(Compte ILN - shipper - POL - plant)]],'DATA ILN'!A:L,12,FALSE),VLOOKUP(Tableau119[[#This Row],[Key(Compte ILN - shipper - POL)]],'DATA ILN'!B:L,11,FALSE))</f>
        <v>#N/A</v>
      </c>
      <c r="V133" s="50" t="e">
        <f>Tableau119[[#This Row],[Day ILN Order]]+Tableau119[[#This Row],[Delivery time to ILN/Shipper]]-1</f>
        <v>#N/A</v>
      </c>
      <c r="W133" s="50" t="e">
        <f>IFERROR(VLOOKUP(Tableau119[[#This Row],[Key(Compte ILN - shipper - POL - plant)]],'DATA ILN'!A:N,14,FALSE),VLOOKUP(Tableau119[[#This Row],[Key(Compte ILN - shipper - POL)]],'DATA ILN'!B:N,13,FALSE))</f>
        <v>#N/A</v>
      </c>
      <c r="X133" s="53" t="e">
        <f>IFERROR(VLOOKUP(Tableau119[[#This Row],[Key(Compte ILN - shipper - POL - plant)]],'DATA ILN'!A:P,16,FALSE),VLOOKUP(Tableau119[[#This Row],[Key(Compte ILN - shipper - POL)]],'DATA ILN'!B:P,15,FALSE))</f>
        <v>#N/A</v>
      </c>
      <c r="Y133" s="284" t="s">
        <v>166</v>
      </c>
      <c r="Z133" s="437">
        <f>IFERROR(VLOOKUP(Tableau119[[#This Row],[Name Shipper]],Plant_AILN!L:M,2,FALSE),0)</f>
        <v>95436</v>
      </c>
      <c r="AA133" s="406">
        <v>30</v>
      </c>
      <c r="AB133" s="396" t="b">
        <f>_xlfn.XLOOKUP(Tableau119[[#This Row],[Key(ID-date)]],'DATA BTO'!S:S,'DATA BTO'!E:E,FALSE)</f>
        <v>0</v>
      </c>
      <c r="AC133" s="3" t="b">
        <f>_xlfn.XLOOKUP(Tableau119[[#This Row],[Key(ID-date)]],'DATA BTO'!S:S,'DATA BTO'!F:F,FALSE)</f>
        <v>0</v>
      </c>
      <c r="AD133" s="50" t="b">
        <f>_xlfn.XLOOKUP(Tableau119[[#This Row],[Key(ID-date)]],'DATA BTO'!S:S,'DATA BTO'!G:G,FALSE)</f>
        <v>0</v>
      </c>
      <c r="AE133" s="50" t="b">
        <f>_xlfn.XLOOKUP(Tableau119[[#This Row],[Key(ID-date)]],'DATA BTO'!S:S,'DATA BTO'!H:H,FALSE)</f>
        <v>0</v>
      </c>
      <c r="AF133" s="50" t="e">
        <f>IF(Tableau119[[#This Row],[First Day to POL]]&lt;=Tableau119[[#This Row],[Day Cut Off]],Tableau119[[#This Row],[Day ETD]],Tableau119[[#This Row],[Day ETD]]+7)</f>
        <v>#N/A</v>
      </c>
      <c r="AG133" s="50" t="b">
        <f>_xlfn.XLOOKUP(Tableau119[[#This Row],[Key(ID-date)]],'DATA BTO'!S:S,'DATA BTO'!I:I,FALSE)</f>
        <v>0</v>
      </c>
      <c r="AH133" s="3" t="b">
        <f>_xlfn.XLOOKUP(Tableau119[[#This Row],[Key(ID-date)]],'DATA BTO'!S:S,'DATA BTO'!J:J,FALSE)</f>
        <v>0</v>
      </c>
      <c r="AI133" s="3" t="b">
        <f>_xlfn.XLOOKUP(Tableau119[[#This Row],[Key(ID-date)]],'DATA BTO'!S:S,'DATA BTO'!K:K,FALSE)</f>
        <v>0</v>
      </c>
      <c r="AJ133" s="50" t="b">
        <f>_xlfn.XLOOKUP(Tableau119[[#This Row],[Key(ID-date)]],'DATA BTO'!S:S,'DATA BTO'!L:L,FALSE)</f>
        <v>0</v>
      </c>
      <c r="AK133" s="53" t="b">
        <f>_xlfn.XLOOKUP(Tableau119[[#This Row],[Key(ID-date)]],'DATA BTO'!S:S,'DATA BTO'!N:N,FALSE)</f>
        <v>0</v>
      </c>
      <c r="AL133" s="54" t="e">
        <f>VLOOKUP(Tableau119[[#This Row],[Key(POD -PFI- Usine)]],'DATA Consignee'!A:F,6,FALSE)</f>
        <v>#N/A</v>
      </c>
      <c r="AM133" s="127" t="s">
        <v>155</v>
      </c>
      <c r="AN133" s="438">
        <f>IF(Tableau119[[#This Row],[Name PFI/CDD]]="","-",VLOOKUP(Tableau119[[#This Row],[Name PFI/CDD]],Plant_AILN!I:J,2,FALSE))</f>
        <v>90016600</v>
      </c>
      <c r="AO1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3" s="2" t="e">
        <f>VLOOKUP(Tableau119[[#This Row],[Key(POD -PFI- Usine)]],'DATA Consignee'!A:J,10,FALSE)</f>
        <v>#N/A</v>
      </c>
      <c r="AR133" s="50" t="e">
        <f>VLOOKUP(Tableau119[[#This Row],[Key(POD -PFI- Usine)]],'DATA Consignee'!A:N,14,FALSE)</f>
        <v>#N/A</v>
      </c>
      <c r="AS1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3" s="50">
        <f>Tableau119[[#This Row],[Transit time]]+Tableau119[[#This Row],[Time for security]]+Tableau119[[#This Row],[Time for security2 buffer]]</f>
        <v>0</v>
      </c>
      <c r="AV1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3" s="433" t="e">
        <f>Tableau119[[#This Row],[Leadtime SI2C]]+Tableau119[[#This Row],[First Receipt Days]]-Tableau119[[#This Row],[Day Customer Order]]+1</f>
        <v>#N/A</v>
      </c>
      <c r="AX133" s="119" t="e">
        <f>IF(Tableau119[[#This Row],[Name ILN]]&lt;&gt;"SFK Freight Forwarder",Tableau119[[#This Row],[Cust. Leadtime]],Tableau119[[#This Row],[Leadtime SI2C]])</f>
        <v>#N/A</v>
      </c>
      <c r="AY133" s="51" t="b">
        <f>_xlfn.XLOOKUP(Tableau119[[#This Row],[Key(ID-date)]],'DATA BTO'!S:S,'DATA BTO'!P:P,FALSE)</f>
        <v>0</v>
      </c>
      <c r="AZ133" s="338">
        <v>45869</v>
      </c>
      <c r="BA133" s="50"/>
    </row>
    <row r="134" spans="2:53">
      <c r="B134" s="474" t="str">
        <f>_xlfn.CONCAT(Tableau119[[#This Row],[Name ILN]],"-",Tableau119[[#This Row],[Name Shipper]],"-",Tableau119[[#This Row],[Name Site]])</f>
        <v>ILN Busan-ILN Busan-ALPINE</v>
      </c>
      <c r="C134" s="67" t="str">
        <f>_xlfn.CONCAT(Tableau119[[#This Row],[Compte ILN]],"-",Tableau119[[#This Row],[Compte Shipper]],"-",Tableau119[[#This Row],[POL]],"-",Tableau119[[#This Row],[Compte Consignee]])</f>
        <v>95436-95436-FALSO-90018300</v>
      </c>
      <c r="D134" s="66" t="str">
        <f>_xlfn.CONCAT(Tableau119[[#This Row],[Compte ILN]],"-",Tableau119[[#This Row],[Compte Shipper]],"-",Tableau119[[#This Row],[POL]])</f>
        <v>95436-95436-FALSO</v>
      </c>
      <c r="E134" s="434" t="str">
        <f>_xlfn.CONCAT(Tableau119[[#This Row],[POL]],"-",Tableau119[[#This Row],[Carrier]],"-",Tableau119[[#This Row],[POD]])</f>
        <v>FALSO-FALSO-FALSO</v>
      </c>
      <c r="F134" s="66" t="str">
        <f>_xlfn.CONCAT(Tableau119[[#This Row],[ID]],"-","Actif")</f>
        <v>30-Actif</v>
      </c>
      <c r="G134" s="66" t="str">
        <f>_xlfn.CONCAT(Tableau119[[#This Row],[POD]],"-",Tableau119[[#This Row],[Code PFI]],"-",Tableau119[[#This Row],[Compte Consignee]])</f>
        <v>FALSO-90016600-90018300</v>
      </c>
      <c r="H13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BusanFALSOALPINE</v>
      </c>
      <c r="I134" s="434" t="str">
        <f>_xlfn.CONCAT(Tableau119[[#This Row],[ID]],"-",Tableau119[[#This Row],[Expiration Date]])</f>
        <v>30-45869</v>
      </c>
      <c r="J1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Busan-ILN Busan-30-FALSO-FALSO-FALSO-CDD FR-45869</v>
      </c>
      <c r="K134" s="435" t="str">
        <f ca="1">IF(COUNTIF(J:J,Tableau119[[#This Row],[Plant-ILN-shipper-POL-Carrier-POD-PFI]])=1,"Non","Oui")</f>
        <v>Non</v>
      </c>
      <c r="L134" s="128" t="str">
        <f>VLOOKUP(Tableau119[[#This Row],[Name Site]],Plant_AILN!A:D,4,FALSE)</f>
        <v>FRANCE</v>
      </c>
      <c r="M134" s="411" t="s">
        <v>220</v>
      </c>
      <c r="N134" s="439">
        <f>VLOOKUP(Tableau119[[#This Row],[Name Site]],Plant_AILN!A:C,3,FALSE)</f>
        <v>90018300</v>
      </c>
      <c r="O134" s="55">
        <f>VLOOKUP(Tableau119[[#This Row],[Compte Consignee]],Order!C:D,2,FALSE)</f>
        <v>7</v>
      </c>
      <c r="P134" s="116" t="s">
        <v>166</v>
      </c>
      <c r="Q134" s="365">
        <f>VLOOKUP(Tableau119[[#This Row],[Name ILN]],Plant_AILN!F:G,2,FALSE)</f>
        <v>95436</v>
      </c>
      <c r="R134" s="50">
        <f>VLOOKUP(Tableau119[[#This Row],[Compte ILN]],'DATA ILN'!D:I,6,FALSE)</f>
        <v>9</v>
      </c>
      <c r="S134" s="50" t="e">
        <f>IFERROR(VLOOKUP(Tableau119[[#This Row],[Key(Compte ILN - shipper - POL - plant)]],'DATA ILN'!A:J,10,FALSE),VLOOKUP(Tableau119[[#This Row],[Key(Compte ILN - shipper - POL)]],'DATA ILN'!B:J,9,FALSE))</f>
        <v>#N/A</v>
      </c>
      <c r="T134" s="50" t="e">
        <f>IFERROR(VLOOKUP(Tableau119[[#This Row],[Key(Compte ILN - shipper - POL - plant)]],'DATA ILN'!A:K,11,FALSE),VLOOKUP(Tableau119[[#This Row],[Key(Compte ILN - shipper - POL)]],'DATA ILN'!B:K,10,FALSE))</f>
        <v>#N/A</v>
      </c>
      <c r="U134" s="50" t="e">
        <f>IFERROR(VLOOKUP(Tableau119[[#This Row],[Key(Compte ILN - shipper - POL - plant)]],'DATA ILN'!A:L,12,FALSE),VLOOKUP(Tableau119[[#This Row],[Key(Compte ILN - shipper - POL)]],'DATA ILN'!B:L,11,FALSE))</f>
        <v>#N/A</v>
      </c>
      <c r="V134" s="50" t="e">
        <f>Tableau119[[#This Row],[Day ILN Order]]+Tableau119[[#This Row],[Delivery time to ILN/Shipper]]-1</f>
        <v>#N/A</v>
      </c>
      <c r="W134" s="50" t="e">
        <f>IFERROR(VLOOKUP(Tableau119[[#This Row],[Key(Compte ILN - shipper - POL - plant)]],'DATA ILN'!A:N,14,FALSE),VLOOKUP(Tableau119[[#This Row],[Key(Compte ILN - shipper - POL)]],'DATA ILN'!B:N,13,FALSE))</f>
        <v>#N/A</v>
      </c>
      <c r="X134" s="53" t="e">
        <f>IFERROR(VLOOKUP(Tableau119[[#This Row],[Key(Compte ILN - shipper - POL - plant)]],'DATA ILN'!A:P,16,FALSE),VLOOKUP(Tableau119[[#This Row],[Key(Compte ILN - shipper - POL)]],'DATA ILN'!B:P,15,FALSE))</f>
        <v>#N/A</v>
      </c>
      <c r="Y134" s="284" t="s">
        <v>166</v>
      </c>
      <c r="Z134" s="437">
        <f>IFERROR(VLOOKUP(Tableau119[[#This Row],[Name Shipper]],Plant_AILN!L:M,2,FALSE),0)</f>
        <v>95436</v>
      </c>
      <c r="AA134" s="406">
        <v>30</v>
      </c>
      <c r="AB134" s="396" t="b">
        <f>_xlfn.XLOOKUP(Tableau119[[#This Row],[Key(ID-date)]],'DATA BTO'!S:S,'DATA BTO'!E:E,FALSE)</f>
        <v>0</v>
      </c>
      <c r="AC134" s="3" t="b">
        <f>_xlfn.XLOOKUP(Tableau119[[#This Row],[Key(ID-date)]],'DATA BTO'!S:S,'DATA BTO'!F:F,FALSE)</f>
        <v>0</v>
      </c>
      <c r="AD134" s="50" t="b">
        <f>_xlfn.XLOOKUP(Tableau119[[#This Row],[Key(ID-date)]],'DATA BTO'!S:S,'DATA BTO'!G:G,FALSE)</f>
        <v>0</v>
      </c>
      <c r="AE134" s="50" t="b">
        <f>_xlfn.XLOOKUP(Tableau119[[#This Row],[Key(ID-date)]],'DATA BTO'!S:S,'DATA BTO'!H:H,FALSE)</f>
        <v>0</v>
      </c>
      <c r="AF134" s="50" t="e">
        <f>IF(Tableau119[[#This Row],[First Day to POL]]&lt;=Tableau119[[#This Row],[Day Cut Off]],Tableau119[[#This Row],[Day ETD]],Tableau119[[#This Row],[Day ETD]]+7)</f>
        <v>#N/A</v>
      </c>
      <c r="AG134" s="50" t="b">
        <f>_xlfn.XLOOKUP(Tableau119[[#This Row],[Key(ID-date)]],'DATA BTO'!S:S,'DATA BTO'!I:I,FALSE)</f>
        <v>0</v>
      </c>
      <c r="AH134" s="3" t="b">
        <f>_xlfn.XLOOKUP(Tableau119[[#This Row],[Key(ID-date)]],'DATA BTO'!S:S,'DATA BTO'!J:J,FALSE)</f>
        <v>0</v>
      </c>
      <c r="AI134" s="3" t="b">
        <f>_xlfn.XLOOKUP(Tableau119[[#This Row],[Key(ID-date)]],'DATA BTO'!S:S,'DATA BTO'!K:K,FALSE)</f>
        <v>0</v>
      </c>
      <c r="AJ134" s="50" t="b">
        <f>_xlfn.XLOOKUP(Tableau119[[#This Row],[Key(ID-date)]],'DATA BTO'!S:S,'DATA BTO'!L:L,FALSE)</f>
        <v>0</v>
      </c>
      <c r="AK134" s="53" t="b">
        <f>_xlfn.XLOOKUP(Tableau119[[#This Row],[Key(ID-date)]],'DATA BTO'!S:S,'DATA BTO'!N:N,FALSE)</f>
        <v>0</v>
      </c>
      <c r="AL134" s="54" t="e">
        <f>VLOOKUP(Tableau119[[#This Row],[Key(POD -PFI- Usine)]],'DATA Consignee'!A:F,6,FALSE)</f>
        <v>#N/A</v>
      </c>
      <c r="AM134" s="127" t="s">
        <v>155</v>
      </c>
      <c r="AN134" s="438">
        <f>IF(Tableau119[[#This Row],[Name PFI/CDD]]="","-",VLOOKUP(Tableau119[[#This Row],[Name PFI/CDD]],Plant_AILN!I:J,2,FALSE))</f>
        <v>90016600</v>
      </c>
      <c r="AO1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4" s="2" t="e">
        <f>VLOOKUP(Tableau119[[#This Row],[Key(POD -PFI- Usine)]],'DATA Consignee'!A:J,10,FALSE)</f>
        <v>#N/A</v>
      </c>
      <c r="AR134" s="50" t="e">
        <f>VLOOKUP(Tableau119[[#This Row],[Key(POD -PFI- Usine)]],'DATA Consignee'!A:N,14,FALSE)</f>
        <v>#N/A</v>
      </c>
      <c r="AS1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4" s="50">
        <f>Tableau119[[#This Row],[Transit time]]+Tableau119[[#This Row],[Time for security]]+Tableau119[[#This Row],[Time for security2 buffer]]</f>
        <v>0</v>
      </c>
      <c r="AV1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4" s="433" t="e">
        <f>Tableau119[[#This Row],[Leadtime SI2C]]+Tableau119[[#This Row],[First Receipt Days]]-Tableau119[[#This Row],[Day Customer Order]]+1</f>
        <v>#N/A</v>
      </c>
      <c r="AX134" s="119" t="e">
        <f>IF(Tableau119[[#This Row],[Name ILN]]&lt;&gt;"SFK Freight Forwarder",Tableau119[[#This Row],[Cust. Leadtime]],Tableau119[[#This Row],[Leadtime SI2C]])</f>
        <v>#N/A</v>
      </c>
      <c r="AY134" s="51" t="b">
        <f>_xlfn.XLOOKUP(Tableau119[[#This Row],[Key(ID-date)]],'DATA BTO'!S:S,'DATA BTO'!P:P,FALSE)</f>
        <v>0</v>
      </c>
      <c r="AZ134" s="338">
        <v>45869</v>
      </c>
      <c r="BA134" s="50"/>
    </row>
    <row r="135" spans="2:53">
      <c r="B135" s="418" t="str">
        <f>_xlfn.CONCAT(Tableau119[[#This Row],[Name ILN]],"-",Tableau119[[#This Row],[Name Shipper]],"-",Tableau119[[#This Row],[Name Site]])</f>
        <v>ILN Busan-ILN Busan-STA</v>
      </c>
      <c r="C135" s="82" t="str">
        <f>_xlfn.CONCAT(Tableau119[[#This Row],[Compte ILN]],"-",Tableau119[[#This Row],[Compte Shipper]],"-",Tableau119[[#This Row],[POL]],"-",Tableau119[[#This Row],[Compte Consignee]])</f>
        <v>95436-95436-FALSO-90018400</v>
      </c>
      <c r="D135" s="82" t="str">
        <f>_xlfn.CONCAT(Tableau119[[#This Row],[Compte ILN]],"-",Tableau119[[#This Row],[Compte Shipper]],"-",Tableau119[[#This Row],[POL]])</f>
        <v>95436-95436-FALSO</v>
      </c>
      <c r="E135" s="83" t="str">
        <f>_xlfn.CONCAT(Tableau119[[#This Row],[POL]],"-",Tableau119[[#This Row],[Carrier]],"-",Tableau119[[#This Row],[POD]])</f>
        <v>FALSO-FALSO-FALSO</v>
      </c>
      <c r="F135" s="82" t="str">
        <f>_xlfn.CONCAT(Tableau119[[#This Row],[ID]],"-","Actif")</f>
        <v>30-Actif</v>
      </c>
      <c r="G135" s="82" t="str">
        <f>_xlfn.CONCAT(Tableau119[[#This Row],[POD]],"-",Tableau119[[#This Row],[Code PFI]],"-",Tableau119[[#This Row],[Compte Consignee]])</f>
        <v>FALSO-90016600-90018400</v>
      </c>
      <c r="H135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BusanFALSOSTA</v>
      </c>
      <c r="I135" s="502" t="str">
        <f>_xlfn.CONCAT(Tableau119[[#This Row],[ID]],"-",Tableau119[[#This Row],[Expiration Date]])</f>
        <v>30-45869</v>
      </c>
      <c r="J1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Busan-ILN Busan-30-FALSO-FALSO-FALSO-CDD FR-45869</v>
      </c>
      <c r="K135" s="120" t="str">
        <f ca="1">IF(COUNTIF(J:J,Tableau119[[#This Row],[Plant-ILN-shipper-POL-Carrier-POD-PFI]])=1,"Non","Oui")</f>
        <v>Non</v>
      </c>
      <c r="L135" s="103" t="str">
        <f>VLOOKUP(Tableau119[[#This Row],[Name Site]],Plant_AILN!A:D,4,FALSE)</f>
        <v>FRANCE</v>
      </c>
      <c r="M135" s="415" t="s">
        <v>219</v>
      </c>
      <c r="N135" s="439">
        <f>VLOOKUP(Tableau119[[#This Row],[Name Site]],Plant_AILN!A:C,3,FALSE)</f>
        <v>90018400</v>
      </c>
      <c r="O135" s="55">
        <f>VLOOKUP(Tableau119[[#This Row],[Compte Consignee]],Order!C:D,2,FALSE)</f>
        <v>7</v>
      </c>
      <c r="P135" s="116" t="s">
        <v>166</v>
      </c>
      <c r="Q135" s="366">
        <f>VLOOKUP(Tableau119[[#This Row],[Name ILN]],Plant_AILN!F:G,2,FALSE)</f>
        <v>95436</v>
      </c>
      <c r="R135" s="50">
        <f>VLOOKUP(Tableau119[[#This Row],[Compte ILN]],'DATA ILN'!D:I,6,FALSE)</f>
        <v>9</v>
      </c>
      <c r="S135" s="81" t="e">
        <f>IFERROR(VLOOKUP(Tableau119[[#This Row],[Key(Compte ILN - shipper - POL - plant)]],'DATA ILN'!A:J,10,FALSE),VLOOKUP(Tableau119[[#This Row],[Key(Compte ILN - shipper - POL)]],'DATA ILN'!B:J,9,FALSE))</f>
        <v>#N/A</v>
      </c>
      <c r="T135" s="81" t="e">
        <f>IFERROR(VLOOKUP(Tableau119[[#This Row],[Key(Compte ILN - shipper - POL - plant)]],'DATA ILN'!A:K,11,FALSE),VLOOKUP(Tableau119[[#This Row],[Key(Compte ILN - shipper - POL)]],'DATA ILN'!B:K,10,FALSE))</f>
        <v>#N/A</v>
      </c>
      <c r="U135" s="81" t="e">
        <f>IFERROR(VLOOKUP(Tableau119[[#This Row],[Key(Compte ILN - shipper - POL - plant)]],'DATA ILN'!A:L,12,FALSE),VLOOKUP(Tableau119[[#This Row],[Key(Compte ILN - shipper - POL)]],'DATA ILN'!B:L,11,FALSE))</f>
        <v>#N/A</v>
      </c>
      <c r="V135" s="81" t="e">
        <f>Tableau119[[#This Row],[Day ILN Order]]+Tableau119[[#This Row],[Delivery time to ILN/Shipper]]-1</f>
        <v>#N/A</v>
      </c>
      <c r="W135" s="81" t="e">
        <f>IFERROR(VLOOKUP(Tableau119[[#This Row],[Key(Compte ILN - shipper - POL - plant)]],'DATA ILN'!A:N,14,FALSE),VLOOKUP(Tableau119[[#This Row],[Key(Compte ILN - shipper - POL)]],'DATA ILN'!B:N,13,FALSE))</f>
        <v>#N/A</v>
      </c>
      <c r="X135" s="81" t="e">
        <f>IFERROR(VLOOKUP(Tableau119[[#This Row],[Key(Compte ILN - shipper - POL - plant)]],'DATA ILN'!A:P,16,FALSE),VLOOKUP(Tableau119[[#This Row],[Key(Compte ILN - shipper - POL)]],'DATA ILN'!B:P,15,FALSE))</f>
        <v>#N/A</v>
      </c>
      <c r="Y135" s="116" t="s">
        <v>166</v>
      </c>
      <c r="Z135" s="417">
        <f>IFERROR(VLOOKUP(Tableau119[[#This Row],[Name Shipper]],Plant_AILN!L:M,2,FALSE),0)</f>
        <v>95436</v>
      </c>
      <c r="AA135" s="406">
        <v>30</v>
      </c>
      <c r="AB135" s="396" t="b">
        <f>_xlfn.XLOOKUP(Tableau119[[#This Row],[Key(ID-date)]],'DATA BTO'!S:S,'DATA BTO'!E:E,FALSE)</f>
        <v>0</v>
      </c>
      <c r="AC135" s="3" t="b">
        <f>_xlfn.XLOOKUP(Tableau119[[#This Row],[Key(ID-date)]],'DATA BTO'!S:S,'DATA BTO'!F:F,FALSE)</f>
        <v>0</v>
      </c>
      <c r="AD135" s="50" t="b">
        <f>_xlfn.XLOOKUP(Tableau119[[#This Row],[Key(ID-date)]],'DATA BTO'!S:S,'DATA BTO'!G:G,FALSE)</f>
        <v>0</v>
      </c>
      <c r="AE135" s="50" t="b">
        <f>_xlfn.XLOOKUP(Tableau119[[#This Row],[Key(ID-date)]],'DATA BTO'!S:S,'DATA BTO'!H:H,FALSE)</f>
        <v>0</v>
      </c>
      <c r="AF135" s="81" t="e">
        <f>IF(Tableau119[[#This Row],[First Day to POL]]&lt;=Tableau119[[#This Row],[Day Cut Off]],Tableau119[[#This Row],[Day ETD]],Tableau119[[#This Row],[Day ETD]]+7)</f>
        <v>#N/A</v>
      </c>
      <c r="AG135" s="50" t="b">
        <f>_xlfn.XLOOKUP(Tableau119[[#This Row],[Key(ID-date)]],'DATA BTO'!S:S,'DATA BTO'!I:I,FALSE)</f>
        <v>0</v>
      </c>
      <c r="AH135" s="3" t="b">
        <f>_xlfn.XLOOKUP(Tableau119[[#This Row],[Key(ID-date)]],'DATA BTO'!S:S,'DATA BTO'!J:J,FALSE)</f>
        <v>0</v>
      </c>
      <c r="AI135" s="3" t="b">
        <f>_xlfn.XLOOKUP(Tableau119[[#This Row],[Key(ID-date)]],'DATA BTO'!S:S,'DATA BTO'!K:K,FALSE)</f>
        <v>0</v>
      </c>
      <c r="AJ135" s="50" t="b">
        <f>_xlfn.XLOOKUP(Tableau119[[#This Row],[Key(ID-date)]],'DATA BTO'!S:S,'DATA BTO'!L:L,FALSE)</f>
        <v>0</v>
      </c>
      <c r="AK135" s="53" t="b">
        <f>_xlfn.XLOOKUP(Tableau119[[#This Row],[Key(ID-date)]],'DATA BTO'!S:S,'DATA BTO'!N:N,FALSE)</f>
        <v>0</v>
      </c>
      <c r="AL135" s="107" t="e">
        <f>VLOOKUP(Tableau119[[#This Row],[Key(POD -PFI- Usine)]],'DATA Consignee'!A:F,6,FALSE)</f>
        <v>#N/A</v>
      </c>
      <c r="AM135" s="127" t="s">
        <v>155</v>
      </c>
      <c r="AN135" s="375">
        <f>IF(Tableau119[[#This Row],[Name PFI/CDD]]="","-",VLOOKUP(Tableau119[[#This Row],[Name PFI/CDD]],Plant_AILN!I:J,2,FALSE))</f>
        <v>90016600</v>
      </c>
      <c r="AO13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5" s="110" t="e">
        <f>VLOOKUP(Tableau119[[#This Row],[Key(POD -PFI- Usine)]],'DATA Consignee'!A:J,10,FALSE)</f>
        <v>#N/A</v>
      </c>
      <c r="AR135" s="81" t="e">
        <f>VLOOKUP(Tableau119[[#This Row],[Key(POD -PFI- Usine)]],'DATA Consignee'!A:N,14,FALSE)</f>
        <v>#N/A</v>
      </c>
      <c r="AS13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5" s="81">
        <f>Tableau119[[#This Row],[Transit time]]+Tableau119[[#This Row],[Time for security]]+Tableau119[[#This Row],[Time for security2 buffer]]</f>
        <v>0</v>
      </c>
      <c r="AV135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5" s="81" t="e">
        <f>Tableau119[[#This Row],[Leadtime SI2C]]+Tableau119[[#This Row],[First Receipt Days]]-Tableau119[[#This Row],[Day Customer Order]]+1</f>
        <v>#N/A</v>
      </c>
      <c r="AX135" s="120" t="e">
        <f>IF(Tableau119[[#This Row],[Name ILN]]&lt;&gt;"SFK Freight Forwarder",Tableau119[[#This Row],[Cust. Leadtime]],Tableau119[[#This Row],[Leadtime SI2C]])</f>
        <v>#N/A</v>
      </c>
      <c r="AY135" s="51" t="b">
        <f>_xlfn.XLOOKUP(Tableau119[[#This Row],[Key(ID-date)]],'DATA BTO'!S:S,'DATA BTO'!P:P,FALSE)</f>
        <v>0</v>
      </c>
      <c r="AZ135" s="388">
        <v>45869</v>
      </c>
      <c r="BA135" s="50"/>
    </row>
    <row r="136" spans="2:53">
      <c r="B136" s="418" t="str">
        <f>_xlfn.CONCAT(Tableau119[[#This Row],[Name ILN]],"-",Tableau119[[#This Row],[Name Shipper]],"-",Tableau119[[#This Row],[Name Site]])</f>
        <v>ILN Busan-ILN Busan-CLEON</v>
      </c>
      <c r="C136" s="82" t="str">
        <f>_xlfn.CONCAT(Tableau119[[#This Row],[Compte ILN]],"-",Tableau119[[#This Row],[Compte Shipper]],"-",Tableau119[[#This Row],[POL]],"-",Tableau119[[#This Row],[Compte Consignee]])</f>
        <v>95436-95436-FALSO-92000100</v>
      </c>
      <c r="D136" s="82" t="str">
        <f>_xlfn.CONCAT(Tableau119[[#This Row],[Compte ILN]],"-",Tableau119[[#This Row],[Compte Shipper]],"-",Tableau119[[#This Row],[POL]])</f>
        <v>95436-95436-FALSO</v>
      </c>
      <c r="E136" s="83" t="str">
        <f>_xlfn.CONCAT(Tableau119[[#This Row],[POL]],"-",Tableau119[[#This Row],[Carrier]],"-",Tableau119[[#This Row],[POD]])</f>
        <v>FALSO-FALSO-FALSO</v>
      </c>
      <c r="F136" s="82" t="str">
        <f>_xlfn.CONCAT(Tableau119[[#This Row],[ID]],"-","Actif")</f>
        <v>30-Actif</v>
      </c>
      <c r="G136" s="82" t="str">
        <f>_xlfn.CONCAT(Tableau119[[#This Row],[POD]],"-",Tableau119[[#This Row],[Code PFI]],"-",Tableau119[[#This Row],[Compte Consignee]])</f>
        <v>FALSO-90016600-92000100</v>
      </c>
      <c r="H136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BusanFALSOCLEON</v>
      </c>
      <c r="I136" s="502" t="str">
        <f>_xlfn.CONCAT(Tableau119[[#This Row],[ID]],"-",Tableau119[[#This Row],[Expiration Date]])</f>
        <v>30-45869</v>
      </c>
      <c r="J1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Busan-ILN Busan-30-FALSO-FALSO-FALSO-CDD FR-45869</v>
      </c>
      <c r="K136" s="120" t="str">
        <f ca="1">IF(COUNTIF(J:J,Tableau119[[#This Row],[Plant-ILN-shipper-POL-Carrier-POD-PFI]])=1,"Non","Oui")</f>
        <v>Non</v>
      </c>
      <c r="L136" s="103" t="str">
        <f>VLOOKUP(Tableau119[[#This Row],[Name Site]],Plant_AILN!A:D,4,FALSE)</f>
        <v>FRANCE</v>
      </c>
      <c r="M136" s="415" t="s">
        <v>183</v>
      </c>
      <c r="N136" s="439">
        <f>VLOOKUP(Tableau119[[#This Row],[Name Site]],Plant_AILN!A:C,3,FALSE)</f>
        <v>92000100</v>
      </c>
      <c r="O136" s="55">
        <f>VLOOKUP(Tableau119[[#This Row],[Compte Consignee]],Order!C:D,2,FALSE)</f>
        <v>7</v>
      </c>
      <c r="P136" s="116" t="s">
        <v>166</v>
      </c>
      <c r="Q136" s="366">
        <f>VLOOKUP(Tableau119[[#This Row],[Name ILN]],Plant_AILN!F:G,2,FALSE)</f>
        <v>95436</v>
      </c>
      <c r="R136" s="50">
        <f>VLOOKUP(Tableau119[[#This Row],[Compte ILN]],'DATA ILN'!D:I,6,FALSE)</f>
        <v>9</v>
      </c>
      <c r="S136" s="81" t="e">
        <f>IFERROR(VLOOKUP(Tableau119[[#This Row],[Key(Compte ILN - shipper - POL - plant)]],'DATA ILN'!A:J,10,FALSE),VLOOKUP(Tableau119[[#This Row],[Key(Compte ILN - shipper - POL)]],'DATA ILN'!B:J,9,FALSE))</f>
        <v>#N/A</v>
      </c>
      <c r="T136" s="81" t="e">
        <f>IFERROR(VLOOKUP(Tableau119[[#This Row],[Key(Compte ILN - shipper - POL - plant)]],'DATA ILN'!A:K,11,FALSE),VLOOKUP(Tableau119[[#This Row],[Key(Compte ILN - shipper - POL)]],'DATA ILN'!B:K,10,FALSE))</f>
        <v>#N/A</v>
      </c>
      <c r="U136" s="81" t="e">
        <f>IFERROR(VLOOKUP(Tableau119[[#This Row],[Key(Compte ILN - shipper - POL - plant)]],'DATA ILN'!A:L,12,FALSE),VLOOKUP(Tableau119[[#This Row],[Key(Compte ILN - shipper - POL)]],'DATA ILN'!B:L,11,FALSE))</f>
        <v>#N/A</v>
      </c>
      <c r="V136" s="81" t="e">
        <f>Tableau119[[#This Row],[Day ILN Order]]+Tableau119[[#This Row],[Delivery time to ILN/Shipper]]-1</f>
        <v>#N/A</v>
      </c>
      <c r="W136" s="81" t="e">
        <f>IFERROR(VLOOKUP(Tableau119[[#This Row],[Key(Compte ILN - shipper - POL - plant)]],'DATA ILN'!A:N,14,FALSE),VLOOKUP(Tableau119[[#This Row],[Key(Compte ILN - shipper - POL)]],'DATA ILN'!B:N,13,FALSE))</f>
        <v>#N/A</v>
      </c>
      <c r="X136" s="81" t="e">
        <f>IFERROR(VLOOKUP(Tableau119[[#This Row],[Key(Compte ILN - shipper - POL - plant)]],'DATA ILN'!A:P,16,FALSE),VLOOKUP(Tableau119[[#This Row],[Key(Compte ILN - shipper - POL)]],'DATA ILN'!B:P,15,FALSE))</f>
        <v>#N/A</v>
      </c>
      <c r="Y136" s="116" t="s">
        <v>166</v>
      </c>
      <c r="Z136" s="417">
        <f>IFERROR(VLOOKUP(Tableau119[[#This Row],[Name Shipper]],Plant_AILN!L:M,2,FALSE),0)</f>
        <v>95436</v>
      </c>
      <c r="AA136" s="406">
        <v>30</v>
      </c>
      <c r="AB136" s="396" t="b">
        <f>_xlfn.XLOOKUP(Tableau119[[#This Row],[Key(ID-date)]],'DATA BTO'!S:S,'DATA BTO'!E:E,FALSE)</f>
        <v>0</v>
      </c>
      <c r="AC136" s="3" t="b">
        <f>_xlfn.XLOOKUP(Tableau119[[#This Row],[Key(ID-date)]],'DATA BTO'!S:S,'DATA BTO'!F:F,FALSE)</f>
        <v>0</v>
      </c>
      <c r="AD136" s="50" t="b">
        <f>_xlfn.XLOOKUP(Tableau119[[#This Row],[Key(ID-date)]],'DATA BTO'!S:S,'DATA BTO'!G:G,FALSE)</f>
        <v>0</v>
      </c>
      <c r="AE136" s="50" t="b">
        <f>_xlfn.XLOOKUP(Tableau119[[#This Row],[Key(ID-date)]],'DATA BTO'!S:S,'DATA BTO'!H:H,FALSE)</f>
        <v>0</v>
      </c>
      <c r="AF136" s="81" t="e">
        <f>IF(Tableau119[[#This Row],[First Day to POL]]&lt;=Tableau119[[#This Row],[Day Cut Off]],Tableau119[[#This Row],[Day ETD]],Tableau119[[#This Row],[Day ETD]]+7)</f>
        <v>#N/A</v>
      </c>
      <c r="AG136" s="50" t="b">
        <f>_xlfn.XLOOKUP(Tableau119[[#This Row],[Key(ID-date)]],'DATA BTO'!S:S,'DATA BTO'!I:I,FALSE)</f>
        <v>0</v>
      </c>
      <c r="AH136" s="3" t="b">
        <f>_xlfn.XLOOKUP(Tableau119[[#This Row],[Key(ID-date)]],'DATA BTO'!S:S,'DATA BTO'!J:J,FALSE)</f>
        <v>0</v>
      </c>
      <c r="AI136" s="3" t="b">
        <f>_xlfn.XLOOKUP(Tableau119[[#This Row],[Key(ID-date)]],'DATA BTO'!S:S,'DATA BTO'!K:K,FALSE)</f>
        <v>0</v>
      </c>
      <c r="AJ136" s="50" t="b">
        <f>_xlfn.XLOOKUP(Tableau119[[#This Row],[Key(ID-date)]],'DATA BTO'!S:S,'DATA BTO'!L:L,FALSE)</f>
        <v>0</v>
      </c>
      <c r="AK136" s="53" t="b">
        <f>_xlfn.XLOOKUP(Tableau119[[#This Row],[Key(ID-date)]],'DATA BTO'!S:S,'DATA BTO'!N:N,FALSE)</f>
        <v>0</v>
      </c>
      <c r="AL136" s="107" t="e">
        <f>VLOOKUP(Tableau119[[#This Row],[Key(POD -PFI- Usine)]],'DATA Consignee'!A:F,6,FALSE)</f>
        <v>#N/A</v>
      </c>
      <c r="AM136" s="127" t="s">
        <v>155</v>
      </c>
      <c r="AN136" s="375">
        <f>IF(Tableau119[[#This Row],[Name PFI/CDD]]="","-",VLOOKUP(Tableau119[[#This Row],[Name PFI/CDD]],Plant_AILN!I:J,2,FALSE))</f>
        <v>90016600</v>
      </c>
      <c r="AO13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6" s="110" t="e">
        <f>VLOOKUP(Tableau119[[#This Row],[Key(POD -PFI- Usine)]],'DATA Consignee'!A:J,10,FALSE)</f>
        <v>#N/A</v>
      </c>
      <c r="AR136" s="81" t="e">
        <f>VLOOKUP(Tableau119[[#This Row],[Key(POD -PFI- Usine)]],'DATA Consignee'!A:N,14,FALSE)</f>
        <v>#N/A</v>
      </c>
      <c r="AS13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6" s="81">
        <f>Tableau119[[#This Row],[Transit time]]+Tableau119[[#This Row],[Time for security]]+Tableau119[[#This Row],[Time for security2 buffer]]</f>
        <v>0</v>
      </c>
      <c r="AV136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6" s="81" t="e">
        <f>Tableau119[[#This Row],[Leadtime SI2C]]+Tableau119[[#This Row],[First Receipt Days]]-Tableau119[[#This Row],[Day Customer Order]]+1</f>
        <v>#N/A</v>
      </c>
      <c r="AX136" s="120" t="e">
        <f>IF(Tableau119[[#This Row],[Name ILN]]&lt;&gt;"SFK Freight Forwarder",Tableau119[[#This Row],[Cust. Leadtime]],Tableau119[[#This Row],[Leadtime SI2C]])</f>
        <v>#N/A</v>
      </c>
      <c r="AY136" s="51" t="b">
        <f>_xlfn.XLOOKUP(Tableau119[[#This Row],[Key(ID-date)]],'DATA BTO'!S:S,'DATA BTO'!P:P,FALSE)</f>
        <v>0</v>
      </c>
      <c r="AZ136" s="388">
        <v>45869</v>
      </c>
      <c r="BA136" s="50"/>
    </row>
    <row r="137" spans="2:53">
      <c r="B137" s="474" t="str">
        <f>_xlfn.CONCAT(Tableau119[[#This Row],[Name ILN]],"-",Tableau119[[#This Row],[Name Shipper]],"-",Tableau119[[#This Row],[Name Site]])</f>
        <v>ILN Busan-ILN Busan-ACI Le mans</v>
      </c>
      <c r="C137" s="67" t="str">
        <f>_xlfn.CONCAT(Tableau119[[#This Row],[Compte ILN]],"-",Tableau119[[#This Row],[Compte Shipper]],"-",Tableau119[[#This Row],[POL]],"-",Tableau119[[#This Row],[Compte Consignee]])</f>
        <v>95436-95436-FALSO-9624700</v>
      </c>
      <c r="D137" s="66" t="str">
        <f>_xlfn.CONCAT(Tableau119[[#This Row],[Compte ILN]],"-",Tableau119[[#This Row],[Compte Shipper]],"-",Tableau119[[#This Row],[POL]])</f>
        <v>95436-95436-FALSO</v>
      </c>
      <c r="E137" s="434" t="str">
        <f>_xlfn.CONCAT(Tableau119[[#This Row],[POL]],"-",Tableau119[[#This Row],[Carrier]],"-",Tableau119[[#This Row],[POD]])</f>
        <v>FALSO-FALSO-FALSO</v>
      </c>
      <c r="F137" s="66" t="str">
        <f>_xlfn.CONCAT(Tableau119[[#This Row],[ID]],"-","Actif")</f>
        <v>30-Actif</v>
      </c>
      <c r="G137" s="66" t="str">
        <f>_xlfn.CONCAT(Tableau119[[#This Row],[POD]],"-",Tableau119[[#This Row],[Code PFI]],"-",Tableau119[[#This Row],[Compte Consignee]])</f>
        <v>FALSO-90016600-9624700</v>
      </c>
      <c r="H13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BusanFALSOACI Le mans</v>
      </c>
      <c r="I137" s="434" t="str">
        <f>_xlfn.CONCAT(Tableau119[[#This Row],[ID]],"-",Tableau119[[#This Row],[Expiration Date]])</f>
        <v>30-45869</v>
      </c>
      <c r="J1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mans-ILN Busan-ILN Busan-30-FALSO-FALSO-FALSO-CDD FR-45869</v>
      </c>
      <c r="K137" s="435" t="str">
        <f ca="1">IF(COUNTIF(J:J,Tableau119[[#This Row],[Plant-ILN-shipper-POL-Carrier-POD-PFI]])=1,"Non","Oui")</f>
        <v>Non</v>
      </c>
      <c r="L137" s="128" t="str">
        <f>VLOOKUP(Tableau119[[#This Row],[Name Site]],Plant_AILN!A:D,4,FALSE)</f>
        <v>FRANCE</v>
      </c>
      <c r="M137" s="411" t="s">
        <v>218</v>
      </c>
      <c r="N137" s="439">
        <f>VLOOKUP(Tableau119[[#This Row],[Name Site]],Plant_AILN!A:C,3,FALSE)</f>
        <v>9624700</v>
      </c>
      <c r="O137" s="55">
        <f>VLOOKUP(Tableau119[[#This Row],[Compte Consignee]],Order!C:D,2,FALSE)</f>
        <v>7</v>
      </c>
      <c r="P137" s="116" t="s">
        <v>166</v>
      </c>
      <c r="Q137" s="365">
        <f>VLOOKUP(Tableau119[[#This Row],[Name ILN]],Plant_AILN!F:G,2,FALSE)</f>
        <v>95436</v>
      </c>
      <c r="R137" s="50">
        <f>VLOOKUP(Tableau119[[#This Row],[Compte ILN]],'DATA ILN'!D:I,6,FALSE)</f>
        <v>9</v>
      </c>
      <c r="S137" s="50" t="e">
        <f>IFERROR(VLOOKUP(Tableau119[[#This Row],[Key(Compte ILN - shipper - POL - plant)]],'DATA ILN'!A:J,10,FALSE),VLOOKUP(Tableau119[[#This Row],[Key(Compte ILN - shipper - POL)]],'DATA ILN'!B:J,9,FALSE))</f>
        <v>#N/A</v>
      </c>
      <c r="T137" s="50" t="e">
        <f>IFERROR(VLOOKUP(Tableau119[[#This Row],[Key(Compte ILN - shipper - POL - plant)]],'DATA ILN'!A:K,11,FALSE),VLOOKUP(Tableau119[[#This Row],[Key(Compte ILN - shipper - POL)]],'DATA ILN'!B:K,10,FALSE))</f>
        <v>#N/A</v>
      </c>
      <c r="U137" s="50" t="e">
        <f>IFERROR(VLOOKUP(Tableau119[[#This Row],[Key(Compte ILN - shipper - POL - plant)]],'DATA ILN'!A:L,12,FALSE),VLOOKUP(Tableau119[[#This Row],[Key(Compte ILN - shipper - POL)]],'DATA ILN'!B:L,11,FALSE))</f>
        <v>#N/A</v>
      </c>
      <c r="V137" s="50" t="e">
        <f>Tableau119[[#This Row],[Day ILN Order]]+Tableau119[[#This Row],[Delivery time to ILN/Shipper]]-1</f>
        <v>#N/A</v>
      </c>
      <c r="W137" s="50" t="e">
        <f>IFERROR(VLOOKUP(Tableau119[[#This Row],[Key(Compte ILN - shipper - POL - plant)]],'DATA ILN'!A:N,14,FALSE),VLOOKUP(Tableau119[[#This Row],[Key(Compte ILN - shipper - POL)]],'DATA ILN'!B:N,13,FALSE))</f>
        <v>#N/A</v>
      </c>
      <c r="X137" s="53" t="e">
        <f>IFERROR(VLOOKUP(Tableau119[[#This Row],[Key(Compte ILN - shipper - POL - plant)]],'DATA ILN'!A:P,16,FALSE),VLOOKUP(Tableau119[[#This Row],[Key(Compte ILN - shipper - POL)]],'DATA ILN'!B:P,15,FALSE))</f>
        <v>#N/A</v>
      </c>
      <c r="Y137" s="284" t="s">
        <v>166</v>
      </c>
      <c r="Z137" s="437">
        <f>IFERROR(VLOOKUP(Tableau119[[#This Row],[Name Shipper]],Plant_AILN!L:M,2,FALSE),0)</f>
        <v>95436</v>
      </c>
      <c r="AA137" s="406">
        <v>30</v>
      </c>
      <c r="AB137" s="396" t="b">
        <f>_xlfn.XLOOKUP(Tableau119[[#This Row],[Key(ID-date)]],'DATA BTO'!S:S,'DATA BTO'!E:E,FALSE)</f>
        <v>0</v>
      </c>
      <c r="AC137" s="3" t="b">
        <f>_xlfn.XLOOKUP(Tableau119[[#This Row],[Key(ID-date)]],'DATA BTO'!S:S,'DATA BTO'!F:F,FALSE)</f>
        <v>0</v>
      </c>
      <c r="AD137" s="50" t="b">
        <f>_xlfn.XLOOKUP(Tableau119[[#This Row],[Key(ID-date)]],'DATA BTO'!S:S,'DATA BTO'!G:G,FALSE)</f>
        <v>0</v>
      </c>
      <c r="AE137" s="50" t="b">
        <f>_xlfn.XLOOKUP(Tableau119[[#This Row],[Key(ID-date)]],'DATA BTO'!S:S,'DATA BTO'!H:H,FALSE)</f>
        <v>0</v>
      </c>
      <c r="AF137" s="50" t="e">
        <f>IF(Tableau119[[#This Row],[First Day to POL]]&lt;=Tableau119[[#This Row],[Day Cut Off]],Tableau119[[#This Row],[Day ETD]],Tableau119[[#This Row],[Day ETD]]+7)</f>
        <v>#N/A</v>
      </c>
      <c r="AG137" s="50" t="b">
        <f>_xlfn.XLOOKUP(Tableau119[[#This Row],[Key(ID-date)]],'DATA BTO'!S:S,'DATA BTO'!I:I,FALSE)</f>
        <v>0</v>
      </c>
      <c r="AH137" s="3" t="b">
        <f>_xlfn.XLOOKUP(Tableau119[[#This Row],[Key(ID-date)]],'DATA BTO'!S:S,'DATA BTO'!J:J,FALSE)</f>
        <v>0</v>
      </c>
      <c r="AI137" s="3" t="b">
        <f>_xlfn.XLOOKUP(Tableau119[[#This Row],[Key(ID-date)]],'DATA BTO'!S:S,'DATA BTO'!K:K,FALSE)</f>
        <v>0</v>
      </c>
      <c r="AJ137" s="50" t="b">
        <f>_xlfn.XLOOKUP(Tableau119[[#This Row],[Key(ID-date)]],'DATA BTO'!S:S,'DATA BTO'!L:L,FALSE)</f>
        <v>0</v>
      </c>
      <c r="AK137" s="53" t="b">
        <f>_xlfn.XLOOKUP(Tableau119[[#This Row],[Key(ID-date)]],'DATA BTO'!S:S,'DATA BTO'!N:N,FALSE)</f>
        <v>0</v>
      </c>
      <c r="AL137" s="54" t="e">
        <f>VLOOKUP(Tableau119[[#This Row],[Key(POD -PFI- Usine)]],'DATA Consignee'!A:F,6,FALSE)</f>
        <v>#N/A</v>
      </c>
      <c r="AM137" s="127" t="s">
        <v>155</v>
      </c>
      <c r="AN137" s="438">
        <f>IF(Tableau119[[#This Row],[Name PFI/CDD]]="","-",VLOOKUP(Tableau119[[#This Row],[Name PFI/CDD]],Plant_AILN!I:J,2,FALSE))</f>
        <v>90016600</v>
      </c>
      <c r="AO1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7" s="2" t="e">
        <f>VLOOKUP(Tableau119[[#This Row],[Key(POD -PFI- Usine)]],'DATA Consignee'!A:J,10,FALSE)</f>
        <v>#N/A</v>
      </c>
      <c r="AR137" s="50" t="e">
        <f>VLOOKUP(Tableau119[[#This Row],[Key(POD -PFI- Usine)]],'DATA Consignee'!A:N,14,FALSE)</f>
        <v>#N/A</v>
      </c>
      <c r="AS1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7" s="50">
        <f>Tableau119[[#This Row],[Transit time]]+Tableau119[[#This Row],[Time for security]]+Tableau119[[#This Row],[Time for security2 buffer]]</f>
        <v>0</v>
      </c>
      <c r="AV1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7" s="433" t="e">
        <f>Tableau119[[#This Row],[Leadtime SI2C]]+Tableau119[[#This Row],[First Receipt Days]]-Tableau119[[#This Row],[Day Customer Order]]+1</f>
        <v>#N/A</v>
      </c>
      <c r="AX137" s="119" t="e">
        <f>IF(Tableau119[[#This Row],[Name ILN]]&lt;&gt;"SFK Freight Forwarder",Tableau119[[#This Row],[Cust. Leadtime]],Tableau119[[#This Row],[Leadtime SI2C]])</f>
        <v>#N/A</v>
      </c>
      <c r="AY137" s="51" t="b">
        <f>_xlfn.XLOOKUP(Tableau119[[#This Row],[Key(ID-date)]],'DATA BTO'!S:S,'DATA BTO'!P:P,FALSE)</f>
        <v>0</v>
      </c>
      <c r="AZ137" s="338">
        <v>45869</v>
      </c>
      <c r="BA137" s="50"/>
    </row>
    <row r="138" spans="2:53">
      <c r="B138" s="474" t="str">
        <f>_xlfn.CONCAT(Tableau119[[#This Row],[Name ILN]],"-",Tableau119[[#This Row],[Name Shipper]],"-",Tableau119[[#This Row],[Name Site]])</f>
        <v>ILN Busan-ILN Busan-FLINS</v>
      </c>
      <c r="C138" s="67" t="str">
        <f>_xlfn.CONCAT(Tableau119[[#This Row],[Compte ILN]],"-",Tableau119[[#This Row],[Compte Shipper]],"-",Tableau119[[#This Row],[POL]],"-",Tableau119[[#This Row],[Compte Consignee]])</f>
        <v>95436-95436-FALSO-90015100</v>
      </c>
      <c r="D138" s="66" t="str">
        <f>_xlfn.CONCAT(Tableau119[[#This Row],[Compte ILN]],"-",Tableau119[[#This Row],[Compte Shipper]],"-",Tableau119[[#This Row],[POL]])</f>
        <v>95436-95436-FALSO</v>
      </c>
      <c r="E138" s="434" t="str">
        <f>_xlfn.CONCAT(Tableau119[[#This Row],[POL]],"-",Tableau119[[#This Row],[Carrier]],"-",Tableau119[[#This Row],[POD]])</f>
        <v>FALSO-FALSO-FALSO</v>
      </c>
      <c r="F138" s="66" t="str">
        <f>_xlfn.CONCAT(Tableau119[[#This Row],[ID]],"-","Actif")</f>
        <v>30-Actif</v>
      </c>
      <c r="G138" s="66" t="str">
        <f>_xlfn.CONCAT(Tableau119[[#This Row],[POD]],"-",Tableau119[[#This Row],[Code PFI]],"-",Tableau119[[#This Row],[Compte Consignee]])</f>
        <v>FALSO---90015100</v>
      </c>
      <c r="H13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BusanFALSOFLINS</v>
      </c>
      <c r="I138" s="434" t="str">
        <f>_xlfn.CONCAT(Tableau119[[#This Row],[ID]],"-",Tableau119[[#This Row],[Expiration Date]])</f>
        <v>30-45777</v>
      </c>
      <c r="J1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Busan-ILN Busan-30-FALSO-FALSO-FALSO--45777</v>
      </c>
      <c r="K138" s="435" t="str">
        <f ca="1">IF(COUNTIF(J:J,Tableau119[[#This Row],[Plant-ILN-shipper-POL-Carrier-POD-PFI]])=1,"Non","Oui")</f>
        <v>Non</v>
      </c>
      <c r="L138" s="128" t="str">
        <f>VLOOKUP(Tableau119[[#This Row],[Name Site]],Plant_AILN!A:D,4,FALSE)</f>
        <v>FRANCE</v>
      </c>
      <c r="M138" s="411" t="s">
        <v>209</v>
      </c>
      <c r="N138" s="439">
        <f>VLOOKUP(Tableau119[[#This Row],[Name Site]],Plant_AILN!A:C,3,FALSE)</f>
        <v>90015100</v>
      </c>
      <c r="O138" s="55">
        <f>VLOOKUP(Tableau119[[#This Row],[Compte Consignee]],Order!C:D,2,FALSE)</f>
        <v>7</v>
      </c>
      <c r="P138" s="116" t="s">
        <v>166</v>
      </c>
      <c r="Q138" s="365">
        <f>VLOOKUP(Tableau119[[#This Row],[Name ILN]],Plant_AILN!F:G,2,FALSE)</f>
        <v>95436</v>
      </c>
      <c r="R138" s="50">
        <f>VLOOKUP(Tableau119[[#This Row],[Compte ILN]],'DATA ILN'!D:I,6,FALSE)</f>
        <v>9</v>
      </c>
      <c r="S138" s="50" t="e">
        <f>IFERROR(VLOOKUP(Tableau119[[#This Row],[Key(Compte ILN - shipper - POL - plant)]],'DATA ILN'!A:J,10,FALSE),VLOOKUP(Tableau119[[#This Row],[Key(Compte ILN - shipper - POL)]],'DATA ILN'!B:J,9,FALSE))</f>
        <v>#N/A</v>
      </c>
      <c r="T138" s="50" t="e">
        <f>IFERROR(VLOOKUP(Tableau119[[#This Row],[Key(Compte ILN - shipper - POL - plant)]],'DATA ILN'!A:K,11,FALSE),VLOOKUP(Tableau119[[#This Row],[Key(Compte ILN - shipper - POL)]],'DATA ILN'!B:K,10,FALSE))</f>
        <v>#N/A</v>
      </c>
      <c r="U138" s="50" t="e">
        <f>IFERROR(VLOOKUP(Tableau119[[#This Row],[Key(Compte ILN - shipper - POL - plant)]],'DATA ILN'!A:L,12,FALSE),VLOOKUP(Tableau119[[#This Row],[Key(Compte ILN - shipper - POL)]],'DATA ILN'!B:L,11,FALSE))</f>
        <v>#N/A</v>
      </c>
      <c r="V138" s="50" t="e">
        <f>Tableau119[[#This Row],[Day ILN Order]]+Tableau119[[#This Row],[Delivery time to ILN/Shipper]]-1</f>
        <v>#N/A</v>
      </c>
      <c r="W138" s="50" t="e">
        <f>IFERROR(VLOOKUP(Tableau119[[#This Row],[Key(Compte ILN - shipper - POL - plant)]],'DATA ILN'!A:N,14,FALSE),VLOOKUP(Tableau119[[#This Row],[Key(Compte ILN - shipper - POL)]],'DATA ILN'!B:N,13,FALSE))</f>
        <v>#N/A</v>
      </c>
      <c r="X138" s="53" t="e">
        <f>IFERROR(VLOOKUP(Tableau119[[#This Row],[Key(Compte ILN - shipper - POL - plant)]],'DATA ILN'!A:P,16,FALSE),VLOOKUP(Tableau119[[#This Row],[Key(Compte ILN - shipper - POL)]],'DATA ILN'!B:P,15,FALSE))</f>
        <v>#N/A</v>
      </c>
      <c r="Y138" s="284" t="s">
        <v>166</v>
      </c>
      <c r="Z138" s="437">
        <f>IFERROR(VLOOKUP(Tableau119[[#This Row],[Name Shipper]],Plant_AILN!L:M,2,FALSE),0)</f>
        <v>95436</v>
      </c>
      <c r="AA138" s="406">
        <v>30</v>
      </c>
      <c r="AB138" s="396" t="b">
        <f>_xlfn.XLOOKUP(Tableau119[[#This Row],[Key(ID-date)]],'DATA BTO'!S:S,'DATA BTO'!E:E,FALSE)</f>
        <v>0</v>
      </c>
      <c r="AC138" s="3" t="b">
        <f>_xlfn.XLOOKUP(Tableau119[[#This Row],[Key(ID-date)]],'DATA BTO'!S:S,'DATA BTO'!F:F,FALSE)</f>
        <v>0</v>
      </c>
      <c r="AD138" s="50" t="b">
        <f>_xlfn.XLOOKUP(Tableau119[[#This Row],[Key(ID-date)]],'DATA BTO'!S:S,'DATA BTO'!G:G,FALSE)</f>
        <v>0</v>
      </c>
      <c r="AE138" s="50" t="b">
        <f>_xlfn.XLOOKUP(Tableau119[[#This Row],[Key(ID-date)]],'DATA BTO'!S:S,'DATA BTO'!H:H,FALSE)</f>
        <v>0</v>
      </c>
      <c r="AF138" s="50" t="e">
        <f>IF(Tableau119[[#This Row],[First Day to POL]]&lt;=Tableau119[[#This Row],[Day Cut Off]],Tableau119[[#This Row],[Day ETD]],Tableau119[[#This Row],[Day ETD]]+7)</f>
        <v>#N/A</v>
      </c>
      <c r="AG138" s="50" t="b">
        <f>_xlfn.XLOOKUP(Tableau119[[#This Row],[Key(ID-date)]],'DATA BTO'!S:S,'DATA BTO'!I:I,FALSE)</f>
        <v>0</v>
      </c>
      <c r="AH138" s="3" t="b">
        <f>_xlfn.XLOOKUP(Tableau119[[#This Row],[Key(ID-date)]],'DATA BTO'!S:S,'DATA BTO'!J:J,FALSE)</f>
        <v>0</v>
      </c>
      <c r="AI138" s="3" t="b">
        <f>_xlfn.XLOOKUP(Tableau119[[#This Row],[Key(ID-date)]],'DATA BTO'!S:S,'DATA BTO'!K:K,FALSE)</f>
        <v>0</v>
      </c>
      <c r="AJ138" s="50" t="b">
        <f>_xlfn.XLOOKUP(Tableau119[[#This Row],[Key(ID-date)]],'DATA BTO'!S:S,'DATA BTO'!L:L,FALSE)</f>
        <v>0</v>
      </c>
      <c r="AK138" s="53" t="b">
        <f>_xlfn.XLOOKUP(Tableau119[[#This Row],[Key(ID-date)]],'DATA BTO'!S:S,'DATA BTO'!N:N,FALSE)</f>
        <v>0</v>
      </c>
      <c r="AL138" s="54" t="e">
        <f>VLOOKUP(Tableau119[[#This Row],[Key(POD -PFI- Usine)]],'DATA Consignee'!A:F,6,FALSE)</f>
        <v>#N/A</v>
      </c>
      <c r="AM138" s="127"/>
      <c r="AN138" s="438" t="str">
        <f>IF(Tableau119[[#This Row],[Name PFI/CDD]]="","-",VLOOKUP(Tableau119[[#This Row],[Name PFI/CDD]],Plant_AILN!I:J,2,FALSE))</f>
        <v>-</v>
      </c>
      <c r="AO1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8" s="2" t="e">
        <f>VLOOKUP(Tableau119[[#This Row],[Key(POD -PFI- Usine)]],'DATA Consignee'!A:J,10,FALSE)</f>
        <v>#N/A</v>
      </c>
      <c r="AR138" s="50" t="e">
        <f>VLOOKUP(Tableau119[[#This Row],[Key(POD -PFI- Usine)]],'DATA Consignee'!A:N,14,FALSE)</f>
        <v>#N/A</v>
      </c>
      <c r="AS1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8" s="50">
        <f>Tableau119[[#This Row],[Transit time]]+Tableau119[[#This Row],[Time for security]]+Tableau119[[#This Row],[Time for security2 buffer]]</f>
        <v>0</v>
      </c>
      <c r="AV1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8" s="433" t="e">
        <f>Tableau119[[#This Row],[Leadtime SI2C]]+Tableau119[[#This Row],[First Receipt Days]]-Tableau119[[#This Row],[Day Customer Order]]+1</f>
        <v>#N/A</v>
      </c>
      <c r="AX138" s="119" t="e">
        <f>IF(Tableau119[[#This Row],[Name ILN]]&lt;&gt;"SFK Freight Forwarder",Tableau119[[#This Row],[Cust. Leadtime]],Tableau119[[#This Row],[Leadtime SI2C]])</f>
        <v>#N/A</v>
      </c>
      <c r="AY138" s="51" t="b">
        <f>_xlfn.XLOOKUP(Tableau119[[#This Row],[Key(ID-date)]],'DATA BTO'!S:S,'DATA BTO'!P:P,FALSE)</f>
        <v>0</v>
      </c>
      <c r="AZ138" s="338">
        <v>45777</v>
      </c>
      <c r="BA138" s="50"/>
    </row>
    <row r="139" spans="2:53">
      <c r="B139" s="474" t="str">
        <f>_xlfn.CONCAT(Tableau119[[#This Row],[Name ILN]],"-",Tableau119[[#This Row],[Name Shipper]],"-",Tableau119[[#This Row],[Name Site]])</f>
        <v>ILN Busan-ILN Busan-MAUBEUGE</v>
      </c>
      <c r="C139" s="67" t="str">
        <f>_xlfn.CONCAT(Tableau119[[#This Row],[Compte ILN]],"-",Tableau119[[#This Row],[Compte Shipper]],"-",Tableau119[[#This Row],[POL]],"-",Tableau119[[#This Row],[Compte Consignee]])</f>
        <v>95436-95436-FALSO-90016200</v>
      </c>
      <c r="D139" s="66" t="str">
        <f>_xlfn.CONCAT(Tableau119[[#This Row],[Compte ILN]],"-",Tableau119[[#This Row],[Compte Shipper]],"-",Tableau119[[#This Row],[POL]])</f>
        <v>95436-95436-FALSO</v>
      </c>
      <c r="E139" s="434" t="str">
        <f>_xlfn.CONCAT(Tableau119[[#This Row],[POL]],"-",Tableau119[[#This Row],[Carrier]],"-",Tableau119[[#This Row],[POD]])</f>
        <v>FALSO-FALSO-FALSO</v>
      </c>
      <c r="F139" s="66" t="str">
        <f>_xlfn.CONCAT(Tableau119[[#This Row],[ID]],"-","Actif")</f>
        <v>30-Actif</v>
      </c>
      <c r="G139" s="66" t="str">
        <f>_xlfn.CONCAT(Tableau119[[#This Row],[POD]],"-",Tableau119[[#This Row],[Code PFI]],"-",Tableau119[[#This Row],[Compte Consignee]])</f>
        <v>FALSO-90016600-90016200</v>
      </c>
      <c r="H13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BusanFALSOMAUBEUGE</v>
      </c>
      <c r="I139" s="434" t="str">
        <f>_xlfn.CONCAT(Tableau119[[#This Row],[ID]],"-",Tableau119[[#This Row],[Expiration Date]])</f>
        <v>30-45777</v>
      </c>
      <c r="J1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Busan-ILN Busan-30-FALSO-FALSO-FALSO-CDD FR-45777</v>
      </c>
      <c r="K139" s="435" t="str">
        <f ca="1">IF(COUNTIF(J:J,Tableau119[[#This Row],[Plant-ILN-shipper-POL-Carrier-POD-PFI]])=1,"Non","Oui")</f>
        <v>Non</v>
      </c>
      <c r="L139" s="128" t="str">
        <f>VLOOKUP(Tableau119[[#This Row],[Name Site]],Plant_AILN!A:D,4,FALSE)</f>
        <v>FRANCE</v>
      </c>
      <c r="M139" s="411" t="s">
        <v>210</v>
      </c>
      <c r="N139" s="439">
        <f>VLOOKUP(Tableau119[[#This Row],[Name Site]],Plant_AILN!A:C,3,FALSE)</f>
        <v>90016200</v>
      </c>
      <c r="O139" s="55">
        <f>VLOOKUP(Tableau119[[#This Row],[Compte Consignee]],Order!C:D,2,FALSE)</f>
        <v>7</v>
      </c>
      <c r="P139" s="116" t="s">
        <v>166</v>
      </c>
      <c r="Q139" s="365">
        <f>VLOOKUP(Tableau119[[#This Row],[Name ILN]],Plant_AILN!F:G,2,FALSE)</f>
        <v>95436</v>
      </c>
      <c r="R139" s="50">
        <f>VLOOKUP(Tableau119[[#This Row],[Compte ILN]],'DATA ILN'!D:I,6,FALSE)</f>
        <v>9</v>
      </c>
      <c r="S139" s="50" t="e">
        <f>IFERROR(VLOOKUP(Tableau119[[#This Row],[Key(Compte ILN - shipper - POL - plant)]],'DATA ILN'!A:J,10,FALSE),VLOOKUP(Tableau119[[#This Row],[Key(Compte ILN - shipper - POL)]],'DATA ILN'!B:J,9,FALSE))</f>
        <v>#N/A</v>
      </c>
      <c r="T139" s="50" t="e">
        <f>IFERROR(VLOOKUP(Tableau119[[#This Row],[Key(Compte ILN - shipper - POL - plant)]],'DATA ILN'!A:K,11,FALSE),VLOOKUP(Tableau119[[#This Row],[Key(Compte ILN - shipper - POL)]],'DATA ILN'!B:K,10,FALSE))</f>
        <v>#N/A</v>
      </c>
      <c r="U139" s="50" t="e">
        <f>IFERROR(VLOOKUP(Tableau119[[#This Row],[Key(Compte ILN - shipper - POL - plant)]],'DATA ILN'!A:L,12,FALSE),VLOOKUP(Tableau119[[#This Row],[Key(Compte ILN - shipper - POL)]],'DATA ILN'!B:L,11,FALSE))</f>
        <v>#N/A</v>
      </c>
      <c r="V139" s="50" t="e">
        <f>Tableau119[[#This Row],[Day ILN Order]]+Tableau119[[#This Row],[Delivery time to ILN/Shipper]]-1</f>
        <v>#N/A</v>
      </c>
      <c r="W139" s="50" t="e">
        <f>IFERROR(VLOOKUP(Tableau119[[#This Row],[Key(Compte ILN - shipper - POL - plant)]],'DATA ILN'!A:N,14,FALSE),VLOOKUP(Tableau119[[#This Row],[Key(Compte ILN - shipper - POL)]],'DATA ILN'!B:N,13,FALSE))</f>
        <v>#N/A</v>
      </c>
      <c r="X139" s="53" t="e">
        <f>IFERROR(VLOOKUP(Tableau119[[#This Row],[Key(Compte ILN - shipper - POL - plant)]],'DATA ILN'!A:P,16,FALSE),VLOOKUP(Tableau119[[#This Row],[Key(Compte ILN - shipper - POL)]],'DATA ILN'!B:P,15,FALSE))</f>
        <v>#N/A</v>
      </c>
      <c r="Y139" s="284" t="s">
        <v>166</v>
      </c>
      <c r="Z139" s="437">
        <f>IFERROR(VLOOKUP(Tableau119[[#This Row],[Name Shipper]],Plant_AILN!L:M,2,FALSE),0)</f>
        <v>95436</v>
      </c>
      <c r="AA139" s="406">
        <v>30</v>
      </c>
      <c r="AB139" s="396" t="b">
        <f>_xlfn.XLOOKUP(Tableau119[[#This Row],[Key(ID-date)]],'DATA BTO'!S:S,'DATA BTO'!E:E,FALSE)</f>
        <v>0</v>
      </c>
      <c r="AC139" s="3" t="b">
        <f>_xlfn.XLOOKUP(Tableau119[[#This Row],[Key(ID-date)]],'DATA BTO'!S:S,'DATA BTO'!F:F,FALSE)</f>
        <v>0</v>
      </c>
      <c r="AD139" s="50" t="b">
        <f>_xlfn.XLOOKUP(Tableau119[[#This Row],[Key(ID-date)]],'DATA BTO'!S:S,'DATA BTO'!G:G,FALSE)</f>
        <v>0</v>
      </c>
      <c r="AE139" s="50" t="b">
        <f>_xlfn.XLOOKUP(Tableau119[[#This Row],[Key(ID-date)]],'DATA BTO'!S:S,'DATA BTO'!H:H,FALSE)</f>
        <v>0</v>
      </c>
      <c r="AF139" s="50" t="e">
        <f>IF(Tableau119[[#This Row],[First Day to POL]]&lt;=Tableau119[[#This Row],[Day Cut Off]],Tableau119[[#This Row],[Day ETD]],Tableau119[[#This Row],[Day ETD]]+7)</f>
        <v>#N/A</v>
      </c>
      <c r="AG139" s="50" t="b">
        <f>_xlfn.XLOOKUP(Tableau119[[#This Row],[Key(ID-date)]],'DATA BTO'!S:S,'DATA BTO'!I:I,FALSE)</f>
        <v>0</v>
      </c>
      <c r="AH139" s="3" t="b">
        <f>_xlfn.XLOOKUP(Tableau119[[#This Row],[Key(ID-date)]],'DATA BTO'!S:S,'DATA BTO'!J:J,FALSE)</f>
        <v>0</v>
      </c>
      <c r="AI139" s="3" t="b">
        <f>_xlfn.XLOOKUP(Tableau119[[#This Row],[Key(ID-date)]],'DATA BTO'!S:S,'DATA BTO'!K:K,FALSE)</f>
        <v>0</v>
      </c>
      <c r="AJ139" s="50" t="b">
        <f>_xlfn.XLOOKUP(Tableau119[[#This Row],[Key(ID-date)]],'DATA BTO'!S:S,'DATA BTO'!L:L,FALSE)</f>
        <v>0</v>
      </c>
      <c r="AK139" s="53" t="b">
        <f>_xlfn.XLOOKUP(Tableau119[[#This Row],[Key(ID-date)]],'DATA BTO'!S:S,'DATA BTO'!N:N,FALSE)</f>
        <v>0</v>
      </c>
      <c r="AL139" s="54" t="e">
        <f>VLOOKUP(Tableau119[[#This Row],[Key(POD -PFI- Usine)]],'DATA Consignee'!A:F,6,FALSE)</f>
        <v>#N/A</v>
      </c>
      <c r="AM139" s="127" t="s">
        <v>155</v>
      </c>
      <c r="AN139" s="438">
        <f>IF(Tableau119[[#This Row],[Name PFI/CDD]]="","-",VLOOKUP(Tableau119[[#This Row],[Name PFI/CDD]],Plant_AILN!I:J,2,FALSE))</f>
        <v>90016600</v>
      </c>
      <c r="AO1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39" s="2" t="e">
        <f>VLOOKUP(Tableau119[[#This Row],[Key(POD -PFI- Usine)]],'DATA Consignee'!A:J,10,FALSE)</f>
        <v>#N/A</v>
      </c>
      <c r="AR139" s="50" t="e">
        <f>VLOOKUP(Tableau119[[#This Row],[Key(POD -PFI- Usine)]],'DATA Consignee'!A:N,14,FALSE)</f>
        <v>#N/A</v>
      </c>
      <c r="AS1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39" s="50">
        <f>Tableau119[[#This Row],[Transit time]]+Tableau119[[#This Row],[Time for security]]+Tableau119[[#This Row],[Time for security2 buffer]]</f>
        <v>0</v>
      </c>
      <c r="AV1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39" s="433" t="e">
        <f>Tableau119[[#This Row],[Leadtime SI2C]]+Tableau119[[#This Row],[First Receipt Days]]-Tableau119[[#This Row],[Day Customer Order]]+1</f>
        <v>#N/A</v>
      </c>
      <c r="AX139" s="119" t="e">
        <f>IF(Tableau119[[#This Row],[Name ILN]]&lt;&gt;"SFK Freight Forwarder",Tableau119[[#This Row],[Cust. Leadtime]],Tableau119[[#This Row],[Leadtime SI2C]])</f>
        <v>#N/A</v>
      </c>
      <c r="AY139" s="51" t="b">
        <f>_xlfn.XLOOKUP(Tableau119[[#This Row],[Key(ID-date)]],'DATA BTO'!S:S,'DATA BTO'!P:P,FALSE)</f>
        <v>0</v>
      </c>
      <c r="AZ139" s="338">
        <v>45777</v>
      </c>
      <c r="BA139" s="50"/>
    </row>
    <row r="140" spans="2:53">
      <c r="B140" s="474" t="str">
        <f>_xlfn.CONCAT(Tableau119[[#This Row],[Name ILN]],"-",Tableau119[[#This Row],[Name Shipper]],"-",Tableau119[[#This Row],[Name Site]])</f>
        <v>ILN Busan-ILN Busan-SOVAB</v>
      </c>
      <c r="C140" s="67" t="str">
        <f>_xlfn.CONCAT(Tableau119[[#This Row],[Compte ILN]],"-",Tableau119[[#This Row],[Compte Shipper]],"-",Tableau119[[#This Row],[POL]],"-",Tableau119[[#This Row],[Compte Consignee]])</f>
        <v>95436-95436-FALSO-90016900</v>
      </c>
      <c r="D140" s="66" t="str">
        <f>_xlfn.CONCAT(Tableau119[[#This Row],[Compte ILN]],"-",Tableau119[[#This Row],[Compte Shipper]],"-",Tableau119[[#This Row],[POL]])</f>
        <v>95436-95436-FALSO</v>
      </c>
      <c r="E140" s="434" t="str">
        <f>_xlfn.CONCAT(Tableau119[[#This Row],[POL]],"-",Tableau119[[#This Row],[Carrier]],"-",Tableau119[[#This Row],[POD]])</f>
        <v>FALSO-FALSO-FALSO</v>
      </c>
      <c r="F140" s="66" t="str">
        <f>_xlfn.CONCAT(Tableau119[[#This Row],[ID]],"-","Actif")</f>
        <v>30-Actif</v>
      </c>
      <c r="G140" s="66" t="str">
        <f>_xlfn.CONCAT(Tableau119[[#This Row],[POD]],"-",Tableau119[[#This Row],[Code PFI]],"-",Tableau119[[#This Row],[Compte Consignee]])</f>
        <v>FALSO-90016600-90016900</v>
      </c>
      <c r="H14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BusanFALSOSOVAB</v>
      </c>
      <c r="I140" s="434" t="str">
        <f>_xlfn.CONCAT(Tableau119[[#This Row],[ID]],"-",Tableau119[[#This Row],[Expiration Date]])</f>
        <v>30-45777</v>
      </c>
      <c r="J1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Busan-ILN Busan-30-FALSO-FALSO-FALSO-CDD FR-45777</v>
      </c>
      <c r="K140" s="435" t="str">
        <f ca="1">IF(COUNTIF(J:J,Tableau119[[#This Row],[Plant-ILN-shipper-POL-Carrier-POD-PFI]])=1,"Non","Oui")</f>
        <v>Non</v>
      </c>
      <c r="L140" s="128" t="str">
        <f>VLOOKUP(Tableau119[[#This Row],[Name Site]],Plant_AILN!A:D,4,FALSE)</f>
        <v>FRANCE</v>
      </c>
      <c r="M140" s="411" t="s">
        <v>154</v>
      </c>
      <c r="N140" s="439">
        <f>VLOOKUP(Tableau119[[#This Row],[Name Site]],Plant_AILN!A:C,3,FALSE)</f>
        <v>90016900</v>
      </c>
      <c r="O140" s="55">
        <f>VLOOKUP(Tableau119[[#This Row],[Compte Consignee]],Order!C:D,2,FALSE)</f>
        <v>7</v>
      </c>
      <c r="P140" s="116" t="s">
        <v>166</v>
      </c>
      <c r="Q140" s="365">
        <f>VLOOKUP(Tableau119[[#This Row],[Name ILN]],Plant_AILN!F:G,2,FALSE)</f>
        <v>95436</v>
      </c>
      <c r="R140" s="50">
        <f>VLOOKUP(Tableau119[[#This Row],[Compte ILN]],'DATA ILN'!D:I,6,FALSE)</f>
        <v>9</v>
      </c>
      <c r="S140" s="50" t="e">
        <f>IFERROR(VLOOKUP(Tableau119[[#This Row],[Key(Compte ILN - shipper - POL - plant)]],'DATA ILN'!A:J,10,FALSE),VLOOKUP(Tableau119[[#This Row],[Key(Compte ILN - shipper - POL)]],'DATA ILN'!B:J,9,FALSE))</f>
        <v>#N/A</v>
      </c>
      <c r="T140" s="50" t="e">
        <f>IFERROR(VLOOKUP(Tableau119[[#This Row],[Key(Compte ILN - shipper - POL - plant)]],'DATA ILN'!A:K,11,FALSE),VLOOKUP(Tableau119[[#This Row],[Key(Compte ILN - shipper - POL)]],'DATA ILN'!B:K,10,FALSE))</f>
        <v>#N/A</v>
      </c>
      <c r="U140" s="50" t="e">
        <f>IFERROR(VLOOKUP(Tableau119[[#This Row],[Key(Compte ILN - shipper - POL - plant)]],'DATA ILN'!A:L,12,FALSE),VLOOKUP(Tableau119[[#This Row],[Key(Compte ILN - shipper - POL)]],'DATA ILN'!B:L,11,FALSE))</f>
        <v>#N/A</v>
      </c>
      <c r="V140" s="50" t="e">
        <f>Tableau119[[#This Row],[Day ILN Order]]+Tableau119[[#This Row],[Delivery time to ILN/Shipper]]-1</f>
        <v>#N/A</v>
      </c>
      <c r="W140" s="50" t="e">
        <f>IFERROR(VLOOKUP(Tableau119[[#This Row],[Key(Compte ILN - shipper - POL - plant)]],'DATA ILN'!A:N,14,FALSE),VLOOKUP(Tableau119[[#This Row],[Key(Compte ILN - shipper - POL)]],'DATA ILN'!B:N,13,FALSE))</f>
        <v>#N/A</v>
      </c>
      <c r="X140" s="53" t="e">
        <f>IFERROR(VLOOKUP(Tableau119[[#This Row],[Key(Compte ILN - shipper - POL - plant)]],'DATA ILN'!A:P,16,FALSE),VLOOKUP(Tableau119[[#This Row],[Key(Compte ILN - shipper - POL)]],'DATA ILN'!B:P,15,FALSE))</f>
        <v>#N/A</v>
      </c>
      <c r="Y140" s="284" t="s">
        <v>166</v>
      </c>
      <c r="Z140" s="437">
        <f>IFERROR(VLOOKUP(Tableau119[[#This Row],[Name Shipper]],Plant_AILN!L:M,2,FALSE),0)</f>
        <v>95436</v>
      </c>
      <c r="AA140" s="406">
        <v>30</v>
      </c>
      <c r="AB140" s="396" t="b">
        <f>_xlfn.XLOOKUP(Tableau119[[#This Row],[Key(ID-date)]],'DATA BTO'!S:S,'DATA BTO'!E:E,FALSE)</f>
        <v>0</v>
      </c>
      <c r="AC140" s="3" t="b">
        <f>_xlfn.XLOOKUP(Tableau119[[#This Row],[Key(ID-date)]],'DATA BTO'!S:S,'DATA BTO'!F:F,FALSE)</f>
        <v>0</v>
      </c>
      <c r="AD140" s="50" t="b">
        <f>_xlfn.XLOOKUP(Tableau119[[#This Row],[Key(ID-date)]],'DATA BTO'!S:S,'DATA BTO'!G:G,FALSE)</f>
        <v>0</v>
      </c>
      <c r="AE140" s="50" t="b">
        <f>_xlfn.XLOOKUP(Tableau119[[#This Row],[Key(ID-date)]],'DATA BTO'!S:S,'DATA BTO'!H:H,FALSE)</f>
        <v>0</v>
      </c>
      <c r="AF140" s="50" t="e">
        <f>IF(Tableau119[[#This Row],[First Day to POL]]&lt;=Tableau119[[#This Row],[Day Cut Off]],Tableau119[[#This Row],[Day ETD]],Tableau119[[#This Row],[Day ETD]]+7)</f>
        <v>#N/A</v>
      </c>
      <c r="AG140" s="50" t="b">
        <f>_xlfn.XLOOKUP(Tableau119[[#This Row],[Key(ID-date)]],'DATA BTO'!S:S,'DATA BTO'!I:I,FALSE)</f>
        <v>0</v>
      </c>
      <c r="AH140" s="3" t="b">
        <f>_xlfn.XLOOKUP(Tableau119[[#This Row],[Key(ID-date)]],'DATA BTO'!S:S,'DATA BTO'!J:J,FALSE)</f>
        <v>0</v>
      </c>
      <c r="AI140" s="3" t="b">
        <f>_xlfn.XLOOKUP(Tableau119[[#This Row],[Key(ID-date)]],'DATA BTO'!S:S,'DATA BTO'!K:K,FALSE)</f>
        <v>0</v>
      </c>
      <c r="AJ140" s="50" t="b">
        <f>_xlfn.XLOOKUP(Tableau119[[#This Row],[Key(ID-date)]],'DATA BTO'!S:S,'DATA BTO'!L:L,FALSE)</f>
        <v>0</v>
      </c>
      <c r="AK140" s="53" t="b">
        <f>_xlfn.XLOOKUP(Tableau119[[#This Row],[Key(ID-date)]],'DATA BTO'!S:S,'DATA BTO'!N:N,FALSE)</f>
        <v>0</v>
      </c>
      <c r="AL140" s="54" t="e">
        <f>VLOOKUP(Tableau119[[#This Row],[Key(POD -PFI- Usine)]],'DATA Consignee'!A:F,6,FALSE)</f>
        <v>#N/A</v>
      </c>
      <c r="AM140" s="127" t="s">
        <v>155</v>
      </c>
      <c r="AN140" s="438">
        <f>IF(Tableau119[[#This Row],[Name PFI/CDD]]="","-",VLOOKUP(Tableau119[[#This Row],[Name PFI/CDD]],Plant_AILN!I:J,2,FALSE))</f>
        <v>90016600</v>
      </c>
      <c r="AO1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0" s="2" t="e">
        <f>VLOOKUP(Tableau119[[#This Row],[Key(POD -PFI- Usine)]],'DATA Consignee'!A:J,10,FALSE)</f>
        <v>#N/A</v>
      </c>
      <c r="AR140" s="50" t="e">
        <f>VLOOKUP(Tableau119[[#This Row],[Key(POD -PFI- Usine)]],'DATA Consignee'!A:N,14,FALSE)</f>
        <v>#N/A</v>
      </c>
      <c r="AS1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0" s="50">
        <f>Tableau119[[#This Row],[Transit time]]+Tableau119[[#This Row],[Time for security]]+Tableau119[[#This Row],[Time for security2 buffer]]</f>
        <v>0</v>
      </c>
      <c r="AV1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0" s="433" t="e">
        <f>Tableau119[[#This Row],[Leadtime SI2C]]+Tableau119[[#This Row],[First Receipt Days]]-Tableau119[[#This Row],[Day Customer Order]]+1</f>
        <v>#N/A</v>
      </c>
      <c r="AX140" s="119" t="e">
        <f>IF(Tableau119[[#This Row],[Name ILN]]&lt;&gt;"SFK Freight Forwarder",Tableau119[[#This Row],[Cust. Leadtime]],Tableau119[[#This Row],[Leadtime SI2C]])</f>
        <v>#N/A</v>
      </c>
      <c r="AY140" s="51" t="b">
        <f>_xlfn.XLOOKUP(Tableau119[[#This Row],[Key(ID-date)]],'DATA BTO'!S:S,'DATA BTO'!P:P,FALSE)</f>
        <v>0</v>
      </c>
      <c r="AZ140" s="338">
        <v>45777</v>
      </c>
      <c r="BA140" s="50"/>
    </row>
    <row r="141" spans="2:53">
      <c r="B141" s="474" t="str">
        <f>_xlfn.CONCAT(Tableau119[[#This Row],[Name ILN]],"-",Tableau119[[#This Row],[Name Shipper]],"-",Tableau119[[#This Row],[Name Site]])</f>
        <v>ILN Busan-ILN Busan-SANDOUVILLE</v>
      </c>
      <c r="C141" s="67" t="str">
        <f>_xlfn.CONCAT(Tableau119[[#This Row],[Compte ILN]],"-",Tableau119[[#This Row],[Compte Shipper]],"-",Tableau119[[#This Row],[POL]],"-",Tableau119[[#This Row],[Compte Consignee]])</f>
        <v>95436-95436-FALSO-90017100</v>
      </c>
      <c r="D141" s="66" t="str">
        <f>_xlfn.CONCAT(Tableau119[[#This Row],[Compte ILN]],"-",Tableau119[[#This Row],[Compte Shipper]],"-",Tableau119[[#This Row],[POL]])</f>
        <v>95436-95436-FALSO</v>
      </c>
      <c r="E141" s="434" t="str">
        <f>_xlfn.CONCAT(Tableau119[[#This Row],[POL]],"-",Tableau119[[#This Row],[Carrier]],"-",Tableau119[[#This Row],[POD]])</f>
        <v>FALSO-FALSO-FALSO</v>
      </c>
      <c r="F141" s="66" t="str">
        <f>_xlfn.CONCAT(Tableau119[[#This Row],[ID]],"-","Actif")</f>
        <v>30-Actif</v>
      </c>
      <c r="G141" s="66" t="str">
        <f>_xlfn.CONCAT(Tableau119[[#This Row],[POD]],"-",Tableau119[[#This Row],[Code PFI]],"-",Tableau119[[#This Row],[Compte Consignee]])</f>
        <v>FALSO-90016600-90017100</v>
      </c>
      <c r="H14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BusanFALSOSANDOUVILLE</v>
      </c>
      <c r="I141" s="434" t="str">
        <f>_xlfn.CONCAT(Tableau119[[#This Row],[ID]],"-",Tableau119[[#This Row],[Expiration Date]])</f>
        <v>30-45777</v>
      </c>
      <c r="J1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Busan-ILN Busan-30-FALSO-FALSO-FALSO-CDD FR-45777</v>
      </c>
      <c r="K141" s="435" t="str">
        <f ca="1">IF(COUNTIF(J:J,Tableau119[[#This Row],[Plant-ILN-shipper-POL-Carrier-POD-PFI]])=1,"Non","Oui")</f>
        <v>Non</v>
      </c>
      <c r="L141" s="128" t="str">
        <f>VLOOKUP(Tableau119[[#This Row],[Name Site]],Plant_AILN!A:D,4,FALSE)</f>
        <v>FRANCE</v>
      </c>
      <c r="M141" s="411" t="s">
        <v>196</v>
      </c>
      <c r="N141" s="439">
        <f>VLOOKUP(Tableau119[[#This Row],[Name Site]],Plant_AILN!A:C,3,FALSE)</f>
        <v>90017100</v>
      </c>
      <c r="O141" s="55">
        <f>VLOOKUP(Tableau119[[#This Row],[Compte Consignee]],Order!C:D,2,FALSE)</f>
        <v>7</v>
      </c>
      <c r="P141" s="116" t="s">
        <v>166</v>
      </c>
      <c r="Q141" s="365">
        <f>VLOOKUP(Tableau119[[#This Row],[Name ILN]],Plant_AILN!F:G,2,FALSE)</f>
        <v>95436</v>
      </c>
      <c r="R141" s="50">
        <f>VLOOKUP(Tableau119[[#This Row],[Compte ILN]],'DATA ILN'!D:I,6,FALSE)</f>
        <v>9</v>
      </c>
      <c r="S141" s="50" t="e">
        <f>IFERROR(VLOOKUP(Tableau119[[#This Row],[Key(Compte ILN - shipper - POL - plant)]],'DATA ILN'!A:J,10,FALSE),VLOOKUP(Tableau119[[#This Row],[Key(Compte ILN - shipper - POL)]],'DATA ILN'!B:J,9,FALSE))</f>
        <v>#N/A</v>
      </c>
      <c r="T141" s="50" t="e">
        <f>IFERROR(VLOOKUP(Tableau119[[#This Row],[Key(Compte ILN - shipper - POL - plant)]],'DATA ILN'!A:K,11,FALSE),VLOOKUP(Tableau119[[#This Row],[Key(Compte ILN - shipper - POL)]],'DATA ILN'!B:K,10,FALSE))</f>
        <v>#N/A</v>
      </c>
      <c r="U141" s="50" t="e">
        <f>IFERROR(VLOOKUP(Tableau119[[#This Row],[Key(Compte ILN - shipper - POL - plant)]],'DATA ILN'!A:L,12,FALSE),VLOOKUP(Tableau119[[#This Row],[Key(Compte ILN - shipper - POL)]],'DATA ILN'!B:L,11,FALSE))</f>
        <v>#N/A</v>
      </c>
      <c r="V141" s="50" t="e">
        <f>Tableau119[[#This Row],[Day ILN Order]]+Tableau119[[#This Row],[Delivery time to ILN/Shipper]]-1</f>
        <v>#N/A</v>
      </c>
      <c r="W141" s="50" t="e">
        <f>IFERROR(VLOOKUP(Tableau119[[#This Row],[Key(Compte ILN - shipper - POL - plant)]],'DATA ILN'!A:N,14,FALSE),VLOOKUP(Tableau119[[#This Row],[Key(Compte ILN - shipper - POL)]],'DATA ILN'!B:N,13,FALSE))</f>
        <v>#N/A</v>
      </c>
      <c r="X141" s="53" t="e">
        <f>IFERROR(VLOOKUP(Tableau119[[#This Row],[Key(Compte ILN - shipper - POL - plant)]],'DATA ILN'!A:P,16,FALSE),VLOOKUP(Tableau119[[#This Row],[Key(Compte ILN - shipper - POL)]],'DATA ILN'!B:P,15,FALSE))</f>
        <v>#N/A</v>
      </c>
      <c r="Y141" s="284" t="s">
        <v>166</v>
      </c>
      <c r="Z141" s="437">
        <f>IFERROR(VLOOKUP(Tableau119[[#This Row],[Name Shipper]],Plant_AILN!L:M,2,FALSE),0)</f>
        <v>95436</v>
      </c>
      <c r="AA141" s="406">
        <v>30</v>
      </c>
      <c r="AB141" s="396" t="b">
        <f>_xlfn.XLOOKUP(Tableau119[[#This Row],[Key(ID-date)]],'DATA BTO'!S:S,'DATA BTO'!E:E,FALSE)</f>
        <v>0</v>
      </c>
      <c r="AC141" s="3" t="b">
        <f>_xlfn.XLOOKUP(Tableau119[[#This Row],[Key(ID-date)]],'DATA BTO'!S:S,'DATA BTO'!F:F,FALSE)</f>
        <v>0</v>
      </c>
      <c r="AD141" s="50" t="b">
        <f>_xlfn.XLOOKUP(Tableau119[[#This Row],[Key(ID-date)]],'DATA BTO'!S:S,'DATA BTO'!G:G,FALSE)</f>
        <v>0</v>
      </c>
      <c r="AE141" s="50" t="b">
        <f>_xlfn.XLOOKUP(Tableau119[[#This Row],[Key(ID-date)]],'DATA BTO'!S:S,'DATA BTO'!H:H,FALSE)</f>
        <v>0</v>
      </c>
      <c r="AF141" s="50" t="e">
        <f>IF(Tableau119[[#This Row],[First Day to POL]]&lt;=Tableau119[[#This Row],[Day Cut Off]],Tableau119[[#This Row],[Day ETD]],Tableau119[[#This Row],[Day ETD]]+7)</f>
        <v>#N/A</v>
      </c>
      <c r="AG141" s="50" t="b">
        <f>_xlfn.XLOOKUP(Tableau119[[#This Row],[Key(ID-date)]],'DATA BTO'!S:S,'DATA BTO'!I:I,FALSE)</f>
        <v>0</v>
      </c>
      <c r="AH141" s="3" t="b">
        <f>_xlfn.XLOOKUP(Tableau119[[#This Row],[Key(ID-date)]],'DATA BTO'!S:S,'DATA BTO'!J:J,FALSE)</f>
        <v>0</v>
      </c>
      <c r="AI141" s="3" t="b">
        <f>_xlfn.XLOOKUP(Tableau119[[#This Row],[Key(ID-date)]],'DATA BTO'!S:S,'DATA BTO'!K:K,FALSE)</f>
        <v>0</v>
      </c>
      <c r="AJ141" s="50" t="b">
        <f>_xlfn.XLOOKUP(Tableau119[[#This Row],[Key(ID-date)]],'DATA BTO'!S:S,'DATA BTO'!L:L,FALSE)</f>
        <v>0</v>
      </c>
      <c r="AK141" s="53" t="b">
        <f>_xlfn.XLOOKUP(Tableau119[[#This Row],[Key(ID-date)]],'DATA BTO'!S:S,'DATA BTO'!N:N,FALSE)</f>
        <v>0</v>
      </c>
      <c r="AL141" s="54" t="e">
        <f>VLOOKUP(Tableau119[[#This Row],[Key(POD -PFI- Usine)]],'DATA Consignee'!A:F,6,FALSE)</f>
        <v>#N/A</v>
      </c>
      <c r="AM141" s="127" t="s">
        <v>155</v>
      </c>
      <c r="AN141" s="438">
        <f>IF(Tableau119[[#This Row],[Name PFI/CDD]]="","-",VLOOKUP(Tableau119[[#This Row],[Name PFI/CDD]],Plant_AILN!I:J,2,FALSE))</f>
        <v>90016600</v>
      </c>
      <c r="AO1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1" s="2" t="e">
        <f>VLOOKUP(Tableau119[[#This Row],[Key(POD -PFI- Usine)]],'DATA Consignee'!A:J,10,FALSE)</f>
        <v>#N/A</v>
      </c>
      <c r="AR141" s="50" t="e">
        <f>VLOOKUP(Tableau119[[#This Row],[Key(POD -PFI- Usine)]],'DATA Consignee'!A:N,14,FALSE)</f>
        <v>#N/A</v>
      </c>
      <c r="AS14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1" s="50">
        <f>Tableau119[[#This Row],[Transit time]]+Tableau119[[#This Row],[Time for security]]+Tableau119[[#This Row],[Time for security2 buffer]]</f>
        <v>0</v>
      </c>
      <c r="AV1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1" s="433" t="e">
        <f>Tableau119[[#This Row],[Leadtime SI2C]]+Tableau119[[#This Row],[First Receipt Days]]-Tableau119[[#This Row],[Day Customer Order]]+1</f>
        <v>#N/A</v>
      </c>
      <c r="AX141" s="119" t="e">
        <f>IF(Tableau119[[#This Row],[Name ILN]]&lt;&gt;"SFK Freight Forwarder",Tableau119[[#This Row],[Cust. Leadtime]],Tableau119[[#This Row],[Leadtime SI2C]])</f>
        <v>#N/A</v>
      </c>
      <c r="AY141" s="51" t="b">
        <f>_xlfn.XLOOKUP(Tableau119[[#This Row],[Key(ID-date)]],'DATA BTO'!S:S,'DATA BTO'!P:P,FALSE)</f>
        <v>0</v>
      </c>
      <c r="AZ141" s="338">
        <v>45777</v>
      </c>
      <c r="BA141" s="50"/>
    </row>
    <row r="142" spans="2:53">
      <c r="B142" s="474" t="str">
        <f>_xlfn.CONCAT(Tableau119[[#This Row],[Name ILN]],"-",Tableau119[[#This Row],[Name Shipper]],"-",Tableau119[[#This Row],[Name Site]])</f>
        <v>ILN Busan-ILN Busan-ALPINE</v>
      </c>
      <c r="C142" s="67" t="str">
        <f>_xlfn.CONCAT(Tableau119[[#This Row],[Compte ILN]],"-",Tableau119[[#This Row],[Compte Shipper]],"-",Tableau119[[#This Row],[POL]],"-",Tableau119[[#This Row],[Compte Consignee]])</f>
        <v>95436-95436-FALSO-90018300</v>
      </c>
      <c r="D142" s="66" t="str">
        <f>_xlfn.CONCAT(Tableau119[[#This Row],[Compte ILN]],"-",Tableau119[[#This Row],[Compte Shipper]],"-",Tableau119[[#This Row],[POL]])</f>
        <v>95436-95436-FALSO</v>
      </c>
      <c r="E142" s="434" t="str">
        <f>_xlfn.CONCAT(Tableau119[[#This Row],[POL]],"-",Tableau119[[#This Row],[Carrier]],"-",Tableau119[[#This Row],[POD]])</f>
        <v>FALSO-FALSO-FALSO</v>
      </c>
      <c r="F142" s="66" t="str">
        <f>_xlfn.CONCAT(Tableau119[[#This Row],[ID]],"-","Actif")</f>
        <v>30-Actif</v>
      </c>
      <c r="G142" s="66" t="str">
        <f>_xlfn.CONCAT(Tableau119[[#This Row],[POD]],"-",Tableau119[[#This Row],[Code PFI]],"-",Tableau119[[#This Row],[Compte Consignee]])</f>
        <v>FALSO-90016600-90018300</v>
      </c>
      <c r="H14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BusanFALSOALPINE</v>
      </c>
      <c r="I142" s="434" t="str">
        <f>_xlfn.CONCAT(Tableau119[[#This Row],[ID]],"-",Tableau119[[#This Row],[Expiration Date]])</f>
        <v>30-45777</v>
      </c>
      <c r="J1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Busan-ILN Busan-30-FALSO-FALSO-FALSO-CDD FR-45777</v>
      </c>
      <c r="K142" s="435" t="str">
        <f ca="1">IF(COUNTIF(J:J,Tableau119[[#This Row],[Plant-ILN-shipper-POL-Carrier-POD-PFI]])=1,"Non","Oui")</f>
        <v>Non</v>
      </c>
      <c r="L142" s="128" t="str">
        <f>VLOOKUP(Tableau119[[#This Row],[Name Site]],Plant_AILN!A:D,4,FALSE)</f>
        <v>FRANCE</v>
      </c>
      <c r="M142" s="411" t="s">
        <v>220</v>
      </c>
      <c r="N142" s="439">
        <f>VLOOKUP(Tableau119[[#This Row],[Name Site]],Plant_AILN!A:C,3,FALSE)</f>
        <v>90018300</v>
      </c>
      <c r="O142" s="55">
        <f>VLOOKUP(Tableau119[[#This Row],[Compte Consignee]],Order!C:D,2,FALSE)</f>
        <v>7</v>
      </c>
      <c r="P142" s="116" t="s">
        <v>166</v>
      </c>
      <c r="Q142" s="365">
        <f>VLOOKUP(Tableau119[[#This Row],[Name ILN]],Plant_AILN!F:G,2,FALSE)</f>
        <v>95436</v>
      </c>
      <c r="R142" s="50">
        <f>VLOOKUP(Tableau119[[#This Row],[Compte ILN]],'DATA ILN'!D:I,6,FALSE)</f>
        <v>9</v>
      </c>
      <c r="S142" s="50" t="e">
        <f>IFERROR(VLOOKUP(Tableau119[[#This Row],[Key(Compte ILN - shipper - POL - plant)]],'DATA ILN'!A:J,10,FALSE),VLOOKUP(Tableau119[[#This Row],[Key(Compte ILN - shipper - POL)]],'DATA ILN'!B:J,9,FALSE))</f>
        <v>#N/A</v>
      </c>
      <c r="T142" s="50" t="e">
        <f>IFERROR(VLOOKUP(Tableau119[[#This Row],[Key(Compte ILN - shipper - POL - plant)]],'DATA ILN'!A:K,11,FALSE),VLOOKUP(Tableau119[[#This Row],[Key(Compte ILN - shipper - POL)]],'DATA ILN'!B:K,10,FALSE))</f>
        <v>#N/A</v>
      </c>
      <c r="U142" s="50" t="e">
        <f>IFERROR(VLOOKUP(Tableau119[[#This Row],[Key(Compte ILN - shipper - POL - plant)]],'DATA ILN'!A:L,12,FALSE),VLOOKUP(Tableau119[[#This Row],[Key(Compte ILN - shipper - POL)]],'DATA ILN'!B:L,11,FALSE))</f>
        <v>#N/A</v>
      </c>
      <c r="V142" s="50" t="e">
        <f>Tableau119[[#This Row],[Day ILN Order]]+Tableau119[[#This Row],[Delivery time to ILN/Shipper]]-1</f>
        <v>#N/A</v>
      </c>
      <c r="W142" s="50" t="e">
        <f>IFERROR(VLOOKUP(Tableau119[[#This Row],[Key(Compte ILN - shipper - POL - plant)]],'DATA ILN'!A:N,14,FALSE),VLOOKUP(Tableau119[[#This Row],[Key(Compte ILN - shipper - POL)]],'DATA ILN'!B:N,13,FALSE))</f>
        <v>#N/A</v>
      </c>
      <c r="X142" s="53" t="e">
        <f>IFERROR(VLOOKUP(Tableau119[[#This Row],[Key(Compte ILN - shipper - POL - plant)]],'DATA ILN'!A:P,16,FALSE),VLOOKUP(Tableau119[[#This Row],[Key(Compte ILN - shipper - POL)]],'DATA ILN'!B:P,15,FALSE))</f>
        <v>#N/A</v>
      </c>
      <c r="Y142" s="284" t="s">
        <v>166</v>
      </c>
      <c r="Z142" s="437">
        <f>IFERROR(VLOOKUP(Tableau119[[#This Row],[Name Shipper]],Plant_AILN!L:M,2,FALSE),0)</f>
        <v>95436</v>
      </c>
      <c r="AA142" s="406">
        <v>30</v>
      </c>
      <c r="AB142" s="396" t="b">
        <f>_xlfn.XLOOKUP(Tableau119[[#This Row],[Key(ID-date)]],'DATA BTO'!S:S,'DATA BTO'!E:E,FALSE)</f>
        <v>0</v>
      </c>
      <c r="AC142" s="3" t="b">
        <f>_xlfn.XLOOKUP(Tableau119[[#This Row],[Key(ID-date)]],'DATA BTO'!S:S,'DATA BTO'!F:F,FALSE)</f>
        <v>0</v>
      </c>
      <c r="AD142" s="50" t="b">
        <f>_xlfn.XLOOKUP(Tableau119[[#This Row],[Key(ID-date)]],'DATA BTO'!S:S,'DATA BTO'!G:G,FALSE)</f>
        <v>0</v>
      </c>
      <c r="AE142" s="50" t="b">
        <f>_xlfn.XLOOKUP(Tableau119[[#This Row],[Key(ID-date)]],'DATA BTO'!S:S,'DATA BTO'!H:H,FALSE)</f>
        <v>0</v>
      </c>
      <c r="AF142" s="50" t="e">
        <f>IF(Tableau119[[#This Row],[First Day to POL]]&lt;=Tableau119[[#This Row],[Day Cut Off]],Tableau119[[#This Row],[Day ETD]],Tableau119[[#This Row],[Day ETD]]+7)</f>
        <v>#N/A</v>
      </c>
      <c r="AG142" s="50" t="b">
        <f>_xlfn.XLOOKUP(Tableau119[[#This Row],[Key(ID-date)]],'DATA BTO'!S:S,'DATA BTO'!I:I,FALSE)</f>
        <v>0</v>
      </c>
      <c r="AH142" s="3" t="b">
        <f>_xlfn.XLOOKUP(Tableau119[[#This Row],[Key(ID-date)]],'DATA BTO'!S:S,'DATA BTO'!J:J,FALSE)</f>
        <v>0</v>
      </c>
      <c r="AI142" s="3" t="b">
        <f>_xlfn.XLOOKUP(Tableau119[[#This Row],[Key(ID-date)]],'DATA BTO'!S:S,'DATA BTO'!K:K,FALSE)</f>
        <v>0</v>
      </c>
      <c r="AJ142" s="50" t="b">
        <f>_xlfn.XLOOKUP(Tableau119[[#This Row],[Key(ID-date)]],'DATA BTO'!S:S,'DATA BTO'!L:L,FALSE)</f>
        <v>0</v>
      </c>
      <c r="AK142" s="53" t="b">
        <f>_xlfn.XLOOKUP(Tableau119[[#This Row],[Key(ID-date)]],'DATA BTO'!S:S,'DATA BTO'!N:N,FALSE)</f>
        <v>0</v>
      </c>
      <c r="AL142" s="54" t="e">
        <f>VLOOKUP(Tableau119[[#This Row],[Key(POD -PFI- Usine)]],'DATA Consignee'!A:F,6,FALSE)</f>
        <v>#N/A</v>
      </c>
      <c r="AM142" s="127" t="s">
        <v>155</v>
      </c>
      <c r="AN142" s="438">
        <f>IF(Tableau119[[#This Row],[Name PFI/CDD]]="","-",VLOOKUP(Tableau119[[#This Row],[Name PFI/CDD]],Plant_AILN!I:J,2,FALSE))</f>
        <v>90016600</v>
      </c>
      <c r="AO1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2" s="2" t="e">
        <f>VLOOKUP(Tableau119[[#This Row],[Key(POD -PFI- Usine)]],'DATA Consignee'!A:J,10,FALSE)</f>
        <v>#N/A</v>
      </c>
      <c r="AR142" s="50" t="e">
        <f>VLOOKUP(Tableau119[[#This Row],[Key(POD -PFI- Usine)]],'DATA Consignee'!A:N,14,FALSE)</f>
        <v>#N/A</v>
      </c>
      <c r="AS1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2" s="50">
        <f>Tableau119[[#This Row],[Transit time]]+Tableau119[[#This Row],[Time for security]]+Tableau119[[#This Row],[Time for security2 buffer]]</f>
        <v>0</v>
      </c>
      <c r="AV1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2" s="433" t="e">
        <f>Tableau119[[#This Row],[Leadtime SI2C]]+Tableau119[[#This Row],[First Receipt Days]]-Tableau119[[#This Row],[Day Customer Order]]+1</f>
        <v>#N/A</v>
      </c>
      <c r="AX142" s="119" t="e">
        <f>IF(Tableau119[[#This Row],[Name ILN]]&lt;&gt;"SFK Freight Forwarder",Tableau119[[#This Row],[Cust. Leadtime]],Tableau119[[#This Row],[Leadtime SI2C]])</f>
        <v>#N/A</v>
      </c>
      <c r="AY142" s="51" t="b">
        <f>_xlfn.XLOOKUP(Tableau119[[#This Row],[Key(ID-date)]],'DATA BTO'!S:S,'DATA BTO'!P:P,FALSE)</f>
        <v>0</v>
      </c>
      <c r="AZ142" s="338">
        <v>45777</v>
      </c>
      <c r="BA142" s="50"/>
    </row>
    <row r="143" spans="2:53">
      <c r="B143" s="474" t="str">
        <f>_xlfn.CONCAT(Tableau119[[#This Row],[Name ILN]],"-",Tableau119[[#This Row],[Name Shipper]],"-",Tableau119[[#This Row],[Name Site]])</f>
        <v>ILN Busan-ILN Busan-STA</v>
      </c>
      <c r="C143" s="67" t="str">
        <f>_xlfn.CONCAT(Tableau119[[#This Row],[Compte ILN]],"-",Tableau119[[#This Row],[Compte Shipper]],"-",Tableau119[[#This Row],[POL]],"-",Tableau119[[#This Row],[Compte Consignee]])</f>
        <v>95436-95436-FALSO-90018400</v>
      </c>
      <c r="D143" s="66" t="str">
        <f>_xlfn.CONCAT(Tableau119[[#This Row],[Compte ILN]],"-",Tableau119[[#This Row],[Compte Shipper]],"-",Tableau119[[#This Row],[POL]])</f>
        <v>95436-95436-FALSO</v>
      </c>
      <c r="E143" s="434" t="str">
        <f>_xlfn.CONCAT(Tableau119[[#This Row],[POL]],"-",Tableau119[[#This Row],[Carrier]],"-",Tableau119[[#This Row],[POD]])</f>
        <v>FALSO-FALSO-FALSO</v>
      </c>
      <c r="F143" s="66" t="str">
        <f>_xlfn.CONCAT(Tableau119[[#This Row],[ID]],"-","Actif")</f>
        <v>30-Actif</v>
      </c>
      <c r="G143" s="66" t="str">
        <f>_xlfn.CONCAT(Tableau119[[#This Row],[POD]],"-",Tableau119[[#This Row],[Code PFI]],"-",Tableau119[[#This Row],[Compte Consignee]])</f>
        <v>FALSO-90016600-90018400</v>
      </c>
      <c r="H14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BusanFALSOSTA</v>
      </c>
      <c r="I143" s="434" t="str">
        <f>_xlfn.CONCAT(Tableau119[[#This Row],[ID]],"-",Tableau119[[#This Row],[Expiration Date]])</f>
        <v>30-45777</v>
      </c>
      <c r="J1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Busan-ILN Busan-30-FALSO-FALSO-FALSO-CDD FR-45777</v>
      </c>
      <c r="K143" s="435" t="str">
        <f ca="1">IF(COUNTIF(J:J,Tableau119[[#This Row],[Plant-ILN-shipper-POL-Carrier-POD-PFI]])=1,"Non","Oui")</f>
        <v>Non</v>
      </c>
      <c r="L143" s="128" t="str">
        <f>VLOOKUP(Tableau119[[#This Row],[Name Site]],Plant_AILN!A:D,4,FALSE)</f>
        <v>FRANCE</v>
      </c>
      <c r="M143" s="411" t="s">
        <v>219</v>
      </c>
      <c r="N143" s="439">
        <f>VLOOKUP(Tableau119[[#This Row],[Name Site]],Plant_AILN!A:C,3,FALSE)</f>
        <v>90018400</v>
      </c>
      <c r="O143" s="55">
        <f>VLOOKUP(Tableau119[[#This Row],[Compte Consignee]],Order!C:D,2,FALSE)</f>
        <v>7</v>
      </c>
      <c r="P143" s="116" t="s">
        <v>166</v>
      </c>
      <c r="Q143" s="365">
        <f>VLOOKUP(Tableau119[[#This Row],[Name ILN]],Plant_AILN!F:G,2,FALSE)</f>
        <v>95436</v>
      </c>
      <c r="R143" s="50">
        <f>VLOOKUP(Tableau119[[#This Row],[Compte ILN]],'DATA ILN'!D:I,6,FALSE)</f>
        <v>9</v>
      </c>
      <c r="S143" s="50" t="e">
        <f>IFERROR(VLOOKUP(Tableau119[[#This Row],[Key(Compte ILN - shipper - POL - plant)]],'DATA ILN'!A:J,10,FALSE),VLOOKUP(Tableau119[[#This Row],[Key(Compte ILN - shipper - POL)]],'DATA ILN'!B:J,9,FALSE))</f>
        <v>#N/A</v>
      </c>
      <c r="T143" s="50" t="e">
        <f>IFERROR(VLOOKUP(Tableau119[[#This Row],[Key(Compte ILN - shipper - POL - plant)]],'DATA ILN'!A:K,11,FALSE),VLOOKUP(Tableau119[[#This Row],[Key(Compte ILN - shipper - POL)]],'DATA ILN'!B:K,10,FALSE))</f>
        <v>#N/A</v>
      </c>
      <c r="U143" s="50" t="e">
        <f>IFERROR(VLOOKUP(Tableau119[[#This Row],[Key(Compte ILN - shipper - POL - plant)]],'DATA ILN'!A:L,12,FALSE),VLOOKUP(Tableau119[[#This Row],[Key(Compte ILN - shipper - POL)]],'DATA ILN'!B:L,11,FALSE))</f>
        <v>#N/A</v>
      </c>
      <c r="V143" s="50" t="e">
        <f>Tableau119[[#This Row],[Day ILN Order]]+Tableau119[[#This Row],[Delivery time to ILN/Shipper]]-1</f>
        <v>#N/A</v>
      </c>
      <c r="W143" s="50" t="e">
        <f>IFERROR(VLOOKUP(Tableau119[[#This Row],[Key(Compte ILN - shipper - POL - plant)]],'DATA ILN'!A:N,14,FALSE),VLOOKUP(Tableau119[[#This Row],[Key(Compte ILN - shipper - POL)]],'DATA ILN'!B:N,13,FALSE))</f>
        <v>#N/A</v>
      </c>
      <c r="X143" s="53" t="e">
        <f>IFERROR(VLOOKUP(Tableau119[[#This Row],[Key(Compte ILN - shipper - POL - plant)]],'DATA ILN'!A:P,16,FALSE),VLOOKUP(Tableau119[[#This Row],[Key(Compte ILN - shipper - POL)]],'DATA ILN'!B:P,15,FALSE))</f>
        <v>#N/A</v>
      </c>
      <c r="Y143" s="116" t="s">
        <v>166</v>
      </c>
      <c r="Z143" s="437">
        <f>IFERROR(VLOOKUP(Tableau119[[#This Row],[Name Shipper]],Plant_AILN!L:M,2,FALSE),0)</f>
        <v>95436</v>
      </c>
      <c r="AA143" s="406">
        <v>30</v>
      </c>
      <c r="AB143" s="396" t="b">
        <f>_xlfn.XLOOKUP(Tableau119[[#This Row],[Key(ID-date)]],'DATA BTO'!S:S,'DATA BTO'!E:E,FALSE)</f>
        <v>0</v>
      </c>
      <c r="AC143" s="3" t="b">
        <f>_xlfn.XLOOKUP(Tableau119[[#This Row],[Key(ID-date)]],'DATA BTO'!S:S,'DATA BTO'!F:F,FALSE)</f>
        <v>0</v>
      </c>
      <c r="AD143" s="50" t="b">
        <f>_xlfn.XLOOKUP(Tableau119[[#This Row],[Key(ID-date)]],'DATA BTO'!S:S,'DATA BTO'!G:G,FALSE)</f>
        <v>0</v>
      </c>
      <c r="AE143" s="50" t="b">
        <f>_xlfn.XLOOKUP(Tableau119[[#This Row],[Key(ID-date)]],'DATA BTO'!S:S,'DATA BTO'!H:H,FALSE)</f>
        <v>0</v>
      </c>
      <c r="AF143" s="50" t="e">
        <f>IF(Tableau119[[#This Row],[First Day to POL]]&lt;=Tableau119[[#This Row],[Day Cut Off]],Tableau119[[#This Row],[Day ETD]],Tableau119[[#This Row],[Day ETD]]+7)</f>
        <v>#N/A</v>
      </c>
      <c r="AG143" s="50" t="b">
        <f>_xlfn.XLOOKUP(Tableau119[[#This Row],[Key(ID-date)]],'DATA BTO'!S:S,'DATA BTO'!I:I,FALSE)</f>
        <v>0</v>
      </c>
      <c r="AH143" s="3" t="b">
        <f>_xlfn.XLOOKUP(Tableau119[[#This Row],[Key(ID-date)]],'DATA BTO'!S:S,'DATA BTO'!J:J,FALSE)</f>
        <v>0</v>
      </c>
      <c r="AI143" s="3" t="b">
        <f>_xlfn.XLOOKUP(Tableau119[[#This Row],[Key(ID-date)]],'DATA BTO'!S:S,'DATA BTO'!K:K,FALSE)</f>
        <v>0</v>
      </c>
      <c r="AJ143" s="50" t="b">
        <f>_xlfn.XLOOKUP(Tableau119[[#This Row],[Key(ID-date)]],'DATA BTO'!S:S,'DATA BTO'!L:L,FALSE)</f>
        <v>0</v>
      </c>
      <c r="AK143" s="53" t="b">
        <f>_xlfn.XLOOKUP(Tableau119[[#This Row],[Key(ID-date)]],'DATA BTO'!S:S,'DATA BTO'!N:N,FALSE)</f>
        <v>0</v>
      </c>
      <c r="AL143" s="54" t="e">
        <f>VLOOKUP(Tableau119[[#This Row],[Key(POD -PFI- Usine)]],'DATA Consignee'!A:F,6,FALSE)</f>
        <v>#N/A</v>
      </c>
      <c r="AM143" s="127" t="s">
        <v>155</v>
      </c>
      <c r="AN143" s="438">
        <f>IF(Tableau119[[#This Row],[Name PFI/CDD]]="","-",VLOOKUP(Tableau119[[#This Row],[Name PFI/CDD]],Plant_AILN!I:J,2,FALSE))</f>
        <v>90016600</v>
      </c>
      <c r="AO14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3" s="2" t="e">
        <f>VLOOKUP(Tableau119[[#This Row],[Key(POD -PFI- Usine)]],'DATA Consignee'!A:J,10,FALSE)</f>
        <v>#N/A</v>
      </c>
      <c r="AR143" s="50" t="e">
        <f>VLOOKUP(Tableau119[[#This Row],[Key(POD -PFI- Usine)]],'DATA Consignee'!A:N,14,FALSE)</f>
        <v>#N/A</v>
      </c>
      <c r="AS14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3" s="50">
        <f>Tableau119[[#This Row],[Transit time]]+Tableau119[[#This Row],[Time for security]]+Tableau119[[#This Row],[Time for security2 buffer]]</f>
        <v>0</v>
      </c>
      <c r="AV1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3" s="433" t="e">
        <f>Tableau119[[#This Row],[Leadtime SI2C]]+Tableau119[[#This Row],[First Receipt Days]]-Tableau119[[#This Row],[Day Customer Order]]+1</f>
        <v>#N/A</v>
      </c>
      <c r="AX143" s="119" t="e">
        <f>IF(Tableau119[[#This Row],[Name ILN]]&lt;&gt;"SFK Freight Forwarder",Tableau119[[#This Row],[Cust. Leadtime]],Tableau119[[#This Row],[Leadtime SI2C]])</f>
        <v>#N/A</v>
      </c>
      <c r="AY143" s="51" t="b">
        <f>_xlfn.XLOOKUP(Tableau119[[#This Row],[Key(ID-date)]],'DATA BTO'!S:S,'DATA BTO'!P:P,FALSE)</f>
        <v>0</v>
      </c>
      <c r="AZ143" s="338">
        <v>45777</v>
      </c>
      <c r="BA143" s="50"/>
    </row>
    <row r="144" spans="2:53">
      <c r="B144" s="474" t="str">
        <f>_xlfn.CONCAT(Tableau119[[#This Row],[Name ILN]],"-",Tableau119[[#This Row],[Name Shipper]],"-",Tableau119[[#This Row],[Name Site]])</f>
        <v>ILN Busan-ILN Busan-CLEON</v>
      </c>
      <c r="C144" s="67" t="str">
        <f>_xlfn.CONCAT(Tableau119[[#This Row],[Compte ILN]],"-",Tableau119[[#This Row],[Compte Shipper]],"-",Tableau119[[#This Row],[POL]],"-",Tableau119[[#This Row],[Compte Consignee]])</f>
        <v>95436-95436-FALSO-92000100</v>
      </c>
      <c r="D144" s="66" t="str">
        <f>_xlfn.CONCAT(Tableau119[[#This Row],[Compte ILN]],"-",Tableau119[[#This Row],[Compte Shipper]],"-",Tableau119[[#This Row],[POL]])</f>
        <v>95436-95436-FALSO</v>
      </c>
      <c r="E144" s="434" t="str">
        <f>_xlfn.CONCAT(Tableau119[[#This Row],[POL]],"-",Tableau119[[#This Row],[Carrier]],"-",Tableau119[[#This Row],[POD]])</f>
        <v>FALSO-FALSO-FALSO</v>
      </c>
      <c r="F144" s="66" t="str">
        <f>_xlfn.CONCAT(Tableau119[[#This Row],[ID]],"-","Actif")</f>
        <v>30-Actif</v>
      </c>
      <c r="G144" s="66" t="str">
        <f>_xlfn.CONCAT(Tableau119[[#This Row],[POD]],"-",Tableau119[[#This Row],[Code PFI]],"-",Tableau119[[#This Row],[Compte Consignee]])</f>
        <v>FALSO---92000100</v>
      </c>
      <c r="H14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BusanFALSOCLEON</v>
      </c>
      <c r="I144" s="434" t="str">
        <f>_xlfn.CONCAT(Tableau119[[#This Row],[ID]],"-",Tableau119[[#This Row],[Expiration Date]])</f>
        <v>30-45777</v>
      </c>
      <c r="J1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Busan-ILN Busan-30-FALSO-FALSO-FALSO--45777</v>
      </c>
      <c r="K144" s="435" t="str">
        <f ca="1">IF(COUNTIF(J:J,Tableau119[[#This Row],[Plant-ILN-shipper-POL-Carrier-POD-PFI]])=1,"Non","Oui")</f>
        <v>Non</v>
      </c>
      <c r="L144" s="128" t="str">
        <f>VLOOKUP(Tableau119[[#This Row],[Name Site]],Plant_AILN!A:D,4,FALSE)</f>
        <v>FRANCE</v>
      </c>
      <c r="M144" s="411" t="s">
        <v>183</v>
      </c>
      <c r="N144" s="439">
        <f>VLOOKUP(Tableau119[[#This Row],[Name Site]],Plant_AILN!A:C,3,FALSE)</f>
        <v>92000100</v>
      </c>
      <c r="O144" s="55">
        <f>VLOOKUP(Tableau119[[#This Row],[Compte Consignee]],Order!C:D,2,FALSE)</f>
        <v>7</v>
      </c>
      <c r="P144" s="116" t="s">
        <v>166</v>
      </c>
      <c r="Q144" s="365">
        <f>VLOOKUP(Tableau119[[#This Row],[Name ILN]],Plant_AILN!F:G,2,FALSE)</f>
        <v>95436</v>
      </c>
      <c r="R144" s="50">
        <f>VLOOKUP(Tableau119[[#This Row],[Compte ILN]],'DATA ILN'!D:I,6,FALSE)</f>
        <v>9</v>
      </c>
      <c r="S144" s="50" t="e">
        <f>IFERROR(VLOOKUP(Tableau119[[#This Row],[Key(Compte ILN - shipper - POL - plant)]],'DATA ILN'!A:J,10,FALSE),VLOOKUP(Tableau119[[#This Row],[Key(Compte ILN - shipper - POL)]],'DATA ILN'!B:J,9,FALSE))</f>
        <v>#N/A</v>
      </c>
      <c r="T144" s="50" t="e">
        <f>IFERROR(VLOOKUP(Tableau119[[#This Row],[Key(Compte ILN - shipper - POL - plant)]],'DATA ILN'!A:K,11,FALSE),VLOOKUP(Tableau119[[#This Row],[Key(Compte ILN - shipper - POL)]],'DATA ILN'!B:K,10,FALSE))</f>
        <v>#N/A</v>
      </c>
      <c r="U144" s="50" t="e">
        <f>IFERROR(VLOOKUP(Tableau119[[#This Row],[Key(Compte ILN - shipper - POL - plant)]],'DATA ILN'!A:L,12,FALSE),VLOOKUP(Tableau119[[#This Row],[Key(Compte ILN - shipper - POL)]],'DATA ILN'!B:L,11,FALSE))</f>
        <v>#N/A</v>
      </c>
      <c r="V144" s="50" t="e">
        <f>Tableau119[[#This Row],[Day ILN Order]]+Tableau119[[#This Row],[Delivery time to ILN/Shipper]]-1</f>
        <v>#N/A</v>
      </c>
      <c r="W144" s="50" t="e">
        <f>IFERROR(VLOOKUP(Tableau119[[#This Row],[Key(Compte ILN - shipper - POL - plant)]],'DATA ILN'!A:N,14,FALSE),VLOOKUP(Tableau119[[#This Row],[Key(Compte ILN - shipper - POL)]],'DATA ILN'!B:N,13,FALSE))</f>
        <v>#N/A</v>
      </c>
      <c r="X144" s="53" t="e">
        <f>IFERROR(VLOOKUP(Tableau119[[#This Row],[Key(Compte ILN - shipper - POL - plant)]],'DATA ILN'!A:P,16,FALSE),VLOOKUP(Tableau119[[#This Row],[Key(Compte ILN - shipper - POL)]],'DATA ILN'!B:P,15,FALSE))</f>
        <v>#N/A</v>
      </c>
      <c r="Y144" s="284" t="s">
        <v>166</v>
      </c>
      <c r="Z144" s="437">
        <f>IFERROR(VLOOKUP(Tableau119[[#This Row],[Name Shipper]],Plant_AILN!L:M,2,FALSE),0)</f>
        <v>95436</v>
      </c>
      <c r="AA144" s="406">
        <v>30</v>
      </c>
      <c r="AB144" s="396" t="b">
        <f>_xlfn.XLOOKUP(Tableau119[[#This Row],[Key(ID-date)]],'DATA BTO'!S:S,'DATA BTO'!E:E,FALSE)</f>
        <v>0</v>
      </c>
      <c r="AC144" s="3" t="b">
        <f>_xlfn.XLOOKUP(Tableau119[[#This Row],[Key(ID-date)]],'DATA BTO'!S:S,'DATA BTO'!F:F,FALSE)</f>
        <v>0</v>
      </c>
      <c r="AD144" s="50" t="b">
        <f>_xlfn.XLOOKUP(Tableau119[[#This Row],[Key(ID-date)]],'DATA BTO'!S:S,'DATA BTO'!G:G,FALSE)</f>
        <v>0</v>
      </c>
      <c r="AE144" s="50" t="b">
        <f>_xlfn.XLOOKUP(Tableau119[[#This Row],[Key(ID-date)]],'DATA BTO'!S:S,'DATA BTO'!H:H,FALSE)</f>
        <v>0</v>
      </c>
      <c r="AF144" s="50" t="e">
        <f>IF(Tableau119[[#This Row],[First Day to POL]]&lt;=Tableau119[[#This Row],[Day Cut Off]],Tableau119[[#This Row],[Day ETD]],Tableau119[[#This Row],[Day ETD]]+7)</f>
        <v>#N/A</v>
      </c>
      <c r="AG144" s="50" t="b">
        <f>_xlfn.XLOOKUP(Tableau119[[#This Row],[Key(ID-date)]],'DATA BTO'!S:S,'DATA BTO'!I:I,FALSE)</f>
        <v>0</v>
      </c>
      <c r="AH144" s="3" t="b">
        <f>_xlfn.XLOOKUP(Tableau119[[#This Row],[Key(ID-date)]],'DATA BTO'!S:S,'DATA BTO'!J:J,FALSE)</f>
        <v>0</v>
      </c>
      <c r="AI144" s="3" t="b">
        <f>_xlfn.XLOOKUP(Tableau119[[#This Row],[Key(ID-date)]],'DATA BTO'!S:S,'DATA BTO'!K:K,FALSE)</f>
        <v>0</v>
      </c>
      <c r="AJ144" s="50" t="b">
        <f>_xlfn.XLOOKUP(Tableau119[[#This Row],[Key(ID-date)]],'DATA BTO'!S:S,'DATA BTO'!L:L,FALSE)</f>
        <v>0</v>
      </c>
      <c r="AK144" s="53" t="b">
        <f>_xlfn.XLOOKUP(Tableau119[[#This Row],[Key(ID-date)]],'DATA BTO'!S:S,'DATA BTO'!N:N,FALSE)</f>
        <v>0</v>
      </c>
      <c r="AL144" s="54" t="e">
        <f>VLOOKUP(Tableau119[[#This Row],[Key(POD -PFI- Usine)]],'DATA Consignee'!A:F,6,FALSE)</f>
        <v>#N/A</v>
      </c>
      <c r="AM144" s="127"/>
      <c r="AN144" s="438" t="str">
        <f>IF(Tableau119[[#This Row],[Name PFI/CDD]]="","-",VLOOKUP(Tableau119[[#This Row],[Name PFI/CDD]],Plant_AILN!I:J,2,FALSE))</f>
        <v>-</v>
      </c>
      <c r="AO1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4" s="2" t="e">
        <f>VLOOKUP(Tableau119[[#This Row],[Key(POD -PFI- Usine)]],'DATA Consignee'!A:J,10,FALSE)</f>
        <v>#N/A</v>
      </c>
      <c r="AR144" s="50" t="e">
        <f>VLOOKUP(Tableau119[[#This Row],[Key(POD -PFI- Usine)]],'DATA Consignee'!A:N,14,FALSE)</f>
        <v>#N/A</v>
      </c>
      <c r="AS1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4" s="50">
        <f>Tableau119[[#This Row],[Transit time]]+Tableau119[[#This Row],[Time for security]]+Tableau119[[#This Row],[Time for security2 buffer]]</f>
        <v>0</v>
      </c>
      <c r="AV1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4" s="433" t="e">
        <f>Tableau119[[#This Row],[Leadtime SI2C]]+Tableau119[[#This Row],[First Receipt Days]]-Tableau119[[#This Row],[Day Customer Order]]+1</f>
        <v>#N/A</v>
      </c>
      <c r="AX144" s="119" t="e">
        <f>IF(Tableau119[[#This Row],[Name ILN]]&lt;&gt;"SFK Freight Forwarder",Tableau119[[#This Row],[Cust. Leadtime]],Tableau119[[#This Row],[Leadtime SI2C]])</f>
        <v>#N/A</v>
      </c>
      <c r="AY144" s="51" t="b">
        <f>_xlfn.XLOOKUP(Tableau119[[#This Row],[Key(ID-date)]],'DATA BTO'!S:S,'DATA BTO'!P:P,FALSE)</f>
        <v>0</v>
      </c>
      <c r="AZ144" s="338">
        <v>45777</v>
      </c>
      <c r="BA144" s="50"/>
    </row>
    <row r="145" spans="2:53">
      <c r="B145" s="474" t="str">
        <f>_xlfn.CONCAT(Tableau119[[#This Row],[Name ILN]],"-",Tableau119[[#This Row],[Name Shipper]],"-",Tableau119[[#This Row],[Name Site]])</f>
        <v>ILN Busan-ILN Busan-ACI Le mans</v>
      </c>
      <c r="C145" s="67" t="str">
        <f>_xlfn.CONCAT(Tableau119[[#This Row],[Compte ILN]],"-",Tableau119[[#This Row],[Compte Shipper]],"-",Tableau119[[#This Row],[POL]],"-",Tableau119[[#This Row],[Compte Consignee]])</f>
        <v>95436-95436-FALSO-9624700</v>
      </c>
      <c r="D145" s="66" t="str">
        <f>_xlfn.CONCAT(Tableau119[[#This Row],[Compte ILN]],"-",Tableau119[[#This Row],[Compte Shipper]],"-",Tableau119[[#This Row],[POL]])</f>
        <v>95436-95436-FALSO</v>
      </c>
      <c r="E145" s="434" t="str">
        <f>_xlfn.CONCAT(Tableau119[[#This Row],[POL]],"-",Tableau119[[#This Row],[Carrier]],"-",Tableau119[[#This Row],[POD]])</f>
        <v>FALSO-FALSO-FALSO</v>
      </c>
      <c r="F145" s="66" t="str">
        <f>_xlfn.CONCAT(Tableau119[[#This Row],[ID]],"-","Actif")</f>
        <v>30-Actif</v>
      </c>
      <c r="G145" s="66" t="str">
        <f>_xlfn.CONCAT(Tableau119[[#This Row],[POD]],"-",Tableau119[[#This Row],[Code PFI]],"-",Tableau119[[#This Row],[Compte Consignee]])</f>
        <v>FALSO-90016600-9624700</v>
      </c>
      <c r="H14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BusanFALSOACI Le mans</v>
      </c>
      <c r="I145" s="434" t="str">
        <f>_xlfn.CONCAT(Tableau119[[#This Row],[ID]],"-",Tableau119[[#This Row],[Expiration Date]])</f>
        <v>30-45777</v>
      </c>
      <c r="J1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mans-ILN Busan-ILN Busan-30-FALSO-FALSO-FALSO-CDD FR-45777</v>
      </c>
      <c r="K145" s="435" t="str">
        <f ca="1">IF(COUNTIF(J:J,Tableau119[[#This Row],[Plant-ILN-shipper-POL-Carrier-POD-PFI]])=1,"Non","Oui")</f>
        <v>Non</v>
      </c>
      <c r="L145" s="128" t="str">
        <f>VLOOKUP(Tableau119[[#This Row],[Name Site]],Plant_AILN!A:D,4,FALSE)</f>
        <v>FRANCE</v>
      </c>
      <c r="M145" s="411" t="s">
        <v>218</v>
      </c>
      <c r="N145" s="439">
        <f>VLOOKUP(Tableau119[[#This Row],[Name Site]],Plant_AILN!A:C,3,FALSE)</f>
        <v>9624700</v>
      </c>
      <c r="O145" s="55">
        <f>VLOOKUP(Tableau119[[#This Row],[Compte Consignee]],Order!C:D,2,FALSE)</f>
        <v>7</v>
      </c>
      <c r="P145" s="116" t="s">
        <v>166</v>
      </c>
      <c r="Q145" s="365">
        <f>VLOOKUP(Tableau119[[#This Row],[Name ILN]],Plant_AILN!F:G,2,FALSE)</f>
        <v>95436</v>
      </c>
      <c r="R145" s="50">
        <f>VLOOKUP(Tableau119[[#This Row],[Compte ILN]],'DATA ILN'!D:I,6,FALSE)</f>
        <v>9</v>
      </c>
      <c r="S145" s="50" t="e">
        <f>IFERROR(VLOOKUP(Tableau119[[#This Row],[Key(Compte ILN - shipper - POL - plant)]],'DATA ILN'!A:J,10,FALSE),VLOOKUP(Tableau119[[#This Row],[Key(Compte ILN - shipper - POL)]],'DATA ILN'!B:J,9,FALSE))</f>
        <v>#N/A</v>
      </c>
      <c r="T145" s="50" t="e">
        <f>IFERROR(VLOOKUP(Tableau119[[#This Row],[Key(Compte ILN - shipper - POL - plant)]],'DATA ILN'!A:K,11,FALSE),VLOOKUP(Tableau119[[#This Row],[Key(Compte ILN - shipper - POL)]],'DATA ILN'!B:K,10,FALSE))</f>
        <v>#N/A</v>
      </c>
      <c r="U145" s="50" t="e">
        <f>IFERROR(VLOOKUP(Tableau119[[#This Row],[Key(Compte ILN - shipper - POL - plant)]],'DATA ILN'!A:L,12,FALSE),VLOOKUP(Tableau119[[#This Row],[Key(Compte ILN - shipper - POL)]],'DATA ILN'!B:L,11,FALSE))</f>
        <v>#N/A</v>
      </c>
      <c r="V145" s="50" t="e">
        <f>Tableau119[[#This Row],[Day ILN Order]]+Tableau119[[#This Row],[Delivery time to ILN/Shipper]]-1</f>
        <v>#N/A</v>
      </c>
      <c r="W145" s="50" t="e">
        <f>IFERROR(VLOOKUP(Tableau119[[#This Row],[Key(Compte ILN - shipper - POL - plant)]],'DATA ILN'!A:N,14,FALSE),VLOOKUP(Tableau119[[#This Row],[Key(Compte ILN - shipper - POL)]],'DATA ILN'!B:N,13,FALSE))</f>
        <v>#N/A</v>
      </c>
      <c r="X145" s="53" t="e">
        <f>IFERROR(VLOOKUP(Tableau119[[#This Row],[Key(Compte ILN - shipper - POL - plant)]],'DATA ILN'!A:P,16,FALSE),VLOOKUP(Tableau119[[#This Row],[Key(Compte ILN - shipper - POL)]],'DATA ILN'!B:P,15,FALSE))</f>
        <v>#N/A</v>
      </c>
      <c r="Y145" s="284" t="s">
        <v>166</v>
      </c>
      <c r="Z145" s="437">
        <f>IFERROR(VLOOKUP(Tableau119[[#This Row],[Name Shipper]],Plant_AILN!L:M,2,FALSE),0)</f>
        <v>95436</v>
      </c>
      <c r="AA145" s="406">
        <v>30</v>
      </c>
      <c r="AB145" s="396" t="b">
        <f>_xlfn.XLOOKUP(Tableau119[[#This Row],[Key(ID-date)]],'DATA BTO'!S:S,'DATA BTO'!E:E,FALSE)</f>
        <v>0</v>
      </c>
      <c r="AC145" s="3" t="b">
        <f>_xlfn.XLOOKUP(Tableau119[[#This Row],[Key(ID-date)]],'DATA BTO'!S:S,'DATA BTO'!F:F,FALSE)</f>
        <v>0</v>
      </c>
      <c r="AD145" s="50" t="b">
        <f>_xlfn.XLOOKUP(Tableau119[[#This Row],[Key(ID-date)]],'DATA BTO'!S:S,'DATA BTO'!G:G,FALSE)</f>
        <v>0</v>
      </c>
      <c r="AE145" s="50" t="b">
        <f>_xlfn.XLOOKUP(Tableau119[[#This Row],[Key(ID-date)]],'DATA BTO'!S:S,'DATA BTO'!H:H,FALSE)</f>
        <v>0</v>
      </c>
      <c r="AF145" s="50" t="e">
        <f>IF(Tableau119[[#This Row],[First Day to POL]]&lt;=Tableau119[[#This Row],[Day Cut Off]],Tableau119[[#This Row],[Day ETD]],Tableau119[[#This Row],[Day ETD]]+7)</f>
        <v>#N/A</v>
      </c>
      <c r="AG145" s="50" t="b">
        <f>_xlfn.XLOOKUP(Tableau119[[#This Row],[Key(ID-date)]],'DATA BTO'!S:S,'DATA BTO'!I:I,FALSE)</f>
        <v>0</v>
      </c>
      <c r="AH145" s="3" t="b">
        <f>_xlfn.XLOOKUP(Tableau119[[#This Row],[Key(ID-date)]],'DATA BTO'!S:S,'DATA BTO'!J:J,FALSE)</f>
        <v>0</v>
      </c>
      <c r="AI145" s="3" t="b">
        <f>_xlfn.XLOOKUP(Tableau119[[#This Row],[Key(ID-date)]],'DATA BTO'!S:S,'DATA BTO'!K:K,FALSE)</f>
        <v>0</v>
      </c>
      <c r="AJ145" s="50" t="b">
        <f>_xlfn.XLOOKUP(Tableau119[[#This Row],[Key(ID-date)]],'DATA BTO'!S:S,'DATA BTO'!L:L,FALSE)</f>
        <v>0</v>
      </c>
      <c r="AK145" s="53" t="b">
        <f>_xlfn.XLOOKUP(Tableau119[[#This Row],[Key(ID-date)]],'DATA BTO'!S:S,'DATA BTO'!N:N,FALSE)</f>
        <v>0</v>
      </c>
      <c r="AL145" s="54" t="e">
        <f>VLOOKUP(Tableau119[[#This Row],[Key(POD -PFI- Usine)]],'DATA Consignee'!A:F,6,FALSE)</f>
        <v>#N/A</v>
      </c>
      <c r="AM145" s="127" t="s">
        <v>155</v>
      </c>
      <c r="AN145" s="438">
        <f>IF(Tableau119[[#This Row],[Name PFI/CDD]]="","-",VLOOKUP(Tableau119[[#This Row],[Name PFI/CDD]],Plant_AILN!I:J,2,FALSE))</f>
        <v>90016600</v>
      </c>
      <c r="AO1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5" s="2" t="e">
        <f>VLOOKUP(Tableau119[[#This Row],[Key(POD -PFI- Usine)]],'DATA Consignee'!A:J,10,FALSE)</f>
        <v>#N/A</v>
      </c>
      <c r="AR145" s="50" t="e">
        <f>VLOOKUP(Tableau119[[#This Row],[Key(POD -PFI- Usine)]],'DATA Consignee'!A:N,14,FALSE)</f>
        <v>#N/A</v>
      </c>
      <c r="AS1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5" s="50">
        <f>Tableau119[[#This Row],[Transit time]]+Tableau119[[#This Row],[Time for security]]+Tableau119[[#This Row],[Time for security2 buffer]]</f>
        <v>0</v>
      </c>
      <c r="AV1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5" s="433" t="e">
        <f>Tableau119[[#This Row],[Leadtime SI2C]]+Tableau119[[#This Row],[First Receipt Days]]-Tableau119[[#This Row],[Day Customer Order]]+1</f>
        <v>#N/A</v>
      </c>
      <c r="AX145" s="119" t="e">
        <f>IF(Tableau119[[#This Row],[Name ILN]]&lt;&gt;"SFK Freight Forwarder",Tableau119[[#This Row],[Cust. Leadtime]],Tableau119[[#This Row],[Leadtime SI2C]])</f>
        <v>#N/A</v>
      </c>
      <c r="AY145" s="51" t="b">
        <f>_xlfn.XLOOKUP(Tableau119[[#This Row],[Key(ID-date)]],'DATA BTO'!S:S,'DATA BTO'!P:P,FALSE)</f>
        <v>0</v>
      </c>
      <c r="AZ145" s="338">
        <v>45777</v>
      </c>
      <c r="BA145" s="50"/>
    </row>
    <row r="146" spans="2:53">
      <c r="B146" s="474" t="str">
        <f>_xlfn.CONCAT(Tableau119[[#This Row],[Name ILN]],"-",Tableau119[[#This Row],[Name Shipper]],"-",Tableau119[[#This Row],[Name Site]])</f>
        <v>ILN Busan-ILN Busan-FLINS</v>
      </c>
      <c r="C146" s="67" t="str">
        <f>_xlfn.CONCAT(Tableau119[[#This Row],[Compte ILN]],"-",Tableau119[[#This Row],[Compte Shipper]],"-",Tableau119[[#This Row],[POL]],"-",Tableau119[[#This Row],[Compte Consignee]])</f>
        <v>95436-95436-FALSO-90015100</v>
      </c>
      <c r="D146" s="66" t="str">
        <f>_xlfn.CONCAT(Tableau119[[#This Row],[Compte ILN]],"-",Tableau119[[#This Row],[Compte Shipper]],"-",Tableau119[[#This Row],[POL]])</f>
        <v>95436-95436-FALSO</v>
      </c>
      <c r="E146" s="434" t="str">
        <f>_xlfn.CONCAT(Tableau119[[#This Row],[POL]],"-",Tableau119[[#This Row],[Carrier]],"-",Tableau119[[#This Row],[POD]])</f>
        <v>FALSO-FALSO-FALSO</v>
      </c>
      <c r="F146" s="66" t="str">
        <f>_xlfn.CONCAT(Tableau119[[#This Row],[ID]],"-","Actif")</f>
        <v>30-Actif</v>
      </c>
      <c r="G146" s="66" t="str">
        <f>_xlfn.CONCAT(Tableau119[[#This Row],[POD]],"-",Tableau119[[#This Row],[Code PFI]],"-",Tableau119[[#This Row],[Compte Consignee]])</f>
        <v>FALSO---90015100</v>
      </c>
      <c r="H14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BusanFALSOFLINS</v>
      </c>
      <c r="I146" s="434" t="str">
        <f>_xlfn.CONCAT(Tableau119[[#This Row],[ID]],"-",Tableau119[[#This Row],[Expiration Date]])</f>
        <v>30-45473</v>
      </c>
      <c r="J1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Busan-ILN Busan-30-FALSO-FALSO-FALSO--45473</v>
      </c>
      <c r="K146" s="435" t="str">
        <f ca="1">IF(COUNTIF(J:J,Tableau119[[#This Row],[Plant-ILN-shipper-POL-Carrier-POD-PFI]])=1,"Non","Oui")</f>
        <v>Non</v>
      </c>
      <c r="L146" s="128" t="str">
        <f>VLOOKUP(Tableau119[[#This Row],[Name Site]],Plant_AILN!A:D,4,FALSE)</f>
        <v>FRANCE</v>
      </c>
      <c r="M146" s="411" t="s">
        <v>209</v>
      </c>
      <c r="N146" s="439">
        <f>VLOOKUP(Tableau119[[#This Row],[Name Site]],Plant_AILN!A:C,3,FALSE)</f>
        <v>90015100</v>
      </c>
      <c r="O146" s="55">
        <f>VLOOKUP(Tableau119[[#This Row],[Compte Consignee]],Order!C:D,2,FALSE)</f>
        <v>7</v>
      </c>
      <c r="P146" s="116" t="s">
        <v>166</v>
      </c>
      <c r="Q146" s="365">
        <f>VLOOKUP(Tableau119[[#This Row],[Name ILN]],Plant_AILN!F:G,2,FALSE)</f>
        <v>95436</v>
      </c>
      <c r="R146" s="50">
        <f>VLOOKUP(Tableau119[[#This Row],[Compte ILN]],'DATA ILN'!D:I,6,FALSE)</f>
        <v>9</v>
      </c>
      <c r="S146" s="50" t="e">
        <f>IFERROR(VLOOKUP(Tableau119[[#This Row],[Key(Compte ILN - shipper - POL - plant)]],'DATA ILN'!A:J,10,FALSE),VLOOKUP(Tableau119[[#This Row],[Key(Compte ILN - shipper - POL)]],'DATA ILN'!B:J,9,FALSE))</f>
        <v>#N/A</v>
      </c>
      <c r="T146" s="50" t="e">
        <f>IFERROR(VLOOKUP(Tableau119[[#This Row],[Key(Compte ILN - shipper - POL - plant)]],'DATA ILN'!A:K,11,FALSE),VLOOKUP(Tableau119[[#This Row],[Key(Compte ILN - shipper - POL)]],'DATA ILN'!B:K,10,FALSE))</f>
        <v>#N/A</v>
      </c>
      <c r="U146" s="50" t="e">
        <f>IFERROR(VLOOKUP(Tableau119[[#This Row],[Key(Compte ILN - shipper - POL - plant)]],'DATA ILN'!A:L,12,FALSE),VLOOKUP(Tableau119[[#This Row],[Key(Compte ILN - shipper - POL)]],'DATA ILN'!B:L,11,FALSE))</f>
        <v>#N/A</v>
      </c>
      <c r="V146" s="50" t="e">
        <f>Tableau119[[#This Row],[Day ILN Order]]+Tableau119[[#This Row],[Delivery time to ILN/Shipper]]-1</f>
        <v>#N/A</v>
      </c>
      <c r="W146" s="50" t="e">
        <f>IFERROR(VLOOKUP(Tableau119[[#This Row],[Key(Compte ILN - shipper - POL - plant)]],'DATA ILN'!A:N,14,FALSE),VLOOKUP(Tableau119[[#This Row],[Key(Compte ILN - shipper - POL)]],'DATA ILN'!B:N,13,FALSE))</f>
        <v>#N/A</v>
      </c>
      <c r="X146" s="53" t="e">
        <f>IFERROR(VLOOKUP(Tableau119[[#This Row],[Key(Compte ILN - shipper - POL - plant)]],'DATA ILN'!A:P,16,FALSE),VLOOKUP(Tableau119[[#This Row],[Key(Compte ILN - shipper - POL)]],'DATA ILN'!B:P,15,FALSE))</f>
        <v>#N/A</v>
      </c>
      <c r="Y146" s="284" t="s">
        <v>166</v>
      </c>
      <c r="Z146" s="437">
        <f>IFERROR(VLOOKUP(Tableau119[[#This Row],[Name Shipper]],Plant_AILN!L:M,2,FALSE),0)</f>
        <v>95436</v>
      </c>
      <c r="AA146" s="406">
        <v>30</v>
      </c>
      <c r="AB146" s="396" t="b">
        <f>_xlfn.XLOOKUP(Tableau119[[#This Row],[Key(ID-date)]],'DATA BTO'!S:S,'DATA BTO'!E:E,FALSE)</f>
        <v>0</v>
      </c>
      <c r="AC146" s="3" t="b">
        <f>_xlfn.XLOOKUP(Tableau119[[#This Row],[Key(ID-date)]],'DATA BTO'!S:S,'DATA BTO'!F:F,FALSE)</f>
        <v>0</v>
      </c>
      <c r="AD146" s="50" t="b">
        <f>_xlfn.XLOOKUP(Tableau119[[#This Row],[Key(ID-date)]],'DATA BTO'!S:S,'DATA BTO'!G:G,FALSE)</f>
        <v>0</v>
      </c>
      <c r="AE146" s="50" t="b">
        <f>_xlfn.XLOOKUP(Tableau119[[#This Row],[Key(ID-date)]],'DATA BTO'!S:S,'DATA BTO'!H:H,FALSE)</f>
        <v>0</v>
      </c>
      <c r="AF146" s="50" t="e">
        <f>IF(Tableau119[[#This Row],[First Day to POL]]&lt;=Tableau119[[#This Row],[Day Cut Off]],Tableau119[[#This Row],[Day ETD]],Tableau119[[#This Row],[Day ETD]]+7)</f>
        <v>#N/A</v>
      </c>
      <c r="AG146" s="50" t="b">
        <f>_xlfn.XLOOKUP(Tableau119[[#This Row],[Key(ID-date)]],'DATA BTO'!S:S,'DATA BTO'!I:I,FALSE)</f>
        <v>0</v>
      </c>
      <c r="AH146" s="3" t="b">
        <f>_xlfn.XLOOKUP(Tableau119[[#This Row],[Key(ID-date)]],'DATA BTO'!S:S,'DATA BTO'!J:J,FALSE)</f>
        <v>0</v>
      </c>
      <c r="AI146" s="3" t="b">
        <f>_xlfn.XLOOKUP(Tableau119[[#This Row],[Key(ID-date)]],'DATA BTO'!S:S,'DATA BTO'!K:K,FALSE)</f>
        <v>0</v>
      </c>
      <c r="AJ146" s="50" t="b">
        <f>_xlfn.XLOOKUP(Tableau119[[#This Row],[Key(ID-date)]],'DATA BTO'!S:S,'DATA BTO'!L:L,FALSE)</f>
        <v>0</v>
      </c>
      <c r="AK146" s="53" t="b">
        <f>_xlfn.XLOOKUP(Tableau119[[#This Row],[Key(ID-date)]],'DATA BTO'!S:S,'DATA BTO'!N:N,FALSE)</f>
        <v>0</v>
      </c>
      <c r="AL146" s="54" t="e">
        <f>VLOOKUP(Tableau119[[#This Row],[Key(POD -PFI- Usine)]],'DATA Consignee'!A:F,6,FALSE)</f>
        <v>#N/A</v>
      </c>
      <c r="AM146" s="127"/>
      <c r="AN146" s="438" t="str">
        <f>IF(Tableau119[[#This Row],[Name PFI/CDD]]="","-",VLOOKUP(Tableau119[[#This Row],[Name PFI/CDD]],Plant_AILN!I:J,2,FALSE))</f>
        <v>-</v>
      </c>
      <c r="AO1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6" s="2" t="e">
        <f>VLOOKUP(Tableau119[[#This Row],[Key(POD -PFI- Usine)]],'DATA Consignee'!A:J,10,FALSE)</f>
        <v>#N/A</v>
      </c>
      <c r="AR146" s="50" t="e">
        <f>VLOOKUP(Tableau119[[#This Row],[Key(POD -PFI- Usine)]],'DATA Consignee'!A:N,14,FALSE)</f>
        <v>#N/A</v>
      </c>
      <c r="AS1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6" s="50">
        <f>Tableau119[[#This Row],[Transit time]]+Tableau119[[#This Row],[Time for security]]+Tableau119[[#This Row],[Time for security2 buffer]]</f>
        <v>0</v>
      </c>
      <c r="AV1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6" s="433" t="e">
        <f>Tableau119[[#This Row],[Leadtime SI2C]]+Tableau119[[#This Row],[First Receipt Days]]-Tableau119[[#This Row],[Day Customer Order]]+1</f>
        <v>#N/A</v>
      </c>
      <c r="AX146" s="119" t="e">
        <f>IF(Tableau119[[#This Row],[Name ILN]]&lt;&gt;"SFK Freight Forwarder",Tableau119[[#This Row],[Cust. Leadtime]],Tableau119[[#This Row],[Leadtime SI2C]])</f>
        <v>#N/A</v>
      </c>
      <c r="AY146" s="51" t="b">
        <f>_xlfn.XLOOKUP(Tableau119[[#This Row],[Key(ID-date)]],'DATA BTO'!S:S,'DATA BTO'!P:P,FALSE)</f>
        <v>0</v>
      </c>
      <c r="AZ146" s="338">
        <v>45473</v>
      </c>
      <c r="BA146" s="50"/>
    </row>
    <row r="147" spans="2:53">
      <c r="B147" s="474" t="str">
        <f>_xlfn.CONCAT(Tableau119[[#This Row],[Name ILN]],"-",Tableau119[[#This Row],[Name Shipper]],"-",Tableau119[[#This Row],[Name Site]])</f>
        <v>ILN Busan-ILN Busan-MAUBEUGE</v>
      </c>
      <c r="C147" s="67" t="str">
        <f>_xlfn.CONCAT(Tableau119[[#This Row],[Compte ILN]],"-",Tableau119[[#This Row],[Compte Shipper]],"-",Tableau119[[#This Row],[POL]],"-",Tableau119[[#This Row],[Compte Consignee]])</f>
        <v>95436-95436-FALSO-90016200</v>
      </c>
      <c r="D147" s="66" t="str">
        <f>_xlfn.CONCAT(Tableau119[[#This Row],[Compte ILN]],"-",Tableau119[[#This Row],[Compte Shipper]],"-",Tableau119[[#This Row],[POL]])</f>
        <v>95436-95436-FALSO</v>
      </c>
      <c r="E147" s="434" t="str">
        <f>_xlfn.CONCAT(Tableau119[[#This Row],[POL]],"-",Tableau119[[#This Row],[Carrier]],"-",Tableau119[[#This Row],[POD]])</f>
        <v>FALSO-FALSO-FALSO</v>
      </c>
      <c r="F147" s="66" t="str">
        <f>_xlfn.CONCAT(Tableau119[[#This Row],[ID]],"-","Actif")</f>
        <v>30-Actif</v>
      </c>
      <c r="G147" s="66" t="str">
        <f>_xlfn.CONCAT(Tableau119[[#This Row],[POD]],"-",Tableau119[[#This Row],[Code PFI]],"-",Tableau119[[#This Row],[Compte Consignee]])</f>
        <v>FALSO-90016600-90016200</v>
      </c>
      <c r="H14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BusanFALSOMAUBEUGE</v>
      </c>
      <c r="I147" s="434" t="str">
        <f>_xlfn.CONCAT(Tableau119[[#This Row],[ID]],"-",Tableau119[[#This Row],[Expiration Date]])</f>
        <v>30-45473</v>
      </c>
      <c r="J1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Busan-ILN Busan-30-FALSO-FALSO-FALSO-CDD FR-45473</v>
      </c>
      <c r="K147" s="435" t="str">
        <f ca="1">IF(COUNTIF(J:J,Tableau119[[#This Row],[Plant-ILN-shipper-POL-Carrier-POD-PFI]])=1,"Non","Oui")</f>
        <v>Non</v>
      </c>
      <c r="L147" s="128" t="str">
        <f>VLOOKUP(Tableau119[[#This Row],[Name Site]],Plant_AILN!A:D,4,FALSE)</f>
        <v>FRANCE</v>
      </c>
      <c r="M147" s="411" t="s">
        <v>210</v>
      </c>
      <c r="N147" s="439">
        <f>VLOOKUP(Tableau119[[#This Row],[Name Site]],Plant_AILN!A:C,3,FALSE)</f>
        <v>90016200</v>
      </c>
      <c r="O147" s="55">
        <f>VLOOKUP(Tableau119[[#This Row],[Compte Consignee]],Order!C:D,2,FALSE)</f>
        <v>7</v>
      </c>
      <c r="P147" s="116" t="s">
        <v>166</v>
      </c>
      <c r="Q147" s="365">
        <f>VLOOKUP(Tableau119[[#This Row],[Name ILN]],Plant_AILN!F:G,2,FALSE)</f>
        <v>95436</v>
      </c>
      <c r="R147" s="50">
        <f>VLOOKUP(Tableau119[[#This Row],[Compte ILN]],'DATA ILN'!D:I,6,FALSE)</f>
        <v>9</v>
      </c>
      <c r="S147" s="50" t="e">
        <f>IFERROR(VLOOKUP(Tableau119[[#This Row],[Key(Compte ILN - shipper - POL - plant)]],'DATA ILN'!A:J,10,FALSE),VLOOKUP(Tableau119[[#This Row],[Key(Compte ILN - shipper - POL)]],'DATA ILN'!B:J,9,FALSE))</f>
        <v>#N/A</v>
      </c>
      <c r="T147" s="50" t="e">
        <f>IFERROR(VLOOKUP(Tableau119[[#This Row],[Key(Compte ILN - shipper - POL - plant)]],'DATA ILN'!A:K,11,FALSE),VLOOKUP(Tableau119[[#This Row],[Key(Compte ILN - shipper - POL)]],'DATA ILN'!B:K,10,FALSE))</f>
        <v>#N/A</v>
      </c>
      <c r="U147" s="50" t="e">
        <f>IFERROR(VLOOKUP(Tableau119[[#This Row],[Key(Compte ILN - shipper - POL - plant)]],'DATA ILN'!A:L,12,FALSE),VLOOKUP(Tableau119[[#This Row],[Key(Compte ILN - shipper - POL)]],'DATA ILN'!B:L,11,FALSE))</f>
        <v>#N/A</v>
      </c>
      <c r="V147" s="50" t="e">
        <f>Tableau119[[#This Row],[Day ILN Order]]+Tableau119[[#This Row],[Delivery time to ILN/Shipper]]-1</f>
        <v>#N/A</v>
      </c>
      <c r="W147" s="50" t="e">
        <f>IFERROR(VLOOKUP(Tableau119[[#This Row],[Key(Compte ILN - shipper - POL - plant)]],'DATA ILN'!A:N,14,FALSE),VLOOKUP(Tableau119[[#This Row],[Key(Compte ILN - shipper - POL)]],'DATA ILN'!B:N,13,FALSE))</f>
        <v>#N/A</v>
      </c>
      <c r="X147" s="53" t="e">
        <f>IFERROR(VLOOKUP(Tableau119[[#This Row],[Key(Compte ILN - shipper - POL - plant)]],'DATA ILN'!A:P,16,FALSE),VLOOKUP(Tableau119[[#This Row],[Key(Compte ILN - shipper - POL)]],'DATA ILN'!B:P,15,FALSE))</f>
        <v>#N/A</v>
      </c>
      <c r="Y147" s="284" t="s">
        <v>166</v>
      </c>
      <c r="Z147" s="437">
        <f>IFERROR(VLOOKUP(Tableau119[[#This Row],[Name Shipper]],Plant_AILN!L:M,2,FALSE),0)</f>
        <v>95436</v>
      </c>
      <c r="AA147" s="406">
        <v>30</v>
      </c>
      <c r="AB147" s="396" t="b">
        <f>_xlfn.XLOOKUP(Tableau119[[#This Row],[Key(ID-date)]],'DATA BTO'!S:S,'DATA BTO'!E:E,FALSE)</f>
        <v>0</v>
      </c>
      <c r="AC147" s="3" t="b">
        <f>_xlfn.XLOOKUP(Tableau119[[#This Row],[Key(ID-date)]],'DATA BTO'!S:S,'DATA BTO'!F:F,FALSE)</f>
        <v>0</v>
      </c>
      <c r="AD147" s="50" t="b">
        <f>_xlfn.XLOOKUP(Tableau119[[#This Row],[Key(ID-date)]],'DATA BTO'!S:S,'DATA BTO'!G:G,FALSE)</f>
        <v>0</v>
      </c>
      <c r="AE147" s="50" t="b">
        <f>_xlfn.XLOOKUP(Tableau119[[#This Row],[Key(ID-date)]],'DATA BTO'!S:S,'DATA BTO'!H:H,FALSE)</f>
        <v>0</v>
      </c>
      <c r="AF147" s="50" t="e">
        <f>IF(Tableau119[[#This Row],[First Day to POL]]&lt;=Tableau119[[#This Row],[Day Cut Off]],Tableau119[[#This Row],[Day ETD]],Tableau119[[#This Row],[Day ETD]]+7)</f>
        <v>#N/A</v>
      </c>
      <c r="AG147" s="50" t="b">
        <f>_xlfn.XLOOKUP(Tableau119[[#This Row],[Key(ID-date)]],'DATA BTO'!S:S,'DATA BTO'!I:I,FALSE)</f>
        <v>0</v>
      </c>
      <c r="AH147" s="3" t="b">
        <f>_xlfn.XLOOKUP(Tableau119[[#This Row],[Key(ID-date)]],'DATA BTO'!S:S,'DATA BTO'!J:J,FALSE)</f>
        <v>0</v>
      </c>
      <c r="AI147" s="3" t="b">
        <f>_xlfn.XLOOKUP(Tableau119[[#This Row],[Key(ID-date)]],'DATA BTO'!S:S,'DATA BTO'!K:K,FALSE)</f>
        <v>0</v>
      </c>
      <c r="AJ147" s="50" t="b">
        <f>_xlfn.XLOOKUP(Tableau119[[#This Row],[Key(ID-date)]],'DATA BTO'!S:S,'DATA BTO'!L:L,FALSE)</f>
        <v>0</v>
      </c>
      <c r="AK147" s="53" t="b">
        <f>_xlfn.XLOOKUP(Tableau119[[#This Row],[Key(ID-date)]],'DATA BTO'!S:S,'DATA BTO'!N:N,FALSE)</f>
        <v>0</v>
      </c>
      <c r="AL147" s="54" t="e">
        <f>VLOOKUP(Tableau119[[#This Row],[Key(POD -PFI- Usine)]],'DATA Consignee'!A:F,6,FALSE)</f>
        <v>#N/A</v>
      </c>
      <c r="AM147" s="127" t="s">
        <v>155</v>
      </c>
      <c r="AN147" s="438">
        <f>IF(Tableau119[[#This Row],[Name PFI/CDD]]="","-",VLOOKUP(Tableau119[[#This Row],[Name PFI/CDD]],Plant_AILN!I:J,2,FALSE))</f>
        <v>90016600</v>
      </c>
      <c r="AO1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7" s="2" t="e">
        <f>VLOOKUP(Tableau119[[#This Row],[Key(POD -PFI- Usine)]],'DATA Consignee'!A:J,10,FALSE)</f>
        <v>#N/A</v>
      </c>
      <c r="AR147" s="50" t="e">
        <f>VLOOKUP(Tableau119[[#This Row],[Key(POD -PFI- Usine)]],'DATA Consignee'!A:N,14,FALSE)</f>
        <v>#N/A</v>
      </c>
      <c r="AS1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7" s="50">
        <f>Tableau119[[#This Row],[Transit time]]+Tableau119[[#This Row],[Time for security]]+Tableau119[[#This Row],[Time for security2 buffer]]</f>
        <v>0</v>
      </c>
      <c r="AV1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7" s="433" t="e">
        <f>Tableau119[[#This Row],[Leadtime SI2C]]+Tableau119[[#This Row],[First Receipt Days]]-Tableau119[[#This Row],[Day Customer Order]]+1</f>
        <v>#N/A</v>
      </c>
      <c r="AX147" s="119" t="e">
        <f>IF(Tableau119[[#This Row],[Name ILN]]&lt;&gt;"SFK Freight Forwarder",Tableau119[[#This Row],[Cust. Leadtime]],Tableau119[[#This Row],[Leadtime SI2C]])</f>
        <v>#N/A</v>
      </c>
      <c r="AY147" s="51" t="b">
        <f>_xlfn.XLOOKUP(Tableau119[[#This Row],[Key(ID-date)]],'DATA BTO'!S:S,'DATA BTO'!P:P,FALSE)</f>
        <v>0</v>
      </c>
      <c r="AZ147" s="338">
        <v>45473</v>
      </c>
      <c r="BA147" s="50"/>
    </row>
    <row r="148" spans="2:53">
      <c r="B148" s="474" t="str">
        <f>_xlfn.CONCAT(Tableau119[[#This Row],[Name ILN]],"-",Tableau119[[#This Row],[Name Shipper]],"-",Tableau119[[#This Row],[Name Site]])</f>
        <v>ILN Busan-ILN Busan-SOVAB</v>
      </c>
      <c r="C148" s="67" t="str">
        <f>_xlfn.CONCAT(Tableau119[[#This Row],[Compte ILN]],"-",Tableau119[[#This Row],[Compte Shipper]],"-",Tableau119[[#This Row],[POL]],"-",Tableau119[[#This Row],[Compte Consignee]])</f>
        <v>95436-95436-FALSO-90016900</v>
      </c>
      <c r="D148" s="66" t="str">
        <f>_xlfn.CONCAT(Tableau119[[#This Row],[Compte ILN]],"-",Tableau119[[#This Row],[Compte Shipper]],"-",Tableau119[[#This Row],[POL]])</f>
        <v>95436-95436-FALSO</v>
      </c>
      <c r="E148" s="434" t="str">
        <f>_xlfn.CONCAT(Tableau119[[#This Row],[POL]],"-",Tableau119[[#This Row],[Carrier]],"-",Tableau119[[#This Row],[POD]])</f>
        <v>FALSO-FALSO-FALSO</v>
      </c>
      <c r="F148" s="66" t="str">
        <f>_xlfn.CONCAT(Tableau119[[#This Row],[ID]],"-","Actif")</f>
        <v>30-Actif</v>
      </c>
      <c r="G148" s="66" t="str">
        <f>_xlfn.CONCAT(Tableau119[[#This Row],[POD]],"-",Tableau119[[#This Row],[Code PFI]],"-",Tableau119[[#This Row],[Compte Consignee]])</f>
        <v>FALSO-90016600-90016900</v>
      </c>
      <c r="H14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BusanFALSOSOVAB</v>
      </c>
      <c r="I148" s="434" t="str">
        <f>_xlfn.CONCAT(Tableau119[[#This Row],[ID]],"-",Tableau119[[#This Row],[Expiration Date]])</f>
        <v>30-45473</v>
      </c>
      <c r="J1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Busan-ILN Busan-30-FALSO-FALSO-FALSO-CDD FR-45473</v>
      </c>
      <c r="K148" s="435" t="str">
        <f ca="1">IF(COUNTIF(J:J,Tableau119[[#This Row],[Plant-ILN-shipper-POL-Carrier-POD-PFI]])=1,"Non","Oui")</f>
        <v>Non</v>
      </c>
      <c r="L148" s="128" t="str">
        <f>VLOOKUP(Tableau119[[#This Row],[Name Site]],Plant_AILN!A:D,4,FALSE)</f>
        <v>FRANCE</v>
      </c>
      <c r="M148" s="411" t="s">
        <v>154</v>
      </c>
      <c r="N148" s="439">
        <f>VLOOKUP(Tableau119[[#This Row],[Name Site]],Plant_AILN!A:C,3,FALSE)</f>
        <v>90016900</v>
      </c>
      <c r="O148" s="55">
        <f>VLOOKUP(Tableau119[[#This Row],[Compte Consignee]],Order!C:D,2,FALSE)</f>
        <v>7</v>
      </c>
      <c r="P148" s="116" t="s">
        <v>166</v>
      </c>
      <c r="Q148" s="365">
        <f>VLOOKUP(Tableau119[[#This Row],[Name ILN]],Plant_AILN!F:G,2,FALSE)</f>
        <v>95436</v>
      </c>
      <c r="R148" s="50">
        <f>VLOOKUP(Tableau119[[#This Row],[Compte ILN]],'DATA ILN'!D:I,6,FALSE)</f>
        <v>9</v>
      </c>
      <c r="S148" s="50" t="e">
        <f>IFERROR(VLOOKUP(Tableau119[[#This Row],[Key(Compte ILN - shipper - POL - plant)]],'DATA ILN'!A:J,10,FALSE),VLOOKUP(Tableau119[[#This Row],[Key(Compte ILN - shipper - POL)]],'DATA ILN'!B:J,9,FALSE))</f>
        <v>#N/A</v>
      </c>
      <c r="T148" s="50" t="e">
        <f>IFERROR(VLOOKUP(Tableau119[[#This Row],[Key(Compte ILN - shipper - POL - plant)]],'DATA ILN'!A:K,11,FALSE),VLOOKUP(Tableau119[[#This Row],[Key(Compte ILN - shipper - POL)]],'DATA ILN'!B:K,10,FALSE))</f>
        <v>#N/A</v>
      </c>
      <c r="U148" s="50" t="e">
        <f>IFERROR(VLOOKUP(Tableau119[[#This Row],[Key(Compte ILN - shipper - POL - plant)]],'DATA ILN'!A:L,12,FALSE),VLOOKUP(Tableau119[[#This Row],[Key(Compte ILN - shipper - POL)]],'DATA ILN'!B:L,11,FALSE))</f>
        <v>#N/A</v>
      </c>
      <c r="V148" s="50" t="e">
        <f>Tableau119[[#This Row],[Day ILN Order]]+Tableau119[[#This Row],[Delivery time to ILN/Shipper]]-1</f>
        <v>#N/A</v>
      </c>
      <c r="W148" s="50" t="e">
        <f>IFERROR(VLOOKUP(Tableau119[[#This Row],[Key(Compte ILN - shipper - POL - plant)]],'DATA ILN'!A:N,14,FALSE),VLOOKUP(Tableau119[[#This Row],[Key(Compte ILN - shipper - POL)]],'DATA ILN'!B:N,13,FALSE))</f>
        <v>#N/A</v>
      </c>
      <c r="X148" s="53" t="e">
        <f>IFERROR(VLOOKUP(Tableau119[[#This Row],[Key(Compte ILN - shipper - POL - plant)]],'DATA ILN'!A:P,16,FALSE),VLOOKUP(Tableau119[[#This Row],[Key(Compte ILN - shipper - POL)]],'DATA ILN'!B:P,15,FALSE))</f>
        <v>#N/A</v>
      </c>
      <c r="Y148" s="284" t="s">
        <v>166</v>
      </c>
      <c r="Z148" s="437">
        <f>IFERROR(VLOOKUP(Tableau119[[#This Row],[Name Shipper]],Plant_AILN!L:M,2,FALSE),0)</f>
        <v>95436</v>
      </c>
      <c r="AA148" s="406">
        <v>30</v>
      </c>
      <c r="AB148" s="396" t="b">
        <f>_xlfn.XLOOKUP(Tableau119[[#This Row],[Key(ID-date)]],'DATA BTO'!S:S,'DATA BTO'!E:E,FALSE)</f>
        <v>0</v>
      </c>
      <c r="AC148" s="3" t="b">
        <f>_xlfn.XLOOKUP(Tableau119[[#This Row],[Key(ID-date)]],'DATA BTO'!S:S,'DATA BTO'!F:F,FALSE)</f>
        <v>0</v>
      </c>
      <c r="AD148" s="50" t="b">
        <f>_xlfn.XLOOKUP(Tableau119[[#This Row],[Key(ID-date)]],'DATA BTO'!S:S,'DATA BTO'!G:G,FALSE)</f>
        <v>0</v>
      </c>
      <c r="AE148" s="50" t="b">
        <f>_xlfn.XLOOKUP(Tableau119[[#This Row],[Key(ID-date)]],'DATA BTO'!S:S,'DATA BTO'!H:H,FALSE)</f>
        <v>0</v>
      </c>
      <c r="AF148" s="50" t="e">
        <f>IF(Tableau119[[#This Row],[First Day to POL]]&lt;=Tableau119[[#This Row],[Day Cut Off]],Tableau119[[#This Row],[Day ETD]],Tableau119[[#This Row],[Day ETD]]+7)</f>
        <v>#N/A</v>
      </c>
      <c r="AG148" s="50" t="b">
        <f>_xlfn.XLOOKUP(Tableau119[[#This Row],[Key(ID-date)]],'DATA BTO'!S:S,'DATA BTO'!I:I,FALSE)</f>
        <v>0</v>
      </c>
      <c r="AH148" s="3" t="b">
        <f>_xlfn.XLOOKUP(Tableau119[[#This Row],[Key(ID-date)]],'DATA BTO'!S:S,'DATA BTO'!J:J,FALSE)</f>
        <v>0</v>
      </c>
      <c r="AI148" s="3" t="b">
        <f>_xlfn.XLOOKUP(Tableau119[[#This Row],[Key(ID-date)]],'DATA BTO'!S:S,'DATA BTO'!K:K,FALSE)</f>
        <v>0</v>
      </c>
      <c r="AJ148" s="50" t="b">
        <f>_xlfn.XLOOKUP(Tableau119[[#This Row],[Key(ID-date)]],'DATA BTO'!S:S,'DATA BTO'!L:L,FALSE)</f>
        <v>0</v>
      </c>
      <c r="AK148" s="53" t="b">
        <f>_xlfn.XLOOKUP(Tableau119[[#This Row],[Key(ID-date)]],'DATA BTO'!S:S,'DATA BTO'!N:N,FALSE)</f>
        <v>0</v>
      </c>
      <c r="AL148" s="54" t="e">
        <f>VLOOKUP(Tableau119[[#This Row],[Key(POD -PFI- Usine)]],'DATA Consignee'!A:F,6,FALSE)</f>
        <v>#N/A</v>
      </c>
      <c r="AM148" s="127" t="s">
        <v>155</v>
      </c>
      <c r="AN148" s="438">
        <f>IF(Tableau119[[#This Row],[Name PFI/CDD]]="","-",VLOOKUP(Tableau119[[#This Row],[Name PFI/CDD]],Plant_AILN!I:J,2,FALSE))</f>
        <v>90016600</v>
      </c>
      <c r="AO1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8" s="2" t="e">
        <f>VLOOKUP(Tableau119[[#This Row],[Key(POD -PFI- Usine)]],'DATA Consignee'!A:J,10,FALSE)</f>
        <v>#N/A</v>
      </c>
      <c r="AR148" s="50" t="e">
        <f>VLOOKUP(Tableau119[[#This Row],[Key(POD -PFI- Usine)]],'DATA Consignee'!A:N,14,FALSE)</f>
        <v>#N/A</v>
      </c>
      <c r="AS1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8" s="50">
        <f>Tableau119[[#This Row],[Transit time]]+Tableau119[[#This Row],[Time for security]]+Tableau119[[#This Row],[Time for security2 buffer]]</f>
        <v>0</v>
      </c>
      <c r="AV1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8" s="433" t="e">
        <f>Tableau119[[#This Row],[Leadtime SI2C]]+Tableau119[[#This Row],[First Receipt Days]]-Tableau119[[#This Row],[Day Customer Order]]+1</f>
        <v>#N/A</v>
      </c>
      <c r="AX148" s="119" t="e">
        <f>IF(Tableau119[[#This Row],[Name ILN]]&lt;&gt;"SFK Freight Forwarder",Tableau119[[#This Row],[Cust. Leadtime]],Tableau119[[#This Row],[Leadtime SI2C]])</f>
        <v>#N/A</v>
      </c>
      <c r="AY148" s="51" t="b">
        <f>_xlfn.XLOOKUP(Tableau119[[#This Row],[Key(ID-date)]],'DATA BTO'!S:S,'DATA BTO'!P:P,FALSE)</f>
        <v>0</v>
      </c>
      <c r="AZ148" s="338">
        <v>45473</v>
      </c>
      <c r="BA148" s="50"/>
    </row>
    <row r="149" spans="2:53">
      <c r="B149" s="474" t="str">
        <f>_xlfn.CONCAT(Tableau119[[#This Row],[Name ILN]],"-",Tableau119[[#This Row],[Name Shipper]],"-",Tableau119[[#This Row],[Name Site]])</f>
        <v>ILN Busan-ILN Busan-SANDOUVILLE</v>
      </c>
      <c r="C149" s="67" t="str">
        <f>_xlfn.CONCAT(Tableau119[[#This Row],[Compte ILN]],"-",Tableau119[[#This Row],[Compte Shipper]],"-",Tableau119[[#This Row],[POL]],"-",Tableau119[[#This Row],[Compte Consignee]])</f>
        <v>95436-95436-FALSO-90017100</v>
      </c>
      <c r="D149" s="66" t="str">
        <f>_xlfn.CONCAT(Tableau119[[#This Row],[Compte ILN]],"-",Tableau119[[#This Row],[Compte Shipper]],"-",Tableau119[[#This Row],[POL]])</f>
        <v>95436-95436-FALSO</v>
      </c>
      <c r="E149" s="434" t="str">
        <f>_xlfn.CONCAT(Tableau119[[#This Row],[POL]],"-",Tableau119[[#This Row],[Carrier]],"-",Tableau119[[#This Row],[POD]])</f>
        <v>FALSO-FALSO-FALSO</v>
      </c>
      <c r="F149" s="66" t="str">
        <f>_xlfn.CONCAT(Tableau119[[#This Row],[ID]],"-","Actif")</f>
        <v>30-Actif</v>
      </c>
      <c r="G149" s="66" t="str">
        <f>_xlfn.CONCAT(Tableau119[[#This Row],[POD]],"-",Tableau119[[#This Row],[Code PFI]],"-",Tableau119[[#This Row],[Compte Consignee]])</f>
        <v>FALSO-90016600-90017100</v>
      </c>
      <c r="H14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BusanFALSOSANDOUVILLE</v>
      </c>
      <c r="I149" s="434" t="str">
        <f>_xlfn.CONCAT(Tableau119[[#This Row],[ID]],"-",Tableau119[[#This Row],[Expiration Date]])</f>
        <v>30-45473</v>
      </c>
      <c r="J1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Busan-ILN Busan-30-FALSO-FALSO-FALSO-CDD FR-45473</v>
      </c>
      <c r="K149" s="435" t="str">
        <f ca="1">IF(COUNTIF(J:J,Tableau119[[#This Row],[Plant-ILN-shipper-POL-Carrier-POD-PFI]])=1,"Non","Oui")</f>
        <v>Non</v>
      </c>
      <c r="L149" s="128" t="str">
        <f>VLOOKUP(Tableau119[[#This Row],[Name Site]],Plant_AILN!A:D,4,FALSE)</f>
        <v>FRANCE</v>
      </c>
      <c r="M149" s="411" t="s">
        <v>196</v>
      </c>
      <c r="N149" s="439">
        <f>VLOOKUP(Tableau119[[#This Row],[Name Site]],Plant_AILN!A:C,3,FALSE)</f>
        <v>90017100</v>
      </c>
      <c r="O149" s="55">
        <f>VLOOKUP(Tableau119[[#This Row],[Compte Consignee]],Order!C:D,2,FALSE)</f>
        <v>7</v>
      </c>
      <c r="P149" s="116" t="s">
        <v>166</v>
      </c>
      <c r="Q149" s="365">
        <f>VLOOKUP(Tableau119[[#This Row],[Name ILN]],Plant_AILN!F:G,2,FALSE)</f>
        <v>95436</v>
      </c>
      <c r="R149" s="50">
        <f>VLOOKUP(Tableau119[[#This Row],[Compte ILN]],'DATA ILN'!D:I,6,FALSE)</f>
        <v>9</v>
      </c>
      <c r="S149" s="50" t="e">
        <f>IFERROR(VLOOKUP(Tableau119[[#This Row],[Key(Compte ILN - shipper - POL - plant)]],'DATA ILN'!A:J,10,FALSE),VLOOKUP(Tableau119[[#This Row],[Key(Compte ILN - shipper - POL)]],'DATA ILN'!B:J,9,FALSE))</f>
        <v>#N/A</v>
      </c>
      <c r="T149" s="50" t="e">
        <f>IFERROR(VLOOKUP(Tableau119[[#This Row],[Key(Compte ILN - shipper - POL - plant)]],'DATA ILN'!A:K,11,FALSE),VLOOKUP(Tableau119[[#This Row],[Key(Compte ILN - shipper - POL)]],'DATA ILN'!B:K,10,FALSE))</f>
        <v>#N/A</v>
      </c>
      <c r="U149" s="50" t="e">
        <f>IFERROR(VLOOKUP(Tableau119[[#This Row],[Key(Compte ILN - shipper - POL - plant)]],'DATA ILN'!A:L,12,FALSE),VLOOKUP(Tableau119[[#This Row],[Key(Compte ILN - shipper - POL)]],'DATA ILN'!B:L,11,FALSE))</f>
        <v>#N/A</v>
      </c>
      <c r="V149" s="50" t="e">
        <f>Tableau119[[#This Row],[Day ILN Order]]+Tableau119[[#This Row],[Delivery time to ILN/Shipper]]-1</f>
        <v>#N/A</v>
      </c>
      <c r="W149" s="50" t="e">
        <f>IFERROR(VLOOKUP(Tableau119[[#This Row],[Key(Compte ILN - shipper - POL - plant)]],'DATA ILN'!A:N,14,FALSE),VLOOKUP(Tableau119[[#This Row],[Key(Compte ILN - shipper - POL)]],'DATA ILN'!B:N,13,FALSE))</f>
        <v>#N/A</v>
      </c>
      <c r="X149" s="53" t="e">
        <f>IFERROR(VLOOKUP(Tableau119[[#This Row],[Key(Compte ILN - shipper - POL - plant)]],'DATA ILN'!A:P,16,FALSE),VLOOKUP(Tableau119[[#This Row],[Key(Compte ILN - shipper - POL)]],'DATA ILN'!B:P,15,FALSE))</f>
        <v>#N/A</v>
      </c>
      <c r="Y149" s="284" t="s">
        <v>166</v>
      </c>
      <c r="Z149" s="437">
        <f>IFERROR(VLOOKUP(Tableau119[[#This Row],[Name Shipper]],Plant_AILN!L:M,2,FALSE),0)</f>
        <v>95436</v>
      </c>
      <c r="AA149" s="406">
        <v>30</v>
      </c>
      <c r="AB149" s="396" t="b">
        <f>_xlfn.XLOOKUP(Tableau119[[#This Row],[Key(ID-date)]],'DATA BTO'!S:S,'DATA BTO'!E:E,FALSE)</f>
        <v>0</v>
      </c>
      <c r="AC149" s="3" t="b">
        <f>_xlfn.XLOOKUP(Tableau119[[#This Row],[Key(ID-date)]],'DATA BTO'!S:S,'DATA BTO'!F:F,FALSE)</f>
        <v>0</v>
      </c>
      <c r="AD149" s="50" t="b">
        <f>_xlfn.XLOOKUP(Tableau119[[#This Row],[Key(ID-date)]],'DATA BTO'!S:S,'DATA BTO'!G:G,FALSE)</f>
        <v>0</v>
      </c>
      <c r="AE149" s="50" t="b">
        <f>_xlfn.XLOOKUP(Tableau119[[#This Row],[Key(ID-date)]],'DATA BTO'!S:S,'DATA BTO'!H:H,FALSE)</f>
        <v>0</v>
      </c>
      <c r="AF149" s="50" t="e">
        <f>IF(Tableau119[[#This Row],[First Day to POL]]&lt;=Tableau119[[#This Row],[Day Cut Off]],Tableau119[[#This Row],[Day ETD]],Tableau119[[#This Row],[Day ETD]]+7)</f>
        <v>#N/A</v>
      </c>
      <c r="AG149" s="50" t="b">
        <f>_xlfn.XLOOKUP(Tableau119[[#This Row],[Key(ID-date)]],'DATA BTO'!S:S,'DATA BTO'!I:I,FALSE)</f>
        <v>0</v>
      </c>
      <c r="AH149" s="3" t="b">
        <f>_xlfn.XLOOKUP(Tableau119[[#This Row],[Key(ID-date)]],'DATA BTO'!S:S,'DATA BTO'!J:J,FALSE)</f>
        <v>0</v>
      </c>
      <c r="AI149" s="3" t="b">
        <f>_xlfn.XLOOKUP(Tableau119[[#This Row],[Key(ID-date)]],'DATA BTO'!S:S,'DATA BTO'!K:K,FALSE)</f>
        <v>0</v>
      </c>
      <c r="AJ149" s="50" t="b">
        <f>_xlfn.XLOOKUP(Tableau119[[#This Row],[Key(ID-date)]],'DATA BTO'!S:S,'DATA BTO'!L:L,FALSE)</f>
        <v>0</v>
      </c>
      <c r="AK149" s="53" t="b">
        <f>_xlfn.XLOOKUP(Tableau119[[#This Row],[Key(ID-date)]],'DATA BTO'!S:S,'DATA BTO'!N:N,FALSE)</f>
        <v>0</v>
      </c>
      <c r="AL149" s="54" t="e">
        <f>VLOOKUP(Tableau119[[#This Row],[Key(POD -PFI- Usine)]],'DATA Consignee'!A:F,6,FALSE)</f>
        <v>#N/A</v>
      </c>
      <c r="AM149" s="127" t="s">
        <v>155</v>
      </c>
      <c r="AN149" s="438">
        <f>IF(Tableau119[[#This Row],[Name PFI/CDD]]="","-",VLOOKUP(Tableau119[[#This Row],[Name PFI/CDD]],Plant_AILN!I:J,2,FALSE))</f>
        <v>90016600</v>
      </c>
      <c r="AO1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49" s="2" t="e">
        <f>VLOOKUP(Tableau119[[#This Row],[Key(POD -PFI- Usine)]],'DATA Consignee'!A:J,10,FALSE)</f>
        <v>#N/A</v>
      </c>
      <c r="AR149" s="50" t="e">
        <f>VLOOKUP(Tableau119[[#This Row],[Key(POD -PFI- Usine)]],'DATA Consignee'!A:N,14,FALSE)</f>
        <v>#N/A</v>
      </c>
      <c r="AS1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49" s="50">
        <f>Tableau119[[#This Row],[Transit time]]+Tableau119[[#This Row],[Time for security]]+Tableau119[[#This Row],[Time for security2 buffer]]</f>
        <v>0</v>
      </c>
      <c r="AV1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49" s="433" t="e">
        <f>Tableau119[[#This Row],[Leadtime SI2C]]+Tableau119[[#This Row],[First Receipt Days]]-Tableau119[[#This Row],[Day Customer Order]]+1</f>
        <v>#N/A</v>
      </c>
      <c r="AX149" s="119" t="e">
        <f>IF(Tableau119[[#This Row],[Name ILN]]&lt;&gt;"SFK Freight Forwarder",Tableau119[[#This Row],[Cust. Leadtime]],Tableau119[[#This Row],[Leadtime SI2C]])</f>
        <v>#N/A</v>
      </c>
      <c r="AY149" s="51" t="b">
        <f>_xlfn.XLOOKUP(Tableau119[[#This Row],[Key(ID-date)]],'DATA BTO'!S:S,'DATA BTO'!P:P,FALSE)</f>
        <v>0</v>
      </c>
      <c r="AZ149" s="338">
        <v>45473</v>
      </c>
      <c r="BA149" s="50"/>
    </row>
    <row r="150" spans="2:53">
      <c r="B150" s="474" t="str">
        <f>_xlfn.CONCAT(Tableau119[[#This Row],[Name ILN]],"-",Tableau119[[#This Row],[Name Shipper]],"-",Tableau119[[#This Row],[Name Site]])</f>
        <v>ILN Busan-ILN Busan-ALPINE</v>
      </c>
      <c r="C150" s="67" t="str">
        <f>_xlfn.CONCAT(Tableau119[[#This Row],[Compte ILN]],"-",Tableau119[[#This Row],[Compte Shipper]],"-",Tableau119[[#This Row],[POL]],"-",Tableau119[[#This Row],[Compte Consignee]])</f>
        <v>95436-95436-FALSO-90018300</v>
      </c>
      <c r="D150" s="66" t="str">
        <f>_xlfn.CONCAT(Tableau119[[#This Row],[Compte ILN]],"-",Tableau119[[#This Row],[Compte Shipper]],"-",Tableau119[[#This Row],[POL]])</f>
        <v>95436-95436-FALSO</v>
      </c>
      <c r="E150" s="434" t="str">
        <f>_xlfn.CONCAT(Tableau119[[#This Row],[POL]],"-",Tableau119[[#This Row],[Carrier]],"-",Tableau119[[#This Row],[POD]])</f>
        <v>FALSO-FALSO-FALSO</v>
      </c>
      <c r="F150" s="66" t="str">
        <f>_xlfn.CONCAT(Tableau119[[#This Row],[ID]],"-","Actif")</f>
        <v>30-Actif</v>
      </c>
      <c r="G150" s="66" t="str">
        <f>_xlfn.CONCAT(Tableau119[[#This Row],[POD]],"-",Tableau119[[#This Row],[Code PFI]],"-",Tableau119[[#This Row],[Compte Consignee]])</f>
        <v>FALSO-90016600-90018300</v>
      </c>
      <c r="H15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BusanFALSOALPINE</v>
      </c>
      <c r="I150" s="434" t="str">
        <f>_xlfn.CONCAT(Tableau119[[#This Row],[ID]],"-",Tableau119[[#This Row],[Expiration Date]])</f>
        <v>30-45473</v>
      </c>
      <c r="J1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Busan-ILN Busan-30-FALSO-FALSO-FALSO-CDD FR-45473</v>
      </c>
      <c r="K150" s="435" t="str">
        <f ca="1">IF(COUNTIF(J:J,Tableau119[[#This Row],[Plant-ILN-shipper-POL-Carrier-POD-PFI]])=1,"Non","Oui")</f>
        <v>Non</v>
      </c>
      <c r="L150" s="128" t="str">
        <f>VLOOKUP(Tableau119[[#This Row],[Name Site]],Plant_AILN!A:D,4,FALSE)</f>
        <v>FRANCE</v>
      </c>
      <c r="M150" s="411" t="s">
        <v>220</v>
      </c>
      <c r="N150" s="439">
        <f>VLOOKUP(Tableau119[[#This Row],[Name Site]],Plant_AILN!A:C,3,FALSE)</f>
        <v>90018300</v>
      </c>
      <c r="O150" s="55">
        <f>VLOOKUP(Tableau119[[#This Row],[Compte Consignee]],Order!C:D,2,FALSE)</f>
        <v>7</v>
      </c>
      <c r="P150" s="116" t="s">
        <v>166</v>
      </c>
      <c r="Q150" s="365">
        <f>VLOOKUP(Tableau119[[#This Row],[Name ILN]],Plant_AILN!F:G,2,FALSE)</f>
        <v>95436</v>
      </c>
      <c r="R150" s="50">
        <f>VLOOKUP(Tableau119[[#This Row],[Compte ILN]],'DATA ILN'!D:I,6,FALSE)</f>
        <v>9</v>
      </c>
      <c r="S150" s="50" t="e">
        <f>IFERROR(VLOOKUP(Tableau119[[#This Row],[Key(Compte ILN - shipper - POL - plant)]],'DATA ILN'!A:J,10,FALSE),VLOOKUP(Tableau119[[#This Row],[Key(Compte ILN - shipper - POL)]],'DATA ILN'!B:J,9,FALSE))</f>
        <v>#N/A</v>
      </c>
      <c r="T150" s="50" t="e">
        <f>IFERROR(VLOOKUP(Tableau119[[#This Row],[Key(Compte ILN - shipper - POL - plant)]],'DATA ILN'!A:K,11,FALSE),VLOOKUP(Tableau119[[#This Row],[Key(Compte ILN - shipper - POL)]],'DATA ILN'!B:K,10,FALSE))</f>
        <v>#N/A</v>
      </c>
      <c r="U150" s="50" t="e">
        <f>IFERROR(VLOOKUP(Tableau119[[#This Row],[Key(Compte ILN - shipper - POL - plant)]],'DATA ILN'!A:L,12,FALSE),VLOOKUP(Tableau119[[#This Row],[Key(Compte ILN - shipper - POL)]],'DATA ILN'!B:L,11,FALSE))</f>
        <v>#N/A</v>
      </c>
      <c r="V150" s="50" t="e">
        <f>Tableau119[[#This Row],[Day ILN Order]]+Tableau119[[#This Row],[Delivery time to ILN/Shipper]]-1</f>
        <v>#N/A</v>
      </c>
      <c r="W150" s="50" t="e">
        <f>IFERROR(VLOOKUP(Tableau119[[#This Row],[Key(Compte ILN - shipper - POL - plant)]],'DATA ILN'!A:N,14,FALSE),VLOOKUP(Tableau119[[#This Row],[Key(Compte ILN - shipper - POL)]],'DATA ILN'!B:N,13,FALSE))</f>
        <v>#N/A</v>
      </c>
      <c r="X150" s="53" t="e">
        <f>IFERROR(VLOOKUP(Tableau119[[#This Row],[Key(Compte ILN - shipper - POL - plant)]],'DATA ILN'!A:P,16,FALSE),VLOOKUP(Tableau119[[#This Row],[Key(Compte ILN - shipper - POL)]],'DATA ILN'!B:P,15,FALSE))</f>
        <v>#N/A</v>
      </c>
      <c r="Y150" s="284" t="s">
        <v>166</v>
      </c>
      <c r="Z150" s="437">
        <f>IFERROR(VLOOKUP(Tableau119[[#This Row],[Name Shipper]],Plant_AILN!L:M,2,FALSE),0)</f>
        <v>95436</v>
      </c>
      <c r="AA150" s="406">
        <v>30</v>
      </c>
      <c r="AB150" s="396" t="b">
        <f>_xlfn.XLOOKUP(Tableau119[[#This Row],[Key(ID-date)]],'DATA BTO'!S:S,'DATA BTO'!E:E,FALSE)</f>
        <v>0</v>
      </c>
      <c r="AC150" s="3" t="b">
        <f>_xlfn.XLOOKUP(Tableau119[[#This Row],[Key(ID-date)]],'DATA BTO'!S:S,'DATA BTO'!F:F,FALSE)</f>
        <v>0</v>
      </c>
      <c r="AD150" s="50" t="b">
        <f>_xlfn.XLOOKUP(Tableau119[[#This Row],[Key(ID-date)]],'DATA BTO'!S:S,'DATA BTO'!G:G,FALSE)</f>
        <v>0</v>
      </c>
      <c r="AE150" s="50" t="b">
        <f>_xlfn.XLOOKUP(Tableau119[[#This Row],[Key(ID-date)]],'DATA BTO'!S:S,'DATA BTO'!H:H,FALSE)</f>
        <v>0</v>
      </c>
      <c r="AF150" s="50" t="e">
        <f>IF(Tableau119[[#This Row],[First Day to POL]]&lt;=Tableau119[[#This Row],[Day Cut Off]],Tableau119[[#This Row],[Day ETD]],Tableau119[[#This Row],[Day ETD]]+7)</f>
        <v>#N/A</v>
      </c>
      <c r="AG150" s="50" t="b">
        <f>_xlfn.XLOOKUP(Tableau119[[#This Row],[Key(ID-date)]],'DATA BTO'!S:S,'DATA BTO'!I:I,FALSE)</f>
        <v>0</v>
      </c>
      <c r="AH150" s="3" t="b">
        <f>_xlfn.XLOOKUP(Tableau119[[#This Row],[Key(ID-date)]],'DATA BTO'!S:S,'DATA BTO'!J:J,FALSE)</f>
        <v>0</v>
      </c>
      <c r="AI150" s="3" t="b">
        <f>_xlfn.XLOOKUP(Tableau119[[#This Row],[Key(ID-date)]],'DATA BTO'!S:S,'DATA BTO'!K:K,FALSE)</f>
        <v>0</v>
      </c>
      <c r="AJ150" s="50" t="b">
        <f>_xlfn.XLOOKUP(Tableau119[[#This Row],[Key(ID-date)]],'DATA BTO'!S:S,'DATA BTO'!L:L,FALSE)</f>
        <v>0</v>
      </c>
      <c r="AK150" s="53" t="b">
        <f>_xlfn.XLOOKUP(Tableau119[[#This Row],[Key(ID-date)]],'DATA BTO'!S:S,'DATA BTO'!N:N,FALSE)</f>
        <v>0</v>
      </c>
      <c r="AL150" s="54" t="e">
        <f>VLOOKUP(Tableau119[[#This Row],[Key(POD -PFI- Usine)]],'DATA Consignee'!A:F,6,FALSE)</f>
        <v>#N/A</v>
      </c>
      <c r="AM150" s="127" t="s">
        <v>155</v>
      </c>
      <c r="AN150" s="438">
        <f>IF(Tableau119[[#This Row],[Name PFI/CDD]]="","-",VLOOKUP(Tableau119[[#This Row],[Name PFI/CDD]],Plant_AILN!I:J,2,FALSE))</f>
        <v>90016600</v>
      </c>
      <c r="AO1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0" s="2" t="e">
        <f>VLOOKUP(Tableau119[[#This Row],[Key(POD -PFI- Usine)]],'DATA Consignee'!A:J,10,FALSE)</f>
        <v>#N/A</v>
      </c>
      <c r="AR150" s="50" t="e">
        <f>VLOOKUP(Tableau119[[#This Row],[Key(POD -PFI- Usine)]],'DATA Consignee'!A:N,14,FALSE)</f>
        <v>#N/A</v>
      </c>
      <c r="AS1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0" s="50">
        <f>Tableau119[[#This Row],[Transit time]]+Tableau119[[#This Row],[Time for security]]+Tableau119[[#This Row],[Time for security2 buffer]]</f>
        <v>0</v>
      </c>
      <c r="AV1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0" s="433" t="e">
        <f>Tableau119[[#This Row],[Leadtime SI2C]]+Tableau119[[#This Row],[First Receipt Days]]-Tableau119[[#This Row],[Day Customer Order]]+1</f>
        <v>#N/A</v>
      </c>
      <c r="AX150" s="119" t="e">
        <f>IF(Tableau119[[#This Row],[Name ILN]]&lt;&gt;"SFK Freight Forwarder",Tableau119[[#This Row],[Cust. Leadtime]],Tableau119[[#This Row],[Leadtime SI2C]])</f>
        <v>#N/A</v>
      </c>
      <c r="AY150" s="51" t="b">
        <f>_xlfn.XLOOKUP(Tableau119[[#This Row],[Key(ID-date)]],'DATA BTO'!S:S,'DATA BTO'!P:P,FALSE)</f>
        <v>0</v>
      </c>
      <c r="AZ150" s="338">
        <v>45473</v>
      </c>
      <c r="BA150" s="50"/>
    </row>
    <row r="151" spans="2:53">
      <c r="B151" s="474" t="str">
        <f>_xlfn.CONCAT(Tableau119[[#This Row],[Name ILN]],"-",Tableau119[[#This Row],[Name Shipper]],"-",Tableau119[[#This Row],[Name Site]])</f>
        <v>ILN Busan-ILN Busan-STA</v>
      </c>
      <c r="C151" s="67" t="str">
        <f>_xlfn.CONCAT(Tableau119[[#This Row],[Compte ILN]],"-",Tableau119[[#This Row],[Compte Shipper]],"-",Tableau119[[#This Row],[POL]],"-",Tableau119[[#This Row],[Compte Consignee]])</f>
        <v>95436-95436-FALSO-90018400</v>
      </c>
      <c r="D151" s="66" t="str">
        <f>_xlfn.CONCAT(Tableau119[[#This Row],[Compte ILN]],"-",Tableau119[[#This Row],[Compte Shipper]],"-",Tableau119[[#This Row],[POL]])</f>
        <v>95436-95436-FALSO</v>
      </c>
      <c r="E151" s="434" t="str">
        <f>_xlfn.CONCAT(Tableau119[[#This Row],[POL]],"-",Tableau119[[#This Row],[Carrier]],"-",Tableau119[[#This Row],[POD]])</f>
        <v>FALSO-FALSO-FALSO</v>
      </c>
      <c r="F151" s="66" t="str">
        <f>_xlfn.CONCAT(Tableau119[[#This Row],[ID]],"-","Actif")</f>
        <v>30-Actif</v>
      </c>
      <c r="G151" s="66" t="str">
        <f>_xlfn.CONCAT(Tableau119[[#This Row],[POD]],"-",Tableau119[[#This Row],[Code PFI]],"-",Tableau119[[#This Row],[Compte Consignee]])</f>
        <v>FALSO-90016600-90018400</v>
      </c>
      <c r="H15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BusanFALSOSTA</v>
      </c>
      <c r="I151" s="434" t="str">
        <f>_xlfn.CONCAT(Tableau119[[#This Row],[ID]],"-",Tableau119[[#This Row],[Expiration Date]])</f>
        <v>30-45473</v>
      </c>
      <c r="J1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Busan-ILN Busan-30-FALSO-FALSO-FALSO-CDD FR-45473</v>
      </c>
      <c r="K151" s="435" t="str">
        <f ca="1">IF(COUNTIF(J:J,Tableau119[[#This Row],[Plant-ILN-shipper-POL-Carrier-POD-PFI]])=1,"Non","Oui")</f>
        <v>Non</v>
      </c>
      <c r="L151" s="128" t="str">
        <f>VLOOKUP(Tableau119[[#This Row],[Name Site]],Plant_AILN!A:D,4,FALSE)</f>
        <v>FRANCE</v>
      </c>
      <c r="M151" s="411" t="s">
        <v>219</v>
      </c>
      <c r="N151" s="439">
        <f>VLOOKUP(Tableau119[[#This Row],[Name Site]],Plant_AILN!A:C,3,FALSE)</f>
        <v>90018400</v>
      </c>
      <c r="O151" s="55">
        <f>VLOOKUP(Tableau119[[#This Row],[Compte Consignee]],Order!C:D,2,FALSE)</f>
        <v>7</v>
      </c>
      <c r="P151" s="116" t="s">
        <v>166</v>
      </c>
      <c r="Q151" s="365">
        <f>VLOOKUP(Tableau119[[#This Row],[Name ILN]],Plant_AILN!F:G,2,FALSE)</f>
        <v>95436</v>
      </c>
      <c r="R151" s="50">
        <f>VLOOKUP(Tableau119[[#This Row],[Compte ILN]],'DATA ILN'!D:I,6,FALSE)</f>
        <v>9</v>
      </c>
      <c r="S151" s="50" t="e">
        <f>IFERROR(VLOOKUP(Tableau119[[#This Row],[Key(Compte ILN - shipper - POL - plant)]],'DATA ILN'!A:J,10,FALSE),VLOOKUP(Tableau119[[#This Row],[Key(Compte ILN - shipper - POL)]],'DATA ILN'!B:J,9,FALSE))</f>
        <v>#N/A</v>
      </c>
      <c r="T151" s="50" t="e">
        <f>IFERROR(VLOOKUP(Tableau119[[#This Row],[Key(Compte ILN - shipper - POL - plant)]],'DATA ILN'!A:K,11,FALSE),VLOOKUP(Tableau119[[#This Row],[Key(Compte ILN - shipper - POL)]],'DATA ILN'!B:K,10,FALSE))</f>
        <v>#N/A</v>
      </c>
      <c r="U151" s="50" t="e">
        <f>IFERROR(VLOOKUP(Tableau119[[#This Row],[Key(Compte ILN - shipper - POL - plant)]],'DATA ILN'!A:L,12,FALSE),VLOOKUP(Tableau119[[#This Row],[Key(Compte ILN - shipper - POL)]],'DATA ILN'!B:L,11,FALSE))</f>
        <v>#N/A</v>
      </c>
      <c r="V151" s="50" t="e">
        <f>Tableau119[[#This Row],[Day ILN Order]]+Tableau119[[#This Row],[Delivery time to ILN/Shipper]]-1</f>
        <v>#N/A</v>
      </c>
      <c r="W151" s="50" t="e">
        <f>IFERROR(VLOOKUP(Tableau119[[#This Row],[Key(Compte ILN - shipper - POL - plant)]],'DATA ILN'!A:N,14,FALSE),VLOOKUP(Tableau119[[#This Row],[Key(Compte ILN - shipper - POL)]],'DATA ILN'!B:N,13,FALSE))</f>
        <v>#N/A</v>
      </c>
      <c r="X151" s="53" t="e">
        <f>IFERROR(VLOOKUP(Tableau119[[#This Row],[Key(Compte ILN - shipper - POL - plant)]],'DATA ILN'!A:P,16,FALSE),VLOOKUP(Tableau119[[#This Row],[Key(Compte ILN - shipper - POL)]],'DATA ILN'!B:P,15,FALSE))</f>
        <v>#N/A</v>
      </c>
      <c r="Y151" s="284" t="s">
        <v>166</v>
      </c>
      <c r="Z151" s="437">
        <f>IFERROR(VLOOKUP(Tableau119[[#This Row],[Name Shipper]],Plant_AILN!L:M,2,FALSE),0)</f>
        <v>95436</v>
      </c>
      <c r="AA151" s="406">
        <v>30</v>
      </c>
      <c r="AB151" s="396" t="b">
        <f>_xlfn.XLOOKUP(Tableau119[[#This Row],[Key(ID-date)]],'DATA BTO'!S:S,'DATA BTO'!E:E,FALSE)</f>
        <v>0</v>
      </c>
      <c r="AC151" s="3" t="b">
        <f>_xlfn.XLOOKUP(Tableau119[[#This Row],[Key(ID-date)]],'DATA BTO'!S:S,'DATA BTO'!F:F,FALSE)</f>
        <v>0</v>
      </c>
      <c r="AD151" s="50" t="b">
        <f>_xlfn.XLOOKUP(Tableau119[[#This Row],[Key(ID-date)]],'DATA BTO'!S:S,'DATA BTO'!G:G,FALSE)</f>
        <v>0</v>
      </c>
      <c r="AE151" s="50" t="b">
        <f>_xlfn.XLOOKUP(Tableau119[[#This Row],[Key(ID-date)]],'DATA BTO'!S:S,'DATA BTO'!H:H,FALSE)</f>
        <v>0</v>
      </c>
      <c r="AF151" s="50" t="e">
        <f>IF(Tableau119[[#This Row],[First Day to POL]]&lt;=Tableau119[[#This Row],[Day Cut Off]],Tableau119[[#This Row],[Day ETD]],Tableau119[[#This Row],[Day ETD]]+7)</f>
        <v>#N/A</v>
      </c>
      <c r="AG151" s="50" t="b">
        <f>_xlfn.XLOOKUP(Tableau119[[#This Row],[Key(ID-date)]],'DATA BTO'!S:S,'DATA BTO'!I:I,FALSE)</f>
        <v>0</v>
      </c>
      <c r="AH151" s="3" t="b">
        <f>_xlfn.XLOOKUP(Tableau119[[#This Row],[Key(ID-date)]],'DATA BTO'!S:S,'DATA BTO'!J:J,FALSE)</f>
        <v>0</v>
      </c>
      <c r="AI151" s="3" t="b">
        <f>_xlfn.XLOOKUP(Tableau119[[#This Row],[Key(ID-date)]],'DATA BTO'!S:S,'DATA BTO'!K:K,FALSE)</f>
        <v>0</v>
      </c>
      <c r="AJ151" s="50" t="b">
        <f>_xlfn.XLOOKUP(Tableau119[[#This Row],[Key(ID-date)]],'DATA BTO'!S:S,'DATA BTO'!L:L,FALSE)</f>
        <v>0</v>
      </c>
      <c r="AK151" s="53" t="b">
        <f>_xlfn.XLOOKUP(Tableau119[[#This Row],[Key(ID-date)]],'DATA BTO'!S:S,'DATA BTO'!N:N,FALSE)</f>
        <v>0</v>
      </c>
      <c r="AL151" s="54" t="e">
        <f>VLOOKUP(Tableau119[[#This Row],[Key(POD -PFI- Usine)]],'DATA Consignee'!A:F,6,FALSE)</f>
        <v>#N/A</v>
      </c>
      <c r="AM151" s="127" t="s">
        <v>155</v>
      </c>
      <c r="AN151" s="438">
        <f>IF(Tableau119[[#This Row],[Name PFI/CDD]]="","-",VLOOKUP(Tableau119[[#This Row],[Name PFI/CDD]],Plant_AILN!I:J,2,FALSE))</f>
        <v>90016600</v>
      </c>
      <c r="AO1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1" s="2" t="e">
        <f>VLOOKUP(Tableau119[[#This Row],[Key(POD -PFI- Usine)]],'DATA Consignee'!A:J,10,FALSE)</f>
        <v>#N/A</v>
      </c>
      <c r="AR151" s="50" t="e">
        <f>VLOOKUP(Tableau119[[#This Row],[Key(POD -PFI- Usine)]],'DATA Consignee'!A:N,14,FALSE)</f>
        <v>#N/A</v>
      </c>
      <c r="AS1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1" s="50">
        <f>Tableau119[[#This Row],[Transit time]]+Tableau119[[#This Row],[Time for security]]+Tableau119[[#This Row],[Time for security2 buffer]]</f>
        <v>0</v>
      </c>
      <c r="AV1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1" s="433" t="e">
        <f>Tableau119[[#This Row],[Leadtime SI2C]]+Tableau119[[#This Row],[First Receipt Days]]-Tableau119[[#This Row],[Day Customer Order]]+1</f>
        <v>#N/A</v>
      </c>
      <c r="AX151" s="119" t="e">
        <f>IF(Tableau119[[#This Row],[Name ILN]]&lt;&gt;"SFK Freight Forwarder",Tableau119[[#This Row],[Cust. Leadtime]],Tableau119[[#This Row],[Leadtime SI2C]])</f>
        <v>#N/A</v>
      </c>
      <c r="AY151" s="51" t="b">
        <f>_xlfn.XLOOKUP(Tableau119[[#This Row],[Key(ID-date)]],'DATA BTO'!S:S,'DATA BTO'!P:P,FALSE)</f>
        <v>0</v>
      </c>
      <c r="AZ151" s="338">
        <v>45473</v>
      </c>
      <c r="BA151" s="50"/>
    </row>
    <row r="152" spans="2:53">
      <c r="B152" s="474" t="str">
        <f>_xlfn.CONCAT(Tableau119[[#This Row],[Name ILN]],"-",Tableau119[[#This Row],[Name Shipper]],"-",Tableau119[[#This Row],[Name Site]])</f>
        <v>ILN Busan-ILN Busan-CLEON</v>
      </c>
      <c r="C152" s="67" t="str">
        <f>_xlfn.CONCAT(Tableau119[[#This Row],[Compte ILN]],"-",Tableau119[[#This Row],[Compte Shipper]],"-",Tableau119[[#This Row],[POL]],"-",Tableau119[[#This Row],[Compte Consignee]])</f>
        <v>95436-95436-FALSO-92000100</v>
      </c>
      <c r="D152" s="66" t="str">
        <f>_xlfn.CONCAT(Tableau119[[#This Row],[Compte ILN]],"-",Tableau119[[#This Row],[Compte Shipper]],"-",Tableau119[[#This Row],[POL]])</f>
        <v>95436-95436-FALSO</v>
      </c>
      <c r="E152" s="434" t="str">
        <f>_xlfn.CONCAT(Tableau119[[#This Row],[POL]],"-",Tableau119[[#This Row],[Carrier]],"-",Tableau119[[#This Row],[POD]])</f>
        <v>FALSO-FALSO-FALSO</v>
      </c>
      <c r="F152" s="66" t="str">
        <f>_xlfn.CONCAT(Tableau119[[#This Row],[ID]],"-","Actif")</f>
        <v>30-Actif</v>
      </c>
      <c r="G152" s="66" t="str">
        <f>_xlfn.CONCAT(Tableau119[[#This Row],[POD]],"-",Tableau119[[#This Row],[Code PFI]],"-",Tableau119[[#This Row],[Compte Consignee]])</f>
        <v>FALSO---92000100</v>
      </c>
      <c r="H15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BusanFALSOCLEON</v>
      </c>
      <c r="I152" s="434" t="str">
        <f>_xlfn.CONCAT(Tableau119[[#This Row],[ID]],"-",Tableau119[[#This Row],[Expiration Date]])</f>
        <v>30-45473</v>
      </c>
      <c r="J1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Busan-ILN Busan-30-FALSO-FALSO-FALSO--45473</v>
      </c>
      <c r="K152" s="435" t="str">
        <f ca="1">IF(COUNTIF(J:J,Tableau119[[#This Row],[Plant-ILN-shipper-POL-Carrier-POD-PFI]])=1,"Non","Oui")</f>
        <v>Non</v>
      </c>
      <c r="L152" s="128" t="str">
        <f>VLOOKUP(Tableau119[[#This Row],[Name Site]],Plant_AILN!A:D,4,FALSE)</f>
        <v>FRANCE</v>
      </c>
      <c r="M152" s="411" t="s">
        <v>183</v>
      </c>
      <c r="N152" s="439">
        <f>VLOOKUP(Tableau119[[#This Row],[Name Site]],Plant_AILN!A:C,3,FALSE)</f>
        <v>92000100</v>
      </c>
      <c r="O152" s="55">
        <f>VLOOKUP(Tableau119[[#This Row],[Compte Consignee]],Order!C:D,2,FALSE)</f>
        <v>7</v>
      </c>
      <c r="P152" s="124" t="s">
        <v>166</v>
      </c>
      <c r="Q152" s="365">
        <f>VLOOKUP(Tableau119[[#This Row],[Name ILN]],Plant_AILN!F:G,2,FALSE)</f>
        <v>95436</v>
      </c>
      <c r="R152" s="50">
        <f>VLOOKUP(Tableau119[[#This Row],[Compte ILN]],'DATA ILN'!D:I,6,FALSE)</f>
        <v>9</v>
      </c>
      <c r="S152" s="50" t="e">
        <f>IFERROR(VLOOKUP(Tableau119[[#This Row],[Key(Compte ILN - shipper - POL - plant)]],'DATA ILN'!A:J,10,FALSE),VLOOKUP(Tableau119[[#This Row],[Key(Compte ILN - shipper - POL)]],'DATA ILN'!B:J,9,FALSE))</f>
        <v>#N/A</v>
      </c>
      <c r="T152" s="50" t="e">
        <f>IFERROR(VLOOKUP(Tableau119[[#This Row],[Key(Compte ILN - shipper - POL - plant)]],'DATA ILN'!A:K,11,FALSE),VLOOKUP(Tableau119[[#This Row],[Key(Compte ILN - shipper - POL)]],'DATA ILN'!B:K,10,FALSE))</f>
        <v>#N/A</v>
      </c>
      <c r="U152" s="50" t="e">
        <f>IFERROR(VLOOKUP(Tableau119[[#This Row],[Key(Compte ILN - shipper - POL - plant)]],'DATA ILN'!A:L,12,FALSE),VLOOKUP(Tableau119[[#This Row],[Key(Compte ILN - shipper - POL)]],'DATA ILN'!B:L,11,FALSE))</f>
        <v>#N/A</v>
      </c>
      <c r="V152" s="50" t="e">
        <f>Tableau119[[#This Row],[Day ILN Order]]+Tableau119[[#This Row],[Delivery time to ILN/Shipper]]-1</f>
        <v>#N/A</v>
      </c>
      <c r="W152" s="50" t="e">
        <f>IFERROR(VLOOKUP(Tableau119[[#This Row],[Key(Compte ILN - shipper - POL - plant)]],'DATA ILN'!A:N,14,FALSE),VLOOKUP(Tableau119[[#This Row],[Key(Compte ILN - shipper - POL)]],'DATA ILN'!B:N,13,FALSE))</f>
        <v>#N/A</v>
      </c>
      <c r="X152" s="53" t="e">
        <f>IFERROR(VLOOKUP(Tableau119[[#This Row],[Key(Compte ILN - shipper - POL - plant)]],'DATA ILN'!A:P,16,FALSE),VLOOKUP(Tableau119[[#This Row],[Key(Compte ILN - shipper - POL)]],'DATA ILN'!B:P,15,FALSE))</f>
        <v>#N/A</v>
      </c>
      <c r="Y152" s="284" t="s">
        <v>166</v>
      </c>
      <c r="Z152" s="437">
        <f>IFERROR(VLOOKUP(Tableau119[[#This Row],[Name Shipper]],Plant_AILN!L:M,2,FALSE),0)</f>
        <v>95436</v>
      </c>
      <c r="AA152" s="406">
        <v>30</v>
      </c>
      <c r="AB152" s="396" t="b">
        <f>_xlfn.XLOOKUP(Tableau119[[#This Row],[Key(ID-date)]],'DATA BTO'!S:S,'DATA BTO'!E:E,FALSE)</f>
        <v>0</v>
      </c>
      <c r="AC152" s="3" t="b">
        <f>_xlfn.XLOOKUP(Tableau119[[#This Row],[Key(ID-date)]],'DATA BTO'!S:S,'DATA BTO'!F:F,FALSE)</f>
        <v>0</v>
      </c>
      <c r="AD152" s="50" t="b">
        <f>_xlfn.XLOOKUP(Tableau119[[#This Row],[Key(ID-date)]],'DATA BTO'!S:S,'DATA BTO'!G:G,FALSE)</f>
        <v>0</v>
      </c>
      <c r="AE152" s="50" t="b">
        <f>_xlfn.XLOOKUP(Tableau119[[#This Row],[Key(ID-date)]],'DATA BTO'!S:S,'DATA BTO'!H:H,FALSE)</f>
        <v>0</v>
      </c>
      <c r="AF152" s="50" t="e">
        <f>IF(Tableau119[[#This Row],[First Day to POL]]&lt;=Tableau119[[#This Row],[Day Cut Off]],Tableau119[[#This Row],[Day ETD]],Tableau119[[#This Row],[Day ETD]]+7)</f>
        <v>#N/A</v>
      </c>
      <c r="AG152" s="50" t="b">
        <f>_xlfn.XLOOKUP(Tableau119[[#This Row],[Key(ID-date)]],'DATA BTO'!S:S,'DATA BTO'!I:I,FALSE)</f>
        <v>0</v>
      </c>
      <c r="AH152" s="3" t="b">
        <f>_xlfn.XLOOKUP(Tableau119[[#This Row],[Key(ID-date)]],'DATA BTO'!S:S,'DATA BTO'!J:J,FALSE)</f>
        <v>0</v>
      </c>
      <c r="AI152" s="3" t="b">
        <f>_xlfn.XLOOKUP(Tableau119[[#This Row],[Key(ID-date)]],'DATA BTO'!S:S,'DATA BTO'!K:K,FALSE)</f>
        <v>0</v>
      </c>
      <c r="AJ152" s="50" t="b">
        <f>_xlfn.XLOOKUP(Tableau119[[#This Row],[Key(ID-date)]],'DATA BTO'!S:S,'DATA BTO'!L:L,FALSE)</f>
        <v>0</v>
      </c>
      <c r="AK152" s="53" t="b">
        <f>_xlfn.XLOOKUP(Tableau119[[#This Row],[Key(ID-date)]],'DATA BTO'!S:S,'DATA BTO'!N:N,FALSE)</f>
        <v>0</v>
      </c>
      <c r="AL152" s="54" t="e">
        <f>VLOOKUP(Tableau119[[#This Row],[Key(POD -PFI- Usine)]],'DATA Consignee'!A:F,6,FALSE)</f>
        <v>#N/A</v>
      </c>
      <c r="AM152" s="127"/>
      <c r="AN152" s="438" t="str">
        <f>IF(Tableau119[[#This Row],[Name PFI/CDD]]="","-",VLOOKUP(Tableau119[[#This Row],[Name PFI/CDD]],Plant_AILN!I:J,2,FALSE))</f>
        <v>-</v>
      </c>
      <c r="AO1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2" s="2" t="e">
        <f>VLOOKUP(Tableau119[[#This Row],[Key(POD -PFI- Usine)]],'DATA Consignee'!A:J,10,FALSE)</f>
        <v>#N/A</v>
      </c>
      <c r="AR152" s="50" t="e">
        <f>VLOOKUP(Tableau119[[#This Row],[Key(POD -PFI- Usine)]],'DATA Consignee'!A:N,14,FALSE)</f>
        <v>#N/A</v>
      </c>
      <c r="AS1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2" s="50">
        <f>Tableau119[[#This Row],[Transit time]]+Tableau119[[#This Row],[Time for security]]+Tableau119[[#This Row],[Time for security2 buffer]]</f>
        <v>0</v>
      </c>
      <c r="AV1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2" s="433" t="e">
        <f>Tableau119[[#This Row],[Leadtime SI2C]]+Tableau119[[#This Row],[First Receipt Days]]-Tableau119[[#This Row],[Day Customer Order]]+1</f>
        <v>#N/A</v>
      </c>
      <c r="AX152" s="119" t="e">
        <f>IF(Tableau119[[#This Row],[Name ILN]]&lt;&gt;"SFK Freight Forwarder",Tableau119[[#This Row],[Cust. Leadtime]],Tableau119[[#This Row],[Leadtime SI2C]])</f>
        <v>#N/A</v>
      </c>
      <c r="AY152" s="51" t="b">
        <f>_xlfn.XLOOKUP(Tableau119[[#This Row],[Key(ID-date)]],'DATA BTO'!S:S,'DATA BTO'!P:P,FALSE)</f>
        <v>0</v>
      </c>
      <c r="AZ152" s="338">
        <v>45473</v>
      </c>
      <c r="BA152" s="50"/>
    </row>
    <row r="153" spans="2:53">
      <c r="B153" s="474" t="str">
        <f>_xlfn.CONCAT(Tableau119[[#This Row],[Name ILN]],"-",Tableau119[[#This Row],[Name Shipper]],"-",Tableau119[[#This Row],[Name Site]])</f>
        <v>ILN Busan-ILN Busan-ACI Le mans</v>
      </c>
      <c r="C153" s="67" t="str">
        <f>_xlfn.CONCAT(Tableau119[[#This Row],[Compte ILN]],"-",Tableau119[[#This Row],[Compte Shipper]],"-",Tableau119[[#This Row],[POL]],"-",Tableau119[[#This Row],[Compte Consignee]])</f>
        <v>95436-95436-FALSO-9624700</v>
      </c>
      <c r="D153" s="66" t="str">
        <f>_xlfn.CONCAT(Tableau119[[#This Row],[Compte ILN]],"-",Tableau119[[#This Row],[Compte Shipper]],"-",Tableau119[[#This Row],[POL]])</f>
        <v>95436-95436-FALSO</v>
      </c>
      <c r="E153" s="434" t="str">
        <f>_xlfn.CONCAT(Tableau119[[#This Row],[POL]],"-",Tableau119[[#This Row],[Carrier]],"-",Tableau119[[#This Row],[POD]])</f>
        <v>FALSO-FALSO-FALSO</v>
      </c>
      <c r="F153" s="66" t="str">
        <f>_xlfn.CONCAT(Tableau119[[#This Row],[ID]],"-","Actif")</f>
        <v>30-Actif</v>
      </c>
      <c r="G153" s="66" t="str">
        <f>_xlfn.CONCAT(Tableau119[[#This Row],[POD]],"-",Tableau119[[#This Row],[Code PFI]],"-",Tableau119[[#This Row],[Compte Consignee]])</f>
        <v>FALSO-90016600-9624700</v>
      </c>
      <c r="H15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BusanFALSOACI Le mans</v>
      </c>
      <c r="I153" s="434" t="str">
        <f>_xlfn.CONCAT(Tableau119[[#This Row],[ID]],"-",Tableau119[[#This Row],[Expiration Date]])</f>
        <v>30-45473</v>
      </c>
      <c r="J1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mans-ILN Busan-ILN Busan-30-FALSO-FALSO-FALSO-CDD FR-45473</v>
      </c>
      <c r="K153" s="435" t="str">
        <f ca="1">IF(COUNTIF(J:J,Tableau119[[#This Row],[Plant-ILN-shipper-POL-Carrier-POD-PFI]])=1,"Non","Oui")</f>
        <v>Non</v>
      </c>
      <c r="L153" s="128" t="str">
        <f>VLOOKUP(Tableau119[[#This Row],[Name Site]],Plant_AILN!A:D,4,FALSE)</f>
        <v>FRANCE</v>
      </c>
      <c r="M153" s="411" t="s">
        <v>218</v>
      </c>
      <c r="N153" s="439">
        <f>VLOOKUP(Tableau119[[#This Row],[Name Site]],Plant_AILN!A:C,3,FALSE)</f>
        <v>9624700</v>
      </c>
      <c r="O153" s="55">
        <f>VLOOKUP(Tableau119[[#This Row],[Compte Consignee]],Order!C:D,2,FALSE)</f>
        <v>7</v>
      </c>
      <c r="P153" s="124" t="s">
        <v>166</v>
      </c>
      <c r="Q153" s="365">
        <f>VLOOKUP(Tableau119[[#This Row],[Name ILN]],Plant_AILN!F:G,2,FALSE)</f>
        <v>95436</v>
      </c>
      <c r="R153" s="50">
        <f>VLOOKUP(Tableau119[[#This Row],[Compte ILN]],'DATA ILN'!D:I,6,FALSE)</f>
        <v>9</v>
      </c>
      <c r="S153" s="50" t="e">
        <f>IFERROR(VLOOKUP(Tableau119[[#This Row],[Key(Compte ILN - shipper - POL - plant)]],'DATA ILN'!A:J,10,FALSE),VLOOKUP(Tableau119[[#This Row],[Key(Compte ILN - shipper - POL)]],'DATA ILN'!B:J,9,FALSE))</f>
        <v>#N/A</v>
      </c>
      <c r="T153" s="50" t="e">
        <f>IFERROR(VLOOKUP(Tableau119[[#This Row],[Key(Compte ILN - shipper - POL - plant)]],'DATA ILN'!A:K,11,FALSE),VLOOKUP(Tableau119[[#This Row],[Key(Compte ILN - shipper - POL)]],'DATA ILN'!B:K,10,FALSE))</f>
        <v>#N/A</v>
      </c>
      <c r="U153" s="50" t="e">
        <f>IFERROR(VLOOKUP(Tableau119[[#This Row],[Key(Compte ILN - shipper - POL - plant)]],'DATA ILN'!A:L,12,FALSE),VLOOKUP(Tableau119[[#This Row],[Key(Compte ILN - shipper - POL)]],'DATA ILN'!B:L,11,FALSE))</f>
        <v>#N/A</v>
      </c>
      <c r="V153" s="50" t="e">
        <f>Tableau119[[#This Row],[Day ILN Order]]+Tableau119[[#This Row],[Delivery time to ILN/Shipper]]-1</f>
        <v>#N/A</v>
      </c>
      <c r="W153" s="50" t="e">
        <f>IFERROR(VLOOKUP(Tableau119[[#This Row],[Key(Compte ILN - shipper - POL - plant)]],'DATA ILN'!A:N,14,FALSE),VLOOKUP(Tableau119[[#This Row],[Key(Compte ILN - shipper - POL)]],'DATA ILN'!B:N,13,FALSE))</f>
        <v>#N/A</v>
      </c>
      <c r="X153" s="53" t="e">
        <f>IFERROR(VLOOKUP(Tableau119[[#This Row],[Key(Compte ILN - shipper - POL - plant)]],'DATA ILN'!A:P,16,FALSE),VLOOKUP(Tableau119[[#This Row],[Key(Compte ILN - shipper - POL)]],'DATA ILN'!B:P,15,FALSE))</f>
        <v>#N/A</v>
      </c>
      <c r="Y153" s="284" t="s">
        <v>166</v>
      </c>
      <c r="Z153" s="437">
        <f>IFERROR(VLOOKUP(Tableau119[[#This Row],[Name Shipper]],Plant_AILN!L:M,2,FALSE),0)</f>
        <v>95436</v>
      </c>
      <c r="AA153" s="406">
        <v>30</v>
      </c>
      <c r="AB153" s="396" t="b">
        <f>_xlfn.XLOOKUP(Tableau119[[#This Row],[Key(ID-date)]],'DATA BTO'!S:S,'DATA BTO'!E:E,FALSE)</f>
        <v>0</v>
      </c>
      <c r="AC153" s="3" t="b">
        <f>_xlfn.XLOOKUP(Tableau119[[#This Row],[Key(ID-date)]],'DATA BTO'!S:S,'DATA BTO'!F:F,FALSE)</f>
        <v>0</v>
      </c>
      <c r="AD153" s="50" t="b">
        <f>_xlfn.XLOOKUP(Tableau119[[#This Row],[Key(ID-date)]],'DATA BTO'!S:S,'DATA BTO'!G:G,FALSE)</f>
        <v>0</v>
      </c>
      <c r="AE153" s="50" t="b">
        <f>_xlfn.XLOOKUP(Tableau119[[#This Row],[Key(ID-date)]],'DATA BTO'!S:S,'DATA BTO'!H:H,FALSE)</f>
        <v>0</v>
      </c>
      <c r="AF153" s="50" t="e">
        <f>IF(Tableau119[[#This Row],[First Day to POL]]&lt;=Tableau119[[#This Row],[Day Cut Off]],Tableau119[[#This Row],[Day ETD]],Tableau119[[#This Row],[Day ETD]]+7)</f>
        <v>#N/A</v>
      </c>
      <c r="AG153" s="50" t="b">
        <f>_xlfn.XLOOKUP(Tableau119[[#This Row],[Key(ID-date)]],'DATA BTO'!S:S,'DATA BTO'!I:I,FALSE)</f>
        <v>0</v>
      </c>
      <c r="AH153" s="3" t="b">
        <f>_xlfn.XLOOKUP(Tableau119[[#This Row],[Key(ID-date)]],'DATA BTO'!S:S,'DATA BTO'!J:J,FALSE)</f>
        <v>0</v>
      </c>
      <c r="AI153" s="3" t="b">
        <f>_xlfn.XLOOKUP(Tableau119[[#This Row],[Key(ID-date)]],'DATA BTO'!S:S,'DATA BTO'!K:K,FALSE)</f>
        <v>0</v>
      </c>
      <c r="AJ153" s="50" t="b">
        <f>_xlfn.XLOOKUP(Tableau119[[#This Row],[Key(ID-date)]],'DATA BTO'!S:S,'DATA BTO'!L:L,FALSE)</f>
        <v>0</v>
      </c>
      <c r="AK153" s="53" t="b">
        <f>_xlfn.XLOOKUP(Tableau119[[#This Row],[Key(ID-date)]],'DATA BTO'!S:S,'DATA BTO'!N:N,FALSE)</f>
        <v>0</v>
      </c>
      <c r="AL153" s="54" t="e">
        <f>VLOOKUP(Tableau119[[#This Row],[Key(POD -PFI- Usine)]],'DATA Consignee'!A:F,6,FALSE)</f>
        <v>#N/A</v>
      </c>
      <c r="AM153" s="127" t="s">
        <v>155</v>
      </c>
      <c r="AN153" s="438">
        <f>IF(Tableau119[[#This Row],[Name PFI/CDD]]="","-",VLOOKUP(Tableau119[[#This Row],[Name PFI/CDD]],Plant_AILN!I:J,2,FALSE))</f>
        <v>90016600</v>
      </c>
      <c r="AO1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3" s="2" t="e">
        <f>VLOOKUP(Tableau119[[#This Row],[Key(POD -PFI- Usine)]],'DATA Consignee'!A:J,10,FALSE)</f>
        <v>#N/A</v>
      </c>
      <c r="AR153" s="50" t="e">
        <f>VLOOKUP(Tableau119[[#This Row],[Key(POD -PFI- Usine)]],'DATA Consignee'!A:N,14,FALSE)</f>
        <v>#N/A</v>
      </c>
      <c r="AS1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3" s="50">
        <f>Tableau119[[#This Row],[Transit time]]+Tableau119[[#This Row],[Time for security]]+Tableau119[[#This Row],[Time for security2 buffer]]</f>
        <v>0</v>
      </c>
      <c r="AV1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3" s="433" t="e">
        <f>Tableau119[[#This Row],[Leadtime SI2C]]+Tableau119[[#This Row],[First Receipt Days]]-Tableau119[[#This Row],[Day Customer Order]]+1</f>
        <v>#N/A</v>
      </c>
      <c r="AX153" s="119" t="e">
        <f>IF(Tableau119[[#This Row],[Name ILN]]&lt;&gt;"SFK Freight Forwarder",Tableau119[[#This Row],[Cust. Leadtime]],Tableau119[[#This Row],[Leadtime SI2C]])</f>
        <v>#N/A</v>
      </c>
      <c r="AY153" s="51" t="b">
        <f>_xlfn.XLOOKUP(Tableau119[[#This Row],[Key(ID-date)]],'DATA BTO'!S:S,'DATA BTO'!P:P,FALSE)</f>
        <v>0</v>
      </c>
      <c r="AZ153" s="338">
        <v>45473</v>
      </c>
      <c r="BA153" s="50"/>
    </row>
    <row r="154" spans="2:53">
      <c r="B154" s="67" t="str">
        <f>_xlfn.CONCAT(Tableau119[[#This Row],[Name ILN]],"-",Tableau119[[#This Row],[Name Shipper]],"-",Tableau119[[#This Row],[Name Site]])</f>
        <v>ILN Busan-ILN Busan-CORDOBA</v>
      </c>
      <c r="C154" s="67" t="str">
        <f>_xlfn.CONCAT(Tableau119[[#This Row],[Compte ILN]],"-",Tableau119[[#This Row],[Compte Shipper]],"-",Tableau119[[#This Row],[POL]],"-",Tableau119[[#This Row],[Compte Consignee]])</f>
        <v>95436-95436-FALSO-90016000</v>
      </c>
      <c r="D154" s="66" t="str">
        <f>_xlfn.CONCAT(Tableau119[[#This Row],[Compte ILN]],"-",Tableau119[[#This Row],[Compte Shipper]],"-",Tableau119[[#This Row],[POL]])</f>
        <v>95436-95436-FALSO</v>
      </c>
      <c r="E154" s="434" t="str">
        <f>_xlfn.CONCAT(Tableau119[[#This Row],[POL]],"-",Tableau119[[#This Row],[Carrier]],"-",Tableau119[[#This Row],[POD]])</f>
        <v>FALSO-FALSO-FALSO</v>
      </c>
      <c r="F154" s="66" t="str">
        <f>_xlfn.CONCAT(Tableau119[[#This Row],[ID]],"-","Actif")</f>
        <v>32-Actif</v>
      </c>
      <c r="G154" s="66" t="str">
        <f>_xlfn.CONCAT(Tableau119[[#This Row],[POD]],"-",Tableau119[[#This Row],[Code PFI]],"-",Tableau119[[#This Row],[Compte Consignee]])</f>
        <v>FALSO---90016000</v>
      </c>
      <c r="H15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BusanFALSOCORDOBA</v>
      </c>
      <c r="I154" s="434" t="str">
        <f>_xlfn.CONCAT(Tableau119[[#This Row],[ID]],"-",Tableau119[[#This Row],[Expiration Date]])</f>
        <v>32-46142</v>
      </c>
      <c r="J1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Busan-ILN Busan-32-FALSO-FALSO-FALSO--46142</v>
      </c>
      <c r="K154" s="435" t="str">
        <f ca="1">IF(COUNTIF(J:J,Tableau119[[#This Row],[Plant-ILN-shipper-POL-Carrier-POD-PFI]])=1,"Non","Oui")</f>
        <v>Non</v>
      </c>
      <c r="L154" s="436" t="str">
        <f>VLOOKUP(Tableau119[[#This Row],[Name Site]],Plant_AILN!A:D,4,FALSE)</f>
        <v>ARGENTINA</v>
      </c>
      <c r="M154" s="285" t="s">
        <v>158</v>
      </c>
      <c r="N154" s="439">
        <f>VLOOKUP(Tableau119[[#This Row],[Name Site]],Plant_AILN!A:C,3,FALSE)</f>
        <v>90016000</v>
      </c>
      <c r="O154" s="55">
        <f>IF(Tableau119[[#This Row],[Name PFI/CDD]]="PFI VLL",2,VLOOKUP(Tableau119[[#This Row],[Compte Consignee]],Order!C:D,2,FALSE))</f>
        <v>7</v>
      </c>
      <c r="P154" s="124" t="s">
        <v>166</v>
      </c>
      <c r="Q154" s="365">
        <f>VLOOKUP(Tableau119[[#This Row],[Name ILN]],Plant_AILN!F:G,2,FALSE)</f>
        <v>95436</v>
      </c>
      <c r="R154" s="50">
        <f>VLOOKUP(Tableau119[[#This Row],[Compte ILN]],'DATA ILN'!D:I,6,FALSE)</f>
        <v>9</v>
      </c>
      <c r="S154" s="50" t="e">
        <f>IFERROR(VLOOKUP(Tableau119[[#This Row],[Key(Compte ILN - shipper - POL - plant)]],'DATA ILN'!A:J,10,FALSE),VLOOKUP(Tableau119[[#This Row],[Key(Compte ILN - shipper - POL)]],'DATA ILN'!B:J,9,FALSE))</f>
        <v>#N/A</v>
      </c>
      <c r="T154" s="50" t="e">
        <f>IFERROR(VLOOKUP(Tableau119[[#This Row],[Key(Compte ILN - shipper - POL - plant)]],'DATA ILN'!A:K,11,FALSE),VLOOKUP(Tableau119[[#This Row],[Key(Compte ILN - shipper - POL)]],'DATA ILN'!B:K,10,FALSE))</f>
        <v>#N/A</v>
      </c>
      <c r="U154" s="50" t="e">
        <f>IFERROR(VLOOKUP(Tableau119[[#This Row],[Key(Compte ILN - shipper - POL - plant)]],'DATA ILN'!A:L,12,FALSE),VLOOKUP(Tableau119[[#This Row],[Key(Compte ILN - shipper - POL)]],'DATA ILN'!B:L,11,FALSE))</f>
        <v>#N/A</v>
      </c>
      <c r="V154" s="50" t="e">
        <f>Tableau119[[#This Row],[Day ILN Order]]+Tableau119[[#This Row],[Delivery time to ILN/Shipper]]-1</f>
        <v>#N/A</v>
      </c>
      <c r="W154" s="50" t="e">
        <f>IFERROR(VLOOKUP(Tableau119[[#This Row],[Key(Compte ILN - shipper - POL - plant)]],'DATA ILN'!A:N,14,FALSE),VLOOKUP(Tableau119[[#This Row],[Key(Compte ILN - shipper - POL)]],'DATA ILN'!B:N,13,FALSE))</f>
        <v>#N/A</v>
      </c>
      <c r="X154" s="53" t="e">
        <f>IFERROR(VLOOKUP(Tableau119[[#This Row],[Key(Compte ILN - shipper - POL - plant)]],'DATA ILN'!A:P,16,FALSE),VLOOKUP(Tableau119[[#This Row],[Key(Compte ILN - shipper - POL)]],'DATA ILN'!B:P,15,FALSE))</f>
        <v>#N/A</v>
      </c>
      <c r="Y154" s="284" t="s">
        <v>166</v>
      </c>
      <c r="Z154" s="437">
        <f>IFERROR(VLOOKUP(Tableau119[[#This Row],[Name Shipper]],Plant_AILN!L:M,2,FALSE),0)</f>
        <v>95436</v>
      </c>
      <c r="AA154" s="406">
        <v>32</v>
      </c>
      <c r="AB154" s="396" t="b">
        <f>_xlfn.XLOOKUP(Tableau119[[#This Row],[Key(ID-date)]],'DATA BTO'!S:S,'DATA BTO'!E:E,FALSE)</f>
        <v>0</v>
      </c>
      <c r="AC154" s="3" t="b">
        <f>_xlfn.XLOOKUP(Tableau119[[#This Row],[Key(ID-date)]],'DATA BTO'!S:S,'DATA BTO'!F:F,FALSE)</f>
        <v>0</v>
      </c>
      <c r="AD154" s="50" t="b">
        <f>_xlfn.XLOOKUP(Tableau119[[#This Row],[Key(ID-date)]],'DATA BTO'!S:S,'DATA BTO'!G:G,FALSE)</f>
        <v>0</v>
      </c>
      <c r="AE154" s="50" t="b">
        <f>_xlfn.XLOOKUP(Tableau119[[#This Row],[Key(ID-date)]],'DATA BTO'!S:S,'DATA BTO'!H:H,FALSE)</f>
        <v>0</v>
      </c>
      <c r="AF154" s="50" t="e">
        <f>IF(Tableau119[[#This Row],[First Day to POL]]&lt;=Tableau119[[#This Row],[Day Cut Off]],Tableau119[[#This Row],[Day ETD]],Tableau119[[#This Row],[Day ETD]]+7)</f>
        <v>#N/A</v>
      </c>
      <c r="AG154" s="50" t="b">
        <f>_xlfn.XLOOKUP(Tableau119[[#This Row],[Key(ID-date)]],'DATA BTO'!S:S,'DATA BTO'!I:I,FALSE)</f>
        <v>0</v>
      </c>
      <c r="AH154" s="3" t="b">
        <f>_xlfn.XLOOKUP(Tableau119[[#This Row],[Key(ID-date)]],'DATA BTO'!S:S,'DATA BTO'!J:J,FALSE)</f>
        <v>0</v>
      </c>
      <c r="AI154" s="3" t="b">
        <f>_xlfn.XLOOKUP(Tableau119[[#This Row],[Key(ID-date)]],'DATA BTO'!S:S,'DATA BTO'!K:K,FALSE)</f>
        <v>0</v>
      </c>
      <c r="AJ154" s="50" t="b">
        <f>_xlfn.XLOOKUP(Tableau119[[#This Row],[Key(ID-date)]],'DATA BTO'!S:S,'DATA BTO'!L:L,FALSE)</f>
        <v>0</v>
      </c>
      <c r="AK154" s="53" t="b">
        <f>_xlfn.XLOOKUP(Tableau119[[#This Row],[Key(ID-date)]],'DATA BTO'!S:S,'DATA BTO'!N:N,FALSE)</f>
        <v>0</v>
      </c>
      <c r="AL154" s="54" t="e">
        <f>VLOOKUP(Tableau119[[#This Row],[Key(POD -PFI- Usine)]],'DATA Consignee'!A:F,6,FALSE)</f>
        <v>#N/A</v>
      </c>
      <c r="AM154" s="127"/>
      <c r="AN154" s="438" t="str">
        <f>IF(Tableau119[[#This Row],[Name PFI/CDD]]="","-",VLOOKUP(Tableau119[[#This Row],[Name PFI/CDD]],Plant_AILN!I:J,2,FALSE))</f>
        <v>-</v>
      </c>
      <c r="AO1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4" s="2" t="e">
        <f>VLOOKUP(Tableau119[[#This Row],[Key(POD -PFI- Usine)]],'DATA Consignee'!A:J,10,FALSE)</f>
        <v>#N/A</v>
      </c>
      <c r="AR154" s="50" t="e">
        <f>VLOOKUP(Tableau119[[#This Row],[Key(POD -PFI- Usine)]],'DATA Consignee'!A:N,14,FALSE)</f>
        <v>#N/A</v>
      </c>
      <c r="AS1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4" s="50">
        <f>Tableau119[[#This Row],[Transit time]]+Tableau119[[#This Row],[Time for security]]+Tableau119[[#This Row],[Time for security2 buffer]]</f>
        <v>0</v>
      </c>
      <c r="AV1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4" s="433" t="e">
        <f>Tableau119[[#This Row],[Leadtime SI2C]]+Tableau119[[#This Row],[First Receipt Days]]-Tableau119[[#This Row],[Day Customer Order]]+1</f>
        <v>#N/A</v>
      </c>
      <c r="AX154" s="119" t="e">
        <f>IF(Tableau119[[#This Row],[Name ILN]]&lt;&gt;"SFK Freight Forwarder",Tableau119[[#This Row],[Cust. Leadtime]],Tableau119[[#This Row],[Leadtime SI2C]])</f>
        <v>#N/A</v>
      </c>
      <c r="AY154" s="51" t="b">
        <f>_xlfn.XLOOKUP(Tableau119[[#This Row],[Key(ID-date)]],'DATA BTO'!S:S,'DATA BTO'!P:P,FALSE)</f>
        <v>0</v>
      </c>
      <c r="AZ154" s="338">
        <v>46142</v>
      </c>
      <c r="BA154" s="50"/>
    </row>
    <row r="155" spans="2:53">
      <c r="B155" s="474" t="str">
        <f>_xlfn.CONCAT(Tableau119[[#This Row],[Name ILN]],"-",Tableau119[[#This Row],[Name Shipper]],"-",Tableau119[[#This Row],[Name Site]])</f>
        <v>ILN Busan-ILN Busan-CORDOBA</v>
      </c>
      <c r="C155" s="67" t="str">
        <f>_xlfn.CONCAT(Tableau119[[#This Row],[Compte ILN]],"-",Tableau119[[#This Row],[Compte Shipper]],"-",Tableau119[[#This Row],[POL]],"-",Tableau119[[#This Row],[Compte Consignee]])</f>
        <v>95436-95436-FALSO-90016000</v>
      </c>
      <c r="D155" s="66" t="str">
        <f>_xlfn.CONCAT(Tableau119[[#This Row],[Compte ILN]],"-",Tableau119[[#This Row],[Compte Shipper]],"-",Tableau119[[#This Row],[POL]])</f>
        <v>95436-95436-FALSO</v>
      </c>
      <c r="E155" s="434" t="str">
        <f>_xlfn.CONCAT(Tableau119[[#This Row],[POL]],"-",Tableau119[[#This Row],[Carrier]],"-",Tableau119[[#This Row],[POD]])</f>
        <v>FALSO-FALSO-FALSO</v>
      </c>
      <c r="F155" s="66" t="str">
        <f>_xlfn.CONCAT(Tableau119[[#This Row],[ID]],"-","Actif")</f>
        <v>32-Actif</v>
      </c>
      <c r="G155" s="66" t="str">
        <f>_xlfn.CONCAT(Tableau119[[#This Row],[POD]],"-",Tableau119[[#This Row],[Code PFI]],"-",Tableau119[[#This Row],[Compte Consignee]])</f>
        <v>FALSO---90016000</v>
      </c>
      <c r="H15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BusanFALSOCORDOBA</v>
      </c>
      <c r="I155" s="434" t="str">
        <f>_xlfn.CONCAT(Tableau119[[#This Row],[ID]],"-",Tableau119[[#This Row],[Expiration Date]])</f>
        <v>32-45777</v>
      </c>
      <c r="J1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Busan-ILN Busan-32-FALSO-FALSO-FALSO--45777</v>
      </c>
      <c r="K155" s="435" t="str">
        <f ca="1">IF(COUNTIF(J:J,Tableau119[[#This Row],[Plant-ILN-shipper-POL-Carrier-POD-PFI]])=1,"Non","Oui")</f>
        <v>Non</v>
      </c>
      <c r="L155" s="128" t="str">
        <f>VLOOKUP(Tableau119[[#This Row],[Name Site]],Plant_AILN!A:D,4,FALSE)</f>
        <v>ARGENTINA</v>
      </c>
      <c r="M155" s="411" t="s">
        <v>158</v>
      </c>
      <c r="N155" s="439">
        <f>VLOOKUP(Tableau119[[#This Row],[Name Site]],Plant_AILN!A:C,3,FALSE)</f>
        <v>90016000</v>
      </c>
      <c r="O155" s="55">
        <f>VLOOKUP(Tableau119[[#This Row],[Compte Consignee]],Order!C:D,2,FALSE)</f>
        <v>7</v>
      </c>
      <c r="P155" s="124" t="s">
        <v>166</v>
      </c>
      <c r="Q155" s="365">
        <f>VLOOKUP(Tableau119[[#This Row],[Name ILN]],Plant_AILN!F:G,2,FALSE)</f>
        <v>95436</v>
      </c>
      <c r="R155" s="50">
        <f>VLOOKUP(Tableau119[[#This Row],[Compte ILN]],'DATA ILN'!D:I,6,FALSE)</f>
        <v>9</v>
      </c>
      <c r="S155" s="50" t="e">
        <f>IFERROR(VLOOKUP(Tableau119[[#This Row],[Key(Compte ILN - shipper - POL - plant)]],'DATA ILN'!A:J,10,FALSE),VLOOKUP(Tableau119[[#This Row],[Key(Compte ILN - shipper - POL)]],'DATA ILN'!B:J,9,FALSE))</f>
        <v>#N/A</v>
      </c>
      <c r="T155" s="50" t="e">
        <f>IFERROR(VLOOKUP(Tableau119[[#This Row],[Key(Compte ILN - shipper - POL - plant)]],'DATA ILN'!A:K,11,FALSE),VLOOKUP(Tableau119[[#This Row],[Key(Compte ILN - shipper - POL)]],'DATA ILN'!B:K,10,FALSE))</f>
        <v>#N/A</v>
      </c>
      <c r="U155" s="50" t="e">
        <f>IFERROR(VLOOKUP(Tableau119[[#This Row],[Key(Compte ILN - shipper - POL - plant)]],'DATA ILN'!A:L,12,FALSE),VLOOKUP(Tableau119[[#This Row],[Key(Compte ILN - shipper - POL)]],'DATA ILN'!B:L,11,FALSE))</f>
        <v>#N/A</v>
      </c>
      <c r="V155" s="50" t="e">
        <f>Tableau119[[#This Row],[Day ILN Order]]+Tableau119[[#This Row],[Delivery time to ILN/Shipper]]-1</f>
        <v>#N/A</v>
      </c>
      <c r="W155" s="50" t="e">
        <f>IFERROR(VLOOKUP(Tableau119[[#This Row],[Key(Compte ILN - shipper - POL - plant)]],'DATA ILN'!A:N,14,FALSE),VLOOKUP(Tableau119[[#This Row],[Key(Compte ILN - shipper - POL)]],'DATA ILN'!B:N,13,FALSE))</f>
        <v>#N/A</v>
      </c>
      <c r="X155" s="53" t="e">
        <f>IFERROR(VLOOKUP(Tableau119[[#This Row],[Key(Compte ILN - shipper - POL - plant)]],'DATA ILN'!A:P,16,FALSE),VLOOKUP(Tableau119[[#This Row],[Key(Compte ILN - shipper - POL)]],'DATA ILN'!B:P,15,FALSE))</f>
        <v>#N/A</v>
      </c>
      <c r="Y155" s="284" t="s">
        <v>166</v>
      </c>
      <c r="Z155" s="437">
        <f>IFERROR(VLOOKUP(Tableau119[[#This Row],[Name Shipper]],Plant_AILN!L:M,2,FALSE),0)</f>
        <v>95436</v>
      </c>
      <c r="AA155" s="406">
        <v>32</v>
      </c>
      <c r="AB155" s="396" t="b">
        <f>_xlfn.XLOOKUP(Tableau119[[#This Row],[Key(ID-date)]],'DATA BTO'!S:S,'DATA BTO'!E:E,FALSE)</f>
        <v>0</v>
      </c>
      <c r="AC155" s="3" t="b">
        <f>_xlfn.XLOOKUP(Tableau119[[#This Row],[Key(ID-date)]],'DATA BTO'!S:S,'DATA BTO'!F:F,FALSE)</f>
        <v>0</v>
      </c>
      <c r="AD155" s="50" t="b">
        <f>_xlfn.XLOOKUP(Tableau119[[#This Row],[Key(ID-date)]],'DATA BTO'!S:S,'DATA BTO'!G:G,FALSE)</f>
        <v>0</v>
      </c>
      <c r="AE155" s="50" t="b">
        <f>_xlfn.XLOOKUP(Tableau119[[#This Row],[Key(ID-date)]],'DATA BTO'!S:S,'DATA BTO'!H:H,FALSE)</f>
        <v>0</v>
      </c>
      <c r="AF155" s="50" t="e">
        <f>IF(Tableau119[[#This Row],[First Day to POL]]&lt;=Tableau119[[#This Row],[Day Cut Off]],Tableau119[[#This Row],[Day ETD]],Tableau119[[#This Row],[Day ETD]]+7)</f>
        <v>#N/A</v>
      </c>
      <c r="AG155" s="50" t="b">
        <f>_xlfn.XLOOKUP(Tableau119[[#This Row],[Key(ID-date)]],'DATA BTO'!S:S,'DATA BTO'!I:I,FALSE)</f>
        <v>0</v>
      </c>
      <c r="AH155" s="3" t="b">
        <f>_xlfn.XLOOKUP(Tableau119[[#This Row],[Key(ID-date)]],'DATA BTO'!S:S,'DATA BTO'!J:J,FALSE)</f>
        <v>0</v>
      </c>
      <c r="AI155" s="3" t="b">
        <f>_xlfn.XLOOKUP(Tableau119[[#This Row],[Key(ID-date)]],'DATA BTO'!S:S,'DATA BTO'!K:K,FALSE)</f>
        <v>0</v>
      </c>
      <c r="AJ155" s="50" t="b">
        <f>_xlfn.XLOOKUP(Tableau119[[#This Row],[Key(ID-date)]],'DATA BTO'!S:S,'DATA BTO'!L:L,FALSE)</f>
        <v>0</v>
      </c>
      <c r="AK155" s="53" t="b">
        <f>_xlfn.XLOOKUP(Tableau119[[#This Row],[Key(ID-date)]],'DATA BTO'!S:S,'DATA BTO'!N:N,FALSE)</f>
        <v>0</v>
      </c>
      <c r="AL155" s="54" t="e">
        <f>VLOOKUP(Tableau119[[#This Row],[Key(POD -PFI- Usine)]],'DATA Consignee'!A:F,6,FALSE)</f>
        <v>#N/A</v>
      </c>
      <c r="AM155" s="127"/>
      <c r="AN155" s="438" t="str">
        <f>IF(Tableau119[[#This Row],[Name PFI/CDD]]="","-",VLOOKUP(Tableau119[[#This Row],[Name PFI/CDD]],Plant_AILN!I:J,2,FALSE))</f>
        <v>-</v>
      </c>
      <c r="AO1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5" s="2" t="e">
        <f>VLOOKUP(Tableau119[[#This Row],[Key(POD -PFI- Usine)]],'DATA Consignee'!A:J,10,FALSE)</f>
        <v>#N/A</v>
      </c>
      <c r="AR155" s="50" t="e">
        <f>VLOOKUP(Tableau119[[#This Row],[Key(POD -PFI- Usine)]],'DATA Consignee'!A:N,14,FALSE)</f>
        <v>#N/A</v>
      </c>
      <c r="AS1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5" s="50">
        <f>Tableau119[[#This Row],[Transit time]]+Tableau119[[#This Row],[Time for security]]+Tableau119[[#This Row],[Time for security2 buffer]]</f>
        <v>0</v>
      </c>
      <c r="AV1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5" s="433" t="e">
        <f>Tableau119[[#This Row],[Leadtime SI2C]]+Tableau119[[#This Row],[First Receipt Days]]-Tableau119[[#This Row],[Day Customer Order]]+1</f>
        <v>#N/A</v>
      </c>
      <c r="AX155" s="119" t="e">
        <f>IF(Tableau119[[#This Row],[Name ILN]]&lt;&gt;"SFK Freight Forwarder",Tableau119[[#This Row],[Cust. Leadtime]],Tableau119[[#This Row],[Leadtime SI2C]])</f>
        <v>#N/A</v>
      </c>
      <c r="AY155" s="51" t="b">
        <f>_xlfn.XLOOKUP(Tableau119[[#This Row],[Key(ID-date)]],'DATA BTO'!S:S,'DATA BTO'!P:P,FALSE)</f>
        <v>0</v>
      </c>
      <c r="AZ155" s="338">
        <v>45777</v>
      </c>
      <c r="BA155" s="50"/>
    </row>
    <row r="156" spans="2:53">
      <c r="B156" s="474" t="str">
        <f>_xlfn.CONCAT(Tableau119[[#This Row],[Name ILN]],"-",Tableau119[[#This Row],[Name Shipper]],"-",Tableau119[[#This Row],[Name Site]])</f>
        <v>ILN Busan-ILN Busan-CORDOBA</v>
      </c>
      <c r="C156" s="67" t="str">
        <f>_xlfn.CONCAT(Tableau119[[#This Row],[Compte ILN]],"-",Tableau119[[#This Row],[Compte Shipper]],"-",Tableau119[[#This Row],[POL]],"-",Tableau119[[#This Row],[Compte Consignee]])</f>
        <v>95436-95436-FALSO-90016000</v>
      </c>
      <c r="D156" s="66" t="str">
        <f>_xlfn.CONCAT(Tableau119[[#This Row],[Compte ILN]],"-",Tableau119[[#This Row],[Compte Shipper]],"-",Tableau119[[#This Row],[POL]])</f>
        <v>95436-95436-FALSO</v>
      </c>
      <c r="E156" s="434" t="str">
        <f>_xlfn.CONCAT(Tableau119[[#This Row],[POL]],"-",Tableau119[[#This Row],[Carrier]],"-",Tableau119[[#This Row],[POD]])</f>
        <v>FALSO-FALSO-FALSO</v>
      </c>
      <c r="F156" s="66" t="str">
        <f>_xlfn.CONCAT(Tableau119[[#This Row],[ID]],"-","Actif")</f>
        <v>32-Actif</v>
      </c>
      <c r="G156" s="66" t="str">
        <f>_xlfn.CONCAT(Tableau119[[#This Row],[POD]],"-",Tableau119[[#This Row],[Code PFI]],"-",Tableau119[[#This Row],[Compte Consignee]])</f>
        <v>FALSO---90016000</v>
      </c>
      <c r="H15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BusanFALSOCORDOBA</v>
      </c>
      <c r="I156" s="434" t="str">
        <f>_xlfn.CONCAT(Tableau119[[#This Row],[ID]],"-",Tableau119[[#This Row],[Expiration Date]])</f>
        <v>32-45473</v>
      </c>
      <c r="J1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Busan-ILN Busan-32-FALSO-FALSO-FALSO--45473</v>
      </c>
      <c r="K156" s="435" t="str">
        <f ca="1">IF(COUNTIF(J:J,Tableau119[[#This Row],[Plant-ILN-shipper-POL-Carrier-POD-PFI]])=1,"Non","Oui")</f>
        <v>Non</v>
      </c>
      <c r="L156" s="128" t="str">
        <f>VLOOKUP(Tableau119[[#This Row],[Name Site]],Plant_AILN!A:D,4,FALSE)</f>
        <v>ARGENTINA</v>
      </c>
      <c r="M156" s="411" t="s">
        <v>158</v>
      </c>
      <c r="N156" s="439">
        <f>VLOOKUP(Tableau119[[#This Row],[Name Site]],Plant_AILN!A:C,3,FALSE)</f>
        <v>90016000</v>
      </c>
      <c r="O156" s="55">
        <f>VLOOKUP(Tableau119[[#This Row],[Compte Consignee]],Order!C:D,2,FALSE)</f>
        <v>7</v>
      </c>
      <c r="P156" s="124" t="s">
        <v>166</v>
      </c>
      <c r="Q156" s="365">
        <f>VLOOKUP(Tableau119[[#This Row],[Name ILN]],Plant_AILN!F:G,2,FALSE)</f>
        <v>95436</v>
      </c>
      <c r="R156" s="50">
        <f>VLOOKUP(Tableau119[[#This Row],[Compte ILN]],'DATA ILN'!D:I,6,FALSE)</f>
        <v>9</v>
      </c>
      <c r="S156" s="50" t="e">
        <f>IFERROR(VLOOKUP(Tableau119[[#This Row],[Key(Compte ILN - shipper - POL - plant)]],'DATA ILN'!A:J,10,FALSE),VLOOKUP(Tableau119[[#This Row],[Key(Compte ILN - shipper - POL)]],'DATA ILN'!B:J,9,FALSE))</f>
        <v>#N/A</v>
      </c>
      <c r="T156" s="50" t="e">
        <f>IFERROR(VLOOKUP(Tableau119[[#This Row],[Key(Compte ILN - shipper - POL - plant)]],'DATA ILN'!A:K,11,FALSE),VLOOKUP(Tableau119[[#This Row],[Key(Compte ILN - shipper - POL)]],'DATA ILN'!B:K,10,FALSE))</f>
        <v>#N/A</v>
      </c>
      <c r="U156" s="50" t="e">
        <f>IFERROR(VLOOKUP(Tableau119[[#This Row],[Key(Compte ILN - shipper - POL - plant)]],'DATA ILN'!A:L,12,FALSE),VLOOKUP(Tableau119[[#This Row],[Key(Compte ILN - shipper - POL)]],'DATA ILN'!B:L,11,FALSE))</f>
        <v>#N/A</v>
      </c>
      <c r="V156" s="50" t="e">
        <f>Tableau119[[#This Row],[Day ILN Order]]+Tableau119[[#This Row],[Delivery time to ILN/Shipper]]-1</f>
        <v>#N/A</v>
      </c>
      <c r="W156" s="50" t="e">
        <f>IFERROR(VLOOKUP(Tableau119[[#This Row],[Key(Compte ILN - shipper - POL - plant)]],'DATA ILN'!A:N,14,FALSE),VLOOKUP(Tableau119[[#This Row],[Key(Compte ILN - shipper - POL)]],'DATA ILN'!B:N,13,FALSE))</f>
        <v>#N/A</v>
      </c>
      <c r="X156" s="53" t="e">
        <f>IFERROR(VLOOKUP(Tableau119[[#This Row],[Key(Compte ILN - shipper - POL - plant)]],'DATA ILN'!A:P,16,FALSE),VLOOKUP(Tableau119[[#This Row],[Key(Compte ILN - shipper - POL)]],'DATA ILN'!B:P,15,FALSE))</f>
        <v>#N/A</v>
      </c>
      <c r="Y156" s="284" t="s">
        <v>166</v>
      </c>
      <c r="Z156" s="437">
        <f>IFERROR(VLOOKUP(Tableau119[[#This Row],[Name Shipper]],Plant_AILN!L:M,2,FALSE),0)</f>
        <v>95436</v>
      </c>
      <c r="AA156" s="406">
        <v>32</v>
      </c>
      <c r="AB156" s="396" t="b">
        <f>_xlfn.XLOOKUP(Tableau119[[#This Row],[Key(ID-date)]],'DATA BTO'!S:S,'DATA BTO'!E:E,FALSE)</f>
        <v>0</v>
      </c>
      <c r="AC156" s="3" t="b">
        <f>_xlfn.XLOOKUP(Tableau119[[#This Row],[Key(ID-date)]],'DATA BTO'!S:S,'DATA BTO'!F:F,FALSE)</f>
        <v>0</v>
      </c>
      <c r="AD156" s="50" t="b">
        <f>_xlfn.XLOOKUP(Tableau119[[#This Row],[Key(ID-date)]],'DATA BTO'!S:S,'DATA BTO'!G:G,FALSE)</f>
        <v>0</v>
      </c>
      <c r="AE156" s="50" t="b">
        <f>_xlfn.XLOOKUP(Tableau119[[#This Row],[Key(ID-date)]],'DATA BTO'!S:S,'DATA BTO'!H:H,FALSE)</f>
        <v>0</v>
      </c>
      <c r="AF156" s="50" t="e">
        <f>IF(Tableau119[[#This Row],[First Day to POL]]&lt;=Tableau119[[#This Row],[Day Cut Off]],Tableau119[[#This Row],[Day ETD]],Tableau119[[#This Row],[Day ETD]]+7)</f>
        <v>#N/A</v>
      </c>
      <c r="AG156" s="50" t="b">
        <f>_xlfn.XLOOKUP(Tableau119[[#This Row],[Key(ID-date)]],'DATA BTO'!S:S,'DATA BTO'!I:I,FALSE)</f>
        <v>0</v>
      </c>
      <c r="AH156" s="3" t="b">
        <f>_xlfn.XLOOKUP(Tableau119[[#This Row],[Key(ID-date)]],'DATA BTO'!S:S,'DATA BTO'!J:J,FALSE)</f>
        <v>0</v>
      </c>
      <c r="AI156" s="3" t="b">
        <f>_xlfn.XLOOKUP(Tableau119[[#This Row],[Key(ID-date)]],'DATA BTO'!S:S,'DATA BTO'!K:K,FALSE)</f>
        <v>0</v>
      </c>
      <c r="AJ156" s="50" t="b">
        <f>_xlfn.XLOOKUP(Tableau119[[#This Row],[Key(ID-date)]],'DATA BTO'!S:S,'DATA BTO'!L:L,FALSE)</f>
        <v>0</v>
      </c>
      <c r="AK156" s="53" t="b">
        <f>_xlfn.XLOOKUP(Tableau119[[#This Row],[Key(ID-date)]],'DATA BTO'!S:S,'DATA BTO'!N:N,FALSE)</f>
        <v>0</v>
      </c>
      <c r="AL156" s="54" t="e">
        <f>VLOOKUP(Tableau119[[#This Row],[Key(POD -PFI- Usine)]],'DATA Consignee'!A:F,6,FALSE)</f>
        <v>#N/A</v>
      </c>
      <c r="AM156" s="127"/>
      <c r="AN156" s="438" t="str">
        <f>IF(Tableau119[[#This Row],[Name PFI/CDD]]="","-",VLOOKUP(Tableau119[[#This Row],[Name PFI/CDD]],Plant_AILN!I:J,2,FALSE))</f>
        <v>-</v>
      </c>
      <c r="AO1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6" s="2" t="e">
        <f>VLOOKUP(Tableau119[[#This Row],[Key(POD -PFI- Usine)]],'DATA Consignee'!A:J,10,FALSE)</f>
        <v>#N/A</v>
      </c>
      <c r="AR156" s="50" t="e">
        <f>VLOOKUP(Tableau119[[#This Row],[Key(POD -PFI- Usine)]],'DATA Consignee'!A:N,14,FALSE)</f>
        <v>#N/A</v>
      </c>
      <c r="AS1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6" s="50">
        <f>Tableau119[[#This Row],[Transit time]]+Tableau119[[#This Row],[Time for security]]+Tableau119[[#This Row],[Time for security2 buffer]]</f>
        <v>0</v>
      </c>
      <c r="AV1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6" s="433" t="e">
        <f>Tableau119[[#This Row],[Leadtime SI2C]]+Tableau119[[#This Row],[First Receipt Days]]-Tableau119[[#This Row],[Day Customer Order]]+1</f>
        <v>#N/A</v>
      </c>
      <c r="AX156" s="119" t="e">
        <f>IF(Tableau119[[#This Row],[Name ILN]]&lt;&gt;"SFK Freight Forwarder",Tableau119[[#This Row],[Cust. Leadtime]],Tableau119[[#This Row],[Leadtime SI2C]])</f>
        <v>#N/A</v>
      </c>
      <c r="AY156" s="51" t="b">
        <f>_xlfn.XLOOKUP(Tableau119[[#This Row],[Key(ID-date)]],'DATA BTO'!S:S,'DATA BTO'!P:P,FALSE)</f>
        <v>0</v>
      </c>
      <c r="AZ156" s="338">
        <v>45473</v>
      </c>
      <c r="BA156" s="50"/>
    </row>
    <row r="157" spans="2:53">
      <c r="B157" s="474" t="str">
        <f>_xlfn.CONCAT(Tableau119[[#This Row],[Name ILN]],"-",Tableau119[[#This Row],[Name Shipper]],"-",Tableau119[[#This Row],[Name Site]])</f>
        <v>ILN Busan-ILN Busan-CORDOBA</v>
      </c>
      <c r="C157" s="67" t="str">
        <f>_xlfn.CONCAT(Tableau119[[#This Row],[Compte ILN]],"-",Tableau119[[#This Row],[Compte Shipper]],"-",Tableau119[[#This Row],[POL]],"-",Tableau119[[#This Row],[Compte Consignee]])</f>
        <v>95436-95436-FALSO-90016000</v>
      </c>
      <c r="D157" s="66" t="str">
        <f>_xlfn.CONCAT(Tableau119[[#This Row],[Compte ILN]],"-",Tableau119[[#This Row],[Compte Shipper]],"-",Tableau119[[#This Row],[POL]])</f>
        <v>95436-95436-FALSO</v>
      </c>
      <c r="E157" s="434" t="str">
        <f>_xlfn.CONCAT(Tableau119[[#This Row],[POL]],"-",Tableau119[[#This Row],[Carrier]],"-",Tableau119[[#This Row],[POD]])</f>
        <v>FALSO-FALSO-FALSO</v>
      </c>
      <c r="F157" s="66" t="str">
        <f>_xlfn.CONCAT(Tableau119[[#This Row],[ID]],"-","Actif")</f>
        <v>32-Actif</v>
      </c>
      <c r="G157" s="66" t="str">
        <f>_xlfn.CONCAT(Tableau119[[#This Row],[POD]],"-",Tableau119[[#This Row],[Code PFI]],"-",Tableau119[[#This Row],[Compte Consignee]])</f>
        <v>FALSO---90016000</v>
      </c>
      <c r="H15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BusanFALSOCORDOBA</v>
      </c>
      <c r="I157" s="434" t="str">
        <f>_xlfn.CONCAT(Tableau119[[#This Row],[ID]],"-",Tableau119[[#This Row],[Expiration Date]])</f>
        <v>32-45412</v>
      </c>
      <c r="J1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Busan-ILN Busan-32-FALSO-FALSO-FALSO--45412</v>
      </c>
      <c r="K157" s="435" t="str">
        <f ca="1">IF(COUNTIF(J:J,Tableau119[[#This Row],[Plant-ILN-shipper-POL-Carrier-POD-PFI]])=1,"Non","Oui")</f>
        <v>Non</v>
      </c>
      <c r="L157" s="128" t="str">
        <f>VLOOKUP(Tableau119[[#This Row],[Name Site]],Plant_AILN!A:D,4,FALSE)</f>
        <v>ARGENTINA</v>
      </c>
      <c r="M157" s="411" t="s">
        <v>158</v>
      </c>
      <c r="N157" s="439">
        <f>VLOOKUP(Tableau119[[#This Row],[Name Site]],Plant_AILN!A:C,3,FALSE)</f>
        <v>90016000</v>
      </c>
      <c r="O157" s="55">
        <f>VLOOKUP(Tableau119[[#This Row],[Compte Consignee]],Order!C:D,2,FALSE)</f>
        <v>7</v>
      </c>
      <c r="P157" s="124" t="s">
        <v>166</v>
      </c>
      <c r="Q157" s="365">
        <f>VLOOKUP(Tableau119[[#This Row],[Name ILN]],Plant_AILN!F:G,2,FALSE)</f>
        <v>95436</v>
      </c>
      <c r="R157" s="50">
        <f>VLOOKUP(Tableau119[[#This Row],[Compte ILN]],'DATA ILN'!D:I,6,FALSE)</f>
        <v>9</v>
      </c>
      <c r="S157" s="50" t="e">
        <f>IFERROR(VLOOKUP(Tableau119[[#This Row],[Key(Compte ILN - shipper - POL - plant)]],'DATA ILN'!A:J,10,FALSE),VLOOKUP(Tableau119[[#This Row],[Key(Compte ILN - shipper - POL)]],'DATA ILN'!B:J,9,FALSE))</f>
        <v>#N/A</v>
      </c>
      <c r="T157" s="50" t="e">
        <f>IFERROR(VLOOKUP(Tableau119[[#This Row],[Key(Compte ILN - shipper - POL - plant)]],'DATA ILN'!A:K,11,FALSE),VLOOKUP(Tableau119[[#This Row],[Key(Compte ILN - shipper - POL)]],'DATA ILN'!B:K,10,FALSE))</f>
        <v>#N/A</v>
      </c>
      <c r="U157" s="50" t="e">
        <f>IFERROR(VLOOKUP(Tableau119[[#This Row],[Key(Compte ILN - shipper - POL - plant)]],'DATA ILN'!A:L,12,FALSE),VLOOKUP(Tableau119[[#This Row],[Key(Compte ILN - shipper - POL)]],'DATA ILN'!B:L,11,FALSE))</f>
        <v>#N/A</v>
      </c>
      <c r="V157" s="50" t="e">
        <f>Tableau119[[#This Row],[Day ILN Order]]+Tableau119[[#This Row],[Delivery time to ILN/Shipper]]-1</f>
        <v>#N/A</v>
      </c>
      <c r="W157" s="50" t="e">
        <f>IFERROR(VLOOKUP(Tableau119[[#This Row],[Key(Compte ILN - shipper - POL - plant)]],'DATA ILN'!A:N,14,FALSE),VLOOKUP(Tableau119[[#This Row],[Key(Compte ILN - shipper - POL)]],'DATA ILN'!B:N,13,FALSE))</f>
        <v>#N/A</v>
      </c>
      <c r="X157" s="53" t="e">
        <f>IFERROR(VLOOKUP(Tableau119[[#This Row],[Key(Compte ILN - shipper - POL - plant)]],'DATA ILN'!A:P,16,FALSE),VLOOKUP(Tableau119[[#This Row],[Key(Compte ILN - shipper - POL)]],'DATA ILN'!B:P,15,FALSE))</f>
        <v>#N/A</v>
      </c>
      <c r="Y157" s="284" t="s">
        <v>166</v>
      </c>
      <c r="Z157" s="437">
        <f>IFERROR(VLOOKUP(Tableau119[[#This Row],[Name Shipper]],Plant_AILN!L:M,2,FALSE),0)</f>
        <v>95436</v>
      </c>
      <c r="AA157" s="406">
        <v>32</v>
      </c>
      <c r="AB157" s="396" t="b">
        <f>_xlfn.XLOOKUP(Tableau119[[#This Row],[Key(ID-date)]],'DATA BTO'!S:S,'DATA BTO'!E:E,FALSE)</f>
        <v>0</v>
      </c>
      <c r="AC157" s="3" t="b">
        <f>_xlfn.XLOOKUP(Tableau119[[#This Row],[Key(ID-date)]],'DATA BTO'!S:S,'DATA BTO'!F:F,FALSE)</f>
        <v>0</v>
      </c>
      <c r="AD157" s="50" t="b">
        <f>_xlfn.XLOOKUP(Tableau119[[#This Row],[Key(ID-date)]],'DATA BTO'!S:S,'DATA BTO'!G:G,FALSE)</f>
        <v>0</v>
      </c>
      <c r="AE157" s="50" t="b">
        <f>_xlfn.XLOOKUP(Tableau119[[#This Row],[Key(ID-date)]],'DATA BTO'!S:S,'DATA BTO'!H:H,FALSE)</f>
        <v>0</v>
      </c>
      <c r="AF157" s="50" t="e">
        <f>IF(Tableau119[[#This Row],[First Day to POL]]&lt;=Tableau119[[#This Row],[Day Cut Off]],Tableau119[[#This Row],[Day ETD]],Tableau119[[#This Row],[Day ETD]]+7)</f>
        <v>#N/A</v>
      </c>
      <c r="AG157" s="50" t="b">
        <f>_xlfn.XLOOKUP(Tableau119[[#This Row],[Key(ID-date)]],'DATA BTO'!S:S,'DATA BTO'!I:I,FALSE)</f>
        <v>0</v>
      </c>
      <c r="AH157" s="3" t="b">
        <f>_xlfn.XLOOKUP(Tableau119[[#This Row],[Key(ID-date)]],'DATA BTO'!S:S,'DATA BTO'!J:J,FALSE)</f>
        <v>0</v>
      </c>
      <c r="AI157" s="3" t="b">
        <f>_xlfn.XLOOKUP(Tableau119[[#This Row],[Key(ID-date)]],'DATA BTO'!S:S,'DATA BTO'!K:K,FALSE)</f>
        <v>0</v>
      </c>
      <c r="AJ157" s="50" t="b">
        <f>_xlfn.XLOOKUP(Tableau119[[#This Row],[Key(ID-date)]],'DATA BTO'!S:S,'DATA BTO'!L:L,FALSE)</f>
        <v>0</v>
      </c>
      <c r="AK157" s="53" t="b">
        <f>_xlfn.XLOOKUP(Tableau119[[#This Row],[Key(ID-date)]],'DATA BTO'!S:S,'DATA BTO'!N:N,FALSE)</f>
        <v>0</v>
      </c>
      <c r="AL157" s="54" t="e">
        <f>VLOOKUP(Tableau119[[#This Row],[Key(POD -PFI- Usine)]],'DATA Consignee'!A:F,6,FALSE)</f>
        <v>#N/A</v>
      </c>
      <c r="AM157" s="127"/>
      <c r="AN157" s="438" t="str">
        <f>IF(Tableau119[[#This Row],[Name PFI/CDD]]="","-",VLOOKUP(Tableau119[[#This Row],[Name PFI/CDD]],Plant_AILN!I:J,2,FALSE))</f>
        <v>-</v>
      </c>
      <c r="AO1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7" s="2" t="e">
        <f>VLOOKUP(Tableau119[[#This Row],[Key(POD -PFI- Usine)]],'DATA Consignee'!A:J,10,FALSE)</f>
        <v>#N/A</v>
      </c>
      <c r="AR157" s="50" t="e">
        <f>VLOOKUP(Tableau119[[#This Row],[Key(POD -PFI- Usine)]],'DATA Consignee'!A:N,14,FALSE)</f>
        <v>#N/A</v>
      </c>
      <c r="AS1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7" s="50">
        <f>Tableau119[[#This Row],[Transit time]]+Tableau119[[#This Row],[Time for security]]+Tableau119[[#This Row],[Time for security2 buffer]]</f>
        <v>0</v>
      </c>
      <c r="AV1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7" s="433" t="e">
        <f>Tableau119[[#This Row],[Leadtime SI2C]]+Tableau119[[#This Row],[First Receipt Days]]-Tableau119[[#This Row],[Day Customer Order]]+1</f>
        <v>#N/A</v>
      </c>
      <c r="AX157" s="119" t="e">
        <f>IF(Tableau119[[#This Row],[Name ILN]]&lt;&gt;"SFK Freight Forwarder",Tableau119[[#This Row],[Cust. Leadtime]],Tableau119[[#This Row],[Leadtime SI2C]])</f>
        <v>#N/A</v>
      </c>
      <c r="AY157" s="51" t="b">
        <f>_xlfn.XLOOKUP(Tableau119[[#This Row],[Key(ID-date)]],'DATA BTO'!S:S,'DATA BTO'!P:P,FALSE)</f>
        <v>0</v>
      </c>
      <c r="AZ157" s="338">
        <v>45412</v>
      </c>
      <c r="BA157" s="50"/>
    </row>
    <row r="158" spans="2:53">
      <c r="B158" s="67" t="str">
        <f>_xlfn.CONCAT(Tableau119[[#This Row],[Name ILN]],"-",Tableau119[[#This Row],[Name Shipper]],"-",Tableau119[[#This Row],[Name Site]])</f>
        <v>ILN Busan-ILN Busan-Curitiba CVP</v>
      </c>
      <c r="C158" s="67" t="str">
        <f>_xlfn.CONCAT(Tableau119[[#This Row],[Compte ILN]],"-",Tableau119[[#This Row],[Compte Shipper]],"-",Tableau119[[#This Row],[POL]],"-",Tableau119[[#This Row],[Compte Consignee]])</f>
        <v>95436-95436-FALSO-90018000</v>
      </c>
      <c r="D158" s="66" t="str">
        <f>_xlfn.CONCAT(Tableau119[[#This Row],[Compte ILN]],"-",Tableau119[[#This Row],[Compte Shipper]],"-",Tableau119[[#This Row],[POL]])</f>
        <v>95436-95436-FALSO</v>
      </c>
      <c r="E158" s="434" t="str">
        <f>_xlfn.CONCAT(Tableau119[[#This Row],[POL]],"-",Tableau119[[#This Row],[Carrier]],"-",Tableau119[[#This Row],[POD]])</f>
        <v>FALSO-FALSO-FALSO</v>
      </c>
      <c r="F158" s="66" t="str">
        <f>_xlfn.CONCAT(Tableau119[[#This Row],[ID]],"-","Actif")</f>
        <v>33-Actif</v>
      </c>
      <c r="G158" s="66" t="str">
        <f>_xlfn.CONCAT(Tableau119[[#This Row],[POD]],"-",Tableau119[[#This Row],[Code PFI]],"-",Tableau119[[#This Row],[Compte Consignee]])</f>
        <v>FALSO---90018000</v>
      </c>
      <c r="H15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CVP</v>
      </c>
      <c r="I158" s="434" t="str">
        <f>_xlfn.CONCAT(Tableau119[[#This Row],[ID]],"-",Tableau119[[#This Row],[Expiration Date]])</f>
        <v>33-46142</v>
      </c>
      <c r="J1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Busan-ILN Busan-33-FALSO-FALSO-FALSO--46142</v>
      </c>
      <c r="K158" s="435" t="str">
        <f ca="1">IF(COUNTIF(J:J,Tableau119[[#This Row],[Plant-ILN-shipper-POL-Carrier-POD-PFI]])=1,"Non","Oui")</f>
        <v>Non</v>
      </c>
      <c r="L158" s="436" t="str">
        <f>VLOOKUP(Tableau119[[#This Row],[Name Site]],Plant_AILN!A:D,4,FALSE)</f>
        <v>BRAZIL</v>
      </c>
      <c r="M158" s="285" t="s">
        <v>152</v>
      </c>
      <c r="N158" s="439">
        <f>VLOOKUP(Tableau119[[#This Row],[Name Site]],Plant_AILN!A:C,3,FALSE)</f>
        <v>90018000</v>
      </c>
      <c r="O158" s="55">
        <f>IF(Tableau119[[#This Row],[Name PFI/CDD]]="PFI VLL",2,VLOOKUP(Tableau119[[#This Row],[Compte Consignee]],Order!C:D,2,FALSE))</f>
        <v>7</v>
      </c>
      <c r="P158" s="124" t="s">
        <v>166</v>
      </c>
      <c r="Q158" s="365">
        <f>VLOOKUP(Tableau119[[#This Row],[Name ILN]],Plant_AILN!F:G,2,FALSE)</f>
        <v>95436</v>
      </c>
      <c r="R158" s="50">
        <f>VLOOKUP(Tableau119[[#This Row],[Compte ILN]],'DATA ILN'!D:I,6,FALSE)</f>
        <v>9</v>
      </c>
      <c r="S158" s="50" t="e">
        <f>IFERROR(VLOOKUP(Tableau119[[#This Row],[Key(Compte ILN - shipper - POL - plant)]],'DATA ILN'!A:J,10,FALSE),VLOOKUP(Tableau119[[#This Row],[Key(Compte ILN - shipper - POL)]],'DATA ILN'!B:J,9,FALSE))</f>
        <v>#N/A</v>
      </c>
      <c r="T158" s="50" t="e">
        <f>IFERROR(VLOOKUP(Tableau119[[#This Row],[Key(Compte ILN - shipper - POL - plant)]],'DATA ILN'!A:K,11,FALSE),VLOOKUP(Tableau119[[#This Row],[Key(Compte ILN - shipper - POL)]],'DATA ILN'!B:K,10,FALSE))</f>
        <v>#N/A</v>
      </c>
      <c r="U158" s="50" t="e">
        <f>IFERROR(VLOOKUP(Tableau119[[#This Row],[Key(Compte ILN - shipper - POL - plant)]],'DATA ILN'!A:L,12,FALSE),VLOOKUP(Tableau119[[#This Row],[Key(Compte ILN - shipper - POL)]],'DATA ILN'!B:L,11,FALSE))</f>
        <v>#N/A</v>
      </c>
      <c r="V158" s="50" t="e">
        <f>Tableau119[[#This Row],[Day ILN Order]]+Tableau119[[#This Row],[Delivery time to ILN/Shipper]]-1</f>
        <v>#N/A</v>
      </c>
      <c r="W158" s="50" t="e">
        <f>IFERROR(VLOOKUP(Tableau119[[#This Row],[Key(Compte ILN - shipper - POL - plant)]],'DATA ILN'!A:N,14,FALSE),VLOOKUP(Tableau119[[#This Row],[Key(Compte ILN - shipper - POL)]],'DATA ILN'!B:N,13,FALSE))</f>
        <v>#N/A</v>
      </c>
      <c r="X158" s="53" t="e">
        <f>IFERROR(VLOOKUP(Tableau119[[#This Row],[Key(Compte ILN - shipper - POL - plant)]],'DATA ILN'!A:P,16,FALSE),VLOOKUP(Tableau119[[#This Row],[Key(Compte ILN - shipper - POL)]],'DATA ILN'!B:P,15,FALSE))</f>
        <v>#N/A</v>
      </c>
      <c r="Y158" s="284" t="s">
        <v>166</v>
      </c>
      <c r="Z158" s="437">
        <f>IFERROR(VLOOKUP(Tableau119[[#This Row],[Name Shipper]],Plant_AILN!L:M,2,FALSE),0)</f>
        <v>95436</v>
      </c>
      <c r="AA158" s="406">
        <v>33</v>
      </c>
      <c r="AB158" s="396" t="b">
        <f>_xlfn.XLOOKUP(Tableau119[[#This Row],[Key(ID-date)]],'DATA BTO'!S:S,'DATA BTO'!E:E,FALSE)</f>
        <v>0</v>
      </c>
      <c r="AC158" s="3" t="b">
        <f>_xlfn.XLOOKUP(Tableau119[[#This Row],[Key(ID-date)]],'DATA BTO'!S:S,'DATA BTO'!F:F,FALSE)</f>
        <v>0</v>
      </c>
      <c r="AD158" s="50" t="b">
        <f>_xlfn.XLOOKUP(Tableau119[[#This Row],[Key(ID-date)]],'DATA BTO'!S:S,'DATA BTO'!G:G,FALSE)</f>
        <v>0</v>
      </c>
      <c r="AE158" s="50" t="b">
        <f>_xlfn.XLOOKUP(Tableau119[[#This Row],[Key(ID-date)]],'DATA BTO'!S:S,'DATA BTO'!H:H,FALSE)</f>
        <v>0</v>
      </c>
      <c r="AF158" s="50" t="e">
        <f>IF(Tableau119[[#This Row],[First Day to POL]]&lt;=Tableau119[[#This Row],[Day Cut Off]],Tableau119[[#This Row],[Day ETD]],Tableau119[[#This Row],[Day ETD]]+7)</f>
        <v>#N/A</v>
      </c>
      <c r="AG158" s="50" t="b">
        <f>_xlfn.XLOOKUP(Tableau119[[#This Row],[Key(ID-date)]],'DATA BTO'!S:S,'DATA BTO'!I:I,FALSE)</f>
        <v>0</v>
      </c>
      <c r="AH158" s="3" t="b">
        <f>_xlfn.XLOOKUP(Tableau119[[#This Row],[Key(ID-date)]],'DATA BTO'!S:S,'DATA BTO'!J:J,FALSE)</f>
        <v>0</v>
      </c>
      <c r="AI158" s="3" t="b">
        <f>_xlfn.XLOOKUP(Tableau119[[#This Row],[Key(ID-date)]],'DATA BTO'!S:S,'DATA BTO'!K:K,FALSE)</f>
        <v>0</v>
      </c>
      <c r="AJ158" s="50" t="b">
        <f>_xlfn.XLOOKUP(Tableau119[[#This Row],[Key(ID-date)]],'DATA BTO'!S:S,'DATA BTO'!L:L,FALSE)</f>
        <v>0</v>
      </c>
      <c r="AK158" s="53" t="b">
        <f>_xlfn.XLOOKUP(Tableau119[[#This Row],[Key(ID-date)]],'DATA BTO'!S:S,'DATA BTO'!N:N,FALSE)</f>
        <v>0</v>
      </c>
      <c r="AL158" s="54" t="e">
        <f>VLOOKUP(Tableau119[[#This Row],[Key(POD -PFI- Usine)]],'DATA Consignee'!A:F,6,FALSE)</f>
        <v>#N/A</v>
      </c>
      <c r="AM158" s="127"/>
      <c r="AN158" s="438" t="str">
        <f>IF(Tableau119[[#This Row],[Name PFI/CDD]]="","-",VLOOKUP(Tableau119[[#This Row],[Name PFI/CDD]],Plant_AILN!I:J,2,FALSE))</f>
        <v>-</v>
      </c>
      <c r="AO1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8" s="2" t="e">
        <f>VLOOKUP(Tableau119[[#This Row],[Key(POD -PFI- Usine)]],'DATA Consignee'!A:J,10,FALSE)</f>
        <v>#N/A</v>
      </c>
      <c r="AR158" s="50" t="e">
        <f>VLOOKUP(Tableau119[[#This Row],[Key(POD -PFI- Usine)]],'DATA Consignee'!A:N,14,FALSE)</f>
        <v>#N/A</v>
      </c>
      <c r="AS1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8" s="50">
        <f>Tableau119[[#This Row],[Transit time]]+Tableau119[[#This Row],[Time for security]]+Tableau119[[#This Row],[Time for security2 buffer]]</f>
        <v>0</v>
      </c>
      <c r="AV1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8" s="433" t="e">
        <f>Tableau119[[#This Row],[Leadtime SI2C]]+Tableau119[[#This Row],[First Receipt Days]]-Tableau119[[#This Row],[Day Customer Order]]+1</f>
        <v>#N/A</v>
      </c>
      <c r="AX158" s="119" t="e">
        <f>IF(Tableau119[[#This Row],[Name ILN]]&lt;&gt;"SFK Freight Forwarder",Tableau119[[#This Row],[Cust. Leadtime]],Tableau119[[#This Row],[Leadtime SI2C]])</f>
        <v>#N/A</v>
      </c>
      <c r="AY158" s="51" t="b">
        <f>_xlfn.XLOOKUP(Tableau119[[#This Row],[Key(ID-date)]],'DATA BTO'!S:S,'DATA BTO'!P:P,FALSE)</f>
        <v>0</v>
      </c>
      <c r="AZ158" s="338">
        <v>46142</v>
      </c>
      <c r="BA158" s="50"/>
    </row>
    <row r="159" spans="2:53">
      <c r="B159" s="67" t="str">
        <f>_xlfn.CONCAT(Tableau119[[#This Row],[Name ILN]],"-",Tableau119[[#This Row],[Name Shipper]],"-",Tableau119[[#This Row],[Name Site]])</f>
        <v>ILN Busan-ILN Busan-Curitiba CVU</v>
      </c>
      <c r="C159" s="67" t="str">
        <f>_xlfn.CONCAT(Tableau119[[#This Row],[Compte ILN]],"-",Tableau119[[#This Row],[Compte Shipper]],"-",Tableau119[[#This Row],[POL]],"-",Tableau119[[#This Row],[Compte Consignee]])</f>
        <v>95436-95436-FALSO-90018500</v>
      </c>
      <c r="D159" s="66" t="str">
        <f>_xlfn.CONCAT(Tableau119[[#This Row],[Compte ILN]],"-",Tableau119[[#This Row],[Compte Shipper]],"-",Tableau119[[#This Row],[POL]])</f>
        <v>95436-95436-FALSO</v>
      </c>
      <c r="E159" s="434" t="str">
        <f>_xlfn.CONCAT(Tableau119[[#This Row],[POL]],"-",Tableau119[[#This Row],[Carrier]],"-",Tableau119[[#This Row],[POD]])</f>
        <v>FALSO-FALSO-FALSO</v>
      </c>
      <c r="F159" s="66" t="str">
        <f>_xlfn.CONCAT(Tableau119[[#This Row],[ID]],"-","Actif")</f>
        <v>33-Actif</v>
      </c>
      <c r="G159" s="66" t="str">
        <f>_xlfn.CONCAT(Tableau119[[#This Row],[POD]],"-",Tableau119[[#This Row],[Code PFI]],"-",Tableau119[[#This Row],[Compte Consignee]])</f>
        <v>FALSO---90018500</v>
      </c>
      <c r="H15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CVU</v>
      </c>
      <c r="I159" s="434" t="str">
        <f>_xlfn.CONCAT(Tableau119[[#This Row],[ID]],"-",Tableau119[[#This Row],[Expiration Date]])</f>
        <v>33-46142</v>
      </c>
      <c r="J1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Busan-ILN Busan-33-FALSO-FALSO-FALSO--46142</v>
      </c>
      <c r="K159" s="435" t="str">
        <f ca="1">IF(COUNTIF(J:J,Tableau119[[#This Row],[Plant-ILN-shipper-POL-Carrier-POD-PFI]])=1,"Non","Oui")</f>
        <v>Non</v>
      </c>
      <c r="L159" s="128" t="str">
        <f>VLOOKUP(Tableau119[[#This Row],[Name Site]],Plant_AILN!A:D,4,FALSE)</f>
        <v>BRAZIL</v>
      </c>
      <c r="M159" s="10" t="s">
        <v>639</v>
      </c>
      <c r="N159" s="439">
        <f>VLOOKUP(Tableau119[[#This Row],[Name Site]],Plant_AILN!A:C,3,FALSE)</f>
        <v>90018500</v>
      </c>
      <c r="O159" s="55">
        <f>IF(Tableau119[[#This Row],[Name PFI/CDD]]="PFI VLL",2,VLOOKUP(Tableau119[[#This Row],[Compte Consignee]],Order!C:D,2,FALSE))</f>
        <v>7</v>
      </c>
      <c r="P159" s="124" t="s">
        <v>166</v>
      </c>
      <c r="Q159" s="365">
        <f>VLOOKUP(Tableau119[[#This Row],[Name ILN]],Plant_AILN!F:G,2,FALSE)</f>
        <v>95436</v>
      </c>
      <c r="R159" s="50">
        <f>VLOOKUP(Tableau119[[#This Row],[Compte ILN]],'DATA ILN'!D:I,6,FALSE)</f>
        <v>9</v>
      </c>
      <c r="S159" s="50" t="e">
        <f>IFERROR(VLOOKUP(Tableau119[[#This Row],[Key(Compte ILN - shipper - POL - plant)]],'DATA ILN'!A:J,10,FALSE),VLOOKUP(Tableau119[[#This Row],[Key(Compte ILN - shipper - POL)]],'DATA ILN'!B:J,9,FALSE))</f>
        <v>#N/A</v>
      </c>
      <c r="T159" s="50" t="e">
        <f>IFERROR(VLOOKUP(Tableau119[[#This Row],[Key(Compte ILN - shipper - POL - plant)]],'DATA ILN'!A:K,11,FALSE),VLOOKUP(Tableau119[[#This Row],[Key(Compte ILN - shipper - POL)]],'DATA ILN'!B:K,10,FALSE))</f>
        <v>#N/A</v>
      </c>
      <c r="U159" s="50" t="e">
        <f>IFERROR(VLOOKUP(Tableau119[[#This Row],[Key(Compte ILN - shipper - POL - plant)]],'DATA ILN'!A:L,12,FALSE),VLOOKUP(Tableau119[[#This Row],[Key(Compte ILN - shipper - POL)]],'DATA ILN'!B:L,11,FALSE))</f>
        <v>#N/A</v>
      </c>
      <c r="V159" s="50" t="e">
        <f>Tableau119[[#This Row],[Day ILN Order]]+Tableau119[[#This Row],[Delivery time to ILN/Shipper]]-1</f>
        <v>#N/A</v>
      </c>
      <c r="W159" s="50" t="e">
        <f>IFERROR(VLOOKUP(Tableau119[[#This Row],[Key(Compte ILN - shipper - POL - plant)]],'DATA ILN'!A:N,14,FALSE),VLOOKUP(Tableau119[[#This Row],[Key(Compte ILN - shipper - POL)]],'DATA ILN'!B:N,13,FALSE))</f>
        <v>#N/A</v>
      </c>
      <c r="X159" s="53" t="e">
        <f>IFERROR(VLOOKUP(Tableau119[[#This Row],[Key(Compte ILN - shipper - POL - plant)]],'DATA ILN'!A:P,16,FALSE),VLOOKUP(Tableau119[[#This Row],[Key(Compte ILN - shipper - POL)]],'DATA ILN'!B:P,15,FALSE))</f>
        <v>#N/A</v>
      </c>
      <c r="Y159" s="284" t="s">
        <v>166</v>
      </c>
      <c r="Z159" s="437">
        <f>IFERROR(VLOOKUP(Tableau119[[#This Row],[Name Shipper]],Plant_AILN!L:M,2,FALSE),0)</f>
        <v>95436</v>
      </c>
      <c r="AA159" s="406">
        <v>33</v>
      </c>
      <c r="AB159" s="396" t="b">
        <f>_xlfn.XLOOKUP(Tableau119[[#This Row],[Key(ID-date)]],'DATA BTO'!S:S,'DATA BTO'!E:E,FALSE)</f>
        <v>0</v>
      </c>
      <c r="AC159" s="3" t="b">
        <f>_xlfn.XLOOKUP(Tableau119[[#This Row],[Key(ID-date)]],'DATA BTO'!S:S,'DATA BTO'!F:F,FALSE)</f>
        <v>0</v>
      </c>
      <c r="AD159" s="50" t="b">
        <f>_xlfn.XLOOKUP(Tableau119[[#This Row],[Key(ID-date)]],'DATA BTO'!S:S,'DATA BTO'!G:G,FALSE)</f>
        <v>0</v>
      </c>
      <c r="AE159" s="50" t="b">
        <f>_xlfn.XLOOKUP(Tableau119[[#This Row],[Key(ID-date)]],'DATA BTO'!S:S,'DATA BTO'!H:H,FALSE)</f>
        <v>0</v>
      </c>
      <c r="AF159" s="50" t="e">
        <f>IF(Tableau119[[#This Row],[First Day to POL]]&lt;=Tableau119[[#This Row],[Day Cut Off]],Tableau119[[#This Row],[Day ETD]],Tableau119[[#This Row],[Day ETD]]+7)</f>
        <v>#N/A</v>
      </c>
      <c r="AG159" s="50" t="b">
        <f>_xlfn.XLOOKUP(Tableau119[[#This Row],[Key(ID-date)]],'DATA BTO'!S:S,'DATA BTO'!I:I,FALSE)</f>
        <v>0</v>
      </c>
      <c r="AH159" s="3" t="b">
        <f>_xlfn.XLOOKUP(Tableau119[[#This Row],[Key(ID-date)]],'DATA BTO'!S:S,'DATA BTO'!J:J,FALSE)</f>
        <v>0</v>
      </c>
      <c r="AI159" s="3" t="b">
        <f>_xlfn.XLOOKUP(Tableau119[[#This Row],[Key(ID-date)]],'DATA BTO'!S:S,'DATA BTO'!K:K,FALSE)</f>
        <v>0</v>
      </c>
      <c r="AJ159" s="50" t="b">
        <f>_xlfn.XLOOKUP(Tableau119[[#This Row],[Key(ID-date)]],'DATA BTO'!S:S,'DATA BTO'!L:L,FALSE)</f>
        <v>0</v>
      </c>
      <c r="AK159" s="53" t="b">
        <f>_xlfn.XLOOKUP(Tableau119[[#This Row],[Key(ID-date)]],'DATA BTO'!S:S,'DATA BTO'!N:N,FALSE)</f>
        <v>0</v>
      </c>
      <c r="AL159" s="54" t="e">
        <f>VLOOKUP(Tableau119[[#This Row],[Key(POD -PFI- Usine)]],'DATA Consignee'!A:F,6,FALSE)</f>
        <v>#N/A</v>
      </c>
      <c r="AM159" s="127"/>
      <c r="AN159" s="438" t="str">
        <f>IF(Tableau119[[#This Row],[Name PFI/CDD]]="","-",VLOOKUP(Tableau119[[#This Row],[Name PFI/CDD]],Plant_AILN!I:J,2,FALSE))</f>
        <v>-</v>
      </c>
      <c r="AO1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59" s="2" t="e">
        <f>VLOOKUP(Tableau119[[#This Row],[Key(POD -PFI- Usine)]],'DATA Consignee'!A:J,10,FALSE)</f>
        <v>#N/A</v>
      </c>
      <c r="AR159" s="50" t="e">
        <f>VLOOKUP(Tableau119[[#This Row],[Key(POD -PFI- Usine)]],'DATA Consignee'!A:N,14,FALSE)</f>
        <v>#N/A</v>
      </c>
      <c r="AS1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59" s="50">
        <f>Tableau119[[#This Row],[Transit time]]+Tableau119[[#This Row],[Time for security]]+Tableau119[[#This Row],[Time for security2 buffer]]</f>
        <v>0</v>
      </c>
      <c r="AV1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59" s="433" t="e">
        <f>Tableau119[[#This Row],[Leadtime SI2C]]+Tableau119[[#This Row],[First Receipt Days]]-Tableau119[[#This Row],[Day Customer Order]]+1</f>
        <v>#N/A</v>
      </c>
      <c r="AX159" s="119" t="e">
        <f>IF(Tableau119[[#This Row],[Name ILN]]&lt;&gt;"SFK Freight Forwarder",Tableau119[[#This Row],[Cust. Leadtime]],Tableau119[[#This Row],[Leadtime SI2C]])</f>
        <v>#N/A</v>
      </c>
      <c r="AY159" s="51" t="b">
        <f>_xlfn.XLOOKUP(Tableau119[[#This Row],[Key(ID-date)]],'DATA BTO'!S:S,'DATA BTO'!P:P,FALSE)</f>
        <v>0</v>
      </c>
      <c r="AZ159" s="338">
        <v>46142</v>
      </c>
      <c r="BA159" s="50"/>
    </row>
    <row r="160" spans="2:53">
      <c r="B160" s="474" t="str">
        <f>_xlfn.CONCAT(Tableau119[[#This Row],[Name ILN]],"-",Tableau119[[#This Row],[Name Shipper]],"-",Tableau119[[#This Row],[Name Site]])</f>
        <v>ILN Busan-ILN Busan-Curitiba CVP</v>
      </c>
      <c r="C160" s="67" t="str">
        <f>_xlfn.CONCAT(Tableau119[[#This Row],[Compte ILN]],"-",Tableau119[[#This Row],[Compte Shipper]],"-",Tableau119[[#This Row],[POL]],"-",Tableau119[[#This Row],[Compte Consignee]])</f>
        <v>95436-95436-FALSO-90018000</v>
      </c>
      <c r="D160" s="66" t="str">
        <f>_xlfn.CONCAT(Tableau119[[#This Row],[Compte ILN]],"-",Tableau119[[#This Row],[Compte Shipper]],"-",Tableau119[[#This Row],[POL]])</f>
        <v>95436-95436-FALSO</v>
      </c>
      <c r="E160" s="434" t="str">
        <f>_xlfn.CONCAT(Tableau119[[#This Row],[POL]],"-",Tableau119[[#This Row],[Carrier]],"-",Tableau119[[#This Row],[POD]])</f>
        <v>FALSO-FALSO-FALSO</v>
      </c>
      <c r="F160" s="66" t="str">
        <f>_xlfn.CONCAT(Tableau119[[#This Row],[ID]],"-","Actif")</f>
        <v>33-Actif</v>
      </c>
      <c r="G160" s="66" t="str">
        <f>_xlfn.CONCAT(Tableau119[[#This Row],[POD]],"-",Tableau119[[#This Row],[Code PFI]],"-",Tableau119[[#This Row],[Compte Consignee]])</f>
        <v>FALSO---90018000</v>
      </c>
      <c r="H16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CVP</v>
      </c>
      <c r="I160" s="434" t="str">
        <f>_xlfn.CONCAT(Tableau119[[#This Row],[ID]],"-",Tableau119[[#This Row],[Expiration Date]])</f>
        <v>33-45777</v>
      </c>
      <c r="J1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Busan-ILN Busan-33-FALSO-FALSO-FALSO--45777</v>
      </c>
      <c r="K160" s="435" t="str">
        <f ca="1">IF(COUNTIF(J:J,Tableau119[[#This Row],[Plant-ILN-shipper-POL-Carrier-POD-PFI]])=1,"Non","Oui")</f>
        <v>Non</v>
      </c>
      <c r="L160" s="128" t="str">
        <f>VLOOKUP(Tableau119[[#This Row],[Name Site]],Plant_AILN!A:D,4,FALSE)</f>
        <v>BRAZIL</v>
      </c>
      <c r="M160" s="411" t="s">
        <v>152</v>
      </c>
      <c r="N160" s="439">
        <f>VLOOKUP(Tableau119[[#This Row],[Name Site]],Plant_AILN!A:C,3,FALSE)</f>
        <v>90018000</v>
      </c>
      <c r="O160" s="55">
        <f>VLOOKUP(Tableau119[[#This Row],[Compte Consignee]],Order!C:D,2,FALSE)</f>
        <v>7</v>
      </c>
      <c r="P160" s="124" t="s">
        <v>166</v>
      </c>
      <c r="Q160" s="365">
        <f>VLOOKUP(Tableau119[[#This Row],[Name ILN]],Plant_AILN!F:G,2,FALSE)</f>
        <v>95436</v>
      </c>
      <c r="R160" s="50">
        <f>VLOOKUP(Tableau119[[#This Row],[Compte ILN]],'DATA ILN'!D:I,6,FALSE)</f>
        <v>9</v>
      </c>
      <c r="S160" s="50" t="e">
        <f>IFERROR(VLOOKUP(Tableau119[[#This Row],[Key(Compte ILN - shipper - POL - plant)]],'DATA ILN'!A:J,10,FALSE),VLOOKUP(Tableau119[[#This Row],[Key(Compte ILN - shipper - POL)]],'DATA ILN'!B:J,9,FALSE))</f>
        <v>#N/A</v>
      </c>
      <c r="T160" s="50" t="e">
        <f>IFERROR(VLOOKUP(Tableau119[[#This Row],[Key(Compte ILN - shipper - POL - plant)]],'DATA ILN'!A:K,11,FALSE),VLOOKUP(Tableau119[[#This Row],[Key(Compte ILN - shipper - POL)]],'DATA ILN'!B:K,10,FALSE))</f>
        <v>#N/A</v>
      </c>
      <c r="U160" s="50" t="e">
        <f>IFERROR(VLOOKUP(Tableau119[[#This Row],[Key(Compte ILN - shipper - POL - plant)]],'DATA ILN'!A:L,12,FALSE),VLOOKUP(Tableau119[[#This Row],[Key(Compte ILN - shipper - POL)]],'DATA ILN'!B:L,11,FALSE))</f>
        <v>#N/A</v>
      </c>
      <c r="V160" s="50" t="e">
        <f>Tableau119[[#This Row],[Day ILN Order]]+Tableau119[[#This Row],[Delivery time to ILN/Shipper]]-1</f>
        <v>#N/A</v>
      </c>
      <c r="W160" s="50" t="e">
        <f>IFERROR(VLOOKUP(Tableau119[[#This Row],[Key(Compte ILN - shipper - POL - plant)]],'DATA ILN'!A:N,14,FALSE),VLOOKUP(Tableau119[[#This Row],[Key(Compte ILN - shipper - POL)]],'DATA ILN'!B:N,13,FALSE))</f>
        <v>#N/A</v>
      </c>
      <c r="X160" s="53" t="e">
        <f>IFERROR(VLOOKUP(Tableau119[[#This Row],[Key(Compte ILN - shipper - POL - plant)]],'DATA ILN'!A:P,16,FALSE),VLOOKUP(Tableau119[[#This Row],[Key(Compte ILN - shipper - POL)]],'DATA ILN'!B:P,15,FALSE))</f>
        <v>#N/A</v>
      </c>
      <c r="Y160" s="284" t="s">
        <v>166</v>
      </c>
      <c r="Z160" s="437">
        <f>IFERROR(VLOOKUP(Tableau119[[#This Row],[Name Shipper]],Plant_AILN!L:M,2,FALSE),0)</f>
        <v>95436</v>
      </c>
      <c r="AA160" s="406">
        <v>33</v>
      </c>
      <c r="AB160" s="396" t="b">
        <f>_xlfn.XLOOKUP(Tableau119[[#This Row],[Key(ID-date)]],'DATA BTO'!S:S,'DATA BTO'!E:E,FALSE)</f>
        <v>0</v>
      </c>
      <c r="AC160" s="3" t="b">
        <f>_xlfn.XLOOKUP(Tableau119[[#This Row],[Key(ID-date)]],'DATA BTO'!S:S,'DATA BTO'!F:F,FALSE)</f>
        <v>0</v>
      </c>
      <c r="AD160" s="50" t="b">
        <f>_xlfn.XLOOKUP(Tableau119[[#This Row],[Key(ID-date)]],'DATA BTO'!S:S,'DATA BTO'!G:G,FALSE)</f>
        <v>0</v>
      </c>
      <c r="AE160" s="50" t="b">
        <f>_xlfn.XLOOKUP(Tableau119[[#This Row],[Key(ID-date)]],'DATA BTO'!S:S,'DATA BTO'!H:H,FALSE)</f>
        <v>0</v>
      </c>
      <c r="AF160" s="50" t="e">
        <f>IF(Tableau119[[#This Row],[First Day to POL]]&lt;=Tableau119[[#This Row],[Day Cut Off]],Tableau119[[#This Row],[Day ETD]],Tableau119[[#This Row],[Day ETD]]+7)</f>
        <v>#N/A</v>
      </c>
      <c r="AG160" s="50" t="b">
        <f>_xlfn.XLOOKUP(Tableau119[[#This Row],[Key(ID-date)]],'DATA BTO'!S:S,'DATA BTO'!I:I,FALSE)</f>
        <v>0</v>
      </c>
      <c r="AH160" s="3" t="b">
        <f>_xlfn.XLOOKUP(Tableau119[[#This Row],[Key(ID-date)]],'DATA BTO'!S:S,'DATA BTO'!J:J,FALSE)</f>
        <v>0</v>
      </c>
      <c r="AI160" s="3" t="b">
        <f>_xlfn.XLOOKUP(Tableau119[[#This Row],[Key(ID-date)]],'DATA BTO'!S:S,'DATA BTO'!K:K,FALSE)</f>
        <v>0</v>
      </c>
      <c r="AJ160" s="50" t="b">
        <f>_xlfn.XLOOKUP(Tableau119[[#This Row],[Key(ID-date)]],'DATA BTO'!S:S,'DATA BTO'!L:L,FALSE)</f>
        <v>0</v>
      </c>
      <c r="AK160" s="53" t="b">
        <f>_xlfn.XLOOKUP(Tableau119[[#This Row],[Key(ID-date)]],'DATA BTO'!S:S,'DATA BTO'!N:N,FALSE)</f>
        <v>0</v>
      </c>
      <c r="AL160" s="54" t="e">
        <f>VLOOKUP(Tableau119[[#This Row],[Key(POD -PFI- Usine)]],'DATA Consignee'!A:F,6,FALSE)</f>
        <v>#N/A</v>
      </c>
      <c r="AM160" s="127"/>
      <c r="AN160" s="438" t="str">
        <f>IF(Tableau119[[#This Row],[Name PFI/CDD]]="","-",VLOOKUP(Tableau119[[#This Row],[Name PFI/CDD]],Plant_AILN!I:J,2,FALSE))</f>
        <v>-</v>
      </c>
      <c r="AO1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0" s="2" t="e">
        <f>VLOOKUP(Tableau119[[#This Row],[Key(POD -PFI- Usine)]],'DATA Consignee'!A:J,10,FALSE)</f>
        <v>#N/A</v>
      </c>
      <c r="AR160" s="50" t="e">
        <f>VLOOKUP(Tableau119[[#This Row],[Key(POD -PFI- Usine)]],'DATA Consignee'!A:N,14,FALSE)</f>
        <v>#N/A</v>
      </c>
      <c r="AS1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0" s="50">
        <f>Tableau119[[#This Row],[Transit time]]+Tableau119[[#This Row],[Time for security]]+Tableau119[[#This Row],[Time for security2 buffer]]</f>
        <v>0</v>
      </c>
      <c r="AV1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0" s="433" t="e">
        <f>Tableau119[[#This Row],[Leadtime SI2C]]+Tableau119[[#This Row],[First Receipt Days]]-Tableau119[[#This Row],[Day Customer Order]]+1</f>
        <v>#N/A</v>
      </c>
      <c r="AX160" s="119" t="e">
        <f>IF(Tableau119[[#This Row],[Name ILN]]&lt;&gt;"SFK Freight Forwarder",Tableau119[[#This Row],[Cust. Leadtime]],Tableau119[[#This Row],[Leadtime SI2C]])</f>
        <v>#N/A</v>
      </c>
      <c r="AY160" s="51" t="b">
        <f>_xlfn.XLOOKUP(Tableau119[[#This Row],[Key(ID-date)]],'DATA BTO'!S:S,'DATA BTO'!P:P,FALSE)</f>
        <v>0</v>
      </c>
      <c r="AZ160" s="338">
        <v>45777</v>
      </c>
      <c r="BA160" s="50"/>
    </row>
    <row r="161" spans="2:53">
      <c r="B161" s="474" t="str">
        <f>_xlfn.CONCAT(Tableau119[[#This Row],[Name ILN]],"-",Tableau119[[#This Row],[Name Shipper]],"-",Tableau119[[#This Row],[Name Site]])</f>
        <v>ILN Busan-ILN Busan-Curitiba CVU</v>
      </c>
      <c r="C161" s="67" t="str">
        <f>_xlfn.CONCAT(Tableau119[[#This Row],[Compte ILN]],"-",Tableau119[[#This Row],[Compte Shipper]],"-",Tableau119[[#This Row],[POL]],"-",Tableau119[[#This Row],[Compte Consignee]])</f>
        <v>95436-95436-FALSO-90018500</v>
      </c>
      <c r="D161" s="66" t="str">
        <f>_xlfn.CONCAT(Tableau119[[#This Row],[Compte ILN]],"-",Tableau119[[#This Row],[Compte Shipper]],"-",Tableau119[[#This Row],[POL]])</f>
        <v>95436-95436-FALSO</v>
      </c>
      <c r="E161" s="434" t="str">
        <f>_xlfn.CONCAT(Tableau119[[#This Row],[POL]],"-",Tableau119[[#This Row],[Carrier]],"-",Tableau119[[#This Row],[POD]])</f>
        <v>FALSO-FALSO-FALSO</v>
      </c>
      <c r="F161" s="66" t="str">
        <f>_xlfn.CONCAT(Tableau119[[#This Row],[ID]],"-","Actif")</f>
        <v>33-Actif</v>
      </c>
      <c r="G161" s="66" t="str">
        <f>_xlfn.CONCAT(Tableau119[[#This Row],[POD]],"-",Tableau119[[#This Row],[Code PFI]],"-",Tableau119[[#This Row],[Compte Consignee]])</f>
        <v>FALSO---90018500</v>
      </c>
      <c r="H16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CVU</v>
      </c>
      <c r="I161" s="434" t="str">
        <f>_xlfn.CONCAT(Tableau119[[#This Row],[ID]],"-",Tableau119[[#This Row],[Expiration Date]])</f>
        <v>33-45777</v>
      </c>
      <c r="J1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Busan-ILN Busan-33-FALSO-FALSO-FALSO--45777</v>
      </c>
      <c r="K161" s="435" t="str">
        <f ca="1">IF(COUNTIF(J:J,Tableau119[[#This Row],[Plant-ILN-shipper-POL-Carrier-POD-PFI]])=1,"Non","Oui")</f>
        <v>Non</v>
      </c>
      <c r="L161" s="128" t="str">
        <f>VLOOKUP(Tableau119[[#This Row],[Name Site]],Plant_AILN!A:D,4,FALSE)</f>
        <v>BRAZIL</v>
      </c>
      <c r="M161" s="411" t="s">
        <v>639</v>
      </c>
      <c r="N161" s="439">
        <f>VLOOKUP(Tableau119[[#This Row],[Name Site]],Plant_AILN!A:C,3,FALSE)</f>
        <v>90018500</v>
      </c>
      <c r="O161" s="55">
        <f>VLOOKUP(Tableau119[[#This Row],[Compte Consignee]],Order!C:D,2,FALSE)</f>
        <v>7</v>
      </c>
      <c r="P161" s="124" t="s">
        <v>166</v>
      </c>
      <c r="Q161" s="365">
        <f>VLOOKUP(Tableau119[[#This Row],[Name ILN]],Plant_AILN!F:G,2,FALSE)</f>
        <v>95436</v>
      </c>
      <c r="R161" s="50">
        <f>VLOOKUP(Tableau119[[#This Row],[Compte ILN]],'DATA ILN'!D:I,6,FALSE)</f>
        <v>9</v>
      </c>
      <c r="S161" s="50" t="e">
        <f>IFERROR(VLOOKUP(Tableau119[[#This Row],[Key(Compte ILN - shipper - POL - plant)]],'DATA ILN'!A:J,10,FALSE),VLOOKUP(Tableau119[[#This Row],[Key(Compte ILN - shipper - POL)]],'DATA ILN'!B:J,9,FALSE))</f>
        <v>#N/A</v>
      </c>
      <c r="T161" s="50" t="e">
        <f>IFERROR(VLOOKUP(Tableau119[[#This Row],[Key(Compte ILN - shipper - POL - plant)]],'DATA ILN'!A:K,11,FALSE),VLOOKUP(Tableau119[[#This Row],[Key(Compte ILN - shipper - POL)]],'DATA ILN'!B:K,10,FALSE))</f>
        <v>#N/A</v>
      </c>
      <c r="U161" s="50" t="e">
        <f>IFERROR(VLOOKUP(Tableau119[[#This Row],[Key(Compte ILN - shipper - POL - plant)]],'DATA ILN'!A:L,12,FALSE),VLOOKUP(Tableau119[[#This Row],[Key(Compte ILN - shipper - POL)]],'DATA ILN'!B:L,11,FALSE))</f>
        <v>#N/A</v>
      </c>
      <c r="V161" s="50" t="e">
        <f>Tableau119[[#This Row],[Day ILN Order]]+Tableau119[[#This Row],[Delivery time to ILN/Shipper]]-1</f>
        <v>#N/A</v>
      </c>
      <c r="W161" s="50" t="e">
        <f>IFERROR(VLOOKUP(Tableau119[[#This Row],[Key(Compte ILN - shipper - POL - plant)]],'DATA ILN'!A:N,14,FALSE),VLOOKUP(Tableau119[[#This Row],[Key(Compte ILN - shipper - POL)]],'DATA ILN'!B:N,13,FALSE))</f>
        <v>#N/A</v>
      </c>
      <c r="X161" s="53" t="e">
        <f>IFERROR(VLOOKUP(Tableau119[[#This Row],[Key(Compte ILN - shipper - POL - plant)]],'DATA ILN'!A:P,16,FALSE),VLOOKUP(Tableau119[[#This Row],[Key(Compte ILN - shipper - POL)]],'DATA ILN'!B:P,15,FALSE))</f>
        <v>#N/A</v>
      </c>
      <c r="Y161" s="284" t="s">
        <v>166</v>
      </c>
      <c r="Z161" s="437">
        <f>IFERROR(VLOOKUP(Tableau119[[#This Row],[Name Shipper]],Plant_AILN!L:M,2,FALSE),0)</f>
        <v>95436</v>
      </c>
      <c r="AA161" s="406">
        <v>33</v>
      </c>
      <c r="AB161" s="396" t="b">
        <f>_xlfn.XLOOKUP(Tableau119[[#This Row],[Key(ID-date)]],'DATA BTO'!S:S,'DATA BTO'!E:E,FALSE)</f>
        <v>0</v>
      </c>
      <c r="AC161" s="3" t="b">
        <f>_xlfn.XLOOKUP(Tableau119[[#This Row],[Key(ID-date)]],'DATA BTO'!S:S,'DATA BTO'!F:F,FALSE)</f>
        <v>0</v>
      </c>
      <c r="AD161" s="50" t="b">
        <f>_xlfn.XLOOKUP(Tableau119[[#This Row],[Key(ID-date)]],'DATA BTO'!S:S,'DATA BTO'!G:G,FALSE)</f>
        <v>0</v>
      </c>
      <c r="AE161" s="50" t="b">
        <f>_xlfn.XLOOKUP(Tableau119[[#This Row],[Key(ID-date)]],'DATA BTO'!S:S,'DATA BTO'!H:H,FALSE)</f>
        <v>0</v>
      </c>
      <c r="AF161" s="50" t="e">
        <f>IF(Tableau119[[#This Row],[First Day to POL]]&lt;=Tableau119[[#This Row],[Day Cut Off]],Tableau119[[#This Row],[Day ETD]],Tableau119[[#This Row],[Day ETD]]+7)</f>
        <v>#N/A</v>
      </c>
      <c r="AG161" s="50" t="b">
        <f>_xlfn.XLOOKUP(Tableau119[[#This Row],[Key(ID-date)]],'DATA BTO'!S:S,'DATA BTO'!I:I,FALSE)</f>
        <v>0</v>
      </c>
      <c r="AH161" s="3" t="b">
        <f>_xlfn.XLOOKUP(Tableau119[[#This Row],[Key(ID-date)]],'DATA BTO'!S:S,'DATA BTO'!J:J,FALSE)</f>
        <v>0</v>
      </c>
      <c r="AI161" s="3" t="b">
        <f>_xlfn.XLOOKUP(Tableau119[[#This Row],[Key(ID-date)]],'DATA BTO'!S:S,'DATA BTO'!K:K,FALSE)</f>
        <v>0</v>
      </c>
      <c r="AJ161" s="50" t="b">
        <f>_xlfn.XLOOKUP(Tableau119[[#This Row],[Key(ID-date)]],'DATA BTO'!S:S,'DATA BTO'!L:L,FALSE)</f>
        <v>0</v>
      </c>
      <c r="AK161" s="53" t="b">
        <f>_xlfn.XLOOKUP(Tableau119[[#This Row],[Key(ID-date)]],'DATA BTO'!S:S,'DATA BTO'!N:N,FALSE)</f>
        <v>0</v>
      </c>
      <c r="AL161" s="54" t="e">
        <f>VLOOKUP(Tableau119[[#This Row],[Key(POD -PFI- Usine)]],'DATA Consignee'!A:F,6,FALSE)</f>
        <v>#N/A</v>
      </c>
      <c r="AM161" s="127"/>
      <c r="AN161" s="438" t="str">
        <f>IF(Tableau119[[#This Row],[Name PFI/CDD]]="","-",VLOOKUP(Tableau119[[#This Row],[Name PFI/CDD]],Plant_AILN!I:J,2,FALSE))</f>
        <v>-</v>
      </c>
      <c r="AO1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1" s="2" t="e">
        <f>VLOOKUP(Tableau119[[#This Row],[Key(POD -PFI- Usine)]],'DATA Consignee'!A:J,10,FALSE)</f>
        <v>#N/A</v>
      </c>
      <c r="AR161" s="50" t="e">
        <f>VLOOKUP(Tableau119[[#This Row],[Key(POD -PFI- Usine)]],'DATA Consignee'!A:N,14,FALSE)</f>
        <v>#N/A</v>
      </c>
      <c r="AS1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1" s="50">
        <f>Tableau119[[#This Row],[Transit time]]+Tableau119[[#This Row],[Time for security]]+Tableau119[[#This Row],[Time for security2 buffer]]</f>
        <v>0</v>
      </c>
      <c r="AV1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1" s="433" t="e">
        <f>Tableau119[[#This Row],[Leadtime SI2C]]+Tableau119[[#This Row],[First Receipt Days]]-Tableau119[[#This Row],[Day Customer Order]]+1</f>
        <v>#N/A</v>
      </c>
      <c r="AX161" s="119" t="e">
        <f>IF(Tableau119[[#This Row],[Name ILN]]&lt;&gt;"SFK Freight Forwarder",Tableau119[[#This Row],[Cust. Leadtime]],Tableau119[[#This Row],[Leadtime SI2C]])</f>
        <v>#N/A</v>
      </c>
      <c r="AY161" s="51" t="b">
        <f>_xlfn.XLOOKUP(Tableau119[[#This Row],[Key(ID-date)]],'DATA BTO'!S:S,'DATA BTO'!P:P,FALSE)</f>
        <v>0</v>
      </c>
      <c r="AZ161" s="338">
        <v>45777</v>
      </c>
      <c r="BA161" s="50"/>
    </row>
    <row r="162" spans="2:53">
      <c r="B162" s="474" t="str">
        <f>_xlfn.CONCAT(Tableau119[[#This Row],[Name ILN]],"-",Tableau119[[#This Row],[Name Shipper]],"-",Tableau119[[#This Row],[Name Site]])</f>
        <v>ILN Busan-ILN Busan-Curitiba CVP</v>
      </c>
      <c r="C162" s="67" t="str">
        <f>_xlfn.CONCAT(Tableau119[[#This Row],[Compte ILN]],"-",Tableau119[[#This Row],[Compte Shipper]],"-",Tableau119[[#This Row],[POL]],"-",Tableau119[[#This Row],[Compte Consignee]])</f>
        <v>95436-95436-FALSO-90018000</v>
      </c>
      <c r="D162" s="66" t="str">
        <f>_xlfn.CONCAT(Tableau119[[#This Row],[Compte ILN]],"-",Tableau119[[#This Row],[Compte Shipper]],"-",Tableau119[[#This Row],[POL]])</f>
        <v>95436-95436-FALSO</v>
      </c>
      <c r="E162" s="434" t="str">
        <f>_xlfn.CONCAT(Tableau119[[#This Row],[POL]],"-",Tableau119[[#This Row],[Carrier]],"-",Tableau119[[#This Row],[POD]])</f>
        <v>FALSO-FALSO-FALSO</v>
      </c>
      <c r="F162" s="66" t="str">
        <f>_xlfn.CONCAT(Tableau119[[#This Row],[ID]],"-","Actif")</f>
        <v>33-Actif</v>
      </c>
      <c r="G162" s="66" t="str">
        <f>_xlfn.CONCAT(Tableau119[[#This Row],[POD]],"-",Tableau119[[#This Row],[Code PFI]],"-",Tableau119[[#This Row],[Compte Consignee]])</f>
        <v>FALSO---90018000</v>
      </c>
      <c r="H16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CVP</v>
      </c>
      <c r="I162" s="434" t="str">
        <f>_xlfn.CONCAT(Tableau119[[#This Row],[ID]],"-",Tableau119[[#This Row],[Expiration Date]])</f>
        <v>33-45473</v>
      </c>
      <c r="J1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Busan-ILN Busan-33-FALSO-FALSO-FALSO--45473</v>
      </c>
      <c r="K162" s="435" t="str">
        <f ca="1">IF(COUNTIF(J:J,Tableau119[[#This Row],[Plant-ILN-shipper-POL-Carrier-POD-PFI]])=1,"Non","Oui")</f>
        <v>Non</v>
      </c>
      <c r="L162" s="128" t="str">
        <f>VLOOKUP(Tableau119[[#This Row],[Name Site]],Plant_AILN!A:D,4,FALSE)</f>
        <v>BRAZIL</v>
      </c>
      <c r="M162" s="411" t="s">
        <v>152</v>
      </c>
      <c r="N162" s="439">
        <f>VLOOKUP(Tableau119[[#This Row],[Name Site]],Plant_AILN!A:C,3,FALSE)</f>
        <v>90018000</v>
      </c>
      <c r="O162" s="55">
        <f>VLOOKUP(Tableau119[[#This Row],[Compte Consignee]],Order!C:D,2,FALSE)</f>
        <v>7</v>
      </c>
      <c r="P162" s="124" t="s">
        <v>166</v>
      </c>
      <c r="Q162" s="365">
        <f>VLOOKUP(Tableau119[[#This Row],[Name ILN]],Plant_AILN!F:G,2,FALSE)</f>
        <v>95436</v>
      </c>
      <c r="R162" s="50">
        <f>VLOOKUP(Tableau119[[#This Row],[Compte ILN]],'DATA ILN'!D:I,6,FALSE)</f>
        <v>9</v>
      </c>
      <c r="S162" s="50" t="e">
        <f>IFERROR(VLOOKUP(Tableau119[[#This Row],[Key(Compte ILN - shipper - POL - plant)]],'DATA ILN'!A:J,10,FALSE),VLOOKUP(Tableau119[[#This Row],[Key(Compte ILN - shipper - POL)]],'DATA ILN'!B:J,9,FALSE))</f>
        <v>#N/A</v>
      </c>
      <c r="T162" s="50" t="e">
        <f>IFERROR(VLOOKUP(Tableau119[[#This Row],[Key(Compte ILN - shipper - POL - plant)]],'DATA ILN'!A:K,11,FALSE),VLOOKUP(Tableau119[[#This Row],[Key(Compte ILN - shipper - POL)]],'DATA ILN'!B:K,10,FALSE))</f>
        <v>#N/A</v>
      </c>
      <c r="U162" s="50" t="e">
        <f>IFERROR(VLOOKUP(Tableau119[[#This Row],[Key(Compte ILN - shipper - POL - plant)]],'DATA ILN'!A:L,12,FALSE),VLOOKUP(Tableau119[[#This Row],[Key(Compte ILN - shipper - POL)]],'DATA ILN'!B:L,11,FALSE))</f>
        <v>#N/A</v>
      </c>
      <c r="V162" s="50" t="e">
        <f>Tableau119[[#This Row],[Day ILN Order]]+Tableau119[[#This Row],[Delivery time to ILN/Shipper]]-1</f>
        <v>#N/A</v>
      </c>
      <c r="W162" s="50" t="e">
        <f>IFERROR(VLOOKUP(Tableau119[[#This Row],[Key(Compte ILN - shipper - POL - plant)]],'DATA ILN'!A:N,14,FALSE),VLOOKUP(Tableau119[[#This Row],[Key(Compte ILN - shipper - POL)]],'DATA ILN'!B:N,13,FALSE))</f>
        <v>#N/A</v>
      </c>
      <c r="X162" s="53" t="e">
        <f>IFERROR(VLOOKUP(Tableau119[[#This Row],[Key(Compte ILN - shipper - POL - plant)]],'DATA ILN'!A:P,16,FALSE),VLOOKUP(Tableau119[[#This Row],[Key(Compte ILN - shipper - POL)]],'DATA ILN'!B:P,15,FALSE))</f>
        <v>#N/A</v>
      </c>
      <c r="Y162" s="284" t="s">
        <v>166</v>
      </c>
      <c r="Z162" s="437">
        <f>IFERROR(VLOOKUP(Tableau119[[#This Row],[Name Shipper]],Plant_AILN!L:M,2,FALSE),0)</f>
        <v>95436</v>
      </c>
      <c r="AA162" s="406">
        <v>33</v>
      </c>
      <c r="AB162" s="396" t="b">
        <f>_xlfn.XLOOKUP(Tableau119[[#This Row],[Key(ID-date)]],'DATA BTO'!S:S,'DATA BTO'!E:E,FALSE)</f>
        <v>0</v>
      </c>
      <c r="AC162" s="3" t="b">
        <f>_xlfn.XLOOKUP(Tableau119[[#This Row],[Key(ID-date)]],'DATA BTO'!S:S,'DATA BTO'!F:F,FALSE)</f>
        <v>0</v>
      </c>
      <c r="AD162" s="50" t="b">
        <f>_xlfn.XLOOKUP(Tableau119[[#This Row],[Key(ID-date)]],'DATA BTO'!S:S,'DATA BTO'!G:G,FALSE)</f>
        <v>0</v>
      </c>
      <c r="AE162" s="50" t="b">
        <f>_xlfn.XLOOKUP(Tableau119[[#This Row],[Key(ID-date)]],'DATA BTO'!S:S,'DATA BTO'!H:H,FALSE)</f>
        <v>0</v>
      </c>
      <c r="AF162" s="50" t="e">
        <f>IF(Tableau119[[#This Row],[First Day to POL]]&lt;=Tableau119[[#This Row],[Day Cut Off]],Tableau119[[#This Row],[Day ETD]],Tableau119[[#This Row],[Day ETD]]+7)</f>
        <v>#N/A</v>
      </c>
      <c r="AG162" s="50" t="b">
        <f>_xlfn.XLOOKUP(Tableau119[[#This Row],[Key(ID-date)]],'DATA BTO'!S:S,'DATA BTO'!I:I,FALSE)</f>
        <v>0</v>
      </c>
      <c r="AH162" s="3" t="b">
        <f>_xlfn.XLOOKUP(Tableau119[[#This Row],[Key(ID-date)]],'DATA BTO'!S:S,'DATA BTO'!J:J,FALSE)</f>
        <v>0</v>
      </c>
      <c r="AI162" s="3" t="b">
        <f>_xlfn.XLOOKUP(Tableau119[[#This Row],[Key(ID-date)]],'DATA BTO'!S:S,'DATA BTO'!K:K,FALSE)</f>
        <v>0</v>
      </c>
      <c r="AJ162" s="50" t="b">
        <f>_xlfn.XLOOKUP(Tableau119[[#This Row],[Key(ID-date)]],'DATA BTO'!S:S,'DATA BTO'!L:L,FALSE)</f>
        <v>0</v>
      </c>
      <c r="AK162" s="53" t="b">
        <f>_xlfn.XLOOKUP(Tableau119[[#This Row],[Key(ID-date)]],'DATA BTO'!S:S,'DATA BTO'!N:N,FALSE)</f>
        <v>0</v>
      </c>
      <c r="AL162" s="54" t="e">
        <f>VLOOKUP(Tableau119[[#This Row],[Key(POD -PFI- Usine)]],'DATA Consignee'!A:F,6,FALSE)</f>
        <v>#N/A</v>
      </c>
      <c r="AM162" s="127"/>
      <c r="AN162" s="438" t="str">
        <f>IF(Tableau119[[#This Row],[Name PFI/CDD]]="","-",VLOOKUP(Tableau119[[#This Row],[Name PFI/CDD]],Plant_AILN!I:J,2,FALSE))</f>
        <v>-</v>
      </c>
      <c r="AO1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2" s="2" t="e">
        <f>VLOOKUP(Tableau119[[#This Row],[Key(POD -PFI- Usine)]],'DATA Consignee'!A:J,10,FALSE)</f>
        <v>#N/A</v>
      </c>
      <c r="AR162" s="50" t="e">
        <f>VLOOKUP(Tableau119[[#This Row],[Key(POD -PFI- Usine)]],'DATA Consignee'!A:N,14,FALSE)</f>
        <v>#N/A</v>
      </c>
      <c r="AS1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2" s="50">
        <f>Tableau119[[#This Row],[Transit time]]+Tableau119[[#This Row],[Time for security]]+Tableau119[[#This Row],[Time for security2 buffer]]</f>
        <v>0</v>
      </c>
      <c r="AV1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2" s="433" t="e">
        <f>Tableau119[[#This Row],[Leadtime SI2C]]+Tableau119[[#This Row],[First Receipt Days]]-Tableau119[[#This Row],[Day Customer Order]]+1</f>
        <v>#N/A</v>
      </c>
      <c r="AX162" s="119" t="e">
        <f>IF(Tableau119[[#This Row],[Name ILN]]&lt;&gt;"SFK Freight Forwarder",Tableau119[[#This Row],[Cust. Leadtime]],Tableau119[[#This Row],[Leadtime SI2C]])</f>
        <v>#N/A</v>
      </c>
      <c r="AY162" s="51" t="b">
        <f>_xlfn.XLOOKUP(Tableau119[[#This Row],[Key(ID-date)]],'DATA BTO'!S:S,'DATA BTO'!P:P,FALSE)</f>
        <v>0</v>
      </c>
      <c r="AZ162" s="338">
        <v>45473</v>
      </c>
      <c r="BA162" s="50"/>
    </row>
    <row r="163" spans="2:53">
      <c r="B163" s="474" t="str">
        <f>_xlfn.CONCAT(Tableau119[[#This Row],[Name ILN]],"-",Tableau119[[#This Row],[Name Shipper]],"-",Tableau119[[#This Row],[Name Site]])</f>
        <v>ILN Busan-ILN Busan-Curitiba CVU</v>
      </c>
      <c r="C163" s="67" t="str">
        <f>_xlfn.CONCAT(Tableau119[[#This Row],[Compte ILN]],"-",Tableau119[[#This Row],[Compte Shipper]],"-",Tableau119[[#This Row],[POL]],"-",Tableau119[[#This Row],[Compte Consignee]])</f>
        <v>95436-95436-FALSO-90018500</v>
      </c>
      <c r="D163" s="66" t="str">
        <f>_xlfn.CONCAT(Tableau119[[#This Row],[Compte ILN]],"-",Tableau119[[#This Row],[Compte Shipper]],"-",Tableau119[[#This Row],[POL]])</f>
        <v>95436-95436-FALSO</v>
      </c>
      <c r="E163" s="434" t="str">
        <f>_xlfn.CONCAT(Tableau119[[#This Row],[POL]],"-",Tableau119[[#This Row],[Carrier]],"-",Tableau119[[#This Row],[POD]])</f>
        <v>FALSO-FALSO-FALSO</v>
      </c>
      <c r="F163" s="66" t="str">
        <f>_xlfn.CONCAT(Tableau119[[#This Row],[ID]],"-","Actif")</f>
        <v>33-Actif</v>
      </c>
      <c r="G163" s="66" t="str">
        <f>_xlfn.CONCAT(Tableau119[[#This Row],[POD]],"-",Tableau119[[#This Row],[Code PFI]],"-",Tableau119[[#This Row],[Compte Consignee]])</f>
        <v>FALSO---90018500</v>
      </c>
      <c r="H16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CVU</v>
      </c>
      <c r="I163" s="434" t="str">
        <f>_xlfn.CONCAT(Tableau119[[#This Row],[ID]],"-",Tableau119[[#This Row],[Expiration Date]])</f>
        <v>33-45473</v>
      </c>
      <c r="J1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Busan-ILN Busan-33-FALSO-FALSO-FALSO--45473</v>
      </c>
      <c r="K163" s="435" t="str">
        <f ca="1">IF(COUNTIF(J:J,Tableau119[[#This Row],[Plant-ILN-shipper-POL-Carrier-POD-PFI]])=1,"Non","Oui")</f>
        <v>Non</v>
      </c>
      <c r="L163" s="128" t="str">
        <f>VLOOKUP(Tableau119[[#This Row],[Name Site]],Plant_AILN!A:D,4,FALSE)</f>
        <v>BRAZIL</v>
      </c>
      <c r="M163" s="411" t="s">
        <v>639</v>
      </c>
      <c r="N163" s="439">
        <f>VLOOKUP(Tableau119[[#This Row],[Name Site]],Plant_AILN!A:C,3,FALSE)</f>
        <v>90018500</v>
      </c>
      <c r="O163" s="55">
        <f>VLOOKUP(Tableau119[[#This Row],[Compte Consignee]],Order!C:D,2,FALSE)</f>
        <v>7</v>
      </c>
      <c r="P163" s="124" t="s">
        <v>166</v>
      </c>
      <c r="Q163" s="365">
        <f>VLOOKUP(Tableau119[[#This Row],[Name ILN]],Plant_AILN!F:G,2,FALSE)</f>
        <v>95436</v>
      </c>
      <c r="R163" s="50">
        <f>VLOOKUP(Tableau119[[#This Row],[Compte ILN]],'DATA ILN'!D:I,6,FALSE)</f>
        <v>9</v>
      </c>
      <c r="S163" s="50" t="e">
        <f>IFERROR(VLOOKUP(Tableau119[[#This Row],[Key(Compte ILN - shipper - POL - plant)]],'DATA ILN'!A:J,10,FALSE),VLOOKUP(Tableau119[[#This Row],[Key(Compte ILN - shipper - POL)]],'DATA ILN'!B:J,9,FALSE))</f>
        <v>#N/A</v>
      </c>
      <c r="T163" s="50" t="e">
        <f>IFERROR(VLOOKUP(Tableau119[[#This Row],[Key(Compte ILN - shipper - POL - plant)]],'DATA ILN'!A:K,11,FALSE),VLOOKUP(Tableau119[[#This Row],[Key(Compte ILN - shipper - POL)]],'DATA ILN'!B:K,10,FALSE))</f>
        <v>#N/A</v>
      </c>
      <c r="U163" s="50" t="e">
        <f>IFERROR(VLOOKUP(Tableau119[[#This Row],[Key(Compte ILN - shipper - POL - plant)]],'DATA ILN'!A:L,12,FALSE),VLOOKUP(Tableau119[[#This Row],[Key(Compte ILN - shipper - POL)]],'DATA ILN'!B:L,11,FALSE))</f>
        <v>#N/A</v>
      </c>
      <c r="V163" s="50" t="e">
        <f>Tableau119[[#This Row],[Day ILN Order]]+Tableau119[[#This Row],[Delivery time to ILN/Shipper]]-1</f>
        <v>#N/A</v>
      </c>
      <c r="W163" s="50" t="e">
        <f>IFERROR(VLOOKUP(Tableau119[[#This Row],[Key(Compte ILN - shipper - POL - plant)]],'DATA ILN'!A:N,14,FALSE),VLOOKUP(Tableau119[[#This Row],[Key(Compte ILN - shipper - POL)]],'DATA ILN'!B:N,13,FALSE))</f>
        <v>#N/A</v>
      </c>
      <c r="X163" s="53" t="e">
        <f>IFERROR(VLOOKUP(Tableau119[[#This Row],[Key(Compte ILN - shipper - POL - plant)]],'DATA ILN'!A:P,16,FALSE),VLOOKUP(Tableau119[[#This Row],[Key(Compte ILN - shipper - POL)]],'DATA ILN'!B:P,15,FALSE))</f>
        <v>#N/A</v>
      </c>
      <c r="Y163" s="284" t="s">
        <v>166</v>
      </c>
      <c r="Z163" s="437">
        <f>IFERROR(VLOOKUP(Tableau119[[#This Row],[Name Shipper]],Plant_AILN!L:M,2,FALSE),0)</f>
        <v>95436</v>
      </c>
      <c r="AA163" s="406">
        <v>33</v>
      </c>
      <c r="AB163" s="396" t="b">
        <f>_xlfn.XLOOKUP(Tableau119[[#This Row],[Key(ID-date)]],'DATA BTO'!S:S,'DATA BTO'!E:E,FALSE)</f>
        <v>0</v>
      </c>
      <c r="AC163" s="3" t="b">
        <f>_xlfn.XLOOKUP(Tableau119[[#This Row],[Key(ID-date)]],'DATA BTO'!S:S,'DATA BTO'!F:F,FALSE)</f>
        <v>0</v>
      </c>
      <c r="AD163" s="50" t="b">
        <f>_xlfn.XLOOKUP(Tableau119[[#This Row],[Key(ID-date)]],'DATA BTO'!S:S,'DATA BTO'!G:G,FALSE)</f>
        <v>0</v>
      </c>
      <c r="AE163" s="50" t="b">
        <f>_xlfn.XLOOKUP(Tableau119[[#This Row],[Key(ID-date)]],'DATA BTO'!S:S,'DATA BTO'!H:H,FALSE)</f>
        <v>0</v>
      </c>
      <c r="AF163" s="50" t="e">
        <f>IF(Tableau119[[#This Row],[First Day to POL]]&lt;=Tableau119[[#This Row],[Day Cut Off]],Tableau119[[#This Row],[Day ETD]],Tableau119[[#This Row],[Day ETD]]+7)</f>
        <v>#N/A</v>
      </c>
      <c r="AG163" s="50" t="b">
        <f>_xlfn.XLOOKUP(Tableau119[[#This Row],[Key(ID-date)]],'DATA BTO'!S:S,'DATA BTO'!I:I,FALSE)</f>
        <v>0</v>
      </c>
      <c r="AH163" s="3" t="b">
        <f>_xlfn.XLOOKUP(Tableau119[[#This Row],[Key(ID-date)]],'DATA BTO'!S:S,'DATA BTO'!J:J,FALSE)</f>
        <v>0</v>
      </c>
      <c r="AI163" s="3" t="b">
        <f>_xlfn.XLOOKUP(Tableau119[[#This Row],[Key(ID-date)]],'DATA BTO'!S:S,'DATA BTO'!K:K,FALSE)</f>
        <v>0</v>
      </c>
      <c r="AJ163" s="50" t="b">
        <f>_xlfn.XLOOKUP(Tableau119[[#This Row],[Key(ID-date)]],'DATA BTO'!S:S,'DATA BTO'!L:L,FALSE)</f>
        <v>0</v>
      </c>
      <c r="AK163" s="53" t="b">
        <f>_xlfn.XLOOKUP(Tableau119[[#This Row],[Key(ID-date)]],'DATA BTO'!S:S,'DATA BTO'!N:N,FALSE)</f>
        <v>0</v>
      </c>
      <c r="AL163" s="54" t="e">
        <f>VLOOKUP(Tableau119[[#This Row],[Key(POD -PFI- Usine)]],'DATA Consignee'!A:F,6,FALSE)</f>
        <v>#N/A</v>
      </c>
      <c r="AM163" s="127"/>
      <c r="AN163" s="438" t="str">
        <f>IF(Tableau119[[#This Row],[Name PFI/CDD]]="","-",VLOOKUP(Tableau119[[#This Row],[Name PFI/CDD]],Plant_AILN!I:J,2,FALSE))</f>
        <v>-</v>
      </c>
      <c r="AO1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3" s="2" t="e">
        <f>VLOOKUP(Tableau119[[#This Row],[Key(POD -PFI- Usine)]],'DATA Consignee'!A:J,10,FALSE)</f>
        <v>#N/A</v>
      </c>
      <c r="AR163" s="50" t="e">
        <f>VLOOKUP(Tableau119[[#This Row],[Key(POD -PFI- Usine)]],'DATA Consignee'!A:N,14,FALSE)</f>
        <v>#N/A</v>
      </c>
      <c r="AS1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3" s="50">
        <f>Tableau119[[#This Row],[Transit time]]+Tableau119[[#This Row],[Time for security]]+Tableau119[[#This Row],[Time for security2 buffer]]</f>
        <v>0</v>
      </c>
      <c r="AV1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3" s="433" t="e">
        <f>Tableau119[[#This Row],[Leadtime SI2C]]+Tableau119[[#This Row],[First Receipt Days]]-Tableau119[[#This Row],[Day Customer Order]]+1</f>
        <v>#N/A</v>
      </c>
      <c r="AX163" s="119" t="e">
        <f>IF(Tableau119[[#This Row],[Name ILN]]&lt;&gt;"SFK Freight Forwarder",Tableau119[[#This Row],[Cust. Leadtime]],Tableau119[[#This Row],[Leadtime SI2C]])</f>
        <v>#N/A</v>
      </c>
      <c r="AY163" s="51" t="b">
        <f>_xlfn.XLOOKUP(Tableau119[[#This Row],[Key(ID-date)]],'DATA BTO'!S:S,'DATA BTO'!P:P,FALSE)</f>
        <v>0</v>
      </c>
      <c r="AZ163" s="338">
        <v>45473</v>
      </c>
      <c r="BA163" s="50"/>
    </row>
    <row r="164" spans="2:53">
      <c r="B164" s="474" t="str">
        <f>_xlfn.CONCAT(Tableau119[[#This Row],[Name ILN]],"-",Tableau119[[#This Row],[Name Shipper]],"-",Tableau119[[#This Row],[Name Site]])</f>
        <v>ILN Busan-ILN Busan-Curitiba CVP</v>
      </c>
      <c r="C164" s="67" t="str">
        <f>_xlfn.CONCAT(Tableau119[[#This Row],[Compte ILN]],"-",Tableau119[[#This Row],[Compte Shipper]],"-",Tableau119[[#This Row],[POL]],"-",Tableau119[[#This Row],[Compte Consignee]])</f>
        <v>95436-95436-FALSO-90018000</v>
      </c>
      <c r="D164" s="66" t="str">
        <f>_xlfn.CONCAT(Tableau119[[#This Row],[Compte ILN]],"-",Tableau119[[#This Row],[Compte Shipper]],"-",Tableau119[[#This Row],[POL]])</f>
        <v>95436-95436-FALSO</v>
      </c>
      <c r="E164" s="434" t="str">
        <f>_xlfn.CONCAT(Tableau119[[#This Row],[POL]],"-",Tableau119[[#This Row],[Carrier]],"-",Tableau119[[#This Row],[POD]])</f>
        <v>FALSO-FALSO-FALSO</v>
      </c>
      <c r="F164" s="66" t="str">
        <f>_xlfn.CONCAT(Tableau119[[#This Row],[ID]],"-","Actif")</f>
        <v>33-Actif</v>
      </c>
      <c r="G164" s="66" t="str">
        <f>_xlfn.CONCAT(Tableau119[[#This Row],[POD]],"-",Tableau119[[#This Row],[Code PFI]],"-",Tableau119[[#This Row],[Compte Consignee]])</f>
        <v>FALSO---90018000</v>
      </c>
      <c r="H16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CVP</v>
      </c>
      <c r="I164" s="434" t="str">
        <f>_xlfn.CONCAT(Tableau119[[#This Row],[ID]],"-",Tableau119[[#This Row],[Expiration Date]])</f>
        <v>33-45412</v>
      </c>
      <c r="J1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Busan-ILN Busan-33-FALSO-FALSO-FALSO--45412</v>
      </c>
      <c r="K164" s="435" t="str">
        <f ca="1">IF(COUNTIF(J:J,Tableau119[[#This Row],[Plant-ILN-shipper-POL-Carrier-POD-PFI]])=1,"Non","Oui")</f>
        <v>Non</v>
      </c>
      <c r="L164" s="128" t="str">
        <f>VLOOKUP(Tableau119[[#This Row],[Name Site]],Plant_AILN!A:D,4,FALSE)</f>
        <v>BRAZIL</v>
      </c>
      <c r="M164" s="411" t="s">
        <v>152</v>
      </c>
      <c r="N164" s="439">
        <f>VLOOKUP(Tableau119[[#This Row],[Name Site]],Plant_AILN!A:C,3,FALSE)</f>
        <v>90018000</v>
      </c>
      <c r="O164" s="55">
        <f>VLOOKUP(Tableau119[[#This Row],[Compte Consignee]],Order!C:D,2,FALSE)</f>
        <v>7</v>
      </c>
      <c r="P164" s="124" t="s">
        <v>166</v>
      </c>
      <c r="Q164" s="365">
        <f>VLOOKUP(Tableau119[[#This Row],[Name ILN]],Plant_AILN!F:G,2,FALSE)</f>
        <v>95436</v>
      </c>
      <c r="R164" s="50">
        <f>VLOOKUP(Tableau119[[#This Row],[Compte ILN]],'DATA ILN'!D:I,6,FALSE)</f>
        <v>9</v>
      </c>
      <c r="S164" s="50" t="e">
        <f>IFERROR(VLOOKUP(Tableau119[[#This Row],[Key(Compte ILN - shipper - POL - plant)]],'DATA ILN'!A:J,10,FALSE),VLOOKUP(Tableau119[[#This Row],[Key(Compte ILN - shipper - POL)]],'DATA ILN'!B:J,9,FALSE))</f>
        <v>#N/A</v>
      </c>
      <c r="T164" s="50" t="e">
        <f>IFERROR(VLOOKUP(Tableau119[[#This Row],[Key(Compte ILN - shipper - POL - plant)]],'DATA ILN'!A:K,11,FALSE),VLOOKUP(Tableau119[[#This Row],[Key(Compte ILN - shipper - POL)]],'DATA ILN'!B:K,10,FALSE))</f>
        <v>#N/A</v>
      </c>
      <c r="U164" s="50" t="e">
        <f>IFERROR(VLOOKUP(Tableau119[[#This Row],[Key(Compte ILN - shipper - POL - plant)]],'DATA ILN'!A:L,12,FALSE),VLOOKUP(Tableau119[[#This Row],[Key(Compte ILN - shipper - POL)]],'DATA ILN'!B:L,11,FALSE))</f>
        <v>#N/A</v>
      </c>
      <c r="V164" s="50" t="e">
        <f>Tableau119[[#This Row],[Day ILN Order]]+Tableau119[[#This Row],[Delivery time to ILN/Shipper]]-1</f>
        <v>#N/A</v>
      </c>
      <c r="W164" s="50" t="e">
        <f>IFERROR(VLOOKUP(Tableau119[[#This Row],[Key(Compte ILN - shipper - POL - plant)]],'DATA ILN'!A:N,14,FALSE),VLOOKUP(Tableau119[[#This Row],[Key(Compte ILN - shipper - POL)]],'DATA ILN'!B:N,13,FALSE))</f>
        <v>#N/A</v>
      </c>
      <c r="X164" s="53" t="e">
        <f>IFERROR(VLOOKUP(Tableau119[[#This Row],[Key(Compte ILN - shipper - POL - plant)]],'DATA ILN'!A:P,16,FALSE),VLOOKUP(Tableau119[[#This Row],[Key(Compte ILN - shipper - POL)]],'DATA ILN'!B:P,15,FALSE))</f>
        <v>#N/A</v>
      </c>
      <c r="Y164" s="284" t="s">
        <v>166</v>
      </c>
      <c r="Z164" s="437">
        <f>IFERROR(VLOOKUP(Tableau119[[#This Row],[Name Shipper]],Plant_AILN!L:M,2,FALSE),0)</f>
        <v>95436</v>
      </c>
      <c r="AA164" s="406">
        <v>33</v>
      </c>
      <c r="AB164" s="396" t="b">
        <f>_xlfn.XLOOKUP(Tableau119[[#This Row],[Key(ID-date)]],'DATA BTO'!S:S,'DATA BTO'!E:E,FALSE)</f>
        <v>0</v>
      </c>
      <c r="AC164" s="3" t="b">
        <f>_xlfn.XLOOKUP(Tableau119[[#This Row],[Key(ID-date)]],'DATA BTO'!S:S,'DATA BTO'!F:F,FALSE)</f>
        <v>0</v>
      </c>
      <c r="AD164" s="50" t="b">
        <f>_xlfn.XLOOKUP(Tableau119[[#This Row],[Key(ID-date)]],'DATA BTO'!S:S,'DATA BTO'!G:G,FALSE)</f>
        <v>0</v>
      </c>
      <c r="AE164" s="50" t="b">
        <f>_xlfn.XLOOKUP(Tableau119[[#This Row],[Key(ID-date)]],'DATA BTO'!S:S,'DATA BTO'!H:H,FALSE)</f>
        <v>0</v>
      </c>
      <c r="AF164" s="50" t="e">
        <f>IF(Tableau119[[#This Row],[First Day to POL]]&lt;=Tableau119[[#This Row],[Day Cut Off]],Tableau119[[#This Row],[Day ETD]],Tableau119[[#This Row],[Day ETD]]+7)</f>
        <v>#N/A</v>
      </c>
      <c r="AG164" s="50" t="b">
        <f>_xlfn.XLOOKUP(Tableau119[[#This Row],[Key(ID-date)]],'DATA BTO'!S:S,'DATA BTO'!I:I,FALSE)</f>
        <v>0</v>
      </c>
      <c r="AH164" s="3" t="b">
        <f>_xlfn.XLOOKUP(Tableau119[[#This Row],[Key(ID-date)]],'DATA BTO'!S:S,'DATA BTO'!J:J,FALSE)</f>
        <v>0</v>
      </c>
      <c r="AI164" s="3" t="b">
        <f>_xlfn.XLOOKUP(Tableau119[[#This Row],[Key(ID-date)]],'DATA BTO'!S:S,'DATA BTO'!K:K,FALSE)</f>
        <v>0</v>
      </c>
      <c r="AJ164" s="50" t="b">
        <f>_xlfn.XLOOKUP(Tableau119[[#This Row],[Key(ID-date)]],'DATA BTO'!S:S,'DATA BTO'!L:L,FALSE)</f>
        <v>0</v>
      </c>
      <c r="AK164" s="53" t="b">
        <f>_xlfn.XLOOKUP(Tableau119[[#This Row],[Key(ID-date)]],'DATA BTO'!S:S,'DATA BTO'!N:N,FALSE)</f>
        <v>0</v>
      </c>
      <c r="AL164" s="54" t="e">
        <f>VLOOKUP(Tableau119[[#This Row],[Key(POD -PFI- Usine)]],'DATA Consignee'!A:F,6,FALSE)</f>
        <v>#N/A</v>
      </c>
      <c r="AM164" s="127"/>
      <c r="AN164" s="438" t="str">
        <f>IF(Tableau119[[#This Row],[Name PFI/CDD]]="","-",VLOOKUP(Tableau119[[#This Row],[Name PFI/CDD]],Plant_AILN!I:J,2,FALSE))</f>
        <v>-</v>
      </c>
      <c r="AO1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4" s="2" t="e">
        <f>VLOOKUP(Tableau119[[#This Row],[Key(POD -PFI- Usine)]],'DATA Consignee'!A:J,10,FALSE)</f>
        <v>#N/A</v>
      </c>
      <c r="AR164" s="50" t="e">
        <f>VLOOKUP(Tableau119[[#This Row],[Key(POD -PFI- Usine)]],'DATA Consignee'!A:N,14,FALSE)</f>
        <v>#N/A</v>
      </c>
      <c r="AS16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4" s="50">
        <f>Tableau119[[#This Row],[Transit time]]+Tableau119[[#This Row],[Time for security]]+Tableau119[[#This Row],[Time for security2 buffer]]</f>
        <v>0</v>
      </c>
      <c r="AV1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4" s="433" t="e">
        <f>Tableau119[[#This Row],[Leadtime SI2C]]+Tableau119[[#This Row],[First Receipt Days]]-Tableau119[[#This Row],[Day Customer Order]]+1</f>
        <v>#N/A</v>
      </c>
      <c r="AX164" s="119" t="e">
        <f>IF(Tableau119[[#This Row],[Name ILN]]&lt;&gt;"SFK Freight Forwarder",Tableau119[[#This Row],[Cust. Leadtime]],Tableau119[[#This Row],[Leadtime SI2C]])</f>
        <v>#N/A</v>
      </c>
      <c r="AY164" s="51" t="b">
        <f>_xlfn.XLOOKUP(Tableau119[[#This Row],[Key(ID-date)]],'DATA BTO'!S:S,'DATA BTO'!P:P,FALSE)</f>
        <v>0</v>
      </c>
      <c r="AZ164" s="338">
        <v>45412</v>
      </c>
      <c r="BA164" s="50"/>
    </row>
    <row r="165" spans="2:53">
      <c r="B165" s="474" t="str">
        <f>_xlfn.CONCAT(Tableau119[[#This Row],[Name ILN]],"-",Tableau119[[#This Row],[Name Shipper]],"-",Tableau119[[#This Row],[Name Site]])</f>
        <v>ILN Busan-ILN Busan-Curitiba CVU</v>
      </c>
      <c r="C165" s="67" t="str">
        <f>_xlfn.CONCAT(Tableau119[[#This Row],[Compte ILN]],"-",Tableau119[[#This Row],[Compte Shipper]],"-",Tableau119[[#This Row],[POL]],"-",Tableau119[[#This Row],[Compte Consignee]])</f>
        <v>95436-95436-FALSO-90018500</v>
      </c>
      <c r="D165" s="66" t="str">
        <f>_xlfn.CONCAT(Tableau119[[#This Row],[Compte ILN]],"-",Tableau119[[#This Row],[Compte Shipper]],"-",Tableau119[[#This Row],[POL]])</f>
        <v>95436-95436-FALSO</v>
      </c>
      <c r="E165" s="434" t="str">
        <f>_xlfn.CONCAT(Tableau119[[#This Row],[POL]],"-",Tableau119[[#This Row],[Carrier]],"-",Tableau119[[#This Row],[POD]])</f>
        <v>FALSO-FALSO-FALSO</v>
      </c>
      <c r="F165" s="66" t="str">
        <f>_xlfn.CONCAT(Tableau119[[#This Row],[ID]],"-","Actif")</f>
        <v>33-Actif</v>
      </c>
      <c r="G165" s="66" t="str">
        <f>_xlfn.CONCAT(Tableau119[[#This Row],[POD]],"-",Tableau119[[#This Row],[Code PFI]],"-",Tableau119[[#This Row],[Compte Consignee]])</f>
        <v>FALSO---90018500</v>
      </c>
      <c r="H16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BusanFALSOCuritiba CVU</v>
      </c>
      <c r="I165" s="434" t="str">
        <f>_xlfn.CONCAT(Tableau119[[#This Row],[ID]],"-",Tableau119[[#This Row],[Expiration Date]])</f>
        <v>33-45412</v>
      </c>
      <c r="J1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Busan-ILN Busan-33-FALSO-FALSO-FALSO--45412</v>
      </c>
      <c r="K165" s="435" t="str">
        <f ca="1">IF(COUNTIF(J:J,Tableau119[[#This Row],[Plant-ILN-shipper-POL-Carrier-POD-PFI]])=1,"Non","Oui")</f>
        <v>Non</v>
      </c>
      <c r="L165" s="128" t="str">
        <f>VLOOKUP(Tableau119[[#This Row],[Name Site]],Plant_AILN!A:D,4,FALSE)</f>
        <v>BRAZIL</v>
      </c>
      <c r="M165" s="411" t="s">
        <v>639</v>
      </c>
      <c r="N165" s="439">
        <f>VLOOKUP(Tableau119[[#This Row],[Name Site]],Plant_AILN!A:C,3,FALSE)</f>
        <v>90018500</v>
      </c>
      <c r="O165" s="55">
        <f>VLOOKUP(Tableau119[[#This Row],[Compte Consignee]],Order!C:D,2,FALSE)</f>
        <v>7</v>
      </c>
      <c r="P165" s="124" t="s">
        <v>166</v>
      </c>
      <c r="Q165" s="365">
        <f>VLOOKUP(Tableau119[[#This Row],[Name ILN]],Plant_AILN!F:G,2,FALSE)</f>
        <v>95436</v>
      </c>
      <c r="R165" s="50">
        <f>VLOOKUP(Tableau119[[#This Row],[Compte ILN]],'DATA ILN'!D:I,6,FALSE)</f>
        <v>9</v>
      </c>
      <c r="S165" s="50" t="e">
        <f>IFERROR(VLOOKUP(Tableau119[[#This Row],[Key(Compte ILN - shipper - POL - plant)]],'DATA ILN'!A:J,10,FALSE),VLOOKUP(Tableau119[[#This Row],[Key(Compte ILN - shipper - POL)]],'DATA ILN'!B:J,9,FALSE))</f>
        <v>#N/A</v>
      </c>
      <c r="T165" s="50" t="e">
        <f>IFERROR(VLOOKUP(Tableau119[[#This Row],[Key(Compte ILN - shipper - POL - plant)]],'DATA ILN'!A:K,11,FALSE),VLOOKUP(Tableau119[[#This Row],[Key(Compte ILN - shipper - POL)]],'DATA ILN'!B:K,10,FALSE))</f>
        <v>#N/A</v>
      </c>
      <c r="U165" s="50" t="e">
        <f>IFERROR(VLOOKUP(Tableau119[[#This Row],[Key(Compte ILN - shipper - POL - plant)]],'DATA ILN'!A:L,12,FALSE),VLOOKUP(Tableau119[[#This Row],[Key(Compte ILN - shipper - POL)]],'DATA ILN'!B:L,11,FALSE))</f>
        <v>#N/A</v>
      </c>
      <c r="V165" s="50" t="e">
        <f>Tableau119[[#This Row],[Day ILN Order]]+Tableau119[[#This Row],[Delivery time to ILN/Shipper]]-1</f>
        <v>#N/A</v>
      </c>
      <c r="W165" s="50" t="e">
        <f>IFERROR(VLOOKUP(Tableau119[[#This Row],[Key(Compte ILN - shipper - POL - plant)]],'DATA ILN'!A:N,14,FALSE),VLOOKUP(Tableau119[[#This Row],[Key(Compte ILN - shipper - POL)]],'DATA ILN'!B:N,13,FALSE))</f>
        <v>#N/A</v>
      </c>
      <c r="X165" s="53" t="e">
        <f>IFERROR(VLOOKUP(Tableau119[[#This Row],[Key(Compte ILN - shipper - POL - plant)]],'DATA ILN'!A:P,16,FALSE),VLOOKUP(Tableau119[[#This Row],[Key(Compte ILN - shipper - POL)]],'DATA ILN'!B:P,15,FALSE))</f>
        <v>#N/A</v>
      </c>
      <c r="Y165" s="284" t="s">
        <v>166</v>
      </c>
      <c r="Z165" s="437">
        <f>IFERROR(VLOOKUP(Tableau119[[#This Row],[Name Shipper]],Plant_AILN!L:M,2,FALSE),0)</f>
        <v>95436</v>
      </c>
      <c r="AA165" s="406">
        <v>33</v>
      </c>
      <c r="AB165" s="396" t="b">
        <f>_xlfn.XLOOKUP(Tableau119[[#This Row],[Key(ID-date)]],'DATA BTO'!S:S,'DATA BTO'!E:E,FALSE)</f>
        <v>0</v>
      </c>
      <c r="AC165" s="3" t="b">
        <f>_xlfn.XLOOKUP(Tableau119[[#This Row],[Key(ID-date)]],'DATA BTO'!S:S,'DATA BTO'!F:F,FALSE)</f>
        <v>0</v>
      </c>
      <c r="AD165" s="50" t="b">
        <f>_xlfn.XLOOKUP(Tableau119[[#This Row],[Key(ID-date)]],'DATA BTO'!S:S,'DATA BTO'!G:G,FALSE)</f>
        <v>0</v>
      </c>
      <c r="AE165" s="50" t="b">
        <f>_xlfn.XLOOKUP(Tableau119[[#This Row],[Key(ID-date)]],'DATA BTO'!S:S,'DATA BTO'!H:H,FALSE)</f>
        <v>0</v>
      </c>
      <c r="AF165" s="50" t="e">
        <f>IF(Tableau119[[#This Row],[First Day to POL]]&lt;=Tableau119[[#This Row],[Day Cut Off]],Tableau119[[#This Row],[Day ETD]],Tableau119[[#This Row],[Day ETD]]+7)</f>
        <v>#N/A</v>
      </c>
      <c r="AG165" s="50" t="b">
        <f>_xlfn.XLOOKUP(Tableau119[[#This Row],[Key(ID-date)]],'DATA BTO'!S:S,'DATA BTO'!I:I,FALSE)</f>
        <v>0</v>
      </c>
      <c r="AH165" s="3" t="b">
        <f>_xlfn.XLOOKUP(Tableau119[[#This Row],[Key(ID-date)]],'DATA BTO'!S:S,'DATA BTO'!J:J,FALSE)</f>
        <v>0</v>
      </c>
      <c r="AI165" s="3" t="b">
        <f>_xlfn.XLOOKUP(Tableau119[[#This Row],[Key(ID-date)]],'DATA BTO'!S:S,'DATA BTO'!K:K,FALSE)</f>
        <v>0</v>
      </c>
      <c r="AJ165" s="50" t="b">
        <f>_xlfn.XLOOKUP(Tableau119[[#This Row],[Key(ID-date)]],'DATA BTO'!S:S,'DATA BTO'!L:L,FALSE)</f>
        <v>0</v>
      </c>
      <c r="AK165" s="53" t="b">
        <f>_xlfn.XLOOKUP(Tableau119[[#This Row],[Key(ID-date)]],'DATA BTO'!S:S,'DATA BTO'!N:N,FALSE)</f>
        <v>0</v>
      </c>
      <c r="AL165" s="54" t="e">
        <f>VLOOKUP(Tableau119[[#This Row],[Key(POD -PFI- Usine)]],'DATA Consignee'!A:F,6,FALSE)</f>
        <v>#N/A</v>
      </c>
      <c r="AM165" s="127"/>
      <c r="AN165" s="438" t="str">
        <f>IF(Tableau119[[#This Row],[Name PFI/CDD]]="","-",VLOOKUP(Tableau119[[#This Row],[Name PFI/CDD]],Plant_AILN!I:J,2,FALSE))</f>
        <v>-</v>
      </c>
      <c r="AO1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5" s="2" t="e">
        <f>VLOOKUP(Tableau119[[#This Row],[Key(POD -PFI- Usine)]],'DATA Consignee'!A:J,10,FALSE)</f>
        <v>#N/A</v>
      </c>
      <c r="AR165" s="50" t="e">
        <f>VLOOKUP(Tableau119[[#This Row],[Key(POD -PFI- Usine)]],'DATA Consignee'!A:N,14,FALSE)</f>
        <v>#N/A</v>
      </c>
      <c r="AS1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5" s="50">
        <f>Tableau119[[#This Row],[Transit time]]+Tableau119[[#This Row],[Time for security]]+Tableau119[[#This Row],[Time for security2 buffer]]</f>
        <v>0</v>
      </c>
      <c r="AV1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5" s="433" t="e">
        <f>Tableau119[[#This Row],[Leadtime SI2C]]+Tableau119[[#This Row],[First Receipt Days]]-Tableau119[[#This Row],[Day Customer Order]]+1</f>
        <v>#N/A</v>
      </c>
      <c r="AX165" s="119" t="e">
        <f>IF(Tableau119[[#This Row],[Name ILN]]&lt;&gt;"SFK Freight Forwarder",Tableau119[[#This Row],[Cust. Leadtime]],Tableau119[[#This Row],[Leadtime SI2C]])</f>
        <v>#N/A</v>
      </c>
      <c r="AY165" s="51" t="b">
        <f>_xlfn.XLOOKUP(Tableau119[[#This Row],[Key(ID-date)]],'DATA BTO'!S:S,'DATA BTO'!P:P,FALSE)</f>
        <v>0</v>
      </c>
      <c r="AZ165" s="338">
        <v>45412</v>
      </c>
      <c r="BA165" s="50"/>
    </row>
    <row r="166" spans="2:53">
      <c r="B166" s="474" t="str">
        <f>_xlfn.CONCAT(Tableau119[[#This Row],[Name ILN]],"-",Tableau119[[#This Row],[Name Shipper]],"-",Tableau119[[#This Row],[Name Site]])</f>
        <v>ILN Pune-ILN Pune-SOFASA</v>
      </c>
      <c r="C166" s="67" t="str">
        <f>_xlfn.CONCAT(Tableau119[[#This Row],[Compte ILN]],"-",Tableau119[[#This Row],[Compte Shipper]],"-",Tableau119[[#This Row],[POL]],"-",Tableau119[[#This Row],[Compte Consignee]])</f>
        <v>2533780535-2533780535-FALSO-9510600</v>
      </c>
      <c r="D166" s="66" t="str">
        <f>_xlfn.CONCAT(Tableau119[[#This Row],[Compte ILN]],"-",Tableau119[[#This Row],[Compte Shipper]],"-",Tableau119[[#This Row],[POL]])</f>
        <v>2533780535-2533780535-FALSO</v>
      </c>
      <c r="E166" s="434" t="str">
        <f>_xlfn.CONCAT(Tableau119[[#This Row],[POL]],"-",Tableau119[[#This Row],[Carrier]],"-",Tableau119[[#This Row],[POD]])</f>
        <v>FALSO-FALSO-FALSO</v>
      </c>
      <c r="F166" s="66" t="str">
        <f>_xlfn.CONCAT(Tableau119[[#This Row],[ID]],"-","Actif")</f>
        <v>36-Actif</v>
      </c>
      <c r="G166" s="66" t="str">
        <f>_xlfn.CONCAT(Tableau119[[#This Row],[POD]],"-",Tableau119[[#This Row],[Code PFI]],"-",Tableau119[[#This Row],[Compte Consignee]])</f>
        <v>FALSO---9510600</v>
      </c>
      <c r="H16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PuneFALSOSOFASA</v>
      </c>
      <c r="I166" s="434" t="str">
        <f>_xlfn.CONCAT(Tableau119[[#This Row],[ID]],"-",Tableau119[[#This Row],[Expiration Date]])</f>
        <v>36-46142</v>
      </c>
      <c r="J1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Pune-ILN Pune-36-FALSO-FALSO-FALSO--46142</v>
      </c>
      <c r="K166" s="435" t="str">
        <f ca="1">IF(COUNTIF(J:J,Tableau119[[#This Row],[Plant-ILN-shipper-POL-Carrier-POD-PFI]])=1,"Non","Oui")</f>
        <v>Non</v>
      </c>
      <c r="L166" s="128" t="str">
        <f>VLOOKUP(Tableau119[[#This Row],[Name Site]],Plant_AILN!A:D,4,FALSE)</f>
        <v>COLOMBIA</v>
      </c>
      <c r="M166" s="411" t="s">
        <v>177</v>
      </c>
      <c r="N166" s="439">
        <f>VLOOKUP(Tableau119[[#This Row],[Name Site]],Plant_AILN!A:C,3,FALSE)</f>
        <v>9510600</v>
      </c>
      <c r="O166" s="55">
        <f>IF(Tableau119[[#This Row],[Name PFI/CDD]]="PFI VLL",2,VLOOKUP(Tableau119[[#This Row],[Compte Consignee]],Order!C:D,2,FALSE))</f>
        <v>7</v>
      </c>
      <c r="P166" s="124" t="s">
        <v>150</v>
      </c>
      <c r="Q166" s="365">
        <f>VLOOKUP(Tableau119[[#This Row],[Name ILN]],Plant_AILN!F:G,2,FALSE)</f>
        <v>2533780535</v>
      </c>
      <c r="R166" s="50">
        <f>VLOOKUP(Tableau119[[#This Row],[Compte ILN]],'DATA ILN'!D:I,6,FALSE)</f>
        <v>9</v>
      </c>
      <c r="S166" s="50" t="e">
        <f>IFERROR(VLOOKUP(Tableau119[[#This Row],[Key(Compte ILN - shipper - POL - plant)]],'DATA ILN'!A:J,10,FALSE),VLOOKUP(Tableau119[[#This Row],[Key(Compte ILN - shipper - POL)]],'DATA ILN'!B:J,9,FALSE))</f>
        <v>#N/A</v>
      </c>
      <c r="T166" s="50" t="e">
        <f>IFERROR(VLOOKUP(Tableau119[[#This Row],[Key(Compte ILN - shipper - POL - plant)]],'DATA ILN'!A:K,11,FALSE),VLOOKUP(Tableau119[[#This Row],[Key(Compte ILN - shipper - POL)]],'DATA ILN'!B:K,10,FALSE))</f>
        <v>#N/A</v>
      </c>
      <c r="U166" s="50" t="e">
        <f>IFERROR(VLOOKUP(Tableau119[[#This Row],[Key(Compte ILN - shipper - POL - plant)]],'DATA ILN'!A:L,12,FALSE),VLOOKUP(Tableau119[[#This Row],[Key(Compte ILN - shipper - POL)]],'DATA ILN'!B:L,11,FALSE))</f>
        <v>#N/A</v>
      </c>
      <c r="V166" s="50" t="e">
        <f>Tableau119[[#This Row],[Day ILN Order]]+Tableau119[[#This Row],[Delivery time to ILN/Shipper]]-1</f>
        <v>#N/A</v>
      </c>
      <c r="W166" s="50" t="e">
        <f>IFERROR(VLOOKUP(Tableau119[[#This Row],[Key(Compte ILN - shipper - POL - plant)]],'DATA ILN'!A:N,14,FALSE),VLOOKUP(Tableau119[[#This Row],[Key(Compte ILN - shipper - POL)]],'DATA ILN'!B:N,13,FALSE))</f>
        <v>#N/A</v>
      </c>
      <c r="X166" s="53" t="e">
        <f>IFERROR(VLOOKUP(Tableau119[[#This Row],[Key(Compte ILN - shipper - POL - plant)]],'DATA ILN'!A:P,16,FALSE),VLOOKUP(Tableau119[[#This Row],[Key(Compte ILN - shipper - POL)]],'DATA ILN'!B:P,15,FALSE))</f>
        <v>#N/A</v>
      </c>
      <c r="Y166" s="284" t="s">
        <v>150</v>
      </c>
      <c r="Z166" s="437">
        <f>IFERROR(VLOOKUP(Tableau119[[#This Row],[Name Shipper]],Plant_AILN!L:M,2,FALSE),0)</f>
        <v>2533780535</v>
      </c>
      <c r="AA166" s="406">
        <v>36</v>
      </c>
      <c r="AB166" s="396" t="b">
        <f>_xlfn.XLOOKUP(Tableau119[[#This Row],[Key(ID-date)]],'DATA BTO'!S:S,'DATA BTO'!E:E,FALSE)</f>
        <v>0</v>
      </c>
      <c r="AC166" s="3" t="b">
        <f>_xlfn.XLOOKUP(Tableau119[[#This Row],[Key(ID-date)]],'DATA BTO'!S:S,'DATA BTO'!F:F,FALSE)</f>
        <v>0</v>
      </c>
      <c r="AD166" s="50" t="b">
        <f>_xlfn.XLOOKUP(Tableau119[[#This Row],[Key(ID-date)]],'DATA BTO'!S:S,'DATA BTO'!G:G,FALSE)</f>
        <v>0</v>
      </c>
      <c r="AE166" s="50" t="b">
        <f>_xlfn.XLOOKUP(Tableau119[[#This Row],[Key(ID-date)]],'DATA BTO'!S:S,'DATA BTO'!H:H,FALSE)</f>
        <v>0</v>
      </c>
      <c r="AF166" s="50" t="e">
        <f>IF(Tableau119[[#This Row],[First Day to POL]]&lt;=Tableau119[[#This Row],[Day Cut Off]],Tableau119[[#This Row],[Day ETD]],Tableau119[[#This Row],[Day ETD]]+7)</f>
        <v>#N/A</v>
      </c>
      <c r="AG166" s="50" t="b">
        <f>_xlfn.XLOOKUP(Tableau119[[#This Row],[Key(ID-date)]],'DATA BTO'!S:S,'DATA BTO'!I:I,FALSE)</f>
        <v>0</v>
      </c>
      <c r="AH166" s="3" t="b">
        <f>_xlfn.XLOOKUP(Tableau119[[#This Row],[Key(ID-date)]],'DATA BTO'!S:S,'DATA BTO'!J:J,FALSE)</f>
        <v>0</v>
      </c>
      <c r="AI166" s="3" t="b">
        <f>_xlfn.XLOOKUP(Tableau119[[#This Row],[Key(ID-date)]],'DATA BTO'!S:S,'DATA BTO'!K:K,FALSE)</f>
        <v>0</v>
      </c>
      <c r="AJ166" s="50" t="b">
        <f>_xlfn.XLOOKUP(Tableau119[[#This Row],[Key(ID-date)]],'DATA BTO'!S:S,'DATA BTO'!L:L,FALSE)</f>
        <v>0</v>
      </c>
      <c r="AK166" s="53" t="b">
        <f>_xlfn.XLOOKUP(Tableau119[[#This Row],[Key(ID-date)]],'DATA BTO'!S:S,'DATA BTO'!N:N,FALSE)</f>
        <v>0</v>
      </c>
      <c r="AL166" s="54" t="e">
        <f>VLOOKUP(Tableau119[[#This Row],[Key(POD -PFI- Usine)]],'DATA Consignee'!A:F,6,FALSE)</f>
        <v>#N/A</v>
      </c>
      <c r="AM166" s="127"/>
      <c r="AN166" s="438" t="str">
        <f>IF(Tableau119[[#This Row],[Name PFI/CDD]]="","-",VLOOKUP(Tableau119[[#This Row],[Name PFI/CDD]],Plant_AILN!I:J,2,FALSE))</f>
        <v>-</v>
      </c>
      <c r="AO1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6" s="2" t="e">
        <f>VLOOKUP(Tableau119[[#This Row],[Key(POD -PFI- Usine)]],'DATA Consignee'!A:J,10,FALSE)</f>
        <v>#N/A</v>
      </c>
      <c r="AR166" s="50" t="e">
        <f>VLOOKUP(Tableau119[[#This Row],[Key(POD -PFI- Usine)]],'DATA Consignee'!A:N,14,FALSE)</f>
        <v>#N/A</v>
      </c>
      <c r="AS1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6" s="50">
        <f>Tableau119[[#This Row],[Transit time]]+Tableau119[[#This Row],[Time for security]]+Tableau119[[#This Row],[Time for security2 buffer]]</f>
        <v>0</v>
      </c>
      <c r="AV1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6" s="433" t="e">
        <f>Tableau119[[#This Row],[Leadtime SI2C]]+Tableau119[[#This Row],[First Receipt Days]]-Tableau119[[#This Row],[Day Customer Order]]+1</f>
        <v>#N/A</v>
      </c>
      <c r="AX166" s="119" t="e">
        <f>IF(Tableau119[[#This Row],[Name ILN]]&lt;&gt;"SFK Freight Forwarder",Tableau119[[#This Row],[Cust. Leadtime]],Tableau119[[#This Row],[Leadtime SI2C]])</f>
        <v>#N/A</v>
      </c>
      <c r="AY166" s="51" t="b">
        <f>_xlfn.XLOOKUP(Tableau119[[#This Row],[Key(ID-date)]],'DATA BTO'!S:S,'DATA BTO'!P:P,FALSE)</f>
        <v>0</v>
      </c>
      <c r="AZ166" s="338">
        <v>46142</v>
      </c>
      <c r="BA166" s="50"/>
    </row>
    <row r="167" spans="2:53">
      <c r="B167" s="474" t="str">
        <f>_xlfn.CONCAT(Tableau119[[#This Row],[Name ILN]],"-",Tableau119[[#This Row],[Name Shipper]],"-",Tableau119[[#This Row],[Name Site]])</f>
        <v>ILN Pune-ILN Pune-SOFASA</v>
      </c>
      <c r="C167" s="67" t="str">
        <f>_xlfn.CONCAT(Tableau119[[#This Row],[Compte ILN]],"-",Tableau119[[#This Row],[Compte Shipper]],"-",Tableau119[[#This Row],[POL]],"-",Tableau119[[#This Row],[Compte Consignee]])</f>
        <v>2533780535-2533780535-FALSO-9510600</v>
      </c>
      <c r="D167" s="66" t="str">
        <f>_xlfn.CONCAT(Tableau119[[#This Row],[Compte ILN]],"-",Tableau119[[#This Row],[Compte Shipper]],"-",Tableau119[[#This Row],[POL]])</f>
        <v>2533780535-2533780535-FALSO</v>
      </c>
      <c r="E167" s="434" t="str">
        <f>_xlfn.CONCAT(Tableau119[[#This Row],[POL]],"-",Tableau119[[#This Row],[Carrier]],"-",Tableau119[[#This Row],[POD]])</f>
        <v>FALSO-FALSO-FALSO</v>
      </c>
      <c r="F167" s="66" t="str">
        <f>_xlfn.CONCAT(Tableau119[[#This Row],[ID]],"-","Actif")</f>
        <v>36-Actif</v>
      </c>
      <c r="G167" s="66" t="str">
        <f>_xlfn.CONCAT(Tableau119[[#This Row],[POD]],"-",Tableau119[[#This Row],[Code PFI]],"-",Tableau119[[#This Row],[Compte Consignee]])</f>
        <v>FALSO---9510600</v>
      </c>
      <c r="H16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PuneFALSOSOFASA</v>
      </c>
      <c r="I167" s="434" t="str">
        <f>_xlfn.CONCAT(Tableau119[[#This Row],[ID]],"-",Tableau119[[#This Row],[Expiration Date]])</f>
        <v>36-45777</v>
      </c>
      <c r="J1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Pune-ILN Pune-36-FALSO-FALSO-FALSO--45777</v>
      </c>
      <c r="K167" s="435" t="str">
        <f ca="1">IF(COUNTIF(J:J,Tableau119[[#This Row],[Plant-ILN-shipper-POL-Carrier-POD-PFI]])=1,"Non","Oui")</f>
        <v>Non</v>
      </c>
      <c r="L167" s="128" t="str">
        <f>VLOOKUP(Tableau119[[#This Row],[Name Site]],Plant_AILN!A:D,4,FALSE)</f>
        <v>COLOMBIA</v>
      </c>
      <c r="M167" s="411" t="s">
        <v>177</v>
      </c>
      <c r="N167" s="439">
        <f>VLOOKUP(Tableau119[[#This Row],[Name Site]],Plant_AILN!A:C,3,FALSE)</f>
        <v>9510600</v>
      </c>
      <c r="O167" s="55">
        <f>VLOOKUP(Tableau119[[#This Row],[Compte Consignee]],Order!C:D,2,FALSE)</f>
        <v>7</v>
      </c>
      <c r="P167" s="124" t="s">
        <v>150</v>
      </c>
      <c r="Q167" s="365">
        <f>VLOOKUP(Tableau119[[#This Row],[Name ILN]],Plant_AILN!F:G,2,FALSE)</f>
        <v>2533780535</v>
      </c>
      <c r="R167" s="50">
        <f>VLOOKUP(Tableau119[[#This Row],[Compte ILN]],'DATA ILN'!D:I,6,FALSE)</f>
        <v>9</v>
      </c>
      <c r="S167" s="50" t="e">
        <f>IFERROR(VLOOKUP(Tableau119[[#This Row],[Key(Compte ILN - shipper - POL - plant)]],'DATA ILN'!A:J,10,FALSE),VLOOKUP(Tableau119[[#This Row],[Key(Compte ILN - shipper - POL)]],'DATA ILN'!B:J,9,FALSE))</f>
        <v>#N/A</v>
      </c>
      <c r="T167" s="50" t="e">
        <f>IFERROR(VLOOKUP(Tableau119[[#This Row],[Key(Compte ILN - shipper - POL - plant)]],'DATA ILN'!A:K,11,FALSE),VLOOKUP(Tableau119[[#This Row],[Key(Compte ILN - shipper - POL)]],'DATA ILN'!B:K,10,FALSE))</f>
        <v>#N/A</v>
      </c>
      <c r="U167" s="50" t="e">
        <f>IFERROR(VLOOKUP(Tableau119[[#This Row],[Key(Compte ILN - shipper - POL - plant)]],'DATA ILN'!A:L,12,FALSE),VLOOKUP(Tableau119[[#This Row],[Key(Compte ILN - shipper - POL)]],'DATA ILN'!B:L,11,FALSE))</f>
        <v>#N/A</v>
      </c>
      <c r="V167" s="50" t="e">
        <f>Tableau119[[#This Row],[Day ILN Order]]+Tableau119[[#This Row],[Delivery time to ILN/Shipper]]-1</f>
        <v>#N/A</v>
      </c>
      <c r="W167" s="50" t="e">
        <f>IFERROR(VLOOKUP(Tableau119[[#This Row],[Key(Compte ILN - shipper - POL - plant)]],'DATA ILN'!A:N,14,FALSE),VLOOKUP(Tableau119[[#This Row],[Key(Compte ILN - shipper - POL)]],'DATA ILN'!B:N,13,FALSE))</f>
        <v>#N/A</v>
      </c>
      <c r="X167" s="53" t="e">
        <f>IFERROR(VLOOKUP(Tableau119[[#This Row],[Key(Compte ILN - shipper - POL - plant)]],'DATA ILN'!A:P,16,FALSE),VLOOKUP(Tableau119[[#This Row],[Key(Compte ILN - shipper - POL)]],'DATA ILN'!B:P,15,FALSE))</f>
        <v>#N/A</v>
      </c>
      <c r="Y167" s="284" t="s">
        <v>150</v>
      </c>
      <c r="Z167" s="437">
        <f>IFERROR(VLOOKUP(Tableau119[[#This Row],[Name Shipper]],Plant_AILN!L:M,2,FALSE),0)</f>
        <v>2533780535</v>
      </c>
      <c r="AA167" s="406">
        <v>36</v>
      </c>
      <c r="AB167" s="396" t="b">
        <f>_xlfn.XLOOKUP(Tableau119[[#This Row],[Key(ID-date)]],'DATA BTO'!S:S,'DATA BTO'!E:E,FALSE)</f>
        <v>0</v>
      </c>
      <c r="AC167" s="3" t="b">
        <f>_xlfn.XLOOKUP(Tableau119[[#This Row],[Key(ID-date)]],'DATA BTO'!S:S,'DATA BTO'!F:F,FALSE)</f>
        <v>0</v>
      </c>
      <c r="AD167" s="50" t="b">
        <f>_xlfn.XLOOKUP(Tableau119[[#This Row],[Key(ID-date)]],'DATA BTO'!S:S,'DATA BTO'!G:G,FALSE)</f>
        <v>0</v>
      </c>
      <c r="AE167" s="50" t="b">
        <f>_xlfn.XLOOKUP(Tableau119[[#This Row],[Key(ID-date)]],'DATA BTO'!S:S,'DATA BTO'!H:H,FALSE)</f>
        <v>0</v>
      </c>
      <c r="AF167" s="50" t="e">
        <f>IF(Tableau119[[#This Row],[First Day to POL]]&lt;=Tableau119[[#This Row],[Day Cut Off]],Tableau119[[#This Row],[Day ETD]],Tableau119[[#This Row],[Day ETD]]+7)</f>
        <v>#N/A</v>
      </c>
      <c r="AG167" s="50" t="b">
        <f>_xlfn.XLOOKUP(Tableau119[[#This Row],[Key(ID-date)]],'DATA BTO'!S:S,'DATA BTO'!I:I,FALSE)</f>
        <v>0</v>
      </c>
      <c r="AH167" s="3" t="b">
        <f>_xlfn.XLOOKUP(Tableau119[[#This Row],[Key(ID-date)]],'DATA BTO'!S:S,'DATA BTO'!J:J,FALSE)</f>
        <v>0</v>
      </c>
      <c r="AI167" s="3" t="b">
        <f>_xlfn.XLOOKUP(Tableau119[[#This Row],[Key(ID-date)]],'DATA BTO'!S:S,'DATA BTO'!K:K,FALSE)</f>
        <v>0</v>
      </c>
      <c r="AJ167" s="50" t="b">
        <f>_xlfn.XLOOKUP(Tableau119[[#This Row],[Key(ID-date)]],'DATA BTO'!S:S,'DATA BTO'!L:L,FALSE)</f>
        <v>0</v>
      </c>
      <c r="AK167" s="53" t="b">
        <f>_xlfn.XLOOKUP(Tableau119[[#This Row],[Key(ID-date)]],'DATA BTO'!S:S,'DATA BTO'!N:N,FALSE)</f>
        <v>0</v>
      </c>
      <c r="AL167" s="54" t="e">
        <f>VLOOKUP(Tableau119[[#This Row],[Key(POD -PFI- Usine)]],'DATA Consignee'!A:F,6,FALSE)</f>
        <v>#N/A</v>
      </c>
      <c r="AM167" s="127"/>
      <c r="AN167" s="438" t="str">
        <f>IF(Tableau119[[#This Row],[Name PFI/CDD]]="","-",VLOOKUP(Tableau119[[#This Row],[Name PFI/CDD]],Plant_AILN!I:J,2,FALSE))</f>
        <v>-</v>
      </c>
      <c r="AO16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7" s="2" t="e">
        <f>VLOOKUP(Tableau119[[#This Row],[Key(POD -PFI- Usine)]],'DATA Consignee'!A:J,10,FALSE)</f>
        <v>#N/A</v>
      </c>
      <c r="AR167" s="50" t="e">
        <f>VLOOKUP(Tableau119[[#This Row],[Key(POD -PFI- Usine)]],'DATA Consignee'!A:N,14,FALSE)</f>
        <v>#N/A</v>
      </c>
      <c r="AS16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7" s="50">
        <f>Tableau119[[#This Row],[Transit time]]+Tableau119[[#This Row],[Time for security]]+Tableau119[[#This Row],[Time for security2 buffer]]</f>
        <v>0</v>
      </c>
      <c r="AV1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7" s="433" t="e">
        <f>Tableau119[[#This Row],[Leadtime SI2C]]+Tableau119[[#This Row],[First Receipt Days]]-Tableau119[[#This Row],[Day Customer Order]]+1</f>
        <v>#N/A</v>
      </c>
      <c r="AX167" s="119" t="e">
        <f>IF(Tableau119[[#This Row],[Name ILN]]&lt;&gt;"SFK Freight Forwarder",Tableau119[[#This Row],[Cust. Leadtime]],Tableau119[[#This Row],[Leadtime SI2C]])</f>
        <v>#N/A</v>
      </c>
      <c r="AY167" s="51" t="b">
        <f>_xlfn.XLOOKUP(Tableau119[[#This Row],[Key(ID-date)]],'DATA BTO'!S:S,'DATA BTO'!P:P,FALSE)</f>
        <v>0</v>
      </c>
      <c r="AZ167" s="338">
        <v>45777</v>
      </c>
      <c r="BA167" s="50"/>
    </row>
    <row r="168" spans="2:53">
      <c r="B168" s="474" t="str">
        <f>_xlfn.CONCAT(Tableau119[[#This Row],[Name ILN]],"-",Tableau119[[#This Row],[Name Shipper]],"-",Tableau119[[#This Row],[Name Site]])</f>
        <v>ILN Pune-ILN Pune-SOFASA</v>
      </c>
      <c r="C168" s="67" t="str">
        <f>_xlfn.CONCAT(Tableau119[[#This Row],[Compte ILN]],"-",Tableau119[[#This Row],[Compte Shipper]],"-",Tableau119[[#This Row],[POL]],"-",Tableau119[[#This Row],[Compte Consignee]])</f>
        <v>2533780535-2533780535-FALSO-9510600</v>
      </c>
      <c r="D168" s="66" t="str">
        <f>_xlfn.CONCAT(Tableau119[[#This Row],[Compte ILN]],"-",Tableau119[[#This Row],[Compte Shipper]],"-",Tableau119[[#This Row],[POL]])</f>
        <v>2533780535-2533780535-FALSO</v>
      </c>
      <c r="E168" s="434" t="str">
        <f>_xlfn.CONCAT(Tableau119[[#This Row],[POL]],"-",Tableau119[[#This Row],[Carrier]],"-",Tableau119[[#This Row],[POD]])</f>
        <v>FALSO-FALSO-FALSO</v>
      </c>
      <c r="F168" s="66" t="str">
        <f>_xlfn.CONCAT(Tableau119[[#This Row],[ID]],"-","Actif")</f>
        <v>36-Actif</v>
      </c>
      <c r="G168" s="66" t="str">
        <f>_xlfn.CONCAT(Tableau119[[#This Row],[POD]],"-",Tableau119[[#This Row],[Code PFI]],"-",Tableau119[[#This Row],[Compte Consignee]])</f>
        <v>FALSO---9510600</v>
      </c>
      <c r="H16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PuneFALSOSOFASA</v>
      </c>
      <c r="I168" s="434" t="str">
        <f>_xlfn.CONCAT(Tableau119[[#This Row],[ID]],"-",Tableau119[[#This Row],[Expiration Date]])</f>
        <v>36-45657</v>
      </c>
      <c r="J1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Pune-ILN Pune-36-FALSO-FALSO-FALSO--45657</v>
      </c>
      <c r="K168" s="435" t="str">
        <f ca="1">IF(COUNTIF(J:J,Tableau119[[#This Row],[Plant-ILN-shipper-POL-Carrier-POD-PFI]])=1,"Non","Oui")</f>
        <v>Non</v>
      </c>
      <c r="L168" s="128" t="str">
        <f>VLOOKUP(Tableau119[[#This Row],[Name Site]],Plant_AILN!A:D,4,FALSE)</f>
        <v>COLOMBIA</v>
      </c>
      <c r="M168" s="411" t="s">
        <v>177</v>
      </c>
      <c r="N168" s="439">
        <f>VLOOKUP(Tableau119[[#This Row],[Name Site]],Plant_AILN!A:C,3,FALSE)</f>
        <v>9510600</v>
      </c>
      <c r="O168" s="55">
        <f>VLOOKUP(Tableau119[[#This Row],[Compte Consignee]],Order!C:D,2,FALSE)</f>
        <v>7</v>
      </c>
      <c r="P168" s="124" t="s">
        <v>150</v>
      </c>
      <c r="Q168" s="365">
        <f>VLOOKUP(Tableau119[[#This Row],[Name ILN]],Plant_AILN!F:G,2,FALSE)</f>
        <v>2533780535</v>
      </c>
      <c r="R168" s="50">
        <f>VLOOKUP(Tableau119[[#This Row],[Compte ILN]],'DATA ILN'!D:I,6,FALSE)</f>
        <v>9</v>
      </c>
      <c r="S168" s="50" t="e">
        <f>IFERROR(VLOOKUP(Tableau119[[#This Row],[Key(Compte ILN - shipper - POL - plant)]],'DATA ILN'!A:J,10,FALSE),VLOOKUP(Tableau119[[#This Row],[Key(Compte ILN - shipper - POL)]],'DATA ILN'!B:J,9,FALSE))</f>
        <v>#N/A</v>
      </c>
      <c r="T168" s="50" t="e">
        <f>IFERROR(VLOOKUP(Tableau119[[#This Row],[Key(Compte ILN - shipper - POL - plant)]],'DATA ILN'!A:K,11,FALSE),VLOOKUP(Tableau119[[#This Row],[Key(Compte ILN - shipper - POL)]],'DATA ILN'!B:K,10,FALSE))</f>
        <v>#N/A</v>
      </c>
      <c r="U168" s="50" t="e">
        <f>IFERROR(VLOOKUP(Tableau119[[#This Row],[Key(Compte ILN - shipper - POL - plant)]],'DATA ILN'!A:L,12,FALSE),VLOOKUP(Tableau119[[#This Row],[Key(Compte ILN - shipper - POL)]],'DATA ILN'!B:L,11,FALSE))</f>
        <v>#N/A</v>
      </c>
      <c r="V168" s="50" t="e">
        <f>Tableau119[[#This Row],[Day ILN Order]]+Tableau119[[#This Row],[Delivery time to ILN/Shipper]]-1</f>
        <v>#N/A</v>
      </c>
      <c r="W168" s="50" t="e">
        <f>IFERROR(VLOOKUP(Tableau119[[#This Row],[Key(Compte ILN - shipper - POL - plant)]],'DATA ILN'!A:N,14,FALSE),VLOOKUP(Tableau119[[#This Row],[Key(Compte ILN - shipper - POL)]],'DATA ILN'!B:N,13,FALSE))</f>
        <v>#N/A</v>
      </c>
      <c r="X168" s="53" t="e">
        <f>IFERROR(VLOOKUP(Tableau119[[#This Row],[Key(Compte ILN - shipper - POL - plant)]],'DATA ILN'!A:P,16,FALSE),VLOOKUP(Tableau119[[#This Row],[Key(Compte ILN - shipper - POL)]],'DATA ILN'!B:P,15,FALSE))</f>
        <v>#N/A</v>
      </c>
      <c r="Y168" s="284" t="s">
        <v>150</v>
      </c>
      <c r="Z168" s="437">
        <f>IFERROR(VLOOKUP(Tableau119[[#This Row],[Name Shipper]],Plant_AILN!L:M,2,FALSE),0)</f>
        <v>2533780535</v>
      </c>
      <c r="AA168" s="406">
        <v>36</v>
      </c>
      <c r="AB168" s="396" t="b">
        <f>_xlfn.XLOOKUP(Tableau119[[#This Row],[Key(ID-date)]],'DATA BTO'!S:S,'DATA BTO'!E:E,FALSE)</f>
        <v>0</v>
      </c>
      <c r="AC168" s="3" t="b">
        <f>_xlfn.XLOOKUP(Tableau119[[#This Row],[Key(ID-date)]],'DATA BTO'!S:S,'DATA BTO'!F:F,FALSE)</f>
        <v>0</v>
      </c>
      <c r="AD168" s="50" t="b">
        <f>_xlfn.XLOOKUP(Tableau119[[#This Row],[Key(ID-date)]],'DATA BTO'!S:S,'DATA BTO'!G:G,FALSE)</f>
        <v>0</v>
      </c>
      <c r="AE168" s="50" t="b">
        <f>_xlfn.XLOOKUP(Tableau119[[#This Row],[Key(ID-date)]],'DATA BTO'!S:S,'DATA BTO'!H:H,FALSE)</f>
        <v>0</v>
      </c>
      <c r="AF168" s="50" t="e">
        <f>IF(Tableau119[[#This Row],[First Day to POL]]&lt;=Tableau119[[#This Row],[Day Cut Off]],Tableau119[[#This Row],[Day ETD]],Tableau119[[#This Row],[Day ETD]]+7)</f>
        <v>#N/A</v>
      </c>
      <c r="AG168" s="50" t="b">
        <f>_xlfn.XLOOKUP(Tableau119[[#This Row],[Key(ID-date)]],'DATA BTO'!S:S,'DATA BTO'!I:I,FALSE)</f>
        <v>0</v>
      </c>
      <c r="AH168" s="3" t="b">
        <f>_xlfn.XLOOKUP(Tableau119[[#This Row],[Key(ID-date)]],'DATA BTO'!S:S,'DATA BTO'!J:J,FALSE)</f>
        <v>0</v>
      </c>
      <c r="AI168" s="3" t="b">
        <f>_xlfn.XLOOKUP(Tableau119[[#This Row],[Key(ID-date)]],'DATA BTO'!S:S,'DATA BTO'!K:K,FALSE)</f>
        <v>0</v>
      </c>
      <c r="AJ168" s="50" t="b">
        <f>_xlfn.XLOOKUP(Tableau119[[#This Row],[Key(ID-date)]],'DATA BTO'!S:S,'DATA BTO'!L:L,FALSE)</f>
        <v>0</v>
      </c>
      <c r="AK168" s="53" t="b">
        <f>_xlfn.XLOOKUP(Tableau119[[#This Row],[Key(ID-date)]],'DATA BTO'!S:S,'DATA BTO'!N:N,FALSE)</f>
        <v>0</v>
      </c>
      <c r="AL168" s="54" t="e">
        <f>VLOOKUP(Tableau119[[#This Row],[Key(POD -PFI- Usine)]],'DATA Consignee'!A:F,6,FALSE)</f>
        <v>#N/A</v>
      </c>
      <c r="AM168" s="127"/>
      <c r="AN168" s="438" t="str">
        <f>IF(Tableau119[[#This Row],[Name PFI/CDD]]="","-",VLOOKUP(Tableau119[[#This Row],[Name PFI/CDD]],Plant_AILN!I:J,2,FALSE))</f>
        <v>-</v>
      </c>
      <c r="AO1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8" s="2" t="e">
        <f>VLOOKUP(Tableau119[[#This Row],[Key(POD -PFI- Usine)]],'DATA Consignee'!A:J,10,FALSE)</f>
        <v>#N/A</v>
      </c>
      <c r="AR168" s="50" t="e">
        <f>VLOOKUP(Tableau119[[#This Row],[Key(POD -PFI- Usine)]],'DATA Consignee'!A:N,14,FALSE)</f>
        <v>#N/A</v>
      </c>
      <c r="AS1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8" s="50">
        <f>Tableau119[[#This Row],[Transit time]]+Tableau119[[#This Row],[Time for security]]+Tableau119[[#This Row],[Time for security2 buffer]]</f>
        <v>0</v>
      </c>
      <c r="AV1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8" s="433" t="e">
        <f>Tableau119[[#This Row],[Leadtime SI2C]]+Tableau119[[#This Row],[First Receipt Days]]-Tableau119[[#This Row],[Day Customer Order]]+1</f>
        <v>#N/A</v>
      </c>
      <c r="AX168" s="119" t="e">
        <f>IF(Tableau119[[#This Row],[Name ILN]]&lt;&gt;"SFK Freight Forwarder",Tableau119[[#This Row],[Cust. Leadtime]],Tableau119[[#This Row],[Leadtime SI2C]])</f>
        <v>#N/A</v>
      </c>
      <c r="AY168" s="51" t="b">
        <f>_xlfn.XLOOKUP(Tableau119[[#This Row],[Key(ID-date)]],'DATA BTO'!S:S,'DATA BTO'!P:P,FALSE)</f>
        <v>0</v>
      </c>
      <c r="AZ168" s="338">
        <v>45657</v>
      </c>
      <c r="BA168" s="50"/>
    </row>
    <row r="169" spans="2:53">
      <c r="B169" s="67" t="str">
        <f>_xlfn.CONCAT(Tableau119[[#This Row],[Name ILN]],"-",Tableau119[[#This Row],[Name Shipper]],"-",Tableau119[[#This Row],[Name Site]])</f>
        <v>ILN Chennai-ILN Chennai-RKM</v>
      </c>
      <c r="C169" s="67" t="str">
        <f>_xlfn.CONCAT(Tableau119[[#This Row],[Compte ILN]],"-",Tableau119[[#This Row],[Compte Shipper]],"-",Tableau119[[#This Row],[POL]],"-",Tableau119[[#This Row],[Compte Consignee]])</f>
        <v>2533780546-2533780546-FALSO-92002200</v>
      </c>
      <c r="D169" s="66" t="str">
        <f>_xlfn.CONCAT(Tableau119[[#This Row],[Compte ILN]],"-",Tableau119[[#This Row],[Compte Shipper]],"-",Tableau119[[#This Row],[POL]])</f>
        <v>2533780546-2533780546-FALSO</v>
      </c>
      <c r="E169" s="434" t="str">
        <f>_xlfn.CONCAT(Tableau119[[#This Row],[POL]],"-",Tableau119[[#This Row],[Carrier]],"-",Tableau119[[#This Row],[POD]])</f>
        <v>FALSO-FALSO-FALSO</v>
      </c>
      <c r="F169" s="66" t="str">
        <f>_xlfn.CONCAT(Tableau119[[#This Row],[ID]],"-","Actif")</f>
        <v>37-Actif</v>
      </c>
      <c r="G169" s="66" t="str">
        <f>_xlfn.CONCAT(Tableau119[[#This Row],[POD]],"-",Tableau119[[#This Row],[Code PFI]],"-",Tableau119[[#This Row],[Compte Consignee]])</f>
        <v>FALSO---92002200</v>
      </c>
      <c r="H16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ChennaiFALSORKM</v>
      </c>
      <c r="I169" s="434" t="str">
        <f>_xlfn.CONCAT(Tableau119[[#This Row],[ID]],"-",Tableau119[[#This Row],[Expiration Date]])</f>
        <v>37-46142</v>
      </c>
      <c r="J1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Chennai-ILN Chennai-37-FALSO-FALSO-FALSO--46142</v>
      </c>
      <c r="K169" s="435" t="str">
        <f ca="1">IF(COUNTIF(J:J,Tableau119[[#This Row],[Plant-ILN-shipper-POL-Carrier-POD-PFI]])=1,"Non","Oui")</f>
        <v>Non</v>
      </c>
      <c r="L169" s="436" t="str">
        <f>VLOOKUP(Tableau119[[#This Row],[Name Site]],Plant_AILN!A:D,4,FALSE)</f>
        <v>KOREA</v>
      </c>
      <c r="M169" s="285" t="s">
        <v>145</v>
      </c>
      <c r="N169" s="439">
        <f>VLOOKUP(Tableau119[[#This Row],[Name Site]],Plant_AILN!A:C,3,FALSE)</f>
        <v>92002200</v>
      </c>
      <c r="O169" s="55">
        <f>IF(Tableau119[[#This Row],[Name PFI/CDD]]="PFI VLL",2,VLOOKUP(Tableau119[[#This Row],[Compte Consignee]],Order!C:D,2,FALSE))</f>
        <v>2</v>
      </c>
      <c r="P169" s="124" t="s">
        <v>149</v>
      </c>
      <c r="Q169" s="365">
        <f>VLOOKUP(Tableau119[[#This Row],[Name ILN]],Plant_AILN!F:G,2,FALSE)</f>
        <v>2533780546</v>
      </c>
      <c r="R169" s="50">
        <f>VLOOKUP(Tableau119[[#This Row],[Compte ILN]],'DATA ILN'!D:I,6,FALSE)</f>
        <v>9</v>
      </c>
      <c r="S169" s="50" t="e">
        <f>IFERROR(VLOOKUP(Tableau119[[#This Row],[Key(Compte ILN - shipper - POL - plant)]],'DATA ILN'!A:J,10,FALSE),VLOOKUP(Tableau119[[#This Row],[Key(Compte ILN - shipper - POL)]],'DATA ILN'!B:J,9,FALSE))</f>
        <v>#N/A</v>
      </c>
      <c r="T169" s="50" t="e">
        <f>IFERROR(VLOOKUP(Tableau119[[#This Row],[Key(Compte ILN - shipper - POL - plant)]],'DATA ILN'!A:K,11,FALSE),VLOOKUP(Tableau119[[#This Row],[Key(Compte ILN - shipper - POL)]],'DATA ILN'!B:K,10,FALSE))</f>
        <v>#N/A</v>
      </c>
      <c r="U169" s="50" t="e">
        <f>IFERROR(VLOOKUP(Tableau119[[#This Row],[Key(Compte ILN - shipper - POL - plant)]],'DATA ILN'!A:L,12,FALSE),VLOOKUP(Tableau119[[#This Row],[Key(Compte ILN - shipper - POL)]],'DATA ILN'!B:L,11,FALSE))</f>
        <v>#N/A</v>
      </c>
      <c r="V169" s="50" t="e">
        <f>Tableau119[[#This Row],[Day ILN Order]]+Tableau119[[#This Row],[Delivery time to ILN/Shipper]]-1</f>
        <v>#N/A</v>
      </c>
      <c r="W169" s="50" t="e">
        <f>IFERROR(VLOOKUP(Tableau119[[#This Row],[Key(Compte ILN - shipper - POL - plant)]],'DATA ILN'!A:N,14,FALSE),VLOOKUP(Tableau119[[#This Row],[Key(Compte ILN - shipper - POL)]],'DATA ILN'!B:N,13,FALSE))</f>
        <v>#N/A</v>
      </c>
      <c r="X169" s="53" t="e">
        <f>IFERROR(VLOOKUP(Tableau119[[#This Row],[Key(Compte ILN - shipper - POL - plant)]],'DATA ILN'!A:P,16,FALSE),VLOOKUP(Tableau119[[#This Row],[Key(Compte ILN - shipper - POL)]],'DATA ILN'!B:P,15,FALSE))</f>
        <v>#N/A</v>
      </c>
      <c r="Y169" s="284" t="s">
        <v>149</v>
      </c>
      <c r="Z169" s="437">
        <f>IFERROR(VLOOKUP(Tableau119[[#This Row],[Name Shipper]],Plant_AILN!L:M,2,FALSE),0)</f>
        <v>2533780546</v>
      </c>
      <c r="AA169" s="406">
        <v>37</v>
      </c>
      <c r="AB169" s="396" t="b">
        <f>_xlfn.XLOOKUP(Tableau119[[#This Row],[Key(ID-date)]],'DATA BTO'!S:S,'DATA BTO'!E:E,FALSE)</f>
        <v>0</v>
      </c>
      <c r="AC169" s="3" t="b">
        <f>_xlfn.XLOOKUP(Tableau119[[#This Row],[Key(ID-date)]],'DATA BTO'!S:S,'DATA BTO'!F:F,FALSE)</f>
        <v>0</v>
      </c>
      <c r="AD169" s="50" t="b">
        <f>_xlfn.XLOOKUP(Tableau119[[#This Row],[Key(ID-date)]],'DATA BTO'!S:S,'DATA BTO'!G:G,FALSE)</f>
        <v>0</v>
      </c>
      <c r="AE169" s="50" t="b">
        <f>_xlfn.XLOOKUP(Tableau119[[#This Row],[Key(ID-date)]],'DATA BTO'!S:S,'DATA BTO'!H:H,FALSE)</f>
        <v>0</v>
      </c>
      <c r="AF169" s="50" t="e">
        <f>IF(Tableau119[[#This Row],[First Day to POL]]&lt;=Tableau119[[#This Row],[Day Cut Off]],Tableau119[[#This Row],[Day ETD]],Tableau119[[#This Row],[Day ETD]]+7)</f>
        <v>#N/A</v>
      </c>
      <c r="AG169" s="50" t="b">
        <f>_xlfn.XLOOKUP(Tableau119[[#This Row],[Key(ID-date)]],'DATA BTO'!S:S,'DATA BTO'!I:I,FALSE)</f>
        <v>0</v>
      </c>
      <c r="AH169" s="3" t="b">
        <f>_xlfn.XLOOKUP(Tableau119[[#This Row],[Key(ID-date)]],'DATA BTO'!S:S,'DATA BTO'!J:J,FALSE)</f>
        <v>0</v>
      </c>
      <c r="AI169" s="3" t="b">
        <f>_xlfn.XLOOKUP(Tableau119[[#This Row],[Key(ID-date)]],'DATA BTO'!S:S,'DATA BTO'!K:K,FALSE)</f>
        <v>0</v>
      </c>
      <c r="AJ169" s="50" t="b">
        <f>_xlfn.XLOOKUP(Tableau119[[#This Row],[Key(ID-date)]],'DATA BTO'!S:S,'DATA BTO'!L:L,FALSE)</f>
        <v>0</v>
      </c>
      <c r="AK169" s="53" t="b">
        <f>_xlfn.XLOOKUP(Tableau119[[#This Row],[Key(ID-date)]],'DATA BTO'!S:S,'DATA BTO'!N:N,FALSE)</f>
        <v>0</v>
      </c>
      <c r="AL169" s="54" t="e">
        <f>VLOOKUP(Tableau119[[#This Row],[Key(POD -PFI- Usine)]],'DATA Consignee'!A:F,6,FALSE)</f>
        <v>#N/A</v>
      </c>
      <c r="AM169" s="127"/>
      <c r="AN169" s="438" t="str">
        <f>IF(Tableau119[[#This Row],[Name PFI/CDD]]="","-",VLOOKUP(Tableau119[[#This Row],[Name PFI/CDD]],Plant_AILN!I:J,2,FALSE))</f>
        <v>-</v>
      </c>
      <c r="AO1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69" s="2" t="e">
        <f>VLOOKUP(Tableau119[[#This Row],[Key(POD -PFI- Usine)]],'DATA Consignee'!A:J,10,FALSE)</f>
        <v>#N/A</v>
      </c>
      <c r="AR169" s="50" t="e">
        <f>VLOOKUP(Tableau119[[#This Row],[Key(POD -PFI- Usine)]],'DATA Consignee'!A:N,14,FALSE)</f>
        <v>#N/A</v>
      </c>
      <c r="AS1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69" s="50">
        <f>Tableau119[[#This Row],[Transit time]]+Tableau119[[#This Row],[Time for security]]+Tableau119[[#This Row],[Time for security2 buffer]]</f>
        <v>0</v>
      </c>
      <c r="AV1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69" s="433" t="e">
        <f>Tableau119[[#This Row],[Leadtime SI2C]]+Tableau119[[#This Row],[First Receipt Days]]-Tableau119[[#This Row],[Day Customer Order]]+1</f>
        <v>#N/A</v>
      </c>
      <c r="AX169" s="119" t="e">
        <f>IF(Tableau119[[#This Row],[Name ILN]]&lt;&gt;"SFK Freight Forwarder",Tableau119[[#This Row],[Cust. Leadtime]],Tableau119[[#This Row],[Leadtime SI2C]])</f>
        <v>#N/A</v>
      </c>
      <c r="AY169" s="51" t="b">
        <f>_xlfn.XLOOKUP(Tableau119[[#This Row],[Key(ID-date)]],'DATA BTO'!S:S,'DATA BTO'!P:P,FALSE)</f>
        <v>0</v>
      </c>
      <c r="AZ169" s="338">
        <v>46142</v>
      </c>
      <c r="BA169" s="50"/>
    </row>
    <row r="170" spans="2:53">
      <c r="B170" s="474" t="str">
        <f>_xlfn.CONCAT(Tableau119[[#This Row],[Name ILN]],"-",Tableau119[[#This Row],[Name Shipper]],"-",Tableau119[[#This Row],[Name Site]])</f>
        <v>ILN Chennai-ILN Chennai-RKM</v>
      </c>
      <c r="C170" s="67" t="str">
        <f>_xlfn.CONCAT(Tableau119[[#This Row],[Compte ILN]],"-",Tableau119[[#This Row],[Compte Shipper]],"-",Tableau119[[#This Row],[POL]],"-",Tableau119[[#This Row],[Compte Consignee]])</f>
        <v>2533780546-2533780546-FALSO-92002200</v>
      </c>
      <c r="D170" s="66" t="str">
        <f>_xlfn.CONCAT(Tableau119[[#This Row],[Compte ILN]],"-",Tableau119[[#This Row],[Compte Shipper]],"-",Tableau119[[#This Row],[POL]])</f>
        <v>2533780546-2533780546-FALSO</v>
      </c>
      <c r="E170" s="434" t="str">
        <f>_xlfn.CONCAT(Tableau119[[#This Row],[POL]],"-",Tableau119[[#This Row],[Carrier]],"-",Tableau119[[#This Row],[POD]])</f>
        <v>FALSO-FALSO-FALSO</v>
      </c>
      <c r="F170" s="66" t="str">
        <f>_xlfn.CONCAT(Tableau119[[#This Row],[ID]],"-","Actif")</f>
        <v>37-Actif</v>
      </c>
      <c r="G170" s="66" t="str">
        <f>_xlfn.CONCAT(Tableau119[[#This Row],[POD]],"-",Tableau119[[#This Row],[Code PFI]],"-",Tableau119[[#This Row],[Compte Consignee]])</f>
        <v>FALSO---92002200</v>
      </c>
      <c r="H17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ChennaiFALSORKM</v>
      </c>
      <c r="I170" s="434" t="str">
        <f>_xlfn.CONCAT(Tableau119[[#This Row],[ID]],"-",Tableau119[[#This Row],[Expiration Date]])</f>
        <v>37-45777</v>
      </c>
      <c r="J1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Chennai-ILN Chennai-37-FALSO-FALSO-FALSO--45777</v>
      </c>
      <c r="K170" s="435" t="str">
        <f ca="1">IF(COUNTIF(J:J,Tableau119[[#This Row],[Plant-ILN-shipper-POL-Carrier-POD-PFI]])=1,"Non","Oui")</f>
        <v>Non</v>
      </c>
      <c r="L170" s="128" t="str">
        <f>VLOOKUP(Tableau119[[#This Row],[Name Site]],Plant_AILN!A:D,4,FALSE)</f>
        <v>KOREA</v>
      </c>
      <c r="M170" s="411" t="s">
        <v>145</v>
      </c>
      <c r="N170" s="439">
        <f>VLOOKUP(Tableau119[[#This Row],[Name Site]],Plant_AILN!A:C,3,FALSE)</f>
        <v>92002200</v>
      </c>
      <c r="O170" s="55">
        <f>VLOOKUP(Tableau119[[#This Row],[Compte Consignee]],Order!C:D,2,FALSE)</f>
        <v>2</v>
      </c>
      <c r="P170" s="124" t="s">
        <v>149</v>
      </c>
      <c r="Q170" s="365">
        <f>VLOOKUP(Tableau119[[#This Row],[Name ILN]],Plant_AILN!F:G,2,FALSE)</f>
        <v>2533780546</v>
      </c>
      <c r="R170" s="50">
        <f>VLOOKUP(Tableau119[[#This Row],[Compte ILN]],'DATA ILN'!D:I,6,FALSE)</f>
        <v>9</v>
      </c>
      <c r="S170" s="50" t="e">
        <f>IFERROR(VLOOKUP(Tableau119[[#This Row],[Key(Compte ILN - shipper - POL - plant)]],'DATA ILN'!A:J,10,FALSE),VLOOKUP(Tableau119[[#This Row],[Key(Compte ILN - shipper - POL)]],'DATA ILN'!B:J,9,FALSE))</f>
        <v>#N/A</v>
      </c>
      <c r="T170" s="50" t="e">
        <f>IFERROR(VLOOKUP(Tableau119[[#This Row],[Key(Compte ILN - shipper - POL - plant)]],'DATA ILN'!A:K,11,FALSE),VLOOKUP(Tableau119[[#This Row],[Key(Compte ILN - shipper - POL)]],'DATA ILN'!B:K,10,FALSE))</f>
        <v>#N/A</v>
      </c>
      <c r="U170" s="50" t="e">
        <f>IFERROR(VLOOKUP(Tableau119[[#This Row],[Key(Compte ILN - shipper - POL - plant)]],'DATA ILN'!A:L,12,FALSE),VLOOKUP(Tableau119[[#This Row],[Key(Compte ILN - shipper - POL)]],'DATA ILN'!B:L,11,FALSE))</f>
        <v>#N/A</v>
      </c>
      <c r="V170" s="50" t="e">
        <f>Tableau119[[#This Row],[Day ILN Order]]+Tableau119[[#This Row],[Delivery time to ILN/Shipper]]-1</f>
        <v>#N/A</v>
      </c>
      <c r="W170" s="50" t="e">
        <f>IFERROR(VLOOKUP(Tableau119[[#This Row],[Key(Compte ILN - shipper - POL - plant)]],'DATA ILN'!A:N,14,FALSE),VLOOKUP(Tableau119[[#This Row],[Key(Compte ILN - shipper - POL)]],'DATA ILN'!B:N,13,FALSE))</f>
        <v>#N/A</v>
      </c>
      <c r="X170" s="53" t="e">
        <f>IFERROR(VLOOKUP(Tableau119[[#This Row],[Key(Compte ILN - shipper - POL - plant)]],'DATA ILN'!A:P,16,FALSE),VLOOKUP(Tableau119[[#This Row],[Key(Compte ILN - shipper - POL)]],'DATA ILN'!B:P,15,FALSE))</f>
        <v>#N/A</v>
      </c>
      <c r="Y170" s="284" t="s">
        <v>149</v>
      </c>
      <c r="Z170" s="437">
        <f>IFERROR(VLOOKUP(Tableau119[[#This Row],[Name Shipper]],Plant_AILN!L:M,2,FALSE),0)</f>
        <v>2533780546</v>
      </c>
      <c r="AA170" s="406">
        <v>37</v>
      </c>
      <c r="AB170" s="396" t="b">
        <f>_xlfn.XLOOKUP(Tableau119[[#This Row],[Key(ID-date)]],'DATA BTO'!S:S,'DATA BTO'!E:E,FALSE)</f>
        <v>0</v>
      </c>
      <c r="AC170" s="3" t="b">
        <f>_xlfn.XLOOKUP(Tableau119[[#This Row],[Key(ID-date)]],'DATA BTO'!S:S,'DATA BTO'!F:F,FALSE)</f>
        <v>0</v>
      </c>
      <c r="AD170" s="50" t="b">
        <f>_xlfn.XLOOKUP(Tableau119[[#This Row],[Key(ID-date)]],'DATA BTO'!S:S,'DATA BTO'!G:G,FALSE)</f>
        <v>0</v>
      </c>
      <c r="AE170" s="50" t="b">
        <f>_xlfn.XLOOKUP(Tableau119[[#This Row],[Key(ID-date)]],'DATA BTO'!S:S,'DATA BTO'!H:H,FALSE)</f>
        <v>0</v>
      </c>
      <c r="AF170" s="50" t="e">
        <f>IF(Tableau119[[#This Row],[First Day to POL]]&lt;=Tableau119[[#This Row],[Day Cut Off]],Tableau119[[#This Row],[Day ETD]],Tableau119[[#This Row],[Day ETD]]+7)</f>
        <v>#N/A</v>
      </c>
      <c r="AG170" s="50" t="b">
        <f>_xlfn.XLOOKUP(Tableau119[[#This Row],[Key(ID-date)]],'DATA BTO'!S:S,'DATA BTO'!I:I,FALSE)</f>
        <v>0</v>
      </c>
      <c r="AH170" s="3" t="b">
        <f>_xlfn.XLOOKUP(Tableau119[[#This Row],[Key(ID-date)]],'DATA BTO'!S:S,'DATA BTO'!J:J,FALSE)</f>
        <v>0</v>
      </c>
      <c r="AI170" s="3" t="b">
        <f>_xlfn.XLOOKUP(Tableau119[[#This Row],[Key(ID-date)]],'DATA BTO'!S:S,'DATA BTO'!K:K,FALSE)</f>
        <v>0</v>
      </c>
      <c r="AJ170" s="50" t="b">
        <f>_xlfn.XLOOKUP(Tableau119[[#This Row],[Key(ID-date)]],'DATA BTO'!S:S,'DATA BTO'!L:L,FALSE)</f>
        <v>0</v>
      </c>
      <c r="AK170" s="53" t="b">
        <f>_xlfn.XLOOKUP(Tableau119[[#This Row],[Key(ID-date)]],'DATA BTO'!S:S,'DATA BTO'!N:N,FALSE)</f>
        <v>0</v>
      </c>
      <c r="AL170" s="54" t="e">
        <f>VLOOKUP(Tableau119[[#This Row],[Key(POD -PFI- Usine)]],'DATA Consignee'!A:F,6,FALSE)</f>
        <v>#N/A</v>
      </c>
      <c r="AM170" s="127"/>
      <c r="AN170" s="438" t="str">
        <f>IF(Tableau119[[#This Row],[Name PFI/CDD]]="","-",VLOOKUP(Tableau119[[#This Row],[Name PFI/CDD]],Plant_AILN!I:J,2,FALSE))</f>
        <v>-</v>
      </c>
      <c r="AO17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0" s="2" t="e">
        <f>VLOOKUP(Tableau119[[#This Row],[Key(POD -PFI- Usine)]],'DATA Consignee'!A:J,10,FALSE)</f>
        <v>#N/A</v>
      </c>
      <c r="AR170" s="50" t="e">
        <f>VLOOKUP(Tableau119[[#This Row],[Key(POD -PFI- Usine)]],'DATA Consignee'!A:N,14,FALSE)</f>
        <v>#N/A</v>
      </c>
      <c r="AS17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0" s="50">
        <f>Tableau119[[#This Row],[Transit time]]+Tableau119[[#This Row],[Time for security]]+Tableau119[[#This Row],[Time for security2 buffer]]</f>
        <v>0</v>
      </c>
      <c r="AV1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0" s="433" t="e">
        <f>Tableau119[[#This Row],[Leadtime SI2C]]+Tableau119[[#This Row],[First Receipt Days]]-Tableau119[[#This Row],[Day Customer Order]]+1</f>
        <v>#N/A</v>
      </c>
      <c r="AX170" s="119" t="e">
        <f>IF(Tableau119[[#This Row],[Name ILN]]&lt;&gt;"SFK Freight Forwarder",Tableau119[[#This Row],[Cust. Leadtime]],Tableau119[[#This Row],[Leadtime SI2C]])</f>
        <v>#N/A</v>
      </c>
      <c r="AY170" s="51" t="b">
        <f>_xlfn.XLOOKUP(Tableau119[[#This Row],[Key(ID-date)]],'DATA BTO'!S:S,'DATA BTO'!P:P,FALSE)</f>
        <v>0</v>
      </c>
      <c r="AZ170" s="338">
        <v>45777</v>
      </c>
      <c r="BA170" s="50"/>
    </row>
    <row r="171" spans="2:53">
      <c r="B171" s="474" t="str">
        <f>_xlfn.CONCAT(Tableau119[[#This Row],[Name ILN]],"-",Tableau119[[#This Row],[Name Shipper]],"-",Tableau119[[#This Row],[Name Site]])</f>
        <v>ILN Chennai-ILN Chennai-RKM</v>
      </c>
      <c r="C171" s="67" t="str">
        <f>_xlfn.CONCAT(Tableau119[[#This Row],[Compte ILN]],"-",Tableau119[[#This Row],[Compte Shipper]],"-",Tableau119[[#This Row],[POL]],"-",Tableau119[[#This Row],[Compte Consignee]])</f>
        <v>2533780546-2533780546-FALSO-92002200</v>
      </c>
      <c r="D171" s="66" t="str">
        <f>_xlfn.CONCAT(Tableau119[[#This Row],[Compte ILN]],"-",Tableau119[[#This Row],[Compte Shipper]],"-",Tableau119[[#This Row],[POL]])</f>
        <v>2533780546-2533780546-FALSO</v>
      </c>
      <c r="E171" s="434" t="str">
        <f>_xlfn.CONCAT(Tableau119[[#This Row],[POL]],"-",Tableau119[[#This Row],[Carrier]],"-",Tableau119[[#This Row],[POD]])</f>
        <v>FALSO-FALSO-FALSO</v>
      </c>
      <c r="F171" s="66" t="str">
        <f>_xlfn.CONCAT(Tableau119[[#This Row],[ID]],"-","Actif")</f>
        <v>37-Actif</v>
      </c>
      <c r="G171" s="66" t="str">
        <f>_xlfn.CONCAT(Tableau119[[#This Row],[POD]],"-",Tableau119[[#This Row],[Code PFI]],"-",Tableau119[[#This Row],[Compte Consignee]])</f>
        <v>FALSO---92002200</v>
      </c>
      <c r="H17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ChennaiFALSORKM</v>
      </c>
      <c r="I171" s="434" t="str">
        <f>_xlfn.CONCAT(Tableau119[[#This Row],[ID]],"-",Tableau119[[#This Row],[Expiration Date]])</f>
        <v>37-45473</v>
      </c>
      <c r="J1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Chennai-ILN Chennai-37-FALSO-FALSO-FALSO--45473</v>
      </c>
      <c r="K171" s="435" t="str">
        <f ca="1">IF(COUNTIF(J:J,Tableau119[[#This Row],[Plant-ILN-shipper-POL-Carrier-POD-PFI]])=1,"Non","Oui")</f>
        <v>Non</v>
      </c>
      <c r="L171" s="128" t="str">
        <f>VLOOKUP(Tableau119[[#This Row],[Name Site]],Plant_AILN!A:D,4,FALSE)</f>
        <v>KOREA</v>
      </c>
      <c r="M171" s="411" t="s">
        <v>145</v>
      </c>
      <c r="N171" s="439">
        <f>VLOOKUP(Tableau119[[#This Row],[Name Site]],Plant_AILN!A:C,3,FALSE)</f>
        <v>92002200</v>
      </c>
      <c r="O171" s="55">
        <f>VLOOKUP(Tableau119[[#This Row],[Compte Consignee]],Order!C:D,2,FALSE)</f>
        <v>2</v>
      </c>
      <c r="P171" s="124" t="s">
        <v>149</v>
      </c>
      <c r="Q171" s="365">
        <f>VLOOKUP(Tableau119[[#This Row],[Name ILN]],Plant_AILN!F:G,2,FALSE)</f>
        <v>2533780546</v>
      </c>
      <c r="R171" s="50">
        <f>VLOOKUP(Tableau119[[#This Row],[Compte ILN]],'DATA ILN'!D:I,6,FALSE)</f>
        <v>9</v>
      </c>
      <c r="S171" s="50" t="e">
        <f>IFERROR(VLOOKUP(Tableau119[[#This Row],[Key(Compte ILN - shipper - POL - plant)]],'DATA ILN'!A:J,10,FALSE),VLOOKUP(Tableau119[[#This Row],[Key(Compte ILN - shipper - POL)]],'DATA ILN'!B:J,9,FALSE))</f>
        <v>#N/A</v>
      </c>
      <c r="T171" s="50" t="e">
        <f>IFERROR(VLOOKUP(Tableau119[[#This Row],[Key(Compte ILN - shipper - POL - plant)]],'DATA ILN'!A:K,11,FALSE),VLOOKUP(Tableau119[[#This Row],[Key(Compte ILN - shipper - POL)]],'DATA ILN'!B:K,10,FALSE))</f>
        <v>#N/A</v>
      </c>
      <c r="U171" s="50" t="e">
        <f>IFERROR(VLOOKUP(Tableau119[[#This Row],[Key(Compte ILN - shipper - POL - plant)]],'DATA ILN'!A:L,12,FALSE),VLOOKUP(Tableau119[[#This Row],[Key(Compte ILN - shipper - POL)]],'DATA ILN'!B:L,11,FALSE))</f>
        <v>#N/A</v>
      </c>
      <c r="V171" s="50" t="e">
        <f>Tableau119[[#This Row],[Day ILN Order]]+Tableau119[[#This Row],[Delivery time to ILN/Shipper]]-1</f>
        <v>#N/A</v>
      </c>
      <c r="W171" s="50" t="e">
        <f>IFERROR(VLOOKUP(Tableau119[[#This Row],[Key(Compte ILN - shipper - POL - plant)]],'DATA ILN'!A:N,14,FALSE),VLOOKUP(Tableau119[[#This Row],[Key(Compte ILN - shipper - POL)]],'DATA ILN'!B:N,13,FALSE))</f>
        <v>#N/A</v>
      </c>
      <c r="X171" s="53" t="e">
        <f>IFERROR(VLOOKUP(Tableau119[[#This Row],[Key(Compte ILN - shipper - POL - plant)]],'DATA ILN'!A:P,16,FALSE),VLOOKUP(Tableau119[[#This Row],[Key(Compte ILN - shipper - POL)]],'DATA ILN'!B:P,15,FALSE))</f>
        <v>#N/A</v>
      </c>
      <c r="Y171" s="284" t="s">
        <v>149</v>
      </c>
      <c r="Z171" s="437">
        <f>IFERROR(VLOOKUP(Tableau119[[#This Row],[Name Shipper]],Plant_AILN!L:M,2,FALSE),0)</f>
        <v>2533780546</v>
      </c>
      <c r="AA171" s="406">
        <v>37</v>
      </c>
      <c r="AB171" s="396" t="b">
        <f>_xlfn.XLOOKUP(Tableau119[[#This Row],[Key(ID-date)]],'DATA BTO'!S:S,'DATA BTO'!E:E,FALSE)</f>
        <v>0</v>
      </c>
      <c r="AC171" s="3" t="b">
        <f>_xlfn.XLOOKUP(Tableau119[[#This Row],[Key(ID-date)]],'DATA BTO'!S:S,'DATA BTO'!F:F,FALSE)</f>
        <v>0</v>
      </c>
      <c r="AD171" s="50" t="b">
        <f>_xlfn.XLOOKUP(Tableau119[[#This Row],[Key(ID-date)]],'DATA BTO'!S:S,'DATA BTO'!G:G,FALSE)</f>
        <v>0</v>
      </c>
      <c r="AE171" s="50" t="b">
        <f>_xlfn.XLOOKUP(Tableau119[[#This Row],[Key(ID-date)]],'DATA BTO'!S:S,'DATA BTO'!H:H,FALSE)</f>
        <v>0</v>
      </c>
      <c r="AF171" s="50" t="e">
        <f>IF(Tableau119[[#This Row],[First Day to POL]]&lt;=Tableau119[[#This Row],[Day Cut Off]],Tableau119[[#This Row],[Day ETD]],Tableau119[[#This Row],[Day ETD]]+7)</f>
        <v>#N/A</v>
      </c>
      <c r="AG171" s="50" t="b">
        <f>_xlfn.XLOOKUP(Tableau119[[#This Row],[Key(ID-date)]],'DATA BTO'!S:S,'DATA BTO'!I:I,FALSE)</f>
        <v>0</v>
      </c>
      <c r="AH171" s="3" t="b">
        <f>_xlfn.XLOOKUP(Tableau119[[#This Row],[Key(ID-date)]],'DATA BTO'!S:S,'DATA BTO'!J:J,FALSE)</f>
        <v>0</v>
      </c>
      <c r="AI171" s="3" t="b">
        <f>_xlfn.XLOOKUP(Tableau119[[#This Row],[Key(ID-date)]],'DATA BTO'!S:S,'DATA BTO'!K:K,FALSE)</f>
        <v>0</v>
      </c>
      <c r="AJ171" s="50" t="b">
        <f>_xlfn.XLOOKUP(Tableau119[[#This Row],[Key(ID-date)]],'DATA BTO'!S:S,'DATA BTO'!L:L,FALSE)</f>
        <v>0</v>
      </c>
      <c r="AK171" s="53" t="b">
        <f>_xlfn.XLOOKUP(Tableau119[[#This Row],[Key(ID-date)]],'DATA BTO'!S:S,'DATA BTO'!N:N,FALSE)</f>
        <v>0</v>
      </c>
      <c r="AL171" s="54" t="e">
        <f>VLOOKUP(Tableau119[[#This Row],[Key(POD -PFI- Usine)]],'DATA Consignee'!A:F,6,FALSE)</f>
        <v>#N/A</v>
      </c>
      <c r="AM171" s="127"/>
      <c r="AN171" s="438" t="str">
        <f>IF(Tableau119[[#This Row],[Name PFI/CDD]]="","-",VLOOKUP(Tableau119[[#This Row],[Name PFI/CDD]],Plant_AILN!I:J,2,FALSE))</f>
        <v>-</v>
      </c>
      <c r="AO1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1" s="2" t="e">
        <f>VLOOKUP(Tableau119[[#This Row],[Key(POD -PFI- Usine)]],'DATA Consignee'!A:J,10,FALSE)</f>
        <v>#N/A</v>
      </c>
      <c r="AR171" s="50" t="e">
        <f>VLOOKUP(Tableau119[[#This Row],[Key(POD -PFI- Usine)]],'DATA Consignee'!A:N,14,FALSE)</f>
        <v>#N/A</v>
      </c>
      <c r="AS1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1" s="50">
        <f>Tableau119[[#This Row],[Transit time]]+Tableau119[[#This Row],[Time for security]]+Tableau119[[#This Row],[Time for security2 buffer]]</f>
        <v>0</v>
      </c>
      <c r="AV1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1" s="433" t="e">
        <f>Tableau119[[#This Row],[Leadtime SI2C]]+Tableau119[[#This Row],[First Receipt Days]]-Tableau119[[#This Row],[Day Customer Order]]+1</f>
        <v>#N/A</v>
      </c>
      <c r="AX171" s="119" t="e">
        <f>IF(Tableau119[[#This Row],[Name ILN]]&lt;&gt;"SFK Freight Forwarder",Tableau119[[#This Row],[Cust. Leadtime]],Tableau119[[#This Row],[Leadtime SI2C]])</f>
        <v>#N/A</v>
      </c>
      <c r="AY171" s="51" t="b">
        <f>_xlfn.XLOOKUP(Tableau119[[#This Row],[Key(ID-date)]],'DATA BTO'!S:S,'DATA BTO'!P:P,FALSE)</f>
        <v>0</v>
      </c>
      <c r="AZ171" s="338">
        <v>45473</v>
      </c>
      <c r="BA171" s="50"/>
    </row>
    <row r="172" spans="2:53">
      <c r="B172" s="474" t="str">
        <f>_xlfn.CONCAT(Tableau119[[#This Row],[Name ILN]],"-",Tableau119[[#This Row],[Name Shipper]],"-",Tableau119[[#This Row],[Name Site]])</f>
        <v>ILN Chennai-ILN Chennai-RKM</v>
      </c>
      <c r="C172" s="67" t="str">
        <f>_xlfn.CONCAT(Tableau119[[#This Row],[Compte ILN]],"-",Tableau119[[#This Row],[Compte Shipper]],"-",Tableau119[[#This Row],[POL]],"-",Tableau119[[#This Row],[Compte Consignee]])</f>
        <v>2533780546-2533780546-FALSO-92002200</v>
      </c>
      <c r="D172" s="66" t="str">
        <f>_xlfn.CONCAT(Tableau119[[#This Row],[Compte ILN]],"-",Tableau119[[#This Row],[Compte Shipper]],"-",Tableau119[[#This Row],[POL]])</f>
        <v>2533780546-2533780546-FALSO</v>
      </c>
      <c r="E172" s="434" t="str">
        <f>_xlfn.CONCAT(Tableau119[[#This Row],[POL]],"-",Tableau119[[#This Row],[Carrier]],"-",Tableau119[[#This Row],[POD]])</f>
        <v>FALSO-FALSO-FALSO</v>
      </c>
      <c r="F172" s="66" t="str">
        <f>_xlfn.CONCAT(Tableau119[[#This Row],[ID]],"-","Actif")</f>
        <v>37-Actif</v>
      </c>
      <c r="G172" s="66" t="str">
        <f>_xlfn.CONCAT(Tableau119[[#This Row],[POD]],"-",Tableau119[[#This Row],[Code PFI]],"-",Tableau119[[#This Row],[Compte Consignee]])</f>
        <v>FALSO---92002200</v>
      </c>
      <c r="H17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ChennaiFALSORKM</v>
      </c>
      <c r="I172" s="434" t="str">
        <f>_xlfn.CONCAT(Tableau119[[#This Row],[ID]],"-",Tableau119[[#This Row],[Expiration Date]])</f>
        <v>37-45412</v>
      </c>
      <c r="J1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Chennai-ILN Chennai-37-FALSO-FALSO-FALSO--45412</v>
      </c>
      <c r="K172" s="435" t="str">
        <f ca="1">IF(COUNTIF(J:J,Tableau119[[#This Row],[Plant-ILN-shipper-POL-Carrier-POD-PFI]])=1,"Non","Oui")</f>
        <v>Non</v>
      </c>
      <c r="L172" s="128" t="str">
        <f>VLOOKUP(Tableau119[[#This Row],[Name Site]],Plant_AILN!A:D,4,FALSE)</f>
        <v>KOREA</v>
      </c>
      <c r="M172" s="411" t="s">
        <v>145</v>
      </c>
      <c r="N172" s="439">
        <f>VLOOKUP(Tableau119[[#This Row],[Name Site]],Plant_AILN!A:C,3,FALSE)</f>
        <v>92002200</v>
      </c>
      <c r="O172" s="55">
        <f>VLOOKUP(Tableau119[[#This Row],[Compte Consignee]],Order!C:D,2,FALSE)</f>
        <v>2</v>
      </c>
      <c r="P172" s="124" t="s">
        <v>149</v>
      </c>
      <c r="Q172" s="365">
        <f>VLOOKUP(Tableau119[[#This Row],[Name ILN]],Plant_AILN!F:G,2,FALSE)</f>
        <v>2533780546</v>
      </c>
      <c r="R172" s="50">
        <f>VLOOKUP(Tableau119[[#This Row],[Compte ILN]],'DATA ILN'!D:I,6,FALSE)</f>
        <v>9</v>
      </c>
      <c r="S172" s="50" t="e">
        <f>IFERROR(VLOOKUP(Tableau119[[#This Row],[Key(Compte ILN - shipper - POL - plant)]],'DATA ILN'!A:J,10,FALSE),VLOOKUP(Tableau119[[#This Row],[Key(Compte ILN - shipper - POL)]],'DATA ILN'!B:J,9,FALSE))</f>
        <v>#N/A</v>
      </c>
      <c r="T172" s="50" t="e">
        <f>IFERROR(VLOOKUP(Tableau119[[#This Row],[Key(Compte ILN - shipper - POL - plant)]],'DATA ILN'!A:K,11,FALSE),VLOOKUP(Tableau119[[#This Row],[Key(Compte ILN - shipper - POL)]],'DATA ILN'!B:K,10,FALSE))</f>
        <v>#N/A</v>
      </c>
      <c r="U172" s="50" t="e">
        <f>IFERROR(VLOOKUP(Tableau119[[#This Row],[Key(Compte ILN - shipper - POL - plant)]],'DATA ILN'!A:L,12,FALSE),VLOOKUP(Tableau119[[#This Row],[Key(Compte ILN - shipper - POL)]],'DATA ILN'!B:L,11,FALSE))</f>
        <v>#N/A</v>
      </c>
      <c r="V172" s="50" t="e">
        <f>Tableau119[[#This Row],[Day ILN Order]]+Tableau119[[#This Row],[Delivery time to ILN/Shipper]]-1</f>
        <v>#N/A</v>
      </c>
      <c r="W172" s="50" t="e">
        <f>IFERROR(VLOOKUP(Tableau119[[#This Row],[Key(Compte ILN - shipper - POL - plant)]],'DATA ILN'!A:N,14,FALSE),VLOOKUP(Tableau119[[#This Row],[Key(Compte ILN - shipper - POL)]],'DATA ILN'!B:N,13,FALSE))</f>
        <v>#N/A</v>
      </c>
      <c r="X172" s="53" t="e">
        <f>IFERROR(VLOOKUP(Tableau119[[#This Row],[Key(Compte ILN - shipper - POL - plant)]],'DATA ILN'!A:P,16,FALSE),VLOOKUP(Tableau119[[#This Row],[Key(Compte ILN - shipper - POL)]],'DATA ILN'!B:P,15,FALSE))</f>
        <v>#N/A</v>
      </c>
      <c r="Y172" s="284" t="s">
        <v>149</v>
      </c>
      <c r="Z172" s="437">
        <f>IFERROR(VLOOKUP(Tableau119[[#This Row],[Name Shipper]],Plant_AILN!L:M,2,FALSE),0)</f>
        <v>2533780546</v>
      </c>
      <c r="AA172" s="406">
        <v>37</v>
      </c>
      <c r="AB172" s="396" t="b">
        <f>_xlfn.XLOOKUP(Tableau119[[#This Row],[Key(ID-date)]],'DATA BTO'!S:S,'DATA BTO'!E:E,FALSE)</f>
        <v>0</v>
      </c>
      <c r="AC172" s="3" t="b">
        <f>_xlfn.XLOOKUP(Tableau119[[#This Row],[Key(ID-date)]],'DATA BTO'!S:S,'DATA BTO'!F:F,FALSE)</f>
        <v>0</v>
      </c>
      <c r="AD172" s="50" t="b">
        <f>_xlfn.XLOOKUP(Tableau119[[#This Row],[Key(ID-date)]],'DATA BTO'!S:S,'DATA BTO'!G:G,FALSE)</f>
        <v>0</v>
      </c>
      <c r="AE172" s="50" t="b">
        <f>_xlfn.XLOOKUP(Tableau119[[#This Row],[Key(ID-date)]],'DATA BTO'!S:S,'DATA BTO'!H:H,FALSE)</f>
        <v>0</v>
      </c>
      <c r="AF172" s="50" t="e">
        <f>IF(Tableau119[[#This Row],[First Day to POL]]&lt;=Tableau119[[#This Row],[Day Cut Off]],Tableau119[[#This Row],[Day ETD]],Tableau119[[#This Row],[Day ETD]]+7)</f>
        <v>#N/A</v>
      </c>
      <c r="AG172" s="50" t="b">
        <f>_xlfn.XLOOKUP(Tableau119[[#This Row],[Key(ID-date)]],'DATA BTO'!S:S,'DATA BTO'!I:I,FALSE)</f>
        <v>0</v>
      </c>
      <c r="AH172" s="3" t="b">
        <f>_xlfn.XLOOKUP(Tableau119[[#This Row],[Key(ID-date)]],'DATA BTO'!S:S,'DATA BTO'!J:J,FALSE)</f>
        <v>0</v>
      </c>
      <c r="AI172" s="3" t="b">
        <f>_xlfn.XLOOKUP(Tableau119[[#This Row],[Key(ID-date)]],'DATA BTO'!S:S,'DATA BTO'!K:K,FALSE)</f>
        <v>0</v>
      </c>
      <c r="AJ172" s="50" t="b">
        <f>_xlfn.XLOOKUP(Tableau119[[#This Row],[Key(ID-date)]],'DATA BTO'!S:S,'DATA BTO'!L:L,FALSE)</f>
        <v>0</v>
      </c>
      <c r="AK172" s="53" t="b">
        <f>_xlfn.XLOOKUP(Tableau119[[#This Row],[Key(ID-date)]],'DATA BTO'!S:S,'DATA BTO'!N:N,FALSE)</f>
        <v>0</v>
      </c>
      <c r="AL172" s="54" t="e">
        <f>VLOOKUP(Tableau119[[#This Row],[Key(POD -PFI- Usine)]],'DATA Consignee'!A:F,6,FALSE)</f>
        <v>#N/A</v>
      </c>
      <c r="AM172" s="127"/>
      <c r="AN172" s="438" t="str">
        <f>IF(Tableau119[[#This Row],[Name PFI/CDD]]="","-",VLOOKUP(Tableau119[[#This Row],[Name PFI/CDD]],Plant_AILN!I:J,2,FALSE))</f>
        <v>-</v>
      </c>
      <c r="AO1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2" s="2" t="e">
        <f>VLOOKUP(Tableau119[[#This Row],[Key(POD -PFI- Usine)]],'DATA Consignee'!A:J,10,FALSE)</f>
        <v>#N/A</v>
      </c>
      <c r="AR172" s="50" t="e">
        <f>VLOOKUP(Tableau119[[#This Row],[Key(POD -PFI- Usine)]],'DATA Consignee'!A:N,14,FALSE)</f>
        <v>#N/A</v>
      </c>
      <c r="AS1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2" s="50">
        <f>Tableau119[[#This Row],[Transit time]]+Tableau119[[#This Row],[Time for security]]+Tableau119[[#This Row],[Time for security2 buffer]]</f>
        <v>0</v>
      </c>
      <c r="AV1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2" s="433" t="e">
        <f>Tableau119[[#This Row],[Leadtime SI2C]]+Tableau119[[#This Row],[First Receipt Days]]-Tableau119[[#This Row],[Day Customer Order]]+1</f>
        <v>#N/A</v>
      </c>
      <c r="AX172" s="119" t="e">
        <f>IF(Tableau119[[#This Row],[Name ILN]]&lt;&gt;"SFK Freight Forwarder",Tableau119[[#This Row],[Cust. Leadtime]],Tableau119[[#This Row],[Leadtime SI2C]])</f>
        <v>#N/A</v>
      </c>
      <c r="AY172" s="51" t="b">
        <f>_xlfn.XLOOKUP(Tableau119[[#This Row],[Key(ID-date)]],'DATA BTO'!S:S,'DATA BTO'!P:P,FALSE)</f>
        <v>0</v>
      </c>
      <c r="AZ172" s="338">
        <v>45412</v>
      </c>
      <c r="BA172" s="50"/>
    </row>
    <row r="173" spans="2:53">
      <c r="B173" s="67" t="str">
        <f>_xlfn.CONCAT(Tableau119[[#This Row],[Name ILN]],"-",Tableau119[[#This Row],[Name Shipper]],"-",Tableau119[[#This Row],[Name Site]])</f>
        <v>ILN Pune-ILN Pune-DACIA MONT</v>
      </c>
      <c r="C173" s="67" t="str">
        <f>_xlfn.CONCAT(Tableau119[[#This Row],[Compte ILN]],"-",Tableau119[[#This Row],[Compte Shipper]],"-",Tableau119[[#This Row],[POL]],"-",Tableau119[[#This Row],[Compte Consignee]])</f>
        <v>2533780535-2533780535-FALSO-90016800</v>
      </c>
      <c r="D173" s="66" t="str">
        <f>_xlfn.CONCAT(Tableau119[[#This Row],[Compte ILN]],"-",Tableau119[[#This Row],[Compte Shipper]],"-",Tableau119[[#This Row],[POL]])</f>
        <v>2533780535-2533780535-FALSO</v>
      </c>
      <c r="E173" s="434" t="str">
        <f>_xlfn.CONCAT(Tableau119[[#This Row],[POL]],"-",Tableau119[[#This Row],[Carrier]],"-",Tableau119[[#This Row],[POD]])</f>
        <v>FALSO-FALSO-FALSO</v>
      </c>
      <c r="F173" s="66" t="str">
        <f>_xlfn.CONCAT(Tableau119[[#This Row],[ID]],"-","Actif")</f>
        <v>39-Actif</v>
      </c>
      <c r="G173" s="66" t="str">
        <f>_xlfn.CONCAT(Tableau119[[#This Row],[POD]],"-",Tableau119[[#This Row],[Code PFI]],"-",Tableau119[[#This Row],[Compte Consignee]])</f>
        <v>FALSO-2839004-90016800</v>
      </c>
      <c r="H17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PuneFALSODACIA MONT</v>
      </c>
      <c r="I173" s="434" t="str">
        <f>_xlfn.CONCAT(Tableau119[[#This Row],[ID]],"-",Tableau119[[#This Row],[Expiration Date]])</f>
        <v>39-46142</v>
      </c>
      <c r="J1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Pune-ILN Pune-39-FALSO-FALSO-FALSO-Magasin Dacia-46142</v>
      </c>
      <c r="K173" s="435" t="str">
        <f ca="1">IF(COUNTIF(J:J,Tableau119[[#This Row],[Plant-ILN-shipper-POL-Carrier-POD-PFI]])=1,"Non","Oui")</f>
        <v>Non</v>
      </c>
      <c r="L173" s="436" t="str">
        <f>VLOOKUP(Tableau119[[#This Row],[Name Site]],Plant_AILN!A:D,4,FALSE)</f>
        <v>ROMANIA</v>
      </c>
      <c r="M173" s="411" t="s">
        <v>185</v>
      </c>
      <c r="N173" s="439">
        <f>VLOOKUP(Tableau119[[#This Row],[Name Site]],Plant_AILN!A:C,3,FALSE)</f>
        <v>90016800</v>
      </c>
      <c r="O173" s="55">
        <f>IF(Tableau119[[#This Row],[Name PFI/CDD]]="PFI VLL",2,VLOOKUP(Tableau119[[#This Row],[Compte Consignee]],Order!C:D,2,FALSE))</f>
        <v>7</v>
      </c>
      <c r="P173" s="124" t="s">
        <v>150</v>
      </c>
      <c r="Q173" s="365">
        <f>VLOOKUP(Tableau119[[#This Row],[Name ILN]],Plant_AILN!F:G,2,FALSE)</f>
        <v>2533780535</v>
      </c>
      <c r="R173" s="50">
        <f>VLOOKUP(Tableau119[[#This Row],[Compte ILN]],'DATA ILN'!D:I,6,FALSE)</f>
        <v>9</v>
      </c>
      <c r="S173" s="50" t="e">
        <f>IFERROR(VLOOKUP(Tableau119[[#This Row],[Key(Compte ILN - shipper - POL - plant)]],'DATA ILN'!A:J,10,FALSE),VLOOKUP(Tableau119[[#This Row],[Key(Compte ILN - shipper - POL)]],'DATA ILN'!B:J,9,FALSE))</f>
        <v>#N/A</v>
      </c>
      <c r="T173" s="50" t="e">
        <f>IFERROR(VLOOKUP(Tableau119[[#This Row],[Key(Compte ILN - shipper - POL - plant)]],'DATA ILN'!A:K,11,FALSE),VLOOKUP(Tableau119[[#This Row],[Key(Compte ILN - shipper - POL)]],'DATA ILN'!B:K,10,FALSE))</f>
        <v>#N/A</v>
      </c>
      <c r="U173" s="50" t="e">
        <f>IFERROR(VLOOKUP(Tableau119[[#This Row],[Key(Compte ILN - shipper - POL - plant)]],'DATA ILN'!A:L,12,FALSE),VLOOKUP(Tableau119[[#This Row],[Key(Compte ILN - shipper - POL)]],'DATA ILN'!B:L,11,FALSE))</f>
        <v>#N/A</v>
      </c>
      <c r="V173" s="50" t="e">
        <f>Tableau119[[#This Row],[Day ILN Order]]+Tableau119[[#This Row],[Delivery time to ILN/Shipper]]-1</f>
        <v>#N/A</v>
      </c>
      <c r="W173" s="50" t="e">
        <f>IFERROR(VLOOKUP(Tableau119[[#This Row],[Key(Compte ILN - shipper - POL - plant)]],'DATA ILN'!A:N,14,FALSE),VLOOKUP(Tableau119[[#This Row],[Key(Compte ILN - shipper - POL)]],'DATA ILN'!B:N,13,FALSE))</f>
        <v>#N/A</v>
      </c>
      <c r="X173" s="53" t="e">
        <f>IFERROR(VLOOKUP(Tableau119[[#This Row],[Key(Compte ILN - shipper - POL - plant)]],'DATA ILN'!A:P,16,FALSE),VLOOKUP(Tableau119[[#This Row],[Key(Compte ILN - shipper - POL)]],'DATA ILN'!B:P,15,FALSE))</f>
        <v>#N/A</v>
      </c>
      <c r="Y173" s="284" t="s">
        <v>150</v>
      </c>
      <c r="Z173" s="437">
        <f>IFERROR(VLOOKUP(Tableau119[[#This Row],[Name Shipper]],Plant_AILN!L:M,2,FALSE),0)</f>
        <v>2533780535</v>
      </c>
      <c r="AA173" s="406">
        <v>39</v>
      </c>
      <c r="AB173" s="396" t="b">
        <f>_xlfn.XLOOKUP(Tableau119[[#This Row],[Key(ID-date)]],'DATA BTO'!S:S,'DATA BTO'!E:E,FALSE)</f>
        <v>0</v>
      </c>
      <c r="AC173" s="3" t="b">
        <f>_xlfn.XLOOKUP(Tableau119[[#This Row],[Key(ID-date)]],'DATA BTO'!S:S,'DATA BTO'!F:F,FALSE)</f>
        <v>0</v>
      </c>
      <c r="AD173" s="50" t="b">
        <f>_xlfn.XLOOKUP(Tableau119[[#This Row],[Key(ID-date)]],'DATA BTO'!S:S,'DATA BTO'!G:G,FALSE)</f>
        <v>0</v>
      </c>
      <c r="AE173" s="50" t="b">
        <f>_xlfn.XLOOKUP(Tableau119[[#This Row],[Key(ID-date)]],'DATA BTO'!S:S,'DATA BTO'!H:H,FALSE)</f>
        <v>0</v>
      </c>
      <c r="AF173" s="50" t="e">
        <f>IF(Tableau119[[#This Row],[First Day to POL]]&lt;=Tableau119[[#This Row],[Day Cut Off]],Tableau119[[#This Row],[Day ETD]],Tableau119[[#This Row],[Day ETD]]+7)</f>
        <v>#N/A</v>
      </c>
      <c r="AG173" s="50" t="b">
        <f>_xlfn.XLOOKUP(Tableau119[[#This Row],[Key(ID-date)]],'DATA BTO'!S:S,'DATA BTO'!I:I,FALSE)</f>
        <v>0</v>
      </c>
      <c r="AH173" s="3" t="b">
        <f>_xlfn.XLOOKUP(Tableau119[[#This Row],[Key(ID-date)]],'DATA BTO'!S:S,'DATA BTO'!J:J,FALSE)</f>
        <v>0</v>
      </c>
      <c r="AI173" s="3" t="b">
        <f>_xlfn.XLOOKUP(Tableau119[[#This Row],[Key(ID-date)]],'DATA BTO'!S:S,'DATA BTO'!K:K,FALSE)</f>
        <v>0</v>
      </c>
      <c r="AJ173" s="50" t="b">
        <f>_xlfn.XLOOKUP(Tableau119[[#This Row],[Key(ID-date)]],'DATA BTO'!S:S,'DATA BTO'!L:L,FALSE)</f>
        <v>0</v>
      </c>
      <c r="AK173" s="53" t="b">
        <f>_xlfn.XLOOKUP(Tableau119[[#This Row],[Key(ID-date)]],'DATA BTO'!S:S,'DATA BTO'!N:N,FALSE)</f>
        <v>0</v>
      </c>
      <c r="AL173" s="54" t="e">
        <f>VLOOKUP(Tableau119[[#This Row],[Key(POD -PFI- Usine)]],'DATA Consignee'!A:F,6,FALSE)</f>
        <v>#N/A</v>
      </c>
      <c r="AM173" s="127" t="s">
        <v>164</v>
      </c>
      <c r="AN173" s="438">
        <f>IF(Tableau119[[#This Row],[Name PFI/CDD]]="","-",VLOOKUP(Tableau119[[#This Row],[Name PFI/CDD]],Plant_AILN!I:J,2,FALSE))</f>
        <v>2839004</v>
      </c>
      <c r="AO1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3" s="2" t="e">
        <f>VLOOKUP(Tableau119[[#This Row],[Key(POD -PFI- Usine)]],'DATA Consignee'!A:J,10,FALSE)</f>
        <v>#N/A</v>
      </c>
      <c r="AR173" s="50" t="e">
        <f>VLOOKUP(Tableau119[[#This Row],[Key(POD -PFI- Usine)]],'DATA Consignee'!A:N,14,FALSE)</f>
        <v>#N/A</v>
      </c>
      <c r="AS1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3" s="50">
        <f>Tableau119[[#This Row],[Transit time]]+Tableau119[[#This Row],[Time for security]]+Tableau119[[#This Row],[Time for security2 buffer]]</f>
        <v>0</v>
      </c>
      <c r="AV1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3" s="433" t="e">
        <f>Tableau119[[#This Row],[Leadtime SI2C]]+Tableau119[[#This Row],[First Receipt Days]]-Tableau119[[#This Row],[Day Customer Order]]+1</f>
        <v>#N/A</v>
      </c>
      <c r="AX173" s="119" t="e">
        <f>IF(Tableau119[[#This Row],[Name ILN]]&lt;&gt;"SFK Freight Forwarder",Tableau119[[#This Row],[Cust. Leadtime]],Tableau119[[#This Row],[Leadtime SI2C]])</f>
        <v>#N/A</v>
      </c>
      <c r="AY173" s="51" t="b">
        <f>_xlfn.XLOOKUP(Tableau119[[#This Row],[Key(ID-date)]],'DATA BTO'!S:S,'DATA BTO'!P:P,FALSE)</f>
        <v>0</v>
      </c>
      <c r="AZ173" s="338">
        <v>46142</v>
      </c>
      <c r="BA173" s="50"/>
    </row>
    <row r="174" spans="2:53">
      <c r="B174" s="474" t="str">
        <f>_xlfn.CONCAT(Tableau119[[#This Row],[Name ILN]],"-",Tableau119[[#This Row],[Name Shipper]],"-",Tableau119[[#This Row],[Name Site]])</f>
        <v>ILN Pune-ILN Pune-DACIA MONT</v>
      </c>
      <c r="C174" s="67" t="str">
        <f>_xlfn.CONCAT(Tableau119[[#This Row],[Compte ILN]],"-",Tableau119[[#This Row],[Compte Shipper]],"-",Tableau119[[#This Row],[POL]],"-",Tableau119[[#This Row],[Compte Consignee]])</f>
        <v>2533780535-2533780535-FALSO-90016800</v>
      </c>
      <c r="D174" s="66" t="str">
        <f>_xlfn.CONCAT(Tableau119[[#This Row],[Compte ILN]],"-",Tableau119[[#This Row],[Compte Shipper]],"-",Tableau119[[#This Row],[POL]])</f>
        <v>2533780535-2533780535-FALSO</v>
      </c>
      <c r="E174" s="434" t="str">
        <f>_xlfn.CONCAT(Tableau119[[#This Row],[POL]],"-",Tableau119[[#This Row],[Carrier]],"-",Tableau119[[#This Row],[POD]])</f>
        <v>FALSO-FALSO-FALSO</v>
      </c>
      <c r="F174" s="66" t="str">
        <f>_xlfn.CONCAT(Tableau119[[#This Row],[ID]],"-","Actif")</f>
        <v>39-Actif</v>
      </c>
      <c r="G174" s="66" t="str">
        <f>_xlfn.CONCAT(Tableau119[[#This Row],[POD]],"-",Tableau119[[#This Row],[Code PFI]],"-",Tableau119[[#This Row],[Compte Consignee]])</f>
        <v>FALSO---90016800</v>
      </c>
      <c r="H17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PuneFALSODACIA MONT</v>
      </c>
      <c r="I174" s="434" t="str">
        <f>_xlfn.CONCAT(Tableau119[[#This Row],[ID]],"-",Tableau119[[#This Row],[Expiration Date]])</f>
        <v>39-45777</v>
      </c>
      <c r="J1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Pune-ILN Pune-39-FALSO-FALSO-FALSO--45777</v>
      </c>
      <c r="K174" s="435" t="str">
        <f ca="1">IF(COUNTIF(J:J,Tableau119[[#This Row],[Plant-ILN-shipper-POL-Carrier-POD-PFI]])=1,"Non","Oui")</f>
        <v>Non</v>
      </c>
      <c r="L174" s="128" t="str">
        <f>VLOOKUP(Tableau119[[#This Row],[Name Site]],Plant_AILN!A:D,4,FALSE)</f>
        <v>ROMANIA</v>
      </c>
      <c r="M174" s="411" t="s">
        <v>185</v>
      </c>
      <c r="N174" s="439">
        <f>VLOOKUP(Tableau119[[#This Row],[Name Site]],Plant_AILN!A:C,3,FALSE)</f>
        <v>90016800</v>
      </c>
      <c r="O174" s="55">
        <f>VLOOKUP(Tableau119[[#This Row],[Compte Consignee]],Order!C:D,2,FALSE)</f>
        <v>7</v>
      </c>
      <c r="P174" s="124" t="s">
        <v>150</v>
      </c>
      <c r="Q174" s="365">
        <f>VLOOKUP(Tableau119[[#This Row],[Name ILN]],Plant_AILN!F:G,2,FALSE)</f>
        <v>2533780535</v>
      </c>
      <c r="R174" s="50">
        <f>VLOOKUP(Tableau119[[#This Row],[Compte ILN]],'DATA ILN'!D:I,6,FALSE)</f>
        <v>9</v>
      </c>
      <c r="S174" s="50" t="e">
        <f>IFERROR(VLOOKUP(Tableau119[[#This Row],[Key(Compte ILN - shipper - POL - plant)]],'DATA ILN'!A:J,10,FALSE),VLOOKUP(Tableau119[[#This Row],[Key(Compte ILN - shipper - POL)]],'DATA ILN'!B:J,9,FALSE))</f>
        <v>#N/A</v>
      </c>
      <c r="T174" s="50" t="e">
        <f>IFERROR(VLOOKUP(Tableau119[[#This Row],[Key(Compte ILN - shipper - POL - plant)]],'DATA ILN'!A:K,11,FALSE),VLOOKUP(Tableau119[[#This Row],[Key(Compte ILN - shipper - POL)]],'DATA ILN'!B:K,10,FALSE))</f>
        <v>#N/A</v>
      </c>
      <c r="U174" s="50" t="e">
        <f>IFERROR(VLOOKUP(Tableau119[[#This Row],[Key(Compte ILN - shipper - POL - plant)]],'DATA ILN'!A:L,12,FALSE),VLOOKUP(Tableau119[[#This Row],[Key(Compte ILN - shipper - POL)]],'DATA ILN'!B:L,11,FALSE))</f>
        <v>#N/A</v>
      </c>
      <c r="V174" s="50" t="e">
        <f>Tableau119[[#This Row],[Day ILN Order]]+Tableau119[[#This Row],[Delivery time to ILN/Shipper]]-1</f>
        <v>#N/A</v>
      </c>
      <c r="W174" s="50" t="e">
        <f>IFERROR(VLOOKUP(Tableau119[[#This Row],[Key(Compte ILN - shipper - POL - plant)]],'DATA ILN'!A:N,14,FALSE),VLOOKUP(Tableau119[[#This Row],[Key(Compte ILN - shipper - POL)]],'DATA ILN'!B:N,13,FALSE))</f>
        <v>#N/A</v>
      </c>
      <c r="X174" s="53" t="e">
        <f>IFERROR(VLOOKUP(Tableau119[[#This Row],[Key(Compte ILN - shipper - POL - plant)]],'DATA ILN'!A:P,16,FALSE),VLOOKUP(Tableau119[[#This Row],[Key(Compte ILN - shipper - POL)]],'DATA ILN'!B:P,15,FALSE))</f>
        <v>#N/A</v>
      </c>
      <c r="Y174" s="284" t="s">
        <v>150</v>
      </c>
      <c r="Z174" s="437">
        <f>IFERROR(VLOOKUP(Tableau119[[#This Row],[Name Shipper]],Plant_AILN!L:M,2,FALSE),0)</f>
        <v>2533780535</v>
      </c>
      <c r="AA174" s="406">
        <v>39</v>
      </c>
      <c r="AB174" s="396" t="b">
        <f>_xlfn.XLOOKUP(Tableau119[[#This Row],[Key(ID-date)]],'DATA BTO'!S:S,'DATA BTO'!E:E,FALSE)</f>
        <v>0</v>
      </c>
      <c r="AC174" s="3" t="b">
        <f>_xlfn.XLOOKUP(Tableau119[[#This Row],[Key(ID-date)]],'DATA BTO'!S:S,'DATA BTO'!F:F,FALSE)</f>
        <v>0</v>
      </c>
      <c r="AD174" s="50" t="b">
        <f>_xlfn.XLOOKUP(Tableau119[[#This Row],[Key(ID-date)]],'DATA BTO'!S:S,'DATA BTO'!G:G,FALSE)</f>
        <v>0</v>
      </c>
      <c r="AE174" s="50" t="b">
        <f>_xlfn.XLOOKUP(Tableau119[[#This Row],[Key(ID-date)]],'DATA BTO'!S:S,'DATA BTO'!H:H,FALSE)</f>
        <v>0</v>
      </c>
      <c r="AF174" s="50" t="e">
        <f>IF(Tableau119[[#This Row],[First Day to POL]]&lt;=Tableau119[[#This Row],[Day Cut Off]],Tableau119[[#This Row],[Day ETD]],Tableau119[[#This Row],[Day ETD]]+7)</f>
        <v>#N/A</v>
      </c>
      <c r="AG174" s="50" t="b">
        <f>_xlfn.XLOOKUP(Tableau119[[#This Row],[Key(ID-date)]],'DATA BTO'!S:S,'DATA BTO'!I:I,FALSE)</f>
        <v>0</v>
      </c>
      <c r="AH174" s="3" t="b">
        <f>_xlfn.XLOOKUP(Tableau119[[#This Row],[Key(ID-date)]],'DATA BTO'!S:S,'DATA BTO'!J:J,FALSE)</f>
        <v>0</v>
      </c>
      <c r="AI174" s="3" t="b">
        <f>_xlfn.XLOOKUP(Tableau119[[#This Row],[Key(ID-date)]],'DATA BTO'!S:S,'DATA BTO'!K:K,FALSE)</f>
        <v>0</v>
      </c>
      <c r="AJ174" s="50" t="b">
        <f>_xlfn.XLOOKUP(Tableau119[[#This Row],[Key(ID-date)]],'DATA BTO'!S:S,'DATA BTO'!L:L,FALSE)</f>
        <v>0</v>
      </c>
      <c r="AK174" s="53" t="b">
        <f>_xlfn.XLOOKUP(Tableau119[[#This Row],[Key(ID-date)]],'DATA BTO'!S:S,'DATA BTO'!N:N,FALSE)</f>
        <v>0</v>
      </c>
      <c r="AL174" s="54" t="e">
        <f>VLOOKUP(Tableau119[[#This Row],[Key(POD -PFI- Usine)]],'DATA Consignee'!A:F,6,FALSE)</f>
        <v>#N/A</v>
      </c>
      <c r="AM174" s="127"/>
      <c r="AN174" s="438" t="str">
        <f>IF(Tableau119[[#This Row],[Name PFI/CDD]]="","-",VLOOKUP(Tableau119[[#This Row],[Name PFI/CDD]],Plant_AILN!I:J,2,FALSE))</f>
        <v>-</v>
      </c>
      <c r="AO1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4" s="2" t="e">
        <f>VLOOKUP(Tableau119[[#This Row],[Key(POD -PFI- Usine)]],'DATA Consignee'!A:J,10,FALSE)</f>
        <v>#N/A</v>
      </c>
      <c r="AR174" s="50" t="e">
        <f>VLOOKUP(Tableau119[[#This Row],[Key(POD -PFI- Usine)]],'DATA Consignee'!A:N,14,FALSE)</f>
        <v>#N/A</v>
      </c>
      <c r="AS1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4" s="50">
        <f>Tableau119[[#This Row],[Transit time]]+Tableau119[[#This Row],[Time for security]]+Tableau119[[#This Row],[Time for security2 buffer]]</f>
        <v>0</v>
      </c>
      <c r="AV1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4" s="433" t="e">
        <f>Tableau119[[#This Row],[Leadtime SI2C]]+Tableau119[[#This Row],[First Receipt Days]]-Tableau119[[#This Row],[Day Customer Order]]+1</f>
        <v>#N/A</v>
      </c>
      <c r="AX174" s="119" t="e">
        <f>IF(Tableau119[[#This Row],[Name ILN]]&lt;&gt;"SFK Freight Forwarder",Tableau119[[#This Row],[Cust. Leadtime]],Tableau119[[#This Row],[Leadtime SI2C]])</f>
        <v>#N/A</v>
      </c>
      <c r="AY174" s="51" t="b">
        <f>_xlfn.XLOOKUP(Tableau119[[#This Row],[Key(ID-date)]],'DATA BTO'!S:S,'DATA BTO'!P:P,FALSE)</f>
        <v>0</v>
      </c>
      <c r="AZ174" s="338">
        <v>45777</v>
      </c>
      <c r="BA174" s="50"/>
    </row>
    <row r="175" spans="2:53">
      <c r="B175" s="474" t="str">
        <f>_xlfn.CONCAT(Tableau119[[#This Row],[Name ILN]],"-",Tableau119[[#This Row],[Name Shipper]],"-",Tableau119[[#This Row],[Name Site]])</f>
        <v>ILN Pune-ILN Pune-DACIA MONT</v>
      </c>
      <c r="C175" s="67" t="str">
        <f>_xlfn.CONCAT(Tableau119[[#This Row],[Compte ILN]],"-",Tableau119[[#This Row],[Compte Shipper]],"-",Tableau119[[#This Row],[POL]],"-",Tableau119[[#This Row],[Compte Consignee]])</f>
        <v>2533780535-2533780535-FALSO-90016800</v>
      </c>
      <c r="D175" s="66" t="str">
        <f>_xlfn.CONCAT(Tableau119[[#This Row],[Compte ILN]],"-",Tableau119[[#This Row],[Compte Shipper]],"-",Tableau119[[#This Row],[POL]])</f>
        <v>2533780535-2533780535-FALSO</v>
      </c>
      <c r="E175" s="434" t="str">
        <f>_xlfn.CONCAT(Tableau119[[#This Row],[POL]],"-",Tableau119[[#This Row],[Carrier]],"-",Tableau119[[#This Row],[POD]])</f>
        <v>FALSO-FALSO-FALSO</v>
      </c>
      <c r="F175" s="66" t="str">
        <f>_xlfn.CONCAT(Tableau119[[#This Row],[ID]],"-","Actif")</f>
        <v>39-Actif</v>
      </c>
      <c r="G175" s="66" t="str">
        <f>_xlfn.CONCAT(Tableau119[[#This Row],[POD]],"-",Tableau119[[#This Row],[Code PFI]],"-",Tableau119[[#This Row],[Compte Consignee]])</f>
        <v>FALSO---90016800</v>
      </c>
      <c r="H17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PuneFALSODACIA MONT</v>
      </c>
      <c r="I175" s="434" t="str">
        <f>_xlfn.CONCAT(Tableau119[[#This Row],[ID]],"-",Tableau119[[#This Row],[Expiration Date]])</f>
        <v>39-45657</v>
      </c>
      <c r="J1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Pune-ILN Pune-39-FALSO-FALSO-FALSO--45657</v>
      </c>
      <c r="K175" s="435" t="str">
        <f ca="1">IF(COUNTIF(J:J,Tableau119[[#This Row],[Plant-ILN-shipper-POL-Carrier-POD-PFI]])=1,"Non","Oui")</f>
        <v>Non</v>
      </c>
      <c r="L175" s="128" t="str">
        <f>VLOOKUP(Tableau119[[#This Row],[Name Site]],Plant_AILN!A:D,4,FALSE)</f>
        <v>ROMANIA</v>
      </c>
      <c r="M175" s="411" t="s">
        <v>185</v>
      </c>
      <c r="N175" s="439">
        <f>VLOOKUP(Tableau119[[#This Row],[Name Site]],Plant_AILN!A:C,3,FALSE)</f>
        <v>90016800</v>
      </c>
      <c r="O175" s="55">
        <f>VLOOKUP(Tableau119[[#This Row],[Compte Consignee]],Order!C:D,2,FALSE)</f>
        <v>7</v>
      </c>
      <c r="P175" s="124" t="s">
        <v>150</v>
      </c>
      <c r="Q175" s="365">
        <f>VLOOKUP(Tableau119[[#This Row],[Name ILN]],Plant_AILN!F:G,2,FALSE)</f>
        <v>2533780535</v>
      </c>
      <c r="R175" s="50">
        <f>VLOOKUP(Tableau119[[#This Row],[Compte ILN]],'DATA ILN'!D:I,6,FALSE)</f>
        <v>9</v>
      </c>
      <c r="S175" s="50" t="e">
        <f>IFERROR(VLOOKUP(Tableau119[[#This Row],[Key(Compte ILN - shipper - POL - plant)]],'DATA ILN'!A:J,10,FALSE),VLOOKUP(Tableau119[[#This Row],[Key(Compte ILN - shipper - POL)]],'DATA ILN'!B:J,9,FALSE))</f>
        <v>#N/A</v>
      </c>
      <c r="T175" s="50" t="e">
        <f>IFERROR(VLOOKUP(Tableau119[[#This Row],[Key(Compte ILN - shipper - POL - plant)]],'DATA ILN'!A:K,11,FALSE),VLOOKUP(Tableau119[[#This Row],[Key(Compte ILN - shipper - POL)]],'DATA ILN'!B:K,10,FALSE))</f>
        <v>#N/A</v>
      </c>
      <c r="U175" s="50" t="e">
        <f>IFERROR(VLOOKUP(Tableau119[[#This Row],[Key(Compte ILN - shipper - POL - plant)]],'DATA ILN'!A:L,12,FALSE),VLOOKUP(Tableau119[[#This Row],[Key(Compte ILN - shipper - POL)]],'DATA ILN'!B:L,11,FALSE))</f>
        <v>#N/A</v>
      </c>
      <c r="V175" s="50" t="e">
        <f>Tableau119[[#This Row],[Day ILN Order]]+Tableau119[[#This Row],[Delivery time to ILN/Shipper]]-1</f>
        <v>#N/A</v>
      </c>
      <c r="W175" s="50" t="e">
        <f>IFERROR(VLOOKUP(Tableau119[[#This Row],[Key(Compte ILN - shipper - POL - plant)]],'DATA ILN'!A:N,14,FALSE),VLOOKUP(Tableau119[[#This Row],[Key(Compte ILN - shipper - POL)]],'DATA ILN'!B:N,13,FALSE))</f>
        <v>#N/A</v>
      </c>
      <c r="X175" s="53" t="e">
        <f>IFERROR(VLOOKUP(Tableau119[[#This Row],[Key(Compte ILN - shipper - POL - plant)]],'DATA ILN'!A:P,16,FALSE),VLOOKUP(Tableau119[[#This Row],[Key(Compte ILN - shipper - POL)]],'DATA ILN'!B:P,15,FALSE))</f>
        <v>#N/A</v>
      </c>
      <c r="Y175" s="284" t="s">
        <v>150</v>
      </c>
      <c r="Z175" s="437">
        <f>IFERROR(VLOOKUP(Tableau119[[#This Row],[Name Shipper]],Plant_AILN!L:M,2,FALSE),0)</f>
        <v>2533780535</v>
      </c>
      <c r="AA175" s="406">
        <v>39</v>
      </c>
      <c r="AB175" s="396" t="b">
        <f>_xlfn.XLOOKUP(Tableau119[[#This Row],[Key(ID-date)]],'DATA BTO'!S:S,'DATA BTO'!E:E,FALSE)</f>
        <v>0</v>
      </c>
      <c r="AC175" s="3" t="b">
        <f>_xlfn.XLOOKUP(Tableau119[[#This Row],[Key(ID-date)]],'DATA BTO'!S:S,'DATA BTO'!F:F,FALSE)</f>
        <v>0</v>
      </c>
      <c r="AD175" s="50" t="b">
        <f>_xlfn.XLOOKUP(Tableau119[[#This Row],[Key(ID-date)]],'DATA BTO'!S:S,'DATA BTO'!G:G,FALSE)</f>
        <v>0</v>
      </c>
      <c r="AE175" s="50" t="b">
        <f>_xlfn.XLOOKUP(Tableau119[[#This Row],[Key(ID-date)]],'DATA BTO'!S:S,'DATA BTO'!H:H,FALSE)</f>
        <v>0</v>
      </c>
      <c r="AF175" s="50" t="e">
        <f>IF(Tableau119[[#This Row],[First Day to POL]]&lt;=Tableau119[[#This Row],[Day Cut Off]],Tableau119[[#This Row],[Day ETD]],Tableau119[[#This Row],[Day ETD]]+7)</f>
        <v>#N/A</v>
      </c>
      <c r="AG175" s="50" t="b">
        <f>_xlfn.XLOOKUP(Tableau119[[#This Row],[Key(ID-date)]],'DATA BTO'!S:S,'DATA BTO'!I:I,FALSE)</f>
        <v>0</v>
      </c>
      <c r="AH175" s="3" t="b">
        <f>_xlfn.XLOOKUP(Tableau119[[#This Row],[Key(ID-date)]],'DATA BTO'!S:S,'DATA BTO'!J:J,FALSE)</f>
        <v>0</v>
      </c>
      <c r="AI175" s="3" t="b">
        <f>_xlfn.XLOOKUP(Tableau119[[#This Row],[Key(ID-date)]],'DATA BTO'!S:S,'DATA BTO'!K:K,FALSE)</f>
        <v>0</v>
      </c>
      <c r="AJ175" s="50" t="b">
        <f>_xlfn.XLOOKUP(Tableau119[[#This Row],[Key(ID-date)]],'DATA BTO'!S:S,'DATA BTO'!L:L,FALSE)</f>
        <v>0</v>
      </c>
      <c r="AK175" s="53" t="b">
        <f>_xlfn.XLOOKUP(Tableau119[[#This Row],[Key(ID-date)]],'DATA BTO'!S:S,'DATA BTO'!N:N,FALSE)</f>
        <v>0</v>
      </c>
      <c r="AL175" s="54" t="e">
        <f>VLOOKUP(Tableau119[[#This Row],[Key(POD -PFI- Usine)]],'DATA Consignee'!A:F,6,FALSE)</f>
        <v>#N/A</v>
      </c>
      <c r="AM175" s="127"/>
      <c r="AN175" s="438" t="str">
        <f>IF(Tableau119[[#This Row],[Name PFI/CDD]]="","-",VLOOKUP(Tableau119[[#This Row],[Name PFI/CDD]],Plant_AILN!I:J,2,FALSE))</f>
        <v>-</v>
      </c>
      <c r="AO1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5" s="2" t="e">
        <f>VLOOKUP(Tableau119[[#This Row],[Key(POD -PFI- Usine)]],'DATA Consignee'!A:J,10,FALSE)</f>
        <v>#N/A</v>
      </c>
      <c r="AR175" s="50" t="e">
        <f>VLOOKUP(Tableau119[[#This Row],[Key(POD -PFI- Usine)]],'DATA Consignee'!A:N,14,FALSE)</f>
        <v>#N/A</v>
      </c>
      <c r="AS1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5" s="50">
        <f>Tableau119[[#This Row],[Transit time]]+Tableau119[[#This Row],[Time for security]]+Tableau119[[#This Row],[Time for security2 buffer]]</f>
        <v>0</v>
      </c>
      <c r="AV1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5" s="433" t="e">
        <f>Tableau119[[#This Row],[Leadtime SI2C]]+Tableau119[[#This Row],[First Receipt Days]]-Tableau119[[#This Row],[Day Customer Order]]+1</f>
        <v>#N/A</v>
      </c>
      <c r="AX175" s="119" t="e">
        <f>IF(Tableau119[[#This Row],[Name ILN]]&lt;&gt;"SFK Freight Forwarder",Tableau119[[#This Row],[Cust. Leadtime]],Tableau119[[#This Row],[Leadtime SI2C]])</f>
        <v>#N/A</v>
      </c>
      <c r="AY175" s="51" t="b">
        <f>_xlfn.XLOOKUP(Tableau119[[#This Row],[Key(ID-date)]],'DATA BTO'!S:S,'DATA BTO'!P:P,FALSE)</f>
        <v>0</v>
      </c>
      <c r="AZ175" s="338">
        <v>45657</v>
      </c>
      <c r="BA175" s="50"/>
    </row>
    <row r="176" spans="2:53">
      <c r="B176" s="474" t="str">
        <f>_xlfn.CONCAT(Tableau119[[#This Row],[Name ILN]],"-",Tableau119[[#This Row],[Name Shipper]],"-",Tableau119[[#This Row],[Name Site]])</f>
        <v>ILN Pune-ILN Pune-DACIA MONT</v>
      </c>
      <c r="C176" s="67" t="str">
        <f>_xlfn.CONCAT(Tableau119[[#This Row],[Compte ILN]],"-",Tableau119[[#This Row],[Compte Shipper]],"-",Tableau119[[#This Row],[POL]],"-",Tableau119[[#This Row],[Compte Consignee]])</f>
        <v>2533780535-2533780535-FALSO-90016800</v>
      </c>
      <c r="D176" s="66" t="str">
        <f>_xlfn.CONCAT(Tableau119[[#This Row],[Compte ILN]],"-",Tableau119[[#This Row],[Compte Shipper]],"-",Tableau119[[#This Row],[POL]])</f>
        <v>2533780535-2533780535-FALSO</v>
      </c>
      <c r="E176" s="434" t="str">
        <f>_xlfn.CONCAT(Tableau119[[#This Row],[POL]],"-",Tableau119[[#This Row],[Carrier]],"-",Tableau119[[#This Row],[POD]])</f>
        <v>FALSO-FALSO-FALSO</v>
      </c>
      <c r="F176" s="66" t="str">
        <f>_xlfn.CONCAT(Tableau119[[#This Row],[ID]],"-","Actif")</f>
        <v>39-Actif</v>
      </c>
      <c r="G176" s="66" t="str">
        <f>_xlfn.CONCAT(Tableau119[[#This Row],[POD]],"-",Tableau119[[#This Row],[Code PFI]],"-",Tableau119[[#This Row],[Compte Consignee]])</f>
        <v>FALSO---90016800</v>
      </c>
      <c r="H17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PuneFALSODACIA MONT</v>
      </c>
      <c r="I176" s="434" t="str">
        <f>_xlfn.CONCAT(Tableau119[[#This Row],[ID]],"-",Tableau119[[#This Row],[Expiration Date]])</f>
        <v>39-45412</v>
      </c>
      <c r="J1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Pune-ILN Pune-39-FALSO-FALSO-FALSO--45412</v>
      </c>
      <c r="K176" s="435" t="str">
        <f ca="1">IF(COUNTIF(J:J,Tableau119[[#This Row],[Plant-ILN-shipper-POL-Carrier-POD-PFI]])=1,"Non","Oui")</f>
        <v>Non</v>
      </c>
      <c r="L176" s="128" t="str">
        <f>VLOOKUP(Tableau119[[#This Row],[Name Site]],Plant_AILN!A:D,4,FALSE)</f>
        <v>ROMANIA</v>
      </c>
      <c r="M176" s="411" t="s">
        <v>185</v>
      </c>
      <c r="N176" s="439">
        <f>VLOOKUP(Tableau119[[#This Row],[Name Site]],Plant_AILN!A:C,3,FALSE)</f>
        <v>90016800</v>
      </c>
      <c r="O176" s="55">
        <f>VLOOKUP(Tableau119[[#This Row],[Compte Consignee]],Order!C:D,2,FALSE)</f>
        <v>7</v>
      </c>
      <c r="P176" s="124" t="s">
        <v>150</v>
      </c>
      <c r="Q176" s="365">
        <f>VLOOKUP(Tableau119[[#This Row],[Name ILN]],Plant_AILN!F:G,2,FALSE)</f>
        <v>2533780535</v>
      </c>
      <c r="R176" s="50">
        <f>VLOOKUP(Tableau119[[#This Row],[Compte ILN]],'DATA ILN'!D:I,6,FALSE)</f>
        <v>9</v>
      </c>
      <c r="S176" s="50" t="e">
        <f>IFERROR(VLOOKUP(Tableau119[[#This Row],[Key(Compte ILN - shipper - POL - plant)]],'DATA ILN'!A:J,10,FALSE),VLOOKUP(Tableau119[[#This Row],[Key(Compte ILN - shipper - POL)]],'DATA ILN'!B:J,9,FALSE))</f>
        <v>#N/A</v>
      </c>
      <c r="T176" s="50" t="e">
        <f>IFERROR(VLOOKUP(Tableau119[[#This Row],[Key(Compte ILN - shipper - POL - plant)]],'DATA ILN'!A:K,11,FALSE),VLOOKUP(Tableau119[[#This Row],[Key(Compte ILN - shipper - POL)]],'DATA ILN'!B:K,10,FALSE))</f>
        <v>#N/A</v>
      </c>
      <c r="U176" s="50" t="e">
        <f>IFERROR(VLOOKUP(Tableau119[[#This Row],[Key(Compte ILN - shipper - POL - plant)]],'DATA ILN'!A:L,12,FALSE),VLOOKUP(Tableau119[[#This Row],[Key(Compte ILN - shipper - POL)]],'DATA ILN'!B:L,11,FALSE))</f>
        <v>#N/A</v>
      </c>
      <c r="V176" s="50" t="e">
        <f>Tableau119[[#This Row],[Day ILN Order]]+Tableau119[[#This Row],[Delivery time to ILN/Shipper]]-1</f>
        <v>#N/A</v>
      </c>
      <c r="W176" s="50" t="e">
        <f>IFERROR(VLOOKUP(Tableau119[[#This Row],[Key(Compte ILN - shipper - POL - plant)]],'DATA ILN'!A:N,14,FALSE),VLOOKUP(Tableau119[[#This Row],[Key(Compte ILN - shipper - POL)]],'DATA ILN'!B:N,13,FALSE))</f>
        <v>#N/A</v>
      </c>
      <c r="X176" s="53" t="e">
        <f>IFERROR(VLOOKUP(Tableau119[[#This Row],[Key(Compte ILN - shipper - POL - plant)]],'DATA ILN'!A:P,16,FALSE),VLOOKUP(Tableau119[[#This Row],[Key(Compte ILN - shipper - POL)]],'DATA ILN'!B:P,15,FALSE))</f>
        <v>#N/A</v>
      </c>
      <c r="Y176" s="284" t="s">
        <v>150</v>
      </c>
      <c r="Z176" s="437">
        <f>IFERROR(VLOOKUP(Tableau119[[#This Row],[Name Shipper]],Plant_AILN!L:M,2,FALSE),0)</f>
        <v>2533780535</v>
      </c>
      <c r="AA176" s="406">
        <v>39</v>
      </c>
      <c r="AB176" s="396" t="b">
        <f>_xlfn.XLOOKUP(Tableau119[[#This Row],[Key(ID-date)]],'DATA BTO'!S:S,'DATA BTO'!E:E,FALSE)</f>
        <v>0</v>
      </c>
      <c r="AC176" s="3" t="b">
        <f>_xlfn.XLOOKUP(Tableau119[[#This Row],[Key(ID-date)]],'DATA BTO'!S:S,'DATA BTO'!F:F,FALSE)</f>
        <v>0</v>
      </c>
      <c r="AD176" s="50" t="b">
        <f>_xlfn.XLOOKUP(Tableau119[[#This Row],[Key(ID-date)]],'DATA BTO'!S:S,'DATA BTO'!G:G,FALSE)</f>
        <v>0</v>
      </c>
      <c r="AE176" s="50" t="b">
        <f>_xlfn.XLOOKUP(Tableau119[[#This Row],[Key(ID-date)]],'DATA BTO'!S:S,'DATA BTO'!H:H,FALSE)</f>
        <v>0</v>
      </c>
      <c r="AF176" s="50" t="e">
        <f>IF(Tableau119[[#This Row],[First Day to POL]]&lt;=Tableau119[[#This Row],[Day Cut Off]],Tableau119[[#This Row],[Day ETD]],Tableau119[[#This Row],[Day ETD]]+7)</f>
        <v>#N/A</v>
      </c>
      <c r="AG176" s="50" t="b">
        <f>_xlfn.XLOOKUP(Tableau119[[#This Row],[Key(ID-date)]],'DATA BTO'!S:S,'DATA BTO'!I:I,FALSE)</f>
        <v>0</v>
      </c>
      <c r="AH176" s="3" t="b">
        <f>_xlfn.XLOOKUP(Tableau119[[#This Row],[Key(ID-date)]],'DATA BTO'!S:S,'DATA BTO'!J:J,FALSE)</f>
        <v>0</v>
      </c>
      <c r="AI176" s="3" t="b">
        <f>_xlfn.XLOOKUP(Tableau119[[#This Row],[Key(ID-date)]],'DATA BTO'!S:S,'DATA BTO'!K:K,FALSE)</f>
        <v>0</v>
      </c>
      <c r="AJ176" s="50" t="b">
        <f>_xlfn.XLOOKUP(Tableau119[[#This Row],[Key(ID-date)]],'DATA BTO'!S:S,'DATA BTO'!L:L,FALSE)</f>
        <v>0</v>
      </c>
      <c r="AK176" s="53" t="b">
        <f>_xlfn.XLOOKUP(Tableau119[[#This Row],[Key(ID-date)]],'DATA BTO'!S:S,'DATA BTO'!N:N,FALSE)</f>
        <v>0</v>
      </c>
      <c r="AL176" s="54" t="e">
        <f>VLOOKUP(Tableau119[[#This Row],[Key(POD -PFI- Usine)]],'DATA Consignee'!A:F,6,FALSE)</f>
        <v>#N/A</v>
      </c>
      <c r="AM176" s="127"/>
      <c r="AN176" s="438" t="str">
        <f>IF(Tableau119[[#This Row],[Name PFI/CDD]]="","-",VLOOKUP(Tableau119[[#This Row],[Name PFI/CDD]],Plant_AILN!I:J,2,FALSE))</f>
        <v>-</v>
      </c>
      <c r="AO1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6" s="2" t="e">
        <f>VLOOKUP(Tableau119[[#This Row],[Key(POD -PFI- Usine)]],'DATA Consignee'!A:J,10,FALSE)</f>
        <v>#N/A</v>
      </c>
      <c r="AR176" s="50" t="e">
        <f>VLOOKUP(Tableau119[[#This Row],[Key(POD -PFI- Usine)]],'DATA Consignee'!A:N,14,FALSE)</f>
        <v>#N/A</v>
      </c>
      <c r="AS1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6" s="50">
        <f>Tableau119[[#This Row],[Transit time]]+Tableau119[[#This Row],[Time for security]]+Tableau119[[#This Row],[Time for security2 buffer]]</f>
        <v>0</v>
      </c>
      <c r="AV1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6" s="433" t="e">
        <f>Tableau119[[#This Row],[Leadtime SI2C]]+Tableau119[[#This Row],[First Receipt Days]]-Tableau119[[#This Row],[Day Customer Order]]+1</f>
        <v>#N/A</v>
      </c>
      <c r="AX176" s="119" t="e">
        <f>IF(Tableau119[[#This Row],[Name ILN]]&lt;&gt;"SFK Freight Forwarder",Tableau119[[#This Row],[Cust. Leadtime]],Tableau119[[#This Row],[Leadtime SI2C]])</f>
        <v>#N/A</v>
      </c>
      <c r="AY176" s="51" t="b">
        <f>_xlfn.XLOOKUP(Tableau119[[#This Row],[Key(ID-date)]],'DATA BTO'!S:S,'DATA BTO'!P:P,FALSE)</f>
        <v>0</v>
      </c>
      <c r="AZ176" s="338">
        <v>45412</v>
      </c>
      <c r="BA176" s="50"/>
    </row>
    <row r="177" spans="2:53">
      <c r="B177" s="67" t="str">
        <f>_xlfn.CONCAT(Tableau119[[#This Row],[Name ILN]],"-",Tableau119[[#This Row],[Name Shipper]],"-",Tableau119[[#This Row],[Name Site]])</f>
        <v>ILN Curitiba-NISSAN AILN LOGISTICA CRAGEA-CORDOBA</v>
      </c>
      <c r="C177" s="67" t="str">
        <f>_xlfn.CONCAT(Tableau119[[#This Row],[Compte ILN]],"-",Tableau119[[#This Row],[Compte Shipper]],"-",Tableau119[[#This Row],[POL]],"-",Tableau119[[#This Row],[Compte Consignee]])</f>
        <v>95207-92007300-FALSO-90016000</v>
      </c>
      <c r="D177" s="66" t="str">
        <f>_xlfn.CONCAT(Tableau119[[#This Row],[Compte ILN]],"-",Tableau119[[#This Row],[Compte Shipper]],"-",Tableau119[[#This Row],[POL]])</f>
        <v>95207-92007300-FALSO</v>
      </c>
      <c r="E177" s="434" t="str">
        <f>_xlfn.CONCAT(Tableau119[[#This Row],[POL]],"-",Tableau119[[#This Row],[Carrier]],"-",Tableau119[[#This Row],[POD]])</f>
        <v>FALSO-FALSO-FALSO</v>
      </c>
      <c r="F177" s="66" t="str">
        <f>_xlfn.CONCAT(Tableau119[[#This Row],[ID]],"-","Actif")</f>
        <v>44-Actif</v>
      </c>
      <c r="G177" s="66" t="str">
        <f>_xlfn.CONCAT(Tableau119[[#This Row],[POD]],"-",Tableau119[[#This Row],[Code PFI]],"-",Tableau119[[#This Row],[Compte Consignee]])</f>
        <v>FALSO---90016000</v>
      </c>
      <c r="H17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92007300FALSOCORDOBA</v>
      </c>
      <c r="I177" s="434" t="str">
        <f>_xlfn.CONCAT(Tableau119[[#This Row],[ID]],"-",Tableau119[[#This Row],[Expiration Date]])</f>
        <v>44-46142</v>
      </c>
      <c r="J1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Curitiba-NISSAN AILN LOGISTICA CRAGEA-44-FALSO-FALSO-FALSO--46142</v>
      </c>
      <c r="K177" s="435" t="str">
        <f ca="1">IF(COUNTIF(J:J,Tableau119[[#This Row],[Plant-ILN-shipper-POL-Carrier-POD-PFI]])=1,"Non","Oui")</f>
        <v>Non</v>
      </c>
      <c r="L177" s="436" t="str">
        <f>VLOOKUP(Tableau119[[#This Row],[Name Site]],Plant_AILN!A:D,4,FALSE)</f>
        <v>ARGENTINA</v>
      </c>
      <c r="M177" s="285" t="s">
        <v>158</v>
      </c>
      <c r="N177" s="439">
        <f>VLOOKUP(Tableau119[[#This Row],[Name Site]],Plant_AILN!A:C,3,FALSE)</f>
        <v>90016000</v>
      </c>
      <c r="O177" s="55">
        <f>IF(Tableau119[[#This Row],[Name PFI/CDD]]="PFI VLL",2,VLOOKUP(Tableau119[[#This Row],[Compte Consignee]],Order!C:D,2,FALSE))</f>
        <v>7</v>
      </c>
      <c r="P177" s="124" t="s">
        <v>163</v>
      </c>
      <c r="Q177" s="365">
        <f>VLOOKUP(Tableau119[[#This Row],[Name ILN]],Plant_AILN!F:G,2,FALSE)</f>
        <v>95207</v>
      </c>
      <c r="R177" s="50">
        <f>VLOOKUP(Tableau119[[#This Row],[Compte ILN]],'DATA ILN'!D:I,6,FALSE)</f>
        <v>9</v>
      </c>
      <c r="S177" s="50" t="e">
        <f>IFERROR(VLOOKUP(Tableau119[[#This Row],[Key(Compte ILN - shipper - POL - plant)]],'DATA ILN'!A:J,10,FALSE),VLOOKUP(Tableau119[[#This Row],[Key(Compte ILN - shipper - POL)]],'DATA ILN'!B:J,9,FALSE))</f>
        <v>#N/A</v>
      </c>
      <c r="T177" s="50" t="e">
        <f>IFERROR(VLOOKUP(Tableau119[[#This Row],[Key(Compte ILN - shipper - POL - plant)]],'DATA ILN'!A:K,11,FALSE),VLOOKUP(Tableau119[[#This Row],[Key(Compte ILN - shipper - POL)]],'DATA ILN'!B:K,10,FALSE))</f>
        <v>#N/A</v>
      </c>
      <c r="U177" s="50" t="e">
        <f>IFERROR(VLOOKUP(Tableau119[[#This Row],[Key(Compte ILN - shipper - POL - plant)]],'DATA ILN'!A:L,12,FALSE),VLOOKUP(Tableau119[[#This Row],[Key(Compte ILN - shipper - POL)]],'DATA ILN'!B:L,11,FALSE))</f>
        <v>#N/A</v>
      </c>
      <c r="V177" s="50" t="e">
        <f>Tableau119[[#This Row],[Day ILN Order]]+Tableau119[[#This Row],[Delivery time to ILN/Shipper]]-1</f>
        <v>#N/A</v>
      </c>
      <c r="W177" s="50" t="e">
        <f>IFERROR(VLOOKUP(Tableau119[[#This Row],[Key(Compte ILN - shipper - POL - plant)]],'DATA ILN'!A:N,14,FALSE),VLOOKUP(Tableau119[[#This Row],[Key(Compte ILN - shipper - POL)]],'DATA ILN'!B:N,13,FALSE))</f>
        <v>#N/A</v>
      </c>
      <c r="X177" s="53" t="e">
        <f>IFERROR(VLOOKUP(Tableau119[[#This Row],[Key(Compte ILN - shipper - POL - plant)]],'DATA ILN'!A:P,16,FALSE),VLOOKUP(Tableau119[[#This Row],[Key(Compte ILN - shipper - POL)]],'DATA ILN'!B:P,15,FALSE))</f>
        <v>#N/A</v>
      </c>
      <c r="Y177" s="284" t="s">
        <v>383</v>
      </c>
      <c r="Z177" s="437">
        <f>IFERROR(VLOOKUP(Tableau119[[#This Row],[Name Shipper]],Plant_AILN!L:M,2,FALSE),0)</f>
        <v>92007300</v>
      </c>
      <c r="AA177" s="406">
        <v>44</v>
      </c>
      <c r="AB177" s="396" t="b">
        <f>_xlfn.XLOOKUP(Tableau119[[#This Row],[Key(ID-date)]],'DATA BTO'!S:S,'DATA BTO'!E:E,FALSE)</f>
        <v>0</v>
      </c>
      <c r="AC177" s="3" t="b">
        <f>_xlfn.XLOOKUP(Tableau119[[#This Row],[Key(ID-date)]],'DATA BTO'!S:S,'DATA BTO'!F:F,FALSE)</f>
        <v>0</v>
      </c>
      <c r="AD177" s="50" t="b">
        <f>_xlfn.XLOOKUP(Tableau119[[#This Row],[Key(ID-date)]],'DATA BTO'!S:S,'DATA BTO'!G:G,FALSE)</f>
        <v>0</v>
      </c>
      <c r="AE177" s="50" t="b">
        <f>_xlfn.XLOOKUP(Tableau119[[#This Row],[Key(ID-date)]],'DATA BTO'!S:S,'DATA BTO'!H:H,FALSE)</f>
        <v>0</v>
      </c>
      <c r="AF177" s="50" t="e">
        <f>IF(Tableau119[[#This Row],[First Day to POL]]&lt;=Tableau119[[#This Row],[Day Cut Off]],Tableau119[[#This Row],[Day ETD]],Tableau119[[#This Row],[Day ETD]]+7)</f>
        <v>#N/A</v>
      </c>
      <c r="AG177" s="50" t="b">
        <f>_xlfn.XLOOKUP(Tableau119[[#This Row],[Key(ID-date)]],'DATA BTO'!S:S,'DATA BTO'!I:I,FALSE)</f>
        <v>0</v>
      </c>
      <c r="AH177" s="3" t="b">
        <f>_xlfn.XLOOKUP(Tableau119[[#This Row],[Key(ID-date)]],'DATA BTO'!S:S,'DATA BTO'!J:J,FALSE)</f>
        <v>0</v>
      </c>
      <c r="AI177" s="3" t="b">
        <f>_xlfn.XLOOKUP(Tableau119[[#This Row],[Key(ID-date)]],'DATA BTO'!S:S,'DATA BTO'!K:K,FALSE)</f>
        <v>0</v>
      </c>
      <c r="AJ177" s="50" t="b">
        <f>_xlfn.XLOOKUP(Tableau119[[#This Row],[Key(ID-date)]],'DATA BTO'!S:S,'DATA BTO'!L:L,FALSE)</f>
        <v>0</v>
      </c>
      <c r="AK177" s="53" t="b">
        <f>_xlfn.XLOOKUP(Tableau119[[#This Row],[Key(ID-date)]],'DATA BTO'!S:S,'DATA BTO'!N:N,FALSE)</f>
        <v>0</v>
      </c>
      <c r="AL177" s="54" t="e">
        <f>VLOOKUP(Tableau119[[#This Row],[Key(POD -PFI- Usine)]],'DATA Consignee'!A:F,6,FALSE)</f>
        <v>#N/A</v>
      </c>
      <c r="AM177" s="127"/>
      <c r="AN177" s="438" t="str">
        <f>IF(Tableau119[[#This Row],[Name PFI/CDD]]="","-",VLOOKUP(Tableau119[[#This Row],[Name PFI/CDD]],Plant_AILN!I:J,2,FALSE))</f>
        <v>-</v>
      </c>
      <c r="AO1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7" s="2" t="e">
        <f>VLOOKUP(Tableau119[[#This Row],[Key(POD -PFI- Usine)]],'DATA Consignee'!A:J,10,FALSE)</f>
        <v>#N/A</v>
      </c>
      <c r="AR177" s="50" t="e">
        <f>VLOOKUP(Tableau119[[#This Row],[Key(POD -PFI- Usine)]],'DATA Consignee'!A:N,14,FALSE)</f>
        <v>#N/A</v>
      </c>
      <c r="AS1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7" s="50">
        <f>Tableau119[[#This Row],[Transit time]]+Tableau119[[#This Row],[Time for security]]+Tableau119[[#This Row],[Time for security2 buffer]]</f>
        <v>0</v>
      </c>
      <c r="AV1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7" s="433" t="e">
        <f>Tableau119[[#This Row],[Leadtime SI2C]]+Tableau119[[#This Row],[First Receipt Days]]-Tableau119[[#This Row],[Day Customer Order]]+1</f>
        <v>#N/A</v>
      </c>
      <c r="AX177" s="119" t="e">
        <f>IF(Tableau119[[#This Row],[Name ILN]]&lt;&gt;"SFK Freight Forwarder",Tableau119[[#This Row],[Cust. Leadtime]],Tableau119[[#This Row],[Leadtime SI2C]])</f>
        <v>#N/A</v>
      </c>
      <c r="AY177" s="51" t="b">
        <f>_xlfn.XLOOKUP(Tableau119[[#This Row],[Key(ID-date)]],'DATA BTO'!S:S,'DATA BTO'!P:P,FALSE)</f>
        <v>0</v>
      </c>
      <c r="AZ177" s="338">
        <v>46142</v>
      </c>
      <c r="BA177" s="435"/>
    </row>
    <row r="178" spans="2:53">
      <c r="B178" s="474" t="str">
        <f>_xlfn.CONCAT(Tableau119[[#This Row],[Name ILN]],"-",Tableau119[[#This Row],[Name Shipper]],"-",Tableau119[[#This Row],[Name Site]])</f>
        <v>ILN Curitiba-NISSAN AILN LOGISTICA CRAGEA-CORDOBA</v>
      </c>
      <c r="C178" s="67" t="str">
        <f>_xlfn.CONCAT(Tableau119[[#This Row],[Compte ILN]],"-",Tableau119[[#This Row],[Compte Shipper]],"-",Tableau119[[#This Row],[POL]],"-",Tableau119[[#This Row],[Compte Consignee]])</f>
        <v>95207-92007300-FALSO-90016000</v>
      </c>
      <c r="D178" s="66" t="str">
        <f>_xlfn.CONCAT(Tableau119[[#This Row],[Compte ILN]],"-",Tableau119[[#This Row],[Compte Shipper]],"-",Tableau119[[#This Row],[POL]])</f>
        <v>95207-92007300-FALSO</v>
      </c>
      <c r="E178" s="434" t="str">
        <f>_xlfn.CONCAT(Tableau119[[#This Row],[POL]],"-",Tableau119[[#This Row],[Carrier]],"-",Tableau119[[#This Row],[POD]])</f>
        <v>FALSO-FALSO-FALSO</v>
      </c>
      <c r="F178" s="66" t="str">
        <f>_xlfn.CONCAT(Tableau119[[#This Row],[ID]],"-","Actif")</f>
        <v>44-Actif</v>
      </c>
      <c r="G178" s="66" t="str">
        <f>_xlfn.CONCAT(Tableau119[[#This Row],[POD]],"-",Tableau119[[#This Row],[Code PFI]],"-",Tableau119[[#This Row],[Compte Consignee]])</f>
        <v>FALSO---90016000</v>
      </c>
      <c r="H17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92007300FALSOCORDOBA</v>
      </c>
      <c r="I178" s="434" t="str">
        <f>_xlfn.CONCAT(Tableau119[[#This Row],[ID]],"-",Tableau119[[#This Row],[Expiration Date]])</f>
        <v>44-45777</v>
      </c>
      <c r="J1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Curitiba-NISSAN AILN LOGISTICA CRAGEA-44-FALSO-FALSO-FALSO--45777</v>
      </c>
      <c r="K178" s="435" t="str">
        <f ca="1">IF(COUNTIF(J:J,Tableau119[[#This Row],[Plant-ILN-shipper-POL-Carrier-POD-PFI]])=1,"Non","Oui")</f>
        <v>Non</v>
      </c>
      <c r="L178" s="128" t="str">
        <f>VLOOKUP(Tableau119[[#This Row],[Name Site]],Plant_AILN!A:D,4,FALSE)</f>
        <v>ARGENTINA</v>
      </c>
      <c r="M178" s="411" t="s">
        <v>158</v>
      </c>
      <c r="N178" s="439">
        <f>VLOOKUP(Tableau119[[#This Row],[Name Site]],Plant_AILN!A:C,3,FALSE)</f>
        <v>90016000</v>
      </c>
      <c r="O178" s="55">
        <f>VLOOKUP(Tableau119[[#This Row],[Compte Consignee]],Order!C:D,2,FALSE)</f>
        <v>7</v>
      </c>
      <c r="P178" s="124" t="s">
        <v>163</v>
      </c>
      <c r="Q178" s="365">
        <f>VLOOKUP(Tableau119[[#This Row],[Name ILN]],Plant_AILN!F:G,2,FALSE)</f>
        <v>95207</v>
      </c>
      <c r="R178" s="50">
        <f>VLOOKUP(Tableau119[[#This Row],[Compte ILN]],'DATA ILN'!D:I,6,FALSE)</f>
        <v>9</v>
      </c>
      <c r="S178" s="50" t="e">
        <f>IFERROR(VLOOKUP(Tableau119[[#This Row],[Key(Compte ILN - shipper - POL - plant)]],'DATA ILN'!A:J,10,FALSE),VLOOKUP(Tableau119[[#This Row],[Key(Compte ILN - shipper - POL)]],'DATA ILN'!B:J,9,FALSE))</f>
        <v>#N/A</v>
      </c>
      <c r="T178" s="50" t="e">
        <f>IFERROR(VLOOKUP(Tableau119[[#This Row],[Key(Compte ILN - shipper - POL - plant)]],'DATA ILN'!A:K,11,FALSE),VLOOKUP(Tableau119[[#This Row],[Key(Compte ILN - shipper - POL)]],'DATA ILN'!B:K,10,FALSE))</f>
        <v>#N/A</v>
      </c>
      <c r="U178" s="50" t="e">
        <f>IFERROR(VLOOKUP(Tableau119[[#This Row],[Key(Compte ILN - shipper - POL - plant)]],'DATA ILN'!A:L,12,FALSE),VLOOKUP(Tableau119[[#This Row],[Key(Compte ILN - shipper - POL)]],'DATA ILN'!B:L,11,FALSE))</f>
        <v>#N/A</v>
      </c>
      <c r="V178" s="50" t="e">
        <f>Tableau119[[#This Row],[Day ILN Order]]+Tableau119[[#This Row],[Delivery time to ILN/Shipper]]-1</f>
        <v>#N/A</v>
      </c>
      <c r="W178" s="50" t="e">
        <f>IFERROR(VLOOKUP(Tableau119[[#This Row],[Key(Compte ILN - shipper - POL - plant)]],'DATA ILN'!A:N,14,FALSE),VLOOKUP(Tableau119[[#This Row],[Key(Compte ILN - shipper - POL)]],'DATA ILN'!B:N,13,FALSE))</f>
        <v>#N/A</v>
      </c>
      <c r="X178" s="53" t="e">
        <f>IFERROR(VLOOKUP(Tableau119[[#This Row],[Key(Compte ILN - shipper - POL - plant)]],'DATA ILN'!A:P,16,FALSE),VLOOKUP(Tableau119[[#This Row],[Key(Compte ILN - shipper - POL)]],'DATA ILN'!B:P,15,FALSE))</f>
        <v>#N/A</v>
      </c>
      <c r="Y178" s="284" t="s">
        <v>383</v>
      </c>
      <c r="Z178" s="437">
        <f>IFERROR(VLOOKUP(Tableau119[[#This Row],[Name Shipper]],Plant_AILN!L:M,2,FALSE),0)</f>
        <v>92007300</v>
      </c>
      <c r="AA178" s="406">
        <v>44</v>
      </c>
      <c r="AB178" s="396" t="b">
        <f>_xlfn.XLOOKUP(Tableau119[[#This Row],[Key(ID-date)]],'DATA BTO'!S:S,'DATA BTO'!E:E,FALSE)</f>
        <v>0</v>
      </c>
      <c r="AC178" s="3" t="b">
        <f>_xlfn.XLOOKUP(Tableau119[[#This Row],[Key(ID-date)]],'DATA BTO'!S:S,'DATA BTO'!F:F,FALSE)</f>
        <v>0</v>
      </c>
      <c r="AD178" s="50" t="b">
        <f>_xlfn.XLOOKUP(Tableau119[[#This Row],[Key(ID-date)]],'DATA BTO'!S:S,'DATA BTO'!G:G,FALSE)</f>
        <v>0</v>
      </c>
      <c r="AE178" s="50" t="b">
        <f>_xlfn.XLOOKUP(Tableau119[[#This Row],[Key(ID-date)]],'DATA BTO'!S:S,'DATA BTO'!H:H,FALSE)</f>
        <v>0</v>
      </c>
      <c r="AF178" s="50" t="e">
        <f>IF(Tableau119[[#This Row],[First Day to POL]]&lt;=Tableau119[[#This Row],[Day Cut Off]],Tableau119[[#This Row],[Day ETD]],Tableau119[[#This Row],[Day ETD]]+7)</f>
        <v>#N/A</v>
      </c>
      <c r="AG178" s="50" t="b">
        <f>_xlfn.XLOOKUP(Tableau119[[#This Row],[Key(ID-date)]],'DATA BTO'!S:S,'DATA BTO'!I:I,FALSE)</f>
        <v>0</v>
      </c>
      <c r="AH178" s="3" t="b">
        <f>_xlfn.XLOOKUP(Tableau119[[#This Row],[Key(ID-date)]],'DATA BTO'!S:S,'DATA BTO'!J:J,FALSE)</f>
        <v>0</v>
      </c>
      <c r="AI178" s="3" t="b">
        <f>_xlfn.XLOOKUP(Tableau119[[#This Row],[Key(ID-date)]],'DATA BTO'!S:S,'DATA BTO'!K:K,FALSE)</f>
        <v>0</v>
      </c>
      <c r="AJ178" s="50" t="b">
        <f>_xlfn.XLOOKUP(Tableau119[[#This Row],[Key(ID-date)]],'DATA BTO'!S:S,'DATA BTO'!L:L,FALSE)</f>
        <v>0</v>
      </c>
      <c r="AK178" s="53" t="b">
        <f>_xlfn.XLOOKUP(Tableau119[[#This Row],[Key(ID-date)]],'DATA BTO'!S:S,'DATA BTO'!N:N,FALSE)</f>
        <v>0</v>
      </c>
      <c r="AL178" s="54" t="e">
        <f>VLOOKUP(Tableau119[[#This Row],[Key(POD -PFI- Usine)]],'DATA Consignee'!A:F,6,FALSE)</f>
        <v>#N/A</v>
      </c>
      <c r="AM178" s="127"/>
      <c r="AN178" s="438" t="str">
        <f>IF(Tableau119[[#This Row],[Name PFI/CDD]]="","-",VLOOKUP(Tableau119[[#This Row],[Name PFI/CDD]],Plant_AILN!I:J,2,FALSE))</f>
        <v>-</v>
      </c>
      <c r="AO17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8" s="2" t="e">
        <f>VLOOKUP(Tableau119[[#This Row],[Key(POD -PFI- Usine)]],'DATA Consignee'!A:J,10,FALSE)</f>
        <v>#N/A</v>
      </c>
      <c r="AR178" s="50" t="e">
        <f>VLOOKUP(Tableau119[[#This Row],[Key(POD -PFI- Usine)]],'DATA Consignee'!A:N,14,FALSE)</f>
        <v>#N/A</v>
      </c>
      <c r="AS17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8" s="50">
        <f>Tableau119[[#This Row],[Transit time]]+Tableau119[[#This Row],[Time for security]]+Tableau119[[#This Row],[Time for security2 buffer]]</f>
        <v>0</v>
      </c>
      <c r="AV1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8" s="433" t="e">
        <f>Tableau119[[#This Row],[Leadtime SI2C]]+Tableau119[[#This Row],[First Receipt Days]]-Tableau119[[#This Row],[Day Customer Order]]+1</f>
        <v>#N/A</v>
      </c>
      <c r="AX178" s="119" t="e">
        <f>IF(Tableau119[[#This Row],[Name ILN]]&lt;&gt;"SFK Freight Forwarder",Tableau119[[#This Row],[Cust. Leadtime]],Tableau119[[#This Row],[Leadtime SI2C]])</f>
        <v>#N/A</v>
      </c>
      <c r="AY178" s="51" t="b">
        <f>_xlfn.XLOOKUP(Tableau119[[#This Row],[Key(ID-date)]],'DATA BTO'!S:S,'DATA BTO'!P:P,FALSE)</f>
        <v>0</v>
      </c>
      <c r="AZ178" s="338">
        <v>45777</v>
      </c>
      <c r="BA178" s="50"/>
    </row>
    <row r="179" spans="2:53">
      <c r="B179" s="474" t="str">
        <f>_xlfn.CONCAT(Tableau119[[#This Row],[Name ILN]],"-",Tableau119[[#This Row],[Name Shipper]],"-",Tableau119[[#This Row],[Name Site]])</f>
        <v>ILN Curitiba-NISSAN AILN LOGISTICA CRAGEA-CORDOBA</v>
      </c>
      <c r="C179" s="67" t="str">
        <f>_xlfn.CONCAT(Tableau119[[#This Row],[Compte ILN]],"-",Tableau119[[#This Row],[Compte Shipper]],"-",Tableau119[[#This Row],[POL]],"-",Tableau119[[#This Row],[Compte Consignee]])</f>
        <v>95207-92007300-FALSO-90016000</v>
      </c>
      <c r="D179" s="66" t="str">
        <f>_xlfn.CONCAT(Tableau119[[#This Row],[Compte ILN]],"-",Tableau119[[#This Row],[Compte Shipper]],"-",Tableau119[[#This Row],[POL]])</f>
        <v>95207-92007300-FALSO</v>
      </c>
      <c r="E179" s="434" t="str">
        <f>_xlfn.CONCAT(Tableau119[[#This Row],[POL]],"-",Tableau119[[#This Row],[Carrier]],"-",Tableau119[[#This Row],[POD]])</f>
        <v>FALSO-FALSO-FALSO</v>
      </c>
      <c r="F179" s="66" t="str">
        <f>_xlfn.CONCAT(Tableau119[[#This Row],[ID]],"-","Actif")</f>
        <v>44-Actif</v>
      </c>
      <c r="G179" s="66" t="str">
        <f>_xlfn.CONCAT(Tableau119[[#This Row],[POD]],"-",Tableau119[[#This Row],[Code PFI]],"-",Tableau119[[#This Row],[Compte Consignee]])</f>
        <v>FALSO---90016000</v>
      </c>
      <c r="H17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92007300FALSOCORDOBA</v>
      </c>
      <c r="I179" s="434" t="str">
        <f>_xlfn.CONCAT(Tableau119[[#This Row],[ID]],"-",Tableau119[[#This Row],[Expiration Date]])</f>
        <v>44-45473</v>
      </c>
      <c r="J1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Curitiba-NISSAN AILN LOGISTICA CRAGEA-44-FALSO-FALSO-FALSO--45473</v>
      </c>
      <c r="K179" s="435" t="str">
        <f ca="1">IF(COUNTIF(J:J,Tableau119[[#This Row],[Plant-ILN-shipper-POL-Carrier-POD-PFI]])=1,"Non","Oui")</f>
        <v>Non</v>
      </c>
      <c r="L179" s="128" t="str">
        <f>VLOOKUP(Tableau119[[#This Row],[Name Site]],Plant_AILN!A:D,4,FALSE)</f>
        <v>ARGENTINA</v>
      </c>
      <c r="M179" s="411" t="s">
        <v>158</v>
      </c>
      <c r="N179" s="439">
        <f>VLOOKUP(Tableau119[[#This Row],[Name Site]],Plant_AILN!A:C,3,FALSE)</f>
        <v>90016000</v>
      </c>
      <c r="O179" s="55">
        <f>VLOOKUP(Tableau119[[#This Row],[Compte Consignee]],Order!C:D,2,FALSE)</f>
        <v>7</v>
      </c>
      <c r="P179" s="124" t="s">
        <v>163</v>
      </c>
      <c r="Q179" s="365">
        <f>VLOOKUP(Tableau119[[#This Row],[Name ILN]],Plant_AILN!F:G,2,FALSE)</f>
        <v>95207</v>
      </c>
      <c r="R179" s="50">
        <f>VLOOKUP(Tableau119[[#This Row],[Compte ILN]],'DATA ILN'!D:I,6,FALSE)</f>
        <v>9</v>
      </c>
      <c r="S179" s="50" t="e">
        <f>IFERROR(VLOOKUP(Tableau119[[#This Row],[Key(Compte ILN - shipper - POL - plant)]],'DATA ILN'!A:J,10,FALSE),VLOOKUP(Tableau119[[#This Row],[Key(Compte ILN - shipper - POL)]],'DATA ILN'!B:J,9,FALSE))</f>
        <v>#N/A</v>
      </c>
      <c r="T179" s="50" t="e">
        <f>IFERROR(VLOOKUP(Tableau119[[#This Row],[Key(Compte ILN - shipper - POL - plant)]],'DATA ILN'!A:K,11,FALSE),VLOOKUP(Tableau119[[#This Row],[Key(Compte ILN - shipper - POL)]],'DATA ILN'!B:K,10,FALSE))</f>
        <v>#N/A</v>
      </c>
      <c r="U179" s="50" t="e">
        <f>IFERROR(VLOOKUP(Tableau119[[#This Row],[Key(Compte ILN - shipper - POL - plant)]],'DATA ILN'!A:L,12,FALSE),VLOOKUP(Tableau119[[#This Row],[Key(Compte ILN - shipper - POL)]],'DATA ILN'!B:L,11,FALSE))</f>
        <v>#N/A</v>
      </c>
      <c r="V179" s="50" t="e">
        <f>Tableau119[[#This Row],[Day ILN Order]]+Tableau119[[#This Row],[Delivery time to ILN/Shipper]]-1</f>
        <v>#N/A</v>
      </c>
      <c r="W179" s="50" t="e">
        <f>IFERROR(VLOOKUP(Tableau119[[#This Row],[Key(Compte ILN - shipper - POL - plant)]],'DATA ILN'!A:N,14,FALSE),VLOOKUP(Tableau119[[#This Row],[Key(Compte ILN - shipper - POL)]],'DATA ILN'!B:N,13,FALSE))</f>
        <v>#N/A</v>
      </c>
      <c r="X179" s="53" t="e">
        <f>IFERROR(VLOOKUP(Tableau119[[#This Row],[Key(Compte ILN - shipper - POL - plant)]],'DATA ILN'!A:P,16,FALSE),VLOOKUP(Tableau119[[#This Row],[Key(Compte ILN - shipper - POL)]],'DATA ILN'!B:P,15,FALSE))</f>
        <v>#N/A</v>
      </c>
      <c r="Y179" s="284" t="s">
        <v>383</v>
      </c>
      <c r="Z179" s="437">
        <f>IFERROR(VLOOKUP(Tableau119[[#This Row],[Name Shipper]],Plant_AILN!L:M,2,FALSE),0)</f>
        <v>92007300</v>
      </c>
      <c r="AA179" s="406">
        <v>44</v>
      </c>
      <c r="AB179" s="396" t="b">
        <f>_xlfn.XLOOKUP(Tableau119[[#This Row],[Key(ID-date)]],'DATA BTO'!S:S,'DATA BTO'!E:E,FALSE)</f>
        <v>0</v>
      </c>
      <c r="AC179" s="3" t="b">
        <f>_xlfn.XLOOKUP(Tableau119[[#This Row],[Key(ID-date)]],'DATA BTO'!S:S,'DATA BTO'!F:F,FALSE)</f>
        <v>0</v>
      </c>
      <c r="AD179" s="50" t="b">
        <f>_xlfn.XLOOKUP(Tableau119[[#This Row],[Key(ID-date)]],'DATA BTO'!S:S,'DATA BTO'!G:G,FALSE)</f>
        <v>0</v>
      </c>
      <c r="AE179" s="50" t="b">
        <f>_xlfn.XLOOKUP(Tableau119[[#This Row],[Key(ID-date)]],'DATA BTO'!S:S,'DATA BTO'!H:H,FALSE)</f>
        <v>0</v>
      </c>
      <c r="AF179" s="50" t="e">
        <f>IF(Tableau119[[#This Row],[First Day to POL]]&lt;=Tableau119[[#This Row],[Day Cut Off]],Tableau119[[#This Row],[Day ETD]],Tableau119[[#This Row],[Day ETD]]+7)</f>
        <v>#N/A</v>
      </c>
      <c r="AG179" s="50" t="b">
        <f>_xlfn.XLOOKUP(Tableau119[[#This Row],[Key(ID-date)]],'DATA BTO'!S:S,'DATA BTO'!I:I,FALSE)</f>
        <v>0</v>
      </c>
      <c r="AH179" s="3" t="b">
        <f>_xlfn.XLOOKUP(Tableau119[[#This Row],[Key(ID-date)]],'DATA BTO'!S:S,'DATA BTO'!J:J,FALSE)</f>
        <v>0</v>
      </c>
      <c r="AI179" s="3" t="b">
        <f>_xlfn.XLOOKUP(Tableau119[[#This Row],[Key(ID-date)]],'DATA BTO'!S:S,'DATA BTO'!K:K,FALSE)</f>
        <v>0</v>
      </c>
      <c r="AJ179" s="50" t="b">
        <f>_xlfn.XLOOKUP(Tableau119[[#This Row],[Key(ID-date)]],'DATA BTO'!S:S,'DATA BTO'!L:L,FALSE)</f>
        <v>0</v>
      </c>
      <c r="AK179" s="53" t="b">
        <f>_xlfn.XLOOKUP(Tableau119[[#This Row],[Key(ID-date)]],'DATA BTO'!S:S,'DATA BTO'!N:N,FALSE)</f>
        <v>0</v>
      </c>
      <c r="AL179" s="54" t="e">
        <f>VLOOKUP(Tableau119[[#This Row],[Key(POD -PFI- Usine)]],'DATA Consignee'!A:F,6,FALSE)</f>
        <v>#N/A</v>
      </c>
      <c r="AM179" s="127"/>
      <c r="AN179" s="438" t="str">
        <f>IF(Tableau119[[#This Row],[Name PFI/CDD]]="","-",VLOOKUP(Tableau119[[#This Row],[Name PFI/CDD]],Plant_AILN!I:J,2,FALSE))</f>
        <v>-</v>
      </c>
      <c r="AO1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79" s="2" t="e">
        <f>VLOOKUP(Tableau119[[#This Row],[Key(POD -PFI- Usine)]],'DATA Consignee'!A:J,10,FALSE)</f>
        <v>#N/A</v>
      </c>
      <c r="AR179" s="50" t="e">
        <f>VLOOKUP(Tableau119[[#This Row],[Key(POD -PFI- Usine)]],'DATA Consignee'!A:N,14,FALSE)</f>
        <v>#N/A</v>
      </c>
      <c r="AS1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79" s="50">
        <f>Tableau119[[#This Row],[Transit time]]+Tableau119[[#This Row],[Time for security]]+Tableau119[[#This Row],[Time for security2 buffer]]</f>
        <v>0</v>
      </c>
      <c r="AV1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79" s="433" t="e">
        <f>Tableau119[[#This Row],[Leadtime SI2C]]+Tableau119[[#This Row],[First Receipt Days]]-Tableau119[[#This Row],[Day Customer Order]]+1</f>
        <v>#N/A</v>
      </c>
      <c r="AX179" s="119" t="e">
        <f>IF(Tableau119[[#This Row],[Name ILN]]&lt;&gt;"SFK Freight Forwarder",Tableau119[[#This Row],[Cust. Leadtime]],Tableau119[[#This Row],[Leadtime SI2C]])</f>
        <v>#N/A</v>
      </c>
      <c r="AY179" s="51" t="b">
        <f>_xlfn.XLOOKUP(Tableau119[[#This Row],[Key(ID-date)]],'DATA BTO'!S:S,'DATA BTO'!P:P,FALSE)</f>
        <v>0</v>
      </c>
      <c r="AZ179" s="338">
        <v>45473</v>
      </c>
      <c r="BA179" s="50"/>
    </row>
    <row r="180" spans="2:53">
      <c r="B180" s="474" t="str">
        <f>_xlfn.CONCAT(Tableau119[[#This Row],[Name ILN]],"-",Tableau119[[#This Row],[Name Shipper]],"-",Tableau119[[#This Row],[Name Site]])</f>
        <v>ILN Curitiba-NISSAN AILN LOGISTICA CRAGEA-CORDOBA</v>
      </c>
      <c r="C180" s="67" t="str">
        <f>_xlfn.CONCAT(Tableau119[[#This Row],[Compte ILN]],"-",Tableau119[[#This Row],[Compte Shipper]],"-",Tableau119[[#This Row],[POL]],"-",Tableau119[[#This Row],[Compte Consignee]])</f>
        <v>95207-92007300-FALSO-90016000</v>
      </c>
      <c r="D180" s="66" t="str">
        <f>_xlfn.CONCAT(Tableau119[[#This Row],[Compte ILN]],"-",Tableau119[[#This Row],[Compte Shipper]],"-",Tableau119[[#This Row],[POL]])</f>
        <v>95207-92007300-FALSO</v>
      </c>
      <c r="E180" s="434" t="str">
        <f>_xlfn.CONCAT(Tableau119[[#This Row],[POL]],"-",Tableau119[[#This Row],[Carrier]],"-",Tableau119[[#This Row],[POD]])</f>
        <v>FALSO-FALSO-FALSO</v>
      </c>
      <c r="F180" s="66" t="str">
        <f>_xlfn.CONCAT(Tableau119[[#This Row],[ID]],"-","Actif")</f>
        <v>44-Actif</v>
      </c>
      <c r="G180" s="66" t="str">
        <f>_xlfn.CONCAT(Tableau119[[#This Row],[POD]],"-",Tableau119[[#This Row],[Code PFI]],"-",Tableau119[[#This Row],[Compte Consignee]])</f>
        <v>FALSO---90016000</v>
      </c>
      <c r="H180" s="434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92007300FALSOCORDOBA</v>
      </c>
      <c r="I180" s="434" t="str">
        <f>_xlfn.CONCAT(Tableau119[[#This Row],[ID]],"-",Tableau119[[#This Row],[Expiration Date]])</f>
        <v>44-45412</v>
      </c>
      <c r="J1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Curitiba-NISSAN AILN LOGISTICA CRAGEA-44-FALSO-FALSO-FALSO--45412</v>
      </c>
      <c r="K180" s="435" t="str">
        <f ca="1">IF(COUNTIF(J:J,Tableau119[[#This Row],[Plant-ILN-shipper-POL-Carrier-POD-PFI]])=1,"Non","Oui")</f>
        <v>Non</v>
      </c>
      <c r="L180" s="128" t="str">
        <f>VLOOKUP(Tableau119[[#This Row],[Name Site]],Plant_AILN!A:D,4,FALSE)</f>
        <v>ARGENTINA</v>
      </c>
      <c r="M180" s="411" t="s">
        <v>158</v>
      </c>
      <c r="N180" s="439">
        <f>VLOOKUP(Tableau119[[#This Row],[Name Site]],Plant_AILN!A:C,3,FALSE)</f>
        <v>90016000</v>
      </c>
      <c r="O180" s="55">
        <f>VLOOKUP(Tableau119[[#This Row],[Compte Consignee]],Order!C:D,2,FALSE)</f>
        <v>7</v>
      </c>
      <c r="P180" s="124" t="s">
        <v>163</v>
      </c>
      <c r="Q180" s="365">
        <f>VLOOKUP(Tableau119[[#This Row],[Name ILN]],Plant_AILN!F:G,2,FALSE)</f>
        <v>95207</v>
      </c>
      <c r="R180" s="50">
        <f>VLOOKUP(Tableau119[[#This Row],[Compte ILN]],'DATA ILN'!D:I,6,FALSE)</f>
        <v>9</v>
      </c>
      <c r="S180" s="50" t="e">
        <f>IFERROR(VLOOKUP(Tableau119[[#This Row],[Key(Compte ILN - shipper - POL - plant)]],'DATA ILN'!A:J,10,FALSE),VLOOKUP(Tableau119[[#This Row],[Key(Compte ILN - shipper - POL)]],'DATA ILN'!B:J,9,FALSE))</f>
        <v>#N/A</v>
      </c>
      <c r="T180" s="50" t="e">
        <f>IFERROR(VLOOKUP(Tableau119[[#This Row],[Key(Compte ILN - shipper - POL - plant)]],'DATA ILN'!A:K,11,FALSE),VLOOKUP(Tableau119[[#This Row],[Key(Compte ILN - shipper - POL)]],'DATA ILN'!B:K,10,FALSE))</f>
        <v>#N/A</v>
      </c>
      <c r="U180" s="50" t="e">
        <f>IFERROR(VLOOKUP(Tableau119[[#This Row],[Key(Compte ILN - shipper - POL - plant)]],'DATA ILN'!A:L,12,FALSE),VLOOKUP(Tableau119[[#This Row],[Key(Compte ILN - shipper - POL)]],'DATA ILN'!B:L,11,FALSE))</f>
        <v>#N/A</v>
      </c>
      <c r="V180" s="50" t="e">
        <f>Tableau119[[#This Row],[Day ILN Order]]+Tableau119[[#This Row],[Delivery time to ILN/Shipper]]-1</f>
        <v>#N/A</v>
      </c>
      <c r="W180" s="50" t="e">
        <f>IFERROR(VLOOKUP(Tableau119[[#This Row],[Key(Compte ILN - shipper - POL - plant)]],'DATA ILN'!A:N,14,FALSE),VLOOKUP(Tableau119[[#This Row],[Key(Compte ILN - shipper - POL)]],'DATA ILN'!B:N,13,FALSE))</f>
        <v>#N/A</v>
      </c>
      <c r="X180" s="53" t="e">
        <f>IFERROR(VLOOKUP(Tableau119[[#This Row],[Key(Compte ILN - shipper - POL - plant)]],'DATA ILN'!A:P,16,FALSE),VLOOKUP(Tableau119[[#This Row],[Key(Compte ILN - shipper - POL)]],'DATA ILN'!B:P,15,FALSE))</f>
        <v>#N/A</v>
      </c>
      <c r="Y180" s="284" t="s">
        <v>383</v>
      </c>
      <c r="Z180" s="437">
        <f>IFERROR(VLOOKUP(Tableau119[[#This Row],[Name Shipper]],Plant_AILN!L:M,2,FALSE),0)</f>
        <v>92007300</v>
      </c>
      <c r="AA180" s="406">
        <v>44</v>
      </c>
      <c r="AB180" s="396" t="b">
        <f>_xlfn.XLOOKUP(Tableau119[[#This Row],[Key(ID-date)]],'DATA BTO'!S:S,'DATA BTO'!E:E,FALSE)</f>
        <v>0</v>
      </c>
      <c r="AC180" s="3" t="b">
        <f>_xlfn.XLOOKUP(Tableau119[[#This Row],[Key(ID-date)]],'DATA BTO'!S:S,'DATA BTO'!F:F,FALSE)</f>
        <v>0</v>
      </c>
      <c r="AD180" s="50" t="b">
        <f>_xlfn.XLOOKUP(Tableau119[[#This Row],[Key(ID-date)]],'DATA BTO'!S:S,'DATA BTO'!G:G,FALSE)</f>
        <v>0</v>
      </c>
      <c r="AE180" s="50" t="b">
        <f>_xlfn.XLOOKUP(Tableau119[[#This Row],[Key(ID-date)]],'DATA BTO'!S:S,'DATA BTO'!H:H,FALSE)</f>
        <v>0</v>
      </c>
      <c r="AF180" s="50" t="e">
        <f>IF(Tableau119[[#This Row],[First Day to POL]]&lt;=Tableau119[[#This Row],[Day Cut Off]],Tableau119[[#This Row],[Day ETD]],Tableau119[[#This Row],[Day ETD]]+7)</f>
        <v>#N/A</v>
      </c>
      <c r="AG180" s="50" t="b">
        <f>_xlfn.XLOOKUP(Tableau119[[#This Row],[Key(ID-date)]],'DATA BTO'!S:S,'DATA BTO'!I:I,FALSE)</f>
        <v>0</v>
      </c>
      <c r="AH180" s="3" t="b">
        <f>_xlfn.XLOOKUP(Tableau119[[#This Row],[Key(ID-date)]],'DATA BTO'!S:S,'DATA BTO'!J:J,FALSE)</f>
        <v>0</v>
      </c>
      <c r="AI180" s="3" t="b">
        <f>_xlfn.XLOOKUP(Tableau119[[#This Row],[Key(ID-date)]],'DATA BTO'!S:S,'DATA BTO'!K:K,FALSE)</f>
        <v>0</v>
      </c>
      <c r="AJ180" s="50" t="b">
        <f>_xlfn.XLOOKUP(Tableau119[[#This Row],[Key(ID-date)]],'DATA BTO'!S:S,'DATA BTO'!L:L,FALSE)</f>
        <v>0</v>
      </c>
      <c r="AK180" s="53" t="b">
        <f>_xlfn.XLOOKUP(Tableau119[[#This Row],[Key(ID-date)]],'DATA BTO'!S:S,'DATA BTO'!N:N,FALSE)</f>
        <v>0</v>
      </c>
      <c r="AL180" s="54" t="e">
        <f>VLOOKUP(Tableau119[[#This Row],[Key(POD -PFI- Usine)]],'DATA Consignee'!A:F,6,FALSE)</f>
        <v>#N/A</v>
      </c>
      <c r="AM180" s="127"/>
      <c r="AN180" s="438" t="str">
        <f>IF(Tableau119[[#This Row],[Name PFI/CDD]]="","-",VLOOKUP(Tableau119[[#This Row],[Name PFI/CDD]],Plant_AILN!I:J,2,FALSE))</f>
        <v>-</v>
      </c>
      <c r="AO1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0" s="2" t="e">
        <f>VLOOKUP(Tableau119[[#This Row],[Key(POD -PFI- Usine)]],'DATA Consignee'!A:J,10,FALSE)</f>
        <v>#N/A</v>
      </c>
      <c r="AR180" s="50" t="e">
        <f>VLOOKUP(Tableau119[[#This Row],[Key(POD -PFI- Usine)]],'DATA Consignee'!A:N,14,FALSE)</f>
        <v>#N/A</v>
      </c>
      <c r="AS18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0" s="50">
        <f>Tableau119[[#This Row],[Transit time]]+Tableau119[[#This Row],[Time for security]]+Tableau119[[#This Row],[Time for security2 buffer]]</f>
        <v>0</v>
      </c>
      <c r="AV1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0" s="433" t="e">
        <f>Tableau119[[#This Row],[Leadtime SI2C]]+Tableau119[[#This Row],[First Receipt Days]]-Tableau119[[#This Row],[Day Customer Order]]+1</f>
        <v>#N/A</v>
      </c>
      <c r="AX180" s="119" t="e">
        <f>IF(Tableau119[[#This Row],[Name ILN]]&lt;&gt;"SFK Freight Forwarder",Tableau119[[#This Row],[Cust. Leadtime]],Tableau119[[#This Row],[Leadtime SI2C]])</f>
        <v>#N/A</v>
      </c>
      <c r="AY180" s="51" t="b">
        <f>_xlfn.XLOOKUP(Tableau119[[#This Row],[Key(ID-date)]],'DATA BTO'!S:S,'DATA BTO'!P:P,FALSE)</f>
        <v>0</v>
      </c>
      <c r="AZ180" s="338">
        <v>45412</v>
      </c>
      <c r="BA180" s="50"/>
    </row>
    <row r="181" spans="2:53">
      <c r="B181" s="67" t="str">
        <f>_xlfn.CONCAT(Tableau119[[#This Row],[Name ILN]],"-",Tableau119[[#This Row],[Name Shipper]],"-",Tableau119[[#This Row],[Name Site]])</f>
        <v>ILN Chennai-ILN Chennai-CORDOBA</v>
      </c>
      <c r="C181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1" s="66" t="str">
        <f>_xlfn.CONCAT(Tableau119[[#This Row],[Compte ILN]],"-",Tableau119[[#This Row],[Compte Shipper]],"-",Tableau119[[#This Row],[POL]])</f>
        <v>2533780546-2533780546-FALSO</v>
      </c>
      <c r="E181" s="434" t="str">
        <f>_xlfn.CONCAT(Tableau119[[#This Row],[POL]],"-",Tableau119[[#This Row],[Carrier]],"-",Tableau119[[#This Row],[POD]])</f>
        <v>FALSO-FALSO-FALSO</v>
      </c>
      <c r="F181" s="66" t="str">
        <f>_xlfn.CONCAT(Tableau119[[#This Row],[ID]],"-","Actif")</f>
        <v>47-Actif</v>
      </c>
      <c r="G181" s="66" t="str">
        <f>_xlfn.CONCAT(Tableau119[[#This Row],[POD]],"-",Tableau119[[#This Row],[Code PFI]],"-",Tableau119[[#This Row],[Compte Consignee]])</f>
        <v>FALSO---90016000</v>
      </c>
      <c r="H181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1" s="434" t="str">
        <f>_xlfn.CONCAT(Tableau119[[#This Row],[ID]],"-",Tableau119[[#This Row],[Expiration Date]])</f>
        <v>47-46142</v>
      </c>
      <c r="J1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Chennai-47-FALSO-FALSO-FALSO--46142</v>
      </c>
      <c r="K181" s="435" t="str">
        <f ca="1">IF(COUNTIF(J:J,Tableau119[[#This Row],[Plant-ILN-shipper-POL-Carrier-POD-PFI]])=1,"Non","Oui")</f>
        <v>Non</v>
      </c>
      <c r="L181" s="436" t="str">
        <f>VLOOKUP(Tableau119[[#This Row],[Name Site]],Plant_AILN!A:D,4,FALSE)</f>
        <v>ARGENTINA</v>
      </c>
      <c r="M181" s="285" t="s">
        <v>158</v>
      </c>
      <c r="N181" s="439">
        <f>VLOOKUP(Tableau119[[#This Row],[Name Site]],Plant_AILN!A:C,3,FALSE)</f>
        <v>90016000</v>
      </c>
      <c r="O181" s="55">
        <f>IF(Tableau119[[#This Row],[Name PFI/CDD]]="PFI VLL",2,VLOOKUP(Tableau119[[#This Row],[Compte Consignee]],Order!C:D,2,FALSE))</f>
        <v>7</v>
      </c>
      <c r="P181" s="124" t="s">
        <v>149</v>
      </c>
      <c r="Q181" s="365">
        <f>VLOOKUP(Tableau119[[#This Row],[Name ILN]],Plant_AILN!F:G,2,FALSE)</f>
        <v>2533780546</v>
      </c>
      <c r="R181" s="50">
        <f>VLOOKUP(Tableau119[[#This Row],[Compte ILN]],'DATA ILN'!D:I,6,FALSE)</f>
        <v>9</v>
      </c>
      <c r="S181" s="50" t="e">
        <f>IFERROR(VLOOKUP(Tableau119[[#This Row],[Key(Compte ILN - shipper - POL - plant)]],'DATA ILN'!A:J,10,FALSE),VLOOKUP(Tableau119[[#This Row],[Key(Compte ILN - shipper - POL)]],'DATA ILN'!B:J,9,FALSE))</f>
        <v>#N/A</v>
      </c>
      <c r="T181" s="50" t="e">
        <f>IFERROR(VLOOKUP(Tableau119[[#This Row],[Key(Compte ILN - shipper - POL - plant)]],'DATA ILN'!A:K,11,FALSE),VLOOKUP(Tableau119[[#This Row],[Key(Compte ILN - shipper - POL)]],'DATA ILN'!B:K,10,FALSE))</f>
        <v>#N/A</v>
      </c>
      <c r="U181" s="50" t="e">
        <f>IFERROR(VLOOKUP(Tableau119[[#This Row],[Key(Compte ILN - shipper - POL - plant)]],'DATA ILN'!A:L,12,FALSE),VLOOKUP(Tableau119[[#This Row],[Key(Compte ILN - shipper - POL)]],'DATA ILN'!B:L,11,FALSE))</f>
        <v>#N/A</v>
      </c>
      <c r="V181" s="50" t="e">
        <f>Tableau119[[#This Row],[Day ILN Order]]+Tableau119[[#This Row],[Delivery time to ILN/Shipper]]-1</f>
        <v>#N/A</v>
      </c>
      <c r="W181" s="50" t="e">
        <f>IFERROR(VLOOKUP(Tableau119[[#This Row],[Key(Compte ILN - shipper - POL - plant)]],'DATA ILN'!A:N,14,FALSE),VLOOKUP(Tableau119[[#This Row],[Key(Compte ILN - shipper - POL)]],'DATA ILN'!B:N,13,FALSE))</f>
        <v>#N/A</v>
      </c>
      <c r="X181" s="53" t="e">
        <f>IFERROR(VLOOKUP(Tableau119[[#This Row],[Key(Compte ILN - shipper - POL - plant)]],'DATA ILN'!A:P,16,FALSE),VLOOKUP(Tableau119[[#This Row],[Key(Compte ILN - shipper - POL)]],'DATA ILN'!B:P,15,FALSE))</f>
        <v>#N/A</v>
      </c>
      <c r="Y181" s="284" t="s">
        <v>149</v>
      </c>
      <c r="Z181" s="437">
        <f>IFERROR(VLOOKUP(Tableau119[[#This Row],[Name Shipper]],Plant_AILN!L:M,2,FALSE),0)</f>
        <v>2533780546</v>
      </c>
      <c r="AA181" s="406">
        <v>47</v>
      </c>
      <c r="AB181" s="396" t="b">
        <f>_xlfn.XLOOKUP(Tableau119[[#This Row],[Key(ID-date)]],'DATA BTO'!S:S,'DATA BTO'!E:E,FALSE)</f>
        <v>0</v>
      </c>
      <c r="AC181" s="3" t="b">
        <f>_xlfn.XLOOKUP(Tableau119[[#This Row],[Key(ID-date)]],'DATA BTO'!S:S,'DATA BTO'!F:F,FALSE)</f>
        <v>0</v>
      </c>
      <c r="AD181" s="50" t="b">
        <f>_xlfn.XLOOKUP(Tableau119[[#This Row],[Key(ID-date)]],'DATA BTO'!S:S,'DATA BTO'!G:G,FALSE)</f>
        <v>0</v>
      </c>
      <c r="AE181" s="50" t="b">
        <f>_xlfn.XLOOKUP(Tableau119[[#This Row],[Key(ID-date)]],'DATA BTO'!S:S,'DATA BTO'!H:H,FALSE)</f>
        <v>0</v>
      </c>
      <c r="AF181" s="50" t="e">
        <f>IF(Tableau119[[#This Row],[First Day to POL]]&lt;=Tableau119[[#This Row],[Day Cut Off]],Tableau119[[#This Row],[Day ETD]],Tableau119[[#This Row],[Day ETD]]+7)</f>
        <v>#N/A</v>
      </c>
      <c r="AG181" s="50" t="b">
        <f>_xlfn.XLOOKUP(Tableau119[[#This Row],[Key(ID-date)]],'DATA BTO'!S:S,'DATA BTO'!I:I,FALSE)</f>
        <v>0</v>
      </c>
      <c r="AH181" s="3" t="b">
        <f>_xlfn.XLOOKUP(Tableau119[[#This Row],[Key(ID-date)]],'DATA BTO'!S:S,'DATA BTO'!J:J,FALSE)</f>
        <v>0</v>
      </c>
      <c r="AI181" s="3" t="b">
        <f>_xlfn.XLOOKUP(Tableau119[[#This Row],[Key(ID-date)]],'DATA BTO'!S:S,'DATA BTO'!K:K,FALSE)</f>
        <v>0</v>
      </c>
      <c r="AJ181" s="50" t="b">
        <f>_xlfn.XLOOKUP(Tableau119[[#This Row],[Key(ID-date)]],'DATA BTO'!S:S,'DATA BTO'!L:L,FALSE)</f>
        <v>0</v>
      </c>
      <c r="AK181" s="53" t="b">
        <f>_xlfn.XLOOKUP(Tableau119[[#This Row],[Key(ID-date)]],'DATA BTO'!S:S,'DATA BTO'!N:N,FALSE)</f>
        <v>0</v>
      </c>
      <c r="AL181" s="54" t="e">
        <f>VLOOKUP(Tableau119[[#This Row],[Key(POD -PFI- Usine)]],'DATA Consignee'!A:F,6,FALSE)</f>
        <v>#N/A</v>
      </c>
      <c r="AM181" s="127"/>
      <c r="AN181" s="438" t="str">
        <f>IF(Tableau119[[#This Row],[Name PFI/CDD]]="","-",VLOOKUP(Tableau119[[#This Row],[Name PFI/CDD]],Plant_AILN!I:J,2,FALSE))</f>
        <v>-</v>
      </c>
      <c r="AO1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1" s="2" t="e">
        <f>VLOOKUP(Tableau119[[#This Row],[Key(POD -PFI- Usine)]],'DATA Consignee'!A:J,10,FALSE)</f>
        <v>#N/A</v>
      </c>
      <c r="AR181" s="50" t="e">
        <f>VLOOKUP(Tableau119[[#This Row],[Key(POD -PFI- Usine)]],'DATA Consignee'!A:N,14,FALSE)</f>
        <v>#N/A</v>
      </c>
      <c r="AS1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1" s="50">
        <f>Tableau119[[#This Row],[Transit time]]+Tableau119[[#This Row],[Time for security]]+Tableau119[[#This Row],[Time for security2 buffer]]</f>
        <v>0</v>
      </c>
      <c r="AV1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1" s="433" t="e">
        <f>Tableau119[[#This Row],[Leadtime SI2C]]+Tableau119[[#This Row],[First Receipt Days]]-Tableau119[[#This Row],[Day Customer Order]]+1</f>
        <v>#N/A</v>
      </c>
      <c r="AX181" s="119" t="e">
        <f>IF(Tableau119[[#This Row],[Name ILN]]&lt;&gt;"SFK Freight Forwarder",Tableau119[[#This Row],[Cust. Leadtime]],Tableau119[[#This Row],[Leadtime SI2C]])</f>
        <v>#N/A</v>
      </c>
      <c r="AY181" s="51" t="b">
        <f>_xlfn.XLOOKUP(Tableau119[[#This Row],[Key(ID-date)]],'DATA BTO'!S:S,'DATA BTO'!P:P,FALSE)</f>
        <v>0</v>
      </c>
      <c r="AZ181" s="338">
        <v>46142</v>
      </c>
      <c r="BA181" s="50"/>
    </row>
    <row r="182" spans="2:53">
      <c r="B182" s="474" t="str">
        <f>_xlfn.CONCAT(Tableau119[[#This Row],[Name ILN]],"-",Tableau119[[#This Row],[Name Shipper]],"-",Tableau119[[#This Row],[Name Site]])</f>
        <v>ILN Chennai-ILN Chennai-CORDOBA</v>
      </c>
      <c r="C182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2" s="66" t="str">
        <f>_xlfn.CONCAT(Tableau119[[#This Row],[Compte ILN]],"-",Tableau119[[#This Row],[Compte Shipper]],"-",Tableau119[[#This Row],[POL]])</f>
        <v>2533780546-2533780546-FALSO</v>
      </c>
      <c r="E182" s="434" t="str">
        <f>_xlfn.CONCAT(Tableau119[[#This Row],[POL]],"-",Tableau119[[#This Row],[Carrier]],"-",Tableau119[[#This Row],[POD]])</f>
        <v>FALSO-FALSO-FALSO</v>
      </c>
      <c r="F182" s="66" t="str">
        <f>_xlfn.CONCAT(Tableau119[[#This Row],[ID]],"-","Actif")</f>
        <v>47-Actif</v>
      </c>
      <c r="G182" s="66" t="str">
        <f>_xlfn.CONCAT(Tableau119[[#This Row],[POD]],"-",Tableau119[[#This Row],[Code PFI]],"-",Tableau119[[#This Row],[Compte Consignee]])</f>
        <v>FALSO---90016000</v>
      </c>
      <c r="H182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2" s="434" t="str">
        <f>_xlfn.CONCAT(Tableau119[[#This Row],[ID]],"-",Tableau119[[#This Row],[Expiration Date]])</f>
        <v>47-45991</v>
      </c>
      <c r="J1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Chennai-47-FALSO-FALSO-FALSO--45991</v>
      </c>
      <c r="K182" s="435" t="str">
        <f ca="1">IF(COUNTIF(J:J,Tableau119[[#This Row],[Plant-ILN-shipper-POL-Carrier-POD-PFI]])=1,"Non","Oui")</f>
        <v>Non</v>
      </c>
      <c r="L182" s="128" t="str">
        <f>VLOOKUP(Tableau119[[#This Row],[Name Site]],Plant_AILN!A:D,4,FALSE)</f>
        <v>ARGENTINA</v>
      </c>
      <c r="M182" s="411" t="s">
        <v>158</v>
      </c>
      <c r="N182" s="439">
        <f>VLOOKUP(Tableau119[[#This Row],[Name Site]],Plant_AILN!A:C,3,FALSE)</f>
        <v>90016000</v>
      </c>
      <c r="O182" s="55">
        <f>VLOOKUP(Tableau119[[#This Row],[Compte Consignee]],Order!C:D,2,FALSE)</f>
        <v>7</v>
      </c>
      <c r="P182" s="124" t="s">
        <v>149</v>
      </c>
      <c r="Q182" s="365">
        <f>VLOOKUP(Tableau119[[#This Row],[Name ILN]],Plant_AILN!F:G,2,FALSE)</f>
        <v>2533780546</v>
      </c>
      <c r="R182" s="50">
        <f>VLOOKUP(Tableau119[[#This Row],[Compte ILN]],'DATA ILN'!D:I,6,FALSE)</f>
        <v>9</v>
      </c>
      <c r="S182" s="50" t="e">
        <f>IFERROR(VLOOKUP(Tableau119[[#This Row],[Key(Compte ILN - shipper - POL - plant)]],'DATA ILN'!A:J,10,FALSE),VLOOKUP(Tableau119[[#This Row],[Key(Compte ILN - shipper - POL)]],'DATA ILN'!B:J,9,FALSE))</f>
        <v>#N/A</v>
      </c>
      <c r="T182" s="50" t="e">
        <f>IFERROR(VLOOKUP(Tableau119[[#This Row],[Key(Compte ILN - shipper - POL - plant)]],'DATA ILN'!A:K,11,FALSE),VLOOKUP(Tableau119[[#This Row],[Key(Compte ILN - shipper - POL)]],'DATA ILN'!B:K,10,FALSE))</f>
        <v>#N/A</v>
      </c>
      <c r="U182" s="50" t="e">
        <f>IFERROR(VLOOKUP(Tableau119[[#This Row],[Key(Compte ILN - shipper - POL - plant)]],'DATA ILN'!A:L,12,FALSE),VLOOKUP(Tableau119[[#This Row],[Key(Compte ILN - shipper - POL)]],'DATA ILN'!B:L,11,FALSE))</f>
        <v>#N/A</v>
      </c>
      <c r="V182" s="50" t="e">
        <f>Tableau119[[#This Row],[Day ILN Order]]+Tableau119[[#This Row],[Delivery time to ILN/Shipper]]-1</f>
        <v>#N/A</v>
      </c>
      <c r="W182" s="50" t="e">
        <f>IFERROR(VLOOKUP(Tableau119[[#This Row],[Key(Compte ILN - shipper - POL - plant)]],'DATA ILN'!A:N,14,FALSE),VLOOKUP(Tableau119[[#This Row],[Key(Compte ILN - shipper - POL)]],'DATA ILN'!B:N,13,FALSE))</f>
        <v>#N/A</v>
      </c>
      <c r="X182" s="53" t="e">
        <f>IFERROR(VLOOKUP(Tableau119[[#This Row],[Key(Compte ILN - shipper - POL - plant)]],'DATA ILN'!A:P,16,FALSE),VLOOKUP(Tableau119[[#This Row],[Key(Compte ILN - shipper - POL)]],'DATA ILN'!B:P,15,FALSE))</f>
        <v>#N/A</v>
      </c>
      <c r="Y182" s="284" t="s">
        <v>149</v>
      </c>
      <c r="Z182" s="437">
        <f>IFERROR(VLOOKUP(Tableau119[[#This Row],[Name Shipper]],Plant_AILN!L:M,2,FALSE),0)</f>
        <v>2533780546</v>
      </c>
      <c r="AA182" s="406">
        <v>47</v>
      </c>
      <c r="AB182" s="396" t="b">
        <f>_xlfn.XLOOKUP(Tableau119[[#This Row],[Key(ID-date)]],'DATA BTO'!S:S,'DATA BTO'!E:E,FALSE)</f>
        <v>0</v>
      </c>
      <c r="AC182" s="3" t="b">
        <f>_xlfn.XLOOKUP(Tableau119[[#This Row],[Key(ID-date)]],'DATA BTO'!S:S,'DATA BTO'!F:F,FALSE)</f>
        <v>0</v>
      </c>
      <c r="AD182" s="50" t="b">
        <f>_xlfn.XLOOKUP(Tableau119[[#This Row],[Key(ID-date)]],'DATA BTO'!S:S,'DATA BTO'!G:G,FALSE)</f>
        <v>0</v>
      </c>
      <c r="AE182" s="50" t="b">
        <f>_xlfn.XLOOKUP(Tableau119[[#This Row],[Key(ID-date)]],'DATA BTO'!S:S,'DATA BTO'!H:H,FALSE)</f>
        <v>0</v>
      </c>
      <c r="AF182" s="50" t="e">
        <f>IF(Tableau119[[#This Row],[First Day to POL]]&lt;=Tableau119[[#This Row],[Day Cut Off]],Tableau119[[#This Row],[Day ETD]],Tableau119[[#This Row],[Day ETD]]+7)</f>
        <v>#N/A</v>
      </c>
      <c r="AG182" s="50" t="b">
        <f>_xlfn.XLOOKUP(Tableau119[[#This Row],[Key(ID-date)]],'DATA BTO'!S:S,'DATA BTO'!I:I,FALSE)</f>
        <v>0</v>
      </c>
      <c r="AH182" s="3" t="b">
        <f>_xlfn.XLOOKUP(Tableau119[[#This Row],[Key(ID-date)]],'DATA BTO'!S:S,'DATA BTO'!J:J,FALSE)</f>
        <v>0</v>
      </c>
      <c r="AI182" s="3" t="b">
        <f>_xlfn.XLOOKUP(Tableau119[[#This Row],[Key(ID-date)]],'DATA BTO'!S:S,'DATA BTO'!K:K,FALSE)</f>
        <v>0</v>
      </c>
      <c r="AJ182" s="50" t="b">
        <f>_xlfn.XLOOKUP(Tableau119[[#This Row],[Key(ID-date)]],'DATA BTO'!S:S,'DATA BTO'!L:L,FALSE)</f>
        <v>0</v>
      </c>
      <c r="AK182" s="53" t="b">
        <f>_xlfn.XLOOKUP(Tableau119[[#This Row],[Key(ID-date)]],'DATA BTO'!S:S,'DATA BTO'!N:N,FALSE)</f>
        <v>0</v>
      </c>
      <c r="AL182" s="54" t="e">
        <f>VLOOKUP(Tableau119[[#This Row],[Key(POD -PFI- Usine)]],'DATA Consignee'!A:F,6,FALSE)</f>
        <v>#N/A</v>
      </c>
      <c r="AM182" s="127"/>
      <c r="AN182" s="438" t="str">
        <f>IF(Tableau119[[#This Row],[Name PFI/CDD]]="","-",VLOOKUP(Tableau119[[#This Row],[Name PFI/CDD]],Plant_AILN!I:J,2,FALSE))</f>
        <v>-</v>
      </c>
      <c r="AO18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2" s="2" t="e">
        <f>VLOOKUP(Tableau119[[#This Row],[Key(POD -PFI- Usine)]],'DATA Consignee'!A:J,10,FALSE)</f>
        <v>#N/A</v>
      </c>
      <c r="AR182" s="50" t="e">
        <f>VLOOKUP(Tableau119[[#This Row],[Key(POD -PFI- Usine)]],'DATA Consignee'!A:N,14,FALSE)</f>
        <v>#N/A</v>
      </c>
      <c r="AS18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2" s="50">
        <f>Tableau119[[#This Row],[Transit time]]+Tableau119[[#This Row],[Time for security]]+Tableau119[[#This Row],[Time for security2 buffer]]</f>
        <v>0</v>
      </c>
      <c r="AV1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2" s="433" t="e">
        <f>Tableau119[[#This Row],[Leadtime SI2C]]+Tableau119[[#This Row],[First Receipt Days]]-Tableau119[[#This Row],[Day Customer Order]]+1</f>
        <v>#N/A</v>
      </c>
      <c r="AX182" s="119" t="e">
        <f>IF(Tableau119[[#This Row],[Name ILN]]&lt;&gt;"SFK Freight Forwarder",Tableau119[[#This Row],[Cust. Leadtime]],Tableau119[[#This Row],[Leadtime SI2C]])</f>
        <v>#N/A</v>
      </c>
      <c r="AY182" s="51" t="b">
        <f>_xlfn.XLOOKUP(Tableau119[[#This Row],[Key(ID-date)]],'DATA BTO'!S:S,'DATA BTO'!P:P,FALSE)</f>
        <v>0</v>
      </c>
      <c r="AZ182" s="338">
        <v>45991</v>
      </c>
      <c r="BA182" s="50"/>
    </row>
    <row r="183" spans="2:53">
      <c r="B183" s="474" t="str">
        <f>_xlfn.CONCAT(Tableau119[[#This Row],[Name ILN]],"-",Tableau119[[#This Row],[Name Shipper]],"-",Tableau119[[#This Row],[Name Site]])</f>
        <v>ILN Chennai-ILN Chennai-CORDOBA</v>
      </c>
      <c r="C183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3" s="66" t="str">
        <f>_xlfn.CONCAT(Tableau119[[#This Row],[Compte ILN]],"-",Tableau119[[#This Row],[Compte Shipper]],"-",Tableau119[[#This Row],[POL]])</f>
        <v>2533780546-2533780546-FALSO</v>
      </c>
      <c r="E183" s="434" t="str">
        <f>_xlfn.CONCAT(Tableau119[[#This Row],[POL]],"-",Tableau119[[#This Row],[Carrier]],"-",Tableau119[[#This Row],[POD]])</f>
        <v>FALSO-FALSO-FALSO</v>
      </c>
      <c r="F183" s="66" t="str">
        <f>_xlfn.CONCAT(Tableau119[[#This Row],[ID]],"-","Actif")</f>
        <v>47-Actif</v>
      </c>
      <c r="G183" s="66" t="str">
        <f>_xlfn.CONCAT(Tableau119[[#This Row],[POD]],"-",Tableau119[[#This Row],[Code PFI]],"-",Tableau119[[#This Row],[Compte Consignee]])</f>
        <v>FALSO---90016000</v>
      </c>
      <c r="H183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3" s="434" t="str">
        <f>_xlfn.CONCAT(Tableau119[[#This Row],[ID]],"-",Tableau119[[#This Row],[Expiration Date]])</f>
        <v>47-45900</v>
      </c>
      <c r="J1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Chennai-47-FALSO-FALSO-FALSO--45900</v>
      </c>
      <c r="K183" s="435" t="str">
        <f ca="1">IF(COUNTIF(J:J,Tableau119[[#This Row],[Plant-ILN-shipper-POL-Carrier-POD-PFI]])=1,"Non","Oui")</f>
        <v>Non</v>
      </c>
      <c r="L183" s="128" t="str">
        <f>VLOOKUP(Tableau119[[#This Row],[Name Site]],Plant_AILN!A:D,4,FALSE)</f>
        <v>ARGENTINA</v>
      </c>
      <c r="M183" s="411" t="s">
        <v>158</v>
      </c>
      <c r="N183" s="439">
        <f>VLOOKUP(Tableau119[[#This Row],[Name Site]],Plant_AILN!A:C,3,FALSE)</f>
        <v>90016000</v>
      </c>
      <c r="O183" s="55">
        <f>VLOOKUP(Tableau119[[#This Row],[Compte Consignee]],Order!C:D,2,FALSE)</f>
        <v>7</v>
      </c>
      <c r="P183" s="124" t="s">
        <v>149</v>
      </c>
      <c r="Q183" s="365">
        <f>VLOOKUP(Tableau119[[#This Row],[Name ILN]],Plant_AILN!F:G,2,FALSE)</f>
        <v>2533780546</v>
      </c>
      <c r="R183" s="50">
        <f>VLOOKUP(Tableau119[[#This Row],[Compte ILN]],'DATA ILN'!D:I,6,FALSE)</f>
        <v>9</v>
      </c>
      <c r="S183" s="50" t="e">
        <f>IFERROR(VLOOKUP(Tableau119[[#This Row],[Key(Compte ILN - shipper - POL - plant)]],'DATA ILN'!A:J,10,FALSE),VLOOKUP(Tableau119[[#This Row],[Key(Compte ILN - shipper - POL)]],'DATA ILN'!B:J,9,FALSE))</f>
        <v>#N/A</v>
      </c>
      <c r="T183" s="50" t="e">
        <f>IFERROR(VLOOKUP(Tableau119[[#This Row],[Key(Compte ILN - shipper - POL - plant)]],'DATA ILN'!A:K,11,FALSE),VLOOKUP(Tableau119[[#This Row],[Key(Compte ILN - shipper - POL)]],'DATA ILN'!B:K,10,FALSE))</f>
        <v>#N/A</v>
      </c>
      <c r="U183" s="50" t="e">
        <f>IFERROR(VLOOKUP(Tableau119[[#This Row],[Key(Compte ILN - shipper - POL - plant)]],'DATA ILN'!A:L,12,FALSE),VLOOKUP(Tableau119[[#This Row],[Key(Compte ILN - shipper - POL)]],'DATA ILN'!B:L,11,FALSE))</f>
        <v>#N/A</v>
      </c>
      <c r="V183" s="50" t="e">
        <f>Tableau119[[#This Row],[Day ILN Order]]+Tableau119[[#This Row],[Delivery time to ILN/Shipper]]-1</f>
        <v>#N/A</v>
      </c>
      <c r="W183" s="50" t="e">
        <f>IFERROR(VLOOKUP(Tableau119[[#This Row],[Key(Compte ILN - shipper - POL - plant)]],'DATA ILN'!A:N,14,FALSE),VLOOKUP(Tableau119[[#This Row],[Key(Compte ILN - shipper - POL)]],'DATA ILN'!B:N,13,FALSE))</f>
        <v>#N/A</v>
      </c>
      <c r="X183" s="53" t="e">
        <f>IFERROR(VLOOKUP(Tableau119[[#This Row],[Key(Compte ILN - shipper - POL - plant)]],'DATA ILN'!A:P,16,FALSE),VLOOKUP(Tableau119[[#This Row],[Key(Compte ILN - shipper - POL)]],'DATA ILN'!B:P,15,FALSE))</f>
        <v>#N/A</v>
      </c>
      <c r="Y183" s="284" t="s">
        <v>149</v>
      </c>
      <c r="Z183" s="437">
        <f>IFERROR(VLOOKUP(Tableau119[[#This Row],[Name Shipper]],Plant_AILN!L:M,2,FALSE),0)</f>
        <v>2533780546</v>
      </c>
      <c r="AA183" s="406">
        <v>47</v>
      </c>
      <c r="AB183" s="396" t="b">
        <f>_xlfn.XLOOKUP(Tableau119[[#This Row],[Key(ID-date)]],'DATA BTO'!S:S,'DATA BTO'!E:E,FALSE)</f>
        <v>0</v>
      </c>
      <c r="AC183" s="3" t="b">
        <f>_xlfn.XLOOKUP(Tableau119[[#This Row],[Key(ID-date)]],'DATA BTO'!S:S,'DATA BTO'!F:F,FALSE)</f>
        <v>0</v>
      </c>
      <c r="AD183" s="50" t="b">
        <f>_xlfn.XLOOKUP(Tableau119[[#This Row],[Key(ID-date)]],'DATA BTO'!S:S,'DATA BTO'!G:G,FALSE)</f>
        <v>0</v>
      </c>
      <c r="AE183" s="50" t="b">
        <f>_xlfn.XLOOKUP(Tableau119[[#This Row],[Key(ID-date)]],'DATA BTO'!S:S,'DATA BTO'!H:H,FALSE)</f>
        <v>0</v>
      </c>
      <c r="AF183" s="50" t="e">
        <f>IF(Tableau119[[#This Row],[First Day to POL]]&lt;=Tableau119[[#This Row],[Day Cut Off]],Tableau119[[#This Row],[Day ETD]],Tableau119[[#This Row],[Day ETD]]+7)</f>
        <v>#N/A</v>
      </c>
      <c r="AG183" s="50" t="b">
        <f>_xlfn.XLOOKUP(Tableau119[[#This Row],[Key(ID-date)]],'DATA BTO'!S:S,'DATA BTO'!I:I,FALSE)</f>
        <v>0</v>
      </c>
      <c r="AH183" s="3" t="b">
        <f>_xlfn.XLOOKUP(Tableau119[[#This Row],[Key(ID-date)]],'DATA BTO'!S:S,'DATA BTO'!J:J,FALSE)</f>
        <v>0</v>
      </c>
      <c r="AI183" s="3" t="b">
        <f>_xlfn.XLOOKUP(Tableau119[[#This Row],[Key(ID-date)]],'DATA BTO'!S:S,'DATA BTO'!K:K,FALSE)</f>
        <v>0</v>
      </c>
      <c r="AJ183" s="50" t="b">
        <f>_xlfn.XLOOKUP(Tableau119[[#This Row],[Key(ID-date)]],'DATA BTO'!S:S,'DATA BTO'!L:L,FALSE)</f>
        <v>0</v>
      </c>
      <c r="AK183" s="53" t="b">
        <f>_xlfn.XLOOKUP(Tableau119[[#This Row],[Key(ID-date)]],'DATA BTO'!S:S,'DATA BTO'!N:N,FALSE)</f>
        <v>0</v>
      </c>
      <c r="AL183" s="54" t="e">
        <f>VLOOKUP(Tableau119[[#This Row],[Key(POD -PFI- Usine)]],'DATA Consignee'!A:F,6,FALSE)</f>
        <v>#N/A</v>
      </c>
      <c r="AM183" s="127"/>
      <c r="AN183" s="438" t="str">
        <f>IF(Tableau119[[#This Row],[Name PFI/CDD]]="","-",VLOOKUP(Tableau119[[#This Row],[Name PFI/CDD]],Plant_AILN!I:J,2,FALSE))</f>
        <v>-</v>
      </c>
      <c r="AO1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3" s="2" t="e">
        <f>VLOOKUP(Tableau119[[#This Row],[Key(POD -PFI- Usine)]],'DATA Consignee'!A:J,10,FALSE)</f>
        <v>#N/A</v>
      </c>
      <c r="AR183" s="50" t="e">
        <f>VLOOKUP(Tableau119[[#This Row],[Key(POD -PFI- Usine)]],'DATA Consignee'!A:N,14,FALSE)</f>
        <v>#N/A</v>
      </c>
      <c r="AS1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3" s="50">
        <f>Tableau119[[#This Row],[Transit time]]+Tableau119[[#This Row],[Time for security]]+Tableau119[[#This Row],[Time for security2 buffer]]</f>
        <v>0</v>
      </c>
      <c r="AV1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3" s="433" t="e">
        <f>Tableau119[[#This Row],[Leadtime SI2C]]+Tableau119[[#This Row],[First Receipt Days]]-Tableau119[[#This Row],[Day Customer Order]]+1</f>
        <v>#N/A</v>
      </c>
      <c r="AX183" s="119" t="e">
        <f>IF(Tableau119[[#This Row],[Name ILN]]&lt;&gt;"SFK Freight Forwarder",Tableau119[[#This Row],[Cust. Leadtime]],Tableau119[[#This Row],[Leadtime SI2C]])</f>
        <v>#N/A</v>
      </c>
      <c r="AY183" s="51" t="b">
        <f>_xlfn.XLOOKUP(Tableau119[[#This Row],[Key(ID-date)]],'DATA BTO'!S:S,'DATA BTO'!P:P,FALSE)</f>
        <v>0</v>
      </c>
      <c r="AZ183" s="338">
        <v>45900</v>
      </c>
      <c r="BA183" s="50"/>
    </row>
    <row r="184" spans="2:53">
      <c r="B184" s="474" t="str">
        <f>_xlfn.CONCAT(Tableau119[[#This Row],[Name ILN]],"-",Tableau119[[#This Row],[Name Shipper]],"-",Tableau119[[#This Row],[Name Site]])</f>
        <v>ILN Chennai-ILN Chennai-CORDOBA</v>
      </c>
      <c r="C184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4" s="66" t="str">
        <f>_xlfn.CONCAT(Tableau119[[#This Row],[Compte ILN]],"-",Tableau119[[#This Row],[Compte Shipper]],"-",Tableau119[[#This Row],[POL]])</f>
        <v>2533780546-2533780546-FALSO</v>
      </c>
      <c r="E184" s="434" t="str">
        <f>_xlfn.CONCAT(Tableau119[[#This Row],[POL]],"-",Tableau119[[#This Row],[Carrier]],"-",Tableau119[[#This Row],[POD]])</f>
        <v>FALSO-FALSO-FALSO</v>
      </c>
      <c r="F184" s="66" t="str">
        <f>_xlfn.CONCAT(Tableau119[[#This Row],[ID]],"-","Actif")</f>
        <v>47-Actif</v>
      </c>
      <c r="G184" s="66" t="str">
        <f>_xlfn.CONCAT(Tableau119[[#This Row],[POD]],"-",Tableau119[[#This Row],[Code PFI]],"-",Tableau119[[#This Row],[Compte Consignee]])</f>
        <v>FALSO---90016000</v>
      </c>
      <c r="H184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4" s="434" t="str">
        <f>_xlfn.CONCAT(Tableau119[[#This Row],[ID]],"-",Tableau119[[#This Row],[Expiration Date]])</f>
        <v>47-45777</v>
      </c>
      <c r="J1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Chennai-47-FALSO-FALSO-FALSO--45777</v>
      </c>
      <c r="K184" s="435" t="str">
        <f ca="1">IF(COUNTIF(J:J,Tableau119[[#This Row],[Plant-ILN-shipper-POL-Carrier-POD-PFI]])=1,"Non","Oui")</f>
        <v>Non</v>
      </c>
      <c r="L184" s="128" t="str">
        <f>VLOOKUP(Tableau119[[#This Row],[Name Site]],Plant_AILN!A:D,4,FALSE)</f>
        <v>ARGENTINA</v>
      </c>
      <c r="M184" s="411" t="s">
        <v>158</v>
      </c>
      <c r="N184" s="439">
        <f>VLOOKUP(Tableau119[[#This Row],[Name Site]],Plant_AILN!A:C,3,FALSE)</f>
        <v>90016000</v>
      </c>
      <c r="O184" s="55">
        <f>VLOOKUP(Tableau119[[#This Row],[Compte Consignee]],Order!C:D,2,FALSE)</f>
        <v>7</v>
      </c>
      <c r="P184" s="124" t="s">
        <v>149</v>
      </c>
      <c r="Q184" s="365">
        <f>VLOOKUP(Tableau119[[#This Row],[Name ILN]],Plant_AILN!F:G,2,FALSE)</f>
        <v>2533780546</v>
      </c>
      <c r="R184" s="50">
        <f>VLOOKUP(Tableau119[[#This Row],[Compte ILN]],'DATA ILN'!D:I,6,FALSE)</f>
        <v>9</v>
      </c>
      <c r="S184" s="50" t="e">
        <f>IFERROR(VLOOKUP(Tableau119[[#This Row],[Key(Compte ILN - shipper - POL - plant)]],'DATA ILN'!A:J,10,FALSE),VLOOKUP(Tableau119[[#This Row],[Key(Compte ILN - shipper - POL)]],'DATA ILN'!B:J,9,FALSE))</f>
        <v>#N/A</v>
      </c>
      <c r="T184" s="50" t="e">
        <f>IFERROR(VLOOKUP(Tableau119[[#This Row],[Key(Compte ILN - shipper - POL - plant)]],'DATA ILN'!A:K,11,FALSE),VLOOKUP(Tableau119[[#This Row],[Key(Compte ILN - shipper - POL)]],'DATA ILN'!B:K,10,FALSE))</f>
        <v>#N/A</v>
      </c>
      <c r="U184" s="50" t="e">
        <f>IFERROR(VLOOKUP(Tableau119[[#This Row],[Key(Compte ILN - shipper - POL - plant)]],'DATA ILN'!A:L,12,FALSE),VLOOKUP(Tableau119[[#This Row],[Key(Compte ILN - shipper - POL)]],'DATA ILN'!B:L,11,FALSE))</f>
        <v>#N/A</v>
      </c>
      <c r="V184" s="50" t="e">
        <f>Tableau119[[#This Row],[Day ILN Order]]+Tableau119[[#This Row],[Delivery time to ILN/Shipper]]-1</f>
        <v>#N/A</v>
      </c>
      <c r="W184" s="50" t="e">
        <f>IFERROR(VLOOKUP(Tableau119[[#This Row],[Key(Compte ILN - shipper - POL - plant)]],'DATA ILN'!A:N,14,FALSE),VLOOKUP(Tableau119[[#This Row],[Key(Compte ILN - shipper - POL)]],'DATA ILN'!B:N,13,FALSE))</f>
        <v>#N/A</v>
      </c>
      <c r="X184" s="53" t="e">
        <f>IFERROR(VLOOKUP(Tableau119[[#This Row],[Key(Compte ILN - shipper - POL - plant)]],'DATA ILN'!A:P,16,FALSE),VLOOKUP(Tableau119[[#This Row],[Key(Compte ILN - shipper - POL)]],'DATA ILN'!B:P,15,FALSE))</f>
        <v>#N/A</v>
      </c>
      <c r="Y184" s="284" t="s">
        <v>149</v>
      </c>
      <c r="Z184" s="437">
        <f>IFERROR(VLOOKUP(Tableau119[[#This Row],[Name Shipper]],Plant_AILN!L:M,2,FALSE),0)</f>
        <v>2533780546</v>
      </c>
      <c r="AA184" s="406">
        <v>47</v>
      </c>
      <c r="AB184" s="396" t="b">
        <f>_xlfn.XLOOKUP(Tableau119[[#This Row],[Key(ID-date)]],'DATA BTO'!S:S,'DATA BTO'!E:E,FALSE)</f>
        <v>0</v>
      </c>
      <c r="AC184" s="3" t="b">
        <f>_xlfn.XLOOKUP(Tableau119[[#This Row],[Key(ID-date)]],'DATA BTO'!S:S,'DATA BTO'!F:F,FALSE)</f>
        <v>0</v>
      </c>
      <c r="AD184" s="50" t="b">
        <f>_xlfn.XLOOKUP(Tableau119[[#This Row],[Key(ID-date)]],'DATA BTO'!S:S,'DATA BTO'!G:G,FALSE)</f>
        <v>0</v>
      </c>
      <c r="AE184" s="50" t="b">
        <f>_xlfn.XLOOKUP(Tableau119[[#This Row],[Key(ID-date)]],'DATA BTO'!S:S,'DATA BTO'!H:H,FALSE)</f>
        <v>0</v>
      </c>
      <c r="AF184" s="50" t="e">
        <f>IF(Tableau119[[#This Row],[First Day to POL]]&lt;=Tableau119[[#This Row],[Day Cut Off]],Tableau119[[#This Row],[Day ETD]],Tableau119[[#This Row],[Day ETD]]+7)</f>
        <v>#N/A</v>
      </c>
      <c r="AG184" s="50" t="b">
        <f>_xlfn.XLOOKUP(Tableau119[[#This Row],[Key(ID-date)]],'DATA BTO'!S:S,'DATA BTO'!I:I,FALSE)</f>
        <v>0</v>
      </c>
      <c r="AH184" s="3" t="b">
        <f>_xlfn.XLOOKUP(Tableau119[[#This Row],[Key(ID-date)]],'DATA BTO'!S:S,'DATA BTO'!J:J,FALSE)</f>
        <v>0</v>
      </c>
      <c r="AI184" s="3" t="b">
        <f>_xlfn.XLOOKUP(Tableau119[[#This Row],[Key(ID-date)]],'DATA BTO'!S:S,'DATA BTO'!K:K,FALSE)</f>
        <v>0</v>
      </c>
      <c r="AJ184" s="50" t="b">
        <f>_xlfn.XLOOKUP(Tableau119[[#This Row],[Key(ID-date)]],'DATA BTO'!S:S,'DATA BTO'!L:L,FALSE)</f>
        <v>0</v>
      </c>
      <c r="AK184" s="53" t="b">
        <f>_xlfn.XLOOKUP(Tableau119[[#This Row],[Key(ID-date)]],'DATA BTO'!S:S,'DATA BTO'!N:N,FALSE)</f>
        <v>0</v>
      </c>
      <c r="AL184" s="54" t="e">
        <f>VLOOKUP(Tableau119[[#This Row],[Key(POD -PFI- Usine)]],'DATA Consignee'!A:F,6,FALSE)</f>
        <v>#N/A</v>
      </c>
      <c r="AM184" s="127"/>
      <c r="AN184" s="438" t="str">
        <f>IF(Tableau119[[#This Row],[Name PFI/CDD]]="","-",VLOOKUP(Tableau119[[#This Row],[Name PFI/CDD]],Plant_AILN!I:J,2,FALSE))</f>
        <v>-</v>
      </c>
      <c r="AO1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4" s="2" t="e">
        <f>VLOOKUP(Tableau119[[#This Row],[Key(POD -PFI- Usine)]],'DATA Consignee'!A:J,10,FALSE)</f>
        <v>#N/A</v>
      </c>
      <c r="AR184" s="50" t="e">
        <f>VLOOKUP(Tableau119[[#This Row],[Key(POD -PFI- Usine)]],'DATA Consignee'!A:N,14,FALSE)</f>
        <v>#N/A</v>
      </c>
      <c r="AS1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4" s="50">
        <f>Tableau119[[#This Row],[Transit time]]+Tableau119[[#This Row],[Time for security]]+Tableau119[[#This Row],[Time for security2 buffer]]</f>
        <v>0</v>
      </c>
      <c r="AV1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4" s="433" t="e">
        <f>Tableau119[[#This Row],[Leadtime SI2C]]+Tableau119[[#This Row],[First Receipt Days]]-Tableau119[[#This Row],[Day Customer Order]]+1</f>
        <v>#N/A</v>
      </c>
      <c r="AX184" s="119" t="e">
        <f>IF(Tableau119[[#This Row],[Name ILN]]&lt;&gt;"SFK Freight Forwarder",Tableau119[[#This Row],[Cust. Leadtime]],Tableau119[[#This Row],[Leadtime SI2C]])</f>
        <v>#N/A</v>
      </c>
      <c r="AY184" s="51" t="b">
        <f>_xlfn.XLOOKUP(Tableau119[[#This Row],[Key(ID-date)]],'DATA BTO'!S:S,'DATA BTO'!P:P,FALSE)</f>
        <v>0</v>
      </c>
      <c r="AZ184" s="338">
        <v>45777</v>
      </c>
      <c r="BA184" s="50"/>
    </row>
    <row r="185" spans="2:53">
      <c r="B185" s="474" t="str">
        <f>_xlfn.CONCAT(Tableau119[[#This Row],[Name ILN]],"-",Tableau119[[#This Row],[Name Shipper]],"-",Tableau119[[#This Row],[Name Site]])</f>
        <v>ILN Chennai-ILN Chennai-CORDOBA</v>
      </c>
      <c r="C185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5" s="66" t="str">
        <f>_xlfn.CONCAT(Tableau119[[#This Row],[Compte ILN]],"-",Tableau119[[#This Row],[Compte Shipper]],"-",Tableau119[[#This Row],[POL]])</f>
        <v>2533780546-2533780546-FALSO</v>
      </c>
      <c r="E185" s="434" t="str">
        <f>_xlfn.CONCAT(Tableau119[[#This Row],[POL]],"-",Tableau119[[#This Row],[Carrier]],"-",Tableau119[[#This Row],[POD]])</f>
        <v>FALSO-FALSO-FALSO</v>
      </c>
      <c r="F185" s="66" t="str">
        <f>_xlfn.CONCAT(Tableau119[[#This Row],[ID]],"-","Actif")</f>
        <v>47-Actif</v>
      </c>
      <c r="G185" s="66" t="str">
        <f>_xlfn.CONCAT(Tableau119[[#This Row],[POD]],"-",Tableau119[[#This Row],[Code PFI]],"-",Tableau119[[#This Row],[Compte Consignee]])</f>
        <v>FALSO---90016000</v>
      </c>
      <c r="H185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5" s="434" t="str">
        <f>_xlfn.CONCAT(Tableau119[[#This Row],[ID]],"-",Tableau119[[#This Row],[Expiration Date]])</f>
        <v>47-45473</v>
      </c>
      <c r="J1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Chennai-47-FALSO-FALSO-FALSO--45473</v>
      </c>
      <c r="K185" s="435" t="str">
        <f ca="1">IF(COUNTIF(J:J,Tableau119[[#This Row],[Plant-ILN-shipper-POL-Carrier-POD-PFI]])=1,"Non","Oui")</f>
        <v>Non</v>
      </c>
      <c r="L185" s="128" t="str">
        <f>VLOOKUP(Tableau119[[#This Row],[Name Site]],Plant_AILN!A:D,4,FALSE)</f>
        <v>ARGENTINA</v>
      </c>
      <c r="M185" s="411" t="s">
        <v>158</v>
      </c>
      <c r="N185" s="439">
        <f>VLOOKUP(Tableau119[[#This Row],[Name Site]],Plant_AILN!A:C,3,FALSE)</f>
        <v>90016000</v>
      </c>
      <c r="O185" s="55">
        <f>VLOOKUP(Tableau119[[#This Row],[Compte Consignee]],Order!C:D,2,FALSE)</f>
        <v>7</v>
      </c>
      <c r="P185" s="124" t="s">
        <v>149</v>
      </c>
      <c r="Q185" s="365">
        <f>VLOOKUP(Tableau119[[#This Row],[Name ILN]],Plant_AILN!F:G,2,FALSE)</f>
        <v>2533780546</v>
      </c>
      <c r="R185" s="50">
        <f>VLOOKUP(Tableau119[[#This Row],[Compte ILN]],'DATA ILN'!D:I,6,FALSE)</f>
        <v>9</v>
      </c>
      <c r="S185" s="50" t="e">
        <f>IFERROR(VLOOKUP(Tableau119[[#This Row],[Key(Compte ILN - shipper - POL - plant)]],'DATA ILN'!A:J,10,FALSE),VLOOKUP(Tableau119[[#This Row],[Key(Compte ILN - shipper - POL)]],'DATA ILN'!B:J,9,FALSE))</f>
        <v>#N/A</v>
      </c>
      <c r="T185" s="50" t="e">
        <f>IFERROR(VLOOKUP(Tableau119[[#This Row],[Key(Compte ILN - shipper - POL - plant)]],'DATA ILN'!A:K,11,FALSE),VLOOKUP(Tableau119[[#This Row],[Key(Compte ILN - shipper - POL)]],'DATA ILN'!B:K,10,FALSE))</f>
        <v>#N/A</v>
      </c>
      <c r="U185" s="50" t="e">
        <f>IFERROR(VLOOKUP(Tableau119[[#This Row],[Key(Compte ILN - shipper - POL - plant)]],'DATA ILN'!A:L,12,FALSE),VLOOKUP(Tableau119[[#This Row],[Key(Compte ILN - shipper - POL)]],'DATA ILN'!B:L,11,FALSE))</f>
        <v>#N/A</v>
      </c>
      <c r="V185" s="50" t="e">
        <f>Tableau119[[#This Row],[Day ILN Order]]+Tableau119[[#This Row],[Delivery time to ILN/Shipper]]-1</f>
        <v>#N/A</v>
      </c>
      <c r="W185" s="50" t="e">
        <f>IFERROR(VLOOKUP(Tableau119[[#This Row],[Key(Compte ILN - shipper - POL - plant)]],'DATA ILN'!A:N,14,FALSE),VLOOKUP(Tableau119[[#This Row],[Key(Compte ILN - shipper - POL)]],'DATA ILN'!B:N,13,FALSE))</f>
        <v>#N/A</v>
      </c>
      <c r="X185" s="53" t="e">
        <f>IFERROR(VLOOKUP(Tableau119[[#This Row],[Key(Compte ILN - shipper - POL - plant)]],'DATA ILN'!A:P,16,FALSE),VLOOKUP(Tableau119[[#This Row],[Key(Compte ILN - shipper - POL)]],'DATA ILN'!B:P,15,FALSE))</f>
        <v>#N/A</v>
      </c>
      <c r="Y185" s="284" t="s">
        <v>149</v>
      </c>
      <c r="Z185" s="437">
        <f>IFERROR(VLOOKUP(Tableau119[[#This Row],[Name Shipper]],Plant_AILN!L:M,2,FALSE),0)</f>
        <v>2533780546</v>
      </c>
      <c r="AA185" s="406">
        <v>47</v>
      </c>
      <c r="AB185" s="396" t="b">
        <f>_xlfn.XLOOKUP(Tableau119[[#This Row],[Key(ID-date)]],'DATA BTO'!S:S,'DATA BTO'!E:E,FALSE)</f>
        <v>0</v>
      </c>
      <c r="AC185" s="3" t="b">
        <f>_xlfn.XLOOKUP(Tableau119[[#This Row],[Key(ID-date)]],'DATA BTO'!S:S,'DATA BTO'!F:F,FALSE)</f>
        <v>0</v>
      </c>
      <c r="AD185" s="50" t="b">
        <f>_xlfn.XLOOKUP(Tableau119[[#This Row],[Key(ID-date)]],'DATA BTO'!S:S,'DATA BTO'!G:G,FALSE)</f>
        <v>0</v>
      </c>
      <c r="AE185" s="50" t="b">
        <f>_xlfn.XLOOKUP(Tableau119[[#This Row],[Key(ID-date)]],'DATA BTO'!S:S,'DATA BTO'!H:H,FALSE)</f>
        <v>0</v>
      </c>
      <c r="AF185" s="50" t="e">
        <f>IF(Tableau119[[#This Row],[First Day to POL]]&lt;=Tableau119[[#This Row],[Day Cut Off]],Tableau119[[#This Row],[Day ETD]],Tableau119[[#This Row],[Day ETD]]+7)</f>
        <v>#N/A</v>
      </c>
      <c r="AG185" s="50" t="b">
        <f>_xlfn.XLOOKUP(Tableau119[[#This Row],[Key(ID-date)]],'DATA BTO'!S:S,'DATA BTO'!I:I,FALSE)</f>
        <v>0</v>
      </c>
      <c r="AH185" s="3" t="b">
        <f>_xlfn.XLOOKUP(Tableau119[[#This Row],[Key(ID-date)]],'DATA BTO'!S:S,'DATA BTO'!J:J,FALSE)</f>
        <v>0</v>
      </c>
      <c r="AI185" s="3" t="b">
        <f>_xlfn.XLOOKUP(Tableau119[[#This Row],[Key(ID-date)]],'DATA BTO'!S:S,'DATA BTO'!K:K,FALSE)</f>
        <v>0</v>
      </c>
      <c r="AJ185" s="50" t="b">
        <f>_xlfn.XLOOKUP(Tableau119[[#This Row],[Key(ID-date)]],'DATA BTO'!S:S,'DATA BTO'!L:L,FALSE)</f>
        <v>0</v>
      </c>
      <c r="AK185" s="53" t="b">
        <f>_xlfn.XLOOKUP(Tableau119[[#This Row],[Key(ID-date)]],'DATA BTO'!S:S,'DATA BTO'!N:N,FALSE)</f>
        <v>0</v>
      </c>
      <c r="AL185" s="54" t="e">
        <f>VLOOKUP(Tableau119[[#This Row],[Key(POD -PFI- Usine)]],'DATA Consignee'!A:F,6,FALSE)</f>
        <v>#N/A</v>
      </c>
      <c r="AM185" s="127"/>
      <c r="AN185" s="438" t="str">
        <f>IF(Tableau119[[#This Row],[Name PFI/CDD]]="","-",VLOOKUP(Tableau119[[#This Row],[Name PFI/CDD]],Plant_AILN!I:J,2,FALSE))</f>
        <v>-</v>
      </c>
      <c r="AO1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5" s="2" t="e">
        <f>VLOOKUP(Tableau119[[#This Row],[Key(POD -PFI- Usine)]],'DATA Consignee'!A:J,10,FALSE)</f>
        <v>#N/A</v>
      </c>
      <c r="AR185" s="50" t="e">
        <f>VLOOKUP(Tableau119[[#This Row],[Key(POD -PFI- Usine)]],'DATA Consignee'!A:N,14,FALSE)</f>
        <v>#N/A</v>
      </c>
      <c r="AS1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5" s="50">
        <f>Tableau119[[#This Row],[Transit time]]+Tableau119[[#This Row],[Time for security]]+Tableau119[[#This Row],[Time for security2 buffer]]</f>
        <v>0</v>
      </c>
      <c r="AV1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5" s="433" t="e">
        <f>Tableau119[[#This Row],[Leadtime SI2C]]+Tableau119[[#This Row],[First Receipt Days]]-Tableau119[[#This Row],[Day Customer Order]]+1</f>
        <v>#N/A</v>
      </c>
      <c r="AX185" s="119" t="e">
        <f>IF(Tableau119[[#This Row],[Name ILN]]&lt;&gt;"SFK Freight Forwarder",Tableau119[[#This Row],[Cust. Leadtime]],Tableau119[[#This Row],[Leadtime SI2C]])</f>
        <v>#N/A</v>
      </c>
      <c r="AY185" s="51" t="b">
        <f>_xlfn.XLOOKUP(Tableau119[[#This Row],[Key(ID-date)]],'DATA BTO'!S:S,'DATA BTO'!P:P,FALSE)</f>
        <v>0</v>
      </c>
      <c r="AZ185" s="338">
        <v>45473</v>
      </c>
      <c r="BA185" s="50"/>
    </row>
    <row r="186" spans="2:53">
      <c r="B186" s="474" t="str">
        <f>_xlfn.CONCAT(Tableau119[[#This Row],[Name ILN]],"-",Tableau119[[#This Row],[Name Shipper]],"-",Tableau119[[#This Row],[Name Site]])</f>
        <v>ILN Chennai-ILN Chennai-CORDOBA</v>
      </c>
      <c r="C186" s="67" t="str">
        <f>_xlfn.CONCAT(Tableau119[[#This Row],[Compte ILN]],"-",Tableau119[[#This Row],[Compte Shipper]],"-",Tableau119[[#This Row],[POL]],"-",Tableau119[[#This Row],[Compte Consignee]])</f>
        <v>2533780546-2533780546-FALSO-90016000</v>
      </c>
      <c r="D186" s="66" t="str">
        <f>_xlfn.CONCAT(Tableau119[[#This Row],[Compte ILN]],"-",Tableau119[[#This Row],[Compte Shipper]],"-",Tableau119[[#This Row],[POL]])</f>
        <v>2533780546-2533780546-FALSO</v>
      </c>
      <c r="E186" s="434" t="str">
        <f>_xlfn.CONCAT(Tableau119[[#This Row],[POL]],"-",Tableau119[[#This Row],[Carrier]],"-",Tableau119[[#This Row],[POD]])</f>
        <v>FALSO-FALSO-FALSO</v>
      </c>
      <c r="F186" s="66" t="str">
        <f>_xlfn.CONCAT(Tableau119[[#This Row],[ID]],"-","Actif")</f>
        <v>47-Actif</v>
      </c>
      <c r="G186" s="66" t="str">
        <f>_xlfn.CONCAT(Tableau119[[#This Row],[POD]],"-",Tableau119[[#This Row],[Code PFI]],"-",Tableau119[[#This Row],[Compte Consignee]])</f>
        <v>FALSO---90016000</v>
      </c>
      <c r="H186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ChennaiFALSOCORDOBA</v>
      </c>
      <c r="I186" s="434" t="str">
        <f>_xlfn.CONCAT(Tableau119[[#This Row],[ID]],"-",Tableau119[[#This Row],[Expiration Date]])</f>
        <v>47-45412</v>
      </c>
      <c r="J1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Chennai-ILN Chennai-47-FALSO-FALSO-FALSO--45412</v>
      </c>
      <c r="K186" s="435" t="str">
        <f ca="1">IF(COUNTIF(J:J,Tableau119[[#This Row],[Plant-ILN-shipper-POL-Carrier-POD-PFI]])=1,"Non","Oui")</f>
        <v>Non</v>
      </c>
      <c r="L186" s="128" t="str">
        <f>VLOOKUP(Tableau119[[#This Row],[Name Site]],Plant_AILN!A:D,4,FALSE)</f>
        <v>ARGENTINA</v>
      </c>
      <c r="M186" s="411" t="s">
        <v>158</v>
      </c>
      <c r="N186" s="439">
        <f>VLOOKUP(Tableau119[[#This Row],[Name Site]],Plant_AILN!A:C,3,FALSE)</f>
        <v>90016000</v>
      </c>
      <c r="O186" s="55">
        <f>VLOOKUP(Tableau119[[#This Row],[Compte Consignee]],Order!C:D,2,FALSE)</f>
        <v>7</v>
      </c>
      <c r="P186" s="124" t="s">
        <v>149</v>
      </c>
      <c r="Q186" s="365">
        <f>VLOOKUP(Tableau119[[#This Row],[Name ILN]],Plant_AILN!F:G,2,FALSE)</f>
        <v>2533780546</v>
      </c>
      <c r="R186" s="50">
        <f>VLOOKUP(Tableau119[[#This Row],[Compte ILN]],'DATA ILN'!D:I,6,FALSE)</f>
        <v>9</v>
      </c>
      <c r="S186" s="50" t="e">
        <f>IFERROR(VLOOKUP(Tableau119[[#This Row],[Key(Compte ILN - shipper - POL - plant)]],'DATA ILN'!A:J,10,FALSE),VLOOKUP(Tableau119[[#This Row],[Key(Compte ILN - shipper - POL)]],'DATA ILN'!B:J,9,FALSE))</f>
        <v>#N/A</v>
      </c>
      <c r="T186" s="50" t="e">
        <f>IFERROR(VLOOKUP(Tableau119[[#This Row],[Key(Compte ILN - shipper - POL - plant)]],'DATA ILN'!A:K,11,FALSE),VLOOKUP(Tableau119[[#This Row],[Key(Compte ILN - shipper - POL)]],'DATA ILN'!B:K,10,FALSE))</f>
        <v>#N/A</v>
      </c>
      <c r="U186" s="50" t="e">
        <f>IFERROR(VLOOKUP(Tableau119[[#This Row],[Key(Compte ILN - shipper - POL - plant)]],'DATA ILN'!A:L,12,FALSE),VLOOKUP(Tableau119[[#This Row],[Key(Compte ILN - shipper - POL)]],'DATA ILN'!B:L,11,FALSE))</f>
        <v>#N/A</v>
      </c>
      <c r="V186" s="50" t="e">
        <f>Tableau119[[#This Row],[Day ILN Order]]+Tableau119[[#This Row],[Delivery time to ILN/Shipper]]-1</f>
        <v>#N/A</v>
      </c>
      <c r="W186" s="50" t="e">
        <f>IFERROR(VLOOKUP(Tableau119[[#This Row],[Key(Compte ILN - shipper - POL - plant)]],'DATA ILN'!A:N,14,FALSE),VLOOKUP(Tableau119[[#This Row],[Key(Compte ILN - shipper - POL)]],'DATA ILN'!B:N,13,FALSE))</f>
        <v>#N/A</v>
      </c>
      <c r="X186" s="53" t="e">
        <f>IFERROR(VLOOKUP(Tableau119[[#This Row],[Key(Compte ILN - shipper - POL - plant)]],'DATA ILN'!A:P,16,FALSE),VLOOKUP(Tableau119[[#This Row],[Key(Compte ILN - shipper - POL)]],'DATA ILN'!B:P,15,FALSE))</f>
        <v>#N/A</v>
      </c>
      <c r="Y186" s="284" t="s">
        <v>149</v>
      </c>
      <c r="Z186" s="437">
        <f>IFERROR(VLOOKUP(Tableau119[[#This Row],[Name Shipper]],Plant_AILN!L:M,2,FALSE),0)</f>
        <v>2533780546</v>
      </c>
      <c r="AA186" s="406">
        <v>47</v>
      </c>
      <c r="AB186" s="396" t="b">
        <f>_xlfn.XLOOKUP(Tableau119[[#This Row],[Key(ID-date)]],'DATA BTO'!S:S,'DATA BTO'!E:E,FALSE)</f>
        <v>0</v>
      </c>
      <c r="AC186" s="3" t="b">
        <f>_xlfn.XLOOKUP(Tableau119[[#This Row],[Key(ID-date)]],'DATA BTO'!S:S,'DATA BTO'!F:F,FALSE)</f>
        <v>0</v>
      </c>
      <c r="AD186" s="50" t="b">
        <f>_xlfn.XLOOKUP(Tableau119[[#This Row],[Key(ID-date)]],'DATA BTO'!S:S,'DATA BTO'!G:G,FALSE)</f>
        <v>0</v>
      </c>
      <c r="AE186" s="50" t="b">
        <f>_xlfn.XLOOKUP(Tableau119[[#This Row],[Key(ID-date)]],'DATA BTO'!S:S,'DATA BTO'!H:H,FALSE)</f>
        <v>0</v>
      </c>
      <c r="AF186" s="50" t="e">
        <f>IF(Tableau119[[#This Row],[First Day to POL]]&lt;=Tableau119[[#This Row],[Day Cut Off]],Tableau119[[#This Row],[Day ETD]],Tableau119[[#This Row],[Day ETD]]+7)</f>
        <v>#N/A</v>
      </c>
      <c r="AG186" s="50" t="b">
        <f>_xlfn.XLOOKUP(Tableau119[[#This Row],[Key(ID-date)]],'DATA BTO'!S:S,'DATA BTO'!I:I,FALSE)</f>
        <v>0</v>
      </c>
      <c r="AH186" s="3" t="b">
        <f>_xlfn.XLOOKUP(Tableau119[[#This Row],[Key(ID-date)]],'DATA BTO'!S:S,'DATA BTO'!J:J,FALSE)</f>
        <v>0</v>
      </c>
      <c r="AI186" s="3" t="b">
        <f>_xlfn.XLOOKUP(Tableau119[[#This Row],[Key(ID-date)]],'DATA BTO'!S:S,'DATA BTO'!K:K,FALSE)</f>
        <v>0</v>
      </c>
      <c r="AJ186" s="50" t="b">
        <f>_xlfn.XLOOKUP(Tableau119[[#This Row],[Key(ID-date)]],'DATA BTO'!S:S,'DATA BTO'!L:L,FALSE)</f>
        <v>0</v>
      </c>
      <c r="AK186" s="53" t="b">
        <f>_xlfn.XLOOKUP(Tableau119[[#This Row],[Key(ID-date)]],'DATA BTO'!S:S,'DATA BTO'!N:N,FALSE)</f>
        <v>0</v>
      </c>
      <c r="AL186" s="54" t="e">
        <f>VLOOKUP(Tableau119[[#This Row],[Key(POD -PFI- Usine)]],'DATA Consignee'!A:F,6,FALSE)</f>
        <v>#N/A</v>
      </c>
      <c r="AM186" s="127"/>
      <c r="AN186" s="438" t="str">
        <f>IF(Tableau119[[#This Row],[Name PFI/CDD]]="","-",VLOOKUP(Tableau119[[#This Row],[Name PFI/CDD]],Plant_AILN!I:J,2,FALSE))</f>
        <v>-</v>
      </c>
      <c r="AO1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6" s="2" t="e">
        <f>VLOOKUP(Tableau119[[#This Row],[Key(POD -PFI- Usine)]],'DATA Consignee'!A:J,10,FALSE)</f>
        <v>#N/A</v>
      </c>
      <c r="AR186" s="50" t="e">
        <f>VLOOKUP(Tableau119[[#This Row],[Key(POD -PFI- Usine)]],'DATA Consignee'!A:N,14,FALSE)</f>
        <v>#N/A</v>
      </c>
      <c r="AS1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6" s="50">
        <f>Tableau119[[#This Row],[Transit time]]+Tableau119[[#This Row],[Time for security]]+Tableau119[[#This Row],[Time for security2 buffer]]</f>
        <v>0</v>
      </c>
      <c r="AV1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6" s="433" t="e">
        <f>Tableau119[[#This Row],[Leadtime SI2C]]+Tableau119[[#This Row],[First Receipt Days]]-Tableau119[[#This Row],[Day Customer Order]]+1</f>
        <v>#N/A</v>
      </c>
      <c r="AX186" s="119" t="e">
        <f>IF(Tableau119[[#This Row],[Name ILN]]&lt;&gt;"SFK Freight Forwarder",Tableau119[[#This Row],[Cust. Leadtime]],Tableau119[[#This Row],[Leadtime SI2C]])</f>
        <v>#N/A</v>
      </c>
      <c r="AY186" s="51" t="b">
        <f>_xlfn.XLOOKUP(Tableau119[[#This Row],[Key(ID-date)]],'DATA BTO'!S:S,'DATA BTO'!P:P,FALSE)</f>
        <v>0</v>
      </c>
      <c r="AZ186" s="338">
        <v>45412</v>
      </c>
      <c r="BA186" s="50"/>
    </row>
    <row r="187" spans="2:53">
      <c r="B187" s="67" t="str">
        <f>_xlfn.CONCAT(Tableau119[[#This Row],[Name ILN]],"-",Tableau119[[#This Row],[Name Shipper]],"-",Tableau119[[#This Row],[Name Site]])</f>
        <v>ILN Tanger-ILN Tanger-CORDOBA</v>
      </c>
      <c r="C187" s="67" t="str">
        <f>_xlfn.CONCAT(Tableau119[[#This Row],[Compte ILN]],"-",Tableau119[[#This Row],[Compte Shipper]],"-",Tableau119[[#This Row],[POL]],"-",Tableau119[[#This Row],[Compte Consignee]])</f>
        <v>92050300-92050300-FALSO-90016000</v>
      </c>
      <c r="D187" s="66" t="str">
        <f>_xlfn.CONCAT(Tableau119[[#This Row],[Compte ILN]],"-",Tableau119[[#This Row],[Compte Shipper]],"-",Tableau119[[#This Row],[POL]])</f>
        <v>92050300-92050300-FALSO</v>
      </c>
      <c r="E187" s="434" t="str">
        <f>_xlfn.CONCAT(Tableau119[[#This Row],[POL]],"-",Tableau119[[#This Row],[Carrier]],"-",Tableau119[[#This Row],[POD]])</f>
        <v>FALSO-FALSO-FALSO</v>
      </c>
      <c r="F187" s="66" t="str">
        <f>_xlfn.CONCAT(Tableau119[[#This Row],[ID]],"-","Actif")</f>
        <v>51-Actif</v>
      </c>
      <c r="G187" s="66" t="str">
        <f>_xlfn.CONCAT(Tableau119[[#This Row],[POD]],"-",Tableau119[[#This Row],[Code PFI]],"-",Tableau119[[#This Row],[Compte Consignee]])</f>
        <v>FALSO---90016000</v>
      </c>
      <c r="H187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TangerFALSOCORDOBA</v>
      </c>
      <c r="I187" s="434" t="str">
        <f>_xlfn.CONCAT(Tableau119[[#This Row],[ID]],"-",Tableau119[[#This Row],[Expiration Date]])</f>
        <v>51-46142</v>
      </c>
      <c r="J1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Tanger-ILN Tanger-51-FALSO-FALSO-FALSO--46142</v>
      </c>
      <c r="K187" s="435" t="str">
        <f ca="1">IF(COUNTIF(J:J,Tableau119[[#This Row],[Plant-ILN-shipper-POL-Carrier-POD-PFI]])=1,"Non","Oui")</f>
        <v>Non</v>
      </c>
      <c r="L187" s="436" t="str">
        <f>VLOOKUP(Tableau119[[#This Row],[Name Site]],Plant_AILN!A:D,4,FALSE)</f>
        <v>ARGENTINA</v>
      </c>
      <c r="M187" s="285" t="s">
        <v>158</v>
      </c>
      <c r="N187" s="439">
        <f>VLOOKUP(Tableau119[[#This Row],[Name Site]],Plant_AILN!A:C,3,FALSE)</f>
        <v>90016000</v>
      </c>
      <c r="O187" s="55">
        <f>IF(Tableau119[[#This Row],[Name PFI/CDD]]="PFI VLL",2,VLOOKUP(Tableau119[[#This Row],[Compte Consignee]],Order!C:D,2,FALSE))</f>
        <v>7</v>
      </c>
      <c r="P187" s="124" t="s">
        <v>161</v>
      </c>
      <c r="Q187" s="365">
        <f>VLOOKUP(Tableau119[[#This Row],[Name ILN]],Plant_AILN!F:G,2,FALSE)</f>
        <v>92050300</v>
      </c>
      <c r="R187" s="50">
        <f>VLOOKUP(Tableau119[[#This Row],[Compte ILN]],'DATA ILN'!D:I,6,FALSE)</f>
        <v>9</v>
      </c>
      <c r="S187" s="50" t="e">
        <f>IFERROR(VLOOKUP(Tableau119[[#This Row],[Key(Compte ILN - shipper - POL - plant)]],'DATA ILN'!A:J,10,FALSE),VLOOKUP(Tableau119[[#This Row],[Key(Compte ILN - shipper - POL)]],'DATA ILN'!B:J,9,FALSE))</f>
        <v>#N/A</v>
      </c>
      <c r="T187" s="50" t="e">
        <f>IFERROR(VLOOKUP(Tableau119[[#This Row],[Key(Compte ILN - shipper - POL - plant)]],'DATA ILN'!A:K,11,FALSE),VLOOKUP(Tableau119[[#This Row],[Key(Compte ILN - shipper - POL)]],'DATA ILN'!B:K,10,FALSE))</f>
        <v>#N/A</v>
      </c>
      <c r="U187" s="50" t="e">
        <f>IFERROR(VLOOKUP(Tableau119[[#This Row],[Key(Compte ILN - shipper - POL - plant)]],'DATA ILN'!A:L,12,FALSE),VLOOKUP(Tableau119[[#This Row],[Key(Compte ILN - shipper - POL)]],'DATA ILN'!B:L,11,FALSE))</f>
        <v>#N/A</v>
      </c>
      <c r="V187" s="50" t="e">
        <f>Tableau119[[#This Row],[Day ILN Order]]+Tableau119[[#This Row],[Delivery time to ILN/Shipper]]-1</f>
        <v>#N/A</v>
      </c>
      <c r="W187" s="50" t="e">
        <f>IFERROR(VLOOKUP(Tableau119[[#This Row],[Key(Compte ILN - shipper - POL - plant)]],'DATA ILN'!A:N,14,FALSE),VLOOKUP(Tableau119[[#This Row],[Key(Compte ILN - shipper - POL)]],'DATA ILN'!B:N,13,FALSE))</f>
        <v>#N/A</v>
      </c>
      <c r="X187" s="53" t="e">
        <f>IFERROR(VLOOKUP(Tableau119[[#This Row],[Key(Compte ILN - shipper - POL - plant)]],'DATA ILN'!A:P,16,FALSE),VLOOKUP(Tableau119[[#This Row],[Key(Compte ILN - shipper - POL)]],'DATA ILN'!B:P,15,FALSE))</f>
        <v>#N/A</v>
      </c>
      <c r="Y187" s="284" t="s">
        <v>161</v>
      </c>
      <c r="Z187" s="437">
        <f>IFERROR(VLOOKUP(Tableau119[[#This Row],[Name Shipper]],Plant_AILN!L:M,2,FALSE),0)</f>
        <v>92050300</v>
      </c>
      <c r="AA187" s="406">
        <v>51</v>
      </c>
      <c r="AB187" s="396" t="b">
        <f>_xlfn.XLOOKUP(Tableau119[[#This Row],[Key(ID-date)]],'DATA BTO'!S:S,'DATA BTO'!E:E,FALSE)</f>
        <v>0</v>
      </c>
      <c r="AC187" s="3" t="b">
        <f>_xlfn.XLOOKUP(Tableau119[[#This Row],[Key(ID-date)]],'DATA BTO'!S:S,'DATA BTO'!F:F,FALSE)</f>
        <v>0</v>
      </c>
      <c r="AD187" s="50" t="b">
        <f>_xlfn.XLOOKUP(Tableau119[[#This Row],[Key(ID-date)]],'DATA BTO'!S:S,'DATA BTO'!G:G,FALSE)</f>
        <v>0</v>
      </c>
      <c r="AE187" s="50" t="b">
        <f>_xlfn.XLOOKUP(Tableau119[[#This Row],[Key(ID-date)]],'DATA BTO'!S:S,'DATA BTO'!H:H,FALSE)</f>
        <v>0</v>
      </c>
      <c r="AF187" s="50" t="e">
        <f>IF(Tableau119[[#This Row],[First Day to POL]]&lt;=Tableau119[[#This Row],[Day Cut Off]],Tableau119[[#This Row],[Day ETD]],Tableau119[[#This Row],[Day ETD]]+7)</f>
        <v>#N/A</v>
      </c>
      <c r="AG187" s="50" t="b">
        <f>_xlfn.XLOOKUP(Tableau119[[#This Row],[Key(ID-date)]],'DATA BTO'!S:S,'DATA BTO'!I:I,FALSE)</f>
        <v>0</v>
      </c>
      <c r="AH187" s="3" t="b">
        <f>_xlfn.XLOOKUP(Tableau119[[#This Row],[Key(ID-date)]],'DATA BTO'!S:S,'DATA BTO'!J:J,FALSE)</f>
        <v>0</v>
      </c>
      <c r="AI187" s="3" t="b">
        <f>_xlfn.XLOOKUP(Tableau119[[#This Row],[Key(ID-date)]],'DATA BTO'!S:S,'DATA BTO'!K:K,FALSE)</f>
        <v>0</v>
      </c>
      <c r="AJ187" s="50" t="b">
        <f>_xlfn.XLOOKUP(Tableau119[[#This Row],[Key(ID-date)]],'DATA BTO'!S:S,'DATA BTO'!L:L,FALSE)</f>
        <v>0</v>
      </c>
      <c r="AK187" s="53" t="b">
        <f>_xlfn.XLOOKUP(Tableau119[[#This Row],[Key(ID-date)]],'DATA BTO'!S:S,'DATA BTO'!N:N,FALSE)</f>
        <v>0</v>
      </c>
      <c r="AL187" s="54" t="e">
        <f>VLOOKUP(Tableau119[[#This Row],[Key(POD -PFI- Usine)]],'DATA Consignee'!A:F,6,FALSE)</f>
        <v>#N/A</v>
      </c>
      <c r="AM187" s="127"/>
      <c r="AN187" s="438" t="str">
        <f>IF(Tableau119[[#This Row],[Name PFI/CDD]]="","-",VLOOKUP(Tableau119[[#This Row],[Name PFI/CDD]],Plant_AILN!I:J,2,FALSE))</f>
        <v>-</v>
      </c>
      <c r="AO1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7" s="2" t="e">
        <f>VLOOKUP(Tableau119[[#This Row],[Key(POD -PFI- Usine)]],'DATA Consignee'!A:J,10,FALSE)</f>
        <v>#N/A</v>
      </c>
      <c r="AR187" s="50" t="e">
        <f>VLOOKUP(Tableau119[[#This Row],[Key(POD -PFI- Usine)]],'DATA Consignee'!A:N,14,FALSE)</f>
        <v>#N/A</v>
      </c>
      <c r="AS1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7" s="50">
        <f>Tableau119[[#This Row],[Transit time]]+Tableau119[[#This Row],[Time for security]]+Tableau119[[#This Row],[Time for security2 buffer]]</f>
        <v>0</v>
      </c>
      <c r="AV1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7" s="433" t="e">
        <f>Tableau119[[#This Row],[Leadtime SI2C]]+Tableau119[[#This Row],[First Receipt Days]]-Tableau119[[#This Row],[Day Customer Order]]+1</f>
        <v>#N/A</v>
      </c>
      <c r="AX187" s="119" t="e">
        <f>IF(Tableau119[[#This Row],[Name ILN]]&lt;&gt;"SFK Freight Forwarder",Tableau119[[#This Row],[Cust. Leadtime]],Tableau119[[#This Row],[Leadtime SI2C]])</f>
        <v>#N/A</v>
      </c>
      <c r="AY187" s="51" t="b">
        <f>_xlfn.XLOOKUP(Tableau119[[#This Row],[Key(ID-date)]],'DATA BTO'!S:S,'DATA BTO'!P:P,FALSE)</f>
        <v>0</v>
      </c>
      <c r="AZ187" s="338">
        <v>46142</v>
      </c>
      <c r="BA187" s="50"/>
    </row>
    <row r="188" spans="2:53">
      <c r="B188" s="474" t="str">
        <f>_xlfn.CONCAT(Tableau119[[#This Row],[Name ILN]],"-",Tableau119[[#This Row],[Name Shipper]],"-",Tableau119[[#This Row],[Name Site]])</f>
        <v>ILN Tanger-ILN Tanger-CORDOBA</v>
      </c>
      <c r="C188" s="67" t="str">
        <f>_xlfn.CONCAT(Tableau119[[#This Row],[Compte ILN]],"-",Tableau119[[#This Row],[Compte Shipper]],"-",Tableau119[[#This Row],[POL]],"-",Tableau119[[#This Row],[Compte Consignee]])</f>
        <v>92050300-92050300-FALSO-90016000</v>
      </c>
      <c r="D188" s="66" t="str">
        <f>_xlfn.CONCAT(Tableau119[[#This Row],[Compte ILN]],"-",Tableau119[[#This Row],[Compte Shipper]],"-",Tableau119[[#This Row],[POL]])</f>
        <v>92050300-92050300-FALSO</v>
      </c>
      <c r="E188" s="434" t="str">
        <f>_xlfn.CONCAT(Tableau119[[#This Row],[POL]],"-",Tableau119[[#This Row],[Carrier]],"-",Tableau119[[#This Row],[POD]])</f>
        <v>FALSO-FALSO-FALSO</v>
      </c>
      <c r="F188" s="66" t="str">
        <f>_xlfn.CONCAT(Tableau119[[#This Row],[ID]],"-","Actif")</f>
        <v>51-Actif</v>
      </c>
      <c r="G188" s="66" t="str">
        <f>_xlfn.CONCAT(Tableau119[[#This Row],[POD]],"-",Tableau119[[#This Row],[Code PFI]],"-",Tableau119[[#This Row],[Compte Consignee]])</f>
        <v>FALSO---90016000</v>
      </c>
      <c r="H188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TangerFALSOCORDOBA</v>
      </c>
      <c r="I188" s="434" t="str">
        <f>_xlfn.CONCAT(Tableau119[[#This Row],[ID]],"-",Tableau119[[#This Row],[Expiration Date]])</f>
        <v>51-45473</v>
      </c>
      <c r="J1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Tanger-ILN Tanger-51-FALSO-FALSO-FALSO--45473</v>
      </c>
      <c r="K188" s="435" t="str">
        <f ca="1">IF(COUNTIF(J:J,Tableau119[[#This Row],[Plant-ILN-shipper-POL-Carrier-POD-PFI]])=1,"Non","Oui")</f>
        <v>Non</v>
      </c>
      <c r="L188" s="128" t="str">
        <f>VLOOKUP(Tableau119[[#This Row],[Name Site]],Plant_AILN!A:D,4,FALSE)</f>
        <v>ARGENTINA</v>
      </c>
      <c r="M188" s="411" t="s">
        <v>158</v>
      </c>
      <c r="N188" s="439">
        <f>VLOOKUP(Tableau119[[#This Row],[Name Site]],Plant_AILN!A:C,3,FALSE)</f>
        <v>90016000</v>
      </c>
      <c r="O188" s="55">
        <f>VLOOKUP(Tableau119[[#This Row],[Compte Consignee]],Order!C:D,2,FALSE)</f>
        <v>7</v>
      </c>
      <c r="P188" s="124" t="s">
        <v>161</v>
      </c>
      <c r="Q188" s="365">
        <f>VLOOKUP(Tableau119[[#This Row],[Name ILN]],Plant_AILN!F:G,2,FALSE)</f>
        <v>92050300</v>
      </c>
      <c r="R188" s="50">
        <f>VLOOKUP(Tableau119[[#This Row],[Compte ILN]],'DATA ILN'!D:I,6,FALSE)</f>
        <v>9</v>
      </c>
      <c r="S188" s="50" t="e">
        <f>IFERROR(VLOOKUP(Tableau119[[#This Row],[Key(Compte ILN - shipper - POL - plant)]],'DATA ILN'!A:J,10,FALSE),VLOOKUP(Tableau119[[#This Row],[Key(Compte ILN - shipper - POL)]],'DATA ILN'!B:J,9,FALSE))</f>
        <v>#N/A</v>
      </c>
      <c r="T188" s="50" t="e">
        <f>IFERROR(VLOOKUP(Tableau119[[#This Row],[Key(Compte ILN - shipper - POL - plant)]],'DATA ILN'!A:K,11,FALSE),VLOOKUP(Tableau119[[#This Row],[Key(Compte ILN - shipper - POL)]],'DATA ILN'!B:K,10,FALSE))</f>
        <v>#N/A</v>
      </c>
      <c r="U188" s="50" t="e">
        <f>IFERROR(VLOOKUP(Tableau119[[#This Row],[Key(Compte ILN - shipper - POL - plant)]],'DATA ILN'!A:L,12,FALSE),VLOOKUP(Tableau119[[#This Row],[Key(Compte ILN - shipper - POL)]],'DATA ILN'!B:L,11,FALSE))</f>
        <v>#N/A</v>
      </c>
      <c r="V188" s="50" t="e">
        <f>Tableau119[[#This Row],[Day ILN Order]]+Tableau119[[#This Row],[Delivery time to ILN/Shipper]]-1</f>
        <v>#N/A</v>
      </c>
      <c r="W188" s="50" t="e">
        <f>IFERROR(VLOOKUP(Tableau119[[#This Row],[Key(Compte ILN - shipper - POL - plant)]],'DATA ILN'!A:N,14,FALSE),VLOOKUP(Tableau119[[#This Row],[Key(Compte ILN - shipper - POL)]],'DATA ILN'!B:N,13,FALSE))</f>
        <v>#N/A</v>
      </c>
      <c r="X188" s="53" t="e">
        <f>IFERROR(VLOOKUP(Tableau119[[#This Row],[Key(Compte ILN - shipper - POL - plant)]],'DATA ILN'!A:P,16,FALSE),VLOOKUP(Tableau119[[#This Row],[Key(Compte ILN - shipper - POL)]],'DATA ILN'!B:P,15,FALSE))</f>
        <v>#N/A</v>
      </c>
      <c r="Y188" s="284" t="s">
        <v>161</v>
      </c>
      <c r="Z188" s="437">
        <f>IFERROR(VLOOKUP(Tableau119[[#This Row],[Name Shipper]],Plant_AILN!L:M,2,FALSE),0)</f>
        <v>92050300</v>
      </c>
      <c r="AA188" s="406">
        <v>51</v>
      </c>
      <c r="AB188" s="396" t="b">
        <f>_xlfn.XLOOKUP(Tableau119[[#This Row],[Key(ID-date)]],'DATA BTO'!S:S,'DATA BTO'!E:E,FALSE)</f>
        <v>0</v>
      </c>
      <c r="AC188" s="3" t="b">
        <f>_xlfn.XLOOKUP(Tableau119[[#This Row],[Key(ID-date)]],'DATA BTO'!S:S,'DATA BTO'!F:F,FALSE)</f>
        <v>0</v>
      </c>
      <c r="AD188" s="50" t="b">
        <f>_xlfn.XLOOKUP(Tableau119[[#This Row],[Key(ID-date)]],'DATA BTO'!S:S,'DATA BTO'!G:G,FALSE)</f>
        <v>0</v>
      </c>
      <c r="AE188" s="50" t="b">
        <f>_xlfn.XLOOKUP(Tableau119[[#This Row],[Key(ID-date)]],'DATA BTO'!S:S,'DATA BTO'!H:H,FALSE)</f>
        <v>0</v>
      </c>
      <c r="AF188" s="50" t="e">
        <f>IF(Tableau119[[#This Row],[First Day to POL]]&lt;=Tableau119[[#This Row],[Day Cut Off]],Tableau119[[#This Row],[Day ETD]],Tableau119[[#This Row],[Day ETD]]+7)</f>
        <v>#N/A</v>
      </c>
      <c r="AG188" s="50" t="b">
        <f>_xlfn.XLOOKUP(Tableau119[[#This Row],[Key(ID-date)]],'DATA BTO'!S:S,'DATA BTO'!I:I,FALSE)</f>
        <v>0</v>
      </c>
      <c r="AH188" s="3" t="b">
        <f>_xlfn.XLOOKUP(Tableau119[[#This Row],[Key(ID-date)]],'DATA BTO'!S:S,'DATA BTO'!J:J,FALSE)</f>
        <v>0</v>
      </c>
      <c r="AI188" s="3" t="b">
        <f>_xlfn.XLOOKUP(Tableau119[[#This Row],[Key(ID-date)]],'DATA BTO'!S:S,'DATA BTO'!K:K,FALSE)</f>
        <v>0</v>
      </c>
      <c r="AJ188" s="50" t="b">
        <f>_xlfn.XLOOKUP(Tableau119[[#This Row],[Key(ID-date)]],'DATA BTO'!S:S,'DATA BTO'!L:L,FALSE)</f>
        <v>0</v>
      </c>
      <c r="AK188" s="53" t="b">
        <f>_xlfn.XLOOKUP(Tableau119[[#This Row],[Key(ID-date)]],'DATA BTO'!S:S,'DATA BTO'!N:N,FALSE)</f>
        <v>0</v>
      </c>
      <c r="AL188" s="54" t="e">
        <f>VLOOKUP(Tableau119[[#This Row],[Key(POD -PFI- Usine)]],'DATA Consignee'!A:F,6,FALSE)</f>
        <v>#N/A</v>
      </c>
      <c r="AM188" s="127"/>
      <c r="AN188" s="438" t="str">
        <f>IF(Tableau119[[#This Row],[Name PFI/CDD]]="","-",VLOOKUP(Tableau119[[#This Row],[Name PFI/CDD]],Plant_AILN!I:J,2,FALSE))</f>
        <v>-</v>
      </c>
      <c r="AO18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8" s="2" t="e">
        <f>VLOOKUP(Tableau119[[#This Row],[Key(POD -PFI- Usine)]],'DATA Consignee'!A:J,10,FALSE)</f>
        <v>#N/A</v>
      </c>
      <c r="AR188" s="50" t="e">
        <f>VLOOKUP(Tableau119[[#This Row],[Key(POD -PFI- Usine)]],'DATA Consignee'!A:N,14,FALSE)</f>
        <v>#N/A</v>
      </c>
      <c r="AS18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8" s="50">
        <f>Tableau119[[#This Row],[Transit time]]+Tableau119[[#This Row],[Time for security]]+Tableau119[[#This Row],[Time for security2 buffer]]</f>
        <v>0</v>
      </c>
      <c r="AV1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8" s="433" t="e">
        <f>Tableau119[[#This Row],[Leadtime SI2C]]+Tableau119[[#This Row],[First Receipt Days]]-Tableau119[[#This Row],[Day Customer Order]]+1</f>
        <v>#N/A</v>
      </c>
      <c r="AX188" s="119" t="e">
        <f>IF(Tableau119[[#This Row],[Name ILN]]&lt;&gt;"SFK Freight Forwarder",Tableau119[[#This Row],[Cust. Leadtime]],Tableau119[[#This Row],[Leadtime SI2C]])</f>
        <v>#N/A</v>
      </c>
      <c r="AY188" s="51" t="b">
        <f>_xlfn.XLOOKUP(Tableau119[[#This Row],[Key(ID-date)]],'DATA BTO'!S:S,'DATA BTO'!P:P,FALSE)</f>
        <v>0</v>
      </c>
      <c r="AZ188" s="338">
        <v>45473</v>
      </c>
      <c r="BA188" s="50"/>
    </row>
    <row r="189" spans="2:53">
      <c r="B189" s="474" t="str">
        <f>_xlfn.CONCAT(Tableau119[[#This Row],[Name ILN]],"-",Tableau119[[#This Row],[Name Shipper]],"-",Tableau119[[#This Row],[Name Site]])</f>
        <v>ILN Tanger-ILN Tanger-CORDOBA</v>
      </c>
      <c r="C189" s="67" t="str">
        <f>_xlfn.CONCAT(Tableau119[[#This Row],[Compte ILN]],"-",Tableau119[[#This Row],[Compte Shipper]],"-",Tableau119[[#This Row],[POL]],"-",Tableau119[[#This Row],[Compte Consignee]])</f>
        <v>92050300-92050300-FALSO-90016000</v>
      </c>
      <c r="D189" s="66" t="str">
        <f>_xlfn.CONCAT(Tableau119[[#This Row],[Compte ILN]],"-",Tableau119[[#This Row],[Compte Shipper]],"-",Tableau119[[#This Row],[POL]])</f>
        <v>92050300-92050300-FALSO</v>
      </c>
      <c r="E189" s="434" t="str">
        <f>_xlfn.CONCAT(Tableau119[[#This Row],[POL]],"-",Tableau119[[#This Row],[Carrier]],"-",Tableau119[[#This Row],[POD]])</f>
        <v>FALSO-FALSO-FALSO</v>
      </c>
      <c r="F189" s="66" t="str">
        <f>_xlfn.CONCAT(Tableau119[[#This Row],[ID]],"-","Actif")</f>
        <v>51-Actif</v>
      </c>
      <c r="G189" s="66" t="str">
        <f>_xlfn.CONCAT(Tableau119[[#This Row],[POD]],"-",Tableau119[[#This Row],[Code PFI]],"-",Tableau119[[#This Row],[Compte Consignee]])</f>
        <v>FALSO---90016000</v>
      </c>
      <c r="H189" s="434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TangerFALSOCORDOBA</v>
      </c>
      <c r="I189" s="434" t="str">
        <f>_xlfn.CONCAT(Tableau119[[#This Row],[ID]],"-",Tableau119[[#This Row],[Expiration Date]])</f>
        <v>51-45412</v>
      </c>
      <c r="J1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Tanger-ILN Tanger-51-FALSO-FALSO-FALSO--45412</v>
      </c>
      <c r="K189" s="435" t="str">
        <f ca="1">IF(COUNTIF(J:J,Tableau119[[#This Row],[Plant-ILN-shipper-POL-Carrier-POD-PFI]])=1,"Non","Oui")</f>
        <v>Non</v>
      </c>
      <c r="L189" s="128" t="str">
        <f>VLOOKUP(Tableau119[[#This Row],[Name Site]],Plant_AILN!A:D,4,FALSE)</f>
        <v>ARGENTINA</v>
      </c>
      <c r="M189" s="411" t="s">
        <v>158</v>
      </c>
      <c r="N189" s="439">
        <f>VLOOKUP(Tableau119[[#This Row],[Name Site]],Plant_AILN!A:C,3,FALSE)</f>
        <v>90016000</v>
      </c>
      <c r="O189" s="55">
        <f>VLOOKUP(Tableau119[[#This Row],[Compte Consignee]],Order!C:D,2,FALSE)</f>
        <v>7</v>
      </c>
      <c r="P189" s="124" t="s">
        <v>161</v>
      </c>
      <c r="Q189" s="365">
        <f>VLOOKUP(Tableau119[[#This Row],[Name ILN]],Plant_AILN!F:G,2,FALSE)</f>
        <v>92050300</v>
      </c>
      <c r="R189" s="50">
        <f>VLOOKUP(Tableau119[[#This Row],[Compte ILN]],'DATA ILN'!D:I,6,FALSE)</f>
        <v>9</v>
      </c>
      <c r="S189" s="50" t="e">
        <f>IFERROR(VLOOKUP(Tableau119[[#This Row],[Key(Compte ILN - shipper - POL - plant)]],'DATA ILN'!A:J,10,FALSE),VLOOKUP(Tableau119[[#This Row],[Key(Compte ILN - shipper - POL)]],'DATA ILN'!B:J,9,FALSE))</f>
        <v>#N/A</v>
      </c>
      <c r="T189" s="50" t="e">
        <f>IFERROR(VLOOKUP(Tableau119[[#This Row],[Key(Compte ILN - shipper - POL - plant)]],'DATA ILN'!A:K,11,FALSE),VLOOKUP(Tableau119[[#This Row],[Key(Compte ILN - shipper - POL)]],'DATA ILN'!B:K,10,FALSE))</f>
        <v>#N/A</v>
      </c>
      <c r="U189" s="50" t="e">
        <f>IFERROR(VLOOKUP(Tableau119[[#This Row],[Key(Compte ILN - shipper - POL - plant)]],'DATA ILN'!A:L,12,FALSE),VLOOKUP(Tableau119[[#This Row],[Key(Compte ILN - shipper - POL)]],'DATA ILN'!B:L,11,FALSE))</f>
        <v>#N/A</v>
      </c>
      <c r="V189" s="50" t="e">
        <f>Tableau119[[#This Row],[Day ILN Order]]+Tableau119[[#This Row],[Delivery time to ILN/Shipper]]-1</f>
        <v>#N/A</v>
      </c>
      <c r="W189" s="50" t="e">
        <f>IFERROR(VLOOKUP(Tableau119[[#This Row],[Key(Compte ILN - shipper - POL - plant)]],'DATA ILN'!A:N,14,FALSE),VLOOKUP(Tableau119[[#This Row],[Key(Compte ILN - shipper - POL)]],'DATA ILN'!B:N,13,FALSE))</f>
        <v>#N/A</v>
      </c>
      <c r="X189" s="53" t="e">
        <f>IFERROR(VLOOKUP(Tableau119[[#This Row],[Key(Compte ILN - shipper - POL - plant)]],'DATA ILN'!A:P,16,FALSE),VLOOKUP(Tableau119[[#This Row],[Key(Compte ILN - shipper - POL)]],'DATA ILN'!B:P,15,FALSE))</f>
        <v>#N/A</v>
      </c>
      <c r="Y189" s="284" t="s">
        <v>161</v>
      </c>
      <c r="Z189" s="437">
        <f>IFERROR(VLOOKUP(Tableau119[[#This Row],[Name Shipper]],Plant_AILN!L:M,2,FALSE),0)</f>
        <v>92050300</v>
      </c>
      <c r="AA189" s="406">
        <v>51</v>
      </c>
      <c r="AB189" s="396" t="b">
        <f>_xlfn.XLOOKUP(Tableau119[[#This Row],[Key(ID-date)]],'DATA BTO'!S:S,'DATA BTO'!E:E,FALSE)</f>
        <v>0</v>
      </c>
      <c r="AC189" s="3" t="b">
        <f>_xlfn.XLOOKUP(Tableau119[[#This Row],[Key(ID-date)]],'DATA BTO'!S:S,'DATA BTO'!F:F,FALSE)</f>
        <v>0</v>
      </c>
      <c r="AD189" s="50" t="b">
        <f>_xlfn.XLOOKUP(Tableau119[[#This Row],[Key(ID-date)]],'DATA BTO'!S:S,'DATA BTO'!G:G,FALSE)</f>
        <v>0</v>
      </c>
      <c r="AE189" s="50" t="b">
        <f>_xlfn.XLOOKUP(Tableau119[[#This Row],[Key(ID-date)]],'DATA BTO'!S:S,'DATA BTO'!H:H,FALSE)</f>
        <v>0</v>
      </c>
      <c r="AF189" s="50" t="e">
        <f>IF(Tableau119[[#This Row],[First Day to POL]]&lt;=Tableau119[[#This Row],[Day Cut Off]],Tableau119[[#This Row],[Day ETD]],Tableau119[[#This Row],[Day ETD]]+7)</f>
        <v>#N/A</v>
      </c>
      <c r="AG189" s="50" t="b">
        <f>_xlfn.XLOOKUP(Tableau119[[#This Row],[Key(ID-date)]],'DATA BTO'!S:S,'DATA BTO'!I:I,FALSE)</f>
        <v>0</v>
      </c>
      <c r="AH189" s="3" t="b">
        <f>_xlfn.XLOOKUP(Tableau119[[#This Row],[Key(ID-date)]],'DATA BTO'!S:S,'DATA BTO'!J:J,FALSE)</f>
        <v>0</v>
      </c>
      <c r="AI189" s="3" t="b">
        <f>_xlfn.XLOOKUP(Tableau119[[#This Row],[Key(ID-date)]],'DATA BTO'!S:S,'DATA BTO'!K:K,FALSE)</f>
        <v>0</v>
      </c>
      <c r="AJ189" s="50" t="b">
        <f>_xlfn.XLOOKUP(Tableau119[[#This Row],[Key(ID-date)]],'DATA BTO'!S:S,'DATA BTO'!L:L,FALSE)</f>
        <v>0</v>
      </c>
      <c r="AK189" s="53" t="b">
        <f>_xlfn.XLOOKUP(Tableau119[[#This Row],[Key(ID-date)]],'DATA BTO'!S:S,'DATA BTO'!N:N,FALSE)</f>
        <v>0</v>
      </c>
      <c r="AL189" s="54" t="e">
        <f>VLOOKUP(Tableau119[[#This Row],[Key(POD -PFI- Usine)]],'DATA Consignee'!A:F,6,FALSE)</f>
        <v>#N/A</v>
      </c>
      <c r="AM189" s="127"/>
      <c r="AN189" s="438" t="str">
        <f>IF(Tableau119[[#This Row],[Name PFI/CDD]]="","-",VLOOKUP(Tableau119[[#This Row],[Name PFI/CDD]],Plant_AILN!I:J,2,FALSE))</f>
        <v>-</v>
      </c>
      <c r="AO1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89" s="2" t="e">
        <f>VLOOKUP(Tableau119[[#This Row],[Key(POD -PFI- Usine)]],'DATA Consignee'!A:J,10,FALSE)</f>
        <v>#N/A</v>
      </c>
      <c r="AR189" s="50" t="e">
        <f>VLOOKUP(Tableau119[[#This Row],[Key(POD -PFI- Usine)]],'DATA Consignee'!A:N,14,FALSE)</f>
        <v>#N/A</v>
      </c>
      <c r="AS1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89" s="50">
        <f>Tableau119[[#This Row],[Transit time]]+Tableau119[[#This Row],[Time for security]]+Tableau119[[#This Row],[Time for security2 buffer]]</f>
        <v>0</v>
      </c>
      <c r="AV1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89" s="433" t="e">
        <f>Tableau119[[#This Row],[Leadtime SI2C]]+Tableau119[[#This Row],[First Receipt Days]]-Tableau119[[#This Row],[Day Customer Order]]+1</f>
        <v>#N/A</v>
      </c>
      <c r="AX189" s="119" t="e">
        <f>IF(Tableau119[[#This Row],[Name ILN]]&lt;&gt;"SFK Freight Forwarder",Tableau119[[#This Row],[Cust. Leadtime]],Tableau119[[#This Row],[Leadtime SI2C]])</f>
        <v>#N/A</v>
      </c>
      <c r="AY189" s="51" t="b">
        <f>_xlfn.XLOOKUP(Tableau119[[#This Row],[Key(ID-date)]],'DATA BTO'!S:S,'DATA BTO'!P:P,FALSE)</f>
        <v>0</v>
      </c>
      <c r="AZ189" s="338">
        <v>45412</v>
      </c>
      <c r="BA189" s="50"/>
    </row>
    <row r="190" spans="2:53">
      <c r="B190" s="67" t="str">
        <f>_xlfn.CONCAT(Tableau119[[#This Row],[Name ILN]],"-",Tableau119[[#This Row],[Name Shipper]],"-",Tableau119[[#This Row],[Name Site]])</f>
        <v>SFK Freight Forwarder-HIGHLY MARELLI MALAYSIA SDN. BHD.-CORDOBA</v>
      </c>
      <c r="C190" s="67" t="str">
        <f>_xlfn.CONCAT(Tableau119[[#This Row],[Compte ILN]],"-",Tableau119[[#This Row],[Compte Shipper]],"-",Tableau119[[#This Row],[POL]],"-",Tableau119[[#This Row],[Compte Consignee]])</f>
        <v>0-27002800-FALSO-90016000</v>
      </c>
      <c r="D190" s="82" t="str">
        <f>_xlfn.CONCAT(Tableau119[[#This Row],[Compte ILN]],"-",Tableau119[[#This Row],[Compte Shipper]],"-",Tableau119[[#This Row],[POL]])</f>
        <v>0-27002800-FALSO</v>
      </c>
      <c r="E190" s="83" t="str">
        <f>_xlfn.CONCAT(Tableau119[[#This Row],[POL]],"-",Tableau119[[#This Row],[Carrier]],"-",Tableau119[[#This Row],[POD]])</f>
        <v>FALSO-FALSO-FALSO</v>
      </c>
      <c r="F190" s="82" t="str">
        <f>_xlfn.CONCAT(Tableau119[[#This Row],[ID]],"-","Actif")</f>
        <v>56-Actif</v>
      </c>
      <c r="G190" s="82" t="str">
        <f>_xlfn.CONCAT(Tableau119[[#This Row],[POD]],"-",Tableau119[[#This Row],[Code PFI]],"-",Tableau119[[#This Row],[Compte Consignee]])</f>
        <v>FALSO---90016000</v>
      </c>
      <c r="H19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27002800FALSOCORDOBA</v>
      </c>
      <c r="I190" s="502" t="str">
        <f>_xlfn.CONCAT(Tableau119[[#This Row],[ID]],"-",Tableau119[[#This Row],[Expiration Date]])</f>
        <v>56-46142</v>
      </c>
      <c r="J1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Forwarder-HIGHLY MARELLI MALAYSIA SDN. BHD.-56-FALSO-FALSO-FALSO--46142</v>
      </c>
      <c r="K190" s="435" t="str">
        <f ca="1">IF(COUNTIF(J:J,Tableau119[[#This Row],[Plant-ILN-shipper-POL-Carrier-POD-PFI]])=1,"Non","Oui")</f>
        <v>Non</v>
      </c>
      <c r="L190" s="436" t="str">
        <f>VLOOKUP(Tableau119[[#This Row],[Name Site]],Plant_AILN!A:D,4,FALSE)</f>
        <v>ARGENTINA</v>
      </c>
      <c r="M190" s="285" t="s">
        <v>158</v>
      </c>
      <c r="N190" s="439">
        <f>VLOOKUP(Tableau119[[#This Row],[Name Site]],Plant_AILN!A:C,3,FALSE)</f>
        <v>90016000</v>
      </c>
      <c r="O190" s="55">
        <f>IF(Tableau119[[#This Row],[Name PFI/CDD]]="PFI VLL",2,VLOOKUP(Tableau119[[#This Row],[Compte Consignee]],Order!C:D,2,FALSE))</f>
        <v>7</v>
      </c>
      <c r="P190" s="124" t="s">
        <v>146</v>
      </c>
      <c r="Q190" s="365">
        <f>VLOOKUP(Tableau119[[#This Row],[Name ILN]],Plant_AILN!F:G,2,FALSE)</f>
        <v>0</v>
      </c>
      <c r="R190" s="50">
        <f>VLOOKUP(Tableau119[[#This Row],[Compte ILN]],'DATA ILN'!D:I,6,FALSE)</f>
        <v>9</v>
      </c>
      <c r="S190" s="50" t="e">
        <f>IFERROR(VLOOKUP(Tableau119[[#This Row],[Key(Compte ILN - shipper - POL - plant)]],'DATA ILN'!A:J,10,FALSE),VLOOKUP(Tableau119[[#This Row],[Key(Compte ILN - shipper - POL)]],'DATA ILN'!B:J,9,FALSE))</f>
        <v>#N/A</v>
      </c>
      <c r="T190" s="50" t="e">
        <f>IFERROR(VLOOKUP(Tableau119[[#This Row],[Key(Compte ILN - shipper - POL - plant)]],'DATA ILN'!A:K,11,FALSE),VLOOKUP(Tableau119[[#This Row],[Key(Compte ILN - shipper - POL)]],'DATA ILN'!B:K,10,FALSE))</f>
        <v>#N/A</v>
      </c>
      <c r="U190" s="50" t="e">
        <f>IFERROR(VLOOKUP(Tableau119[[#This Row],[Key(Compte ILN - shipper - POL - plant)]],'DATA ILN'!A:L,12,FALSE),VLOOKUP(Tableau119[[#This Row],[Key(Compte ILN - shipper - POL)]],'DATA ILN'!B:L,11,FALSE))</f>
        <v>#N/A</v>
      </c>
      <c r="V190" s="50" t="e">
        <f>Tableau119[[#This Row],[Day ILN Order]]+Tableau119[[#This Row],[Delivery time to ILN/Shipper]]-1</f>
        <v>#N/A</v>
      </c>
      <c r="W190" s="50" t="e">
        <f>IFERROR(VLOOKUP(Tableau119[[#This Row],[Key(Compte ILN - shipper - POL - plant)]],'DATA ILN'!A:N,14,FALSE),VLOOKUP(Tableau119[[#This Row],[Key(Compte ILN - shipper - POL)]],'DATA ILN'!B:N,13,FALSE))</f>
        <v>#N/A</v>
      </c>
      <c r="X190" s="53" t="e">
        <f>IFERROR(VLOOKUP(Tableau119[[#This Row],[Key(Compte ILN - shipper - POL - plant)]],'DATA ILN'!A:P,16,FALSE),VLOOKUP(Tableau119[[#This Row],[Key(Compte ILN - shipper - POL)]],'DATA ILN'!B:P,15,FALSE))</f>
        <v>#N/A</v>
      </c>
      <c r="Y190" s="284" t="s">
        <v>322</v>
      </c>
      <c r="Z190" s="437">
        <f>IFERROR(VLOOKUP(Tableau119[[#This Row],[Name Shipper]],Plant_AILN!L:M,2,FALSE),0)</f>
        <v>27002800</v>
      </c>
      <c r="AA190" s="406">
        <v>56</v>
      </c>
      <c r="AB190" s="396" t="b">
        <f>_xlfn.XLOOKUP(Tableau119[[#This Row],[Key(ID-date)]],'DATA BTO'!S:S,'DATA BTO'!E:E,FALSE)</f>
        <v>0</v>
      </c>
      <c r="AC190" s="3" t="b">
        <f>_xlfn.XLOOKUP(Tableau119[[#This Row],[Key(ID-date)]],'DATA BTO'!S:S,'DATA BTO'!F:F,FALSE)</f>
        <v>0</v>
      </c>
      <c r="AD190" s="50" t="b">
        <f>_xlfn.XLOOKUP(Tableau119[[#This Row],[Key(ID-date)]],'DATA BTO'!S:S,'DATA BTO'!G:G,FALSE)</f>
        <v>0</v>
      </c>
      <c r="AE190" s="50" t="b">
        <f>_xlfn.XLOOKUP(Tableau119[[#This Row],[Key(ID-date)]],'DATA BTO'!S:S,'DATA BTO'!H:H,FALSE)</f>
        <v>0</v>
      </c>
      <c r="AF190" s="50" t="e">
        <f>IF(Tableau119[[#This Row],[First Day to POL]]&lt;=Tableau119[[#This Row],[Day Cut Off]],Tableau119[[#This Row],[Day ETD]],Tableau119[[#This Row],[Day ETD]]+7)</f>
        <v>#N/A</v>
      </c>
      <c r="AG190" s="50" t="b">
        <f>_xlfn.XLOOKUP(Tableau119[[#This Row],[Key(ID-date)]],'DATA BTO'!S:S,'DATA BTO'!I:I,FALSE)</f>
        <v>0</v>
      </c>
      <c r="AH190" s="3" t="b">
        <f>_xlfn.XLOOKUP(Tableau119[[#This Row],[Key(ID-date)]],'DATA BTO'!S:S,'DATA BTO'!J:J,FALSE)</f>
        <v>0</v>
      </c>
      <c r="AI190" s="3" t="b">
        <f>_xlfn.XLOOKUP(Tableau119[[#This Row],[Key(ID-date)]],'DATA BTO'!S:S,'DATA BTO'!K:K,FALSE)</f>
        <v>0</v>
      </c>
      <c r="AJ190" s="50" t="b">
        <f>_xlfn.XLOOKUP(Tableau119[[#This Row],[Key(ID-date)]],'DATA BTO'!S:S,'DATA BTO'!L:L,FALSE)</f>
        <v>0</v>
      </c>
      <c r="AK190" s="53" t="b">
        <f>_xlfn.XLOOKUP(Tableau119[[#This Row],[Key(ID-date)]],'DATA BTO'!S:S,'DATA BTO'!N:N,FALSE)</f>
        <v>0</v>
      </c>
      <c r="AL190" s="54" t="e">
        <f>VLOOKUP(Tableau119[[#This Row],[Key(POD -PFI- Usine)]],'DATA Consignee'!A:F,6,FALSE)</f>
        <v>#N/A</v>
      </c>
      <c r="AM190" s="127"/>
      <c r="AN190" s="438" t="str">
        <f>IF(Tableau119[[#This Row],[Name PFI/CDD]]="","-",VLOOKUP(Tableau119[[#This Row],[Name PFI/CDD]],Plant_AILN!I:J,2,FALSE))</f>
        <v>-</v>
      </c>
      <c r="AO1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0" s="2" t="e">
        <f>VLOOKUP(Tableau119[[#This Row],[Key(POD -PFI- Usine)]],'DATA Consignee'!A:J,10,FALSE)</f>
        <v>#N/A</v>
      </c>
      <c r="AR190" s="50" t="e">
        <f>VLOOKUP(Tableau119[[#This Row],[Key(POD -PFI- Usine)]],'DATA Consignee'!A:N,14,FALSE)</f>
        <v>#N/A</v>
      </c>
      <c r="AS1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0" s="50">
        <f>Tableau119[[#This Row],[Transit time]]+Tableau119[[#This Row],[Time for security]]+Tableau119[[#This Row],[Time for security2 buffer]]</f>
        <v>0</v>
      </c>
      <c r="AV1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0" s="433" t="e">
        <f>Tableau119[[#This Row],[Leadtime SI2C]]+Tableau119[[#This Row],[First Receipt Days]]-Tableau119[[#This Row],[Day Customer Order]]+1</f>
        <v>#N/A</v>
      </c>
      <c r="AX190" s="119" t="e">
        <f>IF(Tableau119[[#This Row],[Name ILN]]&lt;&gt;"SFK Freight Forwarder",Tableau119[[#This Row],[Cust. Leadtime]],Tableau119[[#This Row],[Leadtime SI2C]])</f>
        <v>#N/A</v>
      </c>
      <c r="AY190" s="51" t="b">
        <f>_xlfn.XLOOKUP(Tableau119[[#This Row],[Key(ID-date)]],'DATA BTO'!S:S,'DATA BTO'!P:P,FALSE)</f>
        <v>0</v>
      </c>
      <c r="AZ190" s="338">
        <v>46142</v>
      </c>
      <c r="BA190" s="50"/>
    </row>
    <row r="191" spans="2:53">
      <c r="B191" s="474" t="str">
        <f>_xlfn.CONCAT(Tableau119[[#This Row],[Name ILN]],"-",Tableau119[[#This Row],[Name Shipper]],"-",Tableau119[[#This Row],[Name Site]])</f>
        <v>SFK Freight Forwarder-HIGHLY MARELLI MALAYSIA SDN. BHD.-CORDOBA</v>
      </c>
      <c r="C191" s="67" t="str">
        <f>_xlfn.CONCAT(Tableau119[[#This Row],[Compte ILN]],"-",Tableau119[[#This Row],[Compte Shipper]],"-",Tableau119[[#This Row],[POL]],"-",Tableau119[[#This Row],[Compte Consignee]])</f>
        <v>0-27002800-FALSO-90016000</v>
      </c>
      <c r="D191" s="66" t="str">
        <f>_xlfn.CONCAT(Tableau119[[#This Row],[Compte ILN]],"-",Tableau119[[#This Row],[Compte Shipper]],"-",Tableau119[[#This Row],[POL]])</f>
        <v>0-27002800-FALSO</v>
      </c>
      <c r="E191" s="130" t="str">
        <f>_xlfn.CONCAT(Tableau119[[#This Row],[POL]],"-",Tableau119[[#This Row],[Carrier]],"-",Tableau119[[#This Row],[POD]])</f>
        <v>FALSO-FALSO-FALSO</v>
      </c>
      <c r="F191" s="66" t="str">
        <f>_xlfn.CONCAT(Tableau119[[#This Row],[ID]],"-","Actif")</f>
        <v>56-Actif</v>
      </c>
      <c r="G191" s="66" t="str">
        <f>_xlfn.CONCAT(Tableau119[[#This Row],[POD]],"-",Tableau119[[#This Row],[Code PFI]],"-",Tableau119[[#This Row],[Compte Consignee]])</f>
        <v>FALSO---90016000</v>
      </c>
      <c r="H1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27002800FALSOCORDOBA</v>
      </c>
      <c r="I191" s="434" t="str">
        <f>_xlfn.CONCAT(Tableau119[[#This Row],[ID]],"-",Tableau119[[#This Row],[Expiration Date]])</f>
        <v>56-46022</v>
      </c>
      <c r="J1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Forwarder-HIGHLY MARELLI MALAYSIA SDN. BHD.-56-FALSO-FALSO-FALSO--46022</v>
      </c>
      <c r="K191" s="435" t="str">
        <f ca="1">IF(COUNTIF(J:J,Tableau119[[#This Row],[Plant-ILN-shipper-POL-Carrier-POD-PFI]])=1,"Non","Oui")</f>
        <v>Non</v>
      </c>
      <c r="L191" s="128" t="str">
        <f>VLOOKUP(Tableau119[[#This Row],[Name Site]],Plant_AILN!A:D,4,FALSE)</f>
        <v>ARGENTINA</v>
      </c>
      <c r="M191" s="411" t="s">
        <v>158</v>
      </c>
      <c r="N191" s="439">
        <f>VLOOKUP(Tableau119[[#This Row],[Name Site]],Plant_AILN!A:C,3,FALSE)</f>
        <v>90016000</v>
      </c>
      <c r="O191" s="55">
        <f>VLOOKUP(Tableau119[[#This Row],[Compte Consignee]],Order!C:D,2,FALSE)</f>
        <v>7</v>
      </c>
      <c r="P191" s="124" t="s">
        <v>146</v>
      </c>
      <c r="Q191" s="365">
        <f>VLOOKUP(Tableau119[[#This Row],[Name ILN]],Plant_AILN!F:G,2,FALSE)</f>
        <v>0</v>
      </c>
      <c r="R191" s="50">
        <f>VLOOKUP(Tableau119[[#This Row],[Compte ILN]],'DATA ILN'!D:I,6,FALSE)</f>
        <v>9</v>
      </c>
      <c r="S191" s="50" t="e">
        <f>IFERROR(VLOOKUP(Tableau119[[#This Row],[Key(Compte ILN - shipper - POL - plant)]],'DATA ILN'!A:J,10,FALSE),VLOOKUP(Tableau119[[#This Row],[Key(Compte ILN - shipper - POL)]],'DATA ILN'!B:J,9,FALSE))</f>
        <v>#N/A</v>
      </c>
      <c r="T191" s="50" t="e">
        <f>IFERROR(VLOOKUP(Tableau119[[#This Row],[Key(Compte ILN - shipper - POL - plant)]],'DATA ILN'!A:K,11,FALSE),VLOOKUP(Tableau119[[#This Row],[Key(Compte ILN - shipper - POL)]],'DATA ILN'!B:K,10,FALSE))</f>
        <v>#N/A</v>
      </c>
      <c r="U191" s="50" t="e">
        <f>IFERROR(VLOOKUP(Tableau119[[#This Row],[Key(Compte ILN - shipper - POL - plant)]],'DATA ILN'!A:L,12,FALSE),VLOOKUP(Tableau119[[#This Row],[Key(Compte ILN - shipper - POL)]],'DATA ILN'!B:L,11,FALSE))</f>
        <v>#N/A</v>
      </c>
      <c r="V191" s="50" t="e">
        <f>Tableau119[[#This Row],[Day ILN Order]]+Tableau119[[#This Row],[Delivery time to ILN/Shipper]]-1</f>
        <v>#N/A</v>
      </c>
      <c r="W191" s="50" t="e">
        <f>IFERROR(VLOOKUP(Tableau119[[#This Row],[Key(Compte ILN - shipper - POL - plant)]],'DATA ILN'!A:N,14,FALSE),VLOOKUP(Tableau119[[#This Row],[Key(Compte ILN - shipper - POL)]],'DATA ILN'!B:N,13,FALSE))</f>
        <v>#N/A</v>
      </c>
      <c r="X191" s="53" t="e">
        <f>IFERROR(VLOOKUP(Tableau119[[#This Row],[Key(Compte ILN - shipper - POL - plant)]],'DATA ILN'!A:P,16,FALSE),VLOOKUP(Tableau119[[#This Row],[Key(Compte ILN - shipper - POL)]],'DATA ILN'!B:P,15,FALSE))</f>
        <v>#N/A</v>
      </c>
      <c r="Y191" s="284" t="s">
        <v>322</v>
      </c>
      <c r="Z191" s="437">
        <f>IFERROR(VLOOKUP(Tableau119[[#This Row],[Name Shipper]],Plant_AILN!L:M,2,FALSE),0)</f>
        <v>27002800</v>
      </c>
      <c r="AA191" s="406">
        <v>56</v>
      </c>
      <c r="AB191" s="396" t="b">
        <f>_xlfn.XLOOKUP(Tableau119[[#This Row],[Key(ID-date)]],'DATA BTO'!S:S,'DATA BTO'!E:E,FALSE)</f>
        <v>0</v>
      </c>
      <c r="AC191" s="3" t="b">
        <f>_xlfn.XLOOKUP(Tableau119[[#This Row],[Key(ID-date)]],'DATA BTO'!S:S,'DATA BTO'!F:F,FALSE)</f>
        <v>0</v>
      </c>
      <c r="AD191" s="50" t="b">
        <f>_xlfn.XLOOKUP(Tableau119[[#This Row],[Key(ID-date)]],'DATA BTO'!S:S,'DATA BTO'!G:G,FALSE)</f>
        <v>0</v>
      </c>
      <c r="AE191" s="50" t="b">
        <f>_xlfn.XLOOKUP(Tableau119[[#This Row],[Key(ID-date)]],'DATA BTO'!S:S,'DATA BTO'!H:H,FALSE)</f>
        <v>0</v>
      </c>
      <c r="AF191" s="50" t="e">
        <f>IF(Tableau119[[#This Row],[First Day to POL]]&lt;=Tableau119[[#This Row],[Day Cut Off]],Tableau119[[#This Row],[Day ETD]],Tableau119[[#This Row],[Day ETD]]+7)</f>
        <v>#N/A</v>
      </c>
      <c r="AG191" s="50" t="b">
        <f>_xlfn.XLOOKUP(Tableau119[[#This Row],[Key(ID-date)]],'DATA BTO'!S:S,'DATA BTO'!I:I,FALSE)</f>
        <v>0</v>
      </c>
      <c r="AH191" s="3" t="b">
        <f>_xlfn.XLOOKUP(Tableau119[[#This Row],[Key(ID-date)]],'DATA BTO'!S:S,'DATA BTO'!J:J,FALSE)</f>
        <v>0</v>
      </c>
      <c r="AI191" s="3" t="b">
        <f>_xlfn.XLOOKUP(Tableau119[[#This Row],[Key(ID-date)]],'DATA BTO'!S:S,'DATA BTO'!K:K,FALSE)</f>
        <v>0</v>
      </c>
      <c r="AJ191" s="50" t="b">
        <f>_xlfn.XLOOKUP(Tableau119[[#This Row],[Key(ID-date)]],'DATA BTO'!S:S,'DATA BTO'!L:L,FALSE)</f>
        <v>0</v>
      </c>
      <c r="AK191" s="53" t="b">
        <f>_xlfn.XLOOKUP(Tableau119[[#This Row],[Key(ID-date)]],'DATA BTO'!S:S,'DATA BTO'!N:N,FALSE)</f>
        <v>0</v>
      </c>
      <c r="AL191" s="54" t="e">
        <f>VLOOKUP(Tableau119[[#This Row],[Key(POD -PFI- Usine)]],'DATA Consignee'!A:F,6,FALSE)</f>
        <v>#N/A</v>
      </c>
      <c r="AM191" s="127"/>
      <c r="AN191" s="438" t="str">
        <f>IF(Tableau119[[#This Row],[Name PFI/CDD]]="","-",VLOOKUP(Tableau119[[#This Row],[Name PFI/CDD]],Plant_AILN!I:J,2,FALSE))</f>
        <v>-</v>
      </c>
      <c r="AO1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1" s="2" t="e">
        <f>VLOOKUP(Tableau119[[#This Row],[Key(POD -PFI- Usine)]],'DATA Consignee'!A:J,10,FALSE)</f>
        <v>#N/A</v>
      </c>
      <c r="AR191" s="50" t="e">
        <f>VLOOKUP(Tableau119[[#This Row],[Key(POD -PFI- Usine)]],'DATA Consignee'!A:N,14,FALSE)</f>
        <v>#N/A</v>
      </c>
      <c r="AS1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1" s="50">
        <f>Tableau119[[#This Row],[Transit time]]+Tableau119[[#This Row],[Time for security]]+Tableau119[[#This Row],[Time for security2 buffer]]</f>
        <v>0</v>
      </c>
      <c r="AV1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1" s="433" t="e">
        <f>Tableau119[[#This Row],[Leadtime SI2C]]+Tableau119[[#This Row],[First Receipt Days]]-Tableau119[[#This Row],[Day Customer Order]]+1</f>
        <v>#N/A</v>
      </c>
      <c r="AX191" s="119" t="e">
        <f>IF(Tableau119[[#This Row],[Name ILN]]&lt;&gt;"SFK Freight Forwarder",Tableau119[[#This Row],[Cust. Leadtime]],Tableau119[[#This Row],[Leadtime SI2C]])</f>
        <v>#N/A</v>
      </c>
      <c r="AY191" s="51" t="b">
        <f>_xlfn.XLOOKUP(Tableau119[[#This Row],[Key(ID-date)]],'DATA BTO'!S:S,'DATA BTO'!P:P,FALSE)</f>
        <v>0</v>
      </c>
      <c r="AZ191" s="338">
        <v>46022</v>
      </c>
      <c r="BA191" s="50"/>
    </row>
    <row r="192" spans="2:53">
      <c r="B192" s="474" t="str">
        <f>_xlfn.CONCAT(Tableau119[[#This Row],[Name ILN]],"-",Tableau119[[#This Row],[Name Shipper]],"-",Tableau119[[#This Row],[Name Site]])</f>
        <v>SFK Freight Forwarder-HIGHLY MARELLI MALAYSIA SDN. BHD.-CORDOBA</v>
      </c>
      <c r="C192" s="67" t="str">
        <f>_xlfn.CONCAT(Tableau119[[#This Row],[Compte ILN]],"-",Tableau119[[#This Row],[Compte Shipper]],"-",Tableau119[[#This Row],[POL]],"-",Tableau119[[#This Row],[Compte Consignee]])</f>
        <v>0-27002800-FALSO-90016000</v>
      </c>
      <c r="D192" s="82" t="str">
        <f>_xlfn.CONCAT(Tableau119[[#This Row],[Compte ILN]],"-",Tableau119[[#This Row],[Compte Shipper]],"-",Tableau119[[#This Row],[POL]])</f>
        <v>0-27002800-FALSO</v>
      </c>
      <c r="E192" s="83" t="str">
        <f>_xlfn.CONCAT(Tableau119[[#This Row],[POL]],"-",Tableau119[[#This Row],[Carrier]],"-",Tableau119[[#This Row],[POD]])</f>
        <v>FALSO-FALSO-FALSO</v>
      </c>
      <c r="F192" s="82" t="str">
        <f>_xlfn.CONCAT(Tableau119[[#This Row],[ID]],"-","Actif")</f>
        <v>56-Actif</v>
      </c>
      <c r="G192" s="82" t="str">
        <f>_xlfn.CONCAT(Tableau119[[#This Row],[POD]],"-",Tableau119[[#This Row],[Code PFI]],"-",Tableau119[[#This Row],[Compte Consignee]])</f>
        <v>FALSO---90016000</v>
      </c>
      <c r="H192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27002800FALSOCORDOBA</v>
      </c>
      <c r="I192" s="502" t="str">
        <f>_xlfn.CONCAT(Tableau119[[#This Row],[ID]],"-",Tableau119[[#This Row],[Expiration Date]])</f>
        <v>56-45777</v>
      </c>
      <c r="J1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Forwarder-HIGHLY MARELLI MALAYSIA SDN. BHD.-56-FALSO-FALSO-FALSO--45777</v>
      </c>
      <c r="K192" s="435" t="str">
        <f ca="1">IF(COUNTIF(J:J,Tableau119[[#This Row],[Plant-ILN-shipper-POL-Carrier-POD-PFI]])=1,"Non","Oui")</f>
        <v>Non</v>
      </c>
      <c r="L192" s="103" t="str">
        <f>VLOOKUP(Tableau119[[#This Row],[Name Site]],Plant_AILN!A:D,4,FALSE)</f>
        <v>ARGENTINA</v>
      </c>
      <c r="M192" s="411" t="s">
        <v>158</v>
      </c>
      <c r="N192" s="439">
        <f>VLOOKUP(Tableau119[[#This Row],[Name Site]],Plant_AILN!A:C,3,FALSE)</f>
        <v>90016000</v>
      </c>
      <c r="O192" s="55">
        <f>VLOOKUP(Tableau119[[#This Row],[Compte Consignee]],Order!C:D,2,FALSE)</f>
        <v>7</v>
      </c>
      <c r="P192" s="126" t="s">
        <v>146</v>
      </c>
      <c r="Q192" s="366">
        <f>VLOOKUP(Tableau119[[#This Row],[Name ILN]],Plant_AILN!F:G,2,FALSE)</f>
        <v>0</v>
      </c>
      <c r="R192" s="50">
        <f>VLOOKUP(Tableau119[[#This Row],[Compte ILN]],'DATA ILN'!D:I,6,FALSE)</f>
        <v>9</v>
      </c>
      <c r="S192" s="50" t="e">
        <f>IFERROR(VLOOKUP(Tableau119[[#This Row],[Key(Compte ILN - shipper - POL - plant)]],'DATA ILN'!A:J,10,FALSE),VLOOKUP(Tableau119[[#This Row],[Key(Compte ILN - shipper - POL)]],'DATA ILN'!B:J,9,FALSE))</f>
        <v>#N/A</v>
      </c>
      <c r="T192" s="81" t="e">
        <f>IFERROR(VLOOKUP(Tableau119[[#This Row],[Key(Compte ILN - shipper - POL - plant)]],'DATA ILN'!A:K,11,FALSE),VLOOKUP(Tableau119[[#This Row],[Key(Compte ILN - shipper - POL)]],'DATA ILN'!B:K,10,FALSE))</f>
        <v>#N/A</v>
      </c>
      <c r="U192" s="81" t="e">
        <f>IFERROR(VLOOKUP(Tableau119[[#This Row],[Key(Compte ILN - shipper - POL - plant)]],'DATA ILN'!A:L,12,FALSE),VLOOKUP(Tableau119[[#This Row],[Key(Compte ILN - shipper - POL)]],'DATA ILN'!B:L,11,FALSE))</f>
        <v>#N/A</v>
      </c>
      <c r="V192" s="81" t="e">
        <f>Tableau119[[#This Row],[Day ILN Order]]+Tableau119[[#This Row],[Delivery time to ILN/Shipper]]-1</f>
        <v>#N/A</v>
      </c>
      <c r="W192" s="81" t="e">
        <f>IFERROR(VLOOKUP(Tableau119[[#This Row],[Key(Compte ILN - shipper - POL - plant)]],'DATA ILN'!A:N,14,FALSE),VLOOKUP(Tableau119[[#This Row],[Key(Compte ILN - shipper - POL)]],'DATA ILN'!B:N,13,FALSE))</f>
        <v>#N/A</v>
      </c>
      <c r="X192" s="106" t="e">
        <f>IFERROR(VLOOKUP(Tableau119[[#This Row],[Key(Compte ILN - shipper - POL - plant)]],'DATA ILN'!A:P,16,FALSE),VLOOKUP(Tableau119[[#This Row],[Key(Compte ILN - shipper - POL)]],'DATA ILN'!B:P,15,FALSE))</f>
        <v>#N/A</v>
      </c>
      <c r="Y192" s="284" t="s">
        <v>322</v>
      </c>
      <c r="Z192" s="442">
        <f>IFERROR(VLOOKUP(Tableau119[[#This Row],[Name Shipper]],Plant_AILN!L:M,2,FALSE),0)</f>
        <v>27002800</v>
      </c>
      <c r="AA192" s="406">
        <v>56</v>
      </c>
      <c r="AB192" s="396" t="b">
        <f>_xlfn.XLOOKUP(Tableau119[[#This Row],[Key(ID-date)]],'DATA BTO'!S:S,'DATA BTO'!E:E,FALSE)</f>
        <v>0</v>
      </c>
      <c r="AC192" s="3" t="b">
        <f>_xlfn.XLOOKUP(Tableau119[[#This Row],[Key(ID-date)]],'DATA BTO'!S:S,'DATA BTO'!F:F,FALSE)</f>
        <v>0</v>
      </c>
      <c r="AD192" s="50" t="b">
        <f>_xlfn.XLOOKUP(Tableau119[[#This Row],[Key(ID-date)]],'DATA BTO'!S:S,'DATA BTO'!G:G,FALSE)</f>
        <v>0</v>
      </c>
      <c r="AE192" s="50" t="b">
        <f>_xlfn.XLOOKUP(Tableau119[[#This Row],[Key(ID-date)]],'DATA BTO'!S:S,'DATA BTO'!H:H,FALSE)</f>
        <v>0</v>
      </c>
      <c r="AF192" s="81" t="e">
        <f>IF(Tableau119[[#This Row],[First Day to POL]]&lt;=Tableau119[[#This Row],[Day Cut Off]],Tableau119[[#This Row],[Day ETD]],Tableau119[[#This Row],[Day ETD]]+7)</f>
        <v>#N/A</v>
      </c>
      <c r="AG192" s="50" t="b">
        <f>_xlfn.XLOOKUP(Tableau119[[#This Row],[Key(ID-date)]],'DATA BTO'!S:S,'DATA BTO'!I:I,FALSE)</f>
        <v>0</v>
      </c>
      <c r="AH192" s="3" t="b">
        <f>_xlfn.XLOOKUP(Tableau119[[#This Row],[Key(ID-date)]],'DATA BTO'!S:S,'DATA BTO'!J:J,FALSE)</f>
        <v>0</v>
      </c>
      <c r="AI192" s="3" t="b">
        <f>_xlfn.XLOOKUP(Tableau119[[#This Row],[Key(ID-date)]],'DATA BTO'!S:S,'DATA BTO'!K:K,FALSE)</f>
        <v>0</v>
      </c>
      <c r="AJ192" s="50" t="b">
        <f>_xlfn.XLOOKUP(Tableau119[[#This Row],[Key(ID-date)]],'DATA BTO'!S:S,'DATA BTO'!L:L,FALSE)</f>
        <v>0</v>
      </c>
      <c r="AK192" s="53" t="b">
        <f>_xlfn.XLOOKUP(Tableau119[[#This Row],[Key(ID-date)]],'DATA BTO'!S:S,'DATA BTO'!N:N,FALSE)</f>
        <v>0</v>
      </c>
      <c r="AL192" s="107" t="e">
        <f>VLOOKUP(Tableau119[[#This Row],[Key(POD -PFI- Usine)]],'DATA Consignee'!A:F,6,FALSE)</f>
        <v>#N/A</v>
      </c>
      <c r="AM192" s="138"/>
      <c r="AN192" s="443" t="str">
        <f>IF(Tableau119[[#This Row],[Name PFI/CDD]]="","-",VLOOKUP(Tableau119[[#This Row],[Name PFI/CDD]],Plant_AILN!I:J,2,FALSE))</f>
        <v>-</v>
      </c>
      <c r="AO19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2" s="110" t="e">
        <f>VLOOKUP(Tableau119[[#This Row],[Key(POD -PFI- Usine)]],'DATA Consignee'!A:J,10,FALSE)</f>
        <v>#N/A</v>
      </c>
      <c r="AR192" s="81" t="e">
        <f>VLOOKUP(Tableau119[[#This Row],[Key(POD -PFI- Usine)]],'DATA Consignee'!A:N,14,FALSE)</f>
        <v>#N/A</v>
      </c>
      <c r="AS19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2" s="81">
        <f>Tableau119[[#This Row],[Transit time]]+Tableau119[[#This Row],[Time for security]]+Tableau119[[#This Row],[Time for security2 buffer]]</f>
        <v>0</v>
      </c>
      <c r="AV192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2" s="106" t="e">
        <f>Tableau119[[#This Row],[Leadtime SI2C]]+Tableau119[[#This Row],[First Receipt Days]]-Tableau119[[#This Row],[Day Customer Order]]+1</f>
        <v>#N/A</v>
      </c>
      <c r="AX192" s="120" t="e">
        <f>IF(Tableau119[[#This Row],[Name ILN]]&lt;&gt;"SFK Freight Forwarder",Tableau119[[#This Row],[Cust. Leadtime]],Tableau119[[#This Row],[Leadtime SI2C]])</f>
        <v>#N/A</v>
      </c>
      <c r="AY192" s="51" t="b">
        <f>_xlfn.XLOOKUP(Tableau119[[#This Row],[Key(ID-date)]],'DATA BTO'!S:S,'DATA BTO'!P:P,FALSE)</f>
        <v>0</v>
      </c>
      <c r="AZ192" s="338">
        <v>45777</v>
      </c>
      <c r="BA192" s="50"/>
    </row>
    <row r="193" spans="2:53">
      <c r="B193" s="474" t="str">
        <f>_xlfn.CONCAT(Tableau119[[#This Row],[Name ILN]],"-",Tableau119[[#This Row],[Name Shipper]],"-",Tableau119[[#This Row],[Name Site]])</f>
        <v>SFK Freight Forwarder-HIGHLY MARELLI MALAYSIA SDN. BHD.-CORDOBA</v>
      </c>
      <c r="C193" s="67" t="str">
        <f>_xlfn.CONCAT(Tableau119[[#This Row],[Compte ILN]],"-",Tableau119[[#This Row],[Compte Shipper]],"-",Tableau119[[#This Row],[POL]],"-",Tableau119[[#This Row],[Compte Consignee]])</f>
        <v>0-27002800-FALSO-90016000</v>
      </c>
      <c r="D193" s="82" t="str">
        <f>_xlfn.CONCAT(Tableau119[[#This Row],[Compte ILN]],"-",Tableau119[[#This Row],[Compte Shipper]],"-",Tableau119[[#This Row],[POL]])</f>
        <v>0-27002800-FALSO</v>
      </c>
      <c r="E193" s="83" t="str">
        <f>_xlfn.CONCAT(Tableau119[[#This Row],[POL]],"-",Tableau119[[#This Row],[Carrier]],"-",Tableau119[[#This Row],[POD]])</f>
        <v>FALSO-FALSO-FALSO</v>
      </c>
      <c r="F193" s="82" t="str">
        <f>_xlfn.CONCAT(Tableau119[[#This Row],[ID]],"-","Actif")</f>
        <v>56-Actif</v>
      </c>
      <c r="G193" s="82" t="str">
        <f>_xlfn.CONCAT(Tableau119[[#This Row],[POD]],"-",Tableau119[[#This Row],[Code PFI]],"-",Tableau119[[#This Row],[Compte Consignee]])</f>
        <v>FALSO---90016000</v>
      </c>
      <c r="H19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27002800FALSOCORDOBA</v>
      </c>
      <c r="I193" s="502" t="str">
        <f>_xlfn.CONCAT(Tableau119[[#This Row],[ID]],"-",Tableau119[[#This Row],[Expiration Date]])</f>
        <v>56-45473</v>
      </c>
      <c r="J1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Forwarder-HIGHLY MARELLI MALAYSIA SDN. BHD.-56-FALSO-FALSO-FALSO--45473</v>
      </c>
      <c r="K193" s="435" t="str">
        <f ca="1">IF(COUNTIF(J:J,Tableau119[[#This Row],[Plant-ILN-shipper-POL-Carrier-POD-PFI]])=1,"Non","Oui")</f>
        <v>Non</v>
      </c>
      <c r="L193" s="103" t="str">
        <f>VLOOKUP(Tableau119[[#This Row],[Name Site]],Plant_AILN!A:D,4,FALSE)</f>
        <v>ARGENTINA</v>
      </c>
      <c r="M193" s="411" t="s">
        <v>158</v>
      </c>
      <c r="N193" s="439">
        <f>VLOOKUP(Tableau119[[#This Row],[Name Site]],Plant_AILN!A:C,3,FALSE)</f>
        <v>90016000</v>
      </c>
      <c r="O193" s="55">
        <f>VLOOKUP(Tableau119[[#This Row],[Compte Consignee]],Order!C:D,2,FALSE)</f>
        <v>7</v>
      </c>
      <c r="P193" s="126" t="s">
        <v>146</v>
      </c>
      <c r="Q193" s="366">
        <f>VLOOKUP(Tableau119[[#This Row],[Name ILN]],Plant_AILN!F:G,2,FALSE)</f>
        <v>0</v>
      </c>
      <c r="R193" s="50">
        <f>VLOOKUP(Tableau119[[#This Row],[Compte ILN]],'DATA ILN'!D:I,6,FALSE)</f>
        <v>9</v>
      </c>
      <c r="S193" s="50" t="e">
        <f>IFERROR(VLOOKUP(Tableau119[[#This Row],[Key(Compte ILN - shipper - POL - plant)]],'DATA ILN'!A:J,10,FALSE),VLOOKUP(Tableau119[[#This Row],[Key(Compte ILN - shipper - POL)]],'DATA ILN'!B:J,9,FALSE))</f>
        <v>#N/A</v>
      </c>
      <c r="T193" s="81" t="e">
        <f>IFERROR(VLOOKUP(Tableau119[[#This Row],[Key(Compte ILN - shipper - POL - plant)]],'DATA ILN'!A:K,11,FALSE),VLOOKUP(Tableau119[[#This Row],[Key(Compte ILN - shipper - POL)]],'DATA ILN'!B:K,10,FALSE))</f>
        <v>#N/A</v>
      </c>
      <c r="U193" s="81" t="e">
        <f>IFERROR(VLOOKUP(Tableau119[[#This Row],[Key(Compte ILN - shipper - POL - plant)]],'DATA ILN'!A:L,12,FALSE),VLOOKUP(Tableau119[[#This Row],[Key(Compte ILN - shipper - POL)]],'DATA ILN'!B:L,11,FALSE))</f>
        <v>#N/A</v>
      </c>
      <c r="V193" s="81" t="e">
        <f>Tableau119[[#This Row],[Day ILN Order]]+Tableau119[[#This Row],[Delivery time to ILN/Shipper]]-1</f>
        <v>#N/A</v>
      </c>
      <c r="W193" s="81" t="e">
        <f>IFERROR(VLOOKUP(Tableau119[[#This Row],[Key(Compte ILN - shipper - POL - plant)]],'DATA ILN'!A:N,14,FALSE),VLOOKUP(Tableau119[[#This Row],[Key(Compte ILN - shipper - POL)]],'DATA ILN'!B:N,13,FALSE))</f>
        <v>#N/A</v>
      </c>
      <c r="X193" s="106" t="e">
        <f>IFERROR(VLOOKUP(Tableau119[[#This Row],[Key(Compte ILN - shipper - POL - plant)]],'DATA ILN'!A:P,16,FALSE),VLOOKUP(Tableau119[[#This Row],[Key(Compte ILN - shipper - POL)]],'DATA ILN'!B:P,15,FALSE))</f>
        <v>#N/A</v>
      </c>
      <c r="Y193" s="284" t="s">
        <v>322</v>
      </c>
      <c r="Z193" s="442">
        <f>IFERROR(VLOOKUP(Tableau119[[#This Row],[Name Shipper]],Plant_AILN!L:M,2,FALSE),0)</f>
        <v>27002800</v>
      </c>
      <c r="AA193" s="406">
        <v>56</v>
      </c>
      <c r="AB193" s="396" t="b">
        <f>_xlfn.XLOOKUP(Tableau119[[#This Row],[Key(ID-date)]],'DATA BTO'!S:S,'DATA BTO'!E:E,FALSE)</f>
        <v>0</v>
      </c>
      <c r="AC193" s="3" t="b">
        <f>_xlfn.XLOOKUP(Tableau119[[#This Row],[Key(ID-date)]],'DATA BTO'!S:S,'DATA BTO'!F:F,FALSE)</f>
        <v>0</v>
      </c>
      <c r="AD193" s="50" t="b">
        <f>_xlfn.XLOOKUP(Tableau119[[#This Row],[Key(ID-date)]],'DATA BTO'!S:S,'DATA BTO'!G:G,FALSE)</f>
        <v>0</v>
      </c>
      <c r="AE193" s="50" t="b">
        <f>_xlfn.XLOOKUP(Tableau119[[#This Row],[Key(ID-date)]],'DATA BTO'!S:S,'DATA BTO'!H:H,FALSE)</f>
        <v>0</v>
      </c>
      <c r="AF193" s="81" t="e">
        <f>IF(Tableau119[[#This Row],[First Day to POL]]&lt;=Tableau119[[#This Row],[Day Cut Off]],Tableau119[[#This Row],[Day ETD]],Tableau119[[#This Row],[Day ETD]]+7)</f>
        <v>#N/A</v>
      </c>
      <c r="AG193" s="50" t="b">
        <f>_xlfn.XLOOKUP(Tableau119[[#This Row],[Key(ID-date)]],'DATA BTO'!S:S,'DATA BTO'!I:I,FALSE)</f>
        <v>0</v>
      </c>
      <c r="AH193" s="3" t="b">
        <f>_xlfn.XLOOKUP(Tableau119[[#This Row],[Key(ID-date)]],'DATA BTO'!S:S,'DATA BTO'!J:J,FALSE)</f>
        <v>0</v>
      </c>
      <c r="AI193" s="3" t="b">
        <f>_xlfn.XLOOKUP(Tableau119[[#This Row],[Key(ID-date)]],'DATA BTO'!S:S,'DATA BTO'!K:K,FALSE)</f>
        <v>0</v>
      </c>
      <c r="AJ193" s="50" t="b">
        <f>_xlfn.XLOOKUP(Tableau119[[#This Row],[Key(ID-date)]],'DATA BTO'!S:S,'DATA BTO'!L:L,FALSE)</f>
        <v>0</v>
      </c>
      <c r="AK193" s="53" t="b">
        <f>_xlfn.XLOOKUP(Tableau119[[#This Row],[Key(ID-date)]],'DATA BTO'!S:S,'DATA BTO'!N:N,FALSE)</f>
        <v>0</v>
      </c>
      <c r="AL193" s="107" t="e">
        <f>VLOOKUP(Tableau119[[#This Row],[Key(POD -PFI- Usine)]],'DATA Consignee'!A:F,6,FALSE)</f>
        <v>#N/A</v>
      </c>
      <c r="AM193" s="138"/>
      <c r="AN193" s="443" t="str">
        <f>IF(Tableau119[[#This Row],[Name PFI/CDD]]="","-",VLOOKUP(Tableau119[[#This Row],[Name PFI/CDD]],Plant_AILN!I:J,2,FALSE))</f>
        <v>-</v>
      </c>
      <c r="AO19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3" s="110" t="e">
        <f>VLOOKUP(Tableau119[[#This Row],[Key(POD -PFI- Usine)]],'DATA Consignee'!A:J,10,FALSE)</f>
        <v>#N/A</v>
      </c>
      <c r="AR193" s="81" t="e">
        <f>VLOOKUP(Tableau119[[#This Row],[Key(POD -PFI- Usine)]],'DATA Consignee'!A:N,14,FALSE)</f>
        <v>#N/A</v>
      </c>
      <c r="AS19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3" s="81">
        <f>Tableau119[[#This Row],[Transit time]]+Tableau119[[#This Row],[Time for security]]+Tableau119[[#This Row],[Time for security2 buffer]]</f>
        <v>0</v>
      </c>
      <c r="AV19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3" s="106" t="e">
        <f>Tableau119[[#This Row],[Leadtime SI2C]]+Tableau119[[#This Row],[First Receipt Days]]-Tableau119[[#This Row],[Day Customer Order]]+1</f>
        <v>#N/A</v>
      </c>
      <c r="AX193" s="120" t="e">
        <f>IF(Tableau119[[#This Row],[Name ILN]]&lt;&gt;"SFK Freight Forwarder",Tableau119[[#This Row],[Cust. Leadtime]],Tableau119[[#This Row],[Leadtime SI2C]])</f>
        <v>#N/A</v>
      </c>
      <c r="AY193" s="51" t="b">
        <f>_xlfn.XLOOKUP(Tableau119[[#This Row],[Key(ID-date)]],'DATA BTO'!S:S,'DATA BTO'!P:P,FALSE)</f>
        <v>0</v>
      </c>
      <c r="AZ193" s="338">
        <v>45473</v>
      </c>
      <c r="BA193" s="50"/>
    </row>
    <row r="194" spans="2:53">
      <c r="B194" s="474" t="str">
        <f>_xlfn.CONCAT(Tableau119[[#This Row],[Name ILN]],"-",Tableau119[[#This Row],[Name Shipper]],"-",Tableau119[[#This Row],[Name Site]])</f>
        <v>SFK Freight Forwarder-HIGHLY MARELLI MALAYSIA SDN. BHD.-CORDOBA</v>
      </c>
      <c r="C194" s="67" t="str">
        <f>_xlfn.CONCAT(Tableau119[[#This Row],[Compte ILN]],"-",Tableau119[[#This Row],[Compte Shipper]],"-",Tableau119[[#This Row],[POL]],"-",Tableau119[[#This Row],[Compte Consignee]])</f>
        <v>0-27002800-FALSO-90016000</v>
      </c>
      <c r="D194" s="82" t="str">
        <f>_xlfn.CONCAT(Tableau119[[#This Row],[Compte ILN]],"-",Tableau119[[#This Row],[Compte Shipper]],"-",Tableau119[[#This Row],[POL]])</f>
        <v>0-27002800-FALSO</v>
      </c>
      <c r="E194" s="83" t="str">
        <f>_xlfn.CONCAT(Tableau119[[#This Row],[POL]],"-",Tableau119[[#This Row],[Carrier]],"-",Tableau119[[#This Row],[POD]])</f>
        <v>FALSO-FALSO-FALSO</v>
      </c>
      <c r="F194" s="82" t="str">
        <f>_xlfn.CONCAT(Tableau119[[#This Row],[ID]],"-","Actif")</f>
        <v>56-Actif</v>
      </c>
      <c r="G194" s="82" t="str">
        <f>_xlfn.CONCAT(Tableau119[[#This Row],[POD]],"-",Tableau119[[#This Row],[Code PFI]],"-",Tableau119[[#This Row],[Compte Consignee]])</f>
        <v>FALSO---90016000</v>
      </c>
      <c r="H194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27002800FALSOCORDOBA</v>
      </c>
      <c r="I194" s="502" t="str">
        <f>_xlfn.CONCAT(Tableau119[[#This Row],[ID]],"-",Tableau119[[#This Row],[Expiration Date]])</f>
        <v>56-45412</v>
      </c>
      <c r="J1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Forwarder-HIGHLY MARELLI MALAYSIA SDN. BHD.-56-FALSO-FALSO-FALSO--45412</v>
      </c>
      <c r="K194" s="435" t="str">
        <f ca="1">IF(COUNTIF(J:J,Tableau119[[#This Row],[Plant-ILN-shipper-POL-Carrier-POD-PFI]])=1,"Non","Oui")</f>
        <v>Non</v>
      </c>
      <c r="L194" s="103" t="str">
        <f>VLOOKUP(Tableau119[[#This Row],[Name Site]],Plant_AILN!A:D,4,FALSE)</f>
        <v>ARGENTINA</v>
      </c>
      <c r="M194" s="411" t="s">
        <v>158</v>
      </c>
      <c r="N194" s="439">
        <f>VLOOKUP(Tableau119[[#This Row],[Name Site]],Plant_AILN!A:C,3,FALSE)</f>
        <v>90016000</v>
      </c>
      <c r="O194" s="55">
        <f>VLOOKUP(Tableau119[[#This Row],[Compte Consignee]],Order!C:D,2,FALSE)</f>
        <v>7</v>
      </c>
      <c r="P194" s="126" t="s">
        <v>146</v>
      </c>
      <c r="Q194" s="366">
        <f>VLOOKUP(Tableau119[[#This Row],[Name ILN]],Plant_AILN!F:G,2,FALSE)</f>
        <v>0</v>
      </c>
      <c r="R194" s="50">
        <f>VLOOKUP(Tableau119[[#This Row],[Compte ILN]],'DATA ILN'!D:I,6,FALSE)</f>
        <v>9</v>
      </c>
      <c r="S194" s="50" t="e">
        <f>IFERROR(VLOOKUP(Tableau119[[#This Row],[Key(Compte ILN - shipper - POL - plant)]],'DATA ILN'!A:J,10,FALSE),VLOOKUP(Tableau119[[#This Row],[Key(Compte ILN - shipper - POL)]],'DATA ILN'!B:J,9,FALSE))</f>
        <v>#N/A</v>
      </c>
      <c r="T194" s="81" t="e">
        <f>IFERROR(VLOOKUP(Tableau119[[#This Row],[Key(Compte ILN - shipper - POL - plant)]],'DATA ILN'!A:K,11,FALSE),VLOOKUP(Tableau119[[#This Row],[Key(Compte ILN - shipper - POL)]],'DATA ILN'!B:K,10,FALSE))</f>
        <v>#N/A</v>
      </c>
      <c r="U194" s="81" t="e">
        <f>IFERROR(VLOOKUP(Tableau119[[#This Row],[Key(Compte ILN - shipper - POL - plant)]],'DATA ILN'!A:L,12,FALSE),VLOOKUP(Tableau119[[#This Row],[Key(Compte ILN - shipper - POL)]],'DATA ILN'!B:L,11,FALSE))</f>
        <v>#N/A</v>
      </c>
      <c r="V194" s="81" t="e">
        <f>Tableau119[[#This Row],[Day ILN Order]]+Tableau119[[#This Row],[Delivery time to ILN/Shipper]]-1</f>
        <v>#N/A</v>
      </c>
      <c r="W194" s="81" t="e">
        <f>IFERROR(VLOOKUP(Tableau119[[#This Row],[Key(Compte ILN - shipper - POL - plant)]],'DATA ILN'!A:N,14,FALSE),VLOOKUP(Tableau119[[#This Row],[Key(Compte ILN - shipper - POL)]],'DATA ILN'!B:N,13,FALSE))</f>
        <v>#N/A</v>
      </c>
      <c r="X194" s="106" t="e">
        <f>IFERROR(VLOOKUP(Tableau119[[#This Row],[Key(Compte ILN - shipper - POL - plant)]],'DATA ILN'!A:P,16,FALSE),VLOOKUP(Tableau119[[#This Row],[Key(Compte ILN - shipper - POL)]],'DATA ILN'!B:P,15,FALSE))</f>
        <v>#N/A</v>
      </c>
      <c r="Y194" s="284" t="s">
        <v>322</v>
      </c>
      <c r="Z194" s="442">
        <f>IFERROR(VLOOKUP(Tableau119[[#This Row],[Name Shipper]],Plant_AILN!L:M,2,FALSE),0)</f>
        <v>27002800</v>
      </c>
      <c r="AA194" s="406">
        <v>56</v>
      </c>
      <c r="AB194" s="396" t="b">
        <f>_xlfn.XLOOKUP(Tableau119[[#This Row],[Key(ID-date)]],'DATA BTO'!S:S,'DATA BTO'!E:E,FALSE)</f>
        <v>0</v>
      </c>
      <c r="AC194" s="3" t="b">
        <f>_xlfn.XLOOKUP(Tableau119[[#This Row],[Key(ID-date)]],'DATA BTO'!S:S,'DATA BTO'!F:F,FALSE)</f>
        <v>0</v>
      </c>
      <c r="AD194" s="50" t="b">
        <f>_xlfn.XLOOKUP(Tableau119[[#This Row],[Key(ID-date)]],'DATA BTO'!S:S,'DATA BTO'!G:G,FALSE)</f>
        <v>0</v>
      </c>
      <c r="AE194" s="50" t="b">
        <f>_xlfn.XLOOKUP(Tableau119[[#This Row],[Key(ID-date)]],'DATA BTO'!S:S,'DATA BTO'!H:H,FALSE)</f>
        <v>0</v>
      </c>
      <c r="AF194" s="81" t="e">
        <f>IF(Tableau119[[#This Row],[First Day to POL]]&lt;=Tableau119[[#This Row],[Day Cut Off]],Tableau119[[#This Row],[Day ETD]],Tableau119[[#This Row],[Day ETD]]+7)</f>
        <v>#N/A</v>
      </c>
      <c r="AG194" s="50" t="b">
        <f>_xlfn.XLOOKUP(Tableau119[[#This Row],[Key(ID-date)]],'DATA BTO'!S:S,'DATA BTO'!I:I,FALSE)</f>
        <v>0</v>
      </c>
      <c r="AH194" s="3" t="b">
        <f>_xlfn.XLOOKUP(Tableau119[[#This Row],[Key(ID-date)]],'DATA BTO'!S:S,'DATA BTO'!J:J,FALSE)</f>
        <v>0</v>
      </c>
      <c r="AI194" s="3" t="b">
        <f>_xlfn.XLOOKUP(Tableau119[[#This Row],[Key(ID-date)]],'DATA BTO'!S:S,'DATA BTO'!K:K,FALSE)</f>
        <v>0</v>
      </c>
      <c r="AJ194" s="50" t="b">
        <f>_xlfn.XLOOKUP(Tableau119[[#This Row],[Key(ID-date)]],'DATA BTO'!S:S,'DATA BTO'!L:L,FALSE)</f>
        <v>0</v>
      </c>
      <c r="AK194" s="53" t="b">
        <f>_xlfn.XLOOKUP(Tableau119[[#This Row],[Key(ID-date)]],'DATA BTO'!S:S,'DATA BTO'!N:N,FALSE)</f>
        <v>0</v>
      </c>
      <c r="AL194" s="107" t="e">
        <f>VLOOKUP(Tableau119[[#This Row],[Key(POD -PFI- Usine)]],'DATA Consignee'!A:F,6,FALSE)</f>
        <v>#N/A</v>
      </c>
      <c r="AM194" s="138"/>
      <c r="AN194" s="443" t="str">
        <f>IF(Tableau119[[#This Row],[Name PFI/CDD]]="","-",VLOOKUP(Tableau119[[#This Row],[Name PFI/CDD]],Plant_AILN!I:J,2,FALSE))</f>
        <v>-</v>
      </c>
      <c r="AO19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4" s="110" t="e">
        <f>VLOOKUP(Tableau119[[#This Row],[Key(POD -PFI- Usine)]],'DATA Consignee'!A:J,10,FALSE)</f>
        <v>#N/A</v>
      </c>
      <c r="AR194" s="81" t="e">
        <f>VLOOKUP(Tableau119[[#This Row],[Key(POD -PFI- Usine)]],'DATA Consignee'!A:N,14,FALSE)</f>
        <v>#N/A</v>
      </c>
      <c r="AS19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4" s="81">
        <f>Tableau119[[#This Row],[Transit time]]+Tableau119[[#This Row],[Time for security]]+Tableau119[[#This Row],[Time for security2 buffer]]</f>
        <v>0</v>
      </c>
      <c r="AV194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4" s="106" t="e">
        <f>Tableau119[[#This Row],[Leadtime SI2C]]+Tableau119[[#This Row],[First Receipt Days]]-Tableau119[[#This Row],[Day Customer Order]]+1</f>
        <v>#N/A</v>
      </c>
      <c r="AX194" s="120" t="e">
        <f>IF(Tableau119[[#This Row],[Name ILN]]&lt;&gt;"SFK Freight Forwarder",Tableau119[[#This Row],[Cust. Leadtime]],Tableau119[[#This Row],[Leadtime SI2C]])</f>
        <v>#N/A</v>
      </c>
      <c r="AY194" s="51" t="b">
        <f>_xlfn.XLOOKUP(Tableau119[[#This Row],[Key(ID-date)]],'DATA BTO'!S:S,'DATA BTO'!P:P,FALSE)</f>
        <v>0</v>
      </c>
      <c r="AZ194" s="338">
        <v>45412</v>
      </c>
      <c r="BA194" s="50"/>
    </row>
    <row r="195" spans="2:53">
      <c r="B195" s="67" t="str">
        <f>_xlfn.CONCAT(Tableau119[[#This Row],[Name ILN]],"-",Tableau119[[#This Row],[Name Shipper]],"-",Tableau119[[#This Row],[Name Site]])</f>
        <v>ILN FR-ILN FR-RKM</v>
      </c>
      <c r="C195" s="67" t="str">
        <f>_xlfn.CONCAT(Tableau119[[#This Row],[Compte ILN]],"-",Tableau119[[#This Row],[Compte Shipper]],"-",Tableau119[[#This Row],[POL]],"-",Tableau119[[#This Row],[Compte Consignee]])</f>
        <v>92000100-92000100-FALSO-92002200</v>
      </c>
      <c r="D195" s="82" t="str">
        <f>_xlfn.CONCAT(Tableau119[[#This Row],[Compte ILN]],"-",Tableau119[[#This Row],[Compte Shipper]],"-",Tableau119[[#This Row],[POL]])</f>
        <v>92000100-92000100-FALSO</v>
      </c>
      <c r="E195" s="83" t="str">
        <f>_xlfn.CONCAT(Tableau119[[#This Row],[POL]],"-",Tableau119[[#This Row],[Carrier]],"-",Tableau119[[#This Row],[POD]])</f>
        <v>FALSO-FALSO-FALSO</v>
      </c>
      <c r="F195" s="82" t="str">
        <f>_xlfn.CONCAT(Tableau119[[#This Row],[ID]],"-","Actif")</f>
        <v>58-Actif</v>
      </c>
      <c r="G195" s="82" t="str">
        <f>_xlfn.CONCAT(Tableau119[[#This Row],[POD]],"-",Tableau119[[#This Row],[Code PFI]],"-",Tableau119[[#This Row],[Compte Consignee]])</f>
        <v>FALSO---92002200</v>
      </c>
      <c r="H195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FRFALSORKM</v>
      </c>
      <c r="I195" s="502" t="str">
        <f>_xlfn.CONCAT(Tableau119[[#This Row],[ID]],"-",Tableau119[[#This Row],[Expiration Date]])</f>
        <v>58-46142</v>
      </c>
      <c r="J1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FR-ILN FR-58-FALSO-FALSO-FALSO--46142</v>
      </c>
      <c r="K195" s="444" t="str">
        <f ca="1">IF(COUNTIF(J:J,Tableau119[[#This Row],[Plant-ILN-shipper-POL-Carrier-POD-PFI]])=1,"Non","Oui")</f>
        <v>Non</v>
      </c>
      <c r="L195" s="445" t="str">
        <f>VLOOKUP(Tableau119[[#This Row],[Name Site]],Plant_AILN!A:D,4,FALSE)</f>
        <v>KOREA</v>
      </c>
      <c r="M195" s="285" t="s">
        <v>145</v>
      </c>
      <c r="N195" s="439">
        <f>VLOOKUP(Tableau119[[#This Row],[Name Site]],Plant_AILN!A:C,3,FALSE)</f>
        <v>92002200</v>
      </c>
      <c r="O195" s="55">
        <f>IF(Tableau119[[#This Row],[Name PFI/CDD]]="PFI VLL",2,VLOOKUP(Tableau119[[#This Row],[Compte Consignee]],Order!C:D,2,FALSE))</f>
        <v>2</v>
      </c>
      <c r="P195" s="126" t="s">
        <v>143</v>
      </c>
      <c r="Q195" s="366">
        <f>VLOOKUP(Tableau119[[#This Row],[Name ILN]],Plant_AILN!F:G,2,FALSE)</f>
        <v>92000100</v>
      </c>
      <c r="R195" s="50">
        <f>VLOOKUP(Tableau119[[#This Row],[Compte ILN]],'DATA ILN'!D:I,6,FALSE)</f>
        <v>9</v>
      </c>
      <c r="S195" s="50" t="e">
        <f>IFERROR(VLOOKUP(Tableau119[[#This Row],[Key(Compte ILN - shipper - POL - plant)]],'DATA ILN'!A:J,10,FALSE),VLOOKUP(Tableau119[[#This Row],[Key(Compte ILN - shipper - POL)]],'DATA ILN'!B:J,9,FALSE))</f>
        <v>#N/A</v>
      </c>
      <c r="T195" s="81" t="e">
        <f>IFERROR(VLOOKUP(Tableau119[[#This Row],[Key(Compte ILN - shipper - POL - plant)]],'DATA ILN'!A:K,11,FALSE),VLOOKUP(Tableau119[[#This Row],[Key(Compte ILN - shipper - POL)]],'DATA ILN'!B:K,10,FALSE))</f>
        <v>#N/A</v>
      </c>
      <c r="U195" s="81" t="e">
        <f>IFERROR(VLOOKUP(Tableau119[[#This Row],[Key(Compte ILN - shipper - POL - plant)]],'DATA ILN'!A:L,12,FALSE),VLOOKUP(Tableau119[[#This Row],[Key(Compte ILN - shipper - POL)]],'DATA ILN'!B:L,11,FALSE))</f>
        <v>#N/A</v>
      </c>
      <c r="V195" s="81" t="e">
        <f>Tableau119[[#This Row],[Day ILN Order]]+Tableau119[[#This Row],[Delivery time to ILN/Shipper]]-1</f>
        <v>#N/A</v>
      </c>
      <c r="W195" s="81" t="e">
        <f>IFERROR(VLOOKUP(Tableau119[[#This Row],[Key(Compte ILN - shipper - POL - plant)]],'DATA ILN'!A:N,14,FALSE),VLOOKUP(Tableau119[[#This Row],[Key(Compte ILN - shipper - POL)]],'DATA ILN'!B:N,13,FALSE))</f>
        <v>#N/A</v>
      </c>
      <c r="X195" s="106" t="e">
        <f>IFERROR(VLOOKUP(Tableau119[[#This Row],[Key(Compte ILN - shipper - POL - plant)]],'DATA ILN'!A:P,16,FALSE),VLOOKUP(Tableau119[[#This Row],[Key(Compte ILN - shipper - POL)]],'DATA ILN'!B:P,15,FALSE))</f>
        <v>#N/A</v>
      </c>
      <c r="Y195" s="284" t="s">
        <v>143</v>
      </c>
      <c r="Z195" s="442">
        <f>IFERROR(VLOOKUP(Tableau119[[#This Row],[Name Shipper]],Plant_AILN!L:M,2,FALSE),0)</f>
        <v>92000100</v>
      </c>
      <c r="AA195" s="406">
        <v>58</v>
      </c>
      <c r="AB195" s="396" t="b">
        <f>_xlfn.XLOOKUP(Tableau119[[#This Row],[Key(ID-date)]],'DATA BTO'!S:S,'DATA BTO'!E:E,FALSE)</f>
        <v>0</v>
      </c>
      <c r="AC195" s="3" t="b">
        <f>_xlfn.XLOOKUP(Tableau119[[#This Row],[Key(ID-date)]],'DATA BTO'!S:S,'DATA BTO'!F:F,FALSE)</f>
        <v>0</v>
      </c>
      <c r="AD195" s="50" t="b">
        <f>_xlfn.XLOOKUP(Tableau119[[#This Row],[Key(ID-date)]],'DATA BTO'!S:S,'DATA BTO'!G:G,FALSE)</f>
        <v>0</v>
      </c>
      <c r="AE195" s="50" t="b">
        <f>_xlfn.XLOOKUP(Tableau119[[#This Row],[Key(ID-date)]],'DATA BTO'!S:S,'DATA BTO'!H:H,FALSE)</f>
        <v>0</v>
      </c>
      <c r="AF195" s="81" t="e">
        <f>IF(Tableau119[[#This Row],[First Day to POL]]&lt;=Tableau119[[#This Row],[Day Cut Off]],Tableau119[[#This Row],[Day ETD]],Tableau119[[#This Row],[Day ETD]]+7)</f>
        <v>#N/A</v>
      </c>
      <c r="AG195" s="50" t="b">
        <f>_xlfn.XLOOKUP(Tableau119[[#This Row],[Key(ID-date)]],'DATA BTO'!S:S,'DATA BTO'!I:I,FALSE)</f>
        <v>0</v>
      </c>
      <c r="AH195" s="3" t="b">
        <f>_xlfn.XLOOKUP(Tableau119[[#This Row],[Key(ID-date)]],'DATA BTO'!S:S,'DATA BTO'!J:J,FALSE)</f>
        <v>0</v>
      </c>
      <c r="AI195" s="3" t="b">
        <f>_xlfn.XLOOKUP(Tableau119[[#This Row],[Key(ID-date)]],'DATA BTO'!S:S,'DATA BTO'!K:K,FALSE)</f>
        <v>0</v>
      </c>
      <c r="AJ195" s="50" t="b">
        <f>_xlfn.XLOOKUP(Tableau119[[#This Row],[Key(ID-date)]],'DATA BTO'!S:S,'DATA BTO'!L:L,FALSE)</f>
        <v>0</v>
      </c>
      <c r="AK195" s="53" t="b">
        <f>_xlfn.XLOOKUP(Tableau119[[#This Row],[Key(ID-date)]],'DATA BTO'!S:S,'DATA BTO'!N:N,FALSE)</f>
        <v>0</v>
      </c>
      <c r="AL195" s="107" t="e">
        <f>VLOOKUP(Tableau119[[#This Row],[Key(POD -PFI- Usine)]],'DATA Consignee'!A:F,6,FALSE)</f>
        <v>#N/A</v>
      </c>
      <c r="AM195" s="127"/>
      <c r="AN195" s="443" t="str">
        <f>IF(Tableau119[[#This Row],[Name PFI/CDD]]="","-",VLOOKUP(Tableau119[[#This Row],[Name PFI/CDD]],Plant_AILN!I:J,2,FALSE))</f>
        <v>-</v>
      </c>
      <c r="AO19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5" s="110" t="e">
        <f>VLOOKUP(Tableau119[[#This Row],[Key(POD -PFI- Usine)]],'DATA Consignee'!A:J,10,FALSE)</f>
        <v>#N/A</v>
      </c>
      <c r="AR195" s="81" t="e">
        <f>VLOOKUP(Tableau119[[#This Row],[Key(POD -PFI- Usine)]],'DATA Consignee'!A:N,14,FALSE)</f>
        <v>#N/A</v>
      </c>
      <c r="AS19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5" s="81">
        <f>Tableau119[[#This Row],[Transit time]]+Tableau119[[#This Row],[Time for security]]+Tableau119[[#This Row],[Time for security2 buffer]]</f>
        <v>0</v>
      </c>
      <c r="AV195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5" s="81" t="e">
        <f>Tableau119[[#This Row],[Leadtime SI2C]]+Tableau119[[#This Row],[First Receipt Days]]-Tableau119[[#This Row],[Day Customer Order]]+1</f>
        <v>#N/A</v>
      </c>
      <c r="AX195" s="120" t="e">
        <f>IF(Tableau119[[#This Row],[Name ILN]]&lt;&gt;"SFK Freight Forwarder",Tableau119[[#This Row],[Cust. Leadtime]],Tableau119[[#This Row],[Leadtime SI2C]])</f>
        <v>#N/A</v>
      </c>
      <c r="AY195" s="51" t="b">
        <f>_xlfn.XLOOKUP(Tableau119[[#This Row],[Key(ID-date)]],'DATA BTO'!S:S,'DATA BTO'!P:P,FALSE)</f>
        <v>0</v>
      </c>
      <c r="AZ195" s="338">
        <v>46142</v>
      </c>
      <c r="BA195" s="50"/>
    </row>
    <row r="196" spans="2:53">
      <c r="B196" s="67" t="str">
        <f>_xlfn.CONCAT(Tableau119[[#This Row],[Name ILN]],"-",Tableau119[[#This Row],[Name Shipper]],"-",Tableau119[[#This Row],[Name Site]])</f>
        <v>ILN FR-STA-RKM</v>
      </c>
      <c r="C196" s="67" t="str">
        <f>_xlfn.CONCAT(Tableau119[[#This Row],[Compte ILN]],"-",Tableau119[[#This Row],[Compte Shipper]],"-",Tableau119[[#This Row],[POL]],"-",Tableau119[[#This Row],[Compte Consignee]])</f>
        <v>92000100-90018400-FALSO-92002200</v>
      </c>
      <c r="D196" s="82" t="str">
        <f>_xlfn.CONCAT(Tableau119[[#This Row],[Compte ILN]],"-",Tableau119[[#This Row],[Compte Shipper]],"-",Tableau119[[#This Row],[POL]])</f>
        <v>92000100-90018400-FALSO</v>
      </c>
      <c r="E196" s="83" t="str">
        <f>_xlfn.CONCAT(Tableau119[[#This Row],[POL]],"-",Tableau119[[#This Row],[Carrier]],"-",Tableau119[[#This Row],[POD]])</f>
        <v>FALSO-FALSO-FALSO</v>
      </c>
      <c r="F196" s="82" t="str">
        <f>_xlfn.CONCAT(Tableau119[[#This Row],[ID]],"-","Actif")</f>
        <v>58-Actif</v>
      </c>
      <c r="G196" s="82" t="str">
        <f>_xlfn.CONCAT(Tableau119[[#This Row],[POD]],"-",Tableau119[[#This Row],[Code PFI]],"-",Tableau119[[#This Row],[Compte Consignee]])</f>
        <v>FALSO---92002200</v>
      </c>
      <c r="H196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90018400FALSORKM</v>
      </c>
      <c r="I196" s="502" t="str">
        <f>_xlfn.CONCAT(Tableau119[[#This Row],[ID]],"-",Tableau119[[#This Row],[Expiration Date]])</f>
        <v>58-46142</v>
      </c>
      <c r="J1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FR-STA-58-FALSO-FALSO-FALSO--46142</v>
      </c>
      <c r="K196" s="444" t="str">
        <f ca="1">IF(COUNTIF(J:J,Tableau119[[#This Row],[Plant-ILN-shipper-POL-Carrier-POD-PFI]])=1,"Non","Oui")</f>
        <v>Non</v>
      </c>
      <c r="L196" s="445" t="str">
        <f>VLOOKUP(Tableau119[[#This Row],[Name Site]],Plant_AILN!A:D,4,FALSE)</f>
        <v>KOREA</v>
      </c>
      <c r="M196" s="285" t="s">
        <v>145</v>
      </c>
      <c r="N196" s="439">
        <f>VLOOKUP(Tableau119[[#This Row],[Name Site]],Plant_AILN!A:C,3,FALSE)</f>
        <v>92002200</v>
      </c>
      <c r="O196" s="55">
        <f>IF(Tableau119[[#This Row],[Name PFI/CDD]]="PFI VLL",2,VLOOKUP(Tableau119[[#This Row],[Compte Consignee]],Order!C:D,2,FALSE))</f>
        <v>2</v>
      </c>
      <c r="P196" s="126" t="s">
        <v>143</v>
      </c>
      <c r="Q196" s="366">
        <f>VLOOKUP(Tableau119[[#This Row],[Name ILN]],Plant_AILN!F:G,2,FALSE)</f>
        <v>92000100</v>
      </c>
      <c r="R196" s="50">
        <f>VLOOKUP(Tableau119[[#This Row],[Compte ILN]],'DATA ILN'!D:I,6,FALSE)</f>
        <v>9</v>
      </c>
      <c r="S196" s="50" t="e">
        <f>IFERROR(VLOOKUP(Tableau119[[#This Row],[Key(Compte ILN - shipper - POL - plant)]],'DATA ILN'!A:J,10,FALSE),VLOOKUP(Tableau119[[#This Row],[Key(Compte ILN - shipper - POL)]],'DATA ILN'!B:J,9,FALSE))</f>
        <v>#N/A</v>
      </c>
      <c r="T196" s="81" t="e">
        <f>IFERROR(VLOOKUP(Tableau119[[#This Row],[Key(Compte ILN - shipper - POL - plant)]],'DATA ILN'!A:K,11,FALSE),VLOOKUP(Tableau119[[#This Row],[Key(Compte ILN - shipper - POL)]],'DATA ILN'!B:K,10,FALSE))</f>
        <v>#N/A</v>
      </c>
      <c r="U196" s="81" t="e">
        <f>IFERROR(VLOOKUP(Tableau119[[#This Row],[Key(Compte ILN - shipper - POL - plant)]],'DATA ILN'!A:L,12,FALSE),VLOOKUP(Tableau119[[#This Row],[Key(Compte ILN - shipper - POL)]],'DATA ILN'!B:L,11,FALSE))</f>
        <v>#N/A</v>
      </c>
      <c r="V196" s="81" t="e">
        <f>Tableau119[[#This Row],[Day ILN Order]]+Tableau119[[#This Row],[Delivery time to ILN/Shipper]]-1</f>
        <v>#N/A</v>
      </c>
      <c r="W196" s="81" t="e">
        <f>IFERROR(VLOOKUP(Tableau119[[#This Row],[Key(Compte ILN - shipper - POL - plant)]],'DATA ILN'!A:N,14,FALSE),VLOOKUP(Tableau119[[#This Row],[Key(Compte ILN - shipper - POL)]],'DATA ILN'!B:N,13,FALSE))</f>
        <v>#N/A</v>
      </c>
      <c r="X196" s="106" t="e">
        <f>IFERROR(VLOOKUP(Tableau119[[#This Row],[Key(Compte ILN - shipper - POL - plant)]],'DATA ILN'!A:P,16,FALSE),VLOOKUP(Tableau119[[#This Row],[Key(Compte ILN - shipper - POL)]],'DATA ILN'!B:P,15,FALSE))</f>
        <v>#N/A</v>
      </c>
      <c r="Y196" s="284" t="s">
        <v>219</v>
      </c>
      <c r="Z196" s="442">
        <f>IFERROR(VLOOKUP(Tableau119[[#This Row],[Name Shipper]],Plant_AILN!L:M,2,FALSE),0)</f>
        <v>90018400</v>
      </c>
      <c r="AA196" s="406">
        <v>58</v>
      </c>
      <c r="AB196" s="396" t="b">
        <f>_xlfn.XLOOKUP(Tableau119[[#This Row],[Key(ID-date)]],'DATA BTO'!S:S,'DATA BTO'!E:E,FALSE)</f>
        <v>0</v>
      </c>
      <c r="AC196" s="3" t="b">
        <f>_xlfn.XLOOKUP(Tableau119[[#This Row],[Key(ID-date)]],'DATA BTO'!S:S,'DATA BTO'!F:F,FALSE)</f>
        <v>0</v>
      </c>
      <c r="AD196" s="50" t="b">
        <f>_xlfn.XLOOKUP(Tableau119[[#This Row],[Key(ID-date)]],'DATA BTO'!S:S,'DATA BTO'!G:G,FALSE)</f>
        <v>0</v>
      </c>
      <c r="AE196" s="50" t="b">
        <f>_xlfn.XLOOKUP(Tableau119[[#This Row],[Key(ID-date)]],'DATA BTO'!S:S,'DATA BTO'!H:H,FALSE)</f>
        <v>0</v>
      </c>
      <c r="AF196" s="81" t="e">
        <f>IF(Tableau119[[#This Row],[First Day to POL]]&lt;=Tableau119[[#This Row],[Day Cut Off]],Tableau119[[#This Row],[Day ETD]],Tableau119[[#This Row],[Day ETD]]+7)</f>
        <v>#N/A</v>
      </c>
      <c r="AG196" s="50" t="b">
        <f>_xlfn.XLOOKUP(Tableau119[[#This Row],[Key(ID-date)]],'DATA BTO'!S:S,'DATA BTO'!I:I,FALSE)</f>
        <v>0</v>
      </c>
      <c r="AH196" s="3" t="b">
        <f>_xlfn.XLOOKUP(Tableau119[[#This Row],[Key(ID-date)]],'DATA BTO'!S:S,'DATA BTO'!J:J,FALSE)</f>
        <v>0</v>
      </c>
      <c r="AI196" s="3" t="b">
        <f>_xlfn.XLOOKUP(Tableau119[[#This Row],[Key(ID-date)]],'DATA BTO'!S:S,'DATA BTO'!K:K,FALSE)</f>
        <v>0</v>
      </c>
      <c r="AJ196" s="50" t="b">
        <f>_xlfn.XLOOKUP(Tableau119[[#This Row],[Key(ID-date)]],'DATA BTO'!S:S,'DATA BTO'!L:L,FALSE)</f>
        <v>0</v>
      </c>
      <c r="AK196" s="53" t="b">
        <f>_xlfn.XLOOKUP(Tableau119[[#This Row],[Key(ID-date)]],'DATA BTO'!S:S,'DATA BTO'!N:N,FALSE)</f>
        <v>0</v>
      </c>
      <c r="AL196" s="107" t="e">
        <f>VLOOKUP(Tableau119[[#This Row],[Key(POD -PFI- Usine)]],'DATA Consignee'!A:F,6,FALSE)</f>
        <v>#N/A</v>
      </c>
      <c r="AM196" s="127"/>
      <c r="AN196" s="443" t="str">
        <f>IF(Tableau119[[#This Row],[Name PFI/CDD]]="","-",VLOOKUP(Tableau119[[#This Row],[Name PFI/CDD]],Plant_AILN!I:J,2,FALSE))</f>
        <v>-</v>
      </c>
      <c r="AO19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6" s="110" t="e">
        <f>VLOOKUP(Tableau119[[#This Row],[Key(POD -PFI- Usine)]],'DATA Consignee'!A:J,10,FALSE)</f>
        <v>#N/A</v>
      </c>
      <c r="AR196" s="81" t="e">
        <f>VLOOKUP(Tableau119[[#This Row],[Key(POD -PFI- Usine)]],'DATA Consignee'!A:N,14,FALSE)</f>
        <v>#N/A</v>
      </c>
      <c r="AS19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6" s="81">
        <f>Tableau119[[#This Row],[Transit time]]+Tableau119[[#This Row],[Time for security]]+Tableau119[[#This Row],[Time for security2 buffer]]</f>
        <v>0</v>
      </c>
      <c r="AV196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6" s="81" t="e">
        <f>Tableau119[[#This Row],[Leadtime SI2C]]+Tableau119[[#This Row],[First Receipt Days]]-Tableau119[[#This Row],[Day Customer Order]]+1</f>
        <v>#N/A</v>
      </c>
      <c r="AX196" s="120" t="e">
        <f>IF(Tableau119[[#This Row],[Name ILN]]&lt;&gt;"SFK Freight Forwarder",Tableau119[[#This Row],[Cust. Leadtime]],Tableau119[[#This Row],[Leadtime SI2C]])</f>
        <v>#N/A</v>
      </c>
      <c r="AY196" s="51" t="b">
        <f>_xlfn.XLOOKUP(Tableau119[[#This Row],[Key(ID-date)]],'DATA BTO'!S:S,'DATA BTO'!P:P,FALSE)</f>
        <v>0</v>
      </c>
      <c r="AZ196" s="338">
        <v>46142</v>
      </c>
      <c r="BA196" s="50"/>
    </row>
    <row r="197" spans="2:53">
      <c r="B197" s="67" t="str">
        <f>_xlfn.CONCAT(Tableau119[[#This Row],[Name ILN]],"-",Tableau119[[#This Row],[Name Shipper]],"-",Tableau119[[#This Row],[Name Site]])</f>
        <v>ILN FR-RENAULT CLEON-RKM</v>
      </c>
      <c r="C197" s="67" t="str">
        <f>_xlfn.CONCAT(Tableau119[[#This Row],[Compte ILN]],"-",Tableau119[[#This Row],[Compte Shipper]],"-",Tableau119[[#This Row],[POL]],"-",Tableau119[[#This Row],[Compte Consignee]])</f>
        <v>92000100-90016100-FALSO-92002200</v>
      </c>
      <c r="D197" s="82" t="str">
        <f>_xlfn.CONCAT(Tableau119[[#This Row],[Compte ILN]],"-",Tableau119[[#This Row],[Compte Shipper]],"-",Tableau119[[#This Row],[POL]])</f>
        <v>92000100-90016100-FALSO</v>
      </c>
      <c r="E197" s="83" t="str">
        <f>_xlfn.CONCAT(Tableau119[[#This Row],[POL]],"-",Tableau119[[#This Row],[Carrier]],"-",Tableau119[[#This Row],[POD]])</f>
        <v>FALSO-FALSO-FALSO</v>
      </c>
      <c r="F197" s="82" t="str">
        <f>_xlfn.CONCAT(Tableau119[[#This Row],[ID]],"-","Actif")</f>
        <v>58-Actif</v>
      </c>
      <c r="G197" s="82" t="str">
        <f>_xlfn.CONCAT(Tableau119[[#This Row],[POD]],"-",Tableau119[[#This Row],[Code PFI]],"-",Tableau119[[#This Row],[Compte Consignee]])</f>
        <v>FALSO---92002200</v>
      </c>
      <c r="H197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90016100FALSORKM</v>
      </c>
      <c r="I197" s="502" t="str">
        <f>_xlfn.CONCAT(Tableau119[[#This Row],[ID]],"-",Tableau119[[#This Row],[Expiration Date]])</f>
        <v>58-46142</v>
      </c>
      <c r="J1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FR-RENAULT CLEON-58-FALSO-FALSO-FALSO--46142</v>
      </c>
      <c r="K197" s="444" t="str">
        <f ca="1">IF(COUNTIF(J:J,Tableau119[[#This Row],[Plant-ILN-shipper-POL-Carrier-POD-PFI]])=1,"Non","Oui")</f>
        <v>Non</v>
      </c>
      <c r="L197" s="103" t="str">
        <f>VLOOKUP(Tableau119[[#This Row],[Name Site]],Plant_AILN!A:D,4,FALSE)</f>
        <v>KOREA</v>
      </c>
      <c r="M197" s="285" t="s">
        <v>145</v>
      </c>
      <c r="N197" s="439">
        <f>VLOOKUP(Tableau119[[#This Row],[Name Site]],Plant_AILN!A:C,3,FALSE)</f>
        <v>92002200</v>
      </c>
      <c r="O197" s="55">
        <f>IF(Tableau119[[#This Row],[Name PFI/CDD]]="PFI VLL",2,VLOOKUP(Tableau119[[#This Row],[Compte Consignee]],Order!C:D,2,FALSE))</f>
        <v>2</v>
      </c>
      <c r="P197" s="126" t="s">
        <v>143</v>
      </c>
      <c r="Q197" s="366">
        <f>VLOOKUP(Tableau119[[#This Row],[Name ILN]],Plant_AILN!F:G,2,FALSE)</f>
        <v>92000100</v>
      </c>
      <c r="R197" s="50">
        <f>VLOOKUP(Tableau119[[#This Row],[Compte ILN]],'DATA ILN'!D:I,6,FALSE)</f>
        <v>9</v>
      </c>
      <c r="S197" s="50" t="e">
        <f>IFERROR(VLOOKUP(Tableau119[[#This Row],[Key(Compte ILN - shipper - POL - plant)]],'DATA ILN'!A:J,10,FALSE),VLOOKUP(Tableau119[[#This Row],[Key(Compte ILN - shipper - POL)]],'DATA ILN'!B:J,9,FALSE))</f>
        <v>#N/A</v>
      </c>
      <c r="T197" s="81" t="e">
        <f>IFERROR(VLOOKUP(Tableau119[[#This Row],[Key(Compte ILN - shipper - POL - plant)]],'DATA ILN'!A:K,11,FALSE),VLOOKUP(Tableau119[[#This Row],[Key(Compte ILN - shipper - POL)]],'DATA ILN'!B:K,10,FALSE))</f>
        <v>#N/A</v>
      </c>
      <c r="U197" s="81" t="e">
        <f>IFERROR(VLOOKUP(Tableau119[[#This Row],[Key(Compte ILN - shipper - POL - plant)]],'DATA ILN'!A:L,12,FALSE),VLOOKUP(Tableau119[[#This Row],[Key(Compte ILN - shipper - POL)]],'DATA ILN'!B:L,11,FALSE))</f>
        <v>#N/A</v>
      </c>
      <c r="V197" s="81" t="e">
        <f>Tableau119[[#This Row],[Day ILN Order]]+Tableau119[[#This Row],[Delivery time to ILN/Shipper]]-1</f>
        <v>#N/A</v>
      </c>
      <c r="W197" s="81" t="e">
        <f>IFERROR(VLOOKUP(Tableau119[[#This Row],[Key(Compte ILN - shipper - POL - plant)]],'DATA ILN'!A:N,14,FALSE),VLOOKUP(Tableau119[[#This Row],[Key(Compte ILN - shipper - POL)]],'DATA ILN'!B:N,13,FALSE))</f>
        <v>#N/A</v>
      </c>
      <c r="X197" s="106" t="e">
        <f>IFERROR(VLOOKUP(Tableau119[[#This Row],[Key(Compte ILN - shipper - POL - plant)]],'DATA ILN'!A:P,16,FALSE),VLOOKUP(Tableau119[[#This Row],[Key(Compte ILN - shipper - POL)]],'DATA ILN'!B:P,15,FALSE))</f>
        <v>#N/A</v>
      </c>
      <c r="Y197" s="284" t="s">
        <v>291</v>
      </c>
      <c r="Z197" s="442">
        <f>IFERROR(VLOOKUP(Tableau119[[#This Row],[Name Shipper]],Plant_AILN!L:M,2,FALSE),0)</f>
        <v>90016100</v>
      </c>
      <c r="AA197" s="406">
        <v>58</v>
      </c>
      <c r="AB197" s="396" t="b">
        <f>_xlfn.XLOOKUP(Tableau119[[#This Row],[Key(ID-date)]],'DATA BTO'!S:S,'DATA BTO'!E:E,FALSE)</f>
        <v>0</v>
      </c>
      <c r="AC197" s="3" t="b">
        <f>_xlfn.XLOOKUP(Tableau119[[#This Row],[Key(ID-date)]],'DATA BTO'!S:S,'DATA BTO'!F:F,FALSE)</f>
        <v>0</v>
      </c>
      <c r="AD197" s="50" t="b">
        <f>_xlfn.XLOOKUP(Tableau119[[#This Row],[Key(ID-date)]],'DATA BTO'!S:S,'DATA BTO'!G:G,FALSE)</f>
        <v>0</v>
      </c>
      <c r="AE197" s="50" t="b">
        <f>_xlfn.XLOOKUP(Tableau119[[#This Row],[Key(ID-date)]],'DATA BTO'!S:S,'DATA BTO'!H:H,FALSE)</f>
        <v>0</v>
      </c>
      <c r="AF197" s="81" t="e">
        <f>IF(Tableau119[[#This Row],[First Day to POL]]&lt;=Tableau119[[#This Row],[Day Cut Off]],Tableau119[[#This Row],[Day ETD]],Tableau119[[#This Row],[Day ETD]]+7)</f>
        <v>#N/A</v>
      </c>
      <c r="AG197" s="50" t="b">
        <f>_xlfn.XLOOKUP(Tableau119[[#This Row],[Key(ID-date)]],'DATA BTO'!S:S,'DATA BTO'!I:I,FALSE)</f>
        <v>0</v>
      </c>
      <c r="AH197" s="3" t="b">
        <f>_xlfn.XLOOKUP(Tableau119[[#This Row],[Key(ID-date)]],'DATA BTO'!S:S,'DATA BTO'!J:J,FALSE)</f>
        <v>0</v>
      </c>
      <c r="AI197" s="3" t="b">
        <f>_xlfn.XLOOKUP(Tableau119[[#This Row],[Key(ID-date)]],'DATA BTO'!S:S,'DATA BTO'!K:K,FALSE)</f>
        <v>0</v>
      </c>
      <c r="AJ197" s="50" t="b">
        <f>_xlfn.XLOOKUP(Tableau119[[#This Row],[Key(ID-date)]],'DATA BTO'!S:S,'DATA BTO'!L:L,FALSE)</f>
        <v>0</v>
      </c>
      <c r="AK197" s="53" t="b">
        <f>_xlfn.XLOOKUP(Tableau119[[#This Row],[Key(ID-date)]],'DATA BTO'!S:S,'DATA BTO'!N:N,FALSE)</f>
        <v>0</v>
      </c>
      <c r="AL197" s="107" t="e">
        <f>VLOOKUP(Tableau119[[#This Row],[Key(POD -PFI- Usine)]],'DATA Consignee'!A:F,6,FALSE)</f>
        <v>#N/A</v>
      </c>
      <c r="AM197" s="127"/>
      <c r="AN197" s="443" t="str">
        <f>IF(Tableau119[[#This Row],[Name PFI/CDD]]="","-",VLOOKUP(Tableau119[[#This Row],[Name PFI/CDD]],Plant_AILN!I:J,2,FALSE))</f>
        <v>-</v>
      </c>
      <c r="AO19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7" s="110" t="e">
        <f>VLOOKUP(Tableau119[[#This Row],[Key(POD -PFI- Usine)]],'DATA Consignee'!A:J,10,FALSE)</f>
        <v>#N/A</v>
      </c>
      <c r="AR197" s="81" t="e">
        <f>VLOOKUP(Tableau119[[#This Row],[Key(POD -PFI- Usine)]],'DATA Consignee'!A:N,14,FALSE)</f>
        <v>#N/A</v>
      </c>
      <c r="AS19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7" s="81">
        <f>Tableau119[[#This Row],[Transit time]]+Tableau119[[#This Row],[Time for security]]+Tableau119[[#This Row],[Time for security2 buffer]]</f>
        <v>0</v>
      </c>
      <c r="AV197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7" s="81" t="e">
        <f>Tableau119[[#This Row],[Leadtime SI2C]]+Tableau119[[#This Row],[First Receipt Days]]-Tableau119[[#This Row],[Day Customer Order]]+1</f>
        <v>#N/A</v>
      </c>
      <c r="AX197" s="120" t="e">
        <f>IF(Tableau119[[#This Row],[Name ILN]]&lt;&gt;"SFK Freight Forwarder",Tableau119[[#This Row],[Cust. Leadtime]],Tableau119[[#This Row],[Leadtime SI2C]])</f>
        <v>#N/A</v>
      </c>
      <c r="AY197" s="51" t="b">
        <f>_xlfn.XLOOKUP(Tableau119[[#This Row],[Key(ID-date)]],'DATA BTO'!S:S,'DATA BTO'!P:P,FALSE)</f>
        <v>0</v>
      </c>
      <c r="AZ197" s="338">
        <v>46142</v>
      </c>
      <c r="BA197" s="50"/>
    </row>
    <row r="198" spans="2:53" ht="15" customHeight="1">
      <c r="B198" s="474" t="str">
        <f>_xlfn.CONCAT(Tableau119[[#This Row],[Name ILN]],"-",Tableau119[[#This Row],[Name Shipper]],"-",Tableau119[[#This Row],[Name Site]])</f>
        <v>ILN FR-ILN FR-RKM</v>
      </c>
      <c r="C198" s="67" t="str">
        <f>_xlfn.CONCAT(Tableau119[[#This Row],[Compte ILN]],"-",Tableau119[[#This Row],[Compte Shipper]],"-",Tableau119[[#This Row],[POL]],"-",Tableau119[[#This Row],[Compte Consignee]])</f>
        <v>92000100-92000100-FALSO-92002200</v>
      </c>
      <c r="D198" s="82" t="str">
        <f>_xlfn.CONCAT(Tableau119[[#This Row],[Compte ILN]],"-",Tableau119[[#This Row],[Compte Shipper]],"-",Tableau119[[#This Row],[POL]])</f>
        <v>92000100-92000100-FALSO</v>
      </c>
      <c r="E198" s="83" t="str">
        <f>_xlfn.CONCAT(Tableau119[[#This Row],[POL]],"-",Tableau119[[#This Row],[Carrier]],"-",Tableau119[[#This Row],[POD]])</f>
        <v>FALSO-FALSO-FALSO</v>
      </c>
      <c r="F198" s="82" t="str">
        <f>_xlfn.CONCAT(Tableau119[[#This Row],[ID]],"-","Actif")</f>
        <v>58-Actif</v>
      </c>
      <c r="G198" s="82" t="str">
        <f>_xlfn.CONCAT(Tableau119[[#This Row],[POD]],"-",Tableau119[[#This Row],[Code PFI]],"-",Tableau119[[#This Row],[Compte Consignee]])</f>
        <v>FALSO---92002200</v>
      </c>
      <c r="H198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FRFALSORKM</v>
      </c>
      <c r="I198" s="502" t="str">
        <f>_xlfn.CONCAT(Tableau119[[#This Row],[ID]],"-",Tableau119[[#This Row],[Expiration Date]])</f>
        <v>58-45777</v>
      </c>
      <c r="J1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FR-ILN FR-58-FALSO-FALSO-FALSO--45777</v>
      </c>
      <c r="K198" s="444" t="str">
        <f ca="1">IF(COUNTIF(J:J,Tableau119[[#This Row],[Plant-ILN-shipper-POL-Carrier-POD-PFI]])=1,"Non","Oui")</f>
        <v>Non</v>
      </c>
      <c r="L198" s="103" t="str">
        <f>VLOOKUP(Tableau119[[#This Row],[Name Site]],Plant_AILN!A:D,4,FALSE)</f>
        <v>KOREA</v>
      </c>
      <c r="M198" s="411" t="s">
        <v>145</v>
      </c>
      <c r="N198" s="439">
        <f>VLOOKUP(Tableau119[[#This Row],[Name Site]],Plant_AILN!A:C,3,FALSE)</f>
        <v>92002200</v>
      </c>
      <c r="O198" s="55">
        <f>VLOOKUP(Tableau119[[#This Row],[Compte Consignee]],Order!C:D,2,FALSE)</f>
        <v>2</v>
      </c>
      <c r="P198" s="126" t="s">
        <v>143</v>
      </c>
      <c r="Q198" s="366">
        <f>VLOOKUP(Tableau119[[#This Row],[Name ILN]],Plant_AILN!F:G,2,FALSE)</f>
        <v>92000100</v>
      </c>
      <c r="R198" s="50">
        <f>VLOOKUP(Tableau119[[#This Row],[Compte ILN]],'DATA ILN'!D:I,6,FALSE)</f>
        <v>9</v>
      </c>
      <c r="S198" s="81" t="e">
        <f>IFERROR(VLOOKUP(Tableau119[[#This Row],[Key(Compte ILN - shipper - POL - plant)]],'DATA ILN'!A:J,10,FALSE),VLOOKUP(Tableau119[[#This Row],[Key(Compte ILN - shipper - POL)]],'DATA ILN'!B:J,9,FALSE))</f>
        <v>#N/A</v>
      </c>
      <c r="T198" s="81" t="e">
        <f>IFERROR(VLOOKUP(Tableau119[[#This Row],[Key(Compte ILN - shipper - POL - plant)]],'DATA ILN'!A:K,11,FALSE),VLOOKUP(Tableau119[[#This Row],[Key(Compte ILN - shipper - POL)]],'DATA ILN'!B:K,10,FALSE))</f>
        <v>#N/A</v>
      </c>
      <c r="U198" s="81" t="e">
        <f>IFERROR(VLOOKUP(Tableau119[[#This Row],[Key(Compte ILN - shipper - POL - plant)]],'DATA ILN'!A:L,12,FALSE),VLOOKUP(Tableau119[[#This Row],[Key(Compte ILN - shipper - POL)]],'DATA ILN'!B:L,11,FALSE))</f>
        <v>#N/A</v>
      </c>
      <c r="V198" s="81" t="e">
        <f>Tableau119[[#This Row],[Day ILN Order]]+Tableau119[[#This Row],[Delivery time to ILN/Shipper]]-1</f>
        <v>#N/A</v>
      </c>
      <c r="W198" s="81" t="e">
        <f>IFERROR(VLOOKUP(Tableau119[[#This Row],[Key(Compte ILN - shipper - POL - plant)]],'DATA ILN'!A:N,14,FALSE),VLOOKUP(Tableau119[[#This Row],[Key(Compte ILN - shipper - POL)]],'DATA ILN'!B:N,13,FALSE))</f>
        <v>#N/A</v>
      </c>
      <c r="X198" s="106" t="e">
        <f>IFERROR(VLOOKUP(Tableau119[[#This Row],[Key(Compte ILN - shipper - POL - plant)]],'DATA ILN'!A:P,16,FALSE),VLOOKUP(Tableau119[[#This Row],[Key(Compte ILN - shipper - POL)]],'DATA ILN'!B:P,15,FALSE))</f>
        <v>#N/A</v>
      </c>
      <c r="Y198" s="284" t="s">
        <v>143</v>
      </c>
      <c r="Z198" s="442">
        <f>IFERROR(VLOOKUP(Tableau119[[#This Row],[Name Shipper]],Plant_AILN!L:M,2,FALSE),0)</f>
        <v>92000100</v>
      </c>
      <c r="AA198" s="406">
        <v>58</v>
      </c>
      <c r="AB198" s="396" t="b">
        <f>_xlfn.XLOOKUP(Tableau119[[#This Row],[Key(ID-date)]],'DATA BTO'!S:S,'DATA BTO'!E:E,FALSE)</f>
        <v>0</v>
      </c>
      <c r="AC198" s="3" t="b">
        <f>_xlfn.XLOOKUP(Tableau119[[#This Row],[Key(ID-date)]],'DATA BTO'!S:S,'DATA BTO'!F:F,FALSE)</f>
        <v>0</v>
      </c>
      <c r="AD198" s="50" t="b">
        <f>_xlfn.XLOOKUP(Tableau119[[#This Row],[Key(ID-date)]],'DATA BTO'!S:S,'DATA BTO'!G:G,FALSE)</f>
        <v>0</v>
      </c>
      <c r="AE198" s="50" t="b">
        <f>_xlfn.XLOOKUP(Tableau119[[#This Row],[Key(ID-date)]],'DATA BTO'!S:S,'DATA BTO'!H:H,FALSE)</f>
        <v>0</v>
      </c>
      <c r="AF198" s="81" t="e">
        <f>IF(Tableau119[[#This Row],[First Day to POL]]&lt;=Tableau119[[#This Row],[Day Cut Off]],Tableau119[[#This Row],[Day ETD]],Tableau119[[#This Row],[Day ETD]]+7)</f>
        <v>#N/A</v>
      </c>
      <c r="AG198" s="50" t="b">
        <f>_xlfn.XLOOKUP(Tableau119[[#This Row],[Key(ID-date)]],'DATA BTO'!S:S,'DATA BTO'!I:I,FALSE)</f>
        <v>0</v>
      </c>
      <c r="AH198" s="3" t="b">
        <f>_xlfn.XLOOKUP(Tableau119[[#This Row],[Key(ID-date)]],'DATA BTO'!S:S,'DATA BTO'!J:J,FALSE)</f>
        <v>0</v>
      </c>
      <c r="AI198" s="3" t="b">
        <f>_xlfn.XLOOKUP(Tableau119[[#This Row],[Key(ID-date)]],'DATA BTO'!S:S,'DATA BTO'!K:K,FALSE)</f>
        <v>0</v>
      </c>
      <c r="AJ198" s="50" t="b">
        <f>_xlfn.XLOOKUP(Tableau119[[#This Row],[Key(ID-date)]],'DATA BTO'!S:S,'DATA BTO'!L:L,FALSE)</f>
        <v>0</v>
      </c>
      <c r="AK198" s="53" t="b">
        <f>_xlfn.XLOOKUP(Tableau119[[#This Row],[Key(ID-date)]],'DATA BTO'!S:S,'DATA BTO'!N:N,FALSE)</f>
        <v>0</v>
      </c>
      <c r="AL198" s="107" t="e">
        <f>VLOOKUP(Tableau119[[#This Row],[Key(POD -PFI- Usine)]],'DATA Consignee'!A:F,6,FALSE)</f>
        <v>#N/A</v>
      </c>
      <c r="AM198" s="138"/>
      <c r="AN198" s="443" t="str">
        <f>IF(Tableau119[[#This Row],[Name PFI/CDD]]="","-",VLOOKUP(Tableau119[[#This Row],[Name PFI/CDD]],Plant_AILN!I:J,2,FALSE))</f>
        <v>-</v>
      </c>
      <c r="AO19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8" s="110" t="e">
        <f>VLOOKUP(Tableau119[[#This Row],[Key(POD -PFI- Usine)]],'DATA Consignee'!A:J,10,FALSE)</f>
        <v>#N/A</v>
      </c>
      <c r="AR198" s="81" t="e">
        <f>VLOOKUP(Tableau119[[#This Row],[Key(POD -PFI- Usine)]],'DATA Consignee'!A:N,14,FALSE)</f>
        <v>#N/A</v>
      </c>
      <c r="AS19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8" s="81">
        <f>Tableau119[[#This Row],[Transit time]]+Tableau119[[#This Row],[Time for security]]+Tableau119[[#This Row],[Time for security2 buffer]]</f>
        <v>0</v>
      </c>
      <c r="AV198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8" s="81" t="e">
        <f>Tableau119[[#This Row],[Leadtime SI2C]]+Tableau119[[#This Row],[First Receipt Days]]-Tableau119[[#This Row],[Day Customer Order]]+1</f>
        <v>#N/A</v>
      </c>
      <c r="AX198" s="120" t="e">
        <f>IF(Tableau119[[#This Row],[Name ILN]]&lt;&gt;"SFK Freight Forwarder",Tableau119[[#This Row],[Cust. Leadtime]],Tableau119[[#This Row],[Leadtime SI2C]])</f>
        <v>#N/A</v>
      </c>
      <c r="AY198" s="51" t="b">
        <f>_xlfn.XLOOKUP(Tableau119[[#This Row],[Key(ID-date)]],'DATA BTO'!S:S,'DATA BTO'!P:P,FALSE)</f>
        <v>0</v>
      </c>
      <c r="AZ198" s="338">
        <v>45777</v>
      </c>
      <c r="BA198" s="50"/>
    </row>
    <row r="199" spans="2:53">
      <c r="B199" s="474" t="str">
        <f>_xlfn.CONCAT(Tableau119[[#This Row],[Name ILN]],"-",Tableau119[[#This Row],[Name Shipper]],"-",Tableau119[[#This Row],[Name Site]])</f>
        <v>ILN FR-STA-RKM</v>
      </c>
      <c r="C199" s="67" t="str">
        <f>_xlfn.CONCAT(Tableau119[[#This Row],[Compte ILN]],"-",Tableau119[[#This Row],[Compte Shipper]],"-",Tableau119[[#This Row],[POL]],"-",Tableau119[[#This Row],[Compte Consignee]])</f>
        <v>92000100-90018400-FALSO-92002200</v>
      </c>
      <c r="D199" s="82" t="str">
        <f>_xlfn.CONCAT(Tableau119[[#This Row],[Compte ILN]],"-",Tableau119[[#This Row],[Compte Shipper]],"-",Tableau119[[#This Row],[POL]])</f>
        <v>92000100-90018400-FALSO</v>
      </c>
      <c r="E199" s="83" t="str">
        <f>_xlfn.CONCAT(Tableau119[[#This Row],[POL]],"-",Tableau119[[#This Row],[Carrier]],"-",Tableau119[[#This Row],[POD]])</f>
        <v>FALSO-FALSO-FALSO</v>
      </c>
      <c r="F199" s="82" t="str">
        <f>_xlfn.CONCAT(Tableau119[[#This Row],[ID]],"-","Actif")</f>
        <v>58-Actif</v>
      </c>
      <c r="G199" s="82" t="str">
        <f>_xlfn.CONCAT(Tableau119[[#This Row],[POD]],"-",Tableau119[[#This Row],[Code PFI]],"-",Tableau119[[#This Row],[Compte Consignee]])</f>
        <v>FALSO---92002200</v>
      </c>
      <c r="H199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90018400FALSORKM</v>
      </c>
      <c r="I199" s="502" t="str">
        <f>_xlfn.CONCAT(Tableau119[[#This Row],[ID]],"-",Tableau119[[#This Row],[Expiration Date]])</f>
        <v>58-45777</v>
      </c>
      <c r="J1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FR-STA-58-FALSO-FALSO-FALSO--45777</v>
      </c>
      <c r="K199" s="444" t="str">
        <f ca="1">IF(COUNTIF(J:J,Tableau119[[#This Row],[Plant-ILN-shipper-POL-Carrier-POD-PFI]])=1,"Non","Oui")</f>
        <v>Non</v>
      </c>
      <c r="L199" s="103" t="str">
        <f>VLOOKUP(Tableau119[[#This Row],[Name Site]],Plant_AILN!A:D,4,FALSE)</f>
        <v>KOREA</v>
      </c>
      <c r="M199" s="411" t="s">
        <v>145</v>
      </c>
      <c r="N199" s="439">
        <f>VLOOKUP(Tableau119[[#This Row],[Name Site]],Plant_AILN!A:C,3,FALSE)</f>
        <v>92002200</v>
      </c>
      <c r="O199" s="55">
        <f>VLOOKUP(Tableau119[[#This Row],[Compte Consignee]],Order!C:D,2,FALSE)</f>
        <v>2</v>
      </c>
      <c r="P199" s="126" t="s">
        <v>143</v>
      </c>
      <c r="Q199" s="366">
        <f>VLOOKUP(Tableau119[[#This Row],[Name ILN]],Plant_AILN!F:G,2,FALSE)</f>
        <v>92000100</v>
      </c>
      <c r="R199" s="50">
        <f>VLOOKUP(Tableau119[[#This Row],[Compte ILN]],'DATA ILN'!D:I,6,FALSE)</f>
        <v>9</v>
      </c>
      <c r="S199" s="81" t="e">
        <f>IFERROR(VLOOKUP(Tableau119[[#This Row],[Key(Compte ILN - shipper - POL - plant)]],'DATA ILN'!A:J,10,FALSE),VLOOKUP(Tableau119[[#This Row],[Key(Compte ILN - shipper - POL)]],'DATA ILN'!B:J,9,FALSE))</f>
        <v>#N/A</v>
      </c>
      <c r="T199" s="81" t="e">
        <f>IFERROR(VLOOKUP(Tableau119[[#This Row],[Key(Compte ILN - shipper - POL - plant)]],'DATA ILN'!A:K,11,FALSE),VLOOKUP(Tableau119[[#This Row],[Key(Compte ILN - shipper - POL)]],'DATA ILN'!B:K,10,FALSE))</f>
        <v>#N/A</v>
      </c>
      <c r="U199" s="81" t="e">
        <f>IFERROR(VLOOKUP(Tableau119[[#This Row],[Key(Compte ILN - shipper - POL - plant)]],'DATA ILN'!A:L,12,FALSE),VLOOKUP(Tableau119[[#This Row],[Key(Compte ILN - shipper - POL)]],'DATA ILN'!B:L,11,FALSE))</f>
        <v>#N/A</v>
      </c>
      <c r="V199" s="81" t="e">
        <f>Tableau119[[#This Row],[Day ILN Order]]+Tableau119[[#This Row],[Delivery time to ILN/Shipper]]-1</f>
        <v>#N/A</v>
      </c>
      <c r="W199" s="81" t="e">
        <f>IFERROR(VLOOKUP(Tableau119[[#This Row],[Key(Compte ILN - shipper - POL - plant)]],'DATA ILN'!A:N,14,FALSE),VLOOKUP(Tableau119[[#This Row],[Key(Compte ILN - shipper - POL)]],'DATA ILN'!B:N,13,FALSE))</f>
        <v>#N/A</v>
      </c>
      <c r="X199" s="106" t="e">
        <f>IFERROR(VLOOKUP(Tableau119[[#This Row],[Key(Compte ILN - shipper - POL - plant)]],'DATA ILN'!A:P,16,FALSE),VLOOKUP(Tableau119[[#This Row],[Key(Compte ILN - shipper - POL)]],'DATA ILN'!B:P,15,FALSE))</f>
        <v>#N/A</v>
      </c>
      <c r="Y199" s="284" t="s">
        <v>219</v>
      </c>
      <c r="Z199" s="442">
        <f>IFERROR(VLOOKUP(Tableau119[[#This Row],[Name Shipper]],Plant_AILN!L:M,2,FALSE),0)</f>
        <v>90018400</v>
      </c>
      <c r="AA199" s="406">
        <v>58</v>
      </c>
      <c r="AB199" s="396" t="b">
        <f>_xlfn.XLOOKUP(Tableau119[[#This Row],[Key(ID-date)]],'DATA BTO'!S:S,'DATA BTO'!E:E,FALSE)</f>
        <v>0</v>
      </c>
      <c r="AC199" s="3" t="b">
        <f>_xlfn.XLOOKUP(Tableau119[[#This Row],[Key(ID-date)]],'DATA BTO'!S:S,'DATA BTO'!F:F,FALSE)</f>
        <v>0</v>
      </c>
      <c r="AD199" s="50" t="b">
        <f>_xlfn.XLOOKUP(Tableau119[[#This Row],[Key(ID-date)]],'DATA BTO'!S:S,'DATA BTO'!G:G,FALSE)</f>
        <v>0</v>
      </c>
      <c r="AE199" s="50" t="b">
        <f>_xlfn.XLOOKUP(Tableau119[[#This Row],[Key(ID-date)]],'DATA BTO'!S:S,'DATA BTO'!H:H,FALSE)</f>
        <v>0</v>
      </c>
      <c r="AF199" s="81" t="e">
        <f>IF(Tableau119[[#This Row],[First Day to POL]]&lt;=Tableau119[[#This Row],[Day Cut Off]],Tableau119[[#This Row],[Day ETD]],Tableau119[[#This Row],[Day ETD]]+7)</f>
        <v>#N/A</v>
      </c>
      <c r="AG199" s="50" t="b">
        <f>_xlfn.XLOOKUP(Tableau119[[#This Row],[Key(ID-date)]],'DATA BTO'!S:S,'DATA BTO'!I:I,FALSE)</f>
        <v>0</v>
      </c>
      <c r="AH199" s="3" t="b">
        <f>_xlfn.XLOOKUP(Tableau119[[#This Row],[Key(ID-date)]],'DATA BTO'!S:S,'DATA BTO'!J:J,FALSE)</f>
        <v>0</v>
      </c>
      <c r="AI199" s="3" t="b">
        <f>_xlfn.XLOOKUP(Tableau119[[#This Row],[Key(ID-date)]],'DATA BTO'!S:S,'DATA BTO'!K:K,FALSE)</f>
        <v>0</v>
      </c>
      <c r="AJ199" s="50" t="b">
        <f>_xlfn.XLOOKUP(Tableau119[[#This Row],[Key(ID-date)]],'DATA BTO'!S:S,'DATA BTO'!L:L,FALSE)</f>
        <v>0</v>
      </c>
      <c r="AK199" s="53" t="b">
        <f>_xlfn.XLOOKUP(Tableau119[[#This Row],[Key(ID-date)]],'DATA BTO'!S:S,'DATA BTO'!N:N,FALSE)</f>
        <v>0</v>
      </c>
      <c r="AL199" s="107" t="e">
        <f>VLOOKUP(Tableau119[[#This Row],[Key(POD -PFI- Usine)]],'DATA Consignee'!A:F,6,FALSE)</f>
        <v>#N/A</v>
      </c>
      <c r="AM199" s="138"/>
      <c r="AN199" s="443" t="str">
        <f>IF(Tableau119[[#This Row],[Name PFI/CDD]]="","-",VLOOKUP(Tableau119[[#This Row],[Name PFI/CDD]],Plant_AILN!I:J,2,FALSE))</f>
        <v>-</v>
      </c>
      <c r="AO19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19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199" s="110" t="e">
        <f>VLOOKUP(Tableau119[[#This Row],[Key(POD -PFI- Usine)]],'DATA Consignee'!A:J,10,FALSE)</f>
        <v>#N/A</v>
      </c>
      <c r="AR199" s="81" t="e">
        <f>VLOOKUP(Tableau119[[#This Row],[Key(POD -PFI- Usine)]],'DATA Consignee'!A:N,14,FALSE)</f>
        <v>#N/A</v>
      </c>
      <c r="AS19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19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199" s="81">
        <f>Tableau119[[#This Row],[Transit time]]+Tableau119[[#This Row],[Time for security]]+Tableau119[[#This Row],[Time for security2 buffer]]</f>
        <v>0</v>
      </c>
      <c r="AV199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199" s="81" t="e">
        <f>Tableau119[[#This Row],[Leadtime SI2C]]+Tableau119[[#This Row],[First Receipt Days]]-Tableau119[[#This Row],[Day Customer Order]]+1</f>
        <v>#N/A</v>
      </c>
      <c r="AX199" s="120" t="e">
        <f>IF(Tableau119[[#This Row],[Name ILN]]&lt;&gt;"SFK Freight Forwarder",Tableau119[[#This Row],[Cust. Leadtime]],Tableau119[[#This Row],[Leadtime SI2C]])</f>
        <v>#N/A</v>
      </c>
      <c r="AY199" s="51" t="b">
        <f>_xlfn.XLOOKUP(Tableau119[[#This Row],[Key(ID-date)]],'DATA BTO'!S:S,'DATA BTO'!P:P,FALSE)</f>
        <v>0</v>
      </c>
      <c r="AZ199" s="338">
        <v>45777</v>
      </c>
      <c r="BA199" s="50"/>
    </row>
    <row r="200" spans="2:53">
      <c r="B200" s="474" t="str">
        <f>_xlfn.CONCAT(Tableau119[[#This Row],[Name ILN]],"-",Tableau119[[#This Row],[Name Shipper]],"-",Tableau119[[#This Row],[Name Site]])</f>
        <v>ILN FR-RENAULT CLEON-RKM</v>
      </c>
      <c r="C200" s="67" t="str">
        <f>_xlfn.CONCAT(Tableau119[[#This Row],[Compte ILN]],"-",Tableau119[[#This Row],[Compte Shipper]],"-",Tableau119[[#This Row],[POL]],"-",Tableau119[[#This Row],[Compte Consignee]])</f>
        <v>92000100-90016100-FALSO-92002200</v>
      </c>
      <c r="D200" s="82" t="str">
        <f>_xlfn.CONCAT(Tableau119[[#This Row],[Compte ILN]],"-",Tableau119[[#This Row],[Compte Shipper]],"-",Tableau119[[#This Row],[POL]])</f>
        <v>92000100-90016100-FALSO</v>
      </c>
      <c r="E200" s="83" t="str">
        <f>_xlfn.CONCAT(Tableau119[[#This Row],[POL]],"-",Tableau119[[#This Row],[Carrier]],"-",Tableau119[[#This Row],[POD]])</f>
        <v>FALSO-FALSO-FALSO</v>
      </c>
      <c r="F200" s="82" t="str">
        <f>_xlfn.CONCAT(Tableau119[[#This Row],[ID]],"-","Actif")</f>
        <v>58-Actif</v>
      </c>
      <c r="G200" s="82" t="str">
        <f>_xlfn.CONCAT(Tableau119[[#This Row],[POD]],"-",Tableau119[[#This Row],[Code PFI]],"-",Tableau119[[#This Row],[Compte Consignee]])</f>
        <v>FALSO---92002200</v>
      </c>
      <c r="H20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90016100FALSORKM</v>
      </c>
      <c r="I200" s="502" t="str">
        <f>_xlfn.CONCAT(Tableau119[[#This Row],[ID]],"-",Tableau119[[#This Row],[Expiration Date]])</f>
        <v>58-45777</v>
      </c>
      <c r="J2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FR-RENAULT CLEON-58-FALSO-FALSO-FALSO--45777</v>
      </c>
      <c r="K200" s="444" t="str">
        <f ca="1">IF(COUNTIF(J:J,Tableau119[[#This Row],[Plant-ILN-shipper-POL-Carrier-POD-PFI]])=1,"Non","Oui")</f>
        <v>Non</v>
      </c>
      <c r="L200" s="103" t="str">
        <f>VLOOKUP(Tableau119[[#This Row],[Name Site]],Plant_AILN!A:D,4,FALSE)</f>
        <v>KOREA</v>
      </c>
      <c r="M200" s="411" t="s">
        <v>145</v>
      </c>
      <c r="N200" s="439">
        <f>VLOOKUP(Tableau119[[#This Row],[Name Site]],Plant_AILN!A:C,3,FALSE)</f>
        <v>92002200</v>
      </c>
      <c r="O200" s="55">
        <f>VLOOKUP(Tableau119[[#This Row],[Compte Consignee]],Order!C:D,2,FALSE)</f>
        <v>2</v>
      </c>
      <c r="P200" s="116" t="s">
        <v>143</v>
      </c>
      <c r="Q200" s="366">
        <f>VLOOKUP(Tableau119[[#This Row],[Name ILN]],Plant_AILN!F:G,2,FALSE)</f>
        <v>92000100</v>
      </c>
      <c r="R200" s="50">
        <f>VLOOKUP(Tableau119[[#This Row],[Compte ILN]],'DATA ILN'!D:I,6,FALSE)</f>
        <v>9</v>
      </c>
      <c r="S200" s="81" t="e">
        <f>IFERROR(VLOOKUP(Tableau119[[#This Row],[Key(Compte ILN - shipper - POL - plant)]],'DATA ILN'!A:J,10,FALSE),VLOOKUP(Tableau119[[#This Row],[Key(Compte ILN - shipper - POL)]],'DATA ILN'!B:J,9,FALSE))</f>
        <v>#N/A</v>
      </c>
      <c r="T200" s="81" t="e">
        <f>IFERROR(VLOOKUP(Tableau119[[#This Row],[Key(Compte ILN - shipper - POL - plant)]],'DATA ILN'!A:K,11,FALSE),VLOOKUP(Tableau119[[#This Row],[Key(Compte ILN - shipper - POL)]],'DATA ILN'!B:K,10,FALSE))</f>
        <v>#N/A</v>
      </c>
      <c r="U200" s="81" t="e">
        <f>IFERROR(VLOOKUP(Tableau119[[#This Row],[Key(Compte ILN - shipper - POL - plant)]],'DATA ILN'!A:L,12,FALSE),VLOOKUP(Tableau119[[#This Row],[Key(Compte ILN - shipper - POL)]],'DATA ILN'!B:L,11,FALSE))</f>
        <v>#N/A</v>
      </c>
      <c r="V200" s="81" t="e">
        <f>Tableau119[[#This Row],[Day ILN Order]]+Tableau119[[#This Row],[Delivery time to ILN/Shipper]]-1</f>
        <v>#N/A</v>
      </c>
      <c r="W200" s="81" t="e">
        <f>IFERROR(VLOOKUP(Tableau119[[#This Row],[Key(Compte ILN - shipper - POL - plant)]],'DATA ILN'!A:N,14,FALSE),VLOOKUP(Tableau119[[#This Row],[Key(Compte ILN - shipper - POL)]],'DATA ILN'!B:N,13,FALSE))</f>
        <v>#N/A</v>
      </c>
      <c r="X200" s="106" t="e">
        <f>IFERROR(VLOOKUP(Tableau119[[#This Row],[Key(Compte ILN - shipper - POL - plant)]],'DATA ILN'!A:P,16,FALSE),VLOOKUP(Tableau119[[#This Row],[Key(Compte ILN - shipper - POL)]],'DATA ILN'!B:P,15,FALSE))</f>
        <v>#N/A</v>
      </c>
      <c r="Y200" s="284" t="s">
        <v>291</v>
      </c>
      <c r="Z200" s="442">
        <f>IFERROR(VLOOKUP(Tableau119[[#This Row],[Name Shipper]],Plant_AILN!L:M,2,FALSE),0)</f>
        <v>90016100</v>
      </c>
      <c r="AA200" s="406">
        <v>58</v>
      </c>
      <c r="AB200" s="396" t="b">
        <f>_xlfn.XLOOKUP(Tableau119[[#This Row],[Key(ID-date)]],'DATA BTO'!S:S,'DATA BTO'!E:E,FALSE)</f>
        <v>0</v>
      </c>
      <c r="AC200" s="3" t="b">
        <f>_xlfn.XLOOKUP(Tableau119[[#This Row],[Key(ID-date)]],'DATA BTO'!S:S,'DATA BTO'!F:F,FALSE)</f>
        <v>0</v>
      </c>
      <c r="AD200" s="50" t="b">
        <f>_xlfn.XLOOKUP(Tableau119[[#This Row],[Key(ID-date)]],'DATA BTO'!S:S,'DATA BTO'!G:G,FALSE)</f>
        <v>0</v>
      </c>
      <c r="AE200" s="50" t="b">
        <f>_xlfn.XLOOKUP(Tableau119[[#This Row],[Key(ID-date)]],'DATA BTO'!S:S,'DATA BTO'!H:H,FALSE)</f>
        <v>0</v>
      </c>
      <c r="AF200" s="81" t="e">
        <f>IF(Tableau119[[#This Row],[First Day to POL]]&lt;=Tableau119[[#This Row],[Day Cut Off]],Tableau119[[#This Row],[Day ETD]],Tableau119[[#This Row],[Day ETD]]+7)</f>
        <v>#N/A</v>
      </c>
      <c r="AG200" s="50" t="b">
        <f>_xlfn.XLOOKUP(Tableau119[[#This Row],[Key(ID-date)]],'DATA BTO'!S:S,'DATA BTO'!I:I,FALSE)</f>
        <v>0</v>
      </c>
      <c r="AH200" s="3" t="b">
        <f>_xlfn.XLOOKUP(Tableau119[[#This Row],[Key(ID-date)]],'DATA BTO'!S:S,'DATA BTO'!J:J,FALSE)</f>
        <v>0</v>
      </c>
      <c r="AI200" s="3" t="b">
        <f>_xlfn.XLOOKUP(Tableau119[[#This Row],[Key(ID-date)]],'DATA BTO'!S:S,'DATA BTO'!K:K,FALSE)</f>
        <v>0</v>
      </c>
      <c r="AJ200" s="50" t="b">
        <f>_xlfn.XLOOKUP(Tableau119[[#This Row],[Key(ID-date)]],'DATA BTO'!S:S,'DATA BTO'!L:L,FALSE)</f>
        <v>0</v>
      </c>
      <c r="AK200" s="53" t="b">
        <f>_xlfn.XLOOKUP(Tableau119[[#This Row],[Key(ID-date)]],'DATA BTO'!S:S,'DATA BTO'!N:N,FALSE)</f>
        <v>0</v>
      </c>
      <c r="AL200" s="107" t="e">
        <f>VLOOKUP(Tableau119[[#This Row],[Key(POD -PFI- Usine)]],'DATA Consignee'!A:F,6,FALSE)</f>
        <v>#N/A</v>
      </c>
      <c r="AM200" s="138"/>
      <c r="AN200" s="443" t="str">
        <f>IF(Tableau119[[#This Row],[Name PFI/CDD]]="","-",VLOOKUP(Tableau119[[#This Row],[Name PFI/CDD]],Plant_AILN!I:J,2,FALSE))</f>
        <v>-</v>
      </c>
      <c r="AO20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0" s="110" t="e">
        <f>VLOOKUP(Tableau119[[#This Row],[Key(POD -PFI- Usine)]],'DATA Consignee'!A:J,10,FALSE)</f>
        <v>#N/A</v>
      </c>
      <c r="AR200" s="81" t="e">
        <f>VLOOKUP(Tableau119[[#This Row],[Key(POD -PFI- Usine)]],'DATA Consignee'!A:N,14,FALSE)</f>
        <v>#N/A</v>
      </c>
      <c r="AS20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0" s="81">
        <f>Tableau119[[#This Row],[Transit time]]+Tableau119[[#This Row],[Time for security]]+Tableau119[[#This Row],[Time for security2 buffer]]</f>
        <v>0</v>
      </c>
      <c r="AV200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0" s="81" t="e">
        <f>Tableau119[[#This Row],[Leadtime SI2C]]+Tableau119[[#This Row],[First Receipt Days]]-Tableau119[[#This Row],[Day Customer Order]]+1</f>
        <v>#N/A</v>
      </c>
      <c r="AX200" s="120" t="e">
        <f>IF(Tableau119[[#This Row],[Name ILN]]&lt;&gt;"SFK Freight Forwarder",Tableau119[[#This Row],[Cust. Leadtime]],Tableau119[[#This Row],[Leadtime SI2C]])</f>
        <v>#N/A</v>
      </c>
      <c r="AY200" s="51" t="b">
        <f>_xlfn.XLOOKUP(Tableau119[[#This Row],[Key(ID-date)]],'DATA BTO'!S:S,'DATA BTO'!P:P,FALSE)</f>
        <v>0</v>
      </c>
      <c r="AZ200" s="338">
        <v>45777</v>
      </c>
      <c r="BA200" s="50"/>
    </row>
    <row r="201" spans="2:53">
      <c r="B201" s="474" t="str">
        <f>_xlfn.CONCAT(Tableau119[[#This Row],[Name ILN]],"-",Tableau119[[#This Row],[Name Shipper]],"-",Tableau119[[#This Row],[Name Site]])</f>
        <v>ILN FR-ILN FR-RKM</v>
      </c>
      <c r="C201" s="67" t="str">
        <f>_xlfn.CONCAT(Tableau119[[#This Row],[Compte ILN]],"-",Tableau119[[#This Row],[Compte Shipper]],"-",Tableau119[[#This Row],[POL]],"-",Tableau119[[#This Row],[Compte Consignee]])</f>
        <v>92000100-92000100-FALSO-92002200</v>
      </c>
      <c r="D201" s="82" t="str">
        <f>_xlfn.CONCAT(Tableau119[[#This Row],[Compte ILN]],"-",Tableau119[[#This Row],[Compte Shipper]],"-",Tableau119[[#This Row],[POL]])</f>
        <v>92000100-92000100-FALSO</v>
      </c>
      <c r="E201" s="83" t="str">
        <f>_xlfn.CONCAT(Tableau119[[#This Row],[POL]],"-",Tableau119[[#This Row],[Carrier]],"-",Tableau119[[#This Row],[POD]])</f>
        <v>FALSO-FALSO-FALSO</v>
      </c>
      <c r="F201" s="82" t="str">
        <f>_xlfn.CONCAT(Tableau119[[#This Row],[ID]],"-","Actif")</f>
        <v>58-Actif</v>
      </c>
      <c r="G201" s="82" t="str">
        <f>_xlfn.CONCAT(Tableau119[[#This Row],[POD]],"-",Tableau119[[#This Row],[Code PFI]],"-",Tableau119[[#This Row],[Compte Consignee]])</f>
        <v>FALSO---92002200</v>
      </c>
      <c r="H201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FRFALSORKM</v>
      </c>
      <c r="I201" s="502" t="str">
        <f>_xlfn.CONCAT(Tableau119[[#This Row],[ID]],"-",Tableau119[[#This Row],[Expiration Date]])</f>
        <v>58-45473</v>
      </c>
      <c r="J2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FR-ILN FR-58-FALSO-FALSO-FALSO--45473</v>
      </c>
      <c r="K201" s="444" t="str">
        <f ca="1">IF(COUNTIF(J:J,Tableau119[[#This Row],[Plant-ILN-shipper-POL-Carrier-POD-PFI]])=1,"Non","Oui")</f>
        <v>Non</v>
      </c>
      <c r="L201" s="103" t="str">
        <f>VLOOKUP(Tableau119[[#This Row],[Name Site]],Plant_AILN!A:D,4,FALSE)</f>
        <v>KOREA</v>
      </c>
      <c r="M201" s="411" t="s">
        <v>145</v>
      </c>
      <c r="N201" s="439">
        <f>VLOOKUP(Tableau119[[#This Row],[Name Site]],Plant_AILN!A:C,3,FALSE)</f>
        <v>92002200</v>
      </c>
      <c r="O201" s="55">
        <f>VLOOKUP(Tableau119[[#This Row],[Compte Consignee]],Order!C:D,2,FALSE)</f>
        <v>2</v>
      </c>
      <c r="P201" s="126" t="s">
        <v>143</v>
      </c>
      <c r="Q201" s="366">
        <f>VLOOKUP(Tableau119[[#This Row],[Name ILN]],Plant_AILN!F:G,2,FALSE)</f>
        <v>92000100</v>
      </c>
      <c r="R201" s="50">
        <f>VLOOKUP(Tableau119[[#This Row],[Compte ILN]],'DATA ILN'!D:I,6,FALSE)</f>
        <v>9</v>
      </c>
      <c r="S201" s="81" t="e">
        <f>IFERROR(VLOOKUP(Tableau119[[#This Row],[Key(Compte ILN - shipper - POL - plant)]],'DATA ILN'!A:J,10,FALSE),VLOOKUP(Tableau119[[#This Row],[Key(Compte ILN - shipper - POL)]],'DATA ILN'!B:J,9,FALSE))</f>
        <v>#N/A</v>
      </c>
      <c r="T201" s="81" t="e">
        <f>IFERROR(VLOOKUP(Tableau119[[#This Row],[Key(Compte ILN - shipper - POL - plant)]],'DATA ILN'!A:K,11,FALSE),VLOOKUP(Tableau119[[#This Row],[Key(Compte ILN - shipper - POL)]],'DATA ILN'!B:K,10,FALSE))</f>
        <v>#N/A</v>
      </c>
      <c r="U201" s="81" t="e">
        <f>IFERROR(VLOOKUP(Tableau119[[#This Row],[Key(Compte ILN - shipper - POL - plant)]],'DATA ILN'!A:L,12,FALSE),VLOOKUP(Tableau119[[#This Row],[Key(Compte ILN - shipper - POL)]],'DATA ILN'!B:L,11,FALSE))</f>
        <v>#N/A</v>
      </c>
      <c r="V201" s="81" t="e">
        <f>Tableau119[[#This Row],[Day ILN Order]]+Tableau119[[#This Row],[Delivery time to ILN/Shipper]]-1</f>
        <v>#N/A</v>
      </c>
      <c r="W201" s="81" t="e">
        <f>IFERROR(VLOOKUP(Tableau119[[#This Row],[Key(Compte ILN - shipper - POL - plant)]],'DATA ILN'!A:N,14,FALSE),VLOOKUP(Tableau119[[#This Row],[Key(Compte ILN - shipper - POL)]],'DATA ILN'!B:N,13,FALSE))</f>
        <v>#N/A</v>
      </c>
      <c r="X201" s="106" t="e">
        <f>IFERROR(VLOOKUP(Tableau119[[#This Row],[Key(Compte ILN - shipper - POL - plant)]],'DATA ILN'!A:P,16,FALSE),VLOOKUP(Tableau119[[#This Row],[Key(Compte ILN - shipper - POL)]],'DATA ILN'!B:P,15,FALSE))</f>
        <v>#N/A</v>
      </c>
      <c r="Y201" s="284" t="s">
        <v>143</v>
      </c>
      <c r="Z201" s="442">
        <f>IFERROR(VLOOKUP(Tableau119[[#This Row],[Name Shipper]],Plant_AILN!L:M,2,FALSE),0)</f>
        <v>92000100</v>
      </c>
      <c r="AA201" s="406">
        <v>58</v>
      </c>
      <c r="AB201" s="396" t="b">
        <f>_xlfn.XLOOKUP(Tableau119[[#This Row],[Key(ID-date)]],'DATA BTO'!S:S,'DATA BTO'!E:E,FALSE)</f>
        <v>0</v>
      </c>
      <c r="AC201" s="3" t="b">
        <f>_xlfn.XLOOKUP(Tableau119[[#This Row],[Key(ID-date)]],'DATA BTO'!S:S,'DATA BTO'!F:F,FALSE)</f>
        <v>0</v>
      </c>
      <c r="AD201" s="50" t="b">
        <f>_xlfn.XLOOKUP(Tableau119[[#This Row],[Key(ID-date)]],'DATA BTO'!S:S,'DATA BTO'!G:G,FALSE)</f>
        <v>0</v>
      </c>
      <c r="AE201" s="50" t="b">
        <f>_xlfn.XLOOKUP(Tableau119[[#This Row],[Key(ID-date)]],'DATA BTO'!S:S,'DATA BTO'!H:H,FALSE)</f>
        <v>0</v>
      </c>
      <c r="AF201" s="81" t="e">
        <f>IF(Tableau119[[#This Row],[First Day to POL]]&lt;=Tableau119[[#This Row],[Day Cut Off]],Tableau119[[#This Row],[Day ETD]],Tableau119[[#This Row],[Day ETD]]+7)</f>
        <v>#N/A</v>
      </c>
      <c r="AG201" s="50" t="b">
        <f>_xlfn.XLOOKUP(Tableau119[[#This Row],[Key(ID-date)]],'DATA BTO'!S:S,'DATA BTO'!I:I,FALSE)</f>
        <v>0</v>
      </c>
      <c r="AH201" s="3" t="b">
        <f>_xlfn.XLOOKUP(Tableau119[[#This Row],[Key(ID-date)]],'DATA BTO'!S:S,'DATA BTO'!J:J,FALSE)</f>
        <v>0</v>
      </c>
      <c r="AI201" s="3" t="b">
        <f>_xlfn.XLOOKUP(Tableau119[[#This Row],[Key(ID-date)]],'DATA BTO'!S:S,'DATA BTO'!K:K,FALSE)</f>
        <v>0</v>
      </c>
      <c r="AJ201" s="50" t="b">
        <f>_xlfn.XLOOKUP(Tableau119[[#This Row],[Key(ID-date)]],'DATA BTO'!S:S,'DATA BTO'!L:L,FALSE)</f>
        <v>0</v>
      </c>
      <c r="AK201" s="53" t="b">
        <f>_xlfn.XLOOKUP(Tableau119[[#This Row],[Key(ID-date)]],'DATA BTO'!S:S,'DATA BTO'!N:N,FALSE)</f>
        <v>0</v>
      </c>
      <c r="AL201" s="107" t="e">
        <f>VLOOKUP(Tableau119[[#This Row],[Key(POD -PFI- Usine)]],'DATA Consignee'!A:F,6,FALSE)</f>
        <v>#N/A</v>
      </c>
      <c r="AM201" s="138"/>
      <c r="AN201" s="443" t="str">
        <f>IF(Tableau119[[#This Row],[Name PFI/CDD]]="","-",VLOOKUP(Tableau119[[#This Row],[Name PFI/CDD]],Plant_AILN!I:J,2,FALSE))</f>
        <v>-</v>
      </c>
      <c r="AO20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1" s="110" t="e">
        <f>VLOOKUP(Tableau119[[#This Row],[Key(POD -PFI- Usine)]],'DATA Consignee'!A:J,10,FALSE)</f>
        <v>#N/A</v>
      </c>
      <c r="AR201" s="81" t="e">
        <f>VLOOKUP(Tableau119[[#This Row],[Key(POD -PFI- Usine)]],'DATA Consignee'!A:N,14,FALSE)</f>
        <v>#N/A</v>
      </c>
      <c r="AS20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1" s="81">
        <f>Tableau119[[#This Row],[Transit time]]+Tableau119[[#This Row],[Time for security]]+Tableau119[[#This Row],[Time for security2 buffer]]</f>
        <v>0</v>
      </c>
      <c r="AV201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1" s="81" t="e">
        <f>Tableau119[[#This Row],[Leadtime SI2C]]+Tableau119[[#This Row],[First Receipt Days]]-Tableau119[[#This Row],[Day Customer Order]]+1</f>
        <v>#N/A</v>
      </c>
      <c r="AX201" s="120" t="e">
        <f>IF(Tableau119[[#This Row],[Name ILN]]&lt;&gt;"SFK Freight Forwarder",Tableau119[[#This Row],[Cust. Leadtime]],Tableau119[[#This Row],[Leadtime SI2C]])</f>
        <v>#N/A</v>
      </c>
      <c r="AY201" s="51" t="b">
        <f>_xlfn.XLOOKUP(Tableau119[[#This Row],[Key(ID-date)]],'DATA BTO'!S:S,'DATA BTO'!P:P,FALSE)</f>
        <v>0</v>
      </c>
      <c r="AZ201" s="338">
        <v>45473</v>
      </c>
      <c r="BA201" s="50"/>
    </row>
    <row r="202" spans="2:53">
      <c r="B202" s="474" t="str">
        <f>_xlfn.CONCAT(Tableau119[[#This Row],[Name ILN]],"-",Tableau119[[#This Row],[Name Shipper]],"-",Tableau119[[#This Row],[Name Site]])</f>
        <v>ILN FR-STA-RKM</v>
      </c>
      <c r="C202" s="67" t="str">
        <f>_xlfn.CONCAT(Tableau119[[#This Row],[Compte ILN]],"-",Tableau119[[#This Row],[Compte Shipper]],"-",Tableau119[[#This Row],[POL]],"-",Tableau119[[#This Row],[Compte Consignee]])</f>
        <v>92000100-90018400-FALSO-92002200</v>
      </c>
      <c r="D202" s="82" t="str">
        <f>_xlfn.CONCAT(Tableau119[[#This Row],[Compte ILN]],"-",Tableau119[[#This Row],[Compte Shipper]],"-",Tableau119[[#This Row],[POL]])</f>
        <v>92000100-90018400-FALSO</v>
      </c>
      <c r="E202" s="83" t="str">
        <f>_xlfn.CONCAT(Tableau119[[#This Row],[POL]],"-",Tableau119[[#This Row],[Carrier]],"-",Tableau119[[#This Row],[POD]])</f>
        <v>FALSO-FALSO-FALSO</v>
      </c>
      <c r="F202" s="82" t="str">
        <f>_xlfn.CONCAT(Tableau119[[#This Row],[ID]],"-","Actif")</f>
        <v>58-Actif</v>
      </c>
      <c r="G202" s="82" t="str">
        <f>_xlfn.CONCAT(Tableau119[[#This Row],[POD]],"-",Tableau119[[#This Row],[Code PFI]],"-",Tableau119[[#This Row],[Compte Consignee]])</f>
        <v>FALSO---92002200</v>
      </c>
      <c r="H202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90018400FALSORKM</v>
      </c>
      <c r="I202" s="502" t="str">
        <f>_xlfn.CONCAT(Tableau119[[#This Row],[ID]],"-",Tableau119[[#This Row],[Expiration Date]])</f>
        <v>58-45473</v>
      </c>
      <c r="J2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FR-STA-58-FALSO-FALSO-FALSO--45473</v>
      </c>
      <c r="K202" s="444" t="str">
        <f ca="1">IF(COUNTIF(J:J,Tableau119[[#This Row],[Plant-ILN-shipper-POL-Carrier-POD-PFI]])=1,"Non","Oui")</f>
        <v>Non</v>
      </c>
      <c r="L202" s="103" t="str">
        <f>VLOOKUP(Tableau119[[#This Row],[Name Site]],Plant_AILN!A:D,4,FALSE)</f>
        <v>KOREA</v>
      </c>
      <c r="M202" s="411" t="s">
        <v>145</v>
      </c>
      <c r="N202" s="439">
        <f>VLOOKUP(Tableau119[[#This Row],[Name Site]],Plant_AILN!A:C,3,FALSE)</f>
        <v>92002200</v>
      </c>
      <c r="O202" s="55">
        <f>VLOOKUP(Tableau119[[#This Row],[Compte Consignee]],Order!C:D,2,FALSE)</f>
        <v>2</v>
      </c>
      <c r="P202" s="126" t="s">
        <v>143</v>
      </c>
      <c r="Q202" s="366">
        <f>VLOOKUP(Tableau119[[#This Row],[Name ILN]],Plant_AILN!F:G,2,FALSE)</f>
        <v>92000100</v>
      </c>
      <c r="R202" s="50">
        <f>VLOOKUP(Tableau119[[#This Row],[Compte ILN]],'DATA ILN'!D:I,6,FALSE)</f>
        <v>9</v>
      </c>
      <c r="S202" s="81" t="e">
        <f>IFERROR(VLOOKUP(Tableau119[[#This Row],[Key(Compte ILN - shipper - POL - plant)]],'DATA ILN'!A:J,10,FALSE),VLOOKUP(Tableau119[[#This Row],[Key(Compte ILN - shipper - POL)]],'DATA ILN'!B:J,9,FALSE))</f>
        <v>#N/A</v>
      </c>
      <c r="T202" s="81" t="e">
        <f>IFERROR(VLOOKUP(Tableau119[[#This Row],[Key(Compte ILN - shipper - POL - plant)]],'DATA ILN'!A:K,11,FALSE),VLOOKUP(Tableau119[[#This Row],[Key(Compte ILN - shipper - POL)]],'DATA ILN'!B:K,10,FALSE))</f>
        <v>#N/A</v>
      </c>
      <c r="U202" s="81" t="e">
        <f>IFERROR(VLOOKUP(Tableau119[[#This Row],[Key(Compte ILN - shipper - POL - plant)]],'DATA ILN'!A:L,12,FALSE),VLOOKUP(Tableau119[[#This Row],[Key(Compte ILN - shipper - POL)]],'DATA ILN'!B:L,11,FALSE))</f>
        <v>#N/A</v>
      </c>
      <c r="V202" s="81" t="e">
        <f>Tableau119[[#This Row],[Day ILN Order]]+Tableau119[[#This Row],[Delivery time to ILN/Shipper]]-1</f>
        <v>#N/A</v>
      </c>
      <c r="W202" s="81" t="e">
        <f>IFERROR(VLOOKUP(Tableau119[[#This Row],[Key(Compte ILN - shipper - POL - plant)]],'DATA ILN'!A:N,14,FALSE),VLOOKUP(Tableau119[[#This Row],[Key(Compte ILN - shipper - POL)]],'DATA ILN'!B:N,13,FALSE))</f>
        <v>#N/A</v>
      </c>
      <c r="X202" s="106" t="e">
        <f>IFERROR(VLOOKUP(Tableau119[[#This Row],[Key(Compte ILN - shipper - POL - plant)]],'DATA ILN'!A:P,16,FALSE),VLOOKUP(Tableau119[[#This Row],[Key(Compte ILN - shipper - POL)]],'DATA ILN'!B:P,15,FALSE))</f>
        <v>#N/A</v>
      </c>
      <c r="Y202" s="284" t="s">
        <v>219</v>
      </c>
      <c r="Z202" s="442">
        <f>IFERROR(VLOOKUP(Tableau119[[#This Row],[Name Shipper]],Plant_AILN!L:M,2,FALSE),0)</f>
        <v>90018400</v>
      </c>
      <c r="AA202" s="406">
        <v>58</v>
      </c>
      <c r="AB202" s="396" t="b">
        <f>_xlfn.XLOOKUP(Tableau119[[#This Row],[Key(ID-date)]],'DATA BTO'!S:S,'DATA BTO'!E:E,FALSE)</f>
        <v>0</v>
      </c>
      <c r="AC202" s="3" t="b">
        <f>_xlfn.XLOOKUP(Tableau119[[#This Row],[Key(ID-date)]],'DATA BTO'!S:S,'DATA BTO'!F:F,FALSE)</f>
        <v>0</v>
      </c>
      <c r="AD202" s="50" t="b">
        <f>_xlfn.XLOOKUP(Tableau119[[#This Row],[Key(ID-date)]],'DATA BTO'!S:S,'DATA BTO'!G:G,FALSE)</f>
        <v>0</v>
      </c>
      <c r="AE202" s="50" t="b">
        <f>_xlfn.XLOOKUP(Tableau119[[#This Row],[Key(ID-date)]],'DATA BTO'!S:S,'DATA BTO'!H:H,FALSE)</f>
        <v>0</v>
      </c>
      <c r="AF202" s="81" t="e">
        <f>IF(Tableau119[[#This Row],[First Day to POL]]&lt;=Tableau119[[#This Row],[Day Cut Off]],Tableau119[[#This Row],[Day ETD]],Tableau119[[#This Row],[Day ETD]]+7)</f>
        <v>#N/A</v>
      </c>
      <c r="AG202" s="50" t="b">
        <f>_xlfn.XLOOKUP(Tableau119[[#This Row],[Key(ID-date)]],'DATA BTO'!S:S,'DATA BTO'!I:I,FALSE)</f>
        <v>0</v>
      </c>
      <c r="AH202" s="3" t="b">
        <f>_xlfn.XLOOKUP(Tableau119[[#This Row],[Key(ID-date)]],'DATA BTO'!S:S,'DATA BTO'!J:J,FALSE)</f>
        <v>0</v>
      </c>
      <c r="AI202" s="3" t="b">
        <f>_xlfn.XLOOKUP(Tableau119[[#This Row],[Key(ID-date)]],'DATA BTO'!S:S,'DATA BTO'!K:K,FALSE)</f>
        <v>0</v>
      </c>
      <c r="AJ202" s="50" t="b">
        <f>_xlfn.XLOOKUP(Tableau119[[#This Row],[Key(ID-date)]],'DATA BTO'!S:S,'DATA BTO'!L:L,FALSE)</f>
        <v>0</v>
      </c>
      <c r="AK202" s="53" t="b">
        <f>_xlfn.XLOOKUP(Tableau119[[#This Row],[Key(ID-date)]],'DATA BTO'!S:S,'DATA BTO'!N:N,FALSE)</f>
        <v>0</v>
      </c>
      <c r="AL202" s="107" t="e">
        <f>VLOOKUP(Tableau119[[#This Row],[Key(POD -PFI- Usine)]],'DATA Consignee'!A:F,6,FALSE)</f>
        <v>#N/A</v>
      </c>
      <c r="AM202" s="127"/>
      <c r="AN202" s="443" t="str">
        <f>IF(Tableau119[[#This Row],[Name PFI/CDD]]="","-",VLOOKUP(Tableau119[[#This Row],[Name PFI/CDD]],Plant_AILN!I:J,2,FALSE))</f>
        <v>-</v>
      </c>
      <c r="AO20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2" s="110" t="e">
        <f>VLOOKUP(Tableau119[[#This Row],[Key(POD -PFI- Usine)]],'DATA Consignee'!A:J,10,FALSE)</f>
        <v>#N/A</v>
      </c>
      <c r="AR202" s="81" t="e">
        <f>VLOOKUP(Tableau119[[#This Row],[Key(POD -PFI- Usine)]],'DATA Consignee'!A:N,14,FALSE)</f>
        <v>#N/A</v>
      </c>
      <c r="AS20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2" s="81">
        <f>Tableau119[[#This Row],[Transit time]]+Tableau119[[#This Row],[Time for security]]+Tableau119[[#This Row],[Time for security2 buffer]]</f>
        <v>0</v>
      </c>
      <c r="AV202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2" s="81" t="e">
        <f>Tableau119[[#This Row],[Leadtime SI2C]]+Tableau119[[#This Row],[First Receipt Days]]-Tableau119[[#This Row],[Day Customer Order]]+1</f>
        <v>#N/A</v>
      </c>
      <c r="AX202" s="120" t="e">
        <f>IF(Tableau119[[#This Row],[Name ILN]]&lt;&gt;"SFK Freight Forwarder",Tableau119[[#This Row],[Cust. Leadtime]],Tableau119[[#This Row],[Leadtime SI2C]])</f>
        <v>#N/A</v>
      </c>
      <c r="AY202" s="51" t="b">
        <f>_xlfn.XLOOKUP(Tableau119[[#This Row],[Key(ID-date)]],'DATA BTO'!S:S,'DATA BTO'!P:P,FALSE)</f>
        <v>0</v>
      </c>
      <c r="AZ202" s="338">
        <v>45473</v>
      </c>
      <c r="BA202" s="50"/>
    </row>
    <row r="203" spans="2:53">
      <c r="B203" s="474" t="str">
        <f>_xlfn.CONCAT(Tableau119[[#This Row],[Name ILN]],"-",Tableau119[[#This Row],[Name Shipper]],"-",Tableau119[[#This Row],[Name Site]])</f>
        <v>ILN FR-RENAULT CLEON-RKM</v>
      </c>
      <c r="C203" s="67" t="str">
        <f>_xlfn.CONCAT(Tableau119[[#This Row],[Compte ILN]],"-",Tableau119[[#This Row],[Compte Shipper]],"-",Tableau119[[#This Row],[POL]],"-",Tableau119[[#This Row],[Compte Consignee]])</f>
        <v>92000100-90016100-FALSO-92002200</v>
      </c>
      <c r="D203" s="82" t="str">
        <f>_xlfn.CONCAT(Tableau119[[#This Row],[Compte ILN]],"-",Tableau119[[#This Row],[Compte Shipper]],"-",Tableau119[[#This Row],[POL]])</f>
        <v>92000100-90016100-FALSO</v>
      </c>
      <c r="E203" s="83" t="str">
        <f>_xlfn.CONCAT(Tableau119[[#This Row],[POL]],"-",Tableau119[[#This Row],[Carrier]],"-",Tableau119[[#This Row],[POD]])</f>
        <v>FALSO-FALSO-FALSO</v>
      </c>
      <c r="F203" s="82" t="str">
        <f>_xlfn.CONCAT(Tableau119[[#This Row],[ID]],"-","Actif")</f>
        <v>58-Actif</v>
      </c>
      <c r="G203" s="82" t="str">
        <f>_xlfn.CONCAT(Tableau119[[#This Row],[POD]],"-",Tableau119[[#This Row],[Code PFI]],"-",Tableau119[[#This Row],[Compte Consignee]])</f>
        <v>FALSO---92002200</v>
      </c>
      <c r="H20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90016100FALSORKM</v>
      </c>
      <c r="I203" s="502" t="str">
        <f>_xlfn.CONCAT(Tableau119[[#This Row],[ID]],"-",Tableau119[[#This Row],[Expiration Date]])</f>
        <v>58-45473</v>
      </c>
      <c r="J2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FR-RENAULT CLEON-58-FALSO-FALSO-FALSO--45473</v>
      </c>
      <c r="K203" s="444" t="str">
        <f ca="1">IF(COUNTIF(J:J,Tableau119[[#This Row],[Plant-ILN-shipper-POL-Carrier-POD-PFI]])=1,"Non","Oui")</f>
        <v>Non</v>
      </c>
      <c r="L203" s="103" t="str">
        <f>VLOOKUP(Tableau119[[#This Row],[Name Site]],Plant_AILN!A:D,4,FALSE)</f>
        <v>KOREA</v>
      </c>
      <c r="M203" s="411" t="s">
        <v>145</v>
      </c>
      <c r="N203" s="439">
        <f>VLOOKUP(Tableau119[[#This Row],[Name Site]],Plant_AILN!A:C,3,FALSE)</f>
        <v>92002200</v>
      </c>
      <c r="O203" s="55">
        <f>VLOOKUP(Tableau119[[#This Row],[Compte Consignee]],Order!C:D,2,FALSE)</f>
        <v>2</v>
      </c>
      <c r="P203" s="123" t="s">
        <v>143</v>
      </c>
      <c r="Q203" s="366">
        <f>VLOOKUP(Tableau119[[#This Row],[Name ILN]],Plant_AILN!F:G,2,FALSE)</f>
        <v>92000100</v>
      </c>
      <c r="R203" s="50">
        <f>VLOOKUP(Tableau119[[#This Row],[Compte ILN]],'DATA ILN'!D:I,6,FALSE)</f>
        <v>9</v>
      </c>
      <c r="S203" s="81" t="e">
        <f>IFERROR(VLOOKUP(Tableau119[[#This Row],[Key(Compte ILN - shipper - POL - plant)]],'DATA ILN'!A:J,10,FALSE),VLOOKUP(Tableau119[[#This Row],[Key(Compte ILN - shipper - POL)]],'DATA ILN'!B:J,9,FALSE))</f>
        <v>#N/A</v>
      </c>
      <c r="T203" s="81" t="e">
        <f>IFERROR(VLOOKUP(Tableau119[[#This Row],[Key(Compte ILN - shipper - POL - plant)]],'DATA ILN'!A:K,11,FALSE),VLOOKUP(Tableau119[[#This Row],[Key(Compte ILN - shipper - POL)]],'DATA ILN'!B:K,10,FALSE))</f>
        <v>#N/A</v>
      </c>
      <c r="U203" s="81" t="e">
        <f>IFERROR(VLOOKUP(Tableau119[[#This Row],[Key(Compte ILN - shipper - POL - plant)]],'DATA ILN'!A:L,12,FALSE),VLOOKUP(Tableau119[[#This Row],[Key(Compte ILN - shipper - POL)]],'DATA ILN'!B:L,11,FALSE))</f>
        <v>#N/A</v>
      </c>
      <c r="V203" s="81" t="e">
        <f>Tableau119[[#This Row],[Day ILN Order]]+Tableau119[[#This Row],[Delivery time to ILN/Shipper]]-1</f>
        <v>#N/A</v>
      </c>
      <c r="W203" s="81" t="e">
        <f>IFERROR(VLOOKUP(Tableau119[[#This Row],[Key(Compte ILN - shipper - POL - plant)]],'DATA ILN'!A:N,14,FALSE),VLOOKUP(Tableau119[[#This Row],[Key(Compte ILN - shipper - POL)]],'DATA ILN'!B:N,13,FALSE))</f>
        <v>#N/A</v>
      </c>
      <c r="X203" s="106" t="e">
        <f>IFERROR(VLOOKUP(Tableau119[[#This Row],[Key(Compte ILN - shipper - POL - plant)]],'DATA ILN'!A:P,16,FALSE),VLOOKUP(Tableau119[[#This Row],[Key(Compte ILN - shipper - POL)]],'DATA ILN'!B:P,15,FALSE))</f>
        <v>#N/A</v>
      </c>
      <c r="Y203" s="284" t="s">
        <v>291</v>
      </c>
      <c r="Z203" s="442">
        <f>IFERROR(VLOOKUP(Tableau119[[#This Row],[Name Shipper]],Plant_AILN!L:M,2,FALSE),0)</f>
        <v>90016100</v>
      </c>
      <c r="AA203" s="406">
        <v>58</v>
      </c>
      <c r="AB203" s="396" t="b">
        <f>_xlfn.XLOOKUP(Tableau119[[#This Row],[Key(ID-date)]],'DATA BTO'!S:S,'DATA BTO'!E:E,FALSE)</f>
        <v>0</v>
      </c>
      <c r="AC203" s="3" t="b">
        <f>_xlfn.XLOOKUP(Tableau119[[#This Row],[Key(ID-date)]],'DATA BTO'!S:S,'DATA BTO'!F:F,FALSE)</f>
        <v>0</v>
      </c>
      <c r="AD203" s="50" t="b">
        <f>_xlfn.XLOOKUP(Tableau119[[#This Row],[Key(ID-date)]],'DATA BTO'!S:S,'DATA BTO'!G:G,FALSE)</f>
        <v>0</v>
      </c>
      <c r="AE203" s="50" t="b">
        <f>_xlfn.XLOOKUP(Tableau119[[#This Row],[Key(ID-date)]],'DATA BTO'!S:S,'DATA BTO'!H:H,FALSE)</f>
        <v>0</v>
      </c>
      <c r="AF203" s="81" t="e">
        <f>IF(Tableau119[[#This Row],[First Day to POL]]&lt;=Tableau119[[#This Row],[Day Cut Off]],Tableau119[[#This Row],[Day ETD]],Tableau119[[#This Row],[Day ETD]]+7)</f>
        <v>#N/A</v>
      </c>
      <c r="AG203" s="50" t="b">
        <f>_xlfn.XLOOKUP(Tableau119[[#This Row],[Key(ID-date)]],'DATA BTO'!S:S,'DATA BTO'!I:I,FALSE)</f>
        <v>0</v>
      </c>
      <c r="AH203" s="3" t="b">
        <f>_xlfn.XLOOKUP(Tableau119[[#This Row],[Key(ID-date)]],'DATA BTO'!S:S,'DATA BTO'!J:J,FALSE)</f>
        <v>0</v>
      </c>
      <c r="AI203" s="3" t="b">
        <f>_xlfn.XLOOKUP(Tableau119[[#This Row],[Key(ID-date)]],'DATA BTO'!S:S,'DATA BTO'!K:K,FALSE)</f>
        <v>0</v>
      </c>
      <c r="AJ203" s="50" t="b">
        <f>_xlfn.XLOOKUP(Tableau119[[#This Row],[Key(ID-date)]],'DATA BTO'!S:S,'DATA BTO'!L:L,FALSE)</f>
        <v>0</v>
      </c>
      <c r="AK203" s="53" t="b">
        <f>_xlfn.XLOOKUP(Tableau119[[#This Row],[Key(ID-date)]],'DATA BTO'!S:S,'DATA BTO'!N:N,FALSE)</f>
        <v>0</v>
      </c>
      <c r="AL203" s="107" t="e">
        <f>VLOOKUP(Tableau119[[#This Row],[Key(POD -PFI- Usine)]],'DATA Consignee'!A:F,6,FALSE)</f>
        <v>#N/A</v>
      </c>
      <c r="AM203" s="137"/>
      <c r="AN203" s="443" t="str">
        <f>IF(Tableau119[[#This Row],[Name PFI/CDD]]="","-",VLOOKUP(Tableau119[[#This Row],[Name PFI/CDD]],Plant_AILN!I:J,2,FALSE))</f>
        <v>-</v>
      </c>
      <c r="AO20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3" s="110" t="e">
        <f>VLOOKUP(Tableau119[[#This Row],[Key(POD -PFI- Usine)]],'DATA Consignee'!A:J,10,FALSE)</f>
        <v>#N/A</v>
      </c>
      <c r="AR203" s="81" t="e">
        <f>VLOOKUP(Tableau119[[#This Row],[Key(POD -PFI- Usine)]],'DATA Consignee'!A:N,14,FALSE)</f>
        <v>#N/A</v>
      </c>
      <c r="AS20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3" s="81">
        <f>Tableau119[[#This Row],[Transit time]]+Tableau119[[#This Row],[Time for security]]+Tableau119[[#This Row],[Time for security2 buffer]]</f>
        <v>0</v>
      </c>
      <c r="AV20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3" s="81" t="e">
        <f>Tableau119[[#This Row],[Leadtime SI2C]]+Tableau119[[#This Row],[First Receipt Days]]-Tableau119[[#This Row],[Day Customer Order]]+1</f>
        <v>#N/A</v>
      </c>
      <c r="AX203" s="120" t="e">
        <f>IF(Tableau119[[#This Row],[Name ILN]]&lt;&gt;"SFK Freight Forwarder",Tableau119[[#This Row],[Cust. Leadtime]],Tableau119[[#This Row],[Leadtime SI2C]])</f>
        <v>#N/A</v>
      </c>
      <c r="AY203" s="51" t="b">
        <f>_xlfn.XLOOKUP(Tableau119[[#This Row],[Key(ID-date)]],'DATA BTO'!S:S,'DATA BTO'!P:P,FALSE)</f>
        <v>0</v>
      </c>
      <c r="AZ203" s="338">
        <v>45473</v>
      </c>
      <c r="BA203" s="50"/>
    </row>
    <row r="204" spans="2:53">
      <c r="B204" s="67" t="str">
        <f>_xlfn.CONCAT(Tableau119[[#This Row],[Name ILN]],"-",Tableau119[[#This Row],[Name Shipper]],"-",Tableau119[[#This Row],[Name Site]])</f>
        <v>ILN FR-ILN FR-CORMECANICA</v>
      </c>
      <c r="C204" s="67" t="str">
        <f>_xlfn.CONCAT(Tableau119[[#This Row],[Compte ILN]],"-",Tableau119[[#This Row],[Compte Shipper]],"-",Tableau119[[#This Row],[POL]],"-",Tableau119[[#This Row],[Compte Consignee]])</f>
        <v>92000100-92000100-FRLEH-90009500</v>
      </c>
      <c r="D204" s="82" t="str">
        <f>_xlfn.CONCAT(Tableau119[[#This Row],[Compte ILN]],"-",Tableau119[[#This Row],[Compte Shipper]],"-",Tableau119[[#This Row],[POL]])</f>
        <v>92000100-92000100-FRLEH</v>
      </c>
      <c r="E204" s="83" t="str">
        <f>_xlfn.CONCAT(Tableau119[[#This Row],[POL]],"-",Tableau119[[#This Row],[Carrier]],"-",Tableau119[[#This Row],[POD]])</f>
        <v>FRLEH-CMA-CGM-CLSAI</v>
      </c>
      <c r="F204" s="82" t="str">
        <f>_xlfn.CONCAT(Tableau119[[#This Row],[ID]],"-","Actif")</f>
        <v>60-Actif</v>
      </c>
      <c r="G204" s="82" t="str">
        <f>_xlfn.CONCAT(Tableau119[[#This Row],[POD]],"-",Tableau119[[#This Row],[Code PFI]],"-",Tableau119[[#This Row],[Compte Consignee]])</f>
        <v>CLSAI---90009500</v>
      </c>
      <c r="H204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FRFRLEHCORMECANICA</v>
      </c>
      <c r="I204" s="502" t="str">
        <f>_xlfn.CONCAT(Tableau119[[#This Row],[ID]],"-",Tableau119[[#This Row],[Expiration Date]])</f>
        <v>60-46142</v>
      </c>
      <c r="J2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FR-ILN FR-60-FRLEH-CMA-CGM-CLSAI--46142</v>
      </c>
      <c r="K204" s="444" t="str">
        <f ca="1">IF(COUNTIF(J:J,Tableau119[[#This Row],[Plant-ILN-shipper-POL-Carrier-POD-PFI]])=1,"Non","Oui")</f>
        <v>Non</v>
      </c>
      <c r="L204" s="445" t="str">
        <f>VLOOKUP(Tableau119[[#This Row],[Name Site]],Plant_AILN!A:D,4,FALSE)</f>
        <v>CHILE</v>
      </c>
      <c r="M204" s="285" t="s">
        <v>142</v>
      </c>
      <c r="N204" s="439">
        <f>VLOOKUP(Tableau119[[#This Row],[Name Site]],Plant_AILN!A:C,3,FALSE)</f>
        <v>90009500</v>
      </c>
      <c r="O204" s="55">
        <f>IF(Tableau119[[#This Row],[Name PFI/CDD]]="PFI VLL",2,VLOOKUP(Tableau119[[#This Row],[Compte Consignee]],Order!C:D,2,FALSE))</f>
        <v>7</v>
      </c>
      <c r="P204" s="123" t="s">
        <v>143</v>
      </c>
      <c r="Q204" s="366">
        <f>VLOOKUP(Tableau119[[#This Row],[Name ILN]],Plant_AILN!F:G,2,FALSE)</f>
        <v>92000100</v>
      </c>
      <c r="R204" s="50">
        <f>VLOOKUP(Tableau119[[#This Row],[Compte ILN]],'DATA ILN'!D:I,6,FALSE)</f>
        <v>9</v>
      </c>
      <c r="S204" s="81">
        <f>IFERROR(VLOOKUP(Tableau119[[#This Row],[Key(Compte ILN - shipper - POL - plant)]],'DATA ILN'!A:J,10,FALSE),VLOOKUP(Tableau119[[#This Row],[Key(Compte ILN - shipper - POL)]],'DATA ILN'!B:J,9,FALSE))</f>
        <v>7</v>
      </c>
      <c r="T204" s="81">
        <f>IFERROR(VLOOKUP(Tableau119[[#This Row],[Key(Compte ILN - shipper - POL - plant)]],'DATA ILN'!A:K,11,FALSE),VLOOKUP(Tableau119[[#This Row],[Key(Compte ILN - shipper - POL)]],'DATA ILN'!B:K,10,FALSE))</f>
        <v>5</v>
      </c>
      <c r="U204" s="81">
        <f>IFERROR(VLOOKUP(Tableau119[[#This Row],[Key(Compte ILN - shipper - POL - plant)]],'DATA ILN'!A:L,12,FALSE),VLOOKUP(Tableau119[[#This Row],[Key(Compte ILN - shipper - POL)]],'DATA ILN'!B:L,11,FALSE))</f>
        <v>7</v>
      </c>
      <c r="V204" s="81">
        <f>Tableau119[[#This Row],[Day ILN Order]]+Tableau119[[#This Row],[Delivery time to ILN/Shipper]]-1</f>
        <v>15</v>
      </c>
      <c r="W204" s="81">
        <f>IFERROR(VLOOKUP(Tableau119[[#This Row],[Key(Compte ILN - shipper - POL - plant)]],'DATA ILN'!A:N,14,FALSE),VLOOKUP(Tableau119[[#This Row],[Key(Compte ILN - shipper - POL)]],'DATA ILN'!B:N,13,FALSE))</f>
        <v>1</v>
      </c>
      <c r="X204" s="106">
        <f>IFERROR(VLOOKUP(Tableau119[[#This Row],[Key(Compte ILN - shipper - POL - plant)]],'DATA ILN'!A:P,16,FALSE),VLOOKUP(Tableau119[[#This Row],[Key(Compte ILN - shipper - POL)]],'DATA ILN'!B:P,15,FALSE))</f>
        <v>5</v>
      </c>
      <c r="Y204" s="284" t="s">
        <v>143</v>
      </c>
      <c r="Z204" s="442">
        <f>IFERROR(VLOOKUP(Tableau119[[#This Row],[Name Shipper]],Plant_AILN!L:M,2,FALSE),0)</f>
        <v>92000100</v>
      </c>
      <c r="AA204" s="406">
        <v>60</v>
      </c>
      <c r="AB204" s="396" t="str">
        <f>_xlfn.XLOOKUP(Tableau119[[#This Row],[Key(ID-date)]],'DATA BTO'!S:S,'DATA BTO'!E:E,FALSE)</f>
        <v>FRLEH</v>
      </c>
      <c r="AC204" s="3" t="str">
        <f>_xlfn.XLOOKUP(Tableau119[[#This Row],[Key(ID-date)]],'DATA BTO'!S:S,'DATA BTO'!F:F,FALSE)</f>
        <v>CMA-CGM</v>
      </c>
      <c r="AD204" s="50">
        <f>_xlfn.XLOOKUP(Tableau119[[#This Row],[Key(ID-date)]],'DATA BTO'!S:S,'DATA BTO'!G:G,FALSE)</f>
        <v>3</v>
      </c>
      <c r="AE204" s="50">
        <f>_xlfn.XLOOKUP(Tableau119[[#This Row],[Key(ID-date)]],'DATA BTO'!S:S,'DATA BTO'!H:H,FALSE)</f>
        <v>5</v>
      </c>
      <c r="AF204" s="81">
        <f>IF(Tableau119[[#This Row],[First Day to POL]]&lt;=Tableau119[[#This Row],[Day Cut Off]],Tableau119[[#This Row],[Day ETD]],Tableau119[[#This Row],[Day ETD]]+7)</f>
        <v>12</v>
      </c>
      <c r="AG204" s="50">
        <f>_xlfn.XLOOKUP(Tableau119[[#This Row],[Key(ID-date)]],'DATA BTO'!S:S,'DATA BTO'!I:I,FALSE)</f>
        <v>46</v>
      </c>
      <c r="AH204" s="3" t="str">
        <f>_xlfn.XLOOKUP(Tableau119[[#This Row],[Key(ID-date)]],'DATA BTO'!S:S,'DATA BTO'!J:J,FALSE)</f>
        <v>CLSAI</v>
      </c>
      <c r="AI204" s="3">
        <f>_xlfn.XLOOKUP(Tableau119[[#This Row],[Key(ID-date)]],'DATA BTO'!S:S,'DATA BTO'!K:K,FALSE)</f>
        <v>3</v>
      </c>
      <c r="AJ204" s="50">
        <f>_xlfn.XLOOKUP(Tableau119[[#This Row],[Key(ID-date)]],'DATA BTO'!S:S,'DATA BTO'!L:L,FALSE)</f>
        <v>0</v>
      </c>
      <c r="AK204" s="53" t="str">
        <f>_xlfn.XLOOKUP(Tableau119[[#This Row],[Key(ID-date)]],'DATA BTO'!S:S,'DATA BTO'!N:N,FALSE)</f>
        <v>Max</v>
      </c>
      <c r="AL204" s="107">
        <f>VLOOKUP(Tableau119[[#This Row],[Key(POD -PFI- Usine)]],'DATA Consignee'!A:F,6,FALSE)</f>
        <v>2</v>
      </c>
      <c r="AM204" s="137"/>
      <c r="AN204" s="443" t="str">
        <f>IF(Tableau119[[#This Row],[Name PFI/CDD]]="","-",VLOOKUP(Tableau119[[#This Row],[Name PFI/CDD]],Plant_AILN!I:J,2,FALSE))</f>
        <v>-</v>
      </c>
      <c r="AO20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4" s="110">
        <f>VLOOKUP(Tableau119[[#This Row],[Key(POD -PFI- Usine)]],'DATA Consignee'!A:J,10,FALSE)</f>
        <v>0</v>
      </c>
      <c r="AR204" s="81">
        <f>VLOOKUP(Tableau119[[#This Row],[Key(POD -PFI- Usine)]],'DATA Consignee'!A:N,14,FALSE)</f>
        <v>2</v>
      </c>
      <c r="AS20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20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204" s="81">
        <f>Tableau119[[#This Row],[Transit time]]+Tableau119[[#This Row],[Time for security]]+Tableau119[[#This Row],[Time for security2 buffer]]</f>
        <v>49</v>
      </c>
      <c r="AV204" s="81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204" s="81">
        <f>Tableau119[[#This Row],[Leadtime SI2C]]+Tableau119[[#This Row],[First Receipt Days]]-Tableau119[[#This Row],[Day Customer Order]]+1</f>
        <v>85</v>
      </c>
      <c r="AX204" s="120">
        <f>IF(Tableau119[[#This Row],[Name ILN]]&lt;&gt;"SFK Freight Forwarder",Tableau119[[#This Row],[Cust. Leadtime]],Tableau119[[#This Row],[Leadtime SI2C]])</f>
        <v>85</v>
      </c>
      <c r="AY204" s="51" t="str">
        <f>_xlfn.XLOOKUP(Tableau119[[#This Row],[Key(ID-date)]],'DATA BTO'!S:S,'DATA BTO'!P:P,FALSE)</f>
        <v>Renault &gt; Horse BPH</v>
      </c>
      <c r="AZ204" s="338">
        <v>46142</v>
      </c>
      <c r="BA204" s="50"/>
    </row>
    <row r="205" spans="2:53">
      <c r="B205" s="474" t="str">
        <f>_xlfn.CONCAT(Tableau119[[#This Row],[Name ILN]],"-",Tableau119[[#This Row],[Name Shipper]],"-",Tableau119[[#This Row],[Name Site]])</f>
        <v>ILN FR-ILN FR-CORMECANICA</v>
      </c>
      <c r="C205" s="67" t="str">
        <f>_xlfn.CONCAT(Tableau119[[#This Row],[Compte ILN]],"-",Tableau119[[#This Row],[Compte Shipper]],"-",Tableau119[[#This Row],[POL]],"-",Tableau119[[#This Row],[Compte Consignee]])</f>
        <v>92000100-92000100-FRLEH-90009500</v>
      </c>
      <c r="D205" s="66" t="str">
        <f>_xlfn.CONCAT(Tableau119[[#This Row],[Compte ILN]],"-",Tableau119[[#This Row],[Compte Shipper]],"-",Tableau119[[#This Row],[POL]])</f>
        <v>92000100-92000100-FRLEH</v>
      </c>
      <c r="E205" s="130" t="str">
        <f>_xlfn.CONCAT(Tableau119[[#This Row],[POL]],"-",Tableau119[[#This Row],[Carrier]],"-",Tableau119[[#This Row],[POD]])</f>
        <v>FRLEH-CMA-CGM-CLSAI</v>
      </c>
      <c r="F205" s="66" t="str">
        <f>_xlfn.CONCAT(Tableau119[[#This Row],[ID]],"-","Actif")</f>
        <v>60-Actif</v>
      </c>
      <c r="G205" s="66" t="str">
        <f>_xlfn.CONCAT(Tableau119[[#This Row],[POD]],"-",Tableau119[[#This Row],[Code PFI]],"-",Tableau119[[#This Row],[Compte Consignee]])</f>
        <v>CLSAI---90009500</v>
      </c>
      <c r="H2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FRFRLEHCORMECANICA</v>
      </c>
      <c r="I205" s="434" t="str">
        <f>_xlfn.CONCAT(Tableau119[[#This Row],[ID]],"-",Tableau119[[#This Row],[Expiration Date]])</f>
        <v>60-45778</v>
      </c>
      <c r="J2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FR-ILN FR-60-FRLEH-CMA-CGM-CLSAI--45778</v>
      </c>
      <c r="K205" s="441" t="str">
        <f ca="1">IF(COUNTIF(J:J,Tableau119[[#This Row],[Plant-ILN-shipper-POL-Carrier-POD-PFI]])=1,"Non","Oui")</f>
        <v>Non</v>
      </c>
      <c r="L205" s="128" t="str">
        <f>VLOOKUP(Tableau119[[#This Row],[Name Site]],Plant_AILN!A:D,4,FALSE)</f>
        <v>CHILE</v>
      </c>
      <c r="M205" s="411" t="s">
        <v>142</v>
      </c>
      <c r="N205" s="439">
        <f>VLOOKUP(Tableau119[[#This Row],[Name Site]],Plant_AILN!A:C,3,FALSE)</f>
        <v>90009500</v>
      </c>
      <c r="O205" s="55">
        <f>VLOOKUP(Tableau119[[#This Row],[Compte Consignee]],Order!C:D,2,FALSE)</f>
        <v>7</v>
      </c>
      <c r="P205" s="116" t="s">
        <v>143</v>
      </c>
      <c r="Q205" s="365">
        <f>VLOOKUP(Tableau119[[#This Row],[Name ILN]],Plant_AILN!F:G,2,FALSE)</f>
        <v>92000100</v>
      </c>
      <c r="R205" s="50">
        <f>VLOOKUP(Tableau119[[#This Row],[Compte ILN]],'DATA ILN'!D:I,6,FALSE)</f>
        <v>9</v>
      </c>
      <c r="S205" s="50">
        <f>IFERROR(VLOOKUP(Tableau119[[#This Row],[Key(Compte ILN - shipper - POL - plant)]],'DATA ILN'!A:J,10,FALSE),VLOOKUP(Tableau119[[#This Row],[Key(Compte ILN - shipper - POL)]],'DATA ILN'!B:J,9,FALSE))</f>
        <v>7</v>
      </c>
      <c r="T205" s="50">
        <f>IFERROR(VLOOKUP(Tableau119[[#This Row],[Key(Compte ILN - shipper - POL - plant)]],'DATA ILN'!A:K,11,FALSE),VLOOKUP(Tableau119[[#This Row],[Key(Compte ILN - shipper - POL)]],'DATA ILN'!B:K,10,FALSE))</f>
        <v>5</v>
      </c>
      <c r="U205" s="50">
        <f>IFERROR(VLOOKUP(Tableau119[[#This Row],[Key(Compte ILN - shipper - POL - plant)]],'DATA ILN'!A:L,12,FALSE),VLOOKUP(Tableau119[[#This Row],[Key(Compte ILN - shipper - POL)]],'DATA ILN'!B:L,11,FALSE))</f>
        <v>7</v>
      </c>
      <c r="V205" s="50">
        <f>Tableau119[[#This Row],[Day ILN Order]]+Tableau119[[#This Row],[Delivery time to ILN/Shipper]]-1</f>
        <v>15</v>
      </c>
      <c r="W205" s="50">
        <f>IFERROR(VLOOKUP(Tableau119[[#This Row],[Key(Compte ILN - shipper - POL - plant)]],'DATA ILN'!A:N,14,FALSE),VLOOKUP(Tableau119[[#This Row],[Key(Compte ILN - shipper - POL)]],'DATA ILN'!B:N,13,FALSE))</f>
        <v>1</v>
      </c>
      <c r="X205" s="53">
        <f>IFERROR(VLOOKUP(Tableau119[[#This Row],[Key(Compte ILN - shipper - POL - plant)]],'DATA ILN'!A:P,16,FALSE),VLOOKUP(Tableau119[[#This Row],[Key(Compte ILN - shipper - POL)]],'DATA ILN'!B:P,15,FALSE))</f>
        <v>5</v>
      </c>
      <c r="Y205" s="284" t="s">
        <v>143</v>
      </c>
      <c r="Z205" s="437">
        <f>IFERROR(VLOOKUP(Tableau119[[#This Row],[Name Shipper]],Plant_AILN!L:M,2,FALSE),0)</f>
        <v>92000100</v>
      </c>
      <c r="AA205" s="406">
        <v>60</v>
      </c>
      <c r="AB205" s="396" t="str">
        <f>_xlfn.XLOOKUP(Tableau119[[#This Row],[Key(ID-date)]],'DATA BTO'!S:S,'DATA BTO'!E:E,FALSE)</f>
        <v>FRLEH</v>
      </c>
      <c r="AC205" s="3" t="str">
        <f>_xlfn.XLOOKUP(Tableau119[[#This Row],[Key(ID-date)]],'DATA BTO'!S:S,'DATA BTO'!F:F,FALSE)</f>
        <v>CMA-CGM</v>
      </c>
      <c r="AD205" s="50">
        <f>_xlfn.XLOOKUP(Tableau119[[#This Row],[Key(ID-date)]],'DATA BTO'!S:S,'DATA BTO'!G:G,FALSE)</f>
        <v>5</v>
      </c>
      <c r="AE205" s="50">
        <f>_xlfn.XLOOKUP(Tableau119[[#This Row],[Key(ID-date)]],'DATA BTO'!S:S,'DATA BTO'!H:H,FALSE)</f>
        <v>7</v>
      </c>
      <c r="AF205" s="50">
        <f>IF(Tableau119[[#This Row],[First Day to POL]]&lt;=Tableau119[[#This Row],[Day Cut Off]],Tableau119[[#This Row],[Day ETD]],Tableau119[[#This Row],[Day ETD]]+7)</f>
        <v>7</v>
      </c>
      <c r="AG205" s="50">
        <f>_xlfn.XLOOKUP(Tableau119[[#This Row],[Key(ID-date)]],'DATA BTO'!S:S,'DATA BTO'!I:I,FALSE)</f>
        <v>31</v>
      </c>
      <c r="AH205" s="3" t="str">
        <f>_xlfn.XLOOKUP(Tableau119[[#This Row],[Key(ID-date)]],'DATA BTO'!S:S,'DATA BTO'!J:J,FALSE)</f>
        <v>CLSAI</v>
      </c>
      <c r="AI205" s="3">
        <f>_xlfn.XLOOKUP(Tableau119[[#This Row],[Key(ID-date)]],'DATA BTO'!S:S,'DATA BTO'!K:K,FALSE)</f>
        <v>3</v>
      </c>
      <c r="AJ205" s="50">
        <f>_xlfn.XLOOKUP(Tableau119[[#This Row],[Key(ID-date)]],'DATA BTO'!S:S,'DATA BTO'!L:L,FALSE)</f>
        <v>0</v>
      </c>
      <c r="AK205" s="53" t="str">
        <f>_xlfn.XLOOKUP(Tableau119[[#This Row],[Key(ID-date)]],'DATA BTO'!S:S,'DATA BTO'!N:N,FALSE)</f>
        <v>Max</v>
      </c>
      <c r="AL205" s="54">
        <f>VLOOKUP(Tableau119[[#This Row],[Key(POD -PFI- Usine)]],'DATA Consignee'!A:F,6,FALSE)</f>
        <v>2</v>
      </c>
      <c r="AM205" s="127"/>
      <c r="AN205" s="438" t="str">
        <f>IF(Tableau119[[#This Row],[Name PFI/CDD]]="","-",VLOOKUP(Tableau119[[#This Row],[Name PFI/CDD]],Plant_AILN!I:J,2,FALSE))</f>
        <v>-</v>
      </c>
      <c r="AO20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5" s="2">
        <f>VLOOKUP(Tableau119[[#This Row],[Key(POD -PFI- Usine)]],'DATA Consignee'!A:J,10,FALSE)</f>
        <v>0</v>
      </c>
      <c r="AR205" s="50">
        <f>VLOOKUP(Tableau119[[#This Row],[Key(POD -PFI- Usine)]],'DATA Consignee'!A:N,14,FALSE)</f>
        <v>2</v>
      </c>
      <c r="AS20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20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205" s="50">
        <f>Tableau119[[#This Row],[Transit time]]+Tableau119[[#This Row],[Time for security]]+Tableau119[[#This Row],[Time for security2 buffer]]</f>
        <v>34</v>
      </c>
      <c r="AV20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205" s="50">
        <f>Tableau119[[#This Row],[Leadtime SI2C]]+Tableau119[[#This Row],[First Receipt Days]]-Tableau119[[#This Row],[Day Customer Order]]+1</f>
        <v>64</v>
      </c>
      <c r="AX205" s="119">
        <f>IF(Tableau119[[#This Row],[Name ILN]]&lt;&gt;"SFK Freight Forwarder",Tableau119[[#This Row],[Cust. Leadtime]],Tableau119[[#This Row],[Leadtime SI2C]])</f>
        <v>64</v>
      </c>
      <c r="AY205" s="51" t="str">
        <f>_xlfn.XLOOKUP(Tableau119[[#This Row],[Key(ID-date)]],'DATA BTO'!S:S,'DATA BTO'!P:P,FALSE)</f>
        <v>Renault &gt; Horse BPH</v>
      </c>
      <c r="AZ205" s="338">
        <v>45778</v>
      </c>
      <c r="BA205" s="50"/>
    </row>
    <row r="206" spans="2:53">
      <c r="B206" s="474" t="str">
        <f>_xlfn.CONCAT(Tableau119[[#This Row],[Name ILN]],"-",Tableau119[[#This Row],[Name Shipper]],"-",Tableau119[[#This Row],[Name Site]])</f>
        <v>ILN FR-ILN FR-CORMECANICA</v>
      </c>
      <c r="C206" s="67" t="str">
        <f>_xlfn.CONCAT(Tableau119[[#This Row],[Compte ILN]],"-",Tableau119[[#This Row],[Compte Shipper]],"-",Tableau119[[#This Row],[POL]],"-",Tableau119[[#This Row],[Compte Consignee]])</f>
        <v>92000100-92000100-FRLEH-90009500</v>
      </c>
      <c r="D206" s="66" t="str">
        <f>_xlfn.CONCAT(Tableau119[[#This Row],[Compte ILN]],"-",Tableau119[[#This Row],[Compte Shipper]],"-",Tableau119[[#This Row],[POL]])</f>
        <v>92000100-92000100-FRLEH</v>
      </c>
      <c r="E206" s="130" t="str">
        <f>_xlfn.CONCAT(Tableau119[[#This Row],[POL]],"-",Tableau119[[#This Row],[Carrier]],"-",Tableau119[[#This Row],[POD]])</f>
        <v>FRLEH-Hapag Lloyd-CLSAI</v>
      </c>
      <c r="F206" s="66" t="str">
        <f>_xlfn.CONCAT(Tableau119[[#This Row],[ID]],"-","Actif")</f>
        <v>60-Actif</v>
      </c>
      <c r="G206" s="66" t="str">
        <f>_xlfn.CONCAT(Tableau119[[#This Row],[POD]],"-",Tableau119[[#This Row],[Code PFI]],"-",Tableau119[[#This Row],[Compte Consignee]])</f>
        <v>CLSAI---90009500</v>
      </c>
      <c r="H2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FRFRLEHCORMECANICA</v>
      </c>
      <c r="I206" s="434" t="str">
        <f>_xlfn.CONCAT(Tableau119[[#This Row],[ID]],"-",Tableau119[[#This Row],[Expiration Date]])</f>
        <v>60-45777</v>
      </c>
      <c r="J2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FR-ILN FR-60-FRLEH-Hapag Lloyd-CLSAI--45777</v>
      </c>
      <c r="K206" s="441" t="str">
        <f ca="1">IF(COUNTIF(J:J,Tableau119[[#This Row],[Plant-ILN-shipper-POL-Carrier-POD-PFI]])=1,"Non","Oui")</f>
        <v>Non</v>
      </c>
      <c r="L206" s="128" t="str">
        <f>VLOOKUP(Tableau119[[#This Row],[Name Site]],Plant_AILN!A:D,4,FALSE)</f>
        <v>CHILE</v>
      </c>
      <c r="M206" s="411" t="s">
        <v>142</v>
      </c>
      <c r="N206" s="439">
        <f>VLOOKUP(Tableau119[[#This Row],[Name Site]],Plant_AILN!A:C,3,FALSE)</f>
        <v>90009500</v>
      </c>
      <c r="O206" s="55">
        <f>VLOOKUP(Tableau119[[#This Row],[Compte Consignee]],Order!C:D,2,FALSE)</f>
        <v>7</v>
      </c>
      <c r="P206" s="116" t="s">
        <v>143</v>
      </c>
      <c r="Q206" s="365">
        <f>VLOOKUP(Tableau119[[#This Row],[Name ILN]],Plant_AILN!F:G,2,FALSE)</f>
        <v>92000100</v>
      </c>
      <c r="R206" s="50">
        <f>VLOOKUP(Tableau119[[#This Row],[Compte ILN]],'DATA ILN'!D:I,6,FALSE)</f>
        <v>9</v>
      </c>
      <c r="S206" s="50">
        <f>IFERROR(VLOOKUP(Tableau119[[#This Row],[Key(Compte ILN - shipper - POL - plant)]],'DATA ILN'!A:J,10,FALSE),VLOOKUP(Tableau119[[#This Row],[Key(Compte ILN - shipper - POL)]],'DATA ILN'!B:J,9,FALSE))</f>
        <v>7</v>
      </c>
      <c r="T206" s="50">
        <f>IFERROR(VLOOKUP(Tableau119[[#This Row],[Key(Compte ILN - shipper - POL - plant)]],'DATA ILN'!A:K,11,FALSE),VLOOKUP(Tableau119[[#This Row],[Key(Compte ILN - shipper - POL)]],'DATA ILN'!B:K,10,FALSE))</f>
        <v>5</v>
      </c>
      <c r="U206" s="50">
        <f>IFERROR(VLOOKUP(Tableau119[[#This Row],[Key(Compte ILN - shipper - POL - plant)]],'DATA ILN'!A:L,12,FALSE),VLOOKUP(Tableau119[[#This Row],[Key(Compte ILN - shipper - POL)]],'DATA ILN'!B:L,11,FALSE))</f>
        <v>7</v>
      </c>
      <c r="V206" s="50">
        <f>Tableau119[[#This Row],[Day ILN Order]]+Tableau119[[#This Row],[Delivery time to ILN/Shipper]]-1</f>
        <v>15</v>
      </c>
      <c r="W206" s="50">
        <f>IFERROR(VLOOKUP(Tableau119[[#This Row],[Key(Compte ILN - shipper - POL - plant)]],'DATA ILN'!A:N,14,FALSE),VLOOKUP(Tableau119[[#This Row],[Key(Compte ILN - shipper - POL)]],'DATA ILN'!B:N,13,FALSE))</f>
        <v>1</v>
      </c>
      <c r="X206" s="53">
        <f>IFERROR(VLOOKUP(Tableau119[[#This Row],[Key(Compte ILN - shipper - POL - plant)]],'DATA ILN'!A:P,16,FALSE),VLOOKUP(Tableau119[[#This Row],[Key(Compte ILN - shipper - POL)]],'DATA ILN'!B:P,15,FALSE))</f>
        <v>5</v>
      </c>
      <c r="Y206" s="284" t="s">
        <v>143</v>
      </c>
      <c r="Z206" s="437">
        <f>IFERROR(VLOOKUP(Tableau119[[#This Row],[Name Shipper]],Plant_AILN!L:M,2,FALSE),0)</f>
        <v>92000100</v>
      </c>
      <c r="AA206" s="406">
        <v>60</v>
      </c>
      <c r="AB206" s="396" t="str">
        <f>_xlfn.XLOOKUP(Tableau119[[#This Row],[Key(ID-date)]],'DATA BTO'!S:S,'DATA BTO'!E:E,FALSE)</f>
        <v>FRLEH</v>
      </c>
      <c r="AC206" s="3" t="str">
        <f>_xlfn.XLOOKUP(Tableau119[[#This Row],[Key(ID-date)]],'DATA BTO'!S:S,'DATA BTO'!F:F,FALSE)</f>
        <v>Hapag Lloyd</v>
      </c>
      <c r="AD206" s="50">
        <f>_xlfn.XLOOKUP(Tableau119[[#This Row],[Key(ID-date)]],'DATA BTO'!S:S,'DATA BTO'!G:G,FALSE)</f>
        <v>5</v>
      </c>
      <c r="AE206" s="50">
        <f>_xlfn.XLOOKUP(Tableau119[[#This Row],[Key(ID-date)]],'DATA BTO'!S:S,'DATA BTO'!H:H,FALSE)</f>
        <v>7</v>
      </c>
      <c r="AF206" s="50">
        <f>IF(Tableau119[[#This Row],[First Day to POL]]&lt;=Tableau119[[#This Row],[Day Cut Off]],Tableau119[[#This Row],[Day ETD]],Tableau119[[#This Row],[Day ETD]]+7)</f>
        <v>7</v>
      </c>
      <c r="AG206" s="50">
        <f>_xlfn.XLOOKUP(Tableau119[[#This Row],[Key(ID-date)]],'DATA BTO'!S:S,'DATA BTO'!I:I,FALSE)</f>
        <v>30</v>
      </c>
      <c r="AH206" s="3" t="str">
        <f>_xlfn.XLOOKUP(Tableau119[[#This Row],[Key(ID-date)]],'DATA BTO'!S:S,'DATA BTO'!J:J,FALSE)</f>
        <v>CLSAI</v>
      </c>
      <c r="AI206" s="3">
        <f>_xlfn.XLOOKUP(Tableau119[[#This Row],[Key(ID-date)]],'DATA BTO'!S:S,'DATA BTO'!K:K,FALSE)</f>
        <v>3</v>
      </c>
      <c r="AJ206" s="50">
        <f>_xlfn.XLOOKUP(Tableau119[[#This Row],[Key(ID-date)]],'DATA BTO'!S:S,'DATA BTO'!L:L,FALSE)</f>
        <v>0</v>
      </c>
      <c r="AK206" s="53" t="str">
        <f>_xlfn.XLOOKUP(Tableau119[[#This Row],[Key(ID-date)]],'DATA BTO'!S:S,'DATA BTO'!N:N,FALSE)</f>
        <v>Max</v>
      </c>
      <c r="AL206" s="54">
        <f>VLOOKUP(Tableau119[[#This Row],[Key(POD -PFI- Usine)]],'DATA Consignee'!A:F,6,FALSE)</f>
        <v>2</v>
      </c>
      <c r="AM206" s="127"/>
      <c r="AN206" s="438" t="str">
        <f>IF(Tableau119[[#This Row],[Name PFI/CDD]]="","-",VLOOKUP(Tableau119[[#This Row],[Name PFI/CDD]],Plant_AILN!I:J,2,FALSE))</f>
        <v>-</v>
      </c>
      <c r="AO20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6" s="2">
        <f>VLOOKUP(Tableau119[[#This Row],[Key(POD -PFI- Usine)]],'DATA Consignee'!A:J,10,FALSE)</f>
        <v>0</v>
      </c>
      <c r="AR206" s="50">
        <f>VLOOKUP(Tableau119[[#This Row],[Key(POD -PFI- Usine)]],'DATA Consignee'!A:N,14,FALSE)</f>
        <v>2</v>
      </c>
      <c r="AS20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20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206" s="50">
        <f>Tableau119[[#This Row],[Transit time]]+Tableau119[[#This Row],[Time for security]]+Tableau119[[#This Row],[Time for security2 buffer]]</f>
        <v>33</v>
      </c>
      <c r="AV20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206" s="50">
        <f>Tableau119[[#This Row],[Leadtime SI2C]]+Tableau119[[#This Row],[First Receipt Days]]-Tableau119[[#This Row],[Day Customer Order]]+1</f>
        <v>64</v>
      </c>
      <c r="AX206" s="119">
        <f>IF(Tableau119[[#This Row],[Name ILN]]&lt;&gt;"SFK Freight Forwarder",Tableau119[[#This Row],[Cust. Leadtime]],Tableau119[[#This Row],[Leadtime SI2C]])</f>
        <v>64</v>
      </c>
      <c r="AY206" s="51" t="str">
        <f>_xlfn.XLOOKUP(Tableau119[[#This Row],[Key(ID-date)]],'DATA BTO'!S:S,'DATA BTO'!P:P,FALSE)</f>
        <v>Renault &gt; Horse BPH</v>
      </c>
      <c r="AZ206" s="338">
        <v>45777</v>
      </c>
      <c r="BA206" s="50"/>
    </row>
    <row r="207" spans="2:53">
      <c r="B207" s="474" t="str">
        <f>_xlfn.CONCAT(Tableau119[[#This Row],[Name ILN]],"-",Tableau119[[#This Row],[Name Shipper]],"-",Tableau119[[#This Row],[Name Site]])</f>
        <v>ILN FR-ILN FR-CORMECANICA</v>
      </c>
      <c r="C207" s="67" t="str">
        <f>_xlfn.CONCAT(Tableau119[[#This Row],[Compte ILN]],"-",Tableau119[[#This Row],[Compte Shipper]],"-",Tableau119[[#This Row],[POL]],"-",Tableau119[[#This Row],[Compte Consignee]])</f>
        <v>92000100-92000100-FRLEH-90009500</v>
      </c>
      <c r="D207" s="66" t="str">
        <f>_xlfn.CONCAT(Tableau119[[#This Row],[Compte ILN]],"-",Tableau119[[#This Row],[Compte Shipper]],"-",Tableau119[[#This Row],[POL]])</f>
        <v>92000100-92000100-FRLEH</v>
      </c>
      <c r="E207" s="130" t="str">
        <f>_xlfn.CONCAT(Tableau119[[#This Row],[POL]],"-",Tableau119[[#This Row],[Carrier]],"-",Tableau119[[#This Row],[POD]])</f>
        <v>FRLEH-Hapag-Lloyd-CLSAI</v>
      </c>
      <c r="F207" s="66" t="str">
        <f>_xlfn.CONCAT(Tableau119[[#This Row],[ID]],"-","Actif")</f>
        <v>60-Actif</v>
      </c>
      <c r="G207" s="66" t="str">
        <f>_xlfn.CONCAT(Tableau119[[#This Row],[POD]],"-",Tableau119[[#This Row],[Code PFI]],"-",Tableau119[[#This Row],[Compte Consignee]])</f>
        <v>CLSAI---90009500</v>
      </c>
      <c r="H2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FRFRLEHCORMECANICA</v>
      </c>
      <c r="I207" s="434" t="str">
        <f>_xlfn.CONCAT(Tableau119[[#This Row],[ID]],"-",Tableau119[[#This Row],[Expiration Date]])</f>
        <v>60-45412</v>
      </c>
      <c r="J2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FR-ILN FR-60-FRLEH-Hapag-Lloyd-CLSAI--45412</v>
      </c>
      <c r="K207" s="441" t="str">
        <f ca="1">IF(COUNTIF(J:J,Tableau119[[#This Row],[Plant-ILN-shipper-POL-Carrier-POD-PFI]])=1,"Non","Oui")</f>
        <v>Non</v>
      </c>
      <c r="L207" s="128" t="str">
        <f>VLOOKUP(Tableau119[[#This Row],[Name Site]],Plant_AILN!A:D,4,FALSE)</f>
        <v>CHILE</v>
      </c>
      <c r="M207" s="411" t="s">
        <v>142</v>
      </c>
      <c r="N207" s="439">
        <f>VLOOKUP(Tableau119[[#This Row],[Name Site]],Plant_AILN!A:C,3,FALSE)</f>
        <v>90009500</v>
      </c>
      <c r="O207" s="55">
        <f>VLOOKUP(Tableau119[[#This Row],[Compte Consignee]],Order!C:D,2,FALSE)</f>
        <v>7</v>
      </c>
      <c r="P207" s="116" t="s">
        <v>143</v>
      </c>
      <c r="Q207" s="365">
        <f>VLOOKUP(Tableau119[[#This Row],[Name ILN]],Plant_AILN!F:G,2,FALSE)</f>
        <v>92000100</v>
      </c>
      <c r="R207" s="50">
        <f>VLOOKUP(Tableau119[[#This Row],[Compte ILN]],'DATA ILN'!D:I,6,FALSE)</f>
        <v>9</v>
      </c>
      <c r="S207" s="50">
        <f>IFERROR(VLOOKUP(Tableau119[[#This Row],[Key(Compte ILN - shipper - POL - plant)]],'DATA ILN'!A:J,10,FALSE),VLOOKUP(Tableau119[[#This Row],[Key(Compte ILN - shipper - POL)]],'DATA ILN'!B:J,9,FALSE))</f>
        <v>7</v>
      </c>
      <c r="T207" s="50">
        <f>IFERROR(VLOOKUP(Tableau119[[#This Row],[Key(Compte ILN - shipper - POL - plant)]],'DATA ILN'!A:K,11,FALSE),VLOOKUP(Tableau119[[#This Row],[Key(Compte ILN - shipper - POL)]],'DATA ILN'!B:K,10,FALSE))</f>
        <v>5</v>
      </c>
      <c r="U207" s="50">
        <f>IFERROR(VLOOKUP(Tableau119[[#This Row],[Key(Compte ILN - shipper - POL - plant)]],'DATA ILN'!A:L,12,FALSE),VLOOKUP(Tableau119[[#This Row],[Key(Compte ILN - shipper - POL)]],'DATA ILN'!B:L,11,FALSE))</f>
        <v>7</v>
      </c>
      <c r="V207" s="50">
        <f>Tableau119[[#This Row],[Day ILN Order]]+Tableau119[[#This Row],[Delivery time to ILN/Shipper]]-1</f>
        <v>15</v>
      </c>
      <c r="W207" s="50">
        <f>IFERROR(VLOOKUP(Tableau119[[#This Row],[Key(Compte ILN - shipper - POL - plant)]],'DATA ILN'!A:N,14,FALSE),VLOOKUP(Tableau119[[#This Row],[Key(Compte ILN - shipper - POL)]],'DATA ILN'!B:N,13,FALSE))</f>
        <v>1</v>
      </c>
      <c r="X207" s="53">
        <f>IFERROR(VLOOKUP(Tableau119[[#This Row],[Key(Compte ILN - shipper - POL - plant)]],'DATA ILN'!A:P,16,FALSE),VLOOKUP(Tableau119[[#This Row],[Key(Compte ILN - shipper - POL)]],'DATA ILN'!B:P,15,FALSE))</f>
        <v>5</v>
      </c>
      <c r="Y207" s="284" t="s">
        <v>143</v>
      </c>
      <c r="Z207" s="437">
        <f>IFERROR(VLOOKUP(Tableau119[[#This Row],[Name Shipper]],Plant_AILN!L:M,2,FALSE),0)</f>
        <v>92000100</v>
      </c>
      <c r="AA207" s="406">
        <v>60</v>
      </c>
      <c r="AB207" s="396" t="str">
        <f>_xlfn.XLOOKUP(Tableau119[[#This Row],[Key(ID-date)]],'DATA BTO'!S:S,'DATA BTO'!E:E,FALSE)</f>
        <v>FRLEH</v>
      </c>
      <c r="AC207" s="3" t="str">
        <f>_xlfn.XLOOKUP(Tableau119[[#This Row],[Key(ID-date)]],'DATA BTO'!S:S,'DATA BTO'!F:F,FALSE)</f>
        <v>Hapag-Lloyd</v>
      </c>
      <c r="AD207" s="50">
        <f>_xlfn.XLOOKUP(Tableau119[[#This Row],[Key(ID-date)]],'DATA BTO'!S:S,'DATA BTO'!G:G,FALSE)</f>
        <v>5</v>
      </c>
      <c r="AE207" s="50">
        <f>_xlfn.XLOOKUP(Tableau119[[#This Row],[Key(ID-date)]],'DATA BTO'!S:S,'DATA BTO'!H:H,FALSE)</f>
        <v>7</v>
      </c>
      <c r="AF207" s="50">
        <f>IF(Tableau119[[#This Row],[First Day to POL]]&lt;=Tableau119[[#This Row],[Day Cut Off]],Tableau119[[#This Row],[Day ETD]],Tableau119[[#This Row],[Day ETD]]+7)</f>
        <v>7</v>
      </c>
      <c r="AG207" s="50">
        <f>_xlfn.XLOOKUP(Tableau119[[#This Row],[Key(ID-date)]],'DATA BTO'!S:S,'DATA BTO'!I:I,FALSE)</f>
        <v>30</v>
      </c>
      <c r="AH207" s="3" t="str">
        <f>_xlfn.XLOOKUP(Tableau119[[#This Row],[Key(ID-date)]],'DATA BTO'!S:S,'DATA BTO'!J:J,FALSE)</f>
        <v>CLSAI</v>
      </c>
      <c r="AI207" s="3">
        <f>_xlfn.XLOOKUP(Tableau119[[#This Row],[Key(ID-date)]],'DATA BTO'!S:S,'DATA BTO'!K:K,FALSE)</f>
        <v>3</v>
      </c>
      <c r="AJ207" s="50">
        <f>_xlfn.XLOOKUP(Tableau119[[#This Row],[Key(ID-date)]],'DATA BTO'!S:S,'DATA BTO'!L:L,FALSE)</f>
        <v>0</v>
      </c>
      <c r="AK207" s="53" t="str">
        <f>_xlfn.XLOOKUP(Tableau119[[#This Row],[Key(ID-date)]],'DATA BTO'!S:S,'DATA BTO'!N:N,FALSE)</f>
        <v>Max</v>
      </c>
      <c r="AL207" s="54">
        <f>VLOOKUP(Tableau119[[#This Row],[Key(POD -PFI- Usine)]],'DATA Consignee'!A:F,6,FALSE)</f>
        <v>2</v>
      </c>
      <c r="AM207" s="127"/>
      <c r="AN207" s="438" t="str">
        <f>IF(Tableau119[[#This Row],[Name PFI/CDD]]="","-",VLOOKUP(Tableau119[[#This Row],[Name PFI/CDD]],Plant_AILN!I:J,2,FALSE))</f>
        <v>-</v>
      </c>
      <c r="AO20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7" s="2">
        <f>VLOOKUP(Tableau119[[#This Row],[Key(POD -PFI- Usine)]],'DATA Consignee'!A:J,10,FALSE)</f>
        <v>0</v>
      </c>
      <c r="AR207" s="50">
        <f>VLOOKUP(Tableau119[[#This Row],[Key(POD -PFI- Usine)]],'DATA Consignee'!A:N,14,FALSE)</f>
        <v>2</v>
      </c>
      <c r="AS20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20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207" s="50">
        <f>Tableau119[[#This Row],[Transit time]]+Tableau119[[#This Row],[Time for security]]+Tableau119[[#This Row],[Time for security2 buffer]]</f>
        <v>33</v>
      </c>
      <c r="AV20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207" s="50">
        <f>Tableau119[[#This Row],[Leadtime SI2C]]+Tableau119[[#This Row],[First Receipt Days]]-Tableau119[[#This Row],[Day Customer Order]]+1</f>
        <v>64</v>
      </c>
      <c r="AX207" s="119">
        <f>IF(Tableau119[[#This Row],[Name ILN]]&lt;&gt;"SFK Freight Forwarder",Tableau119[[#This Row],[Cust. Leadtime]],Tableau119[[#This Row],[Leadtime SI2C]])</f>
        <v>64</v>
      </c>
      <c r="AY207" s="51" t="str">
        <f>_xlfn.XLOOKUP(Tableau119[[#This Row],[Key(ID-date)]],'DATA BTO'!S:S,'DATA BTO'!P:P,FALSE)</f>
        <v>Renault &gt; Horse BPH</v>
      </c>
      <c r="AZ207" s="338">
        <v>45412</v>
      </c>
      <c r="BA207" s="50"/>
    </row>
    <row r="208" spans="2:53">
      <c r="B208" s="67" t="str">
        <f>_xlfn.CONCAT(Tableau119[[#This Row],[Name ILN]],"-",Tableau119[[#This Row],[Name Shipper]],"-",Tableau119[[#This Row],[Name Site]])</f>
        <v>ILN FR-GETRAG    MODUG-RKM</v>
      </c>
      <c r="C208" s="67" t="str">
        <f>_xlfn.CONCAT(Tableau119[[#This Row],[Compte ILN]],"-",Tableau119[[#This Row],[Compte Shipper]],"-",Tableau119[[#This Row],[POL]],"-",Tableau119[[#This Row],[Compte Consignee]])</f>
        <v>92000100-25566103-ITBRI-92002200</v>
      </c>
      <c r="D208" s="82" t="str">
        <f>_xlfn.CONCAT(Tableau119[[#This Row],[Compte ILN]],"-",Tableau119[[#This Row],[Compte Shipper]],"-",Tableau119[[#This Row],[POL]])</f>
        <v>92000100-25566103-ITBRI</v>
      </c>
      <c r="E208" s="83" t="str">
        <f>_xlfn.CONCAT(Tableau119[[#This Row],[POL]],"-",Tableau119[[#This Row],[Carrier]],"-",Tableau119[[#This Row],[POD]])</f>
        <v>ITBRI-MSC-KRPUS</v>
      </c>
      <c r="F208" s="82" t="str">
        <f>_xlfn.CONCAT(Tableau119[[#This Row],[ID]],"-","Actif")</f>
        <v>63-Actif</v>
      </c>
      <c r="G208" s="82" t="str">
        <f>_xlfn.CONCAT(Tableau119[[#This Row],[POD]],"-",Tableau119[[#This Row],[Code PFI]],"-",Tableau119[[#This Row],[Compte Consignee]])</f>
        <v>KRPUS---92002200</v>
      </c>
      <c r="H208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25566103ITBRIRKM</v>
      </c>
      <c r="I208" s="502" t="str">
        <f>_xlfn.CONCAT(Tableau119[[#This Row],[ID]],"-",Tableau119[[#This Row],[Expiration Date]])</f>
        <v>63-46142</v>
      </c>
      <c r="J2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FR-GETRAG    MODUG-63-ITBRI-MSC-KRPUS--46142</v>
      </c>
      <c r="K208" s="444" t="str">
        <f ca="1">IF(COUNTIF(J:J,Tableau119[[#This Row],[Plant-ILN-shipper-POL-Carrier-POD-PFI]])=1,"Non","Oui")</f>
        <v>Non</v>
      </c>
      <c r="L208" s="445" t="str">
        <f>VLOOKUP(Tableau119[[#This Row],[Name Site]],Plant_AILN!A:D,4,FALSE)</f>
        <v>KOREA</v>
      </c>
      <c r="M208" s="285" t="s">
        <v>145</v>
      </c>
      <c r="N208" s="439">
        <f>VLOOKUP(Tableau119[[#This Row],[Name Site]],Plant_AILN!A:C,3,FALSE)</f>
        <v>92002200</v>
      </c>
      <c r="O208" s="55">
        <f>IF(Tableau119[[#This Row],[Name PFI/CDD]]="PFI VLL",2,VLOOKUP(Tableau119[[#This Row],[Compte Consignee]],Order!C:D,2,FALSE))</f>
        <v>2</v>
      </c>
      <c r="P208" s="116" t="s">
        <v>143</v>
      </c>
      <c r="Q208" s="366">
        <f>VLOOKUP(Tableau119[[#This Row],[Name ILN]],Plant_AILN!F:G,2,FALSE)</f>
        <v>92000100</v>
      </c>
      <c r="R208" s="50">
        <f>VLOOKUP(Tableau119[[#This Row],[Compte ILN]],'DATA ILN'!D:I,6,FALSE)</f>
        <v>9</v>
      </c>
      <c r="S208" s="81">
        <f>IFERROR(VLOOKUP(Tableau119[[#This Row],[Key(Compte ILN - shipper - POL - plant)]],'DATA ILN'!A:J,10,FALSE),VLOOKUP(Tableau119[[#This Row],[Key(Compte ILN - shipper - POL)]],'DATA ILN'!B:J,9,FALSE))</f>
        <v>7</v>
      </c>
      <c r="T208" s="81">
        <f>IFERROR(VLOOKUP(Tableau119[[#This Row],[Key(Compte ILN - shipper - POL - plant)]],'DATA ILN'!A:K,11,FALSE),VLOOKUP(Tableau119[[#This Row],[Key(Compte ILN - shipper - POL)]],'DATA ILN'!B:K,10,FALSE))</f>
        <v>5</v>
      </c>
      <c r="U208" s="81">
        <f>IFERROR(VLOOKUP(Tableau119[[#This Row],[Key(Compte ILN - shipper - POL - plant)]],'DATA ILN'!A:L,12,FALSE),VLOOKUP(Tableau119[[#This Row],[Key(Compte ILN - shipper - POL)]],'DATA ILN'!B:L,11,FALSE))</f>
        <v>7</v>
      </c>
      <c r="V208" s="81">
        <f>Tableau119[[#This Row],[Day ILN Order]]+Tableau119[[#This Row],[Delivery time to ILN/Shipper]]-1</f>
        <v>15</v>
      </c>
      <c r="W208" s="81">
        <f>IFERROR(VLOOKUP(Tableau119[[#This Row],[Key(Compte ILN - shipper - POL - plant)]],'DATA ILN'!A:N,14,FALSE),VLOOKUP(Tableau119[[#This Row],[Key(Compte ILN - shipper - POL)]],'DATA ILN'!B:N,13,FALSE))</f>
        <v>2</v>
      </c>
      <c r="X208" s="106">
        <f>IFERROR(VLOOKUP(Tableau119[[#This Row],[Key(Compte ILN - shipper - POL - plant)]],'DATA ILN'!A:P,16,FALSE),VLOOKUP(Tableau119[[#This Row],[Key(Compte ILN - shipper - POL)]],'DATA ILN'!B:P,15,FALSE))</f>
        <v>4</v>
      </c>
      <c r="Y208" s="284" t="s">
        <v>147</v>
      </c>
      <c r="Z208" s="442">
        <f>IFERROR(VLOOKUP(Tableau119[[#This Row],[Name Shipper]],Plant_AILN!L:M,2,FALSE),0)</f>
        <v>25566103</v>
      </c>
      <c r="AA208" s="406">
        <v>63</v>
      </c>
      <c r="AB208" s="396" t="str">
        <f>_xlfn.XLOOKUP(Tableau119[[#This Row],[Key(ID-date)]],'DATA BTO'!S:S,'DATA BTO'!E:E,FALSE)</f>
        <v>ITBRI</v>
      </c>
      <c r="AC208" s="3" t="str">
        <f>_xlfn.XLOOKUP(Tableau119[[#This Row],[Key(ID-date)]],'DATA BTO'!S:S,'DATA BTO'!F:F,FALSE)</f>
        <v>MSC</v>
      </c>
      <c r="AD208" s="50">
        <f>_xlfn.XLOOKUP(Tableau119[[#This Row],[Key(ID-date)]],'DATA BTO'!S:S,'DATA BTO'!G:G,FALSE)</f>
        <v>7</v>
      </c>
      <c r="AE208" s="50">
        <f>_xlfn.XLOOKUP(Tableau119[[#This Row],[Key(ID-date)]],'DATA BTO'!S:S,'DATA BTO'!H:H,FALSE)</f>
        <v>9</v>
      </c>
      <c r="AF208" s="81">
        <f>IF(Tableau119[[#This Row],[First Day to POL]]&lt;=Tableau119[[#This Row],[Day Cut Off]],Tableau119[[#This Row],[Day ETD]],Tableau119[[#This Row],[Day ETD]]+7)</f>
        <v>9</v>
      </c>
      <c r="AG208" s="50">
        <f>_xlfn.XLOOKUP(Tableau119[[#This Row],[Key(ID-date)]],'DATA BTO'!S:S,'DATA BTO'!I:I,FALSE)</f>
        <v>55</v>
      </c>
      <c r="AH208" s="3" t="str">
        <f>_xlfn.XLOOKUP(Tableau119[[#This Row],[Key(ID-date)]],'DATA BTO'!S:S,'DATA BTO'!J:J,FALSE)</f>
        <v>KRPUS</v>
      </c>
      <c r="AI208" s="3">
        <f>_xlfn.XLOOKUP(Tableau119[[#This Row],[Key(ID-date)]],'DATA BTO'!S:S,'DATA BTO'!K:K,FALSE)</f>
        <v>3</v>
      </c>
      <c r="AJ208" s="50">
        <f>_xlfn.XLOOKUP(Tableau119[[#This Row],[Key(ID-date)]],'DATA BTO'!S:S,'DATA BTO'!L:L,FALSE)</f>
        <v>7</v>
      </c>
      <c r="AK208" s="53" t="str">
        <f>_xlfn.XLOOKUP(Tableau119[[#This Row],[Key(ID-date)]],'DATA BTO'!S:S,'DATA BTO'!N:N,FALSE)</f>
        <v>Max</v>
      </c>
      <c r="AL208" s="107">
        <f>VLOOKUP(Tableau119[[#This Row],[Key(POD -PFI- Usine)]],'DATA Consignee'!A:F,6,FALSE)</f>
        <v>2</v>
      </c>
      <c r="AM208" s="127"/>
      <c r="AN208" s="443" t="str">
        <f>IF(Tableau119[[#This Row],[Name PFI/CDD]]="","-",VLOOKUP(Tableau119[[#This Row],[Name PFI/CDD]],Plant_AILN!I:J,2,FALSE))</f>
        <v>-</v>
      </c>
      <c r="AO20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8" s="110">
        <f>VLOOKUP(Tableau119[[#This Row],[Key(POD -PFI- Usine)]],'DATA Consignee'!A:J,10,FALSE)</f>
        <v>0</v>
      </c>
      <c r="AR208" s="81">
        <f>VLOOKUP(Tableau119[[#This Row],[Key(POD -PFI- Usine)]],'DATA Consignee'!A:N,14,FALSE)</f>
        <v>1</v>
      </c>
      <c r="AS20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20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208" s="81">
        <f>Tableau119[[#This Row],[Transit time]]+Tableau119[[#This Row],[Time for security]]+Tableau119[[#This Row],[Time for security2 buffer]]</f>
        <v>65</v>
      </c>
      <c r="AV208" s="81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208" s="81">
        <f>Tableau119[[#This Row],[Leadtime SI2C]]+Tableau119[[#This Row],[First Receipt Days]]-Tableau119[[#This Row],[Day Customer Order]]+1</f>
        <v>97</v>
      </c>
      <c r="AX208" s="120">
        <f>IF(Tableau119[[#This Row],[Name ILN]]&lt;&gt;"SFK Freight Forwarder",Tableau119[[#This Row],[Cust. Leadtime]],Tableau119[[#This Row],[Leadtime SI2C]])</f>
        <v>97</v>
      </c>
      <c r="AY208" s="51" t="str">
        <f>_xlfn.XLOOKUP(Tableau119[[#This Row],[Key(ID-date)]],'DATA BTO'!S:S,'DATA BTO'!P:P,FALSE)</f>
        <v>Horse &gt; Renault BPH (MLP)</v>
      </c>
      <c r="AZ208" s="338">
        <v>46142</v>
      </c>
      <c r="BA208" s="50"/>
    </row>
    <row r="209" spans="2:53">
      <c r="B209" s="474" t="str">
        <f>_xlfn.CONCAT(Tableau119[[#This Row],[Name ILN]],"-",Tableau119[[#This Row],[Name Shipper]],"-",Tableau119[[#This Row],[Name Site]])</f>
        <v>ILN FR-GETRAG    MODUG-RKM</v>
      </c>
      <c r="C209" s="67" t="str">
        <f>_xlfn.CONCAT(Tableau119[[#This Row],[Compte ILN]],"-",Tableau119[[#This Row],[Compte Shipper]],"-",Tableau119[[#This Row],[POL]],"-",Tableau119[[#This Row],[Compte Consignee]])</f>
        <v>92000100-25566103-ITGIT-92002200</v>
      </c>
      <c r="D209" s="66" t="str">
        <f>_xlfn.CONCAT(Tableau119[[#This Row],[Compte ILN]],"-",Tableau119[[#This Row],[Compte Shipper]],"-",Tableau119[[#This Row],[POL]])</f>
        <v>92000100-25566103-ITGIT</v>
      </c>
      <c r="E209" s="130" t="str">
        <f>_xlfn.CONCAT(Tableau119[[#This Row],[POL]],"-",Tableau119[[#This Row],[Carrier]],"-",Tableau119[[#This Row],[POD]])</f>
        <v>ITGIT-Maersk-KRPUS</v>
      </c>
      <c r="F209" s="66" t="str">
        <f>_xlfn.CONCAT(Tableau119[[#This Row],[ID]],"-","Actif")</f>
        <v>63-Actif</v>
      </c>
      <c r="G209" s="66" t="str">
        <f>_xlfn.CONCAT(Tableau119[[#This Row],[POD]],"-",Tableau119[[#This Row],[Code PFI]],"-",Tableau119[[#This Row],[Compte Consignee]])</f>
        <v>KRPUS---92002200</v>
      </c>
      <c r="H2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25566103ITGITRKM</v>
      </c>
      <c r="I209" s="434" t="str">
        <f>_xlfn.CONCAT(Tableau119[[#This Row],[ID]],"-",Tableau119[[#This Row],[Expiration Date]])</f>
        <v>63-45777</v>
      </c>
      <c r="J2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FR-GETRAG    MODUG-63-ITGIT-Maersk-KRPUS--45777</v>
      </c>
      <c r="K209" s="441" t="str">
        <f ca="1">IF(COUNTIF(J:J,Tableau119[[#This Row],[Plant-ILN-shipper-POL-Carrier-POD-PFI]])=1,"Non","Oui")</f>
        <v>Non</v>
      </c>
      <c r="L209" s="128" t="str">
        <f>VLOOKUP(Tableau119[[#This Row],[Name Site]],Plant_AILN!A:D,4,FALSE)</f>
        <v>KOREA</v>
      </c>
      <c r="M209" s="411" t="s">
        <v>145</v>
      </c>
      <c r="N209" s="439">
        <f>VLOOKUP(Tableau119[[#This Row],[Name Site]],Plant_AILN!A:C,3,FALSE)</f>
        <v>92002200</v>
      </c>
      <c r="O209" s="55">
        <f>VLOOKUP(Tableau119[[#This Row],[Compte Consignee]],Order!C:D,2,FALSE)</f>
        <v>2</v>
      </c>
      <c r="P209" s="116" t="s">
        <v>143</v>
      </c>
      <c r="Q209" s="365">
        <f>VLOOKUP(Tableau119[[#This Row],[Name ILN]],Plant_AILN!F:G,2,FALSE)</f>
        <v>92000100</v>
      </c>
      <c r="R209" s="50">
        <f>VLOOKUP(Tableau119[[#This Row],[Compte ILN]],'DATA ILN'!D:I,6,FALSE)</f>
        <v>9</v>
      </c>
      <c r="S209" s="50" t="e">
        <f>IFERROR(VLOOKUP(Tableau119[[#This Row],[Key(Compte ILN - shipper - POL - plant)]],'DATA ILN'!A:J,10,FALSE),VLOOKUP(Tableau119[[#This Row],[Key(Compte ILN - shipper - POL)]],'DATA ILN'!B:J,9,FALSE))</f>
        <v>#N/A</v>
      </c>
      <c r="T209" s="50" t="e">
        <f>IFERROR(VLOOKUP(Tableau119[[#This Row],[Key(Compte ILN - shipper - POL - plant)]],'DATA ILN'!A:K,11,FALSE),VLOOKUP(Tableau119[[#This Row],[Key(Compte ILN - shipper - POL)]],'DATA ILN'!B:K,10,FALSE))</f>
        <v>#N/A</v>
      </c>
      <c r="U209" s="50" t="e">
        <f>IFERROR(VLOOKUP(Tableau119[[#This Row],[Key(Compte ILN - shipper - POL - plant)]],'DATA ILN'!A:L,12,FALSE),VLOOKUP(Tableau119[[#This Row],[Key(Compte ILN - shipper - POL)]],'DATA ILN'!B:L,11,FALSE))</f>
        <v>#N/A</v>
      </c>
      <c r="V209" s="50" t="e">
        <f>Tableau119[[#This Row],[Day ILN Order]]+Tableau119[[#This Row],[Delivery time to ILN/Shipper]]-1</f>
        <v>#N/A</v>
      </c>
      <c r="W209" s="50" t="e">
        <f>IFERROR(VLOOKUP(Tableau119[[#This Row],[Key(Compte ILN - shipper - POL - plant)]],'DATA ILN'!A:N,14,FALSE),VLOOKUP(Tableau119[[#This Row],[Key(Compte ILN - shipper - POL)]],'DATA ILN'!B:N,13,FALSE))</f>
        <v>#N/A</v>
      </c>
      <c r="X209" s="53" t="e">
        <f>IFERROR(VLOOKUP(Tableau119[[#This Row],[Key(Compte ILN - shipper - POL - plant)]],'DATA ILN'!A:P,16,FALSE),VLOOKUP(Tableau119[[#This Row],[Key(Compte ILN - shipper - POL)]],'DATA ILN'!B:P,15,FALSE))</f>
        <v>#N/A</v>
      </c>
      <c r="Y209" s="284" t="s">
        <v>147</v>
      </c>
      <c r="Z209" s="437">
        <f>IFERROR(VLOOKUP(Tableau119[[#This Row],[Name Shipper]],Plant_AILN!L:M,2,FALSE),0)</f>
        <v>25566103</v>
      </c>
      <c r="AA209" s="406">
        <v>63</v>
      </c>
      <c r="AB209" s="396" t="str">
        <f>_xlfn.XLOOKUP(Tableau119[[#This Row],[Key(ID-date)]],'DATA BTO'!S:S,'DATA BTO'!E:E,FALSE)</f>
        <v>ITGIT</v>
      </c>
      <c r="AC209" s="3" t="str">
        <f>_xlfn.XLOOKUP(Tableau119[[#This Row],[Key(ID-date)]],'DATA BTO'!S:S,'DATA BTO'!F:F,FALSE)</f>
        <v>Maersk</v>
      </c>
      <c r="AD209" s="50">
        <f>_xlfn.XLOOKUP(Tableau119[[#This Row],[Key(ID-date)]],'DATA BTO'!S:S,'DATA BTO'!G:G,FALSE)</f>
        <v>4</v>
      </c>
      <c r="AE209" s="50">
        <f>_xlfn.XLOOKUP(Tableau119[[#This Row],[Key(ID-date)]],'DATA BTO'!S:S,'DATA BTO'!H:H,FALSE)</f>
        <v>9</v>
      </c>
      <c r="AF209" s="50" t="e">
        <f>IF(Tableau119[[#This Row],[First Day to POL]]&lt;=Tableau119[[#This Row],[Day Cut Off]],Tableau119[[#This Row],[Day ETD]],Tableau119[[#This Row],[Day ETD]]+7)</f>
        <v>#N/A</v>
      </c>
      <c r="AG209" s="50">
        <f>_xlfn.XLOOKUP(Tableau119[[#This Row],[Key(ID-date)]],'DATA BTO'!S:S,'DATA BTO'!I:I,FALSE)</f>
        <v>47</v>
      </c>
      <c r="AH209" s="3" t="str">
        <f>_xlfn.XLOOKUP(Tableau119[[#This Row],[Key(ID-date)]],'DATA BTO'!S:S,'DATA BTO'!J:J,FALSE)</f>
        <v>KRPUS</v>
      </c>
      <c r="AI209" s="3">
        <f>_xlfn.XLOOKUP(Tableau119[[#This Row],[Key(ID-date)]],'DATA BTO'!S:S,'DATA BTO'!K:K,FALSE)</f>
        <v>3</v>
      </c>
      <c r="AJ209" s="50">
        <f>_xlfn.XLOOKUP(Tableau119[[#This Row],[Key(ID-date)]],'DATA BTO'!S:S,'DATA BTO'!L:L,FALSE)</f>
        <v>14</v>
      </c>
      <c r="AK209" s="53" t="str">
        <f>_xlfn.XLOOKUP(Tableau119[[#This Row],[Key(ID-date)]],'DATA BTO'!S:S,'DATA BTO'!N:N,FALSE)</f>
        <v>Max</v>
      </c>
      <c r="AL209" s="54">
        <f>VLOOKUP(Tableau119[[#This Row],[Key(POD -PFI- Usine)]],'DATA Consignee'!A:F,6,FALSE)</f>
        <v>2</v>
      </c>
      <c r="AM209" s="127"/>
      <c r="AN209" s="438" t="str">
        <f>IF(Tableau119[[#This Row],[Name PFI/CDD]]="","-",VLOOKUP(Tableau119[[#This Row],[Name PFI/CDD]],Plant_AILN!I:J,2,FALSE))</f>
        <v>-</v>
      </c>
      <c r="AO20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0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09" s="2">
        <f>VLOOKUP(Tableau119[[#This Row],[Key(POD -PFI- Usine)]],'DATA Consignee'!A:J,10,FALSE)</f>
        <v>0</v>
      </c>
      <c r="AR209" s="50">
        <f>VLOOKUP(Tableau119[[#This Row],[Key(POD -PFI- Usine)]],'DATA Consignee'!A:N,14,FALSE)</f>
        <v>1</v>
      </c>
      <c r="AS2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09" s="50">
        <f>Tableau119[[#This Row],[Transit time]]+Tableau119[[#This Row],[Time for security]]+Tableau119[[#This Row],[Time for security2 buffer]]</f>
        <v>64</v>
      </c>
      <c r="AV2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09" s="50" t="e">
        <f>Tableau119[[#This Row],[Leadtime SI2C]]+Tableau119[[#This Row],[First Receipt Days]]-Tableau119[[#This Row],[Day Customer Order]]+1</f>
        <v>#N/A</v>
      </c>
      <c r="AX209" s="119" t="e">
        <f>IF(Tableau119[[#This Row],[Name ILN]]&lt;&gt;"SFK Freight Forwarder",Tableau119[[#This Row],[Cust. Leadtime]],Tableau119[[#This Row],[Leadtime SI2C]])</f>
        <v>#N/A</v>
      </c>
      <c r="AY209" s="51" t="str">
        <f>_xlfn.XLOOKUP(Tableau119[[#This Row],[Key(ID-date)]],'DATA BTO'!S:S,'DATA BTO'!P:P,FALSE)</f>
        <v>Horse &gt; Renault BPH (MLP)</v>
      </c>
      <c r="AZ209" s="338">
        <v>45777</v>
      </c>
      <c r="BA209" s="50"/>
    </row>
    <row r="210" spans="2:53">
      <c r="B210" s="474" t="str">
        <f>_xlfn.CONCAT(Tableau119[[#This Row],[Name ILN]],"-",Tableau119[[#This Row],[Name Shipper]],"-",Tableau119[[#This Row],[Name Site]])</f>
        <v>ILN FR-GETRAG    MODUG-RKM</v>
      </c>
      <c r="C210" s="67" t="str">
        <f>_xlfn.CONCAT(Tableau119[[#This Row],[Compte ILN]],"-",Tableau119[[#This Row],[Compte Shipper]],"-",Tableau119[[#This Row],[POL]],"-",Tableau119[[#This Row],[Compte Consignee]])</f>
        <v>92000100-25566103-ITGIT-92002200</v>
      </c>
      <c r="D210" s="82" t="str">
        <f>_xlfn.CONCAT(Tableau119[[#This Row],[Compte ILN]],"-",Tableau119[[#This Row],[Compte Shipper]],"-",Tableau119[[#This Row],[POL]])</f>
        <v>92000100-25566103-ITGIT</v>
      </c>
      <c r="E210" s="83" t="str">
        <f>_xlfn.CONCAT(Tableau119[[#This Row],[POL]],"-",Tableau119[[#This Row],[Carrier]],"-",Tableau119[[#This Row],[POD]])</f>
        <v>ITGIT-Maersk-KRPUS</v>
      </c>
      <c r="F210" s="82" t="str">
        <f>_xlfn.CONCAT(Tableau119[[#This Row],[ID]],"-","Actif")</f>
        <v>63-Actif</v>
      </c>
      <c r="G210" s="82" t="str">
        <f>_xlfn.CONCAT(Tableau119[[#This Row],[POD]],"-",Tableau119[[#This Row],[Code PFI]],"-",Tableau119[[#This Row],[Compte Consignee]])</f>
        <v>KRPUS---92002200</v>
      </c>
      <c r="H21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25566103ITGITRKM</v>
      </c>
      <c r="I210" s="502" t="str">
        <f>_xlfn.CONCAT(Tableau119[[#This Row],[ID]],"-",Tableau119[[#This Row],[Expiration Date]])</f>
        <v>63-45473</v>
      </c>
      <c r="J2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FR-GETRAG    MODUG-63-ITGIT-Maersk-KRPUS--45473</v>
      </c>
      <c r="K210" s="444" t="str">
        <f ca="1">IF(COUNTIF(J:J,Tableau119[[#This Row],[Plant-ILN-shipper-POL-Carrier-POD-PFI]])=1,"Non","Oui")</f>
        <v>Non</v>
      </c>
      <c r="L210" s="103" t="str">
        <f>VLOOKUP(Tableau119[[#This Row],[Name Site]],Plant_AILN!A:D,4,FALSE)</f>
        <v>KOREA</v>
      </c>
      <c r="M210" s="411" t="s">
        <v>145</v>
      </c>
      <c r="N210" s="439">
        <f>VLOOKUP(Tableau119[[#This Row],[Name Site]],Plant_AILN!A:C,3,FALSE)</f>
        <v>92002200</v>
      </c>
      <c r="O210" s="55">
        <f>VLOOKUP(Tableau119[[#This Row],[Compte Consignee]],Order!C:D,2,FALSE)</f>
        <v>2</v>
      </c>
      <c r="P210" s="116" t="s">
        <v>143</v>
      </c>
      <c r="Q210" s="366">
        <f>VLOOKUP(Tableau119[[#This Row],[Name ILN]],Plant_AILN!F:G,2,FALSE)</f>
        <v>92000100</v>
      </c>
      <c r="R210" s="50">
        <f>VLOOKUP(Tableau119[[#This Row],[Compte ILN]],'DATA ILN'!D:I,6,FALSE)</f>
        <v>9</v>
      </c>
      <c r="S210" s="81" t="e">
        <f>IFERROR(VLOOKUP(Tableau119[[#This Row],[Key(Compte ILN - shipper - POL - plant)]],'DATA ILN'!A:J,10,FALSE),VLOOKUP(Tableau119[[#This Row],[Key(Compte ILN - shipper - POL)]],'DATA ILN'!B:J,9,FALSE))</f>
        <v>#N/A</v>
      </c>
      <c r="T210" s="81" t="e">
        <f>IFERROR(VLOOKUP(Tableau119[[#This Row],[Key(Compte ILN - shipper - POL - plant)]],'DATA ILN'!A:K,11,FALSE),VLOOKUP(Tableau119[[#This Row],[Key(Compte ILN - shipper - POL)]],'DATA ILN'!B:K,10,FALSE))</f>
        <v>#N/A</v>
      </c>
      <c r="U210" s="81" t="e">
        <f>IFERROR(VLOOKUP(Tableau119[[#This Row],[Key(Compte ILN - shipper - POL - plant)]],'DATA ILN'!A:L,12,FALSE),VLOOKUP(Tableau119[[#This Row],[Key(Compte ILN - shipper - POL)]],'DATA ILN'!B:L,11,FALSE))</f>
        <v>#N/A</v>
      </c>
      <c r="V210" s="81" t="e">
        <f>Tableau119[[#This Row],[Day ILN Order]]+Tableau119[[#This Row],[Delivery time to ILN/Shipper]]-1</f>
        <v>#N/A</v>
      </c>
      <c r="W210" s="81" t="e">
        <f>IFERROR(VLOOKUP(Tableau119[[#This Row],[Key(Compte ILN - shipper - POL - plant)]],'DATA ILN'!A:N,14,FALSE),VLOOKUP(Tableau119[[#This Row],[Key(Compte ILN - shipper - POL)]],'DATA ILN'!B:N,13,FALSE))</f>
        <v>#N/A</v>
      </c>
      <c r="X210" s="106" t="e">
        <f>IFERROR(VLOOKUP(Tableau119[[#This Row],[Key(Compte ILN - shipper - POL - plant)]],'DATA ILN'!A:P,16,FALSE),VLOOKUP(Tableau119[[#This Row],[Key(Compte ILN - shipper - POL)]],'DATA ILN'!B:P,15,FALSE))</f>
        <v>#N/A</v>
      </c>
      <c r="Y210" s="284" t="s">
        <v>147</v>
      </c>
      <c r="Z210" s="442">
        <f>IFERROR(VLOOKUP(Tableau119[[#This Row],[Name Shipper]],Plant_AILN!L:M,2,FALSE),0)</f>
        <v>25566103</v>
      </c>
      <c r="AA210" s="406">
        <v>63</v>
      </c>
      <c r="AB210" s="396" t="str">
        <f>_xlfn.XLOOKUP(Tableau119[[#This Row],[Key(ID-date)]],'DATA BTO'!S:S,'DATA BTO'!E:E,FALSE)</f>
        <v>ITGIT</v>
      </c>
      <c r="AC210" s="3" t="str">
        <f>_xlfn.XLOOKUP(Tableau119[[#This Row],[Key(ID-date)]],'DATA BTO'!S:S,'DATA BTO'!F:F,FALSE)</f>
        <v>Maersk</v>
      </c>
      <c r="AD210" s="50">
        <f>_xlfn.XLOOKUP(Tableau119[[#This Row],[Key(ID-date)]],'DATA BTO'!S:S,'DATA BTO'!G:G,FALSE)</f>
        <v>4</v>
      </c>
      <c r="AE210" s="50">
        <f>_xlfn.XLOOKUP(Tableau119[[#This Row],[Key(ID-date)]],'DATA BTO'!S:S,'DATA BTO'!H:H,FALSE)</f>
        <v>9</v>
      </c>
      <c r="AF210" s="81" t="e">
        <f>IF(Tableau119[[#This Row],[First Day to POL]]&lt;=Tableau119[[#This Row],[Day Cut Off]],Tableau119[[#This Row],[Day ETD]],Tableau119[[#This Row],[Day ETD]]+7)</f>
        <v>#N/A</v>
      </c>
      <c r="AG210" s="50">
        <f>_xlfn.XLOOKUP(Tableau119[[#This Row],[Key(ID-date)]],'DATA BTO'!S:S,'DATA BTO'!I:I,FALSE)</f>
        <v>47</v>
      </c>
      <c r="AH210" s="3" t="str">
        <f>_xlfn.XLOOKUP(Tableau119[[#This Row],[Key(ID-date)]],'DATA BTO'!S:S,'DATA BTO'!J:J,FALSE)</f>
        <v>KRPUS</v>
      </c>
      <c r="AI210" s="3">
        <f>_xlfn.XLOOKUP(Tableau119[[#This Row],[Key(ID-date)]],'DATA BTO'!S:S,'DATA BTO'!K:K,FALSE)</f>
        <v>3</v>
      </c>
      <c r="AJ210" s="50">
        <f>_xlfn.XLOOKUP(Tableau119[[#This Row],[Key(ID-date)]],'DATA BTO'!S:S,'DATA BTO'!L:L,FALSE)</f>
        <v>7</v>
      </c>
      <c r="AK210" s="53" t="str">
        <f>_xlfn.XLOOKUP(Tableau119[[#This Row],[Key(ID-date)]],'DATA BTO'!S:S,'DATA BTO'!N:N,FALSE)</f>
        <v>Max</v>
      </c>
      <c r="AL210" s="107">
        <f>VLOOKUP(Tableau119[[#This Row],[Key(POD -PFI- Usine)]],'DATA Consignee'!A:F,6,FALSE)</f>
        <v>2</v>
      </c>
      <c r="AM210" s="127"/>
      <c r="AN210" s="443" t="str">
        <f>IF(Tableau119[[#This Row],[Name PFI/CDD]]="","-",VLOOKUP(Tableau119[[#This Row],[Name PFI/CDD]],Plant_AILN!I:J,2,FALSE))</f>
        <v>-</v>
      </c>
      <c r="AO21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0" s="110">
        <f>VLOOKUP(Tableau119[[#This Row],[Key(POD -PFI- Usine)]],'DATA Consignee'!A:J,10,FALSE)</f>
        <v>0</v>
      </c>
      <c r="AR210" s="81">
        <f>VLOOKUP(Tableau119[[#This Row],[Key(POD -PFI- Usine)]],'DATA Consignee'!A:N,14,FALSE)</f>
        <v>1</v>
      </c>
      <c r="AS21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0" s="81">
        <f>Tableau119[[#This Row],[Transit time]]+Tableau119[[#This Row],[Time for security]]+Tableau119[[#This Row],[Time for security2 buffer]]</f>
        <v>57</v>
      </c>
      <c r="AV210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0" s="81" t="e">
        <f>Tableau119[[#This Row],[Leadtime SI2C]]+Tableau119[[#This Row],[First Receipt Days]]-Tableau119[[#This Row],[Day Customer Order]]+1</f>
        <v>#N/A</v>
      </c>
      <c r="AX210" s="120" t="e">
        <f>IF(Tableau119[[#This Row],[Name ILN]]&lt;&gt;"SFK Freight Forwarder",Tableau119[[#This Row],[Cust. Leadtime]],Tableau119[[#This Row],[Leadtime SI2C]])</f>
        <v>#N/A</v>
      </c>
      <c r="AY210" s="51" t="str">
        <f>_xlfn.XLOOKUP(Tableau119[[#This Row],[Key(ID-date)]],'DATA BTO'!S:S,'DATA BTO'!P:P,FALSE)</f>
        <v>Horse &gt; Renault BPH (MLP)</v>
      </c>
      <c r="AZ210" s="338">
        <v>45473</v>
      </c>
      <c r="BA210" s="50"/>
    </row>
    <row r="211" spans="2:53">
      <c r="B211" s="474" t="str">
        <f>_xlfn.CONCAT(Tableau119[[#This Row],[Name ILN]],"-",Tableau119[[#This Row],[Name Shipper]],"-",Tableau119[[#This Row],[Name Site]])</f>
        <v>ILN FR-GETRAG    MODUG-RKM</v>
      </c>
      <c r="C211" s="67" t="str">
        <f>_xlfn.CONCAT(Tableau119[[#This Row],[Compte ILN]],"-",Tableau119[[#This Row],[Compte Shipper]],"-",Tableau119[[#This Row],[POL]],"-",Tableau119[[#This Row],[Compte Consignee]])</f>
        <v>92000100-25566103-ITGIT-92002200</v>
      </c>
      <c r="D211" s="66" t="str">
        <f>_xlfn.CONCAT(Tableau119[[#This Row],[Compte ILN]],"-",Tableau119[[#This Row],[Compte Shipper]],"-",Tableau119[[#This Row],[POL]])</f>
        <v>92000100-25566103-ITGIT</v>
      </c>
      <c r="E211" s="130" t="str">
        <f>_xlfn.CONCAT(Tableau119[[#This Row],[POL]],"-",Tableau119[[#This Row],[Carrier]],"-",Tableau119[[#This Row],[POD]])</f>
        <v>ITGIT-Maersk-KRPUS</v>
      </c>
      <c r="F211" s="66" t="str">
        <f>_xlfn.CONCAT(Tableau119[[#This Row],[ID]],"-","Actif")</f>
        <v>63-Actif</v>
      </c>
      <c r="G211" s="66" t="str">
        <f>_xlfn.CONCAT(Tableau119[[#This Row],[POD]],"-",Tableau119[[#This Row],[Code PFI]],"-",Tableau119[[#This Row],[Compte Consignee]])</f>
        <v>KRPUS---92002200</v>
      </c>
      <c r="H2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25566103ITGITRKM</v>
      </c>
      <c r="I211" s="434" t="str">
        <f>_xlfn.CONCAT(Tableau119[[#This Row],[ID]],"-",Tableau119[[#This Row],[Expiration Date]])</f>
        <v>63-45412</v>
      </c>
      <c r="J2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FR-GETRAG    MODUG-63-ITGIT-Maersk-KRPUS--45412</v>
      </c>
      <c r="K211" s="441" t="str">
        <f ca="1">IF(COUNTIF(J:J,Tableau119[[#This Row],[Plant-ILN-shipper-POL-Carrier-POD-PFI]])=1,"Non","Oui")</f>
        <v>Non</v>
      </c>
      <c r="L211" s="128" t="str">
        <f>VLOOKUP(Tableau119[[#This Row],[Name Site]],Plant_AILN!A:D,4,FALSE)</f>
        <v>KOREA</v>
      </c>
      <c r="M211" s="411" t="s">
        <v>145</v>
      </c>
      <c r="N211" s="439">
        <f>VLOOKUP(Tableau119[[#This Row],[Name Site]],Plant_AILN!A:C,3,FALSE)</f>
        <v>92002200</v>
      </c>
      <c r="O211" s="55">
        <f>VLOOKUP(Tableau119[[#This Row],[Compte Consignee]],Order!C:D,2,FALSE)</f>
        <v>2</v>
      </c>
      <c r="P211" s="116" t="s">
        <v>143</v>
      </c>
      <c r="Q211" s="365">
        <f>VLOOKUP(Tableau119[[#This Row],[Name ILN]],Plant_AILN!F:G,2,FALSE)</f>
        <v>92000100</v>
      </c>
      <c r="R211" s="50">
        <f>VLOOKUP(Tableau119[[#This Row],[Compte ILN]],'DATA ILN'!D:I,6,FALSE)</f>
        <v>9</v>
      </c>
      <c r="S211" s="50" t="e">
        <f>IFERROR(VLOOKUP(Tableau119[[#This Row],[Key(Compte ILN - shipper - POL - plant)]],'DATA ILN'!A:J,10,FALSE),VLOOKUP(Tableau119[[#This Row],[Key(Compte ILN - shipper - POL)]],'DATA ILN'!B:J,9,FALSE))</f>
        <v>#N/A</v>
      </c>
      <c r="T211" s="50" t="e">
        <f>IFERROR(VLOOKUP(Tableau119[[#This Row],[Key(Compte ILN - shipper - POL - plant)]],'DATA ILN'!A:K,11,FALSE),VLOOKUP(Tableau119[[#This Row],[Key(Compte ILN - shipper - POL)]],'DATA ILN'!B:K,10,FALSE))</f>
        <v>#N/A</v>
      </c>
      <c r="U211" s="50" t="e">
        <f>IFERROR(VLOOKUP(Tableau119[[#This Row],[Key(Compte ILN - shipper - POL - plant)]],'DATA ILN'!A:L,12,FALSE),VLOOKUP(Tableau119[[#This Row],[Key(Compte ILN - shipper - POL)]],'DATA ILN'!B:L,11,FALSE))</f>
        <v>#N/A</v>
      </c>
      <c r="V211" s="50" t="e">
        <f>Tableau119[[#This Row],[Day ILN Order]]+Tableau119[[#This Row],[Delivery time to ILN/Shipper]]-1</f>
        <v>#N/A</v>
      </c>
      <c r="W211" s="50" t="e">
        <f>IFERROR(VLOOKUP(Tableau119[[#This Row],[Key(Compte ILN - shipper - POL - plant)]],'DATA ILN'!A:N,14,FALSE),VLOOKUP(Tableau119[[#This Row],[Key(Compte ILN - shipper - POL)]],'DATA ILN'!B:N,13,FALSE))</f>
        <v>#N/A</v>
      </c>
      <c r="X211" s="53" t="e">
        <f>IFERROR(VLOOKUP(Tableau119[[#This Row],[Key(Compte ILN - shipper - POL - plant)]],'DATA ILN'!A:P,16,FALSE),VLOOKUP(Tableau119[[#This Row],[Key(Compte ILN - shipper - POL)]],'DATA ILN'!B:P,15,FALSE))</f>
        <v>#N/A</v>
      </c>
      <c r="Y211" s="284" t="s">
        <v>147</v>
      </c>
      <c r="Z211" s="437">
        <f>IFERROR(VLOOKUP(Tableau119[[#This Row],[Name Shipper]],Plant_AILN!L:M,2,FALSE),0)</f>
        <v>25566103</v>
      </c>
      <c r="AA211" s="406">
        <v>63</v>
      </c>
      <c r="AB211" s="396" t="str">
        <f>_xlfn.XLOOKUP(Tableau119[[#This Row],[Key(ID-date)]],'DATA BTO'!S:S,'DATA BTO'!E:E,FALSE)</f>
        <v>ITGIT</v>
      </c>
      <c r="AC211" s="3" t="str">
        <f>_xlfn.XLOOKUP(Tableau119[[#This Row],[Key(ID-date)]],'DATA BTO'!S:S,'DATA BTO'!F:F,FALSE)</f>
        <v>Maersk</v>
      </c>
      <c r="AD211" s="50">
        <f>_xlfn.XLOOKUP(Tableau119[[#This Row],[Key(ID-date)]],'DATA BTO'!S:S,'DATA BTO'!G:G,FALSE)</f>
        <v>4</v>
      </c>
      <c r="AE211" s="50">
        <f>_xlfn.XLOOKUP(Tableau119[[#This Row],[Key(ID-date)]],'DATA BTO'!S:S,'DATA BTO'!H:H,FALSE)</f>
        <v>10</v>
      </c>
      <c r="AF211" s="50" t="e">
        <f>IF(Tableau119[[#This Row],[First Day to POL]]&lt;=Tableau119[[#This Row],[Day Cut Off]],Tableau119[[#This Row],[Day ETD]],Tableau119[[#This Row],[Day ETD]]+7)</f>
        <v>#N/A</v>
      </c>
      <c r="AG211" s="50">
        <f>_xlfn.XLOOKUP(Tableau119[[#This Row],[Key(ID-date)]],'DATA BTO'!S:S,'DATA BTO'!I:I,FALSE)</f>
        <v>43</v>
      </c>
      <c r="AH211" s="3" t="str">
        <f>_xlfn.XLOOKUP(Tableau119[[#This Row],[Key(ID-date)]],'DATA BTO'!S:S,'DATA BTO'!J:J,FALSE)</f>
        <v>KRPUS</v>
      </c>
      <c r="AI211" s="3">
        <f>_xlfn.XLOOKUP(Tableau119[[#This Row],[Key(ID-date)]],'DATA BTO'!S:S,'DATA BTO'!K:K,FALSE)</f>
        <v>3</v>
      </c>
      <c r="AJ211" s="50">
        <f>_xlfn.XLOOKUP(Tableau119[[#This Row],[Key(ID-date)]],'DATA BTO'!S:S,'DATA BTO'!L:L,FALSE)</f>
        <v>7</v>
      </c>
      <c r="AK211" s="53" t="str">
        <f>_xlfn.XLOOKUP(Tableau119[[#This Row],[Key(ID-date)]],'DATA BTO'!S:S,'DATA BTO'!N:N,FALSE)</f>
        <v>Max</v>
      </c>
      <c r="AL211" s="54">
        <f>VLOOKUP(Tableau119[[#This Row],[Key(POD -PFI- Usine)]],'DATA Consignee'!A:F,6,FALSE)</f>
        <v>2</v>
      </c>
      <c r="AM211" s="127"/>
      <c r="AN211" s="438" t="str">
        <f>IF(Tableau119[[#This Row],[Name PFI/CDD]]="","-",VLOOKUP(Tableau119[[#This Row],[Name PFI/CDD]],Plant_AILN!I:J,2,FALSE))</f>
        <v>-</v>
      </c>
      <c r="AO2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1" s="2">
        <f>VLOOKUP(Tableau119[[#This Row],[Key(POD -PFI- Usine)]],'DATA Consignee'!A:J,10,FALSE)</f>
        <v>0</v>
      </c>
      <c r="AR211" s="50">
        <f>VLOOKUP(Tableau119[[#This Row],[Key(POD -PFI- Usine)]],'DATA Consignee'!A:N,14,FALSE)</f>
        <v>1</v>
      </c>
      <c r="AS2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1" s="50">
        <f>Tableau119[[#This Row],[Transit time]]+Tableau119[[#This Row],[Time for security]]+Tableau119[[#This Row],[Time for security2 buffer]]</f>
        <v>53</v>
      </c>
      <c r="AV2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1" s="50" t="e">
        <f>Tableau119[[#This Row],[Leadtime SI2C]]+Tableau119[[#This Row],[First Receipt Days]]-Tableau119[[#This Row],[Day Customer Order]]+1</f>
        <v>#N/A</v>
      </c>
      <c r="AX211" s="119" t="e">
        <f>IF(Tableau119[[#This Row],[Name ILN]]&lt;&gt;"SFK Freight Forwarder",Tableau119[[#This Row],[Cust. Leadtime]],Tableau119[[#This Row],[Leadtime SI2C]])</f>
        <v>#N/A</v>
      </c>
      <c r="AY211" s="51" t="str">
        <f>_xlfn.XLOOKUP(Tableau119[[#This Row],[Key(ID-date)]],'DATA BTO'!S:S,'DATA BTO'!P:P,FALSE)</f>
        <v>Horse &gt; Renault BPH (MLP)</v>
      </c>
      <c r="AZ211" s="338">
        <v>45412</v>
      </c>
      <c r="BA211" s="50"/>
    </row>
    <row r="212" spans="2:53" ht="15" customHeight="1">
      <c r="B212" s="67" t="str">
        <f>_xlfn.CONCAT(Tableau119[[#This Row],[Name ILN]],"-",Tableau119[[#This Row],[Name Shipper]],"-",Tableau119[[#This Row],[Name Site]])</f>
        <v>ILN FR-ILN FR-CHENNAI Powertrain</v>
      </c>
      <c r="C212" s="67" t="str">
        <f>_xlfn.CONCAT(Tableau119[[#This Row],[Compte ILN]],"-",Tableau119[[#This Row],[Compte Shipper]],"-",Tableau119[[#This Row],[POL]],"-",Tableau119[[#This Row],[Compte Consignee]])</f>
        <v>92000100-92000100-FALSO-26549500</v>
      </c>
      <c r="D212" s="82" t="str">
        <f>_xlfn.CONCAT(Tableau119[[#This Row],[Compte ILN]],"-",Tableau119[[#This Row],[Compte Shipper]],"-",Tableau119[[#This Row],[POL]])</f>
        <v>92000100-92000100-FALSO</v>
      </c>
      <c r="E212" s="83" t="str">
        <f>_xlfn.CONCAT(Tableau119[[#This Row],[POL]],"-",Tableau119[[#This Row],[Carrier]],"-",Tableau119[[#This Row],[POD]])</f>
        <v>FALSO-FALSO-FALSO</v>
      </c>
      <c r="F212" s="82" t="str">
        <f>_xlfn.CONCAT(Tableau119[[#This Row],[ID]],"-","Actif")</f>
        <v>71-Actif</v>
      </c>
      <c r="G212" s="82" t="str">
        <f>_xlfn.CONCAT(Tableau119[[#This Row],[POD]],"-",Tableau119[[#This Row],[Code PFI]],"-",Tableau119[[#This Row],[Compte Consignee]])</f>
        <v>FALSO---26549500</v>
      </c>
      <c r="H212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Powertrain</v>
      </c>
      <c r="I212" s="502" t="str">
        <f>_xlfn.CONCAT(Tableau119[[#This Row],[ID]],"-",Tableau119[[#This Row],[Expiration Date]])</f>
        <v>71-46142</v>
      </c>
      <c r="J2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FR-ILN FR-71-FALSO-FALSO-FALSO--46142</v>
      </c>
      <c r="K212" s="444" t="str">
        <f ca="1">IF(COUNTIF(J:J,Tableau119[[#This Row],[Plant-ILN-shipper-POL-Carrier-POD-PFI]])=1,"Non","Oui")</f>
        <v>Non</v>
      </c>
      <c r="L212" s="445" t="str">
        <f>VLOOKUP(Tableau119[[#This Row],[Name Site]],Plant_AILN!A:D,4,FALSE)</f>
        <v>INDIA</v>
      </c>
      <c r="M212" s="285" t="s">
        <v>221</v>
      </c>
      <c r="N212" s="439">
        <f>VLOOKUP(Tableau119[[#This Row],[Name Site]],Plant_AILN!A:C,3,FALSE)</f>
        <v>26549500</v>
      </c>
      <c r="O212" s="55">
        <f>IF(Tableau119[[#This Row],[Name PFI/CDD]]="PFI VLL",2,VLOOKUP(Tableau119[[#This Row],[Compte Consignee]],Order!C:D,2,FALSE))</f>
        <v>5</v>
      </c>
      <c r="P212" s="126" t="s">
        <v>143</v>
      </c>
      <c r="Q212" s="366">
        <f>VLOOKUP(Tableau119[[#This Row],[Name ILN]],Plant_AILN!F:G,2,FALSE)</f>
        <v>92000100</v>
      </c>
      <c r="R212" s="50">
        <f>VLOOKUP(Tableau119[[#This Row],[Compte ILN]],'DATA ILN'!D:I,6,FALSE)</f>
        <v>9</v>
      </c>
      <c r="S212" s="81" t="e">
        <f>IFERROR(VLOOKUP(Tableau119[[#This Row],[Key(Compte ILN - shipper - POL - plant)]],'DATA ILN'!A:J,10,FALSE),VLOOKUP(Tableau119[[#This Row],[Key(Compte ILN - shipper - POL)]],'DATA ILN'!B:J,9,FALSE))</f>
        <v>#N/A</v>
      </c>
      <c r="T212" s="81" t="e">
        <f>IFERROR(VLOOKUP(Tableau119[[#This Row],[Key(Compte ILN - shipper - POL - plant)]],'DATA ILN'!A:K,11,FALSE),VLOOKUP(Tableau119[[#This Row],[Key(Compte ILN - shipper - POL)]],'DATA ILN'!B:K,10,FALSE))</f>
        <v>#N/A</v>
      </c>
      <c r="U212" s="81" t="e">
        <f>IFERROR(VLOOKUP(Tableau119[[#This Row],[Key(Compte ILN - shipper - POL - plant)]],'DATA ILN'!A:L,12,FALSE),VLOOKUP(Tableau119[[#This Row],[Key(Compte ILN - shipper - POL)]],'DATA ILN'!B:L,11,FALSE))</f>
        <v>#N/A</v>
      </c>
      <c r="V212" s="81" t="e">
        <f>Tableau119[[#This Row],[Day ILN Order]]+Tableau119[[#This Row],[Delivery time to ILN/Shipper]]-1</f>
        <v>#N/A</v>
      </c>
      <c r="W212" s="81" t="e">
        <f>IFERROR(VLOOKUP(Tableau119[[#This Row],[Key(Compte ILN - shipper - POL - plant)]],'DATA ILN'!A:N,14,FALSE),VLOOKUP(Tableau119[[#This Row],[Key(Compte ILN - shipper - POL)]],'DATA ILN'!B:N,13,FALSE))</f>
        <v>#N/A</v>
      </c>
      <c r="X212" s="106" t="e">
        <f>IFERROR(VLOOKUP(Tableau119[[#This Row],[Key(Compte ILN - shipper - POL - plant)]],'DATA ILN'!A:P,16,FALSE),VLOOKUP(Tableau119[[#This Row],[Key(Compte ILN - shipper - POL)]],'DATA ILN'!B:P,15,FALSE))</f>
        <v>#N/A</v>
      </c>
      <c r="Y212" s="284" t="s">
        <v>143</v>
      </c>
      <c r="Z212" s="442">
        <f>IFERROR(VLOOKUP(Tableau119[[#This Row],[Name Shipper]],Plant_AILN!L:M,2,FALSE),0)</f>
        <v>92000100</v>
      </c>
      <c r="AA212" s="406">
        <v>71</v>
      </c>
      <c r="AB212" s="396" t="b">
        <f>_xlfn.XLOOKUP(Tableau119[[#This Row],[Key(ID-date)]],'DATA BTO'!S:S,'DATA BTO'!E:E,FALSE)</f>
        <v>0</v>
      </c>
      <c r="AC212" s="3" t="b">
        <f>_xlfn.XLOOKUP(Tableau119[[#This Row],[Key(ID-date)]],'DATA BTO'!S:S,'DATA BTO'!F:F,FALSE)</f>
        <v>0</v>
      </c>
      <c r="AD212" s="50" t="b">
        <f>_xlfn.XLOOKUP(Tableau119[[#This Row],[Key(ID-date)]],'DATA BTO'!S:S,'DATA BTO'!G:G,FALSE)</f>
        <v>0</v>
      </c>
      <c r="AE212" s="50" t="b">
        <f>_xlfn.XLOOKUP(Tableau119[[#This Row],[Key(ID-date)]],'DATA BTO'!S:S,'DATA BTO'!H:H,FALSE)</f>
        <v>0</v>
      </c>
      <c r="AF212" s="81" t="e">
        <f>IF(Tableau119[[#This Row],[First Day to POL]]&lt;=Tableau119[[#This Row],[Day Cut Off]],Tableau119[[#This Row],[Day ETD]],Tableau119[[#This Row],[Day ETD]]+7)</f>
        <v>#N/A</v>
      </c>
      <c r="AG212" s="50" t="b">
        <f>_xlfn.XLOOKUP(Tableau119[[#This Row],[Key(ID-date)]],'DATA BTO'!S:S,'DATA BTO'!I:I,FALSE)</f>
        <v>0</v>
      </c>
      <c r="AH212" s="3" t="b">
        <f>_xlfn.XLOOKUP(Tableau119[[#This Row],[Key(ID-date)]],'DATA BTO'!S:S,'DATA BTO'!J:J,FALSE)</f>
        <v>0</v>
      </c>
      <c r="AI212" s="3" t="b">
        <f>_xlfn.XLOOKUP(Tableau119[[#This Row],[Key(ID-date)]],'DATA BTO'!S:S,'DATA BTO'!K:K,FALSE)</f>
        <v>0</v>
      </c>
      <c r="AJ212" s="50" t="b">
        <f>_xlfn.XLOOKUP(Tableau119[[#This Row],[Key(ID-date)]],'DATA BTO'!S:S,'DATA BTO'!L:L,FALSE)</f>
        <v>0</v>
      </c>
      <c r="AK212" s="53" t="b">
        <f>_xlfn.XLOOKUP(Tableau119[[#This Row],[Key(ID-date)]],'DATA BTO'!S:S,'DATA BTO'!N:N,FALSE)</f>
        <v>0</v>
      </c>
      <c r="AL212" s="107" t="e">
        <f>VLOOKUP(Tableau119[[#This Row],[Key(POD -PFI- Usine)]],'DATA Consignee'!A:F,6,FALSE)</f>
        <v>#N/A</v>
      </c>
      <c r="AM212" s="490"/>
      <c r="AN212" s="443" t="str">
        <f>IF(Tableau119[[#This Row],[Name PFI/CDD]]="","-",VLOOKUP(Tableau119[[#This Row],[Name PFI/CDD]],Plant_AILN!I:J,2,FALSE))</f>
        <v>-</v>
      </c>
      <c r="AO21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2" s="110" t="e">
        <f>VLOOKUP(Tableau119[[#This Row],[Key(POD -PFI- Usine)]],'DATA Consignee'!A:J,10,FALSE)</f>
        <v>#N/A</v>
      </c>
      <c r="AR212" s="81" t="e">
        <f>VLOOKUP(Tableau119[[#This Row],[Key(POD -PFI- Usine)]],'DATA Consignee'!A:N,14,FALSE)</f>
        <v>#N/A</v>
      </c>
      <c r="AS21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2" s="81">
        <f>Tableau119[[#This Row],[Transit time]]+Tableau119[[#This Row],[Time for security]]+Tableau119[[#This Row],[Time for security2 buffer]]</f>
        <v>0</v>
      </c>
      <c r="AV212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2" s="81" t="e">
        <f>Tableau119[[#This Row],[Leadtime SI2C]]+Tableau119[[#This Row],[First Receipt Days]]-Tableau119[[#This Row],[Day Customer Order]]+1</f>
        <v>#N/A</v>
      </c>
      <c r="AX212" s="120" t="e">
        <f>IF(Tableau119[[#This Row],[Name ILN]]&lt;&gt;"SFK Freight Forwarder",Tableau119[[#This Row],[Cust. Leadtime]],Tableau119[[#This Row],[Leadtime SI2C]])</f>
        <v>#N/A</v>
      </c>
      <c r="AY212" s="51" t="b">
        <f>_xlfn.XLOOKUP(Tableau119[[#This Row],[Key(ID-date)]],'DATA BTO'!S:S,'DATA BTO'!P:P,FALSE)</f>
        <v>0</v>
      </c>
      <c r="AZ212" s="338">
        <v>46142</v>
      </c>
      <c r="BA212" s="50"/>
    </row>
    <row r="213" spans="2:53">
      <c r="B213" s="67" t="str">
        <f>_xlfn.CONCAT(Tableau119[[#This Row],[Name ILN]],"-",Tableau119[[#This Row],[Name Shipper]],"-",Tableau119[[#This Row],[Name Site]])</f>
        <v>ILN FR-ILN FR-CHENNAI Vehicule</v>
      </c>
      <c r="C213" s="67" t="str">
        <f>_xlfn.CONCAT(Tableau119[[#This Row],[Compte ILN]],"-",Tableau119[[#This Row],[Compte Shipper]],"-",Tableau119[[#This Row],[POL]],"-",Tableau119[[#This Row],[Compte Consignee]])</f>
        <v>92000100-92000100-FALSO-26549502</v>
      </c>
      <c r="D213" s="82" t="str">
        <f>_xlfn.CONCAT(Tableau119[[#This Row],[Compte ILN]],"-",Tableau119[[#This Row],[Compte Shipper]],"-",Tableau119[[#This Row],[POL]])</f>
        <v>92000100-92000100-FALSO</v>
      </c>
      <c r="E213" s="83" t="str">
        <f>_xlfn.CONCAT(Tableau119[[#This Row],[POL]],"-",Tableau119[[#This Row],[Carrier]],"-",Tableau119[[#This Row],[POD]])</f>
        <v>FALSO-FALSO-FALSO</v>
      </c>
      <c r="F213" s="82" t="str">
        <f>_xlfn.CONCAT(Tableau119[[#This Row],[ID]],"-","Actif")</f>
        <v>71-Actif</v>
      </c>
      <c r="G213" s="82" t="str">
        <f>_xlfn.CONCAT(Tableau119[[#This Row],[POD]],"-",Tableau119[[#This Row],[Code PFI]],"-",Tableau119[[#This Row],[Compte Consignee]])</f>
        <v>FALSO---26549502</v>
      </c>
      <c r="H21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Vehicule</v>
      </c>
      <c r="I213" s="502" t="str">
        <f>_xlfn.CONCAT(Tableau119[[#This Row],[ID]],"-",Tableau119[[#This Row],[Expiration Date]])</f>
        <v>71-46142</v>
      </c>
      <c r="J2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FR-ILN FR-71-FALSO-FALSO-FALSO--46142</v>
      </c>
      <c r="K213" s="444" t="str">
        <f ca="1">IF(COUNTIF(J:J,Tableau119[[#This Row],[Plant-ILN-shipper-POL-Carrier-POD-PFI]])=1,"Non","Oui")</f>
        <v>Non</v>
      </c>
      <c r="L213" s="445" t="str">
        <f>VLOOKUP(Tableau119[[#This Row],[Name Site]],Plant_AILN!A:D,4,FALSE)</f>
        <v>INDIA</v>
      </c>
      <c r="M213" s="285" t="s">
        <v>159</v>
      </c>
      <c r="N213" s="439">
        <f>VLOOKUP(Tableau119[[#This Row],[Name Site]],Plant_AILN!A:C,3,FALSE)</f>
        <v>26549502</v>
      </c>
      <c r="O213" s="55">
        <f>IF(Tableau119[[#This Row],[Name PFI/CDD]]="PFI VLL",2,VLOOKUP(Tableau119[[#This Row],[Compte Consignee]],Order!C:D,2,FALSE))</f>
        <v>5</v>
      </c>
      <c r="P213" s="126" t="s">
        <v>143</v>
      </c>
      <c r="Q213" s="366">
        <f>VLOOKUP(Tableau119[[#This Row],[Name ILN]],Plant_AILN!F:G,2,FALSE)</f>
        <v>92000100</v>
      </c>
      <c r="R213" s="50">
        <f>VLOOKUP(Tableau119[[#This Row],[Compte ILN]],'DATA ILN'!D:I,6,FALSE)</f>
        <v>9</v>
      </c>
      <c r="S213" s="81" t="e">
        <f>IFERROR(VLOOKUP(Tableau119[[#This Row],[Key(Compte ILN - shipper - POL - plant)]],'DATA ILN'!A:J,10,FALSE),VLOOKUP(Tableau119[[#This Row],[Key(Compte ILN - shipper - POL)]],'DATA ILN'!B:J,9,FALSE))</f>
        <v>#N/A</v>
      </c>
      <c r="T213" s="81" t="e">
        <f>IFERROR(VLOOKUP(Tableau119[[#This Row],[Key(Compte ILN - shipper - POL - plant)]],'DATA ILN'!A:K,11,FALSE),VLOOKUP(Tableau119[[#This Row],[Key(Compte ILN - shipper - POL)]],'DATA ILN'!B:K,10,FALSE))</f>
        <v>#N/A</v>
      </c>
      <c r="U213" s="81" t="e">
        <f>IFERROR(VLOOKUP(Tableau119[[#This Row],[Key(Compte ILN - shipper - POL - plant)]],'DATA ILN'!A:L,12,FALSE),VLOOKUP(Tableau119[[#This Row],[Key(Compte ILN - shipper - POL)]],'DATA ILN'!B:L,11,FALSE))</f>
        <v>#N/A</v>
      </c>
      <c r="V213" s="81" t="e">
        <f>Tableau119[[#This Row],[Day ILN Order]]+Tableau119[[#This Row],[Delivery time to ILN/Shipper]]-1</f>
        <v>#N/A</v>
      </c>
      <c r="W213" s="81" t="e">
        <f>IFERROR(VLOOKUP(Tableau119[[#This Row],[Key(Compte ILN - shipper - POL - plant)]],'DATA ILN'!A:N,14,FALSE),VLOOKUP(Tableau119[[#This Row],[Key(Compte ILN - shipper - POL)]],'DATA ILN'!B:N,13,FALSE))</f>
        <v>#N/A</v>
      </c>
      <c r="X213" s="106" t="e">
        <f>IFERROR(VLOOKUP(Tableau119[[#This Row],[Key(Compte ILN - shipper - POL - plant)]],'DATA ILN'!A:P,16,FALSE),VLOOKUP(Tableau119[[#This Row],[Key(Compte ILN - shipper - POL)]],'DATA ILN'!B:P,15,FALSE))</f>
        <v>#N/A</v>
      </c>
      <c r="Y213" s="284" t="s">
        <v>143</v>
      </c>
      <c r="Z213" s="442">
        <f>IFERROR(VLOOKUP(Tableau119[[#This Row],[Name Shipper]],Plant_AILN!L:M,2,FALSE),0)</f>
        <v>92000100</v>
      </c>
      <c r="AA213" s="406">
        <v>71</v>
      </c>
      <c r="AB213" s="396" t="b">
        <f>_xlfn.XLOOKUP(Tableau119[[#This Row],[Key(ID-date)]],'DATA BTO'!S:S,'DATA BTO'!E:E,FALSE)</f>
        <v>0</v>
      </c>
      <c r="AC213" s="3" t="b">
        <f>_xlfn.XLOOKUP(Tableau119[[#This Row],[Key(ID-date)]],'DATA BTO'!S:S,'DATA BTO'!F:F,FALSE)</f>
        <v>0</v>
      </c>
      <c r="AD213" s="50" t="b">
        <f>_xlfn.XLOOKUP(Tableau119[[#This Row],[Key(ID-date)]],'DATA BTO'!S:S,'DATA BTO'!G:G,FALSE)</f>
        <v>0</v>
      </c>
      <c r="AE213" s="50" t="b">
        <f>_xlfn.XLOOKUP(Tableau119[[#This Row],[Key(ID-date)]],'DATA BTO'!S:S,'DATA BTO'!H:H,FALSE)</f>
        <v>0</v>
      </c>
      <c r="AF213" s="81" t="e">
        <f>IF(Tableau119[[#This Row],[First Day to POL]]&lt;=Tableau119[[#This Row],[Day Cut Off]],Tableau119[[#This Row],[Day ETD]],Tableau119[[#This Row],[Day ETD]]+7)</f>
        <v>#N/A</v>
      </c>
      <c r="AG213" s="50" t="b">
        <f>_xlfn.XLOOKUP(Tableau119[[#This Row],[Key(ID-date)]],'DATA BTO'!S:S,'DATA BTO'!I:I,FALSE)</f>
        <v>0</v>
      </c>
      <c r="AH213" s="3" t="b">
        <f>_xlfn.XLOOKUP(Tableau119[[#This Row],[Key(ID-date)]],'DATA BTO'!S:S,'DATA BTO'!J:J,FALSE)</f>
        <v>0</v>
      </c>
      <c r="AI213" s="3" t="b">
        <f>_xlfn.XLOOKUP(Tableau119[[#This Row],[Key(ID-date)]],'DATA BTO'!S:S,'DATA BTO'!K:K,FALSE)</f>
        <v>0</v>
      </c>
      <c r="AJ213" s="50" t="b">
        <f>_xlfn.XLOOKUP(Tableau119[[#This Row],[Key(ID-date)]],'DATA BTO'!S:S,'DATA BTO'!L:L,FALSE)</f>
        <v>0</v>
      </c>
      <c r="AK213" s="53" t="b">
        <f>_xlfn.XLOOKUP(Tableau119[[#This Row],[Key(ID-date)]],'DATA BTO'!S:S,'DATA BTO'!N:N,FALSE)</f>
        <v>0</v>
      </c>
      <c r="AL213" s="107" t="e">
        <f>VLOOKUP(Tableau119[[#This Row],[Key(POD -PFI- Usine)]],'DATA Consignee'!A:F,6,FALSE)</f>
        <v>#N/A</v>
      </c>
      <c r="AM213" s="490"/>
      <c r="AN213" s="443" t="str">
        <f>IF(Tableau119[[#This Row],[Name PFI/CDD]]="","-",VLOOKUP(Tableau119[[#This Row],[Name PFI/CDD]],Plant_AILN!I:J,2,FALSE))</f>
        <v>-</v>
      </c>
      <c r="AO21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3" s="110" t="e">
        <f>VLOOKUP(Tableau119[[#This Row],[Key(POD -PFI- Usine)]],'DATA Consignee'!A:J,10,FALSE)</f>
        <v>#N/A</v>
      </c>
      <c r="AR213" s="81" t="e">
        <f>VLOOKUP(Tableau119[[#This Row],[Key(POD -PFI- Usine)]],'DATA Consignee'!A:N,14,FALSE)</f>
        <v>#N/A</v>
      </c>
      <c r="AS21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3" s="81">
        <f>Tableau119[[#This Row],[Transit time]]+Tableau119[[#This Row],[Time for security]]+Tableau119[[#This Row],[Time for security2 buffer]]</f>
        <v>0</v>
      </c>
      <c r="AV21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3" s="81" t="e">
        <f>Tableau119[[#This Row],[Leadtime SI2C]]+Tableau119[[#This Row],[First Receipt Days]]-Tableau119[[#This Row],[Day Customer Order]]+1</f>
        <v>#N/A</v>
      </c>
      <c r="AX213" s="120" t="e">
        <f>IF(Tableau119[[#This Row],[Name ILN]]&lt;&gt;"SFK Freight Forwarder",Tableau119[[#This Row],[Cust. Leadtime]],Tableau119[[#This Row],[Leadtime SI2C]])</f>
        <v>#N/A</v>
      </c>
      <c r="AY213" s="51" t="b">
        <f>_xlfn.XLOOKUP(Tableau119[[#This Row],[Key(ID-date)]],'DATA BTO'!S:S,'DATA BTO'!P:P,FALSE)</f>
        <v>0</v>
      </c>
      <c r="AZ213" s="338">
        <v>46142</v>
      </c>
      <c r="BA213" s="50"/>
    </row>
    <row r="214" spans="2:53">
      <c r="B214" s="474" t="str">
        <f>_xlfn.CONCAT(Tableau119[[#This Row],[Name ILN]],"-",Tableau119[[#This Row],[Name Shipper]],"-",Tableau119[[#This Row],[Name Site]])</f>
        <v>ILN FR-ILN FR-CHENNAI Powertrain</v>
      </c>
      <c r="C214" s="67" t="str">
        <f>_xlfn.CONCAT(Tableau119[[#This Row],[Compte ILN]],"-",Tableau119[[#This Row],[Compte Shipper]],"-",Tableau119[[#This Row],[POL]],"-",Tableau119[[#This Row],[Compte Consignee]])</f>
        <v>92000100-92000100-FALSO-26549500</v>
      </c>
      <c r="D214" s="82" t="str">
        <f>_xlfn.CONCAT(Tableau119[[#This Row],[Compte ILN]],"-",Tableau119[[#This Row],[Compte Shipper]],"-",Tableau119[[#This Row],[POL]])</f>
        <v>92000100-92000100-FALSO</v>
      </c>
      <c r="E214" s="83" t="str">
        <f>_xlfn.CONCAT(Tableau119[[#This Row],[POL]],"-",Tableau119[[#This Row],[Carrier]],"-",Tableau119[[#This Row],[POD]])</f>
        <v>FALSO-FALSO-FALSO</v>
      </c>
      <c r="F214" s="82" t="str">
        <f>_xlfn.CONCAT(Tableau119[[#This Row],[ID]],"-","Actif")</f>
        <v>71-Actif</v>
      </c>
      <c r="G214" s="82" t="str">
        <f>_xlfn.CONCAT(Tableau119[[#This Row],[POD]],"-",Tableau119[[#This Row],[Code PFI]],"-",Tableau119[[#This Row],[Compte Consignee]])</f>
        <v>FALSO---26549500</v>
      </c>
      <c r="H214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Powertrain</v>
      </c>
      <c r="I214" s="502" t="str">
        <f>_xlfn.CONCAT(Tableau119[[#This Row],[ID]],"-",Tableau119[[#This Row],[Expiration Date]])</f>
        <v>71-45777</v>
      </c>
      <c r="J2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FR-ILN FR-71-FALSO-FALSO-FALSO--45777</v>
      </c>
      <c r="K214" s="444" t="str">
        <f ca="1">IF(COUNTIF(J:J,Tableau119[[#This Row],[Plant-ILN-shipper-POL-Carrier-POD-PFI]])=1,"Non","Oui")</f>
        <v>Non</v>
      </c>
      <c r="L214" s="103" t="str">
        <f>VLOOKUP(Tableau119[[#This Row],[Name Site]],Plant_AILN!A:D,4,FALSE)</f>
        <v>INDIA</v>
      </c>
      <c r="M214" s="411" t="s">
        <v>221</v>
      </c>
      <c r="N214" s="439">
        <f>VLOOKUP(Tableau119[[#This Row],[Name Site]],Plant_AILN!A:C,3,FALSE)</f>
        <v>26549500</v>
      </c>
      <c r="O214" s="55">
        <f>VLOOKUP(Tableau119[[#This Row],[Compte Consignee]],Order!C:D,2,FALSE)</f>
        <v>5</v>
      </c>
      <c r="P214" s="116" t="s">
        <v>143</v>
      </c>
      <c r="Q214" s="366">
        <f>VLOOKUP(Tableau119[[#This Row],[Name ILN]],Plant_AILN!F:G,2,FALSE)</f>
        <v>92000100</v>
      </c>
      <c r="R214" s="50">
        <f>VLOOKUP(Tableau119[[#This Row],[Compte ILN]],'DATA ILN'!D:I,6,FALSE)</f>
        <v>9</v>
      </c>
      <c r="S214" s="81" t="e">
        <f>IFERROR(VLOOKUP(Tableau119[[#This Row],[Key(Compte ILN - shipper - POL - plant)]],'DATA ILN'!A:J,10,FALSE),VLOOKUP(Tableau119[[#This Row],[Key(Compte ILN - shipper - POL)]],'DATA ILN'!B:J,9,FALSE))</f>
        <v>#N/A</v>
      </c>
      <c r="T214" s="81" t="e">
        <f>IFERROR(VLOOKUP(Tableau119[[#This Row],[Key(Compte ILN - shipper - POL - plant)]],'DATA ILN'!A:K,11,FALSE),VLOOKUP(Tableau119[[#This Row],[Key(Compte ILN - shipper - POL)]],'DATA ILN'!B:K,10,FALSE))</f>
        <v>#N/A</v>
      </c>
      <c r="U214" s="81" t="e">
        <f>IFERROR(VLOOKUP(Tableau119[[#This Row],[Key(Compte ILN - shipper - POL - plant)]],'DATA ILN'!A:L,12,FALSE),VLOOKUP(Tableau119[[#This Row],[Key(Compte ILN - shipper - POL)]],'DATA ILN'!B:L,11,FALSE))</f>
        <v>#N/A</v>
      </c>
      <c r="V214" s="81" t="e">
        <f>Tableau119[[#This Row],[Day ILN Order]]+Tableau119[[#This Row],[Delivery time to ILN/Shipper]]-1</f>
        <v>#N/A</v>
      </c>
      <c r="W214" s="81" t="e">
        <f>IFERROR(VLOOKUP(Tableau119[[#This Row],[Key(Compte ILN - shipper - POL - plant)]],'DATA ILN'!A:N,14,FALSE),VLOOKUP(Tableau119[[#This Row],[Key(Compte ILN - shipper - POL)]],'DATA ILN'!B:N,13,FALSE))</f>
        <v>#N/A</v>
      </c>
      <c r="X214" s="106" t="e">
        <f>IFERROR(VLOOKUP(Tableau119[[#This Row],[Key(Compte ILN - shipper - POL - plant)]],'DATA ILN'!A:P,16,FALSE),VLOOKUP(Tableau119[[#This Row],[Key(Compte ILN - shipper - POL)]],'DATA ILN'!B:P,15,FALSE))</f>
        <v>#N/A</v>
      </c>
      <c r="Y214" s="284" t="s">
        <v>143</v>
      </c>
      <c r="Z214" s="442">
        <f>IFERROR(VLOOKUP(Tableau119[[#This Row],[Name Shipper]],Plant_AILN!L:M,2,FALSE),0)</f>
        <v>92000100</v>
      </c>
      <c r="AA214" s="406">
        <v>71</v>
      </c>
      <c r="AB214" s="396" t="b">
        <f>_xlfn.XLOOKUP(Tableau119[[#This Row],[Key(ID-date)]],'DATA BTO'!S:S,'DATA BTO'!E:E,FALSE)</f>
        <v>0</v>
      </c>
      <c r="AC214" s="3" t="b">
        <f>_xlfn.XLOOKUP(Tableau119[[#This Row],[Key(ID-date)]],'DATA BTO'!S:S,'DATA BTO'!F:F,FALSE)</f>
        <v>0</v>
      </c>
      <c r="AD214" s="50" t="b">
        <f>_xlfn.XLOOKUP(Tableau119[[#This Row],[Key(ID-date)]],'DATA BTO'!S:S,'DATA BTO'!G:G,FALSE)</f>
        <v>0</v>
      </c>
      <c r="AE214" s="50" t="b">
        <f>_xlfn.XLOOKUP(Tableau119[[#This Row],[Key(ID-date)]],'DATA BTO'!S:S,'DATA BTO'!H:H,FALSE)</f>
        <v>0</v>
      </c>
      <c r="AF214" s="81" t="e">
        <f>IF(Tableau119[[#This Row],[First Day to POL]]&lt;=Tableau119[[#This Row],[Day Cut Off]],Tableau119[[#This Row],[Day ETD]],Tableau119[[#This Row],[Day ETD]]+7)</f>
        <v>#N/A</v>
      </c>
      <c r="AG214" s="50" t="b">
        <f>_xlfn.XLOOKUP(Tableau119[[#This Row],[Key(ID-date)]],'DATA BTO'!S:S,'DATA BTO'!I:I,FALSE)</f>
        <v>0</v>
      </c>
      <c r="AH214" s="3" t="b">
        <f>_xlfn.XLOOKUP(Tableau119[[#This Row],[Key(ID-date)]],'DATA BTO'!S:S,'DATA BTO'!J:J,FALSE)</f>
        <v>0</v>
      </c>
      <c r="AI214" s="3" t="b">
        <f>_xlfn.XLOOKUP(Tableau119[[#This Row],[Key(ID-date)]],'DATA BTO'!S:S,'DATA BTO'!K:K,FALSE)</f>
        <v>0</v>
      </c>
      <c r="AJ214" s="50" t="b">
        <f>_xlfn.XLOOKUP(Tableau119[[#This Row],[Key(ID-date)]],'DATA BTO'!S:S,'DATA BTO'!L:L,FALSE)</f>
        <v>0</v>
      </c>
      <c r="AK214" s="53" t="b">
        <f>_xlfn.XLOOKUP(Tableau119[[#This Row],[Key(ID-date)]],'DATA BTO'!S:S,'DATA BTO'!N:N,FALSE)</f>
        <v>0</v>
      </c>
      <c r="AL214" s="107" t="e">
        <f>VLOOKUP(Tableau119[[#This Row],[Key(POD -PFI- Usine)]],'DATA Consignee'!A:F,6,FALSE)</f>
        <v>#N/A</v>
      </c>
      <c r="AM214" s="490"/>
      <c r="AN214" s="443" t="str">
        <f>IF(Tableau119[[#This Row],[Name PFI/CDD]]="","-",VLOOKUP(Tableau119[[#This Row],[Name PFI/CDD]],Plant_AILN!I:J,2,FALSE))</f>
        <v>-</v>
      </c>
      <c r="AO21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4" s="110" t="e">
        <f>VLOOKUP(Tableau119[[#This Row],[Key(POD -PFI- Usine)]],'DATA Consignee'!A:J,10,FALSE)</f>
        <v>#N/A</v>
      </c>
      <c r="AR214" s="81" t="e">
        <f>VLOOKUP(Tableau119[[#This Row],[Key(POD -PFI- Usine)]],'DATA Consignee'!A:N,14,FALSE)</f>
        <v>#N/A</v>
      </c>
      <c r="AS21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4" s="81">
        <f>Tableau119[[#This Row],[Transit time]]+Tableau119[[#This Row],[Time for security]]+Tableau119[[#This Row],[Time for security2 buffer]]</f>
        <v>0</v>
      </c>
      <c r="AV214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4" s="81" t="e">
        <f>Tableau119[[#This Row],[Leadtime SI2C]]+Tableau119[[#This Row],[First Receipt Days]]-Tableau119[[#This Row],[Day Customer Order]]+1</f>
        <v>#N/A</v>
      </c>
      <c r="AX214" s="120" t="e">
        <f>IF(Tableau119[[#This Row],[Name ILN]]&lt;&gt;"SFK Freight Forwarder",Tableau119[[#This Row],[Cust. Leadtime]],Tableau119[[#This Row],[Leadtime SI2C]])</f>
        <v>#N/A</v>
      </c>
      <c r="AY214" s="51" t="b">
        <f>_xlfn.XLOOKUP(Tableau119[[#This Row],[Key(ID-date)]],'DATA BTO'!S:S,'DATA BTO'!P:P,FALSE)</f>
        <v>0</v>
      </c>
      <c r="AZ214" s="338">
        <v>45777</v>
      </c>
      <c r="BA214" s="50"/>
    </row>
    <row r="215" spans="2:53">
      <c r="B215" s="474" t="str">
        <f>_xlfn.CONCAT(Tableau119[[#This Row],[Name ILN]],"-",Tableau119[[#This Row],[Name Shipper]],"-",Tableau119[[#This Row],[Name Site]])</f>
        <v>ILN FR-ILN FR-CHENNAI Vehicule</v>
      </c>
      <c r="C215" s="67" t="str">
        <f>_xlfn.CONCAT(Tableau119[[#This Row],[Compte ILN]],"-",Tableau119[[#This Row],[Compte Shipper]],"-",Tableau119[[#This Row],[POL]],"-",Tableau119[[#This Row],[Compte Consignee]])</f>
        <v>92000100-92000100-FALSO-26549502</v>
      </c>
      <c r="D215" s="82" t="str">
        <f>_xlfn.CONCAT(Tableau119[[#This Row],[Compte ILN]],"-",Tableau119[[#This Row],[Compte Shipper]],"-",Tableau119[[#This Row],[POL]])</f>
        <v>92000100-92000100-FALSO</v>
      </c>
      <c r="E215" s="83" t="str">
        <f>_xlfn.CONCAT(Tableau119[[#This Row],[POL]],"-",Tableau119[[#This Row],[Carrier]],"-",Tableau119[[#This Row],[POD]])</f>
        <v>FALSO-FALSO-FALSO</v>
      </c>
      <c r="F215" s="82" t="str">
        <f>_xlfn.CONCAT(Tableau119[[#This Row],[ID]],"-","Actif")</f>
        <v>71-Actif</v>
      </c>
      <c r="G215" s="82" t="str">
        <f>_xlfn.CONCAT(Tableau119[[#This Row],[POD]],"-",Tableau119[[#This Row],[Code PFI]],"-",Tableau119[[#This Row],[Compte Consignee]])</f>
        <v>FALSO---26549502</v>
      </c>
      <c r="H215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Vehicule</v>
      </c>
      <c r="I215" s="502" t="str">
        <f>_xlfn.CONCAT(Tableau119[[#This Row],[ID]],"-",Tableau119[[#This Row],[Expiration Date]])</f>
        <v>71-45777</v>
      </c>
      <c r="J2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FR-ILN FR-71-FALSO-FALSO-FALSO--45777</v>
      </c>
      <c r="K215" s="444" t="str">
        <f ca="1">IF(COUNTIF(J:J,Tableau119[[#This Row],[Plant-ILN-shipper-POL-Carrier-POD-PFI]])=1,"Non","Oui")</f>
        <v>Non</v>
      </c>
      <c r="L215" s="103" t="str">
        <f>VLOOKUP(Tableau119[[#This Row],[Name Site]],Plant_AILN!A:D,4,FALSE)</f>
        <v>INDIA</v>
      </c>
      <c r="M215" s="411" t="s">
        <v>159</v>
      </c>
      <c r="N215" s="439">
        <f>VLOOKUP(Tableau119[[#This Row],[Name Site]],Plant_AILN!A:C,3,FALSE)</f>
        <v>26549502</v>
      </c>
      <c r="O215" s="55">
        <f>VLOOKUP(Tableau119[[#This Row],[Compte Consignee]],Order!C:D,2,FALSE)</f>
        <v>5</v>
      </c>
      <c r="P215" s="116" t="s">
        <v>143</v>
      </c>
      <c r="Q215" s="366">
        <f>VLOOKUP(Tableau119[[#This Row],[Name ILN]],Plant_AILN!F:G,2,FALSE)</f>
        <v>92000100</v>
      </c>
      <c r="R215" s="50">
        <f>VLOOKUP(Tableau119[[#This Row],[Compte ILN]],'DATA ILN'!D:I,6,FALSE)</f>
        <v>9</v>
      </c>
      <c r="S215" s="81" t="e">
        <f>IFERROR(VLOOKUP(Tableau119[[#This Row],[Key(Compte ILN - shipper - POL - plant)]],'DATA ILN'!A:J,10,FALSE),VLOOKUP(Tableau119[[#This Row],[Key(Compte ILN - shipper - POL)]],'DATA ILN'!B:J,9,FALSE))</f>
        <v>#N/A</v>
      </c>
      <c r="T215" s="81" t="e">
        <f>IFERROR(VLOOKUP(Tableau119[[#This Row],[Key(Compte ILN - shipper - POL - plant)]],'DATA ILN'!A:K,11,FALSE),VLOOKUP(Tableau119[[#This Row],[Key(Compte ILN - shipper - POL)]],'DATA ILN'!B:K,10,FALSE))</f>
        <v>#N/A</v>
      </c>
      <c r="U215" s="81" t="e">
        <f>IFERROR(VLOOKUP(Tableau119[[#This Row],[Key(Compte ILN - shipper - POL - plant)]],'DATA ILN'!A:L,12,FALSE),VLOOKUP(Tableau119[[#This Row],[Key(Compte ILN - shipper - POL)]],'DATA ILN'!B:L,11,FALSE))</f>
        <v>#N/A</v>
      </c>
      <c r="V215" s="81" t="e">
        <f>Tableau119[[#This Row],[Day ILN Order]]+Tableau119[[#This Row],[Delivery time to ILN/Shipper]]-1</f>
        <v>#N/A</v>
      </c>
      <c r="W215" s="81" t="e">
        <f>IFERROR(VLOOKUP(Tableau119[[#This Row],[Key(Compte ILN - shipper - POL - plant)]],'DATA ILN'!A:N,14,FALSE),VLOOKUP(Tableau119[[#This Row],[Key(Compte ILN - shipper - POL)]],'DATA ILN'!B:N,13,FALSE))</f>
        <v>#N/A</v>
      </c>
      <c r="X215" s="106" t="e">
        <f>IFERROR(VLOOKUP(Tableau119[[#This Row],[Key(Compte ILN - shipper - POL - plant)]],'DATA ILN'!A:P,16,FALSE),VLOOKUP(Tableau119[[#This Row],[Key(Compte ILN - shipper - POL)]],'DATA ILN'!B:P,15,FALSE))</f>
        <v>#N/A</v>
      </c>
      <c r="Y215" s="284" t="s">
        <v>143</v>
      </c>
      <c r="Z215" s="442">
        <f>IFERROR(VLOOKUP(Tableau119[[#This Row],[Name Shipper]],Plant_AILN!L:M,2,FALSE),0)</f>
        <v>92000100</v>
      </c>
      <c r="AA215" s="406">
        <v>71</v>
      </c>
      <c r="AB215" s="396" t="b">
        <f>_xlfn.XLOOKUP(Tableau119[[#This Row],[Key(ID-date)]],'DATA BTO'!S:S,'DATA BTO'!E:E,FALSE)</f>
        <v>0</v>
      </c>
      <c r="AC215" s="3" t="b">
        <f>_xlfn.XLOOKUP(Tableau119[[#This Row],[Key(ID-date)]],'DATA BTO'!S:S,'DATA BTO'!F:F,FALSE)</f>
        <v>0</v>
      </c>
      <c r="AD215" s="50" t="b">
        <f>_xlfn.XLOOKUP(Tableau119[[#This Row],[Key(ID-date)]],'DATA BTO'!S:S,'DATA BTO'!G:G,FALSE)</f>
        <v>0</v>
      </c>
      <c r="AE215" s="50" t="b">
        <f>_xlfn.XLOOKUP(Tableau119[[#This Row],[Key(ID-date)]],'DATA BTO'!S:S,'DATA BTO'!H:H,FALSE)</f>
        <v>0</v>
      </c>
      <c r="AF215" s="81" t="e">
        <f>IF(Tableau119[[#This Row],[First Day to POL]]&lt;=Tableau119[[#This Row],[Day Cut Off]],Tableau119[[#This Row],[Day ETD]],Tableau119[[#This Row],[Day ETD]]+7)</f>
        <v>#N/A</v>
      </c>
      <c r="AG215" s="50" t="b">
        <f>_xlfn.XLOOKUP(Tableau119[[#This Row],[Key(ID-date)]],'DATA BTO'!S:S,'DATA BTO'!I:I,FALSE)</f>
        <v>0</v>
      </c>
      <c r="AH215" s="3" t="b">
        <f>_xlfn.XLOOKUP(Tableau119[[#This Row],[Key(ID-date)]],'DATA BTO'!S:S,'DATA BTO'!J:J,FALSE)</f>
        <v>0</v>
      </c>
      <c r="AI215" s="3" t="b">
        <f>_xlfn.XLOOKUP(Tableau119[[#This Row],[Key(ID-date)]],'DATA BTO'!S:S,'DATA BTO'!K:K,FALSE)</f>
        <v>0</v>
      </c>
      <c r="AJ215" s="50" t="b">
        <f>_xlfn.XLOOKUP(Tableau119[[#This Row],[Key(ID-date)]],'DATA BTO'!S:S,'DATA BTO'!L:L,FALSE)</f>
        <v>0</v>
      </c>
      <c r="AK215" s="53" t="b">
        <f>_xlfn.XLOOKUP(Tableau119[[#This Row],[Key(ID-date)]],'DATA BTO'!S:S,'DATA BTO'!N:N,FALSE)</f>
        <v>0</v>
      </c>
      <c r="AL215" s="107" t="e">
        <f>VLOOKUP(Tableau119[[#This Row],[Key(POD -PFI- Usine)]],'DATA Consignee'!A:F,6,FALSE)</f>
        <v>#N/A</v>
      </c>
      <c r="AM215" s="138"/>
      <c r="AN215" s="443" t="str">
        <f>IF(Tableau119[[#This Row],[Name PFI/CDD]]="","-",VLOOKUP(Tableau119[[#This Row],[Name PFI/CDD]],Plant_AILN!I:J,2,FALSE))</f>
        <v>-</v>
      </c>
      <c r="AO21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5" s="110" t="e">
        <f>VLOOKUP(Tableau119[[#This Row],[Key(POD -PFI- Usine)]],'DATA Consignee'!A:J,10,FALSE)</f>
        <v>#N/A</v>
      </c>
      <c r="AR215" s="81" t="e">
        <f>VLOOKUP(Tableau119[[#This Row],[Key(POD -PFI- Usine)]],'DATA Consignee'!A:N,14,FALSE)</f>
        <v>#N/A</v>
      </c>
      <c r="AS21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5" s="81">
        <f>Tableau119[[#This Row],[Transit time]]+Tableau119[[#This Row],[Time for security]]+Tableau119[[#This Row],[Time for security2 buffer]]</f>
        <v>0</v>
      </c>
      <c r="AV215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5" s="81" t="e">
        <f>Tableau119[[#This Row],[Leadtime SI2C]]+Tableau119[[#This Row],[First Receipt Days]]-Tableau119[[#This Row],[Day Customer Order]]+1</f>
        <v>#N/A</v>
      </c>
      <c r="AX215" s="120" t="e">
        <f>IF(Tableau119[[#This Row],[Name ILN]]&lt;&gt;"SFK Freight Forwarder",Tableau119[[#This Row],[Cust. Leadtime]],Tableau119[[#This Row],[Leadtime SI2C]])</f>
        <v>#N/A</v>
      </c>
      <c r="AY215" s="51" t="b">
        <f>_xlfn.XLOOKUP(Tableau119[[#This Row],[Key(ID-date)]],'DATA BTO'!S:S,'DATA BTO'!P:P,FALSE)</f>
        <v>0</v>
      </c>
      <c r="AZ215" s="338">
        <v>45777</v>
      </c>
      <c r="BA215" s="50"/>
    </row>
    <row r="216" spans="2:53">
      <c r="B216" s="474" t="str">
        <f>_xlfn.CONCAT(Tableau119[[#This Row],[Name ILN]],"-",Tableau119[[#This Row],[Name Shipper]],"-",Tableau119[[#This Row],[Name Site]])</f>
        <v>ILN FR-ILN FR-CHENNAI Powertrain</v>
      </c>
      <c r="C216" s="67" t="str">
        <f>_xlfn.CONCAT(Tableau119[[#This Row],[Compte ILN]],"-",Tableau119[[#This Row],[Compte Shipper]],"-",Tableau119[[#This Row],[POL]],"-",Tableau119[[#This Row],[Compte Consignee]])</f>
        <v>92000100-92000100-FALSO-26549500</v>
      </c>
      <c r="D216" s="82" t="str">
        <f>_xlfn.CONCAT(Tableau119[[#This Row],[Compte ILN]],"-",Tableau119[[#This Row],[Compte Shipper]],"-",Tableau119[[#This Row],[POL]])</f>
        <v>92000100-92000100-FALSO</v>
      </c>
      <c r="E216" s="83" t="str">
        <f>_xlfn.CONCAT(Tableau119[[#This Row],[POL]],"-",Tableau119[[#This Row],[Carrier]],"-",Tableau119[[#This Row],[POD]])</f>
        <v>FALSO-FALSO-FALSO</v>
      </c>
      <c r="F216" s="82" t="str">
        <f>_xlfn.CONCAT(Tableau119[[#This Row],[ID]],"-","Actif")</f>
        <v>71-Actif</v>
      </c>
      <c r="G216" s="82" t="str">
        <f>_xlfn.CONCAT(Tableau119[[#This Row],[POD]],"-",Tableau119[[#This Row],[Code PFI]],"-",Tableau119[[#This Row],[Compte Consignee]])</f>
        <v>FALSO---26549500</v>
      </c>
      <c r="H216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Powertrain</v>
      </c>
      <c r="I216" s="502" t="str">
        <f>_xlfn.CONCAT(Tableau119[[#This Row],[ID]],"-",Tableau119[[#This Row],[Expiration Date]])</f>
        <v>71-45473</v>
      </c>
      <c r="J2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FR-ILN FR-71-FALSO-FALSO-FALSO--45473</v>
      </c>
      <c r="K216" s="120" t="str">
        <f ca="1">IF(COUNTIF(J:J,Tableau119[[#This Row],[Plant-ILN-shipper-POL-Carrier-POD-PFI]])=1,"Non","Oui")</f>
        <v>Non</v>
      </c>
      <c r="L216" s="103" t="str">
        <f>VLOOKUP(Tableau119[[#This Row],[Name Site]],Plant_AILN!A:D,4,FALSE)</f>
        <v>INDIA</v>
      </c>
      <c r="M216" s="411" t="s">
        <v>221</v>
      </c>
      <c r="N216" s="439">
        <f>VLOOKUP(Tableau119[[#This Row],[Name Site]],Plant_AILN!A:C,3,FALSE)</f>
        <v>26549500</v>
      </c>
      <c r="O216" s="55">
        <f>VLOOKUP(Tableau119[[#This Row],[Compte Consignee]],Order!C:D,2,FALSE)</f>
        <v>5</v>
      </c>
      <c r="P216" s="124" t="s">
        <v>143</v>
      </c>
      <c r="Q216" s="366">
        <f>VLOOKUP(Tableau119[[#This Row],[Name ILN]],Plant_AILN!F:G,2,FALSE)</f>
        <v>92000100</v>
      </c>
      <c r="R216" s="50">
        <f>VLOOKUP(Tableau119[[#This Row],[Compte ILN]],'DATA ILN'!D:I,6,FALSE)</f>
        <v>9</v>
      </c>
      <c r="S216" s="81" t="e">
        <f>IFERROR(VLOOKUP(Tableau119[[#This Row],[Key(Compte ILN - shipper - POL - plant)]],'DATA ILN'!A:J,10,FALSE),VLOOKUP(Tableau119[[#This Row],[Key(Compte ILN - shipper - POL)]],'DATA ILN'!B:J,9,FALSE))</f>
        <v>#N/A</v>
      </c>
      <c r="T216" s="81" t="e">
        <f>IFERROR(VLOOKUP(Tableau119[[#This Row],[Key(Compte ILN - shipper - POL - plant)]],'DATA ILN'!A:K,11,FALSE),VLOOKUP(Tableau119[[#This Row],[Key(Compte ILN - shipper - POL)]],'DATA ILN'!B:K,10,FALSE))</f>
        <v>#N/A</v>
      </c>
      <c r="U216" s="81" t="e">
        <f>IFERROR(VLOOKUP(Tableau119[[#This Row],[Key(Compte ILN - shipper - POL - plant)]],'DATA ILN'!A:L,12,FALSE),VLOOKUP(Tableau119[[#This Row],[Key(Compte ILN - shipper - POL)]],'DATA ILN'!B:L,11,FALSE))</f>
        <v>#N/A</v>
      </c>
      <c r="V216" s="81" t="e">
        <f>Tableau119[[#This Row],[Day ILN Order]]+Tableau119[[#This Row],[Delivery time to ILN/Shipper]]-1</f>
        <v>#N/A</v>
      </c>
      <c r="W216" s="81" t="e">
        <f>IFERROR(VLOOKUP(Tableau119[[#This Row],[Key(Compte ILN - shipper - POL - plant)]],'DATA ILN'!A:N,14,FALSE),VLOOKUP(Tableau119[[#This Row],[Key(Compte ILN - shipper - POL)]],'DATA ILN'!B:N,13,FALSE))</f>
        <v>#N/A</v>
      </c>
      <c r="X216" s="106" t="e">
        <f>IFERROR(VLOOKUP(Tableau119[[#This Row],[Key(Compte ILN - shipper - POL - plant)]],'DATA ILN'!A:P,16,FALSE),VLOOKUP(Tableau119[[#This Row],[Key(Compte ILN - shipper - POL)]],'DATA ILN'!B:P,15,FALSE))</f>
        <v>#N/A</v>
      </c>
      <c r="Y216" s="284" t="s">
        <v>143</v>
      </c>
      <c r="Z216" s="442">
        <f>IFERROR(VLOOKUP(Tableau119[[#This Row],[Name Shipper]],Plant_AILN!L:M,2,FALSE),0)</f>
        <v>92000100</v>
      </c>
      <c r="AA216" s="406">
        <v>71</v>
      </c>
      <c r="AB216" s="396" t="b">
        <f>_xlfn.XLOOKUP(Tableau119[[#This Row],[Key(ID-date)]],'DATA BTO'!S:S,'DATA BTO'!E:E,FALSE)</f>
        <v>0</v>
      </c>
      <c r="AC216" s="3" t="b">
        <f>_xlfn.XLOOKUP(Tableau119[[#This Row],[Key(ID-date)]],'DATA BTO'!S:S,'DATA BTO'!F:F,FALSE)</f>
        <v>0</v>
      </c>
      <c r="AD216" s="50" t="b">
        <f>_xlfn.XLOOKUP(Tableau119[[#This Row],[Key(ID-date)]],'DATA BTO'!S:S,'DATA BTO'!G:G,FALSE)</f>
        <v>0</v>
      </c>
      <c r="AE216" s="50" t="b">
        <f>_xlfn.XLOOKUP(Tableau119[[#This Row],[Key(ID-date)]],'DATA BTO'!S:S,'DATA BTO'!H:H,FALSE)</f>
        <v>0</v>
      </c>
      <c r="AF216" s="81" t="e">
        <f>IF(Tableau119[[#This Row],[First Day to POL]]&lt;=Tableau119[[#This Row],[Day Cut Off]],Tableau119[[#This Row],[Day ETD]],Tableau119[[#This Row],[Day ETD]]+7)</f>
        <v>#N/A</v>
      </c>
      <c r="AG216" s="50" t="b">
        <f>_xlfn.XLOOKUP(Tableau119[[#This Row],[Key(ID-date)]],'DATA BTO'!S:S,'DATA BTO'!I:I,FALSE)</f>
        <v>0</v>
      </c>
      <c r="AH216" s="3" t="b">
        <f>_xlfn.XLOOKUP(Tableau119[[#This Row],[Key(ID-date)]],'DATA BTO'!S:S,'DATA BTO'!J:J,FALSE)</f>
        <v>0</v>
      </c>
      <c r="AI216" s="3" t="b">
        <f>_xlfn.XLOOKUP(Tableau119[[#This Row],[Key(ID-date)]],'DATA BTO'!S:S,'DATA BTO'!K:K,FALSE)</f>
        <v>0</v>
      </c>
      <c r="AJ216" s="50" t="b">
        <f>_xlfn.XLOOKUP(Tableau119[[#This Row],[Key(ID-date)]],'DATA BTO'!S:S,'DATA BTO'!L:L,FALSE)</f>
        <v>0</v>
      </c>
      <c r="AK216" s="53" t="b">
        <f>_xlfn.XLOOKUP(Tableau119[[#This Row],[Key(ID-date)]],'DATA BTO'!S:S,'DATA BTO'!N:N,FALSE)</f>
        <v>0</v>
      </c>
      <c r="AL216" s="107" t="e">
        <f>VLOOKUP(Tableau119[[#This Row],[Key(POD -PFI- Usine)]],'DATA Consignee'!A:F,6,FALSE)</f>
        <v>#N/A</v>
      </c>
      <c r="AM216" s="138"/>
      <c r="AN216" s="375" t="str">
        <f>IF(Tableau119[[#This Row],[Name PFI/CDD]]="","-",VLOOKUP(Tableau119[[#This Row],[Name PFI/CDD]],Plant_AILN!I:J,2,FALSE))</f>
        <v>-</v>
      </c>
      <c r="AO21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6" s="110" t="e">
        <f>VLOOKUP(Tableau119[[#This Row],[Key(POD -PFI- Usine)]],'DATA Consignee'!A:J,10,FALSE)</f>
        <v>#N/A</v>
      </c>
      <c r="AR216" s="81" t="e">
        <f>VLOOKUP(Tableau119[[#This Row],[Key(POD -PFI- Usine)]],'DATA Consignee'!A:N,14,FALSE)</f>
        <v>#N/A</v>
      </c>
      <c r="AS21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6" s="81">
        <f>Tableau119[[#This Row],[Transit time]]+Tableau119[[#This Row],[Time for security]]+Tableau119[[#This Row],[Time for security2 buffer]]</f>
        <v>0</v>
      </c>
      <c r="AV216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6" s="81" t="e">
        <f>Tableau119[[#This Row],[Leadtime SI2C]]+Tableau119[[#This Row],[First Receipt Days]]-Tableau119[[#This Row],[Day Customer Order]]+1</f>
        <v>#N/A</v>
      </c>
      <c r="AX216" s="120" t="e">
        <f>IF(Tableau119[[#This Row],[Name ILN]]&lt;&gt;"SFK Freight Forwarder",Tableau119[[#This Row],[Cust. Leadtime]],Tableau119[[#This Row],[Leadtime SI2C]])</f>
        <v>#N/A</v>
      </c>
      <c r="AY216" s="51" t="b">
        <f>_xlfn.XLOOKUP(Tableau119[[#This Row],[Key(ID-date)]],'DATA BTO'!S:S,'DATA BTO'!P:P,FALSE)</f>
        <v>0</v>
      </c>
      <c r="AZ216" s="338">
        <v>45473</v>
      </c>
      <c r="BA216" s="50"/>
    </row>
    <row r="217" spans="2:53">
      <c r="B217" s="474" t="str">
        <f>_xlfn.CONCAT(Tableau119[[#This Row],[Name ILN]],"-",Tableau119[[#This Row],[Name Shipper]],"-",Tableau119[[#This Row],[Name Site]])</f>
        <v>ILN FR-ILN FR-CHENNAI Vehicule</v>
      </c>
      <c r="C217" s="67" t="str">
        <f>_xlfn.CONCAT(Tableau119[[#This Row],[Compte ILN]],"-",Tableau119[[#This Row],[Compte Shipper]],"-",Tableau119[[#This Row],[POL]],"-",Tableau119[[#This Row],[Compte Consignee]])</f>
        <v>92000100-92000100-FALSO-26549502</v>
      </c>
      <c r="D217" s="82" t="str">
        <f>_xlfn.CONCAT(Tableau119[[#This Row],[Compte ILN]],"-",Tableau119[[#This Row],[Compte Shipper]],"-",Tableau119[[#This Row],[POL]])</f>
        <v>92000100-92000100-FALSO</v>
      </c>
      <c r="E217" s="83" t="str">
        <f>_xlfn.CONCAT(Tableau119[[#This Row],[POL]],"-",Tableau119[[#This Row],[Carrier]],"-",Tableau119[[#This Row],[POD]])</f>
        <v>FALSO-FALSO-FALSO</v>
      </c>
      <c r="F217" s="82" t="str">
        <f>_xlfn.CONCAT(Tableau119[[#This Row],[ID]],"-","Actif")</f>
        <v>71-Actif</v>
      </c>
      <c r="G217" s="82" t="str">
        <f>_xlfn.CONCAT(Tableau119[[#This Row],[POD]],"-",Tableau119[[#This Row],[Code PFI]],"-",Tableau119[[#This Row],[Compte Consignee]])</f>
        <v>FALSO---26549502</v>
      </c>
      <c r="H217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Vehicule</v>
      </c>
      <c r="I217" s="502" t="str">
        <f>_xlfn.CONCAT(Tableau119[[#This Row],[ID]],"-",Tableau119[[#This Row],[Expiration Date]])</f>
        <v>71-45473</v>
      </c>
      <c r="J2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FR-ILN FR-71-FALSO-FALSO-FALSO--45473</v>
      </c>
      <c r="K217" s="120" t="str">
        <f ca="1">IF(COUNTIF(J:J,Tableau119[[#This Row],[Plant-ILN-shipper-POL-Carrier-POD-PFI]])=1,"Non","Oui")</f>
        <v>Non</v>
      </c>
      <c r="L217" s="103" t="str">
        <f>VLOOKUP(Tableau119[[#This Row],[Name Site]],Plant_AILN!A:D,4,FALSE)</f>
        <v>INDIA</v>
      </c>
      <c r="M217" s="411" t="s">
        <v>159</v>
      </c>
      <c r="N217" s="439">
        <f>VLOOKUP(Tableau119[[#This Row],[Name Site]],Plant_AILN!A:C,3,FALSE)</f>
        <v>26549502</v>
      </c>
      <c r="O217" s="55">
        <f>VLOOKUP(Tableau119[[#This Row],[Compte Consignee]],Order!C:D,2,FALSE)</f>
        <v>5</v>
      </c>
      <c r="P217" s="124" t="s">
        <v>143</v>
      </c>
      <c r="Q217" s="366">
        <f>VLOOKUP(Tableau119[[#This Row],[Name ILN]],Plant_AILN!F:G,2,FALSE)</f>
        <v>92000100</v>
      </c>
      <c r="R217" s="50">
        <f>VLOOKUP(Tableau119[[#This Row],[Compte ILN]],'DATA ILN'!D:I,6,FALSE)</f>
        <v>9</v>
      </c>
      <c r="S217" s="81" t="e">
        <f>IFERROR(VLOOKUP(Tableau119[[#This Row],[Key(Compte ILN - shipper - POL - plant)]],'DATA ILN'!A:J,10,FALSE),VLOOKUP(Tableau119[[#This Row],[Key(Compte ILN - shipper - POL)]],'DATA ILN'!B:J,9,FALSE))</f>
        <v>#N/A</v>
      </c>
      <c r="T217" s="81" t="e">
        <f>IFERROR(VLOOKUP(Tableau119[[#This Row],[Key(Compte ILN - shipper - POL - plant)]],'DATA ILN'!A:K,11,FALSE),VLOOKUP(Tableau119[[#This Row],[Key(Compte ILN - shipper - POL)]],'DATA ILN'!B:K,10,FALSE))</f>
        <v>#N/A</v>
      </c>
      <c r="U217" s="81" t="e">
        <f>IFERROR(VLOOKUP(Tableau119[[#This Row],[Key(Compte ILN - shipper - POL - plant)]],'DATA ILN'!A:L,12,FALSE),VLOOKUP(Tableau119[[#This Row],[Key(Compte ILN - shipper - POL)]],'DATA ILN'!B:L,11,FALSE))</f>
        <v>#N/A</v>
      </c>
      <c r="V217" s="81" t="e">
        <f>Tableau119[[#This Row],[Day ILN Order]]+Tableau119[[#This Row],[Delivery time to ILN/Shipper]]-1</f>
        <v>#N/A</v>
      </c>
      <c r="W217" s="81" t="e">
        <f>IFERROR(VLOOKUP(Tableau119[[#This Row],[Key(Compte ILN - shipper - POL - plant)]],'DATA ILN'!A:N,14,FALSE),VLOOKUP(Tableau119[[#This Row],[Key(Compte ILN - shipper - POL)]],'DATA ILN'!B:N,13,FALSE))</f>
        <v>#N/A</v>
      </c>
      <c r="X217" s="106" t="e">
        <f>IFERROR(VLOOKUP(Tableau119[[#This Row],[Key(Compte ILN - shipper - POL - plant)]],'DATA ILN'!A:P,16,FALSE),VLOOKUP(Tableau119[[#This Row],[Key(Compte ILN - shipper - POL)]],'DATA ILN'!B:P,15,FALSE))</f>
        <v>#N/A</v>
      </c>
      <c r="Y217" s="284" t="s">
        <v>143</v>
      </c>
      <c r="Z217" s="442">
        <f>IFERROR(VLOOKUP(Tableau119[[#This Row],[Name Shipper]],Plant_AILN!L:M,2,FALSE),0)</f>
        <v>92000100</v>
      </c>
      <c r="AA217" s="406">
        <v>71</v>
      </c>
      <c r="AB217" s="396" t="b">
        <f>_xlfn.XLOOKUP(Tableau119[[#This Row],[Key(ID-date)]],'DATA BTO'!S:S,'DATA BTO'!E:E,FALSE)</f>
        <v>0</v>
      </c>
      <c r="AC217" s="3" t="b">
        <f>_xlfn.XLOOKUP(Tableau119[[#This Row],[Key(ID-date)]],'DATA BTO'!S:S,'DATA BTO'!F:F,FALSE)</f>
        <v>0</v>
      </c>
      <c r="AD217" s="50" t="b">
        <f>_xlfn.XLOOKUP(Tableau119[[#This Row],[Key(ID-date)]],'DATA BTO'!S:S,'DATA BTO'!G:G,FALSE)</f>
        <v>0</v>
      </c>
      <c r="AE217" s="50" t="b">
        <f>_xlfn.XLOOKUP(Tableau119[[#This Row],[Key(ID-date)]],'DATA BTO'!S:S,'DATA BTO'!H:H,FALSE)</f>
        <v>0</v>
      </c>
      <c r="AF217" s="81" t="e">
        <f>IF(Tableau119[[#This Row],[First Day to POL]]&lt;=Tableau119[[#This Row],[Day Cut Off]],Tableau119[[#This Row],[Day ETD]],Tableau119[[#This Row],[Day ETD]]+7)</f>
        <v>#N/A</v>
      </c>
      <c r="AG217" s="50" t="b">
        <f>_xlfn.XLOOKUP(Tableau119[[#This Row],[Key(ID-date)]],'DATA BTO'!S:S,'DATA BTO'!I:I,FALSE)</f>
        <v>0</v>
      </c>
      <c r="AH217" s="3" t="b">
        <f>_xlfn.XLOOKUP(Tableau119[[#This Row],[Key(ID-date)]],'DATA BTO'!S:S,'DATA BTO'!J:J,FALSE)</f>
        <v>0</v>
      </c>
      <c r="AI217" s="3" t="b">
        <f>_xlfn.XLOOKUP(Tableau119[[#This Row],[Key(ID-date)]],'DATA BTO'!S:S,'DATA BTO'!K:K,FALSE)</f>
        <v>0</v>
      </c>
      <c r="AJ217" s="50" t="b">
        <f>_xlfn.XLOOKUP(Tableau119[[#This Row],[Key(ID-date)]],'DATA BTO'!S:S,'DATA BTO'!L:L,FALSE)</f>
        <v>0</v>
      </c>
      <c r="AK217" s="53" t="b">
        <f>_xlfn.XLOOKUP(Tableau119[[#This Row],[Key(ID-date)]],'DATA BTO'!S:S,'DATA BTO'!N:N,FALSE)</f>
        <v>0</v>
      </c>
      <c r="AL217" s="107" t="e">
        <f>VLOOKUP(Tableau119[[#This Row],[Key(POD -PFI- Usine)]],'DATA Consignee'!A:F,6,FALSE)</f>
        <v>#N/A</v>
      </c>
      <c r="AM217" s="138"/>
      <c r="AN217" s="375" t="str">
        <f>IF(Tableau119[[#This Row],[Name PFI/CDD]]="","-",VLOOKUP(Tableau119[[#This Row],[Name PFI/CDD]],Plant_AILN!I:J,2,FALSE))</f>
        <v>-</v>
      </c>
      <c r="AO21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7" s="110" t="e">
        <f>VLOOKUP(Tableau119[[#This Row],[Key(POD -PFI- Usine)]],'DATA Consignee'!A:J,10,FALSE)</f>
        <v>#N/A</v>
      </c>
      <c r="AR217" s="81" t="e">
        <f>VLOOKUP(Tableau119[[#This Row],[Key(POD -PFI- Usine)]],'DATA Consignee'!A:N,14,FALSE)</f>
        <v>#N/A</v>
      </c>
      <c r="AS21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7" s="81">
        <f>Tableau119[[#This Row],[Transit time]]+Tableau119[[#This Row],[Time for security]]+Tableau119[[#This Row],[Time for security2 buffer]]</f>
        <v>0</v>
      </c>
      <c r="AV217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7" s="81" t="e">
        <f>Tableau119[[#This Row],[Leadtime SI2C]]+Tableau119[[#This Row],[First Receipt Days]]-Tableau119[[#This Row],[Day Customer Order]]+1</f>
        <v>#N/A</v>
      </c>
      <c r="AX217" s="120" t="e">
        <f>IF(Tableau119[[#This Row],[Name ILN]]&lt;&gt;"SFK Freight Forwarder",Tableau119[[#This Row],[Cust. Leadtime]],Tableau119[[#This Row],[Leadtime SI2C]])</f>
        <v>#N/A</v>
      </c>
      <c r="AY217" s="51" t="b">
        <f>_xlfn.XLOOKUP(Tableau119[[#This Row],[Key(ID-date)]],'DATA BTO'!S:S,'DATA BTO'!P:P,FALSE)</f>
        <v>0</v>
      </c>
      <c r="AZ217" s="338">
        <v>45473</v>
      </c>
      <c r="BA217" s="50"/>
    </row>
    <row r="218" spans="2:53">
      <c r="B218" s="474" t="str">
        <f>_xlfn.CONCAT(Tableau119[[#This Row],[Name ILN]],"-",Tableau119[[#This Row],[Name Shipper]],"-",Tableau119[[#This Row],[Name Site]])</f>
        <v>ILN FR-ILN FR-CHENNAI Powertrain</v>
      </c>
      <c r="C218" s="67" t="str">
        <f>_xlfn.CONCAT(Tableau119[[#This Row],[Compte ILN]],"-",Tableau119[[#This Row],[Compte Shipper]],"-",Tableau119[[#This Row],[POL]],"-",Tableau119[[#This Row],[Compte Consignee]])</f>
        <v>92000100-92000100-FALSO-26549500</v>
      </c>
      <c r="D218" s="82" t="str">
        <f>_xlfn.CONCAT(Tableau119[[#This Row],[Compte ILN]],"-",Tableau119[[#This Row],[Compte Shipper]],"-",Tableau119[[#This Row],[POL]])</f>
        <v>92000100-92000100-FALSO</v>
      </c>
      <c r="E218" s="83" t="str">
        <f>_xlfn.CONCAT(Tableau119[[#This Row],[POL]],"-",Tableau119[[#This Row],[Carrier]],"-",Tableau119[[#This Row],[POD]])</f>
        <v>FALSO-FALSO-FALSO</v>
      </c>
      <c r="F218" s="82" t="str">
        <f>_xlfn.CONCAT(Tableau119[[#This Row],[ID]],"-","Actif")</f>
        <v>71-Actif</v>
      </c>
      <c r="G218" s="82" t="str">
        <f>_xlfn.CONCAT(Tableau119[[#This Row],[POD]],"-",Tableau119[[#This Row],[Code PFI]],"-",Tableau119[[#This Row],[Compte Consignee]])</f>
        <v>FALSO---26549500</v>
      </c>
      <c r="H218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Powertrain</v>
      </c>
      <c r="I218" s="502" t="str">
        <f>_xlfn.CONCAT(Tableau119[[#This Row],[ID]],"-",Tableau119[[#This Row],[Expiration Date]])</f>
        <v>71-45412</v>
      </c>
      <c r="J2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FR-ILN FR-71-FALSO-FALSO-FALSO--45412</v>
      </c>
      <c r="K218" s="120" t="str">
        <f ca="1">IF(COUNTIF(J:J,Tableau119[[#This Row],[Plant-ILN-shipper-POL-Carrier-POD-PFI]])=1,"Non","Oui")</f>
        <v>Non</v>
      </c>
      <c r="L218" s="103" t="str">
        <f>VLOOKUP(Tableau119[[#This Row],[Name Site]],Plant_AILN!A:D,4,FALSE)</f>
        <v>INDIA</v>
      </c>
      <c r="M218" s="411" t="s">
        <v>221</v>
      </c>
      <c r="N218" s="439">
        <f>VLOOKUP(Tableau119[[#This Row],[Name Site]],Plant_AILN!A:C,3,FALSE)</f>
        <v>26549500</v>
      </c>
      <c r="O218" s="55">
        <f>VLOOKUP(Tableau119[[#This Row],[Compte Consignee]],Order!C:D,2,FALSE)</f>
        <v>5</v>
      </c>
      <c r="P218" s="116" t="s">
        <v>143</v>
      </c>
      <c r="Q218" s="366">
        <f>VLOOKUP(Tableau119[[#This Row],[Name ILN]],Plant_AILN!F:G,2,FALSE)</f>
        <v>92000100</v>
      </c>
      <c r="R218" s="50">
        <f>VLOOKUP(Tableau119[[#This Row],[Compte ILN]],'DATA ILN'!D:I,6,FALSE)</f>
        <v>9</v>
      </c>
      <c r="S218" s="81" t="e">
        <f>IFERROR(VLOOKUP(Tableau119[[#This Row],[Key(Compte ILN - shipper - POL - plant)]],'DATA ILN'!A:J,10,FALSE),VLOOKUP(Tableau119[[#This Row],[Key(Compte ILN - shipper - POL)]],'DATA ILN'!B:J,9,FALSE))</f>
        <v>#N/A</v>
      </c>
      <c r="T218" s="81" t="e">
        <f>IFERROR(VLOOKUP(Tableau119[[#This Row],[Key(Compte ILN - shipper - POL - plant)]],'DATA ILN'!A:K,11,FALSE),VLOOKUP(Tableau119[[#This Row],[Key(Compte ILN - shipper - POL)]],'DATA ILN'!B:K,10,FALSE))</f>
        <v>#N/A</v>
      </c>
      <c r="U218" s="81" t="e">
        <f>IFERROR(VLOOKUP(Tableau119[[#This Row],[Key(Compte ILN - shipper - POL - plant)]],'DATA ILN'!A:L,12,FALSE),VLOOKUP(Tableau119[[#This Row],[Key(Compte ILN - shipper - POL)]],'DATA ILN'!B:L,11,FALSE))</f>
        <v>#N/A</v>
      </c>
      <c r="V218" s="81" t="e">
        <f>Tableau119[[#This Row],[Day ILN Order]]+Tableau119[[#This Row],[Delivery time to ILN/Shipper]]-1</f>
        <v>#N/A</v>
      </c>
      <c r="W218" s="81" t="e">
        <f>IFERROR(VLOOKUP(Tableau119[[#This Row],[Key(Compte ILN - shipper - POL - plant)]],'DATA ILN'!A:N,14,FALSE),VLOOKUP(Tableau119[[#This Row],[Key(Compte ILN - shipper - POL)]],'DATA ILN'!B:N,13,FALSE))</f>
        <v>#N/A</v>
      </c>
      <c r="X218" s="106" t="e">
        <f>IFERROR(VLOOKUP(Tableau119[[#This Row],[Key(Compte ILN - shipper - POL - plant)]],'DATA ILN'!A:P,16,FALSE),VLOOKUP(Tableau119[[#This Row],[Key(Compte ILN - shipper - POL)]],'DATA ILN'!B:P,15,FALSE))</f>
        <v>#N/A</v>
      </c>
      <c r="Y218" s="284" t="s">
        <v>143</v>
      </c>
      <c r="Z218" s="442">
        <f>IFERROR(VLOOKUP(Tableau119[[#This Row],[Name Shipper]],Plant_AILN!L:M,2,FALSE),0)</f>
        <v>92000100</v>
      </c>
      <c r="AA218" s="406">
        <v>71</v>
      </c>
      <c r="AB218" s="396" t="b">
        <f>_xlfn.XLOOKUP(Tableau119[[#This Row],[Key(ID-date)]],'DATA BTO'!S:S,'DATA BTO'!E:E,FALSE)</f>
        <v>0</v>
      </c>
      <c r="AC218" s="3" t="b">
        <f>_xlfn.XLOOKUP(Tableau119[[#This Row],[Key(ID-date)]],'DATA BTO'!S:S,'DATA BTO'!F:F,FALSE)</f>
        <v>0</v>
      </c>
      <c r="AD218" s="50" t="b">
        <f>_xlfn.XLOOKUP(Tableau119[[#This Row],[Key(ID-date)]],'DATA BTO'!S:S,'DATA BTO'!G:G,FALSE)</f>
        <v>0</v>
      </c>
      <c r="AE218" s="50" t="b">
        <f>_xlfn.XLOOKUP(Tableau119[[#This Row],[Key(ID-date)]],'DATA BTO'!S:S,'DATA BTO'!H:H,FALSE)</f>
        <v>0</v>
      </c>
      <c r="AF218" s="81" t="e">
        <f>IF(Tableau119[[#This Row],[First Day to POL]]&lt;=Tableau119[[#This Row],[Day Cut Off]],Tableau119[[#This Row],[Day ETD]],Tableau119[[#This Row],[Day ETD]]+7)</f>
        <v>#N/A</v>
      </c>
      <c r="AG218" s="50" t="b">
        <f>_xlfn.XLOOKUP(Tableau119[[#This Row],[Key(ID-date)]],'DATA BTO'!S:S,'DATA BTO'!I:I,FALSE)</f>
        <v>0</v>
      </c>
      <c r="AH218" s="3" t="b">
        <f>_xlfn.XLOOKUP(Tableau119[[#This Row],[Key(ID-date)]],'DATA BTO'!S:S,'DATA BTO'!J:J,FALSE)</f>
        <v>0</v>
      </c>
      <c r="AI218" s="3" t="b">
        <f>_xlfn.XLOOKUP(Tableau119[[#This Row],[Key(ID-date)]],'DATA BTO'!S:S,'DATA BTO'!K:K,FALSE)</f>
        <v>0</v>
      </c>
      <c r="AJ218" s="50" t="b">
        <f>_xlfn.XLOOKUP(Tableau119[[#This Row],[Key(ID-date)]],'DATA BTO'!S:S,'DATA BTO'!L:L,FALSE)</f>
        <v>0</v>
      </c>
      <c r="AK218" s="53" t="b">
        <f>_xlfn.XLOOKUP(Tableau119[[#This Row],[Key(ID-date)]],'DATA BTO'!S:S,'DATA BTO'!N:N,FALSE)</f>
        <v>0</v>
      </c>
      <c r="AL218" s="107" t="e">
        <f>VLOOKUP(Tableau119[[#This Row],[Key(POD -PFI- Usine)]],'DATA Consignee'!A:F,6,FALSE)</f>
        <v>#N/A</v>
      </c>
      <c r="AM218" s="138"/>
      <c r="AN218" s="375" t="str">
        <f>IF(Tableau119[[#This Row],[Name PFI/CDD]]="","-",VLOOKUP(Tableau119[[#This Row],[Name PFI/CDD]],Plant_AILN!I:J,2,FALSE))</f>
        <v>-</v>
      </c>
      <c r="AO21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8" s="110" t="e">
        <f>VLOOKUP(Tableau119[[#This Row],[Key(POD -PFI- Usine)]],'DATA Consignee'!A:J,10,FALSE)</f>
        <v>#N/A</v>
      </c>
      <c r="AR218" s="81" t="e">
        <f>VLOOKUP(Tableau119[[#This Row],[Key(POD -PFI- Usine)]],'DATA Consignee'!A:N,14,FALSE)</f>
        <v>#N/A</v>
      </c>
      <c r="AS21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8" s="81">
        <f>Tableau119[[#This Row],[Transit time]]+Tableau119[[#This Row],[Time for security]]+Tableau119[[#This Row],[Time for security2 buffer]]</f>
        <v>0</v>
      </c>
      <c r="AV218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8" s="81" t="e">
        <f>Tableau119[[#This Row],[Leadtime SI2C]]+Tableau119[[#This Row],[First Receipt Days]]-Tableau119[[#This Row],[Day Customer Order]]+1</f>
        <v>#N/A</v>
      </c>
      <c r="AX218" s="120" t="e">
        <f>IF(Tableau119[[#This Row],[Name ILN]]&lt;&gt;"SFK Freight Forwarder",Tableau119[[#This Row],[Cust. Leadtime]],Tableau119[[#This Row],[Leadtime SI2C]])</f>
        <v>#N/A</v>
      </c>
      <c r="AY218" s="51" t="b">
        <f>_xlfn.XLOOKUP(Tableau119[[#This Row],[Key(ID-date)]],'DATA BTO'!S:S,'DATA BTO'!P:P,FALSE)</f>
        <v>0</v>
      </c>
      <c r="AZ218" s="338">
        <v>45412</v>
      </c>
      <c r="BA218" s="50"/>
    </row>
    <row r="219" spans="2:53">
      <c r="B219" s="474" t="str">
        <f>_xlfn.CONCAT(Tableau119[[#This Row],[Name ILN]],"-",Tableau119[[#This Row],[Name Shipper]],"-",Tableau119[[#This Row],[Name Site]])</f>
        <v>ILN FR-ILN FR-CHENNAI Vehicule</v>
      </c>
      <c r="C219" s="67" t="str">
        <f>_xlfn.CONCAT(Tableau119[[#This Row],[Compte ILN]],"-",Tableau119[[#This Row],[Compte Shipper]],"-",Tableau119[[#This Row],[POL]],"-",Tableau119[[#This Row],[Compte Consignee]])</f>
        <v>92000100-92000100-FALSO-26549502</v>
      </c>
      <c r="D219" s="82" t="str">
        <f>_xlfn.CONCAT(Tableau119[[#This Row],[Compte ILN]],"-",Tableau119[[#This Row],[Compte Shipper]],"-",Tableau119[[#This Row],[POL]])</f>
        <v>92000100-92000100-FALSO</v>
      </c>
      <c r="E219" s="83" t="str">
        <f>_xlfn.CONCAT(Tableau119[[#This Row],[POL]],"-",Tableau119[[#This Row],[Carrier]],"-",Tableau119[[#This Row],[POD]])</f>
        <v>FALSO-FALSO-FALSO</v>
      </c>
      <c r="F219" s="82" t="str">
        <f>_xlfn.CONCAT(Tableau119[[#This Row],[ID]],"-","Actif")</f>
        <v>71-Actif</v>
      </c>
      <c r="G219" s="82" t="str">
        <f>_xlfn.CONCAT(Tableau119[[#This Row],[POD]],"-",Tableau119[[#This Row],[Code PFI]],"-",Tableau119[[#This Row],[Compte Consignee]])</f>
        <v>FALSO---26549502</v>
      </c>
      <c r="H219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FRFALSOCHENNAI Vehicule</v>
      </c>
      <c r="I219" s="502" t="str">
        <f>_xlfn.CONCAT(Tableau119[[#This Row],[ID]],"-",Tableau119[[#This Row],[Expiration Date]])</f>
        <v>71-45412</v>
      </c>
      <c r="J2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FR-ILN FR-71-FALSO-FALSO-FALSO--45412</v>
      </c>
      <c r="K219" s="120" t="str">
        <f ca="1">IF(COUNTIF(J:J,Tableau119[[#This Row],[Plant-ILN-shipper-POL-Carrier-POD-PFI]])=1,"Non","Oui")</f>
        <v>Non</v>
      </c>
      <c r="L219" s="103" t="str">
        <f>VLOOKUP(Tableau119[[#This Row],[Name Site]],Plant_AILN!A:D,4,FALSE)</f>
        <v>INDIA</v>
      </c>
      <c r="M219" s="411" t="s">
        <v>159</v>
      </c>
      <c r="N219" s="439">
        <f>VLOOKUP(Tableau119[[#This Row],[Name Site]],Plant_AILN!A:C,3,FALSE)</f>
        <v>26549502</v>
      </c>
      <c r="O219" s="55">
        <f>VLOOKUP(Tableau119[[#This Row],[Compte Consignee]],Order!C:D,2,FALSE)</f>
        <v>5</v>
      </c>
      <c r="P219" s="126" t="s">
        <v>143</v>
      </c>
      <c r="Q219" s="366">
        <f>VLOOKUP(Tableau119[[#This Row],[Name ILN]],Plant_AILN!F:G,2,FALSE)</f>
        <v>92000100</v>
      </c>
      <c r="R219" s="50">
        <f>VLOOKUP(Tableau119[[#This Row],[Compte ILN]],'DATA ILN'!D:I,6,FALSE)</f>
        <v>9</v>
      </c>
      <c r="S219" s="81" t="e">
        <f>IFERROR(VLOOKUP(Tableau119[[#This Row],[Key(Compte ILN - shipper - POL - plant)]],'DATA ILN'!A:J,10,FALSE),VLOOKUP(Tableau119[[#This Row],[Key(Compte ILN - shipper - POL)]],'DATA ILN'!B:J,9,FALSE))</f>
        <v>#N/A</v>
      </c>
      <c r="T219" s="81" t="e">
        <f>IFERROR(VLOOKUP(Tableau119[[#This Row],[Key(Compte ILN - shipper - POL - plant)]],'DATA ILN'!A:K,11,FALSE),VLOOKUP(Tableau119[[#This Row],[Key(Compte ILN - shipper - POL)]],'DATA ILN'!B:K,10,FALSE))</f>
        <v>#N/A</v>
      </c>
      <c r="U219" s="81" t="e">
        <f>IFERROR(VLOOKUP(Tableau119[[#This Row],[Key(Compte ILN - shipper - POL - plant)]],'DATA ILN'!A:L,12,FALSE),VLOOKUP(Tableau119[[#This Row],[Key(Compte ILN - shipper - POL)]],'DATA ILN'!B:L,11,FALSE))</f>
        <v>#N/A</v>
      </c>
      <c r="V219" s="81" t="e">
        <f>Tableau119[[#This Row],[Day ILN Order]]+Tableau119[[#This Row],[Delivery time to ILN/Shipper]]-1</f>
        <v>#N/A</v>
      </c>
      <c r="W219" s="81" t="e">
        <f>IFERROR(VLOOKUP(Tableau119[[#This Row],[Key(Compte ILN - shipper - POL - plant)]],'DATA ILN'!A:N,14,FALSE),VLOOKUP(Tableau119[[#This Row],[Key(Compte ILN - shipper - POL)]],'DATA ILN'!B:N,13,FALSE))</f>
        <v>#N/A</v>
      </c>
      <c r="X219" s="106" t="e">
        <f>IFERROR(VLOOKUP(Tableau119[[#This Row],[Key(Compte ILN - shipper - POL - plant)]],'DATA ILN'!A:P,16,FALSE),VLOOKUP(Tableau119[[#This Row],[Key(Compte ILN - shipper - POL)]],'DATA ILN'!B:P,15,FALSE))</f>
        <v>#N/A</v>
      </c>
      <c r="Y219" s="284" t="s">
        <v>143</v>
      </c>
      <c r="Z219" s="442">
        <f>IFERROR(VLOOKUP(Tableau119[[#This Row],[Name Shipper]],Plant_AILN!L:M,2,FALSE),0)</f>
        <v>92000100</v>
      </c>
      <c r="AA219" s="406">
        <v>71</v>
      </c>
      <c r="AB219" s="396" t="b">
        <f>_xlfn.XLOOKUP(Tableau119[[#This Row],[Key(ID-date)]],'DATA BTO'!S:S,'DATA BTO'!E:E,FALSE)</f>
        <v>0</v>
      </c>
      <c r="AC219" s="3" t="b">
        <f>_xlfn.XLOOKUP(Tableau119[[#This Row],[Key(ID-date)]],'DATA BTO'!S:S,'DATA BTO'!F:F,FALSE)</f>
        <v>0</v>
      </c>
      <c r="AD219" s="50" t="b">
        <f>_xlfn.XLOOKUP(Tableau119[[#This Row],[Key(ID-date)]],'DATA BTO'!S:S,'DATA BTO'!G:G,FALSE)</f>
        <v>0</v>
      </c>
      <c r="AE219" s="50" t="b">
        <f>_xlfn.XLOOKUP(Tableau119[[#This Row],[Key(ID-date)]],'DATA BTO'!S:S,'DATA BTO'!H:H,FALSE)</f>
        <v>0</v>
      </c>
      <c r="AF219" s="81" t="e">
        <f>IF(Tableau119[[#This Row],[First Day to POL]]&lt;=Tableau119[[#This Row],[Day Cut Off]],Tableau119[[#This Row],[Day ETD]],Tableau119[[#This Row],[Day ETD]]+7)</f>
        <v>#N/A</v>
      </c>
      <c r="AG219" s="50" t="b">
        <f>_xlfn.XLOOKUP(Tableau119[[#This Row],[Key(ID-date)]],'DATA BTO'!S:S,'DATA BTO'!I:I,FALSE)</f>
        <v>0</v>
      </c>
      <c r="AH219" s="3" t="b">
        <f>_xlfn.XLOOKUP(Tableau119[[#This Row],[Key(ID-date)]],'DATA BTO'!S:S,'DATA BTO'!J:J,FALSE)</f>
        <v>0</v>
      </c>
      <c r="AI219" s="3" t="b">
        <f>_xlfn.XLOOKUP(Tableau119[[#This Row],[Key(ID-date)]],'DATA BTO'!S:S,'DATA BTO'!K:K,FALSE)</f>
        <v>0</v>
      </c>
      <c r="AJ219" s="50" t="b">
        <f>_xlfn.XLOOKUP(Tableau119[[#This Row],[Key(ID-date)]],'DATA BTO'!S:S,'DATA BTO'!L:L,FALSE)</f>
        <v>0</v>
      </c>
      <c r="AK219" s="53" t="b">
        <f>_xlfn.XLOOKUP(Tableau119[[#This Row],[Key(ID-date)]],'DATA BTO'!S:S,'DATA BTO'!N:N,FALSE)</f>
        <v>0</v>
      </c>
      <c r="AL219" s="107" t="e">
        <f>VLOOKUP(Tableau119[[#This Row],[Key(POD -PFI- Usine)]],'DATA Consignee'!A:F,6,FALSE)</f>
        <v>#N/A</v>
      </c>
      <c r="AM219" s="138"/>
      <c r="AN219" s="375" t="str">
        <f>IF(Tableau119[[#This Row],[Name PFI/CDD]]="","-",VLOOKUP(Tableau119[[#This Row],[Name PFI/CDD]],Plant_AILN!I:J,2,FALSE))</f>
        <v>-</v>
      </c>
      <c r="AO21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1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19" s="110" t="e">
        <f>VLOOKUP(Tableau119[[#This Row],[Key(POD -PFI- Usine)]],'DATA Consignee'!A:J,10,FALSE)</f>
        <v>#N/A</v>
      </c>
      <c r="AR219" s="81" t="e">
        <f>VLOOKUP(Tableau119[[#This Row],[Key(POD -PFI- Usine)]],'DATA Consignee'!A:N,14,FALSE)</f>
        <v>#N/A</v>
      </c>
      <c r="AS21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1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19" s="81">
        <f>Tableau119[[#This Row],[Transit time]]+Tableau119[[#This Row],[Time for security]]+Tableau119[[#This Row],[Time for security2 buffer]]</f>
        <v>0</v>
      </c>
      <c r="AV219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19" s="81" t="e">
        <f>Tableau119[[#This Row],[Leadtime SI2C]]+Tableau119[[#This Row],[First Receipt Days]]-Tableau119[[#This Row],[Day Customer Order]]+1</f>
        <v>#N/A</v>
      </c>
      <c r="AX219" s="120" t="e">
        <f>IF(Tableau119[[#This Row],[Name ILN]]&lt;&gt;"SFK Freight Forwarder",Tableau119[[#This Row],[Cust. Leadtime]],Tableau119[[#This Row],[Leadtime SI2C]])</f>
        <v>#N/A</v>
      </c>
      <c r="AY219" s="51" t="b">
        <f>_xlfn.XLOOKUP(Tableau119[[#This Row],[Key(ID-date)]],'DATA BTO'!S:S,'DATA BTO'!P:P,FALSE)</f>
        <v>0</v>
      </c>
      <c r="AZ219" s="338">
        <v>45412</v>
      </c>
      <c r="BA219" s="50"/>
    </row>
    <row r="220" spans="2:53">
      <c r="B220" s="67" t="str">
        <f>_xlfn.CONCAT(Tableau119[[#This Row],[Name ILN]],"-",Tableau119[[#This Row],[Name Shipper]],"-",Tableau119[[#This Row],[Name Site]])</f>
        <v>KWE Shanghai-KWE Shanghai-Curitiba CMO</v>
      </c>
      <c r="C220" s="67" t="str">
        <f>_xlfn.CONCAT(Tableau119[[#This Row],[Compte ILN]],"-",Tableau119[[#This Row],[Compte Shipper]],"-",Tableau119[[#This Row],[POL]],"-",Tableau119[[#This Row],[Compte Consignee]])</f>
        <v>26037000-26037000-FALSO-90018600</v>
      </c>
      <c r="D220" s="82" t="str">
        <f>_xlfn.CONCAT(Tableau119[[#This Row],[Compte ILN]],"-",Tableau119[[#This Row],[Compte Shipper]],"-",Tableau119[[#This Row],[POL]])</f>
        <v>26037000-26037000-FALSO</v>
      </c>
      <c r="E220" s="83" t="str">
        <f>_xlfn.CONCAT(Tableau119[[#This Row],[POL]],"-",Tableau119[[#This Row],[Carrier]],"-",Tableau119[[#This Row],[POD]])</f>
        <v>FALSO-FALSO-FALSO</v>
      </c>
      <c r="F220" s="82" t="str">
        <f>_xlfn.CONCAT(Tableau119[[#This Row],[ID]],"-","Actif")</f>
        <v>72-Actif</v>
      </c>
      <c r="G220" s="82" t="str">
        <f>_xlfn.CONCAT(Tableau119[[#This Row],[POD]],"-",Tableau119[[#This Row],[Code PFI]],"-",Tableau119[[#This Row],[Compte Consignee]])</f>
        <v>FALSO---90018600</v>
      </c>
      <c r="H22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CMO</v>
      </c>
      <c r="I220" s="502" t="str">
        <f>_xlfn.CONCAT(Tableau119[[#This Row],[ID]],"-",Tableau119[[#This Row],[Expiration Date]])</f>
        <v>72-46053</v>
      </c>
      <c r="J2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CMO-KWE Shanghai-KWE Shanghai-72-FALSO-FALSO-FALSO--46053</v>
      </c>
      <c r="K220" s="120" t="str">
        <f ca="1">IF(COUNTIF(J:J,Tableau119[[#This Row],[Plant-ILN-shipper-POL-Carrier-POD-PFI]])=1,"Non","Oui")</f>
        <v>Non</v>
      </c>
      <c r="L220" s="482" t="str">
        <f>VLOOKUP(Tableau119[[#This Row],[Name Site]],Plant_AILN!A:D,4,FALSE)</f>
        <v>BRAZIL</v>
      </c>
      <c r="M220" s="285" t="s">
        <v>160</v>
      </c>
      <c r="N220" s="439">
        <f>VLOOKUP(Tableau119[[#This Row],[Name Site]],Plant_AILN!A:C,3,FALSE)</f>
        <v>90018600</v>
      </c>
      <c r="O220" s="55">
        <f>IF(Tableau119[[#This Row],[Name PFI/CDD]]="PFI VLL",2,VLOOKUP(Tableau119[[#This Row],[Compte Consignee]],Order!C:D,2,FALSE))</f>
        <v>7</v>
      </c>
      <c r="P220" s="126" t="s">
        <v>62</v>
      </c>
      <c r="Q220" s="366">
        <f>VLOOKUP(Tableau119[[#This Row],[Name ILN]],Plant_AILN!F:G,2,FALSE)</f>
        <v>26037000</v>
      </c>
      <c r="R220" s="50">
        <f>VLOOKUP(Tableau119[[#This Row],[Compte ILN]],'DATA ILN'!D:I,6,FALSE)</f>
        <v>9</v>
      </c>
      <c r="S220" s="81" t="e">
        <f>IFERROR(VLOOKUP(Tableau119[[#This Row],[Key(Compte ILN - shipper - POL - plant)]],'DATA ILN'!A:J,10,FALSE),VLOOKUP(Tableau119[[#This Row],[Key(Compte ILN - shipper - POL)]],'DATA ILN'!B:J,9,FALSE))</f>
        <v>#N/A</v>
      </c>
      <c r="T220" s="81" t="e">
        <f>IFERROR(VLOOKUP(Tableau119[[#This Row],[Key(Compte ILN - shipper - POL - plant)]],'DATA ILN'!A:K,11,FALSE),VLOOKUP(Tableau119[[#This Row],[Key(Compte ILN - shipper - POL)]],'DATA ILN'!B:K,10,FALSE))</f>
        <v>#N/A</v>
      </c>
      <c r="U220" s="81" t="e">
        <f>IFERROR(VLOOKUP(Tableau119[[#This Row],[Key(Compte ILN - shipper - POL - plant)]],'DATA ILN'!A:L,12,FALSE),VLOOKUP(Tableau119[[#This Row],[Key(Compte ILN - shipper - POL)]],'DATA ILN'!B:L,11,FALSE))</f>
        <v>#N/A</v>
      </c>
      <c r="V220" s="81" t="e">
        <f>Tableau119[[#This Row],[Day ILN Order]]+Tableau119[[#This Row],[Delivery time to ILN/Shipper]]-1</f>
        <v>#N/A</v>
      </c>
      <c r="W220" s="81" t="e">
        <f>IFERROR(VLOOKUP(Tableau119[[#This Row],[Key(Compte ILN - shipper - POL - plant)]],'DATA ILN'!A:N,14,FALSE),VLOOKUP(Tableau119[[#This Row],[Key(Compte ILN - shipper - POL)]],'DATA ILN'!B:N,13,FALSE))</f>
        <v>#N/A</v>
      </c>
      <c r="X220" s="106" t="e">
        <f>IFERROR(VLOOKUP(Tableau119[[#This Row],[Key(Compte ILN - shipper - POL - plant)]],'DATA ILN'!A:P,16,FALSE),VLOOKUP(Tableau119[[#This Row],[Key(Compte ILN - shipper - POL)]],'DATA ILN'!B:P,15,FALSE))</f>
        <v>#N/A</v>
      </c>
      <c r="Y220" s="284" t="s">
        <v>62</v>
      </c>
      <c r="Z220" s="442">
        <f>IFERROR(VLOOKUP(Tableau119[[#This Row],[Name Shipper]],Plant_AILN!L:M,2,FALSE),0)</f>
        <v>26037000</v>
      </c>
      <c r="AA220" s="406">
        <v>72</v>
      </c>
      <c r="AB220" s="396" t="b">
        <f>_xlfn.XLOOKUP(Tableau119[[#This Row],[Key(ID-date)]],'DATA BTO'!S:S,'DATA BTO'!E:E,FALSE)</f>
        <v>0</v>
      </c>
      <c r="AC220" s="3" t="b">
        <f>_xlfn.XLOOKUP(Tableau119[[#This Row],[Key(ID-date)]],'DATA BTO'!S:S,'DATA BTO'!F:F,FALSE)</f>
        <v>0</v>
      </c>
      <c r="AD220" s="50" t="b">
        <f>_xlfn.XLOOKUP(Tableau119[[#This Row],[Key(ID-date)]],'DATA BTO'!S:S,'DATA BTO'!G:G,FALSE)</f>
        <v>0</v>
      </c>
      <c r="AE220" s="50" t="b">
        <f>_xlfn.XLOOKUP(Tableau119[[#This Row],[Key(ID-date)]],'DATA BTO'!S:S,'DATA BTO'!H:H,FALSE)</f>
        <v>0</v>
      </c>
      <c r="AF220" s="81" t="e">
        <f>IF(Tableau119[[#This Row],[First Day to POL]]&lt;=Tableau119[[#This Row],[Day Cut Off]],Tableau119[[#This Row],[Day ETD]],Tableau119[[#This Row],[Day ETD]]+7)</f>
        <v>#N/A</v>
      </c>
      <c r="AG220" s="50" t="b">
        <f>_xlfn.XLOOKUP(Tableau119[[#This Row],[Key(ID-date)]],'DATA BTO'!S:S,'DATA BTO'!I:I,FALSE)</f>
        <v>0</v>
      </c>
      <c r="AH220" s="3" t="b">
        <f>_xlfn.XLOOKUP(Tableau119[[#This Row],[Key(ID-date)]],'DATA BTO'!S:S,'DATA BTO'!J:J,FALSE)</f>
        <v>0</v>
      </c>
      <c r="AI220" s="3" t="b">
        <f>_xlfn.XLOOKUP(Tableau119[[#This Row],[Key(ID-date)]],'DATA BTO'!S:S,'DATA BTO'!K:K,FALSE)</f>
        <v>0</v>
      </c>
      <c r="AJ220" s="50" t="b">
        <f>_xlfn.XLOOKUP(Tableau119[[#This Row],[Key(ID-date)]],'DATA BTO'!S:S,'DATA BTO'!L:L,FALSE)</f>
        <v>0</v>
      </c>
      <c r="AK220" s="53" t="b">
        <f>_xlfn.XLOOKUP(Tableau119[[#This Row],[Key(ID-date)]],'DATA BTO'!S:S,'DATA BTO'!N:N,FALSE)</f>
        <v>0</v>
      </c>
      <c r="AL220" s="107" t="e">
        <f>VLOOKUP(Tableau119[[#This Row],[Key(POD -PFI- Usine)]],'DATA Consignee'!A:F,6,FALSE)</f>
        <v>#N/A</v>
      </c>
      <c r="AM220" s="138"/>
      <c r="AN220" s="375" t="str">
        <f>IF(Tableau119[[#This Row],[Name PFI/CDD]]="","-",VLOOKUP(Tableau119[[#This Row],[Name PFI/CDD]],Plant_AILN!I:J,2,FALSE))</f>
        <v>-</v>
      </c>
      <c r="AO22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0" s="110" t="e">
        <f>VLOOKUP(Tableau119[[#This Row],[Key(POD -PFI- Usine)]],'DATA Consignee'!A:J,10,FALSE)</f>
        <v>#N/A</v>
      </c>
      <c r="AR220" s="81" t="e">
        <f>VLOOKUP(Tableau119[[#This Row],[Key(POD -PFI- Usine)]],'DATA Consignee'!A:N,14,FALSE)</f>
        <v>#N/A</v>
      </c>
      <c r="AS22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0" s="81">
        <f>Tableau119[[#This Row],[Transit time]]+Tableau119[[#This Row],[Time for security]]+Tableau119[[#This Row],[Time for security2 buffer]]</f>
        <v>0</v>
      </c>
      <c r="AV220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0" s="81" t="e">
        <f>Tableau119[[#This Row],[Leadtime SI2C]]+Tableau119[[#This Row],[First Receipt Days]]-Tableau119[[#This Row],[Day Customer Order]]+1</f>
        <v>#N/A</v>
      </c>
      <c r="AX220" s="120" t="e">
        <f>IF(Tableau119[[#This Row],[Name ILN]]&lt;&gt;"SFK Freight Forwarder",Tableau119[[#This Row],[Cust. Leadtime]],Tableau119[[#This Row],[Leadtime SI2C]])</f>
        <v>#N/A</v>
      </c>
      <c r="AY220" s="51" t="b">
        <f>_xlfn.XLOOKUP(Tableau119[[#This Row],[Key(ID-date)]],'DATA BTO'!S:S,'DATA BTO'!P:P,FALSE)</f>
        <v>0</v>
      </c>
      <c r="AZ220" s="338">
        <v>46053</v>
      </c>
      <c r="BA220" s="50"/>
    </row>
    <row r="221" spans="2:53">
      <c r="B221" s="67" t="str">
        <f>_xlfn.CONCAT(Tableau119[[#This Row],[Name ILN]],"-",Tableau119[[#This Row],[Name Shipper]],"-",Tableau119[[#This Row],[Name Site]])</f>
        <v>KWE Shanghai-KWE Shanghai-Curitiba CVP</v>
      </c>
      <c r="C221" s="67" t="str">
        <f>_xlfn.CONCAT(Tableau119[[#This Row],[Compte ILN]],"-",Tableau119[[#This Row],[Compte Shipper]],"-",Tableau119[[#This Row],[POL]],"-",Tableau119[[#This Row],[Compte Consignee]])</f>
        <v>26037000-26037000-FALSO-90018000</v>
      </c>
      <c r="D221" s="66" t="str">
        <f>_xlfn.CONCAT(Tableau119[[#This Row],[Compte ILN]],"-",Tableau119[[#This Row],[Compte Shipper]],"-",Tableau119[[#This Row],[POL]])</f>
        <v>26037000-26037000-FALSO</v>
      </c>
      <c r="E221" s="130" t="str">
        <f>_xlfn.CONCAT(Tableau119[[#This Row],[POL]],"-",Tableau119[[#This Row],[Carrier]],"-",Tableau119[[#This Row],[POD]])</f>
        <v>FALSO-FALSO-FALSO</v>
      </c>
      <c r="F221" s="66" t="str">
        <f>_xlfn.CONCAT(Tableau119[[#This Row],[ID]],"-","Actif")</f>
        <v>72-Actif</v>
      </c>
      <c r="G221" s="66" t="str">
        <f>_xlfn.CONCAT(Tableau119[[#This Row],[POD]],"-",Tableau119[[#This Row],[Code PFI]],"-",Tableau119[[#This Row],[Compte Consignee]])</f>
        <v>FALSO---90018000</v>
      </c>
      <c r="H2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CVP</v>
      </c>
      <c r="I221" s="434" t="str">
        <f>_xlfn.CONCAT(Tableau119[[#This Row],[ID]],"-",Tableau119[[#This Row],[Expiration Date]])</f>
        <v>72-46053</v>
      </c>
      <c r="J2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CVP-KWE Shanghai-KWE Shanghai-72-FALSO-FALSO-FALSO--46053</v>
      </c>
      <c r="K221" s="119" t="str">
        <f ca="1">IF(COUNTIF(J:J,Tableau119[[#This Row],[Plant-ILN-shipper-POL-Carrier-POD-PFI]])=1,"Non","Oui")</f>
        <v>Non</v>
      </c>
      <c r="L221" s="436" t="str">
        <f>VLOOKUP(Tableau119[[#This Row],[Name Site]],Plant_AILN!A:D,4,FALSE)</f>
        <v>BRAZIL</v>
      </c>
      <c r="M221" s="285" t="s">
        <v>152</v>
      </c>
      <c r="N221" s="439">
        <f>VLOOKUP(Tableau119[[#This Row],[Name Site]],Plant_AILN!A:C,3,FALSE)</f>
        <v>90018000</v>
      </c>
      <c r="O221" s="55">
        <f>IF(Tableau119[[#This Row],[Name PFI/CDD]]="PFI VLL",2,VLOOKUP(Tableau119[[#This Row],[Compte Consignee]],Order!C:D,2,FALSE))</f>
        <v>7</v>
      </c>
      <c r="P221" s="124" t="s">
        <v>62</v>
      </c>
      <c r="Q221" s="365">
        <f>VLOOKUP(Tableau119[[#This Row],[Name ILN]],Plant_AILN!F:G,2,FALSE)</f>
        <v>26037000</v>
      </c>
      <c r="R221" s="50">
        <f>VLOOKUP(Tableau119[[#This Row],[Compte ILN]],'DATA ILN'!D:I,6,FALSE)</f>
        <v>9</v>
      </c>
      <c r="S221" s="50" t="e">
        <f>IFERROR(VLOOKUP(Tableau119[[#This Row],[Key(Compte ILN - shipper - POL - plant)]],'DATA ILN'!A:J,10,FALSE),VLOOKUP(Tableau119[[#This Row],[Key(Compte ILN - shipper - POL)]],'DATA ILN'!B:J,9,FALSE))</f>
        <v>#N/A</v>
      </c>
      <c r="T221" s="50" t="e">
        <f>IFERROR(VLOOKUP(Tableau119[[#This Row],[Key(Compte ILN - shipper - POL - plant)]],'DATA ILN'!A:K,11,FALSE),VLOOKUP(Tableau119[[#This Row],[Key(Compte ILN - shipper - POL)]],'DATA ILN'!B:K,10,FALSE))</f>
        <v>#N/A</v>
      </c>
      <c r="U221" s="50" t="e">
        <f>IFERROR(VLOOKUP(Tableau119[[#This Row],[Key(Compte ILN - shipper - POL - plant)]],'DATA ILN'!A:L,12,FALSE),VLOOKUP(Tableau119[[#This Row],[Key(Compte ILN - shipper - POL)]],'DATA ILN'!B:L,11,FALSE))</f>
        <v>#N/A</v>
      </c>
      <c r="V221" s="50" t="e">
        <f>Tableau119[[#This Row],[Day ILN Order]]+Tableau119[[#This Row],[Delivery time to ILN/Shipper]]-1</f>
        <v>#N/A</v>
      </c>
      <c r="W221" s="50" t="e">
        <f>IFERROR(VLOOKUP(Tableau119[[#This Row],[Key(Compte ILN - shipper - POL - plant)]],'DATA ILN'!A:N,14,FALSE),VLOOKUP(Tableau119[[#This Row],[Key(Compte ILN - shipper - POL)]],'DATA ILN'!B:N,13,FALSE))</f>
        <v>#N/A</v>
      </c>
      <c r="X221" s="50" t="e">
        <f>IFERROR(VLOOKUP(Tableau119[[#This Row],[Key(Compte ILN - shipper - POL - plant)]],'DATA ILN'!A:P,16,FALSE),VLOOKUP(Tableau119[[#This Row],[Key(Compte ILN - shipper - POL)]],'DATA ILN'!B:P,15,FALSE))</f>
        <v>#N/A</v>
      </c>
      <c r="Y221" s="284" t="s">
        <v>62</v>
      </c>
      <c r="Z221" s="430">
        <f>IFERROR(VLOOKUP(Tableau119[[#This Row],[Name Shipper]],Plant_AILN!L:M,2,FALSE),0)</f>
        <v>26037000</v>
      </c>
      <c r="AA221" s="406">
        <v>72</v>
      </c>
      <c r="AB221" s="396" t="b">
        <f>_xlfn.XLOOKUP(Tableau119[[#This Row],[Key(ID-date)]],'DATA BTO'!S:S,'DATA BTO'!E:E,FALSE)</f>
        <v>0</v>
      </c>
      <c r="AC221" s="3" t="b">
        <f>_xlfn.XLOOKUP(Tableau119[[#This Row],[Key(ID-date)]],'DATA BTO'!S:S,'DATA BTO'!F:F,FALSE)</f>
        <v>0</v>
      </c>
      <c r="AD221" s="50" t="b">
        <f>_xlfn.XLOOKUP(Tableau119[[#This Row],[Key(ID-date)]],'DATA BTO'!S:S,'DATA BTO'!G:G,FALSE)</f>
        <v>0</v>
      </c>
      <c r="AE221" s="50" t="b">
        <f>_xlfn.XLOOKUP(Tableau119[[#This Row],[Key(ID-date)]],'DATA BTO'!S:S,'DATA BTO'!H:H,FALSE)</f>
        <v>0</v>
      </c>
      <c r="AF221" s="50" t="e">
        <f>IF(Tableau119[[#This Row],[First Day to POL]]&lt;=Tableau119[[#This Row],[Day Cut Off]],Tableau119[[#This Row],[Day ETD]],Tableau119[[#This Row],[Day ETD]]+7)</f>
        <v>#N/A</v>
      </c>
      <c r="AG221" s="50" t="b">
        <f>_xlfn.XLOOKUP(Tableau119[[#This Row],[Key(ID-date)]],'DATA BTO'!S:S,'DATA BTO'!I:I,FALSE)</f>
        <v>0</v>
      </c>
      <c r="AH221" s="3" t="b">
        <f>_xlfn.XLOOKUP(Tableau119[[#This Row],[Key(ID-date)]],'DATA BTO'!S:S,'DATA BTO'!J:J,FALSE)</f>
        <v>0</v>
      </c>
      <c r="AI221" s="3" t="b">
        <f>_xlfn.XLOOKUP(Tableau119[[#This Row],[Key(ID-date)]],'DATA BTO'!S:S,'DATA BTO'!K:K,FALSE)</f>
        <v>0</v>
      </c>
      <c r="AJ221" s="50" t="b">
        <f>_xlfn.XLOOKUP(Tableau119[[#This Row],[Key(ID-date)]],'DATA BTO'!S:S,'DATA BTO'!L:L,FALSE)</f>
        <v>0</v>
      </c>
      <c r="AK221" s="53" t="b">
        <f>_xlfn.XLOOKUP(Tableau119[[#This Row],[Key(ID-date)]],'DATA BTO'!S:S,'DATA BTO'!N:N,FALSE)</f>
        <v>0</v>
      </c>
      <c r="AL221" s="54" t="e">
        <f>VLOOKUP(Tableau119[[#This Row],[Key(POD -PFI- Usine)]],'DATA Consignee'!A:F,6,FALSE)</f>
        <v>#N/A</v>
      </c>
      <c r="AM221" s="138"/>
      <c r="AN221" s="376" t="str">
        <f>IF(Tableau119[[#This Row],[Name PFI/CDD]]="","-",VLOOKUP(Tableau119[[#This Row],[Name PFI/CDD]],Plant_AILN!I:J,2,FALSE))</f>
        <v>-</v>
      </c>
      <c r="AO2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1" s="2" t="e">
        <f>VLOOKUP(Tableau119[[#This Row],[Key(POD -PFI- Usine)]],'DATA Consignee'!A:J,10,FALSE)</f>
        <v>#N/A</v>
      </c>
      <c r="AR221" s="50" t="e">
        <f>VLOOKUP(Tableau119[[#This Row],[Key(POD -PFI- Usine)]],'DATA Consignee'!A:N,14,FALSE)</f>
        <v>#N/A</v>
      </c>
      <c r="AS2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1" s="50">
        <f>Tableau119[[#This Row],[Transit time]]+Tableau119[[#This Row],[Time for security]]+Tableau119[[#This Row],[Time for security2 buffer]]</f>
        <v>0</v>
      </c>
      <c r="AV2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1" s="50" t="e">
        <f>Tableau119[[#This Row],[Leadtime SI2C]]+Tableau119[[#This Row],[First Receipt Days]]-Tableau119[[#This Row],[Day Customer Order]]+1</f>
        <v>#N/A</v>
      </c>
      <c r="AX221" s="119" t="e">
        <f>IF(Tableau119[[#This Row],[Name ILN]]&lt;&gt;"SFK Freight Forwarder",Tableau119[[#This Row],[Cust. Leadtime]],Tableau119[[#This Row],[Leadtime SI2C]])</f>
        <v>#N/A</v>
      </c>
      <c r="AY221" s="51" t="b">
        <f>_xlfn.XLOOKUP(Tableau119[[#This Row],[Key(ID-date)]],'DATA BTO'!S:S,'DATA BTO'!P:P,FALSE)</f>
        <v>0</v>
      </c>
      <c r="AZ221" s="338">
        <v>46053</v>
      </c>
      <c r="BA221" s="50"/>
    </row>
    <row r="222" spans="2:53">
      <c r="B222" s="67" t="str">
        <f>_xlfn.CONCAT(Tableau119[[#This Row],[Name ILN]],"-",Tableau119[[#This Row],[Name Shipper]],"-",Tableau119[[#This Row],[Name Site]])</f>
        <v>KWE Shanghai-KWE Shanghai-Curitiba CVU</v>
      </c>
      <c r="C222" s="67" t="str">
        <f>_xlfn.CONCAT(Tableau119[[#This Row],[Compte ILN]],"-",Tableau119[[#This Row],[Compte Shipper]],"-",Tableau119[[#This Row],[POL]],"-",Tableau119[[#This Row],[Compte Consignee]])</f>
        <v>26037000-26037000-FALSO-90018500</v>
      </c>
      <c r="D222" s="66" t="str">
        <f>_xlfn.CONCAT(Tableau119[[#This Row],[Compte ILN]],"-",Tableau119[[#This Row],[Compte Shipper]],"-",Tableau119[[#This Row],[POL]])</f>
        <v>26037000-26037000-FALSO</v>
      </c>
      <c r="E222" s="130" t="str">
        <f>_xlfn.CONCAT(Tableau119[[#This Row],[POL]],"-",Tableau119[[#This Row],[Carrier]],"-",Tableau119[[#This Row],[POD]])</f>
        <v>FALSO-FALSO-FALSO</v>
      </c>
      <c r="F222" s="66" t="str">
        <f>_xlfn.CONCAT(Tableau119[[#This Row],[ID]],"-","Actif")</f>
        <v>72-Actif</v>
      </c>
      <c r="G222" s="66" t="str">
        <f>_xlfn.CONCAT(Tableau119[[#This Row],[POD]],"-",Tableau119[[#This Row],[Code PFI]],"-",Tableau119[[#This Row],[Compte Consignee]])</f>
        <v>FALSO---90018500</v>
      </c>
      <c r="H2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CVU</v>
      </c>
      <c r="I222" s="434" t="str">
        <f>_xlfn.CONCAT(Tableau119[[#This Row],[ID]],"-",Tableau119[[#This Row],[Expiration Date]])</f>
        <v>72-46053</v>
      </c>
      <c r="J2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CVU-KWE Shanghai-KWE Shanghai-72-FALSO-FALSO-FALSO--46053</v>
      </c>
      <c r="K222" s="119" t="str">
        <f ca="1">IF(COUNTIF(J:J,Tableau119[[#This Row],[Plant-ILN-shipper-POL-Carrier-POD-PFI]])=1,"Non","Oui")</f>
        <v>Non</v>
      </c>
      <c r="L222" s="440" t="str">
        <f>VLOOKUP(Tableau119[[#This Row],[Name Site]],Plant_AILN!A:D,4,FALSE)</f>
        <v>BRAZIL</v>
      </c>
      <c r="M222" s="285" t="s">
        <v>639</v>
      </c>
      <c r="N222" s="439">
        <f>VLOOKUP(Tableau119[[#This Row],[Name Site]],Plant_AILN!A:C,3,FALSE)</f>
        <v>90018500</v>
      </c>
      <c r="O222" s="55">
        <f>IF(Tableau119[[#This Row],[Name PFI/CDD]]="PFI VLL",2,VLOOKUP(Tableau119[[#This Row],[Compte Consignee]],Order!C:D,2,FALSE))</f>
        <v>7</v>
      </c>
      <c r="P222" s="124" t="s">
        <v>62</v>
      </c>
      <c r="Q222" s="365">
        <f>VLOOKUP(Tableau119[[#This Row],[Name ILN]],Plant_AILN!F:G,2,FALSE)</f>
        <v>26037000</v>
      </c>
      <c r="R222" s="50">
        <f>VLOOKUP(Tableau119[[#This Row],[Compte ILN]],'DATA ILN'!D:I,6,FALSE)</f>
        <v>9</v>
      </c>
      <c r="S222" s="50" t="e">
        <f>IFERROR(VLOOKUP(Tableau119[[#This Row],[Key(Compte ILN - shipper - POL - plant)]],'DATA ILN'!A:J,10,FALSE),VLOOKUP(Tableau119[[#This Row],[Key(Compte ILN - shipper - POL)]],'DATA ILN'!B:J,9,FALSE))</f>
        <v>#N/A</v>
      </c>
      <c r="T222" s="50" t="e">
        <f>IFERROR(VLOOKUP(Tableau119[[#This Row],[Key(Compte ILN - shipper - POL - plant)]],'DATA ILN'!A:K,11,FALSE),VLOOKUP(Tableau119[[#This Row],[Key(Compte ILN - shipper - POL)]],'DATA ILN'!B:K,10,FALSE))</f>
        <v>#N/A</v>
      </c>
      <c r="U222" s="50" t="e">
        <f>IFERROR(VLOOKUP(Tableau119[[#This Row],[Key(Compte ILN - shipper - POL - plant)]],'DATA ILN'!A:L,12,FALSE),VLOOKUP(Tableau119[[#This Row],[Key(Compte ILN - shipper - POL)]],'DATA ILN'!B:L,11,FALSE))</f>
        <v>#N/A</v>
      </c>
      <c r="V222" s="50" t="e">
        <f>Tableau119[[#This Row],[Day ILN Order]]+Tableau119[[#This Row],[Delivery time to ILN/Shipper]]-1</f>
        <v>#N/A</v>
      </c>
      <c r="W222" s="50" t="e">
        <f>IFERROR(VLOOKUP(Tableau119[[#This Row],[Key(Compte ILN - shipper - POL - plant)]],'DATA ILN'!A:N,14,FALSE),VLOOKUP(Tableau119[[#This Row],[Key(Compte ILN - shipper - POL)]],'DATA ILN'!B:N,13,FALSE))</f>
        <v>#N/A</v>
      </c>
      <c r="X222" s="50" t="e">
        <f>IFERROR(VLOOKUP(Tableau119[[#This Row],[Key(Compte ILN - shipper - POL - plant)]],'DATA ILN'!A:P,16,FALSE),VLOOKUP(Tableau119[[#This Row],[Key(Compte ILN - shipper - POL)]],'DATA ILN'!B:P,15,FALSE))</f>
        <v>#N/A</v>
      </c>
      <c r="Y222" s="284" t="s">
        <v>62</v>
      </c>
      <c r="Z222" s="430">
        <f>IFERROR(VLOOKUP(Tableau119[[#This Row],[Name Shipper]],Plant_AILN!L:M,2,FALSE),0)</f>
        <v>26037000</v>
      </c>
      <c r="AA222" s="406">
        <v>72</v>
      </c>
      <c r="AB222" s="396" t="b">
        <f>_xlfn.XLOOKUP(Tableau119[[#This Row],[Key(ID-date)]],'DATA BTO'!S:S,'DATA BTO'!E:E,FALSE)</f>
        <v>0</v>
      </c>
      <c r="AC222" s="3" t="b">
        <f>_xlfn.XLOOKUP(Tableau119[[#This Row],[Key(ID-date)]],'DATA BTO'!S:S,'DATA BTO'!F:F,FALSE)</f>
        <v>0</v>
      </c>
      <c r="AD222" s="50" t="b">
        <f>_xlfn.XLOOKUP(Tableau119[[#This Row],[Key(ID-date)]],'DATA BTO'!S:S,'DATA BTO'!G:G,FALSE)</f>
        <v>0</v>
      </c>
      <c r="AE222" s="50" t="b">
        <f>_xlfn.XLOOKUP(Tableau119[[#This Row],[Key(ID-date)]],'DATA BTO'!S:S,'DATA BTO'!H:H,FALSE)</f>
        <v>0</v>
      </c>
      <c r="AF222" s="50" t="e">
        <f>IF(Tableau119[[#This Row],[First Day to POL]]&lt;=Tableau119[[#This Row],[Day Cut Off]],Tableau119[[#This Row],[Day ETD]],Tableau119[[#This Row],[Day ETD]]+7)</f>
        <v>#N/A</v>
      </c>
      <c r="AG222" s="50" t="b">
        <f>_xlfn.XLOOKUP(Tableau119[[#This Row],[Key(ID-date)]],'DATA BTO'!S:S,'DATA BTO'!I:I,FALSE)</f>
        <v>0</v>
      </c>
      <c r="AH222" s="3" t="b">
        <f>_xlfn.XLOOKUP(Tableau119[[#This Row],[Key(ID-date)]],'DATA BTO'!S:S,'DATA BTO'!J:J,FALSE)</f>
        <v>0</v>
      </c>
      <c r="AI222" s="3" t="b">
        <f>_xlfn.XLOOKUP(Tableau119[[#This Row],[Key(ID-date)]],'DATA BTO'!S:S,'DATA BTO'!K:K,FALSE)</f>
        <v>0</v>
      </c>
      <c r="AJ222" s="50" t="b">
        <f>_xlfn.XLOOKUP(Tableau119[[#This Row],[Key(ID-date)]],'DATA BTO'!S:S,'DATA BTO'!L:L,FALSE)</f>
        <v>0</v>
      </c>
      <c r="AK222" s="53" t="b">
        <f>_xlfn.XLOOKUP(Tableau119[[#This Row],[Key(ID-date)]],'DATA BTO'!S:S,'DATA BTO'!N:N,FALSE)</f>
        <v>0</v>
      </c>
      <c r="AL222" s="54" t="e">
        <f>VLOOKUP(Tableau119[[#This Row],[Key(POD -PFI- Usine)]],'DATA Consignee'!A:F,6,FALSE)</f>
        <v>#N/A</v>
      </c>
      <c r="AM222" s="138"/>
      <c r="AN222" s="376" t="str">
        <f>IF(Tableau119[[#This Row],[Name PFI/CDD]]="","-",VLOOKUP(Tableau119[[#This Row],[Name PFI/CDD]],Plant_AILN!I:J,2,FALSE))</f>
        <v>-</v>
      </c>
      <c r="AO2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2" s="2" t="e">
        <f>VLOOKUP(Tableau119[[#This Row],[Key(POD -PFI- Usine)]],'DATA Consignee'!A:J,10,FALSE)</f>
        <v>#N/A</v>
      </c>
      <c r="AR222" s="50" t="e">
        <f>VLOOKUP(Tableau119[[#This Row],[Key(POD -PFI- Usine)]],'DATA Consignee'!A:N,14,FALSE)</f>
        <v>#N/A</v>
      </c>
      <c r="AS2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2" s="50">
        <f>Tableau119[[#This Row],[Transit time]]+Tableau119[[#This Row],[Time for security]]+Tableau119[[#This Row],[Time for security2 buffer]]</f>
        <v>0</v>
      </c>
      <c r="AV2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2" s="50" t="e">
        <f>Tableau119[[#This Row],[Leadtime SI2C]]+Tableau119[[#This Row],[First Receipt Days]]-Tableau119[[#This Row],[Day Customer Order]]+1</f>
        <v>#N/A</v>
      </c>
      <c r="AX222" s="119" t="e">
        <f>IF(Tableau119[[#This Row],[Name ILN]]&lt;&gt;"SFK Freight Forwarder",Tableau119[[#This Row],[Cust. Leadtime]],Tableau119[[#This Row],[Leadtime SI2C]])</f>
        <v>#N/A</v>
      </c>
      <c r="AY222" s="51" t="b">
        <f>_xlfn.XLOOKUP(Tableau119[[#This Row],[Key(ID-date)]],'DATA BTO'!S:S,'DATA BTO'!P:P,FALSE)</f>
        <v>0</v>
      </c>
      <c r="AZ222" s="338">
        <v>46053</v>
      </c>
      <c r="BA222" s="50"/>
    </row>
    <row r="223" spans="2:53">
      <c r="B223" s="474" t="str">
        <f>_xlfn.CONCAT(Tableau119[[#This Row],[Name ILN]],"-",Tableau119[[#This Row],[Name Shipper]],"-",Tableau119[[#This Row],[Name Site]])</f>
        <v>KWE Shanghai-KWE Shanghai-Curitiba CVP</v>
      </c>
      <c r="C223" s="67" t="str">
        <f>_xlfn.CONCAT(Tableau119[[#This Row],[Compte ILN]],"-",Tableau119[[#This Row],[Compte Shipper]],"-",Tableau119[[#This Row],[POL]],"-",Tableau119[[#This Row],[Compte Consignee]])</f>
        <v>26037000-26037000-FALSO-90018000</v>
      </c>
      <c r="D223" s="66" t="str">
        <f>_xlfn.CONCAT(Tableau119[[#This Row],[Compte ILN]],"-",Tableau119[[#This Row],[Compte Shipper]],"-",Tableau119[[#This Row],[POL]])</f>
        <v>26037000-26037000-FALSO</v>
      </c>
      <c r="E223" s="130" t="str">
        <f>_xlfn.CONCAT(Tableau119[[#This Row],[POL]],"-",Tableau119[[#This Row],[Carrier]],"-",Tableau119[[#This Row],[POD]])</f>
        <v>FALSO-FALSO-FALSO</v>
      </c>
      <c r="F223" s="66" t="str">
        <f>_xlfn.CONCAT(Tableau119[[#This Row],[ID]],"-","Actif")</f>
        <v>72-Actif</v>
      </c>
      <c r="G223" s="66" t="str">
        <f>_xlfn.CONCAT(Tableau119[[#This Row],[POD]],"-",Tableau119[[#This Row],[Code PFI]],"-",Tableau119[[#This Row],[Compte Consignee]])</f>
        <v>FALSO---90018000</v>
      </c>
      <c r="H2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CVP</v>
      </c>
      <c r="I223" s="434" t="str">
        <f>_xlfn.CONCAT(Tableau119[[#This Row],[ID]],"-",Tableau119[[#This Row],[Expiration Date]])</f>
        <v>72-45777</v>
      </c>
      <c r="J2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CVP-KWE Shanghai-KWE Shanghai-72-FALSO-FALSO-FALSO--45777</v>
      </c>
      <c r="K223" s="119" t="str">
        <f ca="1">IF(COUNTIF(J:J,Tableau119[[#This Row],[Plant-ILN-shipper-POL-Carrier-POD-PFI]])=1,"Non","Oui")</f>
        <v>Non</v>
      </c>
      <c r="L223" s="128" t="str">
        <f>VLOOKUP(Tableau119[[#This Row],[Name Site]],Plant_AILN!A:D,4,FALSE)</f>
        <v>BRAZIL</v>
      </c>
      <c r="M223" s="411" t="s">
        <v>152</v>
      </c>
      <c r="N223" s="439">
        <f>VLOOKUP(Tableau119[[#This Row],[Name Site]],Plant_AILN!A:C,3,FALSE)</f>
        <v>90018000</v>
      </c>
      <c r="O223" s="55">
        <f>VLOOKUP(Tableau119[[#This Row],[Compte Consignee]],Order!C:D,2,FALSE)</f>
        <v>7</v>
      </c>
      <c r="P223" s="124" t="s">
        <v>62</v>
      </c>
      <c r="Q223" s="365">
        <f>VLOOKUP(Tableau119[[#This Row],[Name ILN]],Plant_AILN!F:G,2,FALSE)</f>
        <v>26037000</v>
      </c>
      <c r="R223" s="50">
        <f>VLOOKUP(Tableau119[[#This Row],[Compte ILN]],'DATA ILN'!D:I,6,FALSE)</f>
        <v>9</v>
      </c>
      <c r="S223" s="50" t="e">
        <f>IFERROR(VLOOKUP(Tableau119[[#This Row],[Key(Compte ILN - shipper - POL - plant)]],'DATA ILN'!A:J,10,FALSE),VLOOKUP(Tableau119[[#This Row],[Key(Compte ILN - shipper - POL)]],'DATA ILN'!B:J,9,FALSE))</f>
        <v>#N/A</v>
      </c>
      <c r="T223" s="50" t="e">
        <f>IFERROR(VLOOKUP(Tableau119[[#This Row],[Key(Compte ILN - shipper - POL - plant)]],'DATA ILN'!A:K,11,FALSE),VLOOKUP(Tableau119[[#This Row],[Key(Compte ILN - shipper - POL)]],'DATA ILN'!B:K,10,FALSE))</f>
        <v>#N/A</v>
      </c>
      <c r="U223" s="50" t="e">
        <f>IFERROR(VLOOKUP(Tableau119[[#This Row],[Key(Compte ILN - shipper - POL - plant)]],'DATA ILN'!A:L,12,FALSE),VLOOKUP(Tableau119[[#This Row],[Key(Compte ILN - shipper - POL)]],'DATA ILN'!B:L,11,FALSE))</f>
        <v>#N/A</v>
      </c>
      <c r="V223" s="50" t="e">
        <f>Tableau119[[#This Row],[Day ILN Order]]+Tableau119[[#This Row],[Delivery time to ILN/Shipper]]-1</f>
        <v>#N/A</v>
      </c>
      <c r="W223" s="50" t="e">
        <f>IFERROR(VLOOKUP(Tableau119[[#This Row],[Key(Compte ILN - shipper - POL - plant)]],'DATA ILN'!A:N,14,FALSE),VLOOKUP(Tableau119[[#This Row],[Key(Compte ILN - shipper - POL)]],'DATA ILN'!B:N,13,FALSE))</f>
        <v>#N/A</v>
      </c>
      <c r="X223" s="50" t="e">
        <f>IFERROR(VLOOKUP(Tableau119[[#This Row],[Key(Compte ILN - shipper - POL - plant)]],'DATA ILN'!A:P,16,FALSE),VLOOKUP(Tableau119[[#This Row],[Key(Compte ILN - shipper - POL)]],'DATA ILN'!B:P,15,FALSE))</f>
        <v>#N/A</v>
      </c>
      <c r="Y223" s="284" t="s">
        <v>62</v>
      </c>
      <c r="Z223" s="430">
        <f>IFERROR(VLOOKUP(Tableau119[[#This Row],[Name Shipper]],Plant_AILN!L:M,2,FALSE),0)</f>
        <v>26037000</v>
      </c>
      <c r="AA223" s="406">
        <v>72</v>
      </c>
      <c r="AB223" s="396" t="b">
        <f>_xlfn.XLOOKUP(Tableau119[[#This Row],[Key(ID-date)]],'DATA BTO'!S:S,'DATA BTO'!E:E,FALSE)</f>
        <v>0</v>
      </c>
      <c r="AC223" s="3" t="b">
        <f>_xlfn.XLOOKUP(Tableau119[[#This Row],[Key(ID-date)]],'DATA BTO'!S:S,'DATA BTO'!F:F,FALSE)</f>
        <v>0</v>
      </c>
      <c r="AD223" s="50" t="b">
        <f>_xlfn.XLOOKUP(Tableau119[[#This Row],[Key(ID-date)]],'DATA BTO'!S:S,'DATA BTO'!G:G,FALSE)</f>
        <v>0</v>
      </c>
      <c r="AE223" s="50" t="b">
        <f>_xlfn.XLOOKUP(Tableau119[[#This Row],[Key(ID-date)]],'DATA BTO'!S:S,'DATA BTO'!H:H,FALSE)</f>
        <v>0</v>
      </c>
      <c r="AF223" s="50" t="e">
        <f>IF(Tableau119[[#This Row],[First Day to POL]]&lt;=Tableau119[[#This Row],[Day Cut Off]],Tableau119[[#This Row],[Day ETD]],Tableau119[[#This Row],[Day ETD]]+7)</f>
        <v>#N/A</v>
      </c>
      <c r="AG223" s="50" t="b">
        <f>_xlfn.XLOOKUP(Tableau119[[#This Row],[Key(ID-date)]],'DATA BTO'!S:S,'DATA BTO'!I:I,FALSE)</f>
        <v>0</v>
      </c>
      <c r="AH223" s="3" t="b">
        <f>_xlfn.XLOOKUP(Tableau119[[#This Row],[Key(ID-date)]],'DATA BTO'!S:S,'DATA BTO'!J:J,FALSE)</f>
        <v>0</v>
      </c>
      <c r="AI223" s="3" t="b">
        <f>_xlfn.XLOOKUP(Tableau119[[#This Row],[Key(ID-date)]],'DATA BTO'!S:S,'DATA BTO'!K:K,FALSE)</f>
        <v>0</v>
      </c>
      <c r="AJ223" s="50" t="b">
        <f>_xlfn.XLOOKUP(Tableau119[[#This Row],[Key(ID-date)]],'DATA BTO'!S:S,'DATA BTO'!L:L,FALSE)</f>
        <v>0</v>
      </c>
      <c r="AK223" s="53" t="b">
        <f>_xlfn.XLOOKUP(Tableau119[[#This Row],[Key(ID-date)]],'DATA BTO'!S:S,'DATA BTO'!N:N,FALSE)</f>
        <v>0</v>
      </c>
      <c r="AL223" s="54" t="e">
        <f>VLOOKUP(Tableau119[[#This Row],[Key(POD -PFI- Usine)]],'DATA Consignee'!A:F,6,FALSE)</f>
        <v>#N/A</v>
      </c>
      <c r="AM223" s="138"/>
      <c r="AN223" s="376" t="str">
        <f>IF(Tableau119[[#This Row],[Name PFI/CDD]]="","-",VLOOKUP(Tableau119[[#This Row],[Name PFI/CDD]],Plant_AILN!I:J,2,FALSE))</f>
        <v>-</v>
      </c>
      <c r="AO2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3" s="2" t="e">
        <f>VLOOKUP(Tableau119[[#This Row],[Key(POD -PFI- Usine)]],'DATA Consignee'!A:J,10,FALSE)</f>
        <v>#N/A</v>
      </c>
      <c r="AR223" s="50" t="e">
        <f>VLOOKUP(Tableau119[[#This Row],[Key(POD -PFI- Usine)]],'DATA Consignee'!A:N,14,FALSE)</f>
        <v>#N/A</v>
      </c>
      <c r="AS2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3" s="50">
        <f>Tableau119[[#This Row],[Transit time]]+Tableau119[[#This Row],[Time for security]]+Tableau119[[#This Row],[Time for security2 buffer]]</f>
        <v>0</v>
      </c>
      <c r="AV2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3" s="50" t="e">
        <f>Tableau119[[#This Row],[Leadtime SI2C]]+Tableau119[[#This Row],[First Receipt Days]]-Tableau119[[#This Row],[Day Customer Order]]+1</f>
        <v>#N/A</v>
      </c>
      <c r="AX223" s="119" t="e">
        <f>IF(Tableau119[[#This Row],[Name ILN]]&lt;&gt;"SFK Freight Forwarder",Tableau119[[#This Row],[Cust. Leadtime]],Tableau119[[#This Row],[Leadtime SI2C]])</f>
        <v>#N/A</v>
      </c>
      <c r="AY223" s="51" t="b">
        <f>_xlfn.XLOOKUP(Tableau119[[#This Row],[Key(ID-date)]],'DATA BTO'!S:S,'DATA BTO'!P:P,FALSE)</f>
        <v>0</v>
      </c>
      <c r="AZ223" s="338">
        <v>45777</v>
      </c>
      <c r="BA223" s="50"/>
    </row>
    <row r="224" spans="2:53">
      <c r="B224" s="474" t="str">
        <f>_xlfn.CONCAT(Tableau119[[#This Row],[Name ILN]],"-",Tableau119[[#This Row],[Name Shipper]],"-",Tableau119[[#This Row],[Name Site]])</f>
        <v>KWE Shanghai-KWE Shanghai-Curitiba CVU</v>
      </c>
      <c r="C224" s="67" t="str">
        <f>_xlfn.CONCAT(Tableau119[[#This Row],[Compte ILN]],"-",Tableau119[[#This Row],[Compte Shipper]],"-",Tableau119[[#This Row],[POL]],"-",Tableau119[[#This Row],[Compte Consignee]])</f>
        <v>26037000-26037000-FALSO-90018500</v>
      </c>
      <c r="D224" s="66" t="str">
        <f>_xlfn.CONCAT(Tableau119[[#This Row],[Compte ILN]],"-",Tableau119[[#This Row],[Compte Shipper]],"-",Tableau119[[#This Row],[POL]])</f>
        <v>26037000-26037000-FALSO</v>
      </c>
      <c r="E224" s="130" t="str">
        <f>_xlfn.CONCAT(Tableau119[[#This Row],[POL]],"-",Tableau119[[#This Row],[Carrier]],"-",Tableau119[[#This Row],[POD]])</f>
        <v>FALSO-FALSO-FALSO</v>
      </c>
      <c r="F224" s="66" t="str">
        <f>_xlfn.CONCAT(Tableau119[[#This Row],[ID]],"-","Actif")</f>
        <v>72-Actif</v>
      </c>
      <c r="G224" s="66" t="str">
        <f>_xlfn.CONCAT(Tableau119[[#This Row],[POD]],"-",Tableau119[[#This Row],[Code PFI]],"-",Tableau119[[#This Row],[Compte Consignee]])</f>
        <v>FALSO---90018500</v>
      </c>
      <c r="H2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CVU</v>
      </c>
      <c r="I224" s="434" t="str">
        <f>_xlfn.CONCAT(Tableau119[[#This Row],[ID]],"-",Tableau119[[#This Row],[Expiration Date]])</f>
        <v>72-45777</v>
      </c>
      <c r="J2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CVU-KWE Shanghai-KWE Shanghai-72-FALSO-FALSO-FALSO--45777</v>
      </c>
      <c r="K224" s="119" t="str">
        <f ca="1">IF(COUNTIF(J:J,Tableau119[[#This Row],[Plant-ILN-shipper-POL-Carrier-POD-PFI]])=1,"Non","Oui")</f>
        <v>Non</v>
      </c>
      <c r="L224" s="128" t="str">
        <f>VLOOKUP(Tableau119[[#This Row],[Name Site]],Plant_AILN!A:D,4,FALSE)</f>
        <v>BRAZIL</v>
      </c>
      <c r="M224" s="411" t="s">
        <v>639</v>
      </c>
      <c r="N224" s="439">
        <f>VLOOKUP(Tableau119[[#This Row],[Name Site]],Plant_AILN!A:C,3,FALSE)</f>
        <v>90018500</v>
      </c>
      <c r="O224" s="55">
        <f>VLOOKUP(Tableau119[[#This Row],[Compte Consignee]],Order!C:D,2,FALSE)</f>
        <v>7</v>
      </c>
      <c r="P224" s="124" t="s">
        <v>62</v>
      </c>
      <c r="Q224" s="365">
        <f>VLOOKUP(Tableau119[[#This Row],[Name ILN]],Plant_AILN!F:G,2,FALSE)</f>
        <v>26037000</v>
      </c>
      <c r="R224" s="50">
        <f>VLOOKUP(Tableau119[[#This Row],[Compte ILN]],'DATA ILN'!D:I,6,FALSE)</f>
        <v>9</v>
      </c>
      <c r="S224" s="50" t="e">
        <f>IFERROR(VLOOKUP(Tableau119[[#This Row],[Key(Compte ILN - shipper - POL - plant)]],'DATA ILN'!A:J,10,FALSE),VLOOKUP(Tableau119[[#This Row],[Key(Compte ILN - shipper - POL)]],'DATA ILN'!B:J,9,FALSE))</f>
        <v>#N/A</v>
      </c>
      <c r="T224" s="50" t="e">
        <f>IFERROR(VLOOKUP(Tableau119[[#This Row],[Key(Compte ILN - shipper - POL - plant)]],'DATA ILN'!A:K,11,FALSE),VLOOKUP(Tableau119[[#This Row],[Key(Compte ILN - shipper - POL)]],'DATA ILN'!B:K,10,FALSE))</f>
        <v>#N/A</v>
      </c>
      <c r="U224" s="50" t="e">
        <f>IFERROR(VLOOKUP(Tableau119[[#This Row],[Key(Compte ILN - shipper - POL - plant)]],'DATA ILN'!A:L,12,FALSE),VLOOKUP(Tableau119[[#This Row],[Key(Compte ILN - shipper - POL)]],'DATA ILN'!B:L,11,FALSE))</f>
        <v>#N/A</v>
      </c>
      <c r="V224" s="50" t="e">
        <f>Tableau119[[#This Row],[Day ILN Order]]+Tableau119[[#This Row],[Delivery time to ILN/Shipper]]-1</f>
        <v>#N/A</v>
      </c>
      <c r="W224" s="50" t="e">
        <f>IFERROR(VLOOKUP(Tableau119[[#This Row],[Key(Compte ILN - shipper - POL - plant)]],'DATA ILN'!A:N,14,FALSE),VLOOKUP(Tableau119[[#This Row],[Key(Compte ILN - shipper - POL)]],'DATA ILN'!B:N,13,FALSE))</f>
        <v>#N/A</v>
      </c>
      <c r="X224" s="50" t="e">
        <f>IFERROR(VLOOKUP(Tableau119[[#This Row],[Key(Compte ILN - shipper - POL - plant)]],'DATA ILN'!A:P,16,FALSE),VLOOKUP(Tableau119[[#This Row],[Key(Compte ILN - shipper - POL)]],'DATA ILN'!B:P,15,FALSE))</f>
        <v>#N/A</v>
      </c>
      <c r="Y224" s="284" t="s">
        <v>62</v>
      </c>
      <c r="Z224" s="430">
        <f>IFERROR(VLOOKUP(Tableau119[[#This Row],[Name Shipper]],Plant_AILN!L:M,2,FALSE),0)</f>
        <v>26037000</v>
      </c>
      <c r="AA224" s="406">
        <v>72</v>
      </c>
      <c r="AB224" s="396" t="b">
        <f>_xlfn.XLOOKUP(Tableau119[[#This Row],[Key(ID-date)]],'DATA BTO'!S:S,'DATA BTO'!E:E,FALSE)</f>
        <v>0</v>
      </c>
      <c r="AC224" s="3" t="b">
        <f>_xlfn.XLOOKUP(Tableau119[[#This Row],[Key(ID-date)]],'DATA BTO'!S:S,'DATA BTO'!F:F,FALSE)</f>
        <v>0</v>
      </c>
      <c r="AD224" s="50" t="b">
        <f>_xlfn.XLOOKUP(Tableau119[[#This Row],[Key(ID-date)]],'DATA BTO'!S:S,'DATA BTO'!G:G,FALSE)</f>
        <v>0</v>
      </c>
      <c r="AE224" s="50" t="b">
        <f>_xlfn.XLOOKUP(Tableau119[[#This Row],[Key(ID-date)]],'DATA BTO'!S:S,'DATA BTO'!H:H,FALSE)</f>
        <v>0</v>
      </c>
      <c r="AF224" s="50" t="e">
        <f>IF(Tableau119[[#This Row],[First Day to POL]]&lt;=Tableau119[[#This Row],[Day Cut Off]],Tableau119[[#This Row],[Day ETD]],Tableau119[[#This Row],[Day ETD]]+7)</f>
        <v>#N/A</v>
      </c>
      <c r="AG224" s="50" t="b">
        <f>_xlfn.XLOOKUP(Tableau119[[#This Row],[Key(ID-date)]],'DATA BTO'!S:S,'DATA BTO'!I:I,FALSE)</f>
        <v>0</v>
      </c>
      <c r="AH224" s="3" t="b">
        <f>_xlfn.XLOOKUP(Tableau119[[#This Row],[Key(ID-date)]],'DATA BTO'!S:S,'DATA BTO'!J:J,FALSE)</f>
        <v>0</v>
      </c>
      <c r="AI224" s="3" t="b">
        <f>_xlfn.XLOOKUP(Tableau119[[#This Row],[Key(ID-date)]],'DATA BTO'!S:S,'DATA BTO'!K:K,FALSE)</f>
        <v>0</v>
      </c>
      <c r="AJ224" s="50" t="b">
        <f>_xlfn.XLOOKUP(Tableau119[[#This Row],[Key(ID-date)]],'DATA BTO'!S:S,'DATA BTO'!L:L,FALSE)</f>
        <v>0</v>
      </c>
      <c r="AK224" s="53" t="b">
        <f>_xlfn.XLOOKUP(Tableau119[[#This Row],[Key(ID-date)]],'DATA BTO'!S:S,'DATA BTO'!N:N,FALSE)</f>
        <v>0</v>
      </c>
      <c r="AL224" s="54" t="e">
        <f>VLOOKUP(Tableau119[[#This Row],[Key(POD -PFI- Usine)]],'DATA Consignee'!A:F,6,FALSE)</f>
        <v>#N/A</v>
      </c>
      <c r="AM224" s="138"/>
      <c r="AN224" s="376" t="str">
        <f>IF(Tableau119[[#This Row],[Name PFI/CDD]]="","-",VLOOKUP(Tableau119[[#This Row],[Name PFI/CDD]],Plant_AILN!I:J,2,FALSE))</f>
        <v>-</v>
      </c>
      <c r="AO22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4" s="2" t="e">
        <f>VLOOKUP(Tableau119[[#This Row],[Key(POD -PFI- Usine)]],'DATA Consignee'!A:J,10,FALSE)</f>
        <v>#N/A</v>
      </c>
      <c r="AR224" s="50" t="e">
        <f>VLOOKUP(Tableau119[[#This Row],[Key(POD -PFI- Usine)]],'DATA Consignee'!A:N,14,FALSE)</f>
        <v>#N/A</v>
      </c>
      <c r="AS22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4" s="50">
        <f>Tableau119[[#This Row],[Transit time]]+Tableau119[[#This Row],[Time for security]]+Tableau119[[#This Row],[Time for security2 buffer]]</f>
        <v>0</v>
      </c>
      <c r="AV2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4" s="50" t="e">
        <f>Tableau119[[#This Row],[Leadtime SI2C]]+Tableau119[[#This Row],[First Receipt Days]]-Tableau119[[#This Row],[Day Customer Order]]+1</f>
        <v>#N/A</v>
      </c>
      <c r="AX224" s="119" t="e">
        <f>IF(Tableau119[[#This Row],[Name ILN]]&lt;&gt;"SFK Freight Forwarder",Tableau119[[#This Row],[Cust. Leadtime]],Tableau119[[#This Row],[Leadtime SI2C]])</f>
        <v>#N/A</v>
      </c>
      <c r="AY224" s="51" t="b">
        <f>_xlfn.XLOOKUP(Tableau119[[#This Row],[Key(ID-date)]],'DATA BTO'!S:S,'DATA BTO'!P:P,FALSE)</f>
        <v>0</v>
      </c>
      <c r="AZ224" s="338">
        <v>45777</v>
      </c>
      <c r="BA224" s="50"/>
    </row>
    <row r="225" spans="2:53">
      <c r="B225" s="474" t="str">
        <f>_xlfn.CONCAT(Tableau119[[#This Row],[Name ILN]],"-",Tableau119[[#This Row],[Name Shipper]],"-",Tableau119[[#This Row],[Name Site]])</f>
        <v>KWE Shanghai-KWE Shanghai-Curitiba CMO</v>
      </c>
      <c r="C225" s="67" t="str">
        <f>_xlfn.CONCAT(Tableau119[[#This Row],[Compte ILN]],"-",Tableau119[[#This Row],[Compte Shipper]],"-",Tableau119[[#This Row],[POL]],"-",Tableau119[[#This Row],[Compte Consignee]])</f>
        <v>26037000-26037000-FALSO-90018600</v>
      </c>
      <c r="D225" s="66" t="str">
        <f>_xlfn.CONCAT(Tableau119[[#This Row],[Compte ILN]],"-",Tableau119[[#This Row],[Compte Shipper]],"-",Tableau119[[#This Row],[POL]])</f>
        <v>26037000-26037000-FALSO</v>
      </c>
      <c r="E225" s="130" t="str">
        <f>_xlfn.CONCAT(Tableau119[[#This Row],[POL]],"-",Tableau119[[#This Row],[Carrier]],"-",Tableau119[[#This Row],[POD]])</f>
        <v>FALSO-FALSO-FALSO</v>
      </c>
      <c r="F225" s="66" t="str">
        <f>_xlfn.CONCAT(Tableau119[[#This Row],[ID]],"-","Actif")</f>
        <v>72-Actif</v>
      </c>
      <c r="G225" s="66" t="str">
        <f>_xlfn.CONCAT(Tableau119[[#This Row],[POD]],"-",Tableau119[[#This Row],[Code PFI]],"-",Tableau119[[#This Row],[Compte Consignee]])</f>
        <v>FALSO---90018600</v>
      </c>
      <c r="H2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CMO</v>
      </c>
      <c r="I225" s="434" t="str">
        <f>_xlfn.CONCAT(Tableau119[[#This Row],[ID]],"-",Tableau119[[#This Row],[Expiration Date]])</f>
        <v>72-45777</v>
      </c>
      <c r="J2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CMO-KWE Shanghai-KWE Shanghai-72-FALSO-FALSO-FALSO--45777</v>
      </c>
      <c r="K225" s="119" t="str">
        <f ca="1">IF(COUNTIF(J:J,Tableau119[[#This Row],[Plant-ILN-shipper-POL-Carrier-POD-PFI]])=1,"Non","Oui")</f>
        <v>Non</v>
      </c>
      <c r="L225" s="128" t="str">
        <f>VLOOKUP(Tableau119[[#This Row],[Name Site]],Plant_AILN!A:D,4,FALSE)</f>
        <v>BRAZIL</v>
      </c>
      <c r="M225" s="411" t="s">
        <v>160</v>
      </c>
      <c r="N225" s="439">
        <f>VLOOKUP(Tableau119[[#This Row],[Name Site]],Plant_AILN!A:C,3,FALSE)</f>
        <v>90018600</v>
      </c>
      <c r="O225" s="55">
        <f>VLOOKUP(Tableau119[[#This Row],[Compte Consignee]],Order!C:D,2,FALSE)</f>
        <v>7</v>
      </c>
      <c r="P225" s="124" t="s">
        <v>62</v>
      </c>
      <c r="Q225" s="365">
        <f>VLOOKUP(Tableau119[[#This Row],[Name ILN]],Plant_AILN!F:G,2,FALSE)</f>
        <v>26037000</v>
      </c>
      <c r="R225" s="50">
        <f>VLOOKUP(Tableau119[[#This Row],[Compte ILN]],'DATA ILN'!D:I,6,FALSE)</f>
        <v>9</v>
      </c>
      <c r="S225" s="50" t="e">
        <f>IFERROR(VLOOKUP(Tableau119[[#This Row],[Key(Compte ILN - shipper - POL - plant)]],'DATA ILN'!A:J,10,FALSE),VLOOKUP(Tableau119[[#This Row],[Key(Compte ILN - shipper - POL)]],'DATA ILN'!B:J,9,FALSE))</f>
        <v>#N/A</v>
      </c>
      <c r="T225" s="50" t="e">
        <f>IFERROR(VLOOKUP(Tableau119[[#This Row],[Key(Compte ILN - shipper - POL - plant)]],'DATA ILN'!A:K,11,FALSE),VLOOKUP(Tableau119[[#This Row],[Key(Compte ILN - shipper - POL)]],'DATA ILN'!B:K,10,FALSE))</f>
        <v>#N/A</v>
      </c>
      <c r="U225" s="50" t="e">
        <f>IFERROR(VLOOKUP(Tableau119[[#This Row],[Key(Compte ILN - shipper - POL - plant)]],'DATA ILN'!A:L,12,FALSE),VLOOKUP(Tableau119[[#This Row],[Key(Compte ILN - shipper - POL)]],'DATA ILN'!B:L,11,FALSE))</f>
        <v>#N/A</v>
      </c>
      <c r="V225" s="50" t="e">
        <f>Tableau119[[#This Row],[Day ILN Order]]+Tableau119[[#This Row],[Delivery time to ILN/Shipper]]-1</f>
        <v>#N/A</v>
      </c>
      <c r="W225" s="50" t="e">
        <f>IFERROR(VLOOKUP(Tableau119[[#This Row],[Key(Compte ILN - shipper - POL - plant)]],'DATA ILN'!A:N,14,FALSE),VLOOKUP(Tableau119[[#This Row],[Key(Compte ILN - shipper - POL)]],'DATA ILN'!B:N,13,FALSE))</f>
        <v>#N/A</v>
      </c>
      <c r="X225" s="50" t="e">
        <f>IFERROR(VLOOKUP(Tableau119[[#This Row],[Key(Compte ILN - shipper - POL - plant)]],'DATA ILN'!A:P,16,FALSE),VLOOKUP(Tableau119[[#This Row],[Key(Compte ILN - shipper - POL)]],'DATA ILN'!B:P,15,FALSE))</f>
        <v>#N/A</v>
      </c>
      <c r="Y225" s="284" t="s">
        <v>62</v>
      </c>
      <c r="Z225" s="430">
        <f>IFERROR(VLOOKUP(Tableau119[[#This Row],[Name Shipper]],Plant_AILN!L:M,2,FALSE),0)</f>
        <v>26037000</v>
      </c>
      <c r="AA225" s="406">
        <v>72</v>
      </c>
      <c r="AB225" s="396" t="b">
        <f>_xlfn.XLOOKUP(Tableau119[[#This Row],[Key(ID-date)]],'DATA BTO'!S:S,'DATA BTO'!E:E,FALSE)</f>
        <v>0</v>
      </c>
      <c r="AC225" s="3" t="b">
        <f>_xlfn.XLOOKUP(Tableau119[[#This Row],[Key(ID-date)]],'DATA BTO'!S:S,'DATA BTO'!F:F,FALSE)</f>
        <v>0</v>
      </c>
      <c r="AD225" s="50" t="b">
        <f>_xlfn.XLOOKUP(Tableau119[[#This Row],[Key(ID-date)]],'DATA BTO'!S:S,'DATA BTO'!G:G,FALSE)</f>
        <v>0</v>
      </c>
      <c r="AE225" s="50" t="b">
        <f>_xlfn.XLOOKUP(Tableau119[[#This Row],[Key(ID-date)]],'DATA BTO'!S:S,'DATA BTO'!H:H,FALSE)</f>
        <v>0</v>
      </c>
      <c r="AF225" s="50" t="e">
        <f>IF(Tableau119[[#This Row],[First Day to POL]]&lt;=Tableau119[[#This Row],[Day Cut Off]],Tableau119[[#This Row],[Day ETD]],Tableau119[[#This Row],[Day ETD]]+7)</f>
        <v>#N/A</v>
      </c>
      <c r="AG225" s="50" t="b">
        <f>_xlfn.XLOOKUP(Tableau119[[#This Row],[Key(ID-date)]],'DATA BTO'!S:S,'DATA BTO'!I:I,FALSE)</f>
        <v>0</v>
      </c>
      <c r="AH225" s="3" t="b">
        <f>_xlfn.XLOOKUP(Tableau119[[#This Row],[Key(ID-date)]],'DATA BTO'!S:S,'DATA BTO'!J:J,FALSE)</f>
        <v>0</v>
      </c>
      <c r="AI225" s="3" t="b">
        <f>_xlfn.XLOOKUP(Tableau119[[#This Row],[Key(ID-date)]],'DATA BTO'!S:S,'DATA BTO'!K:K,FALSE)</f>
        <v>0</v>
      </c>
      <c r="AJ225" s="50" t="b">
        <f>_xlfn.XLOOKUP(Tableau119[[#This Row],[Key(ID-date)]],'DATA BTO'!S:S,'DATA BTO'!L:L,FALSE)</f>
        <v>0</v>
      </c>
      <c r="AK225" s="53" t="b">
        <f>_xlfn.XLOOKUP(Tableau119[[#This Row],[Key(ID-date)]],'DATA BTO'!S:S,'DATA BTO'!N:N,FALSE)</f>
        <v>0</v>
      </c>
      <c r="AL225" s="54" t="e">
        <f>VLOOKUP(Tableau119[[#This Row],[Key(POD -PFI- Usine)]],'DATA Consignee'!A:F,6,FALSE)</f>
        <v>#N/A</v>
      </c>
      <c r="AM225" s="138"/>
      <c r="AN225" s="376" t="str">
        <f>IF(Tableau119[[#This Row],[Name PFI/CDD]]="","-",VLOOKUP(Tableau119[[#This Row],[Name PFI/CDD]],Plant_AILN!I:J,2,FALSE))</f>
        <v>-</v>
      </c>
      <c r="AO2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5" s="2" t="e">
        <f>VLOOKUP(Tableau119[[#This Row],[Key(POD -PFI- Usine)]],'DATA Consignee'!A:J,10,FALSE)</f>
        <v>#N/A</v>
      </c>
      <c r="AR225" s="50" t="e">
        <f>VLOOKUP(Tableau119[[#This Row],[Key(POD -PFI- Usine)]],'DATA Consignee'!A:N,14,FALSE)</f>
        <v>#N/A</v>
      </c>
      <c r="AS2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5" s="50">
        <f>Tableau119[[#This Row],[Transit time]]+Tableau119[[#This Row],[Time for security]]+Tableau119[[#This Row],[Time for security2 buffer]]</f>
        <v>0</v>
      </c>
      <c r="AV2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5" s="50" t="e">
        <f>Tableau119[[#This Row],[Leadtime SI2C]]+Tableau119[[#This Row],[First Receipt Days]]-Tableau119[[#This Row],[Day Customer Order]]+1</f>
        <v>#N/A</v>
      </c>
      <c r="AX225" s="119" t="e">
        <f>IF(Tableau119[[#This Row],[Name ILN]]&lt;&gt;"SFK Freight Forwarder",Tableau119[[#This Row],[Cust. Leadtime]],Tableau119[[#This Row],[Leadtime SI2C]])</f>
        <v>#N/A</v>
      </c>
      <c r="AY225" s="51" t="b">
        <f>_xlfn.XLOOKUP(Tableau119[[#This Row],[Key(ID-date)]],'DATA BTO'!S:S,'DATA BTO'!P:P,FALSE)</f>
        <v>0</v>
      </c>
      <c r="AZ225" s="338">
        <v>45777</v>
      </c>
      <c r="BA225" s="50"/>
    </row>
    <row r="226" spans="2:53">
      <c r="B226" s="474" t="str">
        <f>_xlfn.CONCAT(Tableau119[[#This Row],[Name ILN]],"-",Tableau119[[#This Row],[Name Shipper]],"-",Tableau119[[#This Row],[Name Site]])</f>
        <v>KWE Shanghai-KWE Shanghai-Curitiba CVP</v>
      </c>
      <c r="C226" s="67" t="str">
        <f>_xlfn.CONCAT(Tableau119[[#This Row],[Compte ILN]],"-",Tableau119[[#This Row],[Compte Shipper]],"-",Tableau119[[#This Row],[POL]],"-",Tableau119[[#This Row],[Compte Consignee]])</f>
        <v>26037000-26037000-FALSO-90018000</v>
      </c>
      <c r="D226" s="66" t="str">
        <f>_xlfn.CONCAT(Tableau119[[#This Row],[Compte ILN]],"-",Tableau119[[#This Row],[Compte Shipper]],"-",Tableau119[[#This Row],[POL]])</f>
        <v>26037000-26037000-FALSO</v>
      </c>
      <c r="E226" s="130" t="str">
        <f>_xlfn.CONCAT(Tableau119[[#This Row],[POL]],"-",Tableau119[[#This Row],[Carrier]],"-",Tableau119[[#This Row],[POD]])</f>
        <v>FALSO-FALSO-FALSO</v>
      </c>
      <c r="F226" s="66" t="str">
        <f>_xlfn.CONCAT(Tableau119[[#This Row],[ID]],"-","Actif")</f>
        <v>72-Actif</v>
      </c>
      <c r="G226" s="66" t="str">
        <f>_xlfn.CONCAT(Tableau119[[#This Row],[POD]],"-",Tableau119[[#This Row],[Code PFI]],"-",Tableau119[[#This Row],[Compte Consignee]])</f>
        <v>FALSO---90018000</v>
      </c>
      <c r="H2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CVP</v>
      </c>
      <c r="I226" s="434" t="str">
        <f>_xlfn.CONCAT(Tableau119[[#This Row],[ID]],"-",Tableau119[[#This Row],[Expiration Date]])</f>
        <v>72-45475</v>
      </c>
      <c r="J2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CVP-KWE Shanghai-KWE Shanghai-72-FALSO-FALSO-FALSO--45475</v>
      </c>
      <c r="K226" s="119" t="str">
        <f ca="1">IF(COUNTIF(J:J,Tableau119[[#This Row],[Plant-ILN-shipper-POL-Carrier-POD-PFI]])=1,"Non","Oui")</f>
        <v>Non</v>
      </c>
      <c r="L226" s="128" t="str">
        <f>VLOOKUP(Tableau119[[#This Row],[Name Site]],Plant_AILN!A:D,4,FALSE)</f>
        <v>BRAZIL</v>
      </c>
      <c r="M226" s="411" t="s">
        <v>152</v>
      </c>
      <c r="N226" s="439">
        <f>VLOOKUP(Tableau119[[#This Row],[Name Site]],Plant_AILN!A:C,3,FALSE)</f>
        <v>90018000</v>
      </c>
      <c r="O226" s="55">
        <f>VLOOKUP(Tableau119[[#This Row],[Compte Consignee]],Order!C:D,2,FALSE)</f>
        <v>7</v>
      </c>
      <c r="P226" s="124" t="s">
        <v>62</v>
      </c>
      <c r="Q226" s="365">
        <f>VLOOKUP(Tableau119[[#This Row],[Name ILN]],Plant_AILN!F:G,2,FALSE)</f>
        <v>26037000</v>
      </c>
      <c r="R226" s="50">
        <f>VLOOKUP(Tableau119[[#This Row],[Compte ILN]],'DATA ILN'!D:I,6,FALSE)</f>
        <v>9</v>
      </c>
      <c r="S226" s="50" t="e">
        <f>IFERROR(VLOOKUP(Tableau119[[#This Row],[Key(Compte ILN - shipper - POL - plant)]],'DATA ILN'!A:J,10,FALSE),VLOOKUP(Tableau119[[#This Row],[Key(Compte ILN - shipper - POL)]],'DATA ILN'!B:J,9,FALSE))</f>
        <v>#N/A</v>
      </c>
      <c r="T226" s="50" t="e">
        <f>IFERROR(VLOOKUP(Tableau119[[#This Row],[Key(Compte ILN - shipper - POL - plant)]],'DATA ILN'!A:K,11,FALSE),VLOOKUP(Tableau119[[#This Row],[Key(Compte ILN - shipper - POL)]],'DATA ILN'!B:K,10,FALSE))</f>
        <v>#N/A</v>
      </c>
      <c r="U226" s="50" t="e">
        <f>IFERROR(VLOOKUP(Tableau119[[#This Row],[Key(Compte ILN - shipper - POL - plant)]],'DATA ILN'!A:L,12,FALSE),VLOOKUP(Tableau119[[#This Row],[Key(Compte ILN - shipper - POL)]],'DATA ILN'!B:L,11,FALSE))</f>
        <v>#N/A</v>
      </c>
      <c r="V226" s="50" t="e">
        <f>Tableau119[[#This Row],[Day ILN Order]]+Tableau119[[#This Row],[Delivery time to ILN/Shipper]]-1</f>
        <v>#N/A</v>
      </c>
      <c r="W226" s="50" t="e">
        <f>IFERROR(VLOOKUP(Tableau119[[#This Row],[Key(Compte ILN - shipper - POL - plant)]],'DATA ILN'!A:N,14,FALSE),VLOOKUP(Tableau119[[#This Row],[Key(Compte ILN - shipper - POL)]],'DATA ILN'!B:N,13,FALSE))</f>
        <v>#N/A</v>
      </c>
      <c r="X226" s="50" t="e">
        <f>IFERROR(VLOOKUP(Tableau119[[#This Row],[Key(Compte ILN - shipper - POL - plant)]],'DATA ILN'!A:P,16,FALSE),VLOOKUP(Tableau119[[#This Row],[Key(Compte ILN - shipper - POL)]],'DATA ILN'!B:P,15,FALSE))</f>
        <v>#N/A</v>
      </c>
      <c r="Y226" s="284" t="s">
        <v>62</v>
      </c>
      <c r="Z226" s="430">
        <f>IFERROR(VLOOKUP(Tableau119[[#This Row],[Name Shipper]],Plant_AILN!L:M,2,FALSE),0)</f>
        <v>26037000</v>
      </c>
      <c r="AA226" s="406">
        <v>72</v>
      </c>
      <c r="AB226" s="396" t="b">
        <f>_xlfn.XLOOKUP(Tableau119[[#This Row],[Key(ID-date)]],'DATA BTO'!S:S,'DATA BTO'!E:E,FALSE)</f>
        <v>0</v>
      </c>
      <c r="AC226" s="3" t="b">
        <f>_xlfn.XLOOKUP(Tableau119[[#This Row],[Key(ID-date)]],'DATA BTO'!S:S,'DATA BTO'!F:F,FALSE)</f>
        <v>0</v>
      </c>
      <c r="AD226" s="50" t="b">
        <f>_xlfn.XLOOKUP(Tableau119[[#This Row],[Key(ID-date)]],'DATA BTO'!S:S,'DATA BTO'!G:G,FALSE)</f>
        <v>0</v>
      </c>
      <c r="AE226" s="50" t="b">
        <f>_xlfn.XLOOKUP(Tableau119[[#This Row],[Key(ID-date)]],'DATA BTO'!S:S,'DATA BTO'!H:H,FALSE)</f>
        <v>0</v>
      </c>
      <c r="AF226" s="50" t="e">
        <f>IF(Tableau119[[#This Row],[First Day to POL]]&lt;=Tableau119[[#This Row],[Day Cut Off]],Tableau119[[#This Row],[Day ETD]],Tableau119[[#This Row],[Day ETD]]+7)</f>
        <v>#N/A</v>
      </c>
      <c r="AG226" s="50" t="b">
        <f>_xlfn.XLOOKUP(Tableau119[[#This Row],[Key(ID-date)]],'DATA BTO'!S:S,'DATA BTO'!I:I,FALSE)</f>
        <v>0</v>
      </c>
      <c r="AH226" s="3" t="b">
        <f>_xlfn.XLOOKUP(Tableau119[[#This Row],[Key(ID-date)]],'DATA BTO'!S:S,'DATA BTO'!J:J,FALSE)</f>
        <v>0</v>
      </c>
      <c r="AI226" s="3" t="b">
        <f>_xlfn.XLOOKUP(Tableau119[[#This Row],[Key(ID-date)]],'DATA BTO'!S:S,'DATA BTO'!K:K,FALSE)</f>
        <v>0</v>
      </c>
      <c r="AJ226" s="50" t="b">
        <f>_xlfn.XLOOKUP(Tableau119[[#This Row],[Key(ID-date)]],'DATA BTO'!S:S,'DATA BTO'!L:L,FALSE)</f>
        <v>0</v>
      </c>
      <c r="AK226" s="53" t="b">
        <f>_xlfn.XLOOKUP(Tableau119[[#This Row],[Key(ID-date)]],'DATA BTO'!S:S,'DATA BTO'!N:N,FALSE)</f>
        <v>0</v>
      </c>
      <c r="AL226" s="54" t="e">
        <f>VLOOKUP(Tableau119[[#This Row],[Key(POD -PFI- Usine)]],'DATA Consignee'!A:F,6,FALSE)</f>
        <v>#N/A</v>
      </c>
      <c r="AM226" s="138"/>
      <c r="AN226" s="376" t="str">
        <f>IF(Tableau119[[#This Row],[Name PFI/CDD]]="","-",VLOOKUP(Tableau119[[#This Row],[Name PFI/CDD]],Plant_AILN!I:J,2,FALSE))</f>
        <v>-</v>
      </c>
      <c r="AO2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6" s="2" t="e">
        <f>VLOOKUP(Tableau119[[#This Row],[Key(POD -PFI- Usine)]],'DATA Consignee'!A:J,10,FALSE)</f>
        <v>#N/A</v>
      </c>
      <c r="AR226" s="50" t="e">
        <f>VLOOKUP(Tableau119[[#This Row],[Key(POD -PFI- Usine)]],'DATA Consignee'!A:N,14,FALSE)</f>
        <v>#N/A</v>
      </c>
      <c r="AS2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6" s="50">
        <f>Tableau119[[#This Row],[Transit time]]+Tableau119[[#This Row],[Time for security]]+Tableau119[[#This Row],[Time for security2 buffer]]</f>
        <v>0</v>
      </c>
      <c r="AV2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6" s="50" t="e">
        <f>Tableau119[[#This Row],[Leadtime SI2C]]+Tableau119[[#This Row],[First Receipt Days]]-Tableau119[[#This Row],[Day Customer Order]]+1</f>
        <v>#N/A</v>
      </c>
      <c r="AX226" s="119" t="e">
        <f>IF(Tableau119[[#This Row],[Name ILN]]&lt;&gt;"SFK Freight Forwarder",Tableau119[[#This Row],[Cust. Leadtime]],Tableau119[[#This Row],[Leadtime SI2C]])</f>
        <v>#N/A</v>
      </c>
      <c r="AY226" s="51" t="b">
        <f>_xlfn.XLOOKUP(Tableau119[[#This Row],[Key(ID-date)]],'DATA BTO'!S:S,'DATA BTO'!P:P,FALSE)</f>
        <v>0</v>
      </c>
      <c r="AZ226" s="338">
        <v>45475</v>
      </c>
      <c r="BA226" s="50"/>
    </row>
    <row r="227" spans="2:53">
      <c r="B227" s="474" t="str">
        <f>_xlfn.CONCAT(Tableau119[[#This Row],[Name ILN]],"-",Tableau119[[#This Row],[Name Shipper]],"-",Tableau119[[#This Row],[Name Site]])</f>
        <v>KWE Shanghai-KWE Shanghai-Curitiba CVU</v>
      </c>
      <c r="C227" s="67" t="str">
        <f>_xlfn.CONCAT(Tableau119[[#This Row],[Compte ILN]],"-",Tableau119[[#This Row],[Compte Shipper]],"-",Tableau119[[#This Row],[POL]],"-",Tableau119[[#This Row],[Compte Consignee]])</f>
        <v>26037000-26037000-FALSO-90018500</v>
      </c>
      <c r="D227" s="66" t="str">
        <f>_xlfn.CONCAT(Tableau119[[#This Row],[Compte ILN]],"-",Tableau119[[#This Row],[Compte Shipper]],"-",Tableau119[[#This Row],[POL]])</f>
        <v>26037000-26037000-FALSO</v>
      </c>
      <c r="E227" s="130" t="str">
        <f>_xlfn.CONCAT(Tableau119[[#This Row],[POL]],"-",Tableau119[[#This Row],[Carrier]],"-",Tableau119[[#This Row],[POD]])</f>
        <v>FALSO-FALSO-FALSO</v>
      </c>
      <c r="F227" s="66" t="str">
        <f>_xlfn.CONCAT(Tableau119[[#This Row],[ID]],"-","Actif")</f>
        <v>72-Actif</v>
      </c>
      <c r="G227" s="66" t="str">
        <f>_xlfn.CONCAT(Tableau119[[#This Row],[POD]],"-",Tableau119[[#This Row],[Code PFI]],"-",Tableau119[[#This Row],[Compte Consignee]])</f>
        <v>FALSO---90018500</v>
      </c>
      <c r="H2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CVU</v>
      </c>
      <c r="I227" s="434" t="str">
        <f>_xlfn.CONCAT(Tableau119[[#This Row],[ID]],"-",Tableau119[[#This Row],[Expiration Date]])</f>
        <v>72-45475</v>
      </c>
      <c r="J2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CVU-KWE Shanghai-KWE Shanghai-72-FALSO-FALSO-FALSO--45475</v>
      </c>
      <c r="K227" s="119" t="str">
        <f ca="1">IF(COUNTIF(J:J,Tableau119[[#This Row],[Plant-ILN-shipper-POL-Carrier-POD-PFI]])=1,"Non","Oui")</f>
        <v>Non</v>
      </c>
      <c r="L227" s="128" t="str">
        <f>VLOOKUP(Tableau119[[#This Row],[Name Site]],Plant_AILN!A:D,4,FALSE)</f>
        <v>BRAZIL</v>
      </c>
      <c r="M227" s="411" t="s">
        <v>639</v>
      </c>
      <c r="N227" s="439">
        <f>VLOOKUP(Tableau119[[#This Row],[Name Site]],Plant_AILN!A:C,3,FALSE)</f>
        <v>90018500</v>
      </c>
      <c r="O227" s="55">
        <f>VLOOKUP(Tableau119[[#This Row],[Compte Consignee]],Order!C:D,2,FALSE)</f>
        <v>7</v>
      </c>
      <c r="P227" s="124" t="s">
        <v>62</v>
      </c>
      <c r="Q227" s="365">
        <f>VLOOKUP(Tableau119[[#This Row],[Name ILN]],Plant_AILN!F:G,2,FALSE)</f>
        <v>26037000</v>
      </c>
      <c r="R227" s="50">
        <f>VLOOKUP(Tableau119[[#This Row],[Compte ILN]],'DATA ILN'!D:I,6,FALSE)</f>
        <v>9</v>
      </c>
      <c r="S227" s="50" t="e">
        <f>IFERROR(VLOOKUP(Tableau119[[#This Row],[Key(Compte ILN - shipper - POL - plant)]],'DATA ILN'!A:J,10,FALSE),VLOOKUP(Tableau119[[#This Row],[Key(Compte ILN - shipper - POL)]],'DATA ILN'!B:J,9,FALSE))</f>
        <v>#N/A</v>
      </c>
      <c r="T227" s="50" t="e">
        <f>IFERROR(VLOOKUP(Tableau119[[#This Row],[Key(Compte ILN - shipper - POL - plant)]],'DATA ILN'!A:K,11,FALSE),VLOOKUP(Tableau119[[#This Row],[Key(Compte ILN - shipper - POL)]],'DATA ILN'!B:K,10,FALSE))</f>
        <v>#N/A</v>
      </c>
      <c r="U227" s="50" t="e">
        <f>IFERROR(VLOOKUP(Tableau119[[#This Row],[Key(Compte ILN - shipper - POL - plant)]],'DATA ILN'!A:L,12,FALSE),VLOOKUP(Tableau119[[#This Row],[Key(Compte ILN - shipper - POL)]],'DATA ILN'!B:L,11,FALSE))</f>
        <v>#N/A</v>
      </c>
      <c r="V227" s="50" t="e">
        <f>Tableau119[[#This Row],[Day ILN Order]]+Tableau119[[#This Row],[Delivery time to ILN/Shipper]]-1</f>
        <v>#N/A</v>
      </c>
      <c r="W227" s="50" t="e">
        <f>IFERROR(VLOOKUP(Tableau119[[#This Row],[Key(Compte ILN - shipper - POL - plant)]],'DATA ILN'!A:N,14,FALSE),VLOOKUP(Tableau119[[#This Row],[Key(Compte ILN - shipper - POL)]],'DATA ILN'!B:N,13,FALSE))</f>
        <v>#N/A</v>
      </c>
      <c r="X227" s="50" t="e">
        <f>IFERROR(VLOOKUP(Tableau119[[#This Row],[Key(Compte ILN - shipper - POL - plant)]],'DATA ILN'!A:P,16,FALSE),VLOOKUP(Tableau119[[#This Row],[Key(Compte ILN - shipper - POL)]],'DATA ILN'!B:P,15,FALSE))</f>
        <v>#N/A</v>
      </c>
      <c r="Y227" s="284" t="s">
        <v>62</v>
      </c>
      <c r="Z227" s="430">
        <f>IFERROR(VLOOKUP(Tableau119[[#This Row],[Name Shipper]],Plant_AILN!L:M,2,FALSE),0)</f>
        <v>26037000</v>
      </c>
      <c r="AA227" s="406">
        <v>72</v>
      </c>
      <c r="AB227" s="396" t="b">
        <f>_xlfn.XLOOKUP(Tableau119[[#This Row],[Key(ID-date)]],'DATA BTO'!S:S,'DATA BTO'!E:E,FALSE)</f>
        <v>0</v>
      </c>
      <c r="AC227" s="3" t="b">
        <f>_xlfn.XLOOKUP(Tableau119[[#This Row],[Key(ID-date)]],'DATA BTO'!S:S,'DATA BTO'!F:F,FALSE)</f>
        <v>0</v>
      </c>
      <c r="AD227" s="50" t="b">
        <f>_xlfn.XLOOKUP(Tableau119[[#This Row],[Key(ID-date)]],'DATA BTO'!S:S,'DATA BTO'!G:G,FALSE)</f>
        <v>0</v>
      </c>
      <c r="AE227" s="50" t="b">
        <f>_xlfn.XLOOKUP(Tableau119[[#This Row],[Key(ID-date)]],'DATA BTO'!S:S,'DATA BTO'!H:H,FALSE)</f>
        <v>0</v>
      </c>
      <c r="AF227" s="50" t="e">
        <f>IF(Tableau119[[#This Row],[First Day to POL]]&lt;=Tableau119[[#This Row],[Day Cut Off]],Tableau119[[#This Row],[Day ETD]],Tableau119[[#This Row],[Day ETD]]+7)</f>
        <v>#N/A</v>
      </c>
      <c r="AG227" s="50" t="b">
        <f>_xlfn.XLOOKUP(Tableau119[[#This Row],[Key(ID-date)]],'DATA BTO'!S:S,'DATA BTO'!I:I,FALSE)</f>
        <v>0</v>
      </c>
      <c r="AH227" s="3" t="b">
        <f>_xlfn.XLOOKUP(Tableau119[[#This Row],[Key(ID-date)]],'DATA BTO'!S:S,'DATA BTO'!J:J,FALSE)</f>
        <v>0</v>
      </c>
      <c r="AI227" s="3" t="b">
        <f>_xlfn.XLOOKUP(Tableau119[[#This Row],[Key(ID-date)]],'DATA BTO'!S:S,'DATA BTO'!K:K,FALSE)</f>
        <v>0</v>
      </c>
      <c r="AJ227" s="50" t="b">
        <f>_xlfn.XLOOKUP(Tableau119[[#This Row],[Key(ID-date)]],'DATA BTO'!S:S,'DATA BTO'!L:L,FALSE)</f>
        <v>0</v>
      </c>
      <c r="AK227" s="53" t="b">
        <f>_xlfn.XLOOKUP(Tableau119[[#This Row],[Key(ID-date)]],'DATA BTO'!S:S,'DATA BTO'!N:N,FALSE)</f>
        <v>0</v>
      </c>
      <c r="AL227" s="54" t="e">
        <f>VLOOKUP(Tableau119[[#This Row],[Key(POD -PFI- Usine)]],'DATA Consignee'!A:F,6,FALSE)</f>
        <v>#N/A</v>
      </c>
      <c r="AM227" s="138"/>
      <c r="AN227" s="376" t="str">
        <f>IF(Tableau119[[#This Row],[Name PFI/CDD]]="","-",VLOOKUP(Tableau119[[#This Row],[Name PFI/CDD]],Plant_AILN!I:J,2,FALSE))</f>
        <v>-</v>
      </c>
      <c r="AO2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7" s="2" t="e">
        <f>VLOOKUP(Tableau119[[#This Row],[Key(POD -PFI- Usine)]],'DATA Consignee'!A:J,10,FALSE)</f>
        <v>#N/A</v>
      </c>
      <c r="AR227" s="50" t="e">
        <f>VLOOKUP(Tableau119[[#This Row],[Key(POD -PFI- Usine)]],'DATA Consignee'!A:N,14,FALSE)</f>
        <v>#N/A</v>
      </c>
      <c r="AS22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7" s="50">
        <f>Tableau119[[#This Row],[Transit time]]+Tableau119[[#This Row],[Time for security]]+Tableau119[[#This Row],[Time for security2 buffer]]</f>
        <v>0</v>
      </c>
      <c r="AV2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7" s="50" t="e">
        <f>Tableau119[[#This Row],[Leadtime SI2C]]+Tableau119[[#This Row],[First Receipt Days]]-Tableau119[[#This Row],[Day Customer Order]]+1</f>
        <v>#N/A</v>
      </c>
      <c r="AX227" s="119" t="e">
        <f>IF(Tableau119[[#This Row],[Name ILN]]&lt;&gt;"SFK Freight Forwarder",Tableau119[[#This Row],[Cust. Leadtime]],Tableau119[[#This Row],[Leadtime SI2C]])</f>
        <v>#N/A</v>
      </c>
      <c r="AY227" s="51" t="b">
        <f>_xlfn.XLOOKUP(Tableau119[[#This Row],[Key(ID-date)]],'DATA BTO'!S:S,'DATA BTO'!P:P,FALSE)</f>
        <v>0</v>
      </c>
      <c r="AZ227" s="338">
        <v>45475</v>
      </c>
      <c r="BA227" s="50"/>
    </row>
    <row r="228" spans="2:53">
      <c r="B228" s="474" t="str">
        <f>_xlfn.CONCAT(Tableau119[[#This Row],[Name ILN]],"-",Tableau119[[#This Row],[Name Shipper]],"-",Tableau119[[#This Row],[Name Site]])</f>
        <v>KWE Shanghai-KWE Shanghai-Curitiba CMO</v>
      </c>
      <c r="C228" s="67" t="str">
        <f>_xlfn.CONCAT(Tableau119[[#This Row],[Compte ILN]],"-",Tableau119[[#This Row],[Compte Shipper]],"-",Tableau119[[#This Row],[POL]],"-",Tableau119[[#This Row],[Compte Consignee]])</f>
        <v>26037000-26037000-FALSO-90018600</v>
      </c>
      <c r="D228" s="66" t="str">
        <f>_xlfn.CONCAT(Tableau119[[#This Row],[Compte ILN]],"-",Tableau119[[#This Row],[Compte Shipper]],"-",Tableau119[[#This Row],[POL]])</f>
        <v>26037000-26037000-FALSO</v>
      </c>
      <c r="E228" s="130" t="str">
        <f>_xlfn.CONCAT(Tableau119[[#This Row],[POL]],"-",Tableau119[[#This Row],[Carrier]],"-",Tableau119[[#This Row],[POD]])</f>
        <v>FALSO-FALSO-FALSO</v>
      </c>
      <c r="F228" s="66" t="str">
        <f>_xlfn.CONCAT(Tableau119[[#This Row],[ID]],"-","Actif")</f>
        <v>72-Actif</v>
      </c>
      <c r="G228" s="66" t="str">
        <f>_xlfn.CONCAT(Tableau119[[#This Row],[POD]],"-",Tableau119[[#This Row],[Code PFI]],"-",Tableau119[[#This Row],[Compte Consignee]])</f>
        <v>FALSO---90018600</v>
      </c>
      <c r="H2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ShanghaiFALSOCuritiba CMO</v>
      </c>
      <c r="I228" s="434" t="str">
        <f>_xlfn.CONCAT(Tableau119[[#This Row],[ID]],"-",Tableau119[[#This Row],[Expiration Date]])</f>
        <v>72-45475</v>
      </c>
      <c r="J2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CMO-KWE Shanghai-KWE Shanghai-72-FALSO-FALSO-FALSO--45475</v>
      </c>
      <c r="K228" s="119" t="str">
        <f ca="1">IF(COUNTIF(J:J,Tableau119[[#This Row],[Plant-ILN-shipper-POL-Carrier-POD-PFI]])=1,"Non","Oui")</f>
        <v>Non</v>
      </c>
      <c r="L228" s="128" t="str">
        <f>VLOOKUP(Tableau119[[#This Row],[Name Site]],Plant_AILN!A:D,4,FALSE)</f>
        <v>BRAZIL</v>
      </c>
      <c r="M228" s="411" t="s">
        <v>160</v>
      </c>
      <c r="N228" s="439">
        <f>VLOOKUP(Tableau119[[#This Row],[Name Site]],Plant_AILN!A:C,3,FALSE)</f>
        <v>90018600</v>
      </c>
      <c r="O228" s="55">
        <f>VLOOKUP(Tableau119[[#This Row],[Compte Consignee]],Order!C:D,2,FALSE)</f>
        <v>7</v>
      </c>
      <c r="P228" s="124" t="s">
        <v>62</v>
      </c>
      <c r="Q228" s="365">
        <f>VLOOKUP(Tableau119[[#This Row],[Name ILN]],Plant_AILN!F:G,2,FALSE)</f>
        <v>26037000</v>
      </c>
      <c r="R228" s="50">
        <f>VLOOKUP(Tableau119[[#This Row],[Compte ILN]],'DATA ILN'!D:I,6,FALSE)</f>
        <v>9</v>
      </c>
      <c r="S228" s="50" t="e">
        <f>IFERROR(VLOOKUP(Tableau119[[#This Row],[Key(Compte ILN - shipper - POL - plant)]],'DATA ILN'!A:J,10,FALSE),VLOOKUP(Tableau119[[#This Row],[Key(Compte ILN - shipper - POL)]],'DATA ILN'!B:J,9,FALSE))</f>
        <v>#N/A</v>
      </c>
      <c r="T228" s="50" t="e">
        <f>IFERROR(VLOOKUP(Tableau119[[#This Row],[Key(Compte ILN - shipper - POL - plant)]],'DATA ILN'!A:K,11,FALSE),VLOOKUP(Tableau119[[#This Row],[Key(Compte ILN - shipper - POL)]],'DATA ILN'!B:K,10,FALSE))</f>
        <v>#N/A</v>
      </c>
      <c r="U228" s="50" t="e">
        <f>IFERROR(VLOOKUP(Tableau119[[#This Row],[Key(Compte ILN - shipper - POL - plant)]],'DATA ILN'!A:L,12,FALSE),VLOOKUP(Tableau119[[#This Row],[Key(Compte ILN - shipper - POL)]],'DATA ILN'!B:L,11,FALSE))</f>
        <v>#N/A</v>
      </c>
      <c r="V228" s="50" t="e">
        <f>Tableau119[[#This Row],[Day ILN Order]]+Tableau119[[#This Row],[Delivery time to ILN/Shipper]]-1</f>
        <v>#N/A</v>
      </c>
      <c r="W228" s="50" t="e">
        <f>IFERROR(VLOOKUP(Tableau119[[#This Row],[Key(Compte ILN - shipper - POL - plant)]],'DATA ILN'!A:N,14,FALSE),VLOOKUP(Tableau119[[#This Row],[Key(Compte ILN - shipper - POL)]],'DATA ILN'!B:N,13,FALSE))</f>
        <v>#N/A</v>
      </c>
      <c r="X228" s="50" t="e">
        <f>IFERROR(VLOOKUP(Tableau119[[#This Row],[Key(Compte ILN - shipper - POL - plant)]],'DATA ILN'!A:P,16,FALSE),VLOOKUP(Tableau119[[#This Row],[Key(Compte ILN - shipper - POL)]],'DATA ILN'!B:P,15,FALSE))</f>
        <v>#N/A</v>
      </c>
      <c r="Y228" s="284" t="s">
        <v>62</v>
      </c>
      <c r="Z228" s="430">
        <f>IFERROR(VLOOKUP(Tableau119[[#This Row],[Name Shipper]],Plant_AILN!L:M,2,FALSE),0)</f>
        <v>26037000</v>
      </c>
      <c r="AA228" s="406">
        <v>72</v>
      </c>
      <c r="AB228" s="396" t="b">
        <f>_xlfn.XLOOKUP(Tableau119[[#This Row],[Key(ID-date)]],'DATA BTO'!S:S,'DATA BTO'!E:E,FALSE)</f>
        <v>0</v>
      </c>
      <c r="AC228" s="3" t="b">
        <f>_xlfn.XLOOKUP(Tableau119[[#This Row],[Key(ID-date)]],'DATA BTO'!S:S,'DATA BTO'!F:F,FALSE)</f>
        <v>0</v>
      </c>
      <c r="AD228" s="50" t="b">
        <f>_xlfn.XLOOKUP(Tableau119[[#This Row],[Key(ID-date)]],'DATA BTO'!S:S,'DATA BTO'!G:G,FALSE)</f>
        <v>0</v>
      </c>
      <c r="AE228" s="50" t="b">
        <f>_xlfn.XLOOKUP(Tableau119[[#This Row],[Key(ID-date)]],'DATA BTO'!S:S,'DATA BTO'!H:H,FALSE)</f>
        <v>0</v>
      </c>
      <c r="AF228" s="50" t="e">
        <f>IF(Tableau119[[#This Row],[First Day to POL]]&lt;=Tableau119[[#This Row],[Day Cut Off]],Tableau119[[#This Row],[Day ETD]],Tableau119[[#This Row],[Day ETD]]+7)</f>
        <v>#N/A</v>
      </c>
      <c r="AG228" s="50" t="b">
        <f>_xlfn.XLOOKUP(Tableau119[[#This Row],[Key(ID-date)]],'DATA BTO'!S:S,'DATA BTO'!I:I,FALSE)</f>
        <v>0</v>
      </c>
      <c r="AH228" s="3" t="b">
        <f>_xlfn.XLOOKUP(Tableau119[[#This Row],[Key(ID-date)]],'DATA BTO'!S:S,'DATA BTO'!J:J,FALSE)</f>
        <v>0</v>
      </c>
      <c r="AI228" s="3" t="b">
        <f>_xlfn.XLOOKUP(Tableau119[[#This Row],[Key(ID-date)]],'DATA BTO'!S:S,'DATA BTO'!K:K,FALSE)</f>
        <v>0</v>
      </c>
      <c r="AJ228" s="50" t="b">
        <f>_xlfn.XLOOKUP(Tableau119[[#This Row],[Key(ID-date)]],'DATA BTO'!S:S,'DATA BTO'!L:L,FALSE)</f>
        <v>0</v>
      </c>
      <c r="AK228" s="53" t="b">
        <f>_xlfn.XLOOKUP(Tableau119[[#This Row],[Key(ID-date)]],'DATA BTO'!S:S,'DATA BTO'!N:N,FALSE)</f>
        <v>0</v>
      </c>
      <c r="AL228" s="54" t="e">
        <f>VLOOKUP(Tableau119[[#This Row],[Key(POD -PFI- Usine)]],'DATA Consignee'!A:F,6,FALSE)</f>
        <v>#N/A</v>
      </c>
      <c r="AM228" s="138"/>
      <c r="AN228" s="376" t="str">
        <f>IF(Tableau119[[#This Row],[Name PFI/CDD]]="","-",VLOOKUP(Tableau119[[#This Row],[Name PFI/CDD]],Plant_AILN!I:J,2,FALSE))</f>
        <v>-</v>
      </c>
      <c r="AO2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8" s="2" t="e">
        <f>VLOOKUP(Tableau119[[#This Row],[Key(POD -PFI- Usine)]],'DATA Consignee'!A:J,10,FALSE)</f>
        <v>#N/A</v>
      </c>
      <c r="AR228" s="50" t="e">
        <f>VLOOKUP(Tableau119[[#This Row],[Key(POD -PFI- Usine)]],'DATA Consignee'!A:N,14,FALSE)</f>
        <v>#N/A</v>
      </c>
      <c r="AS2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8" s="50">
        <f>Tableau119[[#This Row],[Transit time]]+Tableau119[[#This Row],[Time for security]]+Tableau119[[#This Row],[Time for security2 buffer]]</f>
        <v>0</v>
      </c>
      <c r="AV2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8" s="50" t="e">
        <f>Tableau119[[#This Row],[Leadtime SI2C]]+Tableau119[[#This Row],[First Receipt Days]]-Tableau119[[#This Row],[Day Customer Order]]+1</f>
        <v>#N/A</v>
      </c>
      <c r="AX228" s="119" t="e">
        <f>IF(Tableau119[[#This Row],[Name ILN]]&lt;&gt;"SFK Freight Forwarder",Tableau119[[#This Row],[Cust. Leadtime]],Tableau119[[#This Row],[Leadtime SI2C]])</f>
        <v>#N/A</v>
      </c>
      <c r="AY228" s="51" t="b">
        <f>_xlfn.XLOOKUP(Tableau119[[#This Row],[Key(ID-date)]],'DATA BTO'!S:S,'DATA BTO'!P:P,FALSE)</f>
        <v>0</v>
      </c>
      <c r="AZ228" s="338">
        <v>45475</v>
      </c>
      <c r="BA228" s="50"/>
    </row>
    <row r="229" spans="2:53">
      <c r="B229" s="67" t="str">
        <f>_xlfn.CONCAT(Tableau119[[#This Row],[Name ILN]],"-",Tableau119[[#This Row],[Name Shipper]],"-",Tableau119[[#This Row],[Name Site]])</f>
        <v>ILN FR-ILN FR-SOFASA</v>
      </c>
      <c r="C229" s="67" t="str">
        <f>_xlfn.CONCAT(Tableau119[[#This Row],[Compte ILN]],"-",Tableau119[[#This Row],[Compte Shipper]],"-",Tableau119[[#This Row],[POL]],"-",Tableau119[[#This Row],[Compte Consignee]])</f>
        <v>92000100-92000100-FALSO-9510600</v>
      </c>
      <c r="D229" s="82" t="str">
        <f>_xlfn.CONCAT(Tableau119[[#This Row],[Compte ILN]],"-",Tableau119[[#This Row],[Compte Shipper]],"-",Tableau119[[#This Row],[POL]])</f>
        <v>92000100-92000100-FALSO</v>
      </c>
      <c r="E229" s="83" t="str">
        <f>_xlfn.CONCAT(Tableau119[[#This Row],[POL]],"-",Tableau119[[#This Row],[Carrier]],"-",Tableau119[[#This Row],[POD]])</f>
        <v>FALSO-FALSO-FALSO</v>
      </c>
      <c r="F229" s="82" t="str">
        <f>_xlfn.CONCAT(Tableau119[[#This Row],[ID]],"-","Actif")</f>
        <v>74-Actif</v>
      </c>
      <c r="G229" s="82" t="str">
        <f>_xlfn.CONCAT(Tableau119[[#This Row],[POD]],"-",Tableau119[[#This Row],[Code PFI]],"-",Tableau119[[#This Row],[Compte Consignee]])</f>
        <v>FALSO---9510600</v>
      </c>
      <c r="H229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FRFALSOSOFASA</v>
      </c>
      <c r="I229" s="502" t="str">
        <f>_xlfn.CONCAT(Tableau119[[#This Row],[ID]],"-",Tableau119[[#This Row],[Expiration Date]])</f>
        <v>74-46142</v>
      </c>
      <c r="J2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FR-ILN FR-74-FALSO-FALSO-FALSO--46142</v>
      </c>
      <c r="K229" s="120" t="str">
        <f ca="1">IF(COUNTIF(J:J,Tableau119[[#This Row],[Plant-ILN-shipper-POL-Carrier-POD-PFI]])=1,"Non","Oui")</f>
        <v>Non</v>
      </c>
      <c r="L229" s="445" t="str">
        <f>VLOOKUP(Tableau119[[#This Row],[Name Site]],Plant_AILN!A:D,4,FALSE)</f>
        <v>COLOMBIA</v>
      </c>
      <c r="M229" s="485" t="s">
        <v>177</v>
      </c>
      <c r="N229" s="439">
        <f>VLOOKUP(Tableau119[[#This Row],[Name Site]],Plant_AILN!A:C,3,FALSE)</f>
        <v>9510600</v>
      </c>
      <c r="O229" s="55">
        <f>IF(Tableau119[[#This Row],[Name PFI/CDD]]="PFI VLL",2,VLOOKUP(Tableau119[[#This Row],[Compte Consignee]],Order!C:D,2,FALSE))</f>
        <v>7</v>
      </c>
      <c r="P229" s="126" t="s">
        <v>143</v>
      </c>
      <c r="Q229" s="366">
        <f>VLOOKUP(Tableau119[[#This Row],[Name ILN]],Plant_AILN!F:G,2,FALSE)</f>
        <v>92000100</v>
      </c>
      <c r="R229" s="50">
        <f>VLOOKUP(Tableau119[[#This Row],[Compte ILN]],'DATA ILN'!D:I,6,FALSE)</f>
        <v>9</v>
      </c>
      <c r="S229" s="81" t="e">
        <f>IFERROR(VLOOKUP(Tableau119[[#This Row],[Key(Compte ILN - shipper - POL - plant)]],'DATA ILN'!A:J,10,FALSE),VLOOKUP(Tableau119[[#This Row],[Key(Compte ILN - shipper - POL)]],'DATA ILN'!B:J,9,FALSE))</f>
        <v>#N/A</v>
      </c>
      <c r="T229" s="81" t="e">
        <f>IFERROR(VLOOKUP(Tableau119[[#This Row],[Key(Compte ILN - shipper - POL - plant)]],'DATA ILN'!A:K,11,FALSE),VLOOKUP(Tableau119[[#This Row],[Key(Compte ILN - shipper - POL)]],'DATA ILN'!B:K,10,FALSE))</f>
        <v>#N/A</v>
      </c>
      <c r="U229" s="81" t="e">
        <f>IFERROR(VLOOKUP(Tableau119[[#This Row],[Key(Compte ILN - shipper - POL - plant)]],'DATA ILN'!A:L,12,FALSE),VLOOKUP(Tableau119[[#This Row],[Key(Compte ILN - shipper - POL)]],'DATA ILN'!B:L,11,FALSE))</f>
        <v>#N/A</v>
      </c>
      <c r="V229" s="81" t="e">
        <f>Tableau119[[#This Row],[Day ILN Order]]+Tableau119[[#This Row],[Delivery time to ILN/Shipper]]-1</f>
        <v>#N/A</v>
      </c>
      <c r="W229" s="81" t="e">
        <f>IFERROR(VLOOKUP(Tableau119[[#This Row],[Key(Compte ILN - shipper - POL - plant)]],'DATA ILN'!A:N,14,FALSE),VLOOKUP(Tableau119[[#This Row],[Key(Compte ILN - shipper - POL)]],'DATA ILN'!B:N,13,FALSE))</f>
        <v>#N/A</v>
      </c>
      <c r="X229" s="81" t="e">
        <f>IFERROR(VLOOKUP(Tableau119[[#This Row],[Key(Compte ILN - shipper - POL - plant)]],'DATA ILN'!A:P,16,FALSE),VLOOKUP(Tableau119[[#This Row],[Key(Compte ILN - shipper - POL)]],'DATA ILN'!B:P,15,FALSE))</f>
        <v>#N/A</v>
      </c>
      <c r="Y229" s="126" t="s">
        <v>143</v>
      </c>
      <c r="Z229" s="417">
        <f>IFERROR(VLOOKUP(Tableau119[[#This Row],[Name Shipper]],Plant_AILN!L:M,2,FALSE),0)</f>
        <v>92000100</v>
      </c>
      <c r="AA229" s="416">
        <v>74</v>
      </c>
      <c r="AB229" s="396" t="b">
        <f>_xlfn.XLOOKUP(Tableau119[[#This Row],[Key(ID-date)]],'DATA BTO'!S:S,'DATA BTO'!E:E,FALSE)</f>
        <v>0</v>
      </c>
      <c r="AC229" s="3" t="b">
        <f>_xlfn.XLOOKUP(Tableau119[[#This Row],[Key(ID-date)]],'DATA BTO'!S:S,'DATA BTO'!F:F,FALSE)</f>
        <v>0</v>
      </c>
      <c r="AD229" s="50" t="b">
        <f>_xlfn.XLOOKUP(Tableau119[[#This Row],[Key(ID-date)]],'DATA BTO'!S:S,'DATA BTO'!G:G,FALSE)</f>
        <v>0</v>
      </c>
      <c r="AE229" s="50" t="b">
        <f>_xlfn.XLOOKUP(Tableau119[[#This Row],[Key(ID-date)]],'DATA BTO'!S:S,'DATA BTO'!H:H,FALSE)</f>
        <v>0</v>
      </c>
      <c r="AF229" s="81" t="e">
        <f>IF(Tableau119[[#This Row],[First Day to POL]]&lt;=Tableau119[[#This Row],[Day Cut Off]],Tableau119[[#This Row],[Day ETD]],Tableau119[[#This Row],[Day ETD]]+7)</f>
        <v>#N/A</v>
      </c>
      <c r="AG229" s="50" t="b">
        <f>_xlfn.XLOOKUP(Tableau119[[#This Row],[Key(ID-date)]],'DATA BTO'!S:S,'DATA BTO'!I:I,FALSE)</f>
        <v>0</v>
      </c>
      <c r="AH229" s="3" t="b">
        <f>_xlfn.XLOOKUP(Tableau119[[#This Row],[Key(ID-date)]],'DATA BTO'!S:S,'DATA BTO'!J:J,FALSE)</f>
        <v>0</v>
      </c>
      <c r="AI229" s="3" t="b">
        <f>_xlfn.XLOOKUP(Tableau119[[#This Row],[Key(ID-date)]],'DATA BTO'!S:S,'DATA BTO'!K:K,FALSE)</f>
        <v>0</v>
      </c>
      <c r="AJ229" s="50" t="b">
        <f>_xlfn.XLOOKUP(Tableau119[[#This Row],[Key(ID-date)]],'DATA BTO'!S:S,'DATA BTO'!L:L,FALSE)</f>
        <v>0</v>
      </c>
      <c r="AK229" s="53" t="b">
        <f>_xlfn.XLOOKUP(Tableau119[[#This Row],[Key(ID-date)]],'DATA BTO'!S:S,'DATA BTO'!N:N,FALSE)</f>
        <v>0</v>
      </c>
      <c r="AL229" s="107" t="e">
        <f>VLOOKUP(Tableau119[[#This Row],[Key(POD -PFI- Usine)]],'DATA Consignee'!A:F,6,FALSE)</f>
        <v>#N/A</v>
      </c>
      <c r="AM229" s="138"/>
      <c r="AN229" s="375" t="str">
        <f>IF(Tableau119[[#This Row],[Name PFI/CDD]]="","-",VLOOKUP(Tableau119[[#This Row],[Name PFI/CDD]],Plant_AILN!I:J,2,FALSE))</f>
        <v>-</v>
      </c>
      <c r="AO22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2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29" s="110" t="e">
        <f>VLOOKUP(Tableau119[[#This Row],[Key(POD -PFI- Usine)]],'DATA Consignee'!A:J,10,FALSE)</f>
        <v>#N/A</v>
      </c>
      <c r="AR229" s="81" t="e">
        <f>VLOOKUP(Tableau119[[#This Row],[Key(POD -PFI- Usine)]],'DATA Consignee'!A:N,14,FALSE)</f>
        <v>#N/A</v>
      </c>
      <c r="AS22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2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29" s="81">
        <f>Tableau119[[#This Row],[Transit time]]+Tableau119[[#This Row],[Time for security]]+Tableau119[[#This Row],[Time for security2 buffer]]</f>
        <v>0</v>
      </c>
      <c r="AV229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29" s="81" t="e">
        <f>Tableau119[[#This Row],[Leadtime SI2C]]+Tableau119[[#This Row],[First Receipt Days]]-Tableau119[[#This Row],[Day Customer Order]]+1</f>
        <v>#N/A</v>
      </c>
      <c r="AX229" s="120" t="e">
        <f>IF(Tableau119[[#This Row],[Name ILN]]&lt;&gt;"SFK Freight Forwarder",Tableau119[[#This Row],[Cust. Leadtime]],Tableau119[[#This Row],[Leadtime SI2C]])</f>
        <v>#N/A</v>
      </c>
      <c r="AY229" s="51" t="b">
        <f>_xlfn.XLOOKUP(Tableau119[[#This Row],[Key(ID-date)]],'DATA BTO'!S:S,'DATA BTO'!P:P,FALSE)</f>
        <v>0</v>
      </c>
      <c r="AZ229" s="338">
        <v>46142</v>
      </c>
      <c r="BA229" s="50"/>
    </row>
    <row r="230" spans="2:53">
      <c r="B230" s="474" t="str">
        <f>_xlfn.CONCAT(Tableau119[[#This Row],[Name ILN]],"-",Tableau119[[#This Row],[Name Shipper]],"-",Tableau119[[#This Row],[Name Site]])</f>
        <v>ILN FR-ILN FR-SOFASA</v>
      </c>
      <c r="C230" s="67" t="str">
        <f>_xlfn.CONCAT(Tableau119[[#This Row],[Compte ILN]],"-",Tableau119[[#This Row],[Compte Shipper]],"-",Tableau119[[#This Row],[POL]],"-",Tableau119[[#This Row],[Compte Consignee]])</f>
        <v>92000100-92000100-FALSO-9510600</v>
      </c>
      <c r="D230" s="82" t="str">
        <f>_xlfn.CONCAT(Tableau119[[#This Row],[Compte ILN]],"-",Tableau119[[#This Row],[Compte Shipper]],"-",Tableau119[[#This Row],[POL]])</f>
        <v>92000100-92000100-FALSO</v>
      </c>
      <c r="E230" s="83" t="str">
        <f>_xlfn.CONCAT(Tableau119[[#This Row],[POL]],"-",Tableau119[[#This Row],[Carrier]],"-",Tableau119[[#This Row],[POD]])</f>
        <v>FALSO-FALSO-FALSO</v>
      </c>
      <c r="F230" s="82" t="str">
        <f>_xlfn.CONCAT(Tableau119[[#This Row],[ID]],"-","Actif")</f>
        <v>74-Actif</v>
      </c>
      <c r="G230" s="82" t="str">
        <f>_xlfn.CONCAT(Tableau119[[#This Row],[POD]],"-",Tableau119[[#This Row],[Code PFI]],"-",Tableau119[[#This Row],[Compte Consignee]])</f>
        <v>FALSO---9510600</v>
      </c>
      <c r="H23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FRFALSOSOFASA</v>
      </c>
      <c r="I230" s="502" t="str">
        <f>_xlfn.CONCAT(Tableau119[[#This Row],[ID]],"-",Tableau119[[#This Row],[Expiration Date]])</f>
        <v>74-45777</v>
      </c>
      <c r="J2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FR-ILN FR-74-FALSO-FALSO-FALSO--45777</v>
      </c>
      <c r="K230" s="120" t="str">
        <f ca="1">IF(COUNTIF(J:J,Tableau119[[#This Row],[Plant-ILN-shipper-POL-Carrier-POD-PFI]])=1,"Non","Oui")</f>
        <v>Non</v>
      </c>
      <c r="L230" s="103" t="str">
        <f>VLOOKUP(Tableau119[[#This Row],[Name Site]],Plant_AILN!A:D,4,FALSE)</f>
        <v>COLOMBIA</v>
      </c>
      <c r="M230" s="411" t="s">
        <v>177</v>
      </c>
      <c r="N230" s="439">
        <f>VLOOKUP(Tableau119[[#This Row],[Name Site]],Plant_AILN!A:C,3,FALSE)</f>
        <v>9510600</v>
      </c>
      <c r="O230" s="55">
        <f>VLOOKUP(Tableau119[[#This Row],[Compte Consignee]],Order!C:D,2,FALSE)</f>
        <v>7</v>
      </c>
      <c r="P230" s="126" t="s">
        <v>143</v>
      </c>
      <c r="Q230" s="366">
        <f>VLOOKUP(Tableau119[[#This Row],[Name ILN]],Plant_AILN!F:G,2,FALSE)</f>
        <v>92000100</v>
      </c>
      <c r="R230" s="50">
        <f>VLOOKUP(Tableau119[[#This Row],[Compte ILN]],'DATA ILN'!D:I,6,FALSE)</f>
        <v>9</v>
      </c>
      <c r="S230" s="81" t="e">
        <f>IFERROR(VLOOKUP(Tableau119[[#This Row],[Key(Compte ILN - shipper - POL - plant)]],'DATA ILN'!A:J,10,FALSE),VLOOKUP(Tableau119[[#This Row],[Key(Compte ILN - shipper - POL)]],'DATA ILN'!B:J,9,FALSE))</f>
        <v>#N/A</v>
      </c>
      <c r="T230" s="81" t="e">
        <f>IFERROR(VLOOKUP(Tableau119[[#This Row],[Key(Compte ILN - shipper - POL - plant)]],'DATA ILN'!A:K,11,FALSE),VLOOKUP(Tableau119[[#This Row],[Key(Compte ILN - shipper - POL)]],'DATA ILN'!B:K,10,FALSE))</f>
        <v>#N/A</v>
      </c>
      <c r="U230" s="81" t="e">
        <f>IFERROR(VLOOKUP(Tableau119[[#This Row],[Key(Compte ILN - shipper - POL - plant)]],'DATA ILN'!A:L,12,FALSE),VLOOKUP(Tableau119[[#This Row],[Key(Compte ILN - shipper - POL)]],'DATA ILN'!B:L,11,FALSE))</f>
        <v>#N/A</v>
      </c>
      <c r="V230" s="81" t="e">
        <f>Tableau119[[#This Row],[Day ILN Order]]+Tableau119[[#This Row],[Delivery time to ILN/Shipper]]-1</f>
        <v>#N/A</v>
      </c>
      <c r="W230" s="81" t="e">
        <f>IFERROR(VLOOKUP(Tableau119[[#This Row],[Key(Compte ILN - shipper - POL - plant)]],'DATA ILN'!A:N,14,FALSE),VLOOKUP(Tableau119[[#This Row],[Key(Compte ILN - shipper - POL)]],'DATA ILN'!B:N,13,FALSE))</f>
        <v>#N/A</v>
      </c>
      <c r="X230" s="81" t="e">
        <f>IFERROR(VLOOKUP(Tableau119[[#This Row],[Key(Compte ILN - shipper - POL - plant)]],'DATA ILN'!A:P,16,FALSE),VLOOKUP(Tableau119[[#This Row],[Key(Compte ILN - shipper - POL)]],'DATA ILN'!B:P,15,FALSE))</f>
        <v>#N/A</v>
      </c>
      <c r="Y230" s="126" t="s">
        <v>143</v>
      </c>
      <c r="Z230" s="417">
        <f>IFERROR(VLOOKUP(Tableau119[[#This Row],[Name Shipper]],Plant_AILN!L:M,2,FALSE),0)</f>
        <v>92000100</v>
      </c>
      <c r="AA230" s="416">
        <v>74</v>
      </c>
      <c r="AB230" s="396" t="b">
        <f>_xlfn.XLOOKUP(Tableau119[[#This Row],[Key(ID-date)]],'DATA BTO'!S:S,'DATA BTO'!E:E,FALSE)</f>
        <v>0</v>
      </c>
      <c r="AC230" s="3" t="b">
        <f>_xlfn.XLOOKUP(Tableau119[[#This Row],[Key(ID-date)]],'DATA BTO'!S:S,'DATA BTO'!F:F,FALSE)</f>
        <v>0</v>
      </c>
      <c r="AD230" s="50" t="b">
        <f>_xlfn.XLOOKUP(Tableau119[[#This Row],[Key(ID-date)]],'DATA BTO'!S:S,'DATA BTO'!G:G,FALSE)</f>
        <v>0</v>
      </c>
      <c r="AE230" s="50" t="b">
        <f>_xlfn.XLOOKUP(Tableau119[[#This Row],[Key(ID-date)]],'DATA BTO'!S:S,'DATA BTO'!H:H,FALSE)</f>
        <v>0</v>
      </c>
      <c r="AF230" s="81" t="e">
        <f>IF(Tableau119[[#This Row],[First Day to POL]]&lt;=Tableau119[[#This Row],[Day Cut Off]],Tableau119[[#This Row],[Day ETD]],Tableau119[[#This Row],[Day ETD]]+7)</f>
        <v>#N/A</v>
      </c>
      <c r="AG230" s="50" t="b">
        <f>_xlfn.XLOOKUP(Tableau119[[#This Row],[Key(ID-date)]],'DATA BTO'!S:S,'DATA BTO'!I:I,FALSE)</f>
        <v>0</v>
      </c>
      <c r="AH230" s="3" t="b">
        <f>_xlfn.XLOOKUP(Tableau119[[#This Row],[Key(ID-date)]],'DATA BTO'!S:S,'DATA BTO'!J:J,FALSE)</f>
        <v>0</v>
      </c>
      <c r="AI230" s="3" t="b">
        <f>_xlfn.XLOOKUP(Tableau119[[#This Row],[Key(ID-date)]],'DATA BTO'!S:S,'DATA BTO'!K:K,FALSE)</f>
        <v>0</v>
      </c>
      <c r="AJ230" s="50" t="b">
        <f>_xlfn.XLOOKUP(Tableau119[[#This Row],[Key(ID-date)]],'DATA BTO'!S:S,'DATA BTO'!L:L,FALSE)</f>
        <v>0</v>
      </c>
      <c r="AK230" s="53" t="b">
        <f>_xlfn.XLOOKUP(Tableau119[[#This Row],[Key(ID-date)]],'DATA BTO'!S:S,'DATA BTO'!N:N,FALSE)</f>
        <v>0</v>
      </c>
      <c r="AL230" s="107" t="e">
        <f>VLOOKUP(Tableau119[[#This Row],[Key(POD -PFI- Usine)]],'DATA Consignee'!A:F,6,FALSE)</f>
        <v>#N/A</v>
      </c>
      <c r="AM230" s="138"/>
      <c r="AN230" s="375" t="str">
        <f>IF(Tableau119[[#This Row],[Name PFI/CDD]]="","-",VLOOKUP(Tableau119[[#This Row],[Name PFI/CDD]],Plant_AILN!I:J,2,FALSE))</f>
        <v>-</v>
      </c>
      <c r="AO23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0" s="110" t="e">
        <f>VLOOKUP(Tableau119[[#This Row],[Key(POD -PFI- Usine)]],'DATA Consignee'!A:J,10,FALSE)</f>
        <v>#N/A</v>
      </c>
      <c r="AR230" s="81" t="e">
        <f>VLOOKUP(Tableau119[[#This Row],[Key(POD -PFI- Usine)]],'DATA Consignee'!A:N,14,FALSE)</f>
        <v>#N/A</v>
      </c>
      <c r="AS23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0" s="81">
        <f>Tableau119[[#This Row],[Transit time]]+Tableau119[[#This Row],[Time for security]]+Tableau119[[#This Row],[Time for security2 buffer]]</f>
        <v>0</v>
      </c>
      <c r="AV230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0" s="81" t="e">
        <f>Tableau119[[#This Row],[Leadtime SI2C]]+Tableau119[[#This Row],[First Receipt Days]]-Tableau119[[#This Row],[Day Customer Order]]+1</f>
        <v>#N/A</v>
      </c>
      <c r="AX230" s="120" t="e">
        <f>IF(Tableau119[[#This Row],[Name ILN]]&lt;&gt;"SFK Freight Forwarder",Tableau119[[#This Row],[Cust. Leadtime]],Tableau119[[#This Row],[Leadtime SI2C]])</f>
        <v>#N/A</v>
      </c>
      <c r="AY230" s="51" t="b">
        <f>_xlfn.XLOOKUP(Tableau119[[#This Row],[Key(ID-date)]],'DATA BTO'!S:S,'DATA BTO'!P:P,FALSE)</f>
        <v>0</v>
      </c>
      <c r="AZ230" s="338">
        <v>45777</v>
      </c>
      <c r="BA230" s="50"/>
    </row>
    <row r="231" spans="2:53">
      <c r="B231" s="474" t="str">
        <f>_xlfn.CONCAT(Tableau119[[#This Row],[Name ILN]],"-",Tableau119[[#This Row],[Name Shipper]],"-",Tableau119[[#This Row],[Name Site]])</f>
        <v>ILN FR-ILN FR-SOFASA</v>
      </c>
      <c r="C231" s="67" t="str">
        <f>_xlfn.CONCAT(Tableau119[[#This Row],[Compte ILN]],"-",Tableau119[[#This Row],[Compte Shipper]],"-",Tableau119[[#This Row],[POL]],"-",Tableau119[[#This Row],[Compte Consignee]])</f>
        <v>92000100-92000100-FALSO-9510600</v>
      </c>
      <c r="D231" s="82" t="str">
        <f>_xlfn.CONCAT(Tableau119[[#This Row],[Compte ILN]],"-",Tableau119[[#This Row],[Compte Shipper]],"-",Tableau119[[#This Row],[POL]])</f>
        <v>92000100-92000100-FALSO</v>
      </c>
      <c r="E231" s="83" t="str">
        <f>_xlfn.CONCAT(Tableau119[[#This Row],[POL]],"-",Tableau119[[#This Row],[Carrier]],"-",Tableau119[[#This Row],[POD]])</f>
        <v>FALSO-FALSO-FALSO</v>
      </c>
      <c r="F231" s="82" t="str">
        <f>_xlfn.CONCAT(Tableau119[[#This Row],[ID]],"-","Actif")</f>
        <v>74-Actif</v>
      </c>
      <c r="G231" s="82" t="str">
        <f>_xlfn.CONCAT(Tableau119[[#This Row],[POD]],"-",Tableau119[[#This Row],[Code PFI]],"-",Tableau119[[#This Row],[Compte Consignee]])</f>
        <v>FALSO---9510600</v>
      </c>
      <c r="H231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FRFALSOSOFASA</v>
      </c>
      <c r="I231" s="502" t="str">
        <f>_xlfn.CONCAT(Tableau119[[#This Row],[ID]],"-",Tableau119[[#This Row],[Expiration Date]])</f>
        <v>74-45473</v>
      </c>
      <c r="J2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FR-ILN FR-74-FALSO-FALSO-FALSO--45473</v>
      </c>
      <c r="K231" s="120" t="str">
        <f ca="1">IF(COUNTIF(J:J,Tableau119[[#This Row],[Plant-ILN-shipper-POL-Carrier-POD-PFI]])=1,"Non","Oui")</f>
        <v>Non</v>
      </c>
      <c r="L231" s="103" t="str">
        <f>VLOOKUP(Tableau119[[#This Row],[Name Site]],Plant_AILN!A:D,4,FALSE)</f>
        <v>COLOMBIA</v>
      </c>
      <c r="M231" s="415" t="s">
        <v>177</v>
      </c>
      <c r="N231" s="439">
        <f>VLOOKUP(Tableau119[[#This Row],[Name Site]],Plant_AILN!A:C,3,FALSE)</f>
        <v>9510600</v>
      </c>
      <c r="O231" s="55">
        <f>VLOOKUP(Tableau119[[#This Row],[Compte Consignee]],Order!C:D,2,FALSE)</f>
        <v>7</v>
      </c>
      <c r="P231" s="126" t="s">
        <v>143</v>
      </c>
      <c r="Q231" s="366">
        <f>VLOOKUP(Tableau119[[#This Row],[Name ILN]],Plant_AILN!F:G,2,FALSE)</f>
        <v>92000100</v>
      </c>
      <c r="R231" s="50">
        <f>VLOOKUP(Tableau119[[#This Row],[Compte ILN]],'DATA ILN'!D:I,6,FALSE)</f>
        <v>9</v>
      </c>
      <c r="S231" s="81" t="e">
        <f>IFERROR(VLOOKUP(Tableau119[[#This Row],[Key(Compte ILN - shipper - POL - plant)]],'DATA ILN'!A:J,10,FALSE),VLOOKUP(Tableau119[[#This Row],[Key(Compte ILN - shipper - POL)]],'DATA ILN'!B:J,9,FALSE))</f>
        <v>#N/A</v>
      </c>
      <c r="T231" s="81" t="e">
        <f>IFERROR(VLOOKUP(Tableau119[[#This Row],[Key(Compte ILN - shipper - POL - plant)]],'DATA ILN'!A:K,11,FALSE),VLOOKUP(Tableau119[[#This Row],[Key(Compte ILN - shipper - POL)]],'DATA ILN'!B:K,10,FALSE))</f>
        <v>#N/A</v>
      </c>
      <c r="U231" s="81" t="e">
        <f>IFERROR(VLOOKUP(Tableau119[[#This Row],[Key(Compte ILN - shipper - POL - plant)]],'DATA ILN'!A:L,12,FALSE),VLOOKUP(Tableau119[[#This Row],[Key(Compte ILN - shipper - POL)]],'DATA ILN'!B:L,11,FALSE))</f>
        <v>#N/A</v>
      </c>
      <c r="V231" s="81" t="e">
        <f>Tableau119[[#This Row],[Day ILN Order]]+Tableau119[[#This Row],[Delivery time to ILN/Shipper]]-1</f>
        <v>#N/A</v>
      </c>
      <c r="W231" s="81" t="e">
        <f>IFERROR(VLOOKUP(Tableau119[[#This Row],[Key(Compte ILN - shipper - POL - plant)]],'DATA ILN'!A:N,14,FALSE),VLOOKUP(Tableau119[[#This Row],[Key(Compte ILN - shipper - POL)]],'DATA ILN'!B:N,13,FALSE))</f>
        <v>#N/A</v>
      </c>
      <c r="X231" s="81" t="e">
        <f>IFERROR(VLOOKUP(Tableau119[[#This Row],[Key(Compte ILN - shipper - POL - plant)]],'DATA ILN'!A:P,16,FALSE),VLOOKUP(Tableau119[[#This Row],[Key(Compte ILN - shipper - POL)]],'DATA ILN'!B:P,15,FALSE))</f>
        <v>#N/A</v>
      </c>
      <c r="Y231" s="102" t="s">
        <v>143</v>
      </c>
      <c r="Z231" s="442">
        <f>IFERROR(VLOOKUP(Tableau119[[#This Row],[Name Shipper]],Plant_AILN!L:M,2,FALSE),0)</f>
        <v>92000100</v>
      </c>
      <c r="AA231" s="406">
        <v>74</v>
      </c>
      <c r="AB231" s="396" t="b">
        <f>_xlfn.XLOOKUP(Tableau119[[#This Row],[Key(ID-date)]],'DATA BTO'!S:S,'DATA BTO'!E:E,FALSE)</f>
        <v>0</v>
      </c>
      <c r="AC231" s="3" t="b">
        <f>_xlfn.XLOOKUP(Tableau119[[#This Row],[Key(ID-date)]],'DATA BTO'!S:S,'DATA BTO'!F:F,FALSE)</f>
        <v>0</v>
      </c>
      <c r="AD231" s="50" t="b">
        <f>_xlfn.XLOOKUP(Tableau119[[#This Row],[Key(ID-date)]],'DATA BTO'!S:S,'DATA BTO'!G:G,FALSE)</f>
        <v>0</v>
      </c>
      <c r="AE231" s="50" t="b">
        <f>_xlfn.XLOOKUP(Tableau119[[#This Row],[Key(ID-date)]],'DATA BTO'!S:S,'DATA BTO'!H:H,FALSE)</f>
        <v>0</v>
      </c>
      <c r="AF231" s="81" t="e">
        <f>IF(Tableau119[[#This Row],[First Day to POL]]&lt;=Tableau119[[#This Row],[Day Cut Off]],Tableau119[[#This Row],[Day ETD]],Tableau119[[#This Row],[Day ETD]]+7)</f>
        <v>#N/A</v>
      </c>
      <c r="AG231" s="50" t="b">
        <f>_xlfn.XLOOKUP(Tableau119[[#This Row],[Key(ID-date)]],'DATA BTO'!S:S,'DATA BTO'!I:I,FALSE)</f>
        <v>0</v>
      </c>
      <c r="AH231" s="3" t="b">
        <f>_xlfn.XLOOKUP(Tableau119[[#This Row],[Key(ID-date)]],'DATA BTO'!S:S,'DATA BTO'!J:J,FALSE)</f>
        <v>0</v>
      </c>
      <c r="AI231" s="3" t="b">
        <f>_xlfn.XLOOKUP(Tableau119[[#This Row],[Key(ID-date)]],'DATA BTO'!S:S,'DATA BTO'!K:K,FALSE)</f>
        <v>0</v>
      </c>
      <c r="AJ231" s="50" t="b">
        <f>_xlfn.XLOOKUP(Tableau119[[#This Row],[Key(ID-date)]],'DATA BTO'!S:S,'DATA BTO'!L:L,FALSE)</f>
        <v>0</v>
      </c>
      <c r="AK231" s="53" t="b">
        <f>_xlfn.XLOOKUP(Tableau119[[#This Row],[Key(ID-date)]],'DATA BTO'!S:S,'DATA BTO'!N:N,FALSE)</f>
        <v>0</v>
      </c>
      <c r="AL231" s="107" t="e">
        <f>VLOOKUP(Tableau119[[#This Row],[Key(POD -PFI- Usine)]],'DATA Consignee'!A:F,6,FALSE)</f>
        <v>#N/A</v>
      </c>
      <c r="AM231" s="138"/>
      <c r="AN231" s="375" t="str">
        <f>IF(Tableau119[[#This Row],[Name PFI/CDD]]="","-",VLOOKUP(Tableau119[[#This Row],[Name PFI/CDD]],Plant_AILN!I:J,2,FALSE))</f>
        <v>-</v>
      </c>
      <c r="AO23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1" s="110" t="e">
        <f>VLOOKUP(Tableau119[[#This Row],[Key(POD -PFI- Usine)]],'DATA Consignee'!A:J,10,FALSE)</f>
        <v>#N/A</v>
      </c>
      <c r="AR231" s="81" t="e">
        <f>VLOOKUP(Tableau119[[#This Row],[Key(POD -PFI- Usine)]],'DATA Consignee'!A:N,14,FALSE)</f>
        <v>#N/A</v>
      </c>
      <c r="AS23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1" s="81">
        <f>Tableau119[[#This Row],[Transit time]]+Tableau119[[#This Row],[Time for security]]+Tableau119[[#This Row],[Time for security2 buffer]]</f>
        <v>0</v>
      </c>
      <c r="AV231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1" s="81" t="e">
        <f>Tableau119[[#This Row],[Leadtime SI2C]]+Tableau119[[#This Row],[First Receipt Days]]-Tableau119[[#This Row],[Day Customer Order]]+1</f>
        <v>#N/A</v>
      </c>
      <c r="AX231" s="120" t="e">
        <f>IF(Tableau119[[#This Row],[Name ILN]]&lt;&gt;"SFK Freight Forwarder",Tableau119[[#This Row],[Cust. Leadtime]],Tableau119[[#This Row],[Leadtime SI2C]])</f>
        <v>#N/A</v>
      </c>
      <c r="AY231" s="51" t="b">
        <f>_xlfn.XLOOKUP(Tableau119[[#This Row],[Key(ID-date)]],'DATA BTO'!S:S,'DATA BTO'!P:P,FALSE)</f>
        <v>0</v>
      </c>
      <c r="AZ231" s="338">
        <v>45473</v>
      </c>
      <c r="BA231" s="50"/>
    </row>
    <row r="232" spans="2:53">
      <c r="B232" s="474" t="str">
        <f>_xlfn.CONCAT(Tableau119[[#This Row],[Name ILN]],"-",Tableau119[[#This Row],[Name Shipper]],"-",Tableau119[[#This Row],[Name Site]])</f>
        <v>ILN FR-ILN FR-SOFASA</v>
      </c>
      <c r="C232" s="82" t="str">
        <f>_xlfn.CONCAT(Tableau119[[#This Row],[Compte ILN]],"-",Tableau119[[#This Row],[Compte Shipper]],"-",Tableau119[[#This Row],[POL]],"-",Tableau119[[#This Row],[Compte Consignee]])</f>
        <v>92000100-92000100-FALSO-9510600</v>
      </c>
      <c r="D232" s="82" t="str">
        <f>_xlfn.CONCAT(Tableau119[[#This Row],[Compte ILN]],"-",Tableau119[[#This Row],[Compte Shipper]],"-",Tableau119[[#This Row],[POL]])</f>
        <v>92000100-92000100-FALSO</v>
      </c>
      <c r="E232" s="83" t="str">
        <f>_xlfn.CONCAT(Tableau119[[#This Row],[POL]],"-",Tableau119[[#This Row],[Carrier]],"-",Tableau119[[#This Row],[POD]])</f>
        <v>FALSO-FALSO-FALSO</v>
      </c>
      <c r="F232" s="82" t="str">
        <f>_xlfn.CONCAT(Tableau119[[#This Row],[ID]],"-","Actif")</f>
        <v>74-Actif</v>
      </c>
      <c r="G232" s="82" t="str">
        <f>_xlfn.CONCAT(Tableau119[[#This Row],[POD]],"-",Tableau119[[#This Row],[Code PFI]],"-",Tableau119[[#This Row],[Compte Consignee]])</f>
        <v>FALSO---9510600</v>
      </c>
      <c r="H232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FRFALSOSOFASA</v>
      </c>
      <c r="I232" s="502" t="str">
        <f>_xlfn.CONCAT(Tableau119[[#This Row],[ID]],"-",Tableau119[[#This Row],[Expiration Date]])</f>
        <v>74-45412</v>
      </c>
      <c r="J2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FR-ILN FR-74-FALSO-FALSO-FALSO--45412</v>
      </c>
      <c r="K232" s="120" t="str">
        <f ca="1">IF(COUNTIF(J:J,Tableau119[[#This Row],[Plant-ILN-shipper-POL-Carrier-POD-PFI]])=1,"Non","Oui")</f>
        <v>Non</v>
      </c>
      <c r="L232" s="103" t="str">
        <f>VLOOKUP(Tableau119[[#This Row],[Name Site]],Plant_AILN!A:D,4,FALSE)</f>
        <v>COLOMBIA</v>
      </c>
      <c r="M232" s="415" t="s">
        <v>177</v>
      </c>
      <c r="N232" s="439">
        <f>VLOOKUP(Tableau119[[#This Row],[Name Site]],Plant_AILN!A:C,3,FALSE)</f>
        <v>9510600</v>
      </c>
      <c r="O232" s="55">
        <f>VLOOKUP(Tableau119[[#This Row],[Compte Consignee]],Order!C:D,2,FALSE)</f>
        <v>7</v>
      </c>
      <c r="P232" s="126" t="s">
        <v>143</v>
      </c>
      <c r="Q232" s="366">
        <f>VLOOKUP(Tableau119[[#This Row],[Name ILN]],Plant_AILN!F:G,2,FALSE)</f>
        <v>92000100</v>
      </c>
      <c r="R232" s="50">
        <f>VLOOKUP(Tableau119[[#This Row],[Compte ILN]],'DATA ILN'!D:I,6,FALSE)</f>
        <v>9</v>
      </c>
      <c r="S232" s="81" t="e">
        <f>IFERROR(VLOOKUP(Tableau119[[#This Row],[Key(Compte ILN - shipper - POL - plant)]],'DATA ILN'!A:J,10,FALSE),VLOOKUP(Tableau119[[#This Row],[Key(Compte ILN - shipper - POL)]],'DATA ILN'!B:J,9,FALSE))</f>
        <v>#N/A</v>
      </c>
      <c r="T232" s="81" t="e">
        <f>IFERROR(VLOOKUP(Tableau119[[#This Row],[Key(Compte ILN - shipper - POL - plant)]],'DATA ILN'!A:K,11,FALSE),VLOOKUP(Tableau119[[#This Row],[Key(Compte ILN - shipper - POL)]],'DATA ILN'!B:K,10,FALSE))</f>
        <v>#N/A</v>
      </c>
      <c r="U232" s="81" t="e">
        <f>IFERROR(VLOOKUP(Tableau119[[#This Row],[Key(Compte ILN - shipper - POL - plant)]],'DATA ILN'!A:L,12,FALSE),VLOOKUP(Tableau119[[#This Row],[Key(Compte ILN - shipper - POL)]],'DATA ILN'!B:L,11,FALSE))</f>
        <v>#N/A</v>
      </c>
      <c r="V232" s="81" t="e">
        <f>Tableau119[[#This Row],[Day ILN Order]]+Tableau119[[#This Row],[Delivery time to ILN/Shipper]]-1</f>
        <v>#N/A</v>
      </c>
      <c r="W232" s="81" t="e">
        <f>IFERROR(VLOOKUP(Tableau119[[#This Row],[Key(Compte ILN - shipper - POL - plant)]],'DATA ILN'!A:N,14,FALSE),VLOOKUP(Tableau119[[#This Row],[Key(Compte ILN - shipper - POL)]],'DATA ILN'!B:N,13,FALSE))</f>
        <v>#N/A</v>
      </c>
      <c r="X232" s="81" t="e">
        <f>IFERROR(VLOOKUP(Tableau119[[#This Row],[Key(Compte ILN - shipper - POL - plant)]],'DATA ILN'!A:P,16,FALSE),VLOOKUP(Tableau119[[#This Row],[Key(Compte ILN - shipper - POL)]],'DATA ILN'!B:P,15,FALSE))</f>
        <v>#N/A</v>
      </c>
      <c r="Y232" s="102" t="s">
        <v>143</v>
      </c>
      <c r="Z232" s="417">
        <f>IFERROR(VLOOKUP(Tableau119[[#This Row],[Name Shipper]],Plant_AILN!L:M,2,FALSE),0)</f>
        <v>92000100</v>
      </c>
      <c r="AA232" s="416">
        <v>74</v>
      </c>
      <c r="AB232" s="396" t="b">
        <f>_xlfn.XLOOKUP(Tableau119[[#This Row],[Key(ID-date)]],'DATA BTO'!S:S,'DATA BTO'!E:E,FALSE)</f>
        <v>0</v>
      </c>
      <c r="AC232" s="3" t="b">
        <f>_xlfn.XLOOKUP(Tableau119[[#This Row],[Key(ID-date)]],'DATA BTO'!S:S,'DATA BTO'!F:F,FALSE)</f>
        <v>0</v>
      </c>
      <c r="AD232" s="50" t="b">
        <f>_xlfn.XLOOKUP(Tableau119[[#This Row],[Key(ID-date)]],'DATA BTO'!S:S,'DATA BTO'!G:G,FALSE)</f>
        <v>0</v>
      </c>
      <c r="AE232" s="50" t="b">
        <f>_xlfn.XLOOKUP(Tableau119[[#This Row],[Key(ID-date)]],'DATA BTO'!S:S,'DATA BTO'!H:H,FALSE)</f>
        <v>0</v>
      </c>
      <c r="AF232" s="81" t="e">
        <f>IF(Tableau119[[#This Row],[First Day to POL]]&lt;=Tableau119[[#This Row],[Day Cut Off]],Tableau119[[#This Row],[Day ETD]],Tableau119[[#This Row],[Day ETD]]+7)</f>
        <v>#N/A</v>
      </c>
      <c r="AG232" s="50" t="b">
        <f>_xlfn.XLOOKUP(Tableau119[[#This Row],[Key(ID-date)]],'DATA BTO'!S:S,'DATA BTO'!I:I,FALSE)</f>
        <v>0</v>
      </c>
      <c r="AH232" s="3" t="b">
        <f>_xlfn.XLOOKUP(Tableau119[[#This Row],[Key(ID-date)]],'DATA BTO'!S:S,'DATA BTO'!J:J,FALSE)</f>
        <v>0</v>
      </c>
      <c r="AI232" s="3" t="b">
        <f>_xlfn.XLOOKUP(Tableau119[[#This Row],[Key(ID-date)]],'DATA BTO'!S:S,'DATA BTO'!K:K,FALSE)</f>
        <v>0</v>
      </c>
      <c r="AJ232" s="50" t="b">
        <f>_xlfn.XLOOKUP(Tableau119[[#This Row],[Key(ID-date)]],'DATA BTO'!S:S,'DATA BTO'!L:L,FALSE)</f>
        <v>0</v>
      </c>
      <c r="AK232" s="53" t="b">
        <f>_xlfn.XLOOKUP(Tableau119[[#This Row],[Key(ID-date)]],'DATA BTO'!S:S,'DATA BTO'!N:N,FALSE)</f>
        <v>0</v>
      </c>
      <c r="AL232" s="107" t="e">
        <f>VLOOKUP(Tableau119[[#This Row],[Key(POD -PFI- Usine)]],'DATA Consignee'!A:F,6,FALSE)</f>
        <v>#N/A</v>
      </c>
      <c r="AM232" s="138"/>
      <c r="AN232" s="375" t="str">
        <f>IF(Tableau119[[#This Row],[Name PFI/CDD]]="","-",VLOOKUP(Tableau119[[#This Row],[Name PFI/CDD]],Plant_AILN!I:J,2,FALSE))</f>
        <v>-</v>
      </c>
      <c r="AO23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2" s="110" t="e">
        <f>VLOOKUP(Tableau119[[#This Row],[Key(POD -PFI- Usine)]],'DATA Consignee'!A:J,10,FALSE)</f>
        <v>#N/A</v>
      </c>
      <c r="AR232" s="81" t="e">
        <f>VLOOKUP(Tableau119[[#This Row],[Key(POD -PFI- Usine)]],'DATA Consignee'!A:N,14,FALSE)</f>
        <v>#N/A</v>
      </c>
      <c r="AS23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2" s="81">
        <f>Tableau119[[#This Row],[Transit time]]+Tableau119[[#This Row],[Time for security]]+Tableau119[[#This Row],[Time for security2 buffer]]</f>
        <v>0</v>
      </c>
      <c r="AV232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2" s="81" t="e">
        <f>Tableau119[[#This Row],[Leadtime SI2C]]+Tableau119[[#This Row],[First Receipt Days]]-Tableau119[[#This Row],[Day Customer Order]]+1</f>
        <v>#N/A</v>
      </c>
      <c r="AX232" s="120" t="e">
        <f>IF(Tableau119[[#This Row],[Name ILN]]&lt;&gt;"SFK Freight Forwarder",Tableau119[[#This Row],[Cust. Leadtime]],Tableau119[[#This Row],[Leadtime SI2C]])</f>
        <v>#N/A</v>
      </c>
      <c r="AY232" s="51" t="b">
        <f>_xlfn.XLOOKUP(Tableau119[[#This Row],[Key(ID-date)]],'DATA BTO'!S:S,'DATA BTO'!P:P,FALSE)</f>
        <v>0</v>
      </c>
      <c r="AZ232" s="338">
        <v>45412</v>
      </c>
      <c r="BA232" s="50"/>
    </row>
    <row r="233" spans="2:53">
      <c r="B233" s="82" t="str">
        <f>_xlfn.CONCAT(Tableau119[[#This Row],[Name ILN]],"-",Tableau119[[#This Row],[Name Shipper]],"-",Tableau119[[#This Row],[Name Site]])</f>
        <v>ILN FR-ILN FR-DFMIEC</v>
      </c>
      <c r="C233" s="82" t="str">
        <f>_xlfn.CONCAT(Tableau119[[#This Row],[Compte ILN]],"-",Tableau119[[#This Row],[Compte Shipper]],"-",Tableau119[[#This Row],[POL]],"-",Tableau119[[#This Row],[Compte Consignee]])</f>
        <v>92000100-92000100-FALSO-0</v>
      </c>
      <c r="D233" s="82" t="str">
        <f>_xlfn.CONCAT(Tableau119[[#This Row],[Compte ILN]],"-",Tableau119[[#This Row],[Compte Shipper]],"-",Tableau119[[#This Row],[POL]])</f>
        <v>92000100-92000100-FALSO</v>
      </c>
      <c r="E233" s="83" t="str">
        <f>_xlfn.CONCAT(Tableau119[[#This Row],[POL]],"-",Tableau119[[#This Row],[Carrier]],"-",Tableau119[[#This Row],[POD]])</f>
        <v>FALSO-FALSO-FALSO</v>
      </c>
      <c r="F233" s="82" t="str">
        <f>_xlfn.CONCAT(Tableau119[[#This Row],[ID]],"-","Actif")</f>
        <v>76-Actif</v>
      </c>
      <c r="G233" s="82" t="str">
        <f>_xlfn.CONCAT(Tableau119[[#This Row],[POD]],"-",Tableau119[[#This Row],[Code PFI]],"-",Tableau119[[#This Row],[Compte Consignee]])</f>
        <v>FALSO---0</v>
      </c>
      <c r="H23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FRFALSODFMIEC</v>
      </c>
      <c r="I233" s="502" t="str">
        <f>_xlfn.CONCAT(Tableau119[[#This Row],[ID]],"-",Tableau119[[#This Row],[Expiration Date]])</f>
        <v>76-46142</v>
      </c>
      <c r="J2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FR-ILN FR-76-FALSO-FALSO-FALSO--46142</v>
      </c>
      <c r="K233" s="120" t="str">
        <f ca="1">IF(COUNTIF(J:J,Tableau119[[#This Row],[Plant-ILN-shipper-POL-Carrier-POD-PFI]])=1,"Non","Oui")</f>
        <v>Non</v>
      </c>
      <c r="L233" s="445" t="str">
        <f>VLOOKUP(Tableau119[[#This Row],[Name Site]],Plant_AILN!A:D,4,FALSE)</f>
        <v>CHINA</v>
      </c>
      <c r="M233" s="485" t="s">
        <v>216</v>
      </c>
      <c r="N233" s="439">
        <f>VLOOKUP(Tableau119[[#This Row],[Name Site]],Plant_AILN!A:C,3,FALSE)</f>
        <v>0</v>
      </c>
      <c r="O233" s="55">
        <f>IF(Tableau119[[#This Row],[Name PFI/CDD]]="PFI VLL",2,VLOOKUP(Tableau119[[#This Row],[Compte Consignee]],Order!C:D,2,FALSE))</f>
        <v>7</v>
      </c>
      <c r="P233" s="126" t="s">
        <v>143</v>
      </c>
      <c r="Q233" s="366">
        <f>VLOOKUP(Tableau119[[#This Row],[Name ILN]],Plant_AILN!F:G,2,FALSE)</f>
        <v>92000100</v>
      </c>
      <c r="R233" s="50">
        <f>VLOOKUP(Tableau119[[#This Row],[Compte ILN]],'DATA ILN'!D:I,6,FALSE)</f>
        <v>9</v>
      </c>
      <c r="S233" s="81" t="e">
        <f>IFERROR(VLOOKUP(Tableau119[[#This Row],[Key(Compte ILN - shipper - POL - plant)]],'DATA ILN'!A:J,10,FALSE),VLOOKUP(Tableau119[[#This Row],[Key(Compte ILN - shipper - POL)]],'DATA ILN'!B:J,9,FALSE))</f>
        <v>#N/A</v>
      </c>
      <c r="T233" s="81" t="e">
        <f>IFERROR(VLOOKUP(Tableau119[[#This Row],[Key(Compte ILN - shipper - POL - plant)]],'DATA ILN'!A:K,11,FALSE),VLOOKUP(Tableau119[[#This Row],[Key(Compte ILN - shipper - POL)]],'DATA ILN'!B:K,10,FALSE))</f>
        <v>#N/A</v>
      </c>
      <c r="U233" s="81" t="e">
        <f>IFERROR(VLOOKUP(Tableau119[[#This Row],[Key(Compte ILN - shipper - POL - plant)]],'DATA ILN'!A:L,12,FALSE),VLOOKUP(Tableau119[[#This Row],[Key(Compte ILN - shipper - POL)]],'DATA ILN'!B:L,11,FALSE))</f>
        <v>#N/A</v>
      </c>
      <c r="V233" s="81" t="e">
        <f>Tableau119[[#This Row],[Day ILN Order]]+Tableau119[[#This Row],[Delivery time to ILN/Shipper]]-1</f>
        <v>#N/A</v>
      </c>
      <c r="W233" s="81" t="e">
        <f>IFERROR(VLOOKUP(Tableau119[[#This Row],[Key(Compte ILN - shipper - POL - plant)]],'DATA ILN'!A:N,14,FALSE),VLOOKUP(Tableau119[[#This Row],[Key(Compte ILN - shipper - POL)]],'DATA ILN'!B:N,13,FALSE))</f>
        <v>#N/A</v>
      </c>
      <c r="X233" s="81" t="e">
        <f>IFERROR(VLOOKUP(Tableau119[[#This Row],[Key(Compte ILN - shipper - POL - plant)]],'DATA ILN'!A:P,16,FALSE),VLOOKUP(Tableau119[[#This Row],[Key(Compte ILN - shipper - POL)]],'DATA ILN'!B:P,15,FALSE))</f>
        <v>#N/A</v>
      </c>
      <c r="Y233" s="102" t="s">
        <v>143</v>
      </c>
      <c r="Z233" s="417">
        <f>IFERROR(VLOOKUP(Tableau119[[#This Row],[Name Shipper]],Plant_AILN!L:M,2,FALSE),0)</f>
        <v>92000100</v>
      </c>
      <c r="AA233" s="488">
        <v>76</v>
      </c>
      <c r="AB233" s="396" t="b">
        <f>_xlfn.XLOOKUP(Tableau119[[#This Row],[Key(ID-date)]],'DATA BTO'!S:S,'DATA BTO'!E:E,FALSE)</f>
        <v>0</v>
      </c>
      <c r="AC233" s="3" t="b">
        <f>_xlfn.XLOOKUP(Tableau119[[#This Row],[Key(ID-date)]],'DATA BTO'!S:S,'DATA BTO'!F:F,FALSE)</f>
        <v>0</v>
      </c>
      <c r="AD233" s="50" t="b">
        <f>_xlfn.XLOOKUP(Tableau119[[#This Row],[Key(ID-date)]],'DATA BTO'!S:S,'DATA BTO'!G:G,FALSE)</f>
        <v>0</v>
      </c>
      <c r="AE233" s="50" t="b">
        <f>_xlfn.XLOOKUP(Tableau119[[#This Row],[Key(ID-date)]],'DATA BTO'!S:S,'DATA BTO'!H:H,FALSE)</f>
        <v>0</v>
      </c>
      <c r="AF233" s="81" t="e">
        <f>IF(Tableau119[[#This Row],[First Day to POL]]&lt;=Tableau119[[#This Row],[Day Cut Off]],Tableau119[[#This Row],[Day ETD]],Tableau119[[#This Row],[Day ETD]]+7)</f>
        <v>#N/A</v>
      </c>
      <c r="AG233" s="50" t="b">
        <f>_xlfn.XLOOKUP(Tableau119[[#This Row],[Key(ID-date)]],'DATA BTO'!S:S,'DATA BTO'!I:I,FALSE)</f>
        <v>0</v>
      </c>
      <c r="AH233" s="3" t="b">
        <f>_xlfn.XLOOKUP(Tableau119[[#This Row],[Key(ID-date)]],'DATA BTO'!S:S,'DATA BTO'!J:J,FALSE)</f>
        <v>0</v>
      </c>
      <c r="AI233" s="3" t="b">
        <f>_xlfn.XLOOKUP(Tableau119[[#This Row],[Key(ID-date)]],'DATA BTO'!S:S,'DATA BTO'!K:K,FALSE)</f>
        <v>0</v>
      </c>
      <c r="AJ233" s="50" t="b">
        <f>_xlfn.XLOOKUP(Tableau119[[#This Row],[Key(ID-date)]],'DATA BTO'!S:S,'DATA BTO'!L:L,FALSE)</f>
        <v>0</v>
      </c>
      <c r="AK233" s="53" t="b">
        <f>_xlfn.XLOOKUP(Tableau119[[#This Row],[Key(ID-date)]],'DATA BTO'!S:S,'DATA BTO'!N:N,FALSE)</f>
        <v>0</v>
      </c>
      <c r="AL233" s="107" t="e">
        <f>VLOOKUP(Tableau119[[#This Row],[Key(POD -PFI- Usine)]],'DATA Consignee'!A:F,6,FALSE)</f>
        <v>#N/A</v>
      </c>
      <c r="AM233" s="102"/>
      <c r="AN233" s="375" t="str">
        <f>IF(Tableau119[[#This Row],[Name PFI/CDD]]="","-",VLOOKUP(Tableau119[[#This Row],[Name PFI/CDD]],Plant_AILN!I:J,2,FALSE))</f>
        <v>-</v>
      </c>
      <c r="AO23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3" s="110" t="e">
        <f>VLOOKUP(Tableau119[[#This Row],[Key(POD -PFI- Usine)]],'DATA Consignee'!A:J,10,FALSE)</f>
        <v>#N/A</v>
      </c>
      <c r="AR233" s="81" t="e">
        <f>VLOOKUP(Tableau119[[#This Row],[Key(POD -PFI- Usine)]],'DATA Consignee'!A:N,14,FALSE)</f>
        <v>#N/A</v>
      </c>
      <c r="AS23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3" s="81">
        <f>Tableau119[[#This Row],[Transit time]]+Tableau119[[#This Row],[Time for security]]+Tableau119[[#This Row],[Time for security2 buffer]]</f>
        <v>0</v>
      </c>
      <c r="AV23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3" s="81" t="e">
        <f>Tableau119[[#This Row],[Leadtime SI2C]]+Tableau119[[#This Row],[First Receipt Days]]-Tableau119[[#This Row],[Day Customer Order]]+1</f>
        <v>#N/A</v>
      </c>
      <c r="AX233" s="120" t="e">
        <f>IF(Tableau119[[#This Row],[Name ILN]]&lt;&gt;"SFK Freight Forwarder",Tableau119[[#This Row],[Cust. Leadtime]],Tableau119[[#This Row],[Leadtime SI2C]])</f>
        <v>#N/A</v>
      </c>
      <c r="AY233" s="51" t="b">
        <f>_xlfn.XLOOKUP(Tableau119[[#This Row],[Key(ID-date)]],'DATA BTO'!S:S,'DATA BTO'!P:P,FALSE)</f>
        <v>0</v>
      </c>
      <c r="AZ233" s="388">
        <v>46142</v>
      </c>
      <c r="BA233" s="50"/>
    </row>
    <row r="234" spans="2:53">
      <c r="B234" s="418" t="str">
        <f>_xlfn.CONCAT(Tableau119[[#This Row],[Name ILN]],"-",Tableau119[[#This Row],[Name Shipper]],"-",Tableau119[[#This Row],[Name Site]])</f>
        <v>ILN FR-ILN FR-DFMIEC</v>
      </c>
      <c r="C234" s="82" t="str">
        <f>_xlfn.CONCAT(Tableau119[[#This Row],[Compte ILN]],"-",Tableau119[[#This Row],[Compte Shipper]],"-",Tableau119[[#This Row],[POL]],"-",Tableau119[[#This Row],[Compte Consignee]])</f>
        <v>92000100-92000100-FALSO-0</v>
      </c>
      <c r="D234" s="82" t="str">
        <f>_xlfn.CONCAT(Tableau119[[#This Row],[Compte ILN]],"-",Tableau119[[#This Row],[Compte Shipper]],"-",Tableau119[[#This Row],[POL]])</f>
        <v>92000100-92000100-FALSO</v>
      </c>
      <c r="E234" s="83" t="str">
        <f>_xlfn.CONCAT(Tableau119[[#This Row],[POL]],"-",Tableau119[[#This Row],[Carrier]],"-",Tableau119[[#This Row],[POD]])</f>
        <v>FALSO-FALSO-FALSO</v>
      </c>
      <c r="F234" s="82" t="str">
        <f>_xlfn.CONCAT(Tableau119[[#This Row],[ID]],"-","Actif")</f>
        <v>76-Actif</v>
      </c>
      <c r="G234" s="82" t="str">
        <f>_xlfn.CONCAT(Tableau119[[#This Row],[POD]],"-",Tableau119[[#This Row],[Code PFI]],"-",Tableau119[[#This Row],[Compte Consignee]])</f>
        <v>FALSO---0</v>
      </c>
      <c r="H234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FRFALSODFMIEC</v>
      </c>
      <c r="I234" s="502" t="str">
        <f>_xlfn.CONCAT(Tableau119[[#This Row],[ID]],"-",Tableau119[[#This Row],[Expiration Date]])</f>
        <v>76-45777</v>
      </c>
      <c r="J2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FR-ILN FR-76-FALSO-FALSO-FALSO--45777</v>
      </c>
      <c r="K234" s="120" t="str">
        <f ca="1">IF(COUNTIF(J:J,Tableau119[[#This Row],[Plant-ILN-shipper-POL-Carrier-POD-PFI]])=1,"Non","Oui")</f>
        <v>Non</v>
      </c>
      <c r="L234" s="103" t="str">
        <f>VLOOKUP(Tableau119[[#This Row],[Name Site]],Plant_AILN!A:D,4,FALSE)</f>
        <v>CHINA</v>
      </c>
      <c r="M234" s="415" t="s">
        <v>216</v>
      </c>
      <c r="N234" s="439">
        <f>VLOOKUP(Tableau119[[#This Row],[Name Site]],Plant_AILN!A:C,3,FALSE)</f>
        <v>0</v>
      </c>
      <c r="O234" s="55">
        <f>VLOOKUP(Tableau119[[#This Row],[Compte Consignee]],Order!C:D,2,FALSE)</f>
        <v>7</v>
      </c>
      <c r="P234" s="116" t="s">
        <v>143</v>
      </c>
      <c r="Q234" s="366">
        <f>VLOOKUP(Tableau119[[#This Row],[Name ILN]],Plant_AILN!F:G,2,FALSE)</f>
        <v>92000100</v>
      </c>
      <c r="R234" s="50">
        <f>VLOOKUP(Tableau119[[#This Row],[Compte ILN]],'DATA ILN'!D:I,6,FALSE)</f>
        <v>9</v>
      </c>
      <c r="S234" s="81" t="e">
        <f>IFERROR(VLOOKUP(Tableau119[[#This Row],[Key(Compte ILN - shipper - POL - plant)]],'DATA ILN'!A:J,10,FALSE),VLOOKUP(Tableau119[[#This Row],[Key(Compte ILN - shipper - POL)]],'DATA ILN'!B:J,9,FALSE))</f>
        <v>#N/A</v>
      </c>
      <c r="T234" s="81" t="e">
        <f>IFERROR(VLOOKUP(Tableau119[[#This Row],[Key(Compte ILN - shipper - POL - plant)]],'DATA ILN'!A:K,11,FALSE),VLOOKUP(Tableau119[[#This Row],[Key(Compte ILN - shipper - POL)]],'DATA ILN'!B:K,10,FALSE))</f>
        <v>#N/A</v>
      </c>
      <c r="U234" s="81" t="e">
        <f>IFERROR(VLOOKUP(Tableau119[[#This Row],[Key(Compte ILN - shipper - POL - plant)]],'DATA ILN'!A:L,12,FALSE),VLOOKUP(Tableau119[[#This Row],[Key(Compte ILN - shipper - POL)]],'DATA ILN'!B:L,11,FALSE))</f>
        <v>#N/A</v>
      </c>
      <c r="V234" s="81" t="e">
        <f>Tableau119[[#This Row],[Day ILN Order]]+Tableau119[[#This Row],[Delivery time to ILN/Shipper]]-1</f>
        <v>#N/A</v>
      </c>
      <c r="W234" s="81" t="e">
        <f>IFERROR(VLOOKUP(Tableau119[[#This Row],[Key(Compte ILN - shipper - POL - plant)]],'DATA ILN'!A:N,14,FALSE),VLOOKUP(Tableau119[[#This Row],[Key(Compte ILN - shipper - POL)]],'DATA ILN'!B:N,13,FALSE))</f>
        <v>#N/A</v>
      </c>
      <c r="X234" s="81" t="e">
        <f>IFERROR(VLOOKUP(Tableau119[[#This Row],[Key(Compte ILN - shipper - POL - plant)]],'DATA ILN'!A:P,16,FALSE),VLOOKUP(Tableau119[[#This Row],[Key(Compte ILN - shipper - POL)]],'DATA ILN'!B:P,15,FALSE))</f>
        <v>#N/A</v>
      </c>
      <c r="Y234" s="284" t="s">
        <v>143</v>
      </c>
      <c r="Z234" s="417">
        <f>IFERROR(VLOOKUP(Tableau119[[#This Row],[Name Shipper]],Plant_AILN!L:M,2,FALSE),0)</f>
        <v>92000100</v>
      </c>
      <c r="AA234" s="416">
        <v>76</v>
      </c>
      <c r="AB234" s="396" t="b">
        <f>_xlfn.XLOOKUP(Tableau119[[#This Row],[Key(ID-date)]],'DATA BTO'!S:S,'DATA BTO'!E:E,FALSE)</f>
        <v>0</v>
      </c>
      <c r="AC234" s="3" t="b">
        <f>_xlfn.XLOOKUP(Tableau119[[#This Row],[Key(ID-date)]],'DATA BTO'!S:S,'DATA BTO'!F:F,FALSE)</f>
        <v>0</v>
      </c>
      <c r="AD234" s="50" t="b">
        <f>_xlfn.XLOOKUP(Tableau119[[#This Row],[Key(ID-date)]],'DATA BTO'!S:S,'DATA BTO'!G:G,FALSE)</f>
        <v>0</v>
      </c>
      <c r="AE234" s="50" t="b">
        <f>_xlfn.XLOOKUP(Tableau119[[#This Row],[Key(ID-date)]],'DATA BTO'!S:S,'DATA BTO'!H:H,FALSE)</f>
        <v>0</v>
      </c>
      <c r="AF234" s="81" t="e">
        <f>IF(Tableau119[[#This Row],[First Day to POL]]&lt;=Tableau119[[#This Row],[Day Cut Off]],Tableau119[[#This Row],[Day ETD]],Tableau119[[#This Row],[Day ETD]]+7)</f>
        <v>#N/A</v>
      </c>
      <c r="AG234" s="50" t="b">
        <f>_xlfn.XLOOKUP(Tableau119[[#This Row],[Key(ID-date)]],'DATA BTO'!S:S,'DATA BTO'!I:I,FALSE)</f>
        <v>0</v>
      </c>
      <c r="AH234" s="3" t="b">
        <f>_xlfn.XLOOKUP(Tableau119[[#This Row],[Key(ID-date)]],'DATA BTO'!S:S,'DATA BTO'!J:J,FALSE)</f>
        <v>0</v>
      </c>
      <c r="AI234" s="3" t="b">
        <f>_xlfn.XLOOKUP(Tableau119[[#This Row],[Key(ID-date)]],'DATA BTO'!S:S,'DATA BTO'!K:K,FALSE)</f>
        <v>0</v>
      </c>
      <c r="AJ234" s="50" t="b">
        <f>_xlfn.XLOOKUP(Tableau119[[#This Row],[Key(ID-date)]],'DATA BTO'!S:S,'DATA BTO'!L:L,FALSE)</f>
        <v>0</v>
      </c>
      <c r="AK234" s="53" t="b">
        <f>_xlfn.XLOOKUP(Tableau119[[#This Row],[Key(ID-date)]],'DATA BTO'!S:S,'DATA BTO'!N:N,FALSE)</f>
        <v>0</v>
      </c>
      <c r="AL234" s="107" t="e">
        <f>VLOOKUP(Tableau119[[#This Row],[Key(POD -PFI- Usine)]],'DATA Consignee'!A:F,6,FALSE)</f>
        <v>#N/A</v>
      </c>
      <c r="AM234" s="127"/>
      <c r="AN234" s="375" t="str">
        <f>IF(Tableau119[[#This Row],[Name PFI/CDD]]="","-",VLOOKUP(Tableau119[[#This Row],[Name PFI/CDD]],Plant_AILN!I:J,2,FALSE))</f>
        <v>-</v>
      </c>
      <c r="AO23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4" s="110" t="e">
        <f>VLOOKUP(Tableau119[[#This Row],[Key(POD -PFI- Usine)]],'DATA Consignee'!A:J,10,FALSE)</f>
        <v>#N/A</v>
      </c>
      <c r="AR234" s="81" t="e">
        <f>VLOOKUP(Tableau119[[#This Row],[Key(POD -PFI- Usine)]],'DATA Consignee'!A:N,14,FALSE)</f>
        <v>#N/A</v>
      </c>
      <c r="AS23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4" s="81">
        <f>Tableau119[[#This Row],[Transit time]]+Tableau119[[#This Row],[Time for security]]+Tableau119[[#This Row],[Time for security2 buffer]]</f>
        <v>0</v>
      </c>
      <c r="AV234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4" s="81" t="e">
        <f>Tableau119[[#This Row],[Leadtime SI2C]]+Tableau119[[#This Row],[First Receipt Days]]-Tableau119[[#This Row],[Day Customer Order]]+1</f>
        <v>#N/A</v>
      </c>
      <c r="AX234" s="120" t="e">
        <f>IF(Tableau119[[#This Row],[Name ILN]]&lt;&gt;"SFK Freight Forwarder",Tableau119[[#This Row],[Cust. Leadtime]],Tableau119[[#This Row],[Leadtime SI2C]])</f>
        <v>#N/A</v>
      </c>
      <c r="AY234" s="51" t="b">
        <f>_xlfn.XLOOKUP(Tableau119[[#This Row],[Key(ID-date)]],'DATA BTO'!S:S,'DATA BTO'!P:P,FALSE)</f>
        <v>0</v>
      </c>
      <c r="AZ234" s="388">
        <v>45777</v>
      </c>
      <c r="BA234" s="50"/>
    </row>
    <row r="235" spans="2:53">
      <c r="B235" s="418" t="str">
        <f>_xlfn.CONCAT(Tableau119[[#This Row],[Name ILN]],"-",Tableau119[[#This Row],[Name Shipper]],"-",Tableau119[[#This Row],[Name Site]])</f>
        <v>ILN FR-ILN FR-DFMIEC</v>
      </c>
      <c r="C235" s="82" t="str">
        <f>_xlfn.CONCAT(Tableau119[[#This Row],[Compte ILN]],"-",Tableau119[[#This Row],[Compte Shipper]],"-",Tableau119[[#This Row],[POL]],"-",Tableau119[[#This Row],[Compte Consignee]])</f>
        <v>92000100-92000100-FALSO-0</v>
      </c>
      <c r="D235" s="82" t="str">
        <f>_xlfn.CONCAT(Tableau119[[#This Row],[Compte ILN]],"-",Tableau119[[#This Row],[Compte Shipper]],"-",Tableau119[[#This Row],[POL]])</f>
        <v>92000100-92000100-FALSO</v>
      </c>
      <c r="E235" s="83" t="str">
        <f>_xlfn.CONCAT(Tableau119[[#This Row],[POL]],"-",Tableau119[[#This Row],[Carrier]],"-",Tableau119[[#This Row],[POD]])</f>
        <v>FALSO-FALSO-FALSO</v>
      </c>
      <c r="F235" s="82" t="str">
        <f>_xlfn.CONCAT(Tableau119[[#This Row],[ID]],"-","Actif")</f>
        <v>76-Actif</v>
      </c>
      <c r="G235" s="82" t="str">
        <f>_xlfn.CONCAT(Tableau119[[#This Row],[POD]],"-",Tableau119[[#This Row],[Code PFI]],"-",Tableau119[[#This Row],[Compte Consignee]])</f>
        <v>FALSO---0</v>
      </c>
      <c r="H235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FRFALSODFMIEC</v>
      </c>
      <c r="I235" s="502" t="str">
        <f>_xlfn.CONCAT(Tableau119[[#This Row],[ID]],"-",Tableau119[[#This Row],[Expiration Date]])</f>
        <v>76-45412</v>
      </c>
      <c r="J2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FR-ILN FR-76-FALSO-FALSO-FALSO--45412</v>
      </c>
      <c r="K235" s="120" t="str">
        <f ca="1">IF(COUNTIF(J:J,Tableau119[[#This Row],[Plant-ILN-shipper-POL-Carrier-POD-PFI]])=1,"Non","Oui")</f>
        <v>Non</v>
      </c>
      <c r="L235" s="103" t="str">
        <f>VLOOKUP(Tableau119[[#This Row],[Name Site]],Plant_AILN!A:D,4,FALSE)</f>
        <v>CHINA</v>
      </c>
      <c r="M235" s="415" t="s">
        <v>216</v>
      </c>
      <c r="N235" s="439">
        <f>VLOOKUP(Tableau119[[#This Row],[Name Site]],Plant_AILN!A:C,3,FALSE)</f>
        <v>0</v>
      </c>
      <c r="O235" s="55">
        <f>VLOOKUP(Tableau119[[#This Row],[Compte Consignee]],Order!C:D,2,FALSE)</f>
        <v>7</v>
      </c>
      <c r="P235" s="126" t="s">
        <v>143</v>
      </c>
      <c r="Q235" s="366">
        <f>VLOOKUP(Tableau119[[#This Row],[Name ILN]],Plant_AILN!F:G,2,FALSE)</f>
        <v>92000100</v>
      </c>
      <c r="R235" s="50">
        <f>VLOOKUP(Tableau119[[#This Row],[Compte ILN]],'DATA ILN'!D:I,6,FALSE)</f>
        <v>9</v>
      </c>
      <c r="S235" s="81" t="e">
        <f>IFERROR(VLOOKUP(Tableau119[[#This Row],[Key(Compte ILN - shipper - POL - plant)]],'DATA ILN'!A:J,10,FALSE),VLOOKUP(Tableau119[[#This Row],[Key(Compte ILN - shipper - POL)]],'DATA ILN'!B:J,9,FALSE))</f>
        <v>#N/A</v>
      </c>
      <c r="T235" s="81" t="e">
        <f>IFERROR(VLOOKUP(Tableau119[[#This Row],[Key(Compte ILN - shipper - POL - plant)]],'DATA ILN'!A:K,11,FALSE),VLOOKUP(Tableau119[[#This Row],[Key(Compte ILN - shipper - POL)]],'DATA ILN'!B:K,10,FALSE))</f>
        <v>#N/A</v>
      </c>
      <c r="U235" s="81" t="e">
        <f>IFERROR(VLOOKUP(Tableau119[[#This Row],[Key(Compte ILN - shipper - POL - plant)]],'DATA ILN'!A:L,12,FALSE),VLOOKUP(Tableau119[[#This Row],[Key(Compte ILN - shipper - POL)]],'DATA ILN'!B:L,11,FALSE))</f>
        <v>#N/A</v>
      </c>
      <c r="V235" s="81" t="e">
        <f>Tableau119[[#This Row],[Day ILN Order]]+Tableau119[[#This Row],[Delivery time to ILN/Shipper]]-1</f>
        <v>#N/A</v>
      </c>
      <c r="W235" s="81" t="e">
        <f>IFERROR(VLOOKUP(Tableau119[[#This Row],[Key(Compte ILN - shipper - POL - plant)]],'DATA ILN'!A:N,14,FALSE),VLOOKUP(Tableau119[[#This Row],[Key(Compte ILN - shipper - POL)]],'DATA ILN'!B:N,13,FALSE))</f>
        <v>#N/A</v>
      </c>
      <c r="X235" s="81" t="e">
        <f>IFERROR(VLOOKUP(Tableau119[[#This Row],[Key(Compte ILN - shipper - POL - plant)]],'DATA ILN'!A:P,16,FALSE),VLOOKUP(Tableau119[[#This Row],[Key(Compte ILN - shipper - POL)]],'DATA ILN'!B:P,15,FALSE))</f>
        <v>#N/A</v>
      </c>
      <c r="Y235" s="487" t="s">
        <v>143</v>
      </c>
      <c r="Z235" s="417">
        <f>IFERROR(VLOOKUP(Tableau119[[#This Row],[Name Shipper]],Plant_AILN!L:M,2,FALSE),0)</f>
        <v>92000100</v>
      </c>
      <c r="AA235" s="416">
        <v>76</v>
      </c>
      <c r="AB235" s="396" t="b">
        <f>_xlfn.XLOOKUP(Tableau119[[#This Row],[Key(ID-date)]],'DATA BTO'!S:S,'DATA BTO'!E:E,FALSE)</f>
        <v>0</v>
      </c>
      <c r="AC235" s="3" t="b">
        <f>_xlfn.XLOOKUP(Tableau119[[#This Row],[Key(ID-date)]],'DATA BTO'!S:S,'DATA BTO'!F:F,FALSE)</f>
        <v>0</v>
      </c>
      <c r="AD235" s="50" t="b">
        <f>_xlfn.XLOOKUP(Tableau119[[#This Row],[Key(ID-date)]],'DATA BTO'!S:S,'DATA BTO'!G:G,FALSE)</f>
        <v>0</v>
      </c>
      <c r="AE235" s="50" t="b">
        <f>_xlfn.XLOOKUP(Tableau119[[#This Row],[Key(ID-date)]],'DATA BTO'!S:S,'DATA BTO'!H:H,FALSE)</f>
        <v>0</v>
      </c>
      <c r="AF235" s="81" t="e">
        <f>IF(Tableau119[[#This Row],[First Day to POL]]&lt;=Tableau119[[#This Row],[Day Cut Off]],Tableau119[[#This Row],[Day ETD]],Tableau119[[#This Row],[Day ETD]]+7)</f>
        <v>#N/A</v>
      </c>
      <c r="AG235" s="50" t="b">
        <f>_xlfn.XLOOKUP(Tableau119[[#This Row],[Key(ID-date)]],'DATA BTO'!S:S,'DATA BTO'!I:I,FALSE)</f>
        <v>0</v>
      </c>
      <c r="AH235" s="3" t="b">
        <f>_xlfn.XLOOKUP(Tableau119[[#This Row],[Key(ID-date)]],'DATA BTO'!S:S,'DATA BTO'!J:J,FALSE)</f>
        <v>0</v>
      </c>
      <c r="AI235" s="3" t="b">
        <f>_xlfn.XLOOKUP(Tableau119[[#This Row],[Key(ID-date)]],'DATA BTO'!S:S,'DATA BTO'!K:K,FALSE)</f>
        <v>0</v>
      </c>
      <c r="AJ235" s="50" t="b">
        <f>_xlfn.XLOOKUP(Tableau119[[#This Row],[Key(ID-date)]],'DATA BTO'!S:S,'DATA BTO'!L:L,FALSE)</f>
        <v>0</v>
      </c>
      <c r="AK235" s="53" t="b">
        <f>_xlfn.XLOOKUP(Tableau119[[#This Row],[Key(ID-date)]],'DATA BTO'!S:S,'DATA BTO'!N:N,FALSE)</f>
        <v>0</v>
      </c>
      <c r="AL235" s="107" t="e">
        <f>VLOOKUP(Tableau119[[#This Row],[Key(POD -PFI- Usine)]],'DATA Consignee'!A:F,6,FALSE)</f>
        <v>#N/A</v>
      </c>
      <c r="AM235" s="102"/>
      <c r="AN235" s="375" t="str">
        <f>IF(Tableau119[[#This Row],[Name PFI/CDD]]="","-",VLOOKUP(Tableau119[[#This Row],[Name PFI/CDD]],Plant_AILN!I:J,2,FALSE))</f>
        <v>-</v>
      </c>
      <c r="AO23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5" s="110" t="e">
        <f>VLOOKUP(Tableau119[[#This Row],[Key(POD -PFI- Usine)]],'DATA Consignee'!A:J,10,FALSE)</f>
        <v>#N/A</v>
      </c>
      <c r="AR235" s="81" t="e">
        <f>VLOOKUP(Tableau119[[#This Row],[Key(POD -PFI- Usine)]],'DATA Consignee'!A:N,14,FALSE)</f>
        <v>#N/A</v>
      </c>
      <c r="AS23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5" s="81">
        <f>Tableau119[[#This Row],[Transit time]]+Tableau119[[#This Row],[Time for security]]+Tableau119[[#This Row],[Time for security2 buffer]]</f>
        <v>0</v>
      </c>
      <c r="AV235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5" s="81" t="e">
        <f>Tableau119[[#This Row],[Leadtime SI2C]]+Tableau119[[#This Row],[First Receipt Days]]-Tableau119[[#This Row],[Day Customer Order]]+1</f>
        <v>#N/A</v>
      </c>
      <c r="AX235" s="120" t="e">
        <f>IF(Tableau119[[#This Row],[Name ILN]]&lt;&gt;"SFK Freight Forwarder",Tableau119[[#This Row],[Cust. Leadtime]],Tableau119[[#This Row],[Leadtime SI2C]])</f>
        <v>#N/A</v>
      </c>
      <c r="AY235" s="51" t="b">
        <f>_xlfn.XLOOKUP(Tableau119[[#This Row],[Key(ID-date)]],'DATA BTO'!S:S,'DATA BTO'!P:P,FALSE)</f>
        <v>0</v>
      </c>
      <c r="AZ235" s="388">
        <v>45412</v>
      </c>
      <c r="BA235" s="50"/>
    </row>
    <row r="236" spans="2:53">
      <c r="B236" s="82" t="str">
        <f>_xlfn.CONCAT(Tableau119[[#This Row],[Name ILN]],"-",Tableau119[[#This Row],[Name Shipper]],"-",Tableau119[[#This Row],[Name Site]])</f>
        <v>ILN Chennai-ILN Chennai-Curitiba CVP</v>
      </c>
      <c r="C236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36" s="82" t="str">
        <f>_xlfn.CONCAT(Tableau119[[#This Row],[Compte ILN]],"-",Tableau119[[#This Row],[Compte Shipper]],"-",Tableau119[[#This Row],[POL]])</f>
        <v>2533780546-2533780546-FALSO</v>
      </c>
      <c r="E236" s="83" t="str">
        <f>_xlfn.CONCAT(Tableau119[[#This Row],[POL]],"-",Tableau119[[#This Row],[Carrier]],"-",Tableau119[[#This Row],[POD]])</f>
        <v>FALSO-FALSO-FALSO</v>
      </c>
      <c r="F236" s="82" t="str">
        <f>_xlfn.CONCAT(Tableau119[[#This Row],[ID]],"-","Actif")</f>
        <v>80-Actif</v>
      </c>
      <c r="G236" s="82" t="str">
        <f>_xlfn.CONCAT(Tableau119[[#This Row],[POD]],"-",Tableau119[[#This Row],[Code PFI]],"-",Tableau119[[#This Row],[Compte Consignee]])</f>
        <v>FALSO---90018000</v>
      </c>
      <c r="H236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36" s="502" t="str">
        <f>_xlfn.CONCAT(Tableau119[[#This Row],[ID]],"-",Tableau119[[#This Row],[Expiration Date]])</f>
        <v>80-46142</v>
      </c>
      <c r="J2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Chennai-80-FALSO-FALSO-FALSO--46142</v>
      </c>
      <c r="K236" s="120" t="str">
        <f ca="1">IF(COUNTIF(J:J,Tableau119[[#This Row],[Plant-ILN-shipper-POL-Carrier-POD-PFI]])=1,"Non","Oui")</f>
        <v>Non</v>
      </c>
      <c r="L236" s="445" t="str">
        <f>VLOOKUP(Tableau119[[#This Row],[Name Site]],Plant_AILN!A:D,4,FALSE)</f>
        <v>BRAZIL</v>
      </c>
      <c r="M236" s="485" t="s">
        <v>152</v>
      </c>
      <c r="N236" s="439">
        <f>VLOOKUP(Tableau119[[#This Row],[Name Site]],Plant_AILN!A:C,3,FALSE)</f>
        <v>90018000</v>
      </c>
      <c r="O236" s="55">
        <f>IF(Tableau119[[#This Row],[Name PFI/CDD]]="PFI VLL",2,VLOOKUP(Tableau119[[#This Row],[Compte Consignee]],Order!C:D,2,FALSE))</f>
        <v>7</v>
      </c>
      <c r="P236" s="126" t="s">
        <v>149</v>
      </c>
      <c r="Q236" s="366">
        <f>VLOOKUP(Tableau119[[#This Row],[Name ILN]],Plant_AILN!F:G,2,FALSE)</f>
        <v>2533780546</v>
      </c>
      <c r="R236" s="50">
        <f>VLOOKUP(Tableau119[[#This Row],[Compte ILN]],'DATA ILN'!D:I,6,FALSE)</f>
        <v>9</v>
      </c>
      <c r="S236" s="81" t="e">
        <f>IFERROR(VLOOKUP(Tableau119[[#This Row],[Key(Compte ILN - shipper - POL - plant)]],'DATA ILN'!A:J,10,FALSE),VLOOKUP(Tableau119[[#This Row],[Key(Compte ILN - shipper - POL)]],'DATA ILN'!B:J,9,FALSE))</f>
        <v>#N/A</v>
      </c>
      <c r="T236" s="81" t="e">
        <f>IFERROR(VLOOKUP(Tableau119[[#This Row],[Key(Compte ILN - shipper - POL - plant)]],'DATA ILN'!A:K,11,FALSE),VLOOKUP(Tableau119[[#This Row],[Key(Compte ILN - shipper - POL)]],'DATA ILN'!B:K,10,FALSE))</f>
        <v>#N/A</v>
      </c>
      <c r="U236" s="81" t="e">
        <f>IFERROR(VLOOKUP(Tableau119[[#This Row],[Key(Compte ILN - shipper - POL - plant)]],'DATA ILN'!A:L,12,FALSE),VLOOKUP(Tableau119[[#This Row],[Key(Compte ILN - shipper - POL)]],'DATA ILN'!B:L,11,FALSE))</f>
        <v>#N/A</v>
      </c>
      <c r="V236" s="81" t="e">
        <f>Tableau119[[#This Row],[Day ILN Order]]+Tableau119[[#This Row],[Delivery time to ILN/Shipper]]-1</f>
        <v>#N/A</v>
      </c>
      <c r="W236" s="81" t="e">
        <f>IFERROR(VLOOKUP(Tableau119[[#This Row],[Key(Compte ILN - shipper - POL - plant)]],'DATA ILN'!A:N,14,FALSE),VLOOKUP(Tableau119[[#This Row],[Key(Compte ILN - shipper - POL)]],'DATA ILN'!B:N,13,FALSE))</f>
        <v>#N/A</v>
      </c>
      <c r="X236" s="81" t="e">
        <f>IFERROR(VLOOKUP(Tableau119[[#This Row],[Key(Compte ILN - shipper - POL - plant)]],'DATA ILN'!A:P,16,FALSE),VLOOKUP(Tableau119[[#This Row],[Key(Compte ILN - shipper - POL)]],'DATA ILN'!B:P,15,FALSE))</f>
        <v>#N/A</v>
      </c>
      <c r="Y236" s="102" t="s">
        <v>149</v>
      </c>
      <c r="Z236" s="417">
        <f>IFERROR(VLOOKUP(Tableau119[[#This Row],[Name Shipper]],Plant_AILN!L:M,2,FALSE),0)</f>
        <v>2533780546</v>
      </c>
      <c r="AA236" s="416">
        <v>80</v>
      </c>
      <c r="AB236" s="396" t="b">
        <f>_xlfn.XLOOKUP(Tableau119[[#This Row],[Key(ID-date)]],'DATA BTO'!S:S,'DATA BTO'!E:E,FALSE)</f>
        <v>0</v>
      </c>
      <c r="AC236" s="3" t="b">
        <f>_xlfn.XLOOKUP(Tableau119[[#This Row],[Key(ID-date)]],'DATA BTO'!S:S,'DATA BTO'!F:F,FALSE)</f>
        <v>0</v>
      </c>
      <c r="AD236" s="50" t="b">
        <f>_xlfn.XLOOKUP(Tableau119[[#This Row],[Key(ID-date)]],'DATA BTO'!S:S,'DATA BTO'!G:G,FALSE)</f>
        <v>0</v>
      </c>
      <c r="AE236" s="50" t="b">
        <f>_xlfn.XLOOKUP(Tableau119[[#This Row],[Key(ID-date)]],'DATA BTO'!S:S,'DATA BTO'!H:H,FALSE)</f>
        <v>0</v>
      </c>
      <c r="AF236" s="81" t="e">
        <f>IF(Tableau119[[#This Row],[First Day to POL]]&lt;=Tableau119[[#This Row],[Day Cut Off]],Tableau119[[#This Row],[Day ETD]],Tableau119[[#This Row],[Day ETD]]+7)</f>
        <v>#N/A</v>
      </c>
      <c r="AG236" s="50" t="b">
        <f>_xlfn.XLOOKUP(Tableau119[[#This Row],[Key(ID-date)]],'DATA BTO'!S:S,'DATA BTO'!I:I,FALSE)</f>
        <v>0</v>
      </c>
      <c r="AH236" s="3" t="b">
        <f>_xlfn.XLOOKUP(Tableau119[[#This Row],[Key(ID-date)]],'DATA BTO'!S:S,'DATA BTO'!J:J,FALSE)</f>
        <v>0</v>
      </c>
      <c r="AI236" s="3" t="b">
        <f>_xlfn.XLOOKUP(Tableau119[[#This Row],[Key(ID-date)]],'DATA BTO'!S:S,'DATA BTO'!K:K,FALSE)</f>
        <v>0</v>
      </c>
      <c r="AJ236" s="50" t="b">
        <f>_xlfn.XLOOKUP(Tableau119[[#This Row],[Key(ID-date)]],'DATA BTO'!S:S,'DATA BTO'!L:L,FALSE)</f>
        <v>0</v>
      </c>
      <c r="AK236" s="53" t="b">
        <f>_xlfn.XLOOKUP(Tableau119[[#This Row],[Key(ID-date)]],'DATA BTO'!S:S,'DATA BTO'!N:N,FALSE)</f>
        <v>0</v>
      </c>
      <c r="AL236" s="107" t="e">
        <f>VLOOKUP(Tableau119[[#This Row],[Key(POD -PFI- Usine)]],'DATA Consignee'!A:F,6,FALSE)</f>
        <v>#N/A</v>
      </c>
      <c r="AM236" s="102"/>
      <c r="AN236" s="375" t="str">
        <f>IF(Tableau119[[#This Row],[Name PFI/CDD]]="","-",VLOOKUP(Tableau119[[#This Row],[Name PFI/CDD]],Plant_AILN!I:J,2,FALSE))</f>
        <v>-</v>
      </c>
      <c r="AO23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6" s="110" t="e">
        <f>VLOOKUP(Tableau119[[#This Row],[Key(POD -PFI- Usine)]],'DATA Consignee'!A:J,10,FALSE)</f>
        <v>#N/A</v>
      </c>
      <c r="AR236" s="81" t="e">
        <f>VLOOKUP(Tableau119[[#This Row],[Key(POD -PFI- Usine)]],'DATA Consignee'!A:N,14,FALSE)</f>
        <v>#N/A</v>
      </c>
      <c r="AS23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6" s="81">
        <f>Tableau119[[#This Row],[Transit time]]+Tableau119[[#This Row],[Time for security]]+Tableau119[[#This Row],[Time for security2 buffer]]</f>
        <v>0</v>
      </c>
      <c r="AV236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6" s="81" t="e">
        <f>Tableau119[[#This Row],[Leadtime SI2C]]+Tableau119[[#This Row],[First Receipt Days]]-Tableau119[[#This Row],[Day Customer Order]]+1</f>
        <v>#N/A</v>
      </c>
      <c r="AX236" s="120" t="e">
        <f>IF(Tableau119[[#This Row],[Name ILN]]&lt;&gt;"SFK Freight Forwarder",Tableau119[[#This Row],[Cust. Leadtime]],Tableau119[[#This Row],[Leadtime SI2C]])</f>
        <v>#N/A</v>
      </c>
      <c r="AY236" s="51" t="b">
        <f>_xlfn.XLOOKUP(Tableau119[[#This Row],[Key(ID-date)]],'DATA BTO'!S:S,'DATA BTO'!P:P,FALSE)</f>
        <v>0</v>
      </c>
      <c r="AZ236" s="388">
        <v>46142</v>
      </c>
      <c r="BA236" s="50"/>
    </row>
    <row r="237" spans="2:53">
      <c r="B237" s="82" t="str">
        <f>_xlfn.CONCAT(Tableau119[[#This Row],[Name ILN]],"-",Tableau119[[#This Row],[Name Shipper]],"-",Tableau119[[#This Row],[Name Site]])</f>
        <v>ILN Chennai-ILN Chennai-Curitiba CVU</v>
      </c>
      <c r="C237" s="82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37" s="82" t="str">
        <f>_xlfn.CONCAT(Tableau119[[#This Row],[Compte ILN]],"-",Tableau119[[#This Row],[Compte Shipper]],"-",Tableau119[[#This Row],[POL]])</f>
        <v>2533780546-2533780546-FALSO</v>
      </c>
      <c r="E237" s="83" t="str">
        <f>_xlfn.CONCAT(Tableau119[[#This Row],[POL]],"-",Tableau119[[#This Row],[Carrier]],"-",Tableau119[[#This Row],[POD]])</f>
        <v>FALSO-FALSO-FALSO</v>
      </c>
      <c r="F237" s="82" t="str">
        <f>_xlfn.CONCAT(Tableau119[[#This Row],[ID]],"-","Actif")</f>
        <v>80-Actif</v>
      </c>
      <c r="G237" s="82" t="str">
        <f>_xlfn.CONCAT(Tableau119[[#This Row],[POD]],"-",Tableau119[[#This Row],[Code PFI]],"-",Tableau119[[#This Row],[Compte Consignee]])</f>
        <v>FALSO---90018500</v>
      </c>
      <c r="H237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37" s="502" t="str">
        <f>_xlfn.CONCAT(Tableau119[[#This Row],[ID]],"-",Tableau119[[#This Row],[Expiration Date]])</f>
        <v>80-46142</v>
      </c>
      <c r="J2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Chennai-80-FALSO-FALSO-FALSO--46142</v>
      </c>
      <c r="K237" s="120" t="str">
        <f ca="1">IF(COUNTIF(J:J,Tableau119[[#This Row],[Plant-ILN-shipper-POL-Carrier-POD-PFI]])=1,"Non","Oui")</f>
        <v>Non</v>
      </c>
      <c r="L237" s="103" t="str">
        <f>VLOOKUP(Tableau119[[#This Row],[Name Site]],Plant_AILN!A:D,4,FALSE)</f>
        <v>BRAZIL</v>
      </c>
      <c r="M237" s="483" t="s">
        <v>639</v>
      </c>
      <c r="N237" s="439">
        <f>VLOOKUP(Tableau119[[#This Row],[Name Site]],Plant_AILN!A:C,3,FALSE)</f>
        <v>90018500</v>
      </c>
      <c r="O237" s="55">
        <f>IF(Tableau119[[#This Row],[Name PFI/CDD]]="PFI VLL",2,VLOOKUP(Tableau119[[#This Row],[Compte Consignee]],Order!C:D,2,FALSE))</f>
        <v>7</v>
      </c>
      <c r="P237" s="126" t="s">
        <v>149</v>
      </c>
      <c r="Q237" s="366">
        <f>VLOOKUP(Tableau119[[#This Row],[Name ILN]],Plant_AILN!F:G,2,FALSE)</f>
        <v>2533780546</v>
      </c>
      <c r="R237" s="50">
        <f>VLOOKUP(Tableau119[[#This Row],[Compte ILN]],'DATA ILN'!D:I,6,FALSE)</f>
        <v>9</v>
      </c>
      <c r="S237" s="81" t="e">
        <f>IFERROR(VLOOKUP(Tableau119[[#This Row],[Key(Compte ILN - shipper - POL - plant)]],'DATA ILN'!A:J,10,FALSE),VLOOKUP(Tableau119[[#This Row],[Key(Compte ILN - shipper - POL)]],'DATA ILN'!B:J,9,FALSE))</f>
        <v>#N/A</v>
      </c>
      <c r="T237" s="81" t="e">
        <f>IFERROR(VLOOKUP(Tableau119[[#This Row],[Key(Compte ILN - shipper - POL - plant)]],'DATA ILN'!A:K,11,FALSE),VLOOKUP(Tableau119[[#This Row],[Key(Compte ILN - shipper - POL)]],'DATA ILN'!B:K,10,FALSE))</f>
        <v>#N/A</v>
      </c>
      <c r="U237" s="81" t="e">
        <f>IFERROR(VLOOKUP(Tableau119[[#This Row],[Key(Compte ILN - shipper - POL - plant)]],'DATA ILN'!A:L,12,FALSE),VLOOKUP(Tableau119[[#This Row],[Key(Compte ILN - shipper - POL)]],'DATA ILN'!B:L,11,FALSE))</f>
        <v>#N/A</v>
      </c>
      <c r="V237" s="81" t="e">
        <f>Tableau119[[#This Row],[Day ILN Order]]+Tableau119[[#This Row],[Delivery time to ILN/Shipper]]-1</f>
        <v>#N/A</v>
      </c>
      <c r="W237" s="81" t="e">
        <f>IFERROR(VLOOKUP(Tableau119[[#This Row],[Key(Compte ILN - shipper - POL - plant)]],'DATA ILN'!A:N,14,FALSE),VLOOKUP(Tableau119[[#This Row],[Key(Compte ILN - shipper - POL)]],'DATA ILN'!B:N,13,FALSE))</f>
        <v>#N/A</v>
      </c>
      <c r="X237" s="81" t="e">
        <f>IFERROR(VLOOKUP(Tableau119[[#This Row],[Key(Compte ILN - shipper - POL - plant)]],'DATA ILN'!A:P,16,FALSE),VLOOKUP(Tableau119[[#This Row],[Key(Compte ILN - shipper - POL)]],'DATA ILN'!B:P,15,FALSE))</f>
        <v>#N/A</v>
      </c>
      <c r="Y237" s="102" t="s">
        <v>149</v>
      </c>
      <c r="Z237" s="417">
        <f>IFERROR(VLOOKUP(Tableau119[[#This Row],[Name Shipper]],Plant_AILN!L:M,2,FALSE),0)</f>
        <v>2533780546</v>
      </c>
      <c r="AA237" s="416">
        <v>80</v>
      </c>
      <c r="AB237" s="396" t="b">
        <f>_xlfn.XLOOKUP(Tableau119[[#This Row],[Key(ID-date)]],'DATA BTO'!S:S,'DATA BTO'!E:E,FALSE)</f>
        <v>0</v>
      </c>
      <c r="AC237" s="3" t="b">
        <f>_xlfn.XLOOKUP(Tableau119[[#This Row],[Key(ID-date)]],'DATA BTO'!S:S,'DATA BTO'!F:F,FALSE)</f>
        <v>0</v>
      </c>
      <c r="AD237" s="50" t="b">
        <f>_xlfn.XLOOKUP(Tableau119[[#This Row],[Key(ID-date)]],'DATA BTO'!S:S,'DATA BTO'!G:G,FALSE)</f>
        <v>0</v>
      </c>
      <c r="AE237" s="50" t="b">
        <f>_xlfn.XLOOKUP(Tableau119[[#This Row],[Key(ID-date)]],'DATA BTO'!S:S,'DATA BTO'!H:H,FALSE)</f>
        <v>0</v>
      </c>
      <c r="AF237" s="81" t="e">
        <f>IF(Tableau119[[#This Row],[First Day to POL]]&lt;=Tableau119[[#This Row],[Day Cut Off]],Tableau119[[#This Row],[Day ETD]],Tableau119[[#This Row],[Day ETD]]+7)</f>
        <v>#N/A</v>
      </c>
      <c r="AG237" s="50" t="b">
        <f>_xlfn.XLOOKUP(Tableau119[[#This Row],[Key(ID-date)]],'DATA BTO'!S:S,'DATA BTO'!I:I,FALSE)</f>
        <v>0</v>
      </c>
      <c r="AH237" s="3" t="b">
        <f>_xlfn.XLOOKUP(Tableau119[[#This Row],[Key(ID-date)]],'DATA BTO'!S:S,'DATA BTO'!J:J,FALSE)</f>
        <v>0</v>
      </c>
      <c r="AI237" s="3" t="b">
        <f>_xlfn.XLOOKUP(Tableau119[[#This Row],[Key(ID-date)]],'DATA BTO'!S:S,'DATA BTO'!K:K,FALSE)</f>
        <v>0</v>
      </c>
      <c r="AJ237" s="50" t="b">
        <f>_xlfn.XLOOKUP(Tableau119[[#This Row],[Key(ID-date)]],'DATA BTO'!S:S,'DATA BTO'!L:L,FALSE)</f>
        <v>0</v>
      </c>
      <c r="AK237" s="53" t="b">
        <f>_xlfn.XLOOKUP(Tableau119[[#This Row],[Key(ID-date)]],'DATA BTO'!S:S,'DATA BTO'!N:N,FALSE)</f>
        <v>0</v>
      </c>
      <c r="AL237" s="107" t="e">
        <f>VLOOKUP(Tableau119[[#This Row],[Key(POD -PFI- Usine)]],'DATA Consignee'!A:F,6,FALSE)</f>
        <v>#N/A</v>
      </c>
      <c r="AM237" s="102"/>
      <c r="AN237" s="375" t="str">
        <f>IF(Tableau119[[#This Row],[Name PFI/CDD]]="","-",VLOOKUP(Tableau119[[#This Row],[Name PFI/CDD]],Plant_AILN!I:J,2,FALSE))</f>
        <v>-</v>
      </c>
      <c r="AO23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7" s="110" t="e">
        <f>VLOOKUP(Tableau119[[#This Row],[Key(POD -PFI- Usine)]],'DATA Consignee'!A:J,10,FALSE)</f>
        <v>#N/A</v>
      </c>
      <c r="AR237" s="81" t="e">
        <f>VLOOKUP(Tableau119[[#This Row],[Key(POD -PFI- Usine)]],'DATA Consignee'!A:N,14,FALSE)</f>
        <v>#N/A</v>
      </c>
      <c r="AS23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7" s="81">
        <f>Tableau119[[#This Row],[Transit time]]+Tableau119[[#This Row],[Time for security]]+Tableau119[[#This Row],[Time for security2 buffer]]</f>
        <v>0</v>
      </c>
      <c r="AV237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7" s="81" t="e">
        <f>Tableau119[[#This Row],[Leadtime SI2C]]+Tableau119[[#This Row],[First Receipt Days]]-Tableau119[[#This Row],[Day Customer Order]]+1</f>
        <v>#N/A</v>
      </c>
      <c r="AX237" s="120" t="e">
        <f>IF(Tableau119[[#This Row],[Name ILN]]&lt;&gt;"SFK Freight Forwarder",Tableau119[[#This Row],[Cust. Leadtime]],Tableau119[[#This Row],[Leadtime SI2C]])</f>
        <v>#N/A</v>
      </c>
      <c r="AY237" s="51" t="b">
        <f>_xlfn.XLOOKUP(Tableau119[[#This Row],[Key(ID-date)]],'DATA BTO'!S:S,'DATA BTO'!P:P,FALSE)</f>
        <v>0</v>
      </c>
      <c r="AZ237" s="388">
        <v>46142</v>
      </c>
      <c r="BA237" s="50"/>
    </row>
    <row r="238" spans="2:53">
      <c r="B238" s="418" t="str">
        <f>_xlfn.CONCAT(Tableau119[[#This Row],[Name ILN]],"-",Tableau119[[#This Row],[Name Shipper]],"-",Tableau119[[#This Row],[Name Site]])</f>
        <v>ILN Chennai-ILN Chennai-Curitiba CVP</v>
      </c>
      <c r="C238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38" s="82" t="str">
        <f>_xlfn.CONCAT(Tableau119[[#This Row],[Compte ILN]],"-",Tableau119[[#This Row],[Compte Shipper]],"-",Tableau119[[#This Row],[POL]])</f>
        <v>2533780546-2533780546-FALSO</v>
      </c>
      <c r="E238" s="83" t="str">
        <f>_xlfn.CONCAT(Tableau119[[#This Row],[POL]],"-",Tableau119[[#This Row],[Carrier]],"-",Tableau119[[#This Row],[POD]])</f>
        <v>FALSO-FALSO-FALSO</v>
      </c>
      <c r="F238" s="82" t="str">
        <f>_xlfn.CONCAT(Tableau119[[#This Row],[ID]],"-","Actif")</f>
        <v>80-Actif</v>
      </c>
      <c r="G238" s="82" t="str">
        <f>_xlfn.CONCAT(Tableau119[[#This Row],[POD]],"-",Tableau119[[#This Row],[Code PFI]],"-",Tableau119[[#This Row],[Compte Consignee]])</f>
        <v>FALSO---90018000</v>
      </c>
      <c r="H238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38" s="502" t="str">
        <f>_xlfn.CONCAT(Tableau119[[#This Row],[ID]],"-",Tableau119[[#This Row],[Expiration Date]])</f>
        <v>80-45991</v>
      </c>
      <c r="J2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Chennai-80-FALSO-FALSO-FALSO--45991</v>
      </c>
      <c r="K238" s="120" t="str">
        <f ca="1">IF(COUNTIF(J:J,Tableau119[[#This Row],[Plant-ILN-shipper-POL-Carrier-POD-PFI]])=1,"Non","Oui")</f>
        <v>Non</v>
      </c>
      <c r="L238" s="103" t="str">
        <f>VLOOKUP(Tableau119[[#This Row],[Name Site]],Plant_AILN!A:D,4,FALSE)</f>
        <v>BRAZIL</v>
      </c>
      <c r="M238" s="415" t="s">
        <v>152</v>
      </c>
      <c r="N238" s="439">
        <f>VLOOKUP(Tableau119[[#This Row],[Name Site]],Plant_AILN!A:C,3,FALSE)</f>
        <v>90018000</v>
      </c>
      <c r="O238" s="55">
        <f>VLOOKUP(Tableau119[[#This Row],[Compte Consignee]],Order!C:D,2,FALSE)</f>
        <v>7</v>
      </c>
      <c r="P238" s="126" t="s">
        <v>149</v>
      </c>
      <c r="Q238" s="366">
        <f>VLOOKUP(Tableau119[[#This Row],[Name ILN]],Plant_AILN!F:G,2,FALSE)</f>
        <v>2533780546</v>
      </c>
      <c r="R238" s="50">
        <f>VLOOKUP(Tableau119[[#This Row],[Compte ILN]],'DATA ILN'!D:I,6,FALSE)</f>
        <v>9</v>
      </c>
      <c r="S238" s="81" t="e">
        <f>IFERROR(VLOOKUP(Tableau119[[#This Row],[Key(Compte ILN - shipper - POL - plant)]],'DATA ILN'!A:J,10,FALSE),VLOOKUP(Tableau119[[#This Row],[Key(Compte ILN - shipper - POL)]],'DATA ILN'!B:J,9,FALSE))</f>
        <v>#N/A</v>
      </c>
      <c r="T238" s="81" t="e">
        <f>IFERROR(VLOOKUP(Tableau119[[#This Row],[Key(Compte ILN - shipper - POL - plant)]],'DATA ILN'!A:K,11,FALSE),VLOOKUP(Tableau119[[#This Row],[Key(Compte ILN - shipper - POL)]],'DATA ILN'!B:K,10,FALSE))</f>
        <v>#N/A</v>
      </c>
      <c r="U238" s="81" t="e">
        <f>IFERROR(VLOOKUP(Tableau119[[#This Row],[Key(Compte ILN - shipper - POL - plant)]],'DATA ILN'!A:L,12,FALSE),VLOOKUP(Tableau119[[#This Row],[Key(Compte ILN - shipper - POL)]],'DATA ILN'!B:L,11,FALSE))</f>
        <v>#N/A</v>
      </c>
      <c r="V238" s="81" t="e">
        <f>Tableau119[[#This Row],[Day ILN Order]]+Tableau119[[#This Row],[Delivery time to ILN/Shipper]]-1</f>
        <v>#N/A</v>
      </c>
      <c r="W238" s="81" t="e">
        <f>IFERROR(VLOOKUP(Tableau119[[#This Row],[Key(Compte ILN - shipper - POL - plant)]],'DATA ILN'!A:N,14,FALSE),VLOOKUP(Tableau119[[#This Row],[Key(Compte ILN - shipper - POL)]],'DATA ILN'!B:N,13,FALSE))</f>
        <v>#N/A</v>
      </c>
      <c r="X238" s="81" t="e">
        <f>IFERROR(VLOOKUP(Tableau119[[#This Row],[Key(Compte ILN - shipper - POL - plant)]],'DATA ILN'!A:P,16,FALSE),VLOOKUP(Tableau119[[#This Row],[Key(Compte ILN - shipper - POL)]],'DATA ILN'!B:P,15,FALSE))</f>
        <v>#N/A</v>
      </c>
      <c r="Y238" s="102" t="s">
        <v>149</v>
      </c>
      <c r="Z238" s="417">
        <f>IFERROR(VLOOKUP(Tableau119[[#This Row],[Name Shipper]],Plant_AILN!L:M,2,FALSE),0)</f>
        <v>2533780546</v>
      </c>
      <c r="AA238" s="488">
        <v>80</v>
      </c>
      <c r="AB238" s="396" t="b">
        <f>_xlfn.XLOOKUP(Tableau119[[#This Row],[Key(ID-date)]],'DATA BTO'!S:S,'DATA BTO'!E:E,FALSE)</f>
        <v>0</v>
      </c>
      <c r="AC238" s="3" t="b">
        <f>_xlfn.XLOOKUP(Tableau119[[#This Row],[Key(ID-date)]],'DATA BTO'!S:S,'DATA BTO'!F:F,FALSE)</f>
        <v>0</v>
      </c>
      <c r="AD238" s="50" t="b">
        <f>_xlfn.XLOOKUP(Tableau119[[#This Row],[Key(ID-date)]],'DATA BTO'!S:S,'DATA BTO'!G:G,FALSE)</f>
        <v>0</v>
      </c>
      <c r="AE238" s="50" t="b">
        <f>_xlfn.XLOOKUP(Tableau119[[#This Row],[Key(ID-date)]],'DATA BTO'!S:S,'DATA BTO'!H:H,FALSE)</f>
        <v>0</v>
      </c>
      <c r="AF238" s="81" t="e">
        <f>IF(Tableau119[[#This Row],[First Day to POL]]&lt;=Tableau119[[#This Row],[Day Cut Off]],Tableau119[[#This Row],[Day ETD]],Tableau119[[#This Row],[Day ETD]]+7)</f>
        <v>#N/A</v>
      </c>
      <c r="AG238" s="50" t="b">
        <f>_xlfn.XLOOKUP(Tableau119[[#This Row],[Key(ID-date)]],'DATA BTO'!S:S,'DATA BTO'!I:I,FALSE)</f>
        <v>0</v>
      </c>
      <c r="AH238" s="3" t="b">
        <f>_xlfn.XLOOKUP(Tableau119[[#This Row],[Key(ID-date)]],'DATA BTO'!S:S,'DATA BTO'!J:J,FALSE)</f>
        <v>0</v>
      </c>
      <c r="AI238" s="3" t="b">
        <f>_xlfn.XLOOKUP(Tableau119[[#This Row],[Key(ID-date)]],'DATA BTO'!S:S,'DATA BTO'!K:K,FALSE)</f>
        <v>0</v>
      </c>
      <c r="AJ238" s="50" t="b">
        <f>_xlfn.XLOOKUP(Tableau119[[#This Row],[Key(ID-date)]],'DATA BTO'!S:S,'DATA BTO'!L:L,FALSE)</f>
        <v>0</v>
      </c>
      <c r="AK238" s="53" t="b">
        <f>_xlfn.XLOOKUP(Tableau119[[#This Row],[Key(ID-date)]],'DATA BTO'!S:S,'DATA BTO'!N:N,FALSE)</f>
        <v>0</v>
      </c>
      <c r="AL238" s="107" t="e">
        <f>VLOOKUP(Tableau119[[#This Row],[Key(POD -PFI- Usine)]],'DATA Consignee'!A:F,6,FALSE)</f>
        <v>#N/A</v>
      </c>
      <c r="AM238" s="102"/>
      <c r="AN238" s="375" t="str">
        <f>IF(Tableau119[[#This Row],[Name PFI/CDD]]="","-",VLOOKUP(Tableau119[[#This Row],[Name PFI/CDD]],Plant_AILN!I:J,2,FALSE))</f>
        <v>-</v>
      </c>
      <c r="AO23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8" s="110" t="e">
        <f>VLOOKUP(Tableau119[[#This Row],[Key(POD -PFI- Usine)]],'DATA Consignee'!A:J,10,FALSE)</f>
        <v>#N/A</v>
      </c>
      <c r="AR238" s="81" t="e">
        <f>VLOOKUP(Tableau119[[#This Row],[Key(POD -PFI- Usine)]],'DATA Consignee'!A:N,14,FALSE)</f>
        <v>#N/A</v>
      </c>
      <c r="AS23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8" s="81">
        <f>Tableau119[[#This Row],[Transit time]]+Tableau119[[#This Row],[Time for security]]+Tableau119[[#This Row],[Time for security2 buffer]]</f>
        <v>0</v>
      </c>
      <c r="AV238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8" s="81" t="e">
        <f>Tableau119[[#This Row],[Leadtime SI2C]]+Tableau119[[#This Row],[First Receipt Days]]-Tableau119[[#This Row],[Day Customer Order]]+1</f>
        <v>#N/A</v>
      </c>
      <c r="AX238" s="120" t="e">
        <f>IF(Tableau119[[#This Row],[Name ILN]]&lt;&gt;"SFK Freight Forwarder",Tableau119[[#This Row],[Cust. Leadtime]],Tableau119[[#This Row],[Leadtime SI2C]])</f>
        <v>#N/A</v>
      </c>
      <c r="AY238" s="51" t="b">
        <f>_xlfn.XLOOKUP(Tableau119[[#This Row],[Key(ID-date)]],'DATA BTO'!S:S,'DATA BTO'!P:P,FALSE)</f>
        <v>0</v>
      </c>
      <c r="AZ238" s="388">
        <v>45991</v>
      </c>
      <c r="BA238" s="50"/>
    </row>
    <row r="239" spans="2:53">
      <c r="B239" s="446" t="str">
        <f>_xlfn.CONCAT(Tableau119[[#This Row],[Name ILN]],"-",Tableau119[[#This Row],[Name Shipper]],"-",Tableau119[[#This Row],[Name Site]])</f>
        <v>ILN Chennai-ILN Chennai-Curitiba CVU</v>
      </c>
      <c r="C239" s="66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39" s="66" t="str">
        <f>_xlfn.CONCAT(Tableau119[[#This Row],[Compte ILN]],"-",Tableau119[[#This Row],[Compte Shipper]],"-",Tableau119[[#This Row],[POL]])</f>
        <v>2533780546-2533780546-FALSO</v>
      </c>
      <c r="E239" s="130" t="str">
        <f>_xlfn.CONCAT(Tableau119[[#This Row],[POL]],"-",Tableau119[[#This Row],[Carrier]],"-",Tableau119[[#This Row],[POD]])</f>
        <v>FALSO-FALSO-FALSO</v>
      </c>
      <c r="F239" s="66" t="str">
        <f>_xlfn.CONCAT(Tableau119[[#This Row],[ID]],"-","Actif")</f>
        <v>80-Actif</v>
      </c>
      <c r="G239" s="66" t="str">
        <f>_xlfn.CONCAT(Tableau119[[#This Row],[POD]],"-",Tableau119[[#This Row],[Code PFI]],"-",Tableau119[[#This Row],[Compte Consignee]])</f>
        <v>FALSO---90018500</v>
      </c>
      <c r="H2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39" s="434" t="str">
        <f>_xlfn.CONCAT(Tableau119[[#This Row],[ID]],"-",Tableau119[[#This Row],[Expiration Date]])</f>
        <v>80-45991</v>
      </c>
      <c r="J2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Chennai-80-FALSO-FALSO-FALSO--45991</v>
      </c>
      <c r="K239" s="119" t="str">
        <f ca="1">IF(COUNTIF(J:J,Tableau119[[#This Row],[Plant-ILN-shipper-POL-Carrier-POD-PFI]])=1,"Non","Oui")</f>
        <v>Non</v>
      </c>
      <c r="L239" s="128" t="str">
        <f>VLOOKUP(Tableau119[[#This Row],[Name Site]],Plant_AILN!A:D,4,FALSE)</f>
        <v>BRAZIL</v>
      </c>
      <c r="M239" s="411" t="s">
        <v>639</v>
      </c>
      <c r="N239" s="454">
        <f>VLOOKUP(Tableau119[[#This Row],[Name Site]],Plant_AILN!A:C,3,FALSE)</f>
        <v>90018500</v>
      </c>
      <c r="O239" s="55">
        <f>VLOOKUP(Tableau119[[#This Row],[Compte Consignee]],Order!C:D,2,FALSE)</f>
        <v>7</v>
      </c>
      <c r="P239" s="124" t="s">
        <v>149</v>
      </c>
      <c r="Q239" s="365">
        <f>VLOOKUP(Tableau119[[#This Row],[Name ILN]],Plant_AILN!F:G,2,FALSE)</f>
        <v>2533780546</v>
      </c>
      <c r="R239" s="50">
        <f>VLOOKUP(Tableau119[[#This Row],[Compte ILN]],'DATA ILN'!D:I,6,FALSE)</f>
        <v>9</v>
      </c>
      <c r="S239" s="50" t="e">
        <f>IFERROR(VLOOKUP(Tableau119[[#This Row],[Key(Compte ILN - shipper - POL - plant)]],'DATA ILN'!A:J,10,FALSE),VLOOKUP(Tableau119[[#This Row],[Key(Compte ILN - shipper - POL)]],'DATA ILN'!B:J,9,FALSE))</f>
        <v>#N/A</v>
      </c>
      <c r="T239" s="50" t="e">
        <f>IFERROR(VLOOKUP(Tableau119[[#This Row],[Key(Compte ILN - shipper - POL - plant)]],'DATA ILN'!A:K,11,FALSE),VLOOKUP(Tableau119[[#This Row],[Key(Compte ILN - shipper - POL)]],'DATA ILN'!B:K,10,FALSE))</f>
        <v>#N/A</v>
      </c>
      <c r="U239" s="50" t="e">
        <f>IFERROR(VLOOKUP(Tableau119[[#This Row],[Key(Compte ILN - shipper - POL - plant)]],'DATA ILN'!A:L,12,FALSE),VLOOKUP(Tableau119[[#This Row],[Key(Compte ILN - shipper - POL)]],'DATA ILN'!B:L,11,FALSE))</f>
        <v>#N/A</v>
      </c>
      <c r="V239" s="50" t="e">
        <f>Tableau119[[#This Row],[Day ILN Order]]+Tableau119[[#This Row],[Delivery time to ILN/Shipper]]-1</f>
        <v>#N/A</v>
      </c>
      <c r="W239" s="50" t="e">
        <f>IFERROR(VLOOKUP(Tableau119[[#This Row],[Key(Compte ILN - shipper - POL - plant)]],'DATA ILN'!A:N,14,FALSE),VLOOKUP(Tableau119[[#This Row],[Key(Compte ILN - shipper - POL)]],'DATA ILN'!B:N,13,FALSE))</f>
        <v>#N/A</v>
      </c>
      <c r="X239" s="50" t="e">
        <f>IFERROR(VLOOKUP(Tableau119[[#This Row],[Key(Compte ILN - shipper - POL - plant)]],'DATA ILN'!A:P,16,FALSE),VLOOKUP(Tableau119[[#This Row],[Key(Compte ILN - shipper - POL)]],'DATA ILN'!B:P,15,FALSE))</f>
        <v>#N/A</v>
      </c>
      <c r="Y239" s="284" t="s">
        <v>149</v>
      </c>
      <c r="Z239" s="430">
        <f>IFERROR(VLOOKUP(Tableau119[[#This Row],[Name Shipper]],Plant_AILN!L:M,2,FALSE),0)</f>
        <v>2533780546</v>
      </c>
      <c r="AA239" s="406">
        <v>80</v>
      </c>
      <c r="AB239" s="396" t="b">
        <f>_xlfn.XLOOKUP(Tableau119[[#This Row],[Key(ID-date)]],'DATA BTO'!S:S,'DATA BTO'!E:E,FALSE)</f>
        <v>0</v>
      </c>
      <c r="AC239" s="3" t="b">
        <f>_xlfn.XLOOKUP(Tableau119[[#This Row],[Key(ID-date)]],'DATA BTO'!S:S,'DATA BTO'!F:F,FALSE)</f>
        <v>0</v>
      </c>
      <c r="AD239" s="50" t="b">
        <f>_xlfn.XLOOKUP(Tableau119[[#This Row],[Key(ID-date)]],'DATA BTO'!S:S,'DATA BTO'!G:G,FALSE)</f>
        <v>0</v>
      </c>
      <c r="AE239" s="50" t="b">
        <f>_xlfn.XLOOKUP(Tableau119[[#This Row],[Key(ID-date)]],'DATA BTO'!S:S,'DATA BTO'!H:H,FALSE)</f>
        <v>0</v>
      </c>
      <c r="AF239" s="447" t="e">
        <f>IF(Tableau119[[#This Row],[First Day to POL]]&lt;=Tableau119[[#This Row],[Day Cut Off]],Tableau119[[#This Row],[Day ETD]],Tableau119[[#This Row],[Day ETD]]+7)</f>
        <v>#N/A</v>
      </c>
      <c r="AG239" s="50" t="b">
        <f>_xlfn.XLOOKUP(Tableau119[[#This Row],[Key(ID-date)]],'DATA BTO'!S:S,'DATA BTO'!I:I,FALSE)</f>
        <v>0</v>
      </c>
      <c r="AH239" s="3" t="b">
        <f>_xlfn.XLOOKUP(Tableau119[[#This Row],[Key(ID-date)]],'DATA BTO'!S:S,'DATA BTO'!J:J,FALSE)</f>
        <v>0</v>
      </c>
      <c r="AI239" s="3" t="b">
        <f>_xlfn.XLOOKUP(Tableau119[[#This Row],[Key(ID-date)]],'DATA BTO'!S:S,'DATA BTO'!K:K,FALSE)</f>
        <v>0</v>
      </c>
      <c r="AJ239" s="50" t="b">
        <f>_xlfn.XLOOKUP(Tableau119[[#This Row],[Key(ID-date)]],'DATA BTO'!S:S,'DATA BTO'!L:L,FALSE)</f>
        <v>0</v>
      </c>
      <c r="AK239" s="53" t="b">
        <f>_xlfn.XLOOKUP(Tableau119[[#This Row],[Key(ID-date)]],'DATA BTO'!S:S,'DATA BTO'!N:N,FALSE)</f>
        <v>0</v>
      </c>
      <c r="AL239" s="54" t="e">
        <f>VLOOKUP(Tableau119[[#This Row],[Key(POD -PFI- Usine)]],'DATA Consignee'!A:F,6,FALSE)</f>
        <v>#N/A</v>
      </c>
      <c r="AM239" s="284"/>
      <c r="AN239" s="376" t="str">
        <f>IF(Tableau119[[#This Row],[Name PFI/CDD]]="","-",VLOOKUP(Tableau119[[#This Row],[Name PFI/CDD]],Plant_AILN!I:J,2,FALSE))</f>
        <v>-</v>
      </c>
      <c r="AO2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39" s="2" t="e">
        <f>VLOOKUP(Tableau119[[#This Row],[Key(POD -PFI- Usine)]],'DATA Consignee'!A:J,10,FALSE)</f>
        <v>#N/A</v>
      </c>
      <c r="AR239" s="50" t="e">
        <f>VLOOKUP(Tableau119[[#This Row],[Key(POD -PFI- Usine)]],'DATA Consignee'!A:N,14,FALSE)</f>
        <v>#N/A</v>
      </c>
      <c r="AS2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39" s="50">
        <f>Tableau119[[#This Row],[Transit time]]+Tableau119[[#This Row],[Time for security]]+Tableau119[[#This Row],[Time for security2 buffer]]</f>
        <v>0</v>
      </c>
      <c r="AV2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39" s="50" t="e">
        <f>Tableau119[[#This Row],[Leadtime SI2C]]+Tableau119[[#This Row],[First Receipt Days]]-Tableau119[[#This Row],[Day Customer Order]]+1</f>
        <v>#N/A</v>
      </c>
      <c r="AX239" s="119" t="e">
        <f>IF(Tableau119[[#This Row],[Name ILN]]&lt;&gt;"SFK Freight Forwarder",Tableau119[[#This Row],[Cust. Leadtime]],Tableau119[[#This Row],[Leadtime SI2C]])</f>
        <v>#N/A</v>
      </c>
      <c r="AY239" s="51" t="b">
        <f>_xlfn.XLOOKUP(Tableau119[[#This Row],[Key(ID-date)]],'DATA BTO'!S:S,'DATA BTO'!P:P,FALSE)</f>
        <v>0</v>
      </c>
      <c r="AZ239" s="338">
        <v>45991</v>
      </c>
      <c r="BA239" s="50"/>
    </row>
    <row r="240" spans="2:53">
      <c r="B240" s="418" t="str">
        <f>_xlfn.CONCAT(Tableau119[[#This Row],[Name ILN]],"-",Tableau119[[#This Row],[Name Shipper]],"-",Tableau119[[#This Row],[Name Site]])</f>
        <v>ILN Chennai-ILN Chennai-Curitiba CVP</v>
      </c>
      <c r="C240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40" s="82" t="str">
        <f>_xlfn.CONCAT(Tableau119[[#This Row],[Compte ILN]],"-",Tableau119[[#This Row],[Compte Shipper]],"-",Tableau119[[#This Row],[POL]])</f>
        <v>2533780546-2533780546-FALSO</v>
      </c>
      <c r="E240" s="83" t="str">
        <f>_xlfn.CONCAT(Tableau119[[#This Row],[POL]],"-",Tableau119[[#This Row],[Carrier]],"-",Tableau119[[#This Row],[POD]])</f>
        <v>FALSO-FALSO-FALSO</v>
      </c>
      <c r="F240" s="82" t="str">
        <f>_xlfn.CONCAT(Tableau119[[#This Row],[ID]],"-","Actif")</f>
        <v>80-Actif</v>
      </c>
      <c r="G240" s="82" t="str">
        <f>_xlfn.CONCAT(Tableau119[[#This Row],[POD]],"-",Tableau119[[#This Row],[Code PFI]],"-",Tableau119[[#This Row],[Compte Consignee]])</f>
        <v>FALSO---90018000</v>
      </c>
      <c r="H240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40" s="502" t="str">
        <f>_xlfn.CONCAT(Tableau119[[#This Row],[ID]],"-",Tableau119[[#This Row],[Expiration Date]])</f>
        <v>80-45930</v>
      </c>
      <c r="J2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Chennai-80-FALSO-FALSO-FALSO--45930</v>
      </c>
      <c r="K240" s="120" t="str">
        <f ca="1">IF(COUNTIF(J:J,Tableau119[[#This Row],[Plant-ILN-shipper-POL-Carrier-POD-PFI]])=1,"Non","Oui")</f>
        <v>Non</v>
      </c>
      <c r="L240" s="103" t="str">
        <f>VLOOKUP(Tableau119[[#This Row],[Name Site]],Plant_AILN!A:D,4,FALSE)</f>
        <v>BRAZIL</v>
      </c>
      <c r="M240" s="415" t="s">
        <v>152</v>
      </c>
      <c r="N240" s="439">
        <f>VLOOKUP(Tableau119[[#This Row],[Name Site]],Plant_AILN!A:C,3,FALSE)</f>
        <v>90018000</v>
      </c>
      <c r="O240" s="55">
        <f>VLOOKUP(Tableau119[[#This Row],[Compte Consignee]],Order!C:D,2,FALSE)</f>
        <v>7</v>
      </c>
      <c r="P240" s="126" t="s">
        <v>149</v>
      </c>
      <c r="Q240" s="366">
        <f>VLOOKUP(Tableau119[[#This Row],[Name ILN]],Plant_AILN!F:G,2,FALSE)</f>
        <v>2533780546</v>
      </c>
      <c r="R240" s="50">
        <f>VLOOKUP(Tableau119[[#This Row],[Compte ILN]],'DATA ILN'!D:I,6,FALSE)</f>
        <v>9</v>
      </c>
      <c r="S240" s="81" t="e">
        <f>IFERROR(VLOOKUP(Tableau119[[#This Row],[Key(Compte ILN - shipper - POL - plant)]],'DATA ILN'!A:J,10,FALSE),VLOOKUP(Tableau119[[#This Row],[Key(Compte ILN - shipper - POL)]],'DATA ILN'!B:J,9,FALSE))</f>
        <v>#N/A</v>
      </c>
      <c r="T240" s="81" t="e">
        <f>IFERROR(VLOOKUP(Tableau119[[#This Row],[Key(Compte ILN - shipper - POL - plant)]],'DATA ILN'!A:K,11,FALSE),VLOOKUP(Tableau119[[#This Row],[Key(Compte ILN - shipper - POL)]],'DATA ILN'!B:K,10,FALSE))</f>
        <v>#N/A</v>
      </c>
      <c r="U240" s="81" t="e">
        <f>IFERROR(VLOOKUP(Tableau119[[#This Row],[Key(Compte ILN - shipper - POL - plant)]],'DATA ILN'!A:L,12,FALSE),VLOOKUP(Tableau119[[#This Row],[Key(Compte ILN - shipper - POL)]],'DATA ILN'!B:L,11,FALSE))</f>
        <v>#N/A</v>
      </c>
      <c r="V240" s="81" t="e">
        <f>Tableau119[[#This Row],[Day ILN Order]]+Tableau119[[#This Row],[Delivery time to ILN/Shipper]]-1</f>
        <v>#N/A</v>
      </c>
      <c r="W240" s="81" t="e">
        <f>IFERROR(VLOOKUP(Tableau119[[#This Row],[Key(Compte ILN - shipper - POL - plant)]],'DATA ILN'!A:N,14,FALSE),VLOOKUP(Tableau119[[#This Row],[Key(Compte ILN - shipper - POL)]],'DATA ILN'!B:N,13,FALSE))</f>
        <v>#N/A</v>
      </c>
      <c r="X240" s="81" t="e">
        <f>IFERROR(VLOOKUP(Tableau119[[#This Row],[Key(Compte ILN - shipper - POL - plant)]],'DATA ILN'!A:P,16,FALSE),VLOOKUP(Tableau119[[#This Row],[Key(Compte ILN - shipper - POL)]],'DATA ILN'!B:P,15,FALSE))</f>
        <v>#N/A</v>
      </c>
      <c r="Y240" s="102" t="s">
        <v>149</v>
      </c>
      <c r="Z240" s="417">
        <f>IFERROR(VLOOKUP(Tableau119[[#This Row],[Name Shipper]],Plant_AILN!L:M,2,FALSE),0)</f>
        <v>2533780546</v>
      </c>
      <c r="AA240" s="416">
        <v>80</v>
      </c>
      <c r="AB240" s="396" t="b">
        <f>_xlfn.XLOOKUP(Tableau119[[#This Row],[Key(ID-date)]],'DATA BTO'!S:S,'DATA BTO'!E:E,FALSE)</f>
        <v>0</v>
      </c>
      <c r="AC240" s="3" t="b">
        <f>_xlfn.XLOOKUP(Tableau119[[#This Row],[Key(ID-date)]],'DATA BTO'!S:S,'DATA BTO'!F:F,FALSE)</f>
        <v>0</v>
      </c>
      <c r="AD240" s="50" t="b">
        <f>_xlfn.XLOOKUP(Tableau119[[#This Row],[Key(ID-date)]],'DATA BTO'!S:S,'DATA BTO'!G:G,FALSE)</f>
        <v>0</v>
      </c>
      <c r="AE240" s="50" t="b">
        <f>_xlfn.XLOOKUP(Tableau119[[#This Row],[Key(ID-date)]],'DATA BTO'!S:S,'DATA BTO'!H:H,FALSE)</f>
        <v>0</v>
      </c>
      <c r="AF240" s="81" t="e">
        <f>IF(Tableau119[[#This Row],[First Day to POL]]&lt;=Tableau119[[#This Row],[Day Cut Off]],Tableau119[[#This Row],[Day ETD]],Tableau119[[#This Row],[Day ETD]]+7)</f>
        <v>#N/A</v>
      </c>
      <c r="AG240" s="50" t="b">
        <f>_xlfn.XLOOKUP(Tableau119[[#This Row],[Key(ID-date)]],'DATA BTO'!S:S,'DATA BTO'!I:I,FALSE)</f>
        <v>0</v>
      </c>
      <c r="AH240" s="3" t="b">
        <f>_xlfn.XLOOKUP(Tableau119[[#This Row],[Key(ID-date)]],'DATA BTO'!S:S,'DATA BTO'!J:J,FALSE)</f>
        <v>0</v>
      </c>
      <c r="AI240" s="3" t="b">
        <f>_xlfn.XLOOKUP(Tableau119[[#This Row],[Key(ID-date)]],'DATA BTO'!S:S,'DATA BTO'!K:K,FALSE)</f>
        <v>0</v>
      </c>
      <c r="AJ240" s="50" t="b">
        <f>_xlfn.XLOOKUP(Tableau119[[#This Row],[Key(ID-date)]],'DATA BTO'!S:S,'DATA BTO'!L:L,FALSE)</f>
        <v>0</v>
      </c>
      <c r="AK240" s="53" t="b">
        <f>_xlfn.XLOOKUP(Tableau119[[#This Row],[Key(ID-date)]],'DATA BTO'!S:S,'DATA BTO'!N:N,FALSE)</f>
        <v>0</v>
      </c>
      <c r="AL240" s="107" t="e">
        <f>VLOOKUP(Tableau119[[#This Row],[Key(POD -PFI- Usine)]],'DATA Consignee'!A:F,6,FALSE)</f>
        <v>#N/A</v>
      </c>
      <c r="AM240" s="102"/>
      <c r="AN240" s="375" t="str">
        <f>IF(Tableau119[[#This Row],[Name PFI/CDD]]="","-",VLOOKUP(Tableau119[[#This Row],[Name PFI/CDD]],Plant_AILN!I:J,2,FALSE))</f>
        <v>-</v>
      </c>
      <c r="AO24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0" s="110" t="e">
        <f>VLOOKUP(Tableau119[[#This Row],[Key(POD -PFI- Usine)]],'DATA Consignee'!A:J,10,FALSE)</f>
        <v>#N/A</v>
      </c>
      <c r="AR240" s="81" t="e">
        <f>VLOOKUP(Tableau119[[#This Row],[Key(POD -PFI- Usine)]],'DATA Consignee'!A:N,14,FALSE)</f>
        <v>#N/A</v>
      </c>
      <c r="AS24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0" s="81">
        <f>Tableau119[[#This Row],[Transit time]]+Tableau119[[#This Row],[Time for security]]+Tableau119[[#This Row],[Time for security2 buffer]]</f>
        <v>0</v>
      </c>
      <c r="AV240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0" s="81" t="e">
        <f>Tableau119[[#This Row],[Leadtime SI2C]]+Tableau119[[#This Row],[First Receipt Days]]-Tableau119[[#This Row],[Day Customer Order]]+1</f>
        <v>#N/A</v>
      </c>
      <c r="AX240" s="120" t="e">
        <f>IF(Tableau119[[#This Row],[Name ILN]]&lt;&gt;"SFK Freight Forwarder",Tableau119[[#This Row],[Cust. Leadtime]],Tableau119[[#This Row],[Leadtime SI2C]])</f>
        <v>#N/A</v>
      </c>
      <c r="AY240" s="51" t="b">
        <f>_xlfn.XLOOKUP(Tableau119[[#This Row],[Key(ID-date)]],'DATA BTO'!S:S,'DATA BTO'!P:P,FALSE)</f>
        <v>0</v>
      </c>
      <c r="AZ240" s="388">
        <v>45930</v>
      </c>
      <c r="BA240" s="50"/>
    </row>
    <row r="241" spans="2:53">
      <c r="B241" s="418" t="str">
        <f>_xlfn.CONCAT(Tableau119[[#This Row],[Name ILN]],"-",Tableau119[[#This Row],[Name Shipper]],"-",Tableau119[[#This Row],[Name Site]])</f>
        <v>ILN Chennai-ILN Chennai-Curitiba CVU</v>
      </c>
      <c r="C241" s="82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41" s="82" t="str">
        <f>_xlfn.CONCAT(Tableau119[[#This Row],[Compte ILN]],"-",Tableau119[[#This Row],[Compte Shipper]],"-",Tableau119[[#This Row],[POL]])</f>
        <v>2533780546-2533780546-FALSO</v>
      </c>
      <c r="E241" s="83" t="str">
        <f>_xlfn.CONCAT(Tableau119[[#This Row],[POL]],"-",Tableau119[[#This Row],[Carrier]],"-",Tableau119[[#This Row],[POD]])</f>
        <v>FALSO-FALSO-FALSO</v>
      </c>
      <c r="F241" s="82" t="str">
        <f>_xlfn.CONCAT(Tableau119[[#This Row],[ID]],"-","Actif")</f>
        <v>80-Actif</v>
      </c>
      <c r="G241" s="82" t="str">
        <f>_xlfn.CONCAT(Tableau119[[#This Row],[POD]],"-",Tableau119[[#This Row],[Code PFI]],"-",Tableau119[[#This Row],[Compte Consignee]])</f>
        <v>FALSO---90018500</v>
      </c>
      <c r="H241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41" s="502" t="str">
        <f>_xlfn.CONCAT(Tableau119[[#This Row],[ID]],"-",Tableau119[[#This Row],[Expiration Date]])</f>
        <v>80-45930</v>
      </c>
      <c r="J2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Chennai-80-FALSO-FALSO-FALSO--45930</v>
      </c>
      <c r="K241" s="120" t="str">
        <f ca="1">IF(COUNTIF(J:J,Tableau119[[#This Row],[Plant-ILN-shipper-POL-Carrier-POD-PFI]])=1,"Non","Oui")</f>
        <v>Non</v>
      </c>
      <c r="L241" s="103" t="str">
        <f>VLOOKUP(Tableau119[[#This Row],[Name Site]],Plant_AILN!A:D,4,FALSE)</f>
        <v>BRAZIL</v>
      </c>
      <c r="M241" s="415" t="s">
        <v>639</v>
      </c>
      <c r="N241" s="439">
        <f>VLOOKUP(Tableau119[[#This Row],[Name Site]],Plant_AILN!A:C,3,FALSE)</f>
        <v>90018500</v>
      </c>
      <c r="O241" s="55">
        <f>VLOOKUP(Tableau119[[#This Row],[Compte Consignee]],Order!C:D,2,FALSE)</f>
        <v>7</v>
      </c>
      <c r="P241" s="126" t="s">
        <v>149</v>
      </c>
      <c r="Q241" s="366">
        <f>VLOOKUP(Tableau119[[#This Row],[Name ILN]],Plant_AILN!F:G,2,FALSE)</f>
        <v>2533780546</v>
      </c>
      <c r="R241" s="50">
        <f>VLOOKUP(Tableau119[[#This Row],[Compte ILN]],'DATA ILN'!D:I,6,FALSE)</f>
        <v>9</v>
      </c>
      <c r="S241" s="81" t="e">
        <f>IFERROR(VLOOKUP(Tableau119[[#This Row],[Key(Compte ILN - shipper - POL - plant)]],'DATA ILN'!A:J,10,FALSE),VLOOKUP(Tableau119[[#This Row],[Key(Compte ILN - shipper - POL)]],'DATA ILN'!B:J,9,FALSE))</f>
        <v>#N/A</v>
      </c>
      <c r="T241" s="81" t="e">
        <f>IFERROR(VLOOKUP(Tableau119[[#This Row],[Key(Compte ILN - shipper - POL - plant)]],'DATA ILN'!A:K,11,FALSE),VLOOKUP(Tableau119[[#This Row],[Key(Compte ILN - shipper - POL)]],'DATA ILN'!B:K,10,FALSE))</f>
        <v>#N/A</v>
      </c>
      <c r="U241" s="81" t="e">
        <f>IFERROR(VLOOKUP(Tableau119[[#This Row],[Key(Compte ILN - shipper - POL - plant)]],'DATA ILN'!A:L,12,FALSE),VLOOKUP(Tableau119[[#This Row],[Key(Compte ILN - shipper - POL)]],'DATA ILN'!B:L,11,FALSE))</f>
        <v>#N/A</v>
      </c>
      <c r="V241" s="81" t="e">
        <f>Tableau119[[#This Row],[Day ILN Order]]+Tableau119[[#This Row],[Delivery time to ILN/Shipper]]-1</f>
        <v>#N/A</v>
      </c>
      <c r="W241" s="81" t="e">
        <f>IFERROR(VLOOKUP(Tableau119[[#This Row],[Key(Compte ILN - shipper - POL - plant)]],'DATA ILN'!A:N,14,FALSE),VLOOKUP(Tableau119[[#This Row],[Key(Compte ILN - shipper - POL)]],'DATA ILN'!B:N,13,FALSE))</f>
        <v>#N/A</v>
      </c>
      <c r="X241" s="81" t="e">
        <f>IFERROR(VLOOKUP(Tableau119[[#This Row],[Key(Compte ILN - shipper - POL - plant)]],'DATA ILN'!A:P,16,FALSE),VLOOKUP(Tableau119[[#This Row],[Key(Compte ILN - shipper - POL)]],'DATA ILN'!B:P,15,FALSE))</f>
        <v>#N/A</v>
      </c>
      <c r="Y241" s="102" t="s">
        <v>149</v>
      </c>
      <c r="Z241" s="417">
        <f>IFERROR(VLOOKUP(Tableau119[[#This Row],[Name Shipper]],Plant_AILN!L:M,2,FALSE),0)</f>
        <v>2533780546</v>
      </c>
      <c r="AA241" s="416">
        <v>80</v>
      </c>
      <c r="AB241" s="396" t="b">
        <f>_xlfn.XLOOKUP(Tableau119[[#This Row],[Key(ID-date)]],'DATA BTO'!S:S,'DATA BTO'!E:E,FALSE)</f>
        <v>0</v>
      </c>
      <c r="AC241" s="3" t="b">
        <f>_xlfn.XLOOKUP(Tableau119[[#This Row],[Key(ID-date)]],'DATA BTO'!S:S,'DATA BTO'!F:F,FALSE)</f>
        <v>0</v>
      </c>
      <c r="AD241" s="50" t="b">
        <f>_xlfn.XLOOKUP(Tableau119[[#This Row],[Key(ID-date)]],'DATA BTO'!S:S,'DATA BTO'!G:G,FALSE)</f>
        <v>0</v>
      </c>
      <c r="AE241" s="50" t="b">
        <f>_xlfn.XLOOKUP(Tableau119[[#This Row],[Key(ID-date)]],'DATA BTO'!S:S,'DATA BTO'!H:H,FALSE)</f>
        <v>0</v>
      </c>
      <c r="AF241" s="81" t="e">
        <f>IF(Tableau119[[#This Row],[First Day to POL]]&lt;=Tableau119[[#This Row],[Day Cut Off]],Tableau119[[#This Row],[Day ETD]],Tableau119[[#This Row],[Day ETD]]+7)</f>
        <v>#N/A</v>
      </c>
      <c r="AG241" s="50" t="b">
        <f>_xlfn.XLOOKUP(Tableau119[[#This Row],[Key(ID-date)]],'DATA BTO'!S:S,'DATA BTO'!I:I,FALSE)</f>
        <v>0</v>
      </c>
      <c r="AH241" s="3" t="b">
        <f>_xlfn.XLOOKUP(Tableau119[[#This Row],[Key(ID-date)]],'DATA BTO'!S:S,'DATA BTO'!J:J,FALSE)</f>
        <v>0</v>
      </c>
      <c r="AI241" s="3" t="b">
        <f>_xlfn.XLOOKUP(Tableau119[[#This Row],[Key(ID-date)]],'DATA BTO'!S:S,'DATA BTO'!K:K,FALSE)</f>
        <v>0</v>
      </c>
      <c r="AJ241" s="50" t="b">
        <f>_xlfn.XLOOKUP(Tableau119[[#This Row],[Key(ID-date)]],'DATA BTO'!S:S,'DATA BTO'!L:L,FALSE)</f>
        <v>0</v>
      </c>
      <c r="AK241" s="53" t="b">
        <f>_xlfn.XLOOKUP(Tableau119[[#This Row],[Key(ID-date)]],'DATA BTO'!S:S,'DATA BTO'!N:N,FALSE)</f>
        <v>0</v>
      </c>
      <c r="AL241" s="107" t="e">
        <f>VLOOKUP(Tableau119[[#This Row],[Key(POD -PFI- Usine)]],'DATA Consignee'!A:F,6,FALSE)</f>
        <v>#N/A</v>
      </c>
      <c r="AM241" s="102"/>
      <c r="AN241" s="375" t="str">
        <f>IF(Tableau119[[#This Row],[Name PFI/CDD]]="","-",VLOOKUP(Tableau119[[#This Row],[Name PFI/CDD]],Plant_AILN!I:J,2,FALSE))</f>
        <v>-</v>
      </c>
      <c r="AO24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1" s="110" t="e">
        <f>VLOOKUP(Tableau119[[#This Row],[Key(POD -PFI- Usine)]],'DATA Consignee'!A:J,10,FALSE)</f>
        <v>#N/A</v>
      </c>
      <c r="AR241" s="81" t="e">
        <f>VLOOKUP(Tableau119[[#This Row],[Key(POD -PFI- Usine)]],'DATA Consignee'!A:N,14,FALSE)</f>
        <v>#N/A</v>
      </c>
      <c r="AS24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1" s="81">
        <f>Tableau119[[#This Row],[Transit time]]+Tableau119[[#This Row],[Time for security]]+Tableau119[[#This Row],[Time for security2 buffer]]</f>
        <v>0</v>
      </c>
      <c r="AV241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1" s="81" t="e">
        <f>Tableau119[[#This Row],[Leadtime SI2C]]+Tableau119[[#This Row],[First Receipt Days]]-Tableau119[[#This Row],[Day Customer Order]]+1</f>
        <v>#N/A</v>
      </c>
      <c r="AX241" s="120" t="e">
        <f>IF(Tableau119[[#This Row],[Name ILN]]&lt;&gt;"SFK Freight Forwarder",Tableau119[[#This Row],[Cust. Leadtime]],Tableau119[[#This Row],[Leadtime SI2C]])</f>
        <v>#N/A</v>
      </c>
      <c r="AY241" s="51" t="b">
        <f>_xlfn.XLOOKUP(Tableau119[[#This Row],[Key(ID-date)]],'DATA BTO'!S:S,'DATA BTO'!P:P,FALSE)</f>
        <v>0</v>
      </c>
      <c r="AZ241" s="388">
        <v>45930</v>
      </c>
      <c r="BA241" s="50"/>
    </row>
    <row r="242" spans="2:53">
      <c r="B242" s="418" t="str">
        <f>_xlfn.CONCAT(Tableau119[[#This Row],[Name ILN]],"-",Tableau119[[#This Row],[Name Shipper]],"-",Tableau119[[#This Row],[Name Site]])</f>
        <v>ILN Chennai-ILN Chennai-Curitiba CVP</v>
      </c>
      <c r="C242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42" s="82" t="str">
        <f>_xlfn.CONCAT(Tableau119[[#This Row],[Compte ILN]],"-",Tableau119[[#This Row],[Compte Shipper]],"-",Tableau119[[#This Row],[POL]])</f>
        <v>2533780546-2533780546-FALSO</v>
      </c>
      <c r="E242" s="83" t="str">
        <f>_xlfn.CONCAT(Tableau119[[#This Row],[POL]],"-",Tableau119[[#This Row],[Carrier]],"-",Tableau119[[#This Row],[POD]])</f>
        <v>FALSO-FALSO-FALSO</v>
      </c>
      <c r="F242" s="82" t="str">
        <f>_xlfn.CONCAT(Tableau119[[#This Row],[ID]],"-","Actif")</f>
        <v>80-Actif</v>
      </c>
      <c r="G242" s="82" t="str">
        <f>_xlfn.CONCAT(Tableau119[[#This Row],[POD]],"-",Tableau119[[#This Row],[Code PFI]],"-",Tableau119[[#This Row],[Compte Consignee]])</f>
        <v>FALSO---90018000</v>
      </c>
      <c r="H242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42" s="502" t="str">
        <f>_xlfn.CONCAT(Tableau119[[#This Row],[ID]],"-",Tableau119[[#This Row],[Expiration Date]])</f>
        <v>80-45869</v>
      </c>
      <c r="J2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Chennai-80-FALSO-FALSO-FALSO--45869</v>
      </c>
      <c r="K242" s="120" t="str">
        <f ca="1">IF(COUNTIF(J:J,Tableau119[[#This Row],[Plant-ILN-shipper-POL-Carrier-POD-PFI]])=1,"Non","Oui")</f>
        <v>Non</v>
      </c>
      <c r="L242" s="103" t="str">
        <f>VLOOKUP(Tableau119[[#This Row],[Name Site]],Plant_AILN!A:D,4,FALSE)</f>
        <v>BRAZIL</v>
      </c>
      <c r="M242" s="415" t="s">
        <v>152</v>
      </c>
      <c r="N242" s="439">
        <f>VLOOKUP(Tableau119[[#This Row],[Name Site]],Plant_AILN!A:C,3,FALSE)</f>
        <v>90018000</v>
      </c>
      <c r="O242" s="55">
        <f>VLOOKUP(Tableau119[[#This Row],[Compte Consignee]],Order!C:D,2,FALSE)</f>
        <v>7</v>
      </c>
      <c r="P242" s="126" t="s">
        <v>149</v>
      </c>
      <c r="Q242" s="366">
        <f>VLOOKUP(Tableau119[[#This Row],[Name ILN]],Plant_AILN!F:G,2,FALSE)</f>
        <v>2533780546</v>
      </c>
      <c r="R242" s="50">
        <f>VLOOKUP(Tableau119[[#This Row],[Compte ILN]],'DATA ILN'!D:I,6,FALSE)</f>
        <v>9</v>
      </c>
      <c r="S242" s="81" t="e">
        <f>IFERROR(VLOOKUP(Tableau119[[#This Row],[Key(Compte ILN - shipper - POL - plant)]],'DATA ILN'!A:J,10,FALSE),VLOOKUP(Tableau119[[#This Row],[Key(Compte ILN - shipper - POL)]],'DATA ILN'!B:J,9,FALSE))</f>
        <v>#N/A</v>
      </c>
      <c r="T242" s="81" t="e">
        <f>IFERROR(VLOOKUP(Tableau119[[#This Row],[Key(Compte ILN - shipper - POL - plant)]],'DATA ILN'!A:K,11,FALSE),VLOOKUP(Tableau119[[#This Row],[Key(Compte ILN - shipper - POL)]],'DATA ILN'!B:K,10,FALSE))</f>
        <v>#N/A</v>
      </c>
      <c r="U242" s="81" t="e">
        <f>IFERROR(VLOOKUP(Tableau119[[#This Row],[Key(Compte ILN - shipper - POL - plant)]],'DATA ILN'!A:L,12,FALSE),VLOOKUP(Tableau119[[#This Row],[Key(Compte ILN - shipper - POL)]],'DATA ILN'!B:L,11,FALSE))</f>
        <v>#N/A</v>
      </c>
      <c r="V242" s="81" t="e">
        <f>Tableau119[[#This Row],[Day ILN Order]]+Tableau119[[#This Row],[Delivery time to ILN/Shipper]]-1</f>
        <v>#N/A</v>
      </c>
      <c r="W242" s="81" t="e">
        <f>IFERROR(VLOOKUP(Tableau119[[#This Row],[Key(Compte ILN - shipper - POL - plant)]],'DATA ILN'!A:N,14,FALSE),VLOOKUP(Tableau119[[#This Row],[Key(Compte ILN - shipper - POL)]],'DATA ILN'!B:N,13,FALSE))</f>
        <v>#N/A</v>
      </c>
      <c r="X242" s="81" t="e">
        <f>IFERROR(VLOOKUP(Tableau119[[#This Row],[Key(Compte ILN - shipper - POL - plant)]],'DATA ILN'!A:P,16,FALSE),VLOOKUP(Tableau119[[#This Row],[Key(Compte ILN - shipper - POL)]],'DATA ILN'!B:P,15,FALSE))</f>
        <v>#N/A</v>
      </c>
      <c r="Y242" s="102" t="s">
        <v>149</v>
      </c>
      <c r="Z242" s="417">
        <f>IFERROR(VLOOKUP(Tableau119[[#This Row],[Name Shipper]],Plant_AILN!L:M,2,FALSE),0)</f>
        <v>2533780546</v>
      </c>
      <c r="AA242" s="488">
        <v>80</v>
      </c>
      <c r="AB242" s="396" t="b">
        <f>_xlfn.XLOOKUP(Tableau119[[#This Row],[Key(ID-date)]],'DATA BTO'!S:S,'DATA BTO'!E:E,FALSE)</f>
        <v>0</v>
      </c>
      <c r="AC242" s="3" t="b">
        <f>_xlfn.XLOOKUP(Tableau119[[#This Row],[Key(ID-date)]],'DATA BTO'!S:S,'DATA BTO'!F:F,FALSE)</f>
        <v>0</v>
      </c>
      <c r="AD242" s="50" t="b">
        <f>_xlfn.XLOOKUP(Tableau119[[#This Row],[Key(ID-date)]],'DATA BTO'!S:S,'DATA BTO'!G:G,FALSE)</f>
        <v>0</v>
      </c>
      <c r="AE242" s="50" t="b">
        <f>_xlfn.XLOOKUP(Tableau119[[#This Row],[Key(ID-date)]],'DATA BTO'!S:S,'DATA BTO'!H:H,FALSE)</f>
        <v>0</v>
      </c>
      <c r="AF242" s="81" t="e">
        <f>IF(Tableau119[[#This Row],[First Day to POL]]&lt;=Tableau119[[#This Row],[Day Cut Off]],Tableau119[[#This Row],[Day ETD]],Tableau119[[#This Row],[Day ETD]]+7)</f>
        <v>#N/A</v>
      </c>
      <c r="AG242" s="50" t="b">
        <f>_xlfn.XLOOKUP(Tableau119[[#This Row],[Key(ID-date)]],'DATA BTO'!S:S,'DATA BTO'!I:I,FALSE)</f>
        <v>0</v>
      </c>
      <c r="AH242" s="3" t="b">
        <f>_xlfn.XLOOKUP(Tableau119[[#This Row],[Key(ID-date)]],'DATA BTO'!S:S,'DATA BTO'!J:J,FALSE)</f>
        <v>0</v>
      </c>
      <c r="AI242" s="3" t="b">
        <f>_xlfn.XLOOKUP(Tableau119[[#This Row],[Key(ID-date)]],'DATA BTO'!S:S,'DATA BTO'!K:K,FALSE)</f>
        <v>0</v>
      </c>
      <c r="AJ242" s="50" t="b">
        <f>_xlfn.XLOOKUP(Tableau119[[#This Row],[Key(ID-date)]],'DATA BTO'!S:S,'DATA BTO'!L:L,FALSE)</f>
        <v>0</v>
      </c>
      <c r="AK242" s="53" t="b">
        <f>_xlfn.XLOOKUP(Tableau119[[#This Row],[Key(ID-date)]],'DATA BTO'!S:S,'DATA BTO'!N:N,FALSE)</f>
        <v>0</v>
      </c>
      <c r="AL242" s="107" t="e">
        <f>VLOOKUP(Tableau119[[#This Row],[Key(POD -PFI- Usine)]],'DATA Consignee'!A:F,6,FALSE)</f>
        <v>#N/A</v>
      </c>
      <c r="AM242" s="102"/>
      <c r="AN242" s="375" t="str">
        <f>IF(Tableau119[[#This Row],[Name PFI/CDD]]="","-",VLOOKUP(Tableau119[[#This Row],[Name PFI/CDD]],Plant_AILN!I:J,2,FALSE))</f>
        <v>-</v>
      </c>
      <c r="AO24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2" s="110" t="e">
        <f>VLOOKUP(Tableau119[[#This Row],[Key(POD -PFI- Usine)]],'DATA Consignee'!A:J,10,FALSE)</f>
        <v>#N/A</v>
      </c>
      <c r="AR242" s="81" t="e">
        <f>VLOOKUP(Tableau119[[#This Row],[Key(POD -PFI- Usine)]],'DATA Consignee'!A:N,14,FALSE)</f>
        <v>#N/A</v>
      </c>
      <c r="AS24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2" s="81">
        <f>Tableau119[[#This Row],[Transit time]]+Tableau119[[#This Row],[Time for security]]+Tableau119[[#This Row],[Time for security2 buffer]]</f>
        <v>0</v>
      </c>
      <c r="AV242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2" s="81" t="e">
        <f>Tableau119[[#This Row],[Leadtime SI2C]]+Tableau119[[#This Row],[First Receipt Days]]-Tableau119[[#This Row],[Day Customer Order]]+1</f>
        <v>#N/A</v>
      </c>
      <c r="AX242" s="120" t="e">
        <f>IF(Tableau119[[#This Row],[Name ILN]]&lt;&gt;"SFK Freight Forwarder",Tableau119[[#This Row],[Cust. Leadtime]],Tableau119[[#This Row],[Leadtime SI2C]])</f>
        <v>#N/A</v>
      </c>
      <c r="AY242" s="51" t="b">
        <f>_xlfn.XLOOKUP(Tableau119[[#This Row],[Key(ID-date)]],'DATA BTO'!S:S,'DATA BTO'!P:P,FALSE)</f>
        <v>0</v>
      </c>
      <c r="AZ242" s="388">
        <v>45869</v>
      </c>
      <c r="BA242" s="81"/>
    </row>
    <row r="243" spans="2:53">
      <c r="B243" s="418" t="str">
        <f>_xlfn.CONCAT(Tableau119[[#This Row],[Name ILN]],"-",Tableau119[[#This Row],[Name Shipper]],"-",Tableau119[[#This Row],[Name Site]])</f>
        <v>ILN Chennai-ILN Chennai-Curitiba CVU</v>
      </c>
      <c r="C243" s="82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43" s="82" t="str">
        <f>_xlfn.CONCAT(Tableau119[[#This Row],[Compte ILN]],"-",Tableau119[[#This Row],[Compte Shipper]],"-",Tableau119[[#This Row],[POL]])</f>
        <v>2533780546-2533780546-FALSO</v>
      </c>
      <c r="E243" s="83" t="str">
        <f>_xlfn.CONCAT(Tableau119[[#This Row],[POL]],"-",Tableau119[[#This Row],[Carrier]],"-",Tableau119[[#This Row],[POD]])</f>
        <v>FALSO-FALSO-FALSO</v>
      </c>
      <c r="F243" s="82" t="str">
        <f>_xlfn.CONCAT(Tableau119[[#This Row],[ID]],"-","Actif")</f>
        <v>80-Actif</v>
      </c>
      <c r="G243" s="82" t="str">
        <f>_xlfn.CONCAT(Tableau119[[#This Row],[POD]],"-",Tableau119[[#This Row],[Code PFI]],"-",Tableau119[[#This Row],[Compte Consignee]])</f>
        <v>FALSO---90018500</v>
      </c>
      <c r="H24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43" s="502" t="str">
        <f>_xlfn.CONCAT(Tableau119[[#This Row],[ID]],"-",Tableau119[[#This Row],[Expiration Date]])</f>
        <v>80-45869</v>
      </c>
      <c r="J2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Chennai-80-FALSO-FALSO-FALSO--45869</v>
      </c>
      <c r="K243" s="120" t="str">
        <f ca="1">IF(COUNTIF(J:J,Tableau119[[#This Row],[Plant-ILN-shipper-POL-Carrier-POD-PFI]])=1,"Non","Oui")</f>
        <v>Non</v>
      </c>
      <c r="L243" s="103" t="str">
        <f>VLOOKUP(Tableau119[[#This Row],[Name Site]],Plant_AILN!A:D,4,FALSE)</f>
        <v>BRAZIL</v>
      </c>
      <c r="M243" s="415" t="s">
        <v>639</v>
      </c>
      <c r="N243" s="439">
        <f>VLOOKUP(Tableau119[[#This Row],[Name Site]],Plant_AILN!A:C,3,FALSE)</f>
        <v>90018500</v>
      </c>
      <c r="O243" s="55">
        <f>VLOOKUP(Tableau119[[#This Row],[Compte Consignee]],Order!C:D,2,FALSE)</f>
        <v>7</v>
      </c>
      <c r="P243" s="126" t="s">
        <v>149</v>
      </c>
      <c r="Q243" s="366">
        <f>VLOOKUP(Tableau119[[#This Row],[Name ILN]],Plant_AILN!F:G,2,FALSE)</f>
        <v>2533780546</v>
      </c>
      <c r="R243" s="50">
        <f>VLOOKUP(Tableau119[[#This Row],[Compte ILN]],'DATA ILN'!D:I,6,FALSE)</f>
        <v>9</v>
      </c>
      <c r="S243" s="81" t="e">
        <f>IFERROR(VLOOKUP(Tableau119[[#This Row],[Key(Compte ILN - shipper - POL - plant)]],'DATA ILN'!A:J,10,FALSE),VLOOKUP(Tableau119[[#This Row],[Key(Compte ILN - shipper - POL)]],'DATA ILN'!B:J,9,FALSE))</f>
        <v>#N/A</v>
      </c>
      <c r="T243" s="81" t="e">
        <f>IFERROR(VLOOKUP(Tableau119[[#This Row],[Key(Compte ILN - shipper - POL - plant)]],'DATA ILN'!A:K,11,FALSE),VLOOKUP(Tableau119[[#This Row],[Key(Compte ILN - shipper - POL)]],'DATA ILN'!B:K,10,FALSE))</f>
        <v>#N/A</v>
      </c>
      <c r="U243" s="81" t="e">
        <f>IFERROR(VLOOKUP(Tableau119[[#This Row],[Key(Compte ILN - shipper - POL - plant)]],'DATA ILN'!A:L,12,FALSE),VLOOKUP(Tableau119[[#This Row],[Key(Compte ILN - shipper - POL)]],'DATA ILN'!B:L,11,FALSE))</f>
        <v>#N/A</v>
      </c>
      <c r="V243" s="81" t="e">
        <f>Tableau119[[#This Row],[Day ILN Order]]+Tableau119[[#This Row],[Delivery time to ILN/Shipper]]-1</f>
        <v>#N/A</v>
      </c>
      <c r="W243" s="81" t="e">
        <f>IFERROR(VLOOKUP(Tableau119[[#This Row],[Key(Compte ILN - shipper - POL - plant)]],'DATA ILN'!A:N,14,FALSE),VLOOKUP(Tableau119[[#This Row],[Key(Compte ILN - shipper - POL)]],'DATA ILN'!B:N,13,FALSE))</f>
        <v>#N/A</v>
      </c>
      <c r="X243" s="81" t="e">
        <f>IFERROR(VLOOKUP(Tableau119[[#This Row],[Key(Compte ILN - shipper - POL - plant)]],'DATA ILN'!A:P,16,FALSE),VLOOKUP(Tableau119[[#This Row],[Key(Compte ILN - shipper - POL)]],'DATA ILN'!B:P,15,FALSE))</f>
        <v>#N/A</v>
      </c>
      <c r="Y243" s="486" t="s">
        <v>149</v>
      </c>
      <c r="Z243" s="417">
        <f>IFERROR(VLOOKUP(Tableau119[[#This Row],[Name Shipper]],Plant_AILN!L:M,2,FALSE),0)</f>
        <v>2533780546</v>
      </c>
      <c r="AA243" s="416">
        <v>80</v>
      </c>
      <c r="AB243" s="396" t="b">
        <f>_xlfn.XLOOKUP(Tableau119[[#This Row],[Key(ID-date)]],'DATA BTO'!S:S,'DATA BTO'!E:E,FALSE)</f>
        <v>0</v>
      </c>
      <c r="AC243" s="3" t="b">
        <f>_xlfn.XLOOKUP(Tableau119[[#This Row],[Key(ID-date)]],'DATA BTO'!S:S,'DATA BTO'!F:F,FALSE)</f>
        <v>0</v>
      </c>
      <c r="AD243" s="50" t="b">
        <f>_xlfn.XLOOKUP(Tableau119[[#This Row],[Key(ID-date)]],'DATA BTO'!S:S,'DATA BTO'!G:G,FALSE)</f>
        <v>0</v>
      </c>
      <c r="AE243" s="50" t="b">
        <f>_xlfn.XLOOKUP(Tableau119[[#This Row],[Key(ID-date)]],'DATA BTO'!S:S,'DATA BTO'!H:H,FALSE)</f>
        <v>0</v>
      </c>
      <c r="AF243" s="81" t="e">
        <f>IF(Tableau119[[#This Row],[First Day to POL]]&lt;=Tableau119[[#This Row],[Day Cut Off]],Tableau119[[#This Row],[Day ETD]],Tableau119[[#This Row],[Day ETD]]+7)</f>
        <v>#N/A</v>
      </c>
      <c r="AG243" s="50" t="b">
        <f>_xlfn.XLOOKUP(Tableau119[[#This Row],[Key(ID-date)]],'DATA BTO'!S:S,'DATA BTO'!I:I,FALSE)</f>
        <v>0</v>
      </c>
      <c r="AH243" s="3" t="b">
        <f>_xlfn.XLOOKUP(Tableau119[[#This Row],[Key(ID-date)]],'DATA BTO'!S:S,'DATA BTO'!J:J,FALSE)</f>
        <v>0</v>
      </c>
      <c r="AI243" s="3" t="b">
        <f>_xlfn.XLOOKUP(Tableau119[[#This Row],[Key(ID-date)]],'DATA BTO'!S:S,'DATA BTO'!K:K,FALSE)</f>
        <v>0</v>
      </c>
      <c r="AJ243" s="50" t="b">
        <f>_xlfn.XLOOKUP(Tableau119[[#This Row],[Key(ID-date)]],'DATA BTO'!S:S,'DATA BTO'!L:L,FALSE)</f>
        <v>0</v>
      </c>
      <c r="AK243" s="53" t="b">
        <f>_xlfn.XLOOKUP(Tableau119[[#This Row],[Key(ID-date)]],'DATA BTO'!S:S,'DATA BTO'!N:N,FALSE)</f>
        <v>0</v>
      </c>
      <c r="AL243" s="107" t="e">
        <f>VLOOKUP(Tableau119[[#This Row],[Key(POD -PFI- Usine)]],'DATA Consignee'!A:F,6,FALSE)</f>
        <v>#N/A</v>
      </c>
      <c r="AM243" s="102"/>
      <c r="AN243" s="375" t="str">
        <f>IF(Tableau119[[#This Row],[Name PFI/CDD]]="","-",VLOOKUP(Tableau119[[#This Row],[Name PFI/CDD]],Plant_AILN!I:J,2,FALSE))</f>
        <v>-</v>
      </c>
      <c r="AO24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3" s="397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3" s="110" t="e">
        <f>VLOOKUP(Tableau119[[#This Row],[Key(POD -PFI- Usine)]],'DATA Consignee'!A:J,10,FALSE)</f>
        <v>#N/A</v>
      </c>
      <c r="AR243" s="81" t="e">
        <f>VLOOKUP(Tableau119[[#This Row],[Key(POD -PFI- Usine)]],'DATA Consignee'!A:N,14,FALSE)</f>
        <v>#N/A</v>
      </c>
      <c r="AS24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3" s="81">
        <f>Tableau119[[#This Row],[Transit time]]+Tableau119[[#This Row],[Time for security]]+Tableau119[[#This Row],[Time for security2 buffer]]</f>
        <v>0</v>
      </c>
      <c r="AV24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3" s="81" t="e">
        <f>Tableau119[[#This Row],[Leadtime SI2C]]+Tableau119[[#This Row],[First Receipt Days]]-Tableau119[[#This Row],[Day Customer Order]]+1</f>
        <v>#N/A</v>
      </c>
      <c r="AX243" s="120" t="e">
        <f>IF(Tableau119[[#This Row],[Name ILN]]&lt;&gt;"SFK Freight Forwarder",Tableau119[[#This Row],[Cust. Leadtime]],Tableau119[[#This Row],[Leadtime SI2C]])</f>
        <v>#N/A</v>
      </c>
      <c r="AY243" s="51" t="b">
        <f>_xlfn.XLOOKUP(Tableau119[[#This Row],[Key(ID-date)]],'DATA BTO'!S:S,'DATA BTO'!P:P,FALSE)</f>
        <v>0</v>
      </c>
      <c r="AZ243" s="388">
        <v>45869</v>
      </c>
      <c r="BA243" s="81"/>
    </row>
    <row r="244" spans="2:53">
      <c r="B244" s="418" t="str">
        <f>_xlfn.CONCAT(Tableau119[[#This Row],[Name ILN]],"-",Tableau119[[#This Row],[Name Shipper]],"-",Tableau119[[#This Row],[Name Site]])</f>
        <v>ILN Chennai-ILN Chennai-Curitiba CVP</v>
      </c>
      <c r="C244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44" s="82" t="str">
        <f>_xlfn.CONCAT(Tableau119[[#This Row],[Compte ILN]],"-",Tableau119[[#This Row],[Compte Shipper]],"-",Tableau119[[#This Row],[POL]])</f>
        <v>2533780546-2533780546-FALSO</v>
      </c>
      <c r="E244" s="83" t="str">
        <f>_xlfn.CONCAT(Tableau119[[#This Row],[POL]],"-",Tableau119[[#This Row],[Carrier]],"-",Tableau119[[#This Row],[POD]])</f>
        <v>FALSO-FALSO-FALSO</v>
      </c>
      <c r="F244" s="82" t="str">
        <f>_xlfn.CONCAT(Tableau119[[#This Row],[ID]],"-","Actif")</f>
        <v>80-Actif</v>
      </c>
      <c r="G244" s="82" t="str">
        <f>_xlfn.CONCAT(Tableau119[[#This Row],[POD]],"-",Tableau119[[#This Row],[Code PFI]],"-",Tableau119[[#This Row],[Compte Consignee]])</f>
        <v>FALSO---90018000</v>
      </c>
      <c r="H244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44" s="502" t="str">
        <f>_xlfn.CONCAT(Tableau119[[#This Row],[ID]],"-",Tableau119[[#This Row],[Expiration Date]])</f>
        <v>80-45777</v>
      </c>
      <c r="J2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Chennai-80-FALSO-FALSO-FALSO--45777</v>
      </c>
      <c r="K244" s="120" t="str">
        <f ca="1">IF(COUNTIF(J:J,Tableau119[[#This Row],[Plant-ILN-shipper-POL-Carrier-POD-PFI]])=1,"Non","Oui")</f>
        <v>Non</v>
      </c>
      <c r="L244" s="103" t="str">
        <f>VLOOKUP(Tableau119[[#This Row],[Name Site]],Plant_AILN!A:D,4,FALSE)</f>
        <v>BRAZIL</v>
      </c>
      <c r="M244" s="415" t="s">
        <v>152</v>
      </c>
      <c r="N244" s="439">
        <f>VLOOKUP(Tableau119[[#This Row],[Name Site]],Plant_AILN!A:C,3,FALSE)</f>
        <v>90018000</v>
      </c>
      <c r="O244" s="55">
        <f>VLOOKUP(Tableau119[[#This Row],[Compte Consignee]],Order!C:D,2,FALSE)</f>
        <v>7</v>
      </c>
      <c r="P244" s="126" t="s">
        <v>149</v>
      </c>
      <c r="Q244" s="366">
        <f>VLOOKUP(Tableau119[[#This Row],[Name ILN]],Plant_AILN!F:G,2,FALSE)</f>
        <v>2533780546</v>
      </c>
      <c r="R244" s="50">
        <f>VLOOKUP(Tableau119[[#This Row],[Compte ILN]],'DATA ILN'!D:I,6,FALSE)</f>
        <v>9</v>
      </c>
      <c r="S244" s="81" t="e">
        <f>IFERROR(VLOOKUP(Tableau119[[#This Row],[Key(Compte ILN - shipper - POL - plant)]],'DATA ILN'!A:J,10,FALSE),VLOOKUP(Tableau119[[#This Row],[Key(Compte ILN - shipper - POL)]],'DATA ILN'!B:J,9,FALSE))</f>
        <v>#N/A</v>
      </c>
      <c r="T244" s="81" t="e">
        <f>IFERROR(VLOOKUP(Tableau119[[#This Row],[Key(Compte ILN - shipper - POL - plant)]],'DATA ILN'!A:K,11,FALSE),VLOOKUP(Tableau119[[#This Row],[Key(Compte ILN - shipper - POL)]],'DATA ILN'!B:K,10,FALSE))</f>
        <v>#N/A</v>
      </c>
      <c r="U244" s="81" t="e">
        <f>IFERROR(VLOOKUP(Tableau119[[#This Row],[Key(Compte ILN - shipper - POL - plant)]],'DATA ILN'!A:L,12,FALSE),VLOOKUP(Tableau119[[#This Row],[Key(Compte ILN - shipper - POL)]],'DATA ILN'!B:L,11,FALSE))</f>
        <v>#N/A</v>
      </c>
      <c r="V244" s="81" t="e">
        <f>Tableau119[[#This Row],[Day ILN Order]]+Tableau119[[#This Row],[Delivery time to ILN/Shipper]]-1</f>
        <v>#N/A</v>
      </c>
      <c r="W244" s="81" t="e">
        <f>IFERROR(VLOOKUP(Tableau119[[#This Row],[Key(Compte ILN - shipper - POL - plant)]],'DATA ILN'!A:N,14,FALSE),VLOOKUP(Tableau119[[#This Row],[Key(Compte ILN - shipper - POL)]],'DATA ILN'!B:N,13,FALSE))</f>
        <v>#N/A</v>
      </c>
      <c r="X244" s="81" t="e">
        <f>IFERROR(VLOOKUP(Tableau119[[#This Row],[Key(Compte ILN - shipper - POL - plant)]],'DATA ILN'!A:P,16,FALSE),VLOOKUP(Tableau119[[#This Row],[Key(Compte ILN - shipper - POL)]],'DATA ILN'!B:P,15,FALSE))</f>
        <v>#N/A</v>
      </c>
      <c r="Y244" s="102" t="s">
        <v>149</v>
      </c>
      <c r="Z244" s="417">
        <f>IFERROR(VLOOKUP(Tableau119[[#This Row],[Name Shipper]],Plant_AILN!L:M,2,FALSE),0)</f>
        <v>2533780546</v>
      </c>
      <c r="AA244" s="416">
        <v>80</v>
      </c>
      <c r="AB244" s="396" t="b">
        <f>_xlfn.XLOOKUP(Tableau119[[#This Row],[Key(ID-date)]],'DATA BTO'!S:S,'DATA BTO'!E:E,FALSE)</f>
        <v>0</v>
      </c>
      <c r="AC244" s="3" t="b">
        <f>_xlfn.XLOOKUP(Tableau119[[#This Row],[Key(ID-date)]],'DATA BTO'!S:S,'DATA BTO'!F:F,FALSE)</f>
        <v>0</v>
      </c>
      <c r="AD244" s="50" t="b">
        <f>_xlfn.XLOOKUP(Tableau119[[#This Row],[Key(ID-date)]],'DATA BTO'!S:S,'DATA BTO'!G:G,FALSE)</f>
        <v>0</v>
      </c>
      <c r="AE244" s="50" t="b">
        <f>_xlfn.XLOOKUP(Tableau119[[#This Row],[Key(ID-date)]],'DATA BTO'!S:S,'DATA BTO'!H:H,FALSE)</f>
        <v>0</v>
      </c>
      <c r="AF244" s="81" t="e">
        <f>IF(Tableau119[[#This Row],[First Day to POL]]&lt;=Tableau119[[#This Row],[Day Cut Off]],Tableau119[[#This Row],[Day ETD]],Tableau119[[#This Row],[Day ETD]]+7)</f>
        <v>#N/A</v>
      </c>
      <c r="AG244" s="50" t="b">
        <f>_xlfn.XLOOKUP(Tableau119[[#This Row],[Key(ID-date)]],'DATA BTO'!S:S,'DATA BTO'!I:I,FALSE)</f>
        <v>0</v>
      </c>
      <c r="AH244" s="3" t="b">
        <f>_xlfn.XLOOKUP(Tableau119[[#This Row],[Key(ID-date)]],'DATA BTO'!S:S,'DATA BTO'!J:J,FALSE)</f>
        <v>0</v>
      </c>
      <c r="AI244" s="3" t="b">
        <f>_xlfn.XLOOKUP(Tableau119[[#This Row],[Key(ID-date)]],'DATA BTO'!S:S,'DATA BTO'!K:K,FALSE)</f>
        <v>0</v>
      </c>
      <c r="AJ244" s="50" t="b">
        <f>_xlfn.XLOOKUP(Tableau119[[#This Row],[Key(ID-date)]],'DATA BTO'!S:S,'DATA BTO'!L:L,FALSE)</f>
        <v>0</v>
      </c>
      <c r="AK244" s="53" t="b">
        <f>_xlfn.XLOOKUP(Tableau119[[#This Row],[Key(ID-date)]],'DATA BTO'!S:S,'DATA BTO'!N:N,FALSE)</f>
        <v>0</v>
      </c>
      <c r="AL244" s="107" t="e">
        <f>VLOOKUP(Tableau119[[#This Row],[Key(POD -PFI- Usine)]],'DATA Consignee'!A:F,6,FALSE)</f>
        <v>#N/A</v>
      </c>
      <c r="AM244" s="102"/>
      <c r="AN244" s="375" t="str">
        <f>IF(Tableau119[[#This Row],[Name PFI/CDD]]="","-",VLOOKUP(Tableau119[[#This Row],[Name PFI/CDD]],Plant_AILN!I:J,2,FALSE))</f>
        <v>-</v>
      </c>
      <c r="AO24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4" s="397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4" s="110" t="e">
        <f>VLOOKUP(Tableau119[[#This Row],[Key(POD -PFI- Usine)]],'DATA Consignee'!A:J,10,FALSE)</f>
        <v>#N/A</v>
      </c>
      <c r="AR244" s="81" t="e">
        <f>VLOOKUP(Tableau119[[#This Row],[Key(POD -PFI- Usine)]],'DATA Consignee'!A:N,14,FALSE)</f>
        <v>#N/A</v>
      </c>
      <c r="AS24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4" s="81">
        <f>Tableau119[[#This Row],[Transit time]]+Tableau119[[#This Row],[Time for security]]+Tableau119[[#This Row],[Time for security2 buffer]]</f>
        <v>0</v>
      </c>
      <c r="AV244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4" s="81" t="e">
        <f>Tableau119[[#This Row],[Leadtime SI2C]]+Tableau119[[#This Row],[First Receipt Days]]-Tableau119[[#This Row],[Day Customer Order]]+1</f>
        <v>#N/A</v>
      </c>
      <c r="AX244" s="120" t="e">
        <f>IF(Tableau119[[#This Row],[Name ILN]]&lt;&gt;"SFK Freight Forwarder",Tableau119[[#This Row],[Cust. Leadtime]],Tableau119[[#This Row],[Leadtime SI2C]])</f>
        <v>#N/A</v>
      </c>
      <c r="AY244" s="51" t="b">
        <f>_xlfn.XLOOKUP(Tableau119[[#This Row],[Key(ID-date)]],'DATA BTO'!S:S,'DATA BTO'!P:P,FALSE)</f>
        <v>0</v>
      </c>
      <c r="AZ244" s="388">
        <v>45777</v>
      </c>
      <c r="BA244" s="81"/>
    </row>
    <row r="245" spans="2:53">
      <c r="B245" s="418" t="str">
        <f>_xlfn.CONCAT(Tableau119[[#This Row],[Name ILN]],"-",Tableau119[[#This Row],[Name Shipper]],"-",Tableau119[[#This Row],[Name Site]])</f>
        <v>ILN Chennai-ILN Chennai-Curitiba CVU</v>
      </c>
      <c r="C245" s="82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45" s="82" t="str">
        <f>_xlfn.CONCAT(Tableau119[[#This Row],[Compte ILN]],"-",Tableau119[[#This Row],[Compte Shipper]],"-",Tableau119[[#This Row],[POL]])</f>
        <v>2533780546-2533780546-FALSO</v>
      </c>
      <c r="E245" s="83" t="str">
        <f>_xlfn.CONCAT(Tableau119[[#This Row],[POL]],"-",Tableau119[[#This Row],[Carrier]],"-",Tableau119[[#This Row],[POD]])</f>
        <v>FALSO-FALSO-FALSO</v>
      </c>
      <c r="F245" s="82" t="str">
        <f>_xlfn.CONCAT(Tableau119[[#This Row],[ID]],"-","Actif")</f>
        <v>80-Actif</v>
      </c>
      <c r="G245" s="82" t="str">
        <f>_xlfn.CONCAT(Tableau119[[#This Row],[POD]],"-",Tableau119[[#This Row],[Code PFI]],"-",Tableau119[[#This Row],[Compte Consignee]])</f>
        <v>FALSO---90018500</v>
      </c>
      <c r="H245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45" s="502" t="str">
        <f>_xlfn.CONCAT(Tableau119[[#This Row],[ID]],"-",Tableau119[[#This Row],[Expiration Date]])</f>
        <v>80-45777</v>
      </c>
      <c r="J2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Chennai-80-FALSO-FALSO-FALSO--45777</v>
      </c>
      <c r="K245" s="120" t="str">
        <f ca="1">IF(COUNTIF(J:J,Tableau119[[#This Row],[Plant-ILN-shipper-POL-Carrier-POD-PFI]])=1,"Non","Oui")</f>
        <v>Non</v>
      </c>
      <c r="L245" s="103" t="str">
        <f>VLOOKUP(Tableau119[[#This Row],[Name Site]],Plant_AILN!A:D,4,FALSE)</f>
        <v>BRAZIL</v>
      </c>
      <c r="M245" s="415" t="s">
        <v>639</v>
      </c>
      <c r="N245" s="439">
        <f>VLOOKUP(Tableau119[[#This Row],[Name Site]],Plant_AILN!A:C,3,FALSE)</f>
        <v>90018500</v>
      </c>
      <c r="O245" s="55">
        <f>VLOOKUP(Tableau119[[#This Row],[Compte Consignee]],Order!C:D,2,FALSE)</f>
        <v>7</v>
      </c>
      <c r="P245" s="126" t="s">
        <v>149</v>
      </c>
      <c r="Q245" s="366">
        <f>VLOOKUP(Tableau119[[#This Row],[Name ILN]],Plant_AILN!F:G,2,FALSE)</f>
        <v>2533780546</v>
      </c>
      <c r="R245" s="50">
        <f>VLOOKUP(Tableau119[[#This Row],[Compte ILN]],'DATA ILN'!D:I,6,FALSE)</f>
        <v>9</v>
      </c>
      <c r="S245" s="81" t="e">
        <f>IFERROR(VLOOKUP(Tableau119[[#This Row],[Key(Compte ILN - shipper - POL - plant)]],'DATA ILN'!A:J,10,FALSE),VLOOKUP(Tableau119[[#This Row],[Key(Compte ILN - shipper - POL)]],'DATA ILN'!B:J,9,FALSE))</f>
        <v>#N/A</v>
      </c>
      <c r="T245" s="81" t="e">
        <f>IFERROR(VLOOKUP(Tableau119[[#This Row],[Key(Compte ILN - shipper - POL - plant)]],'DATA ILN'!A:K,11,FALSE),VLOOKUP(Tableau119[[#This Row],[Key(Compte ILN - shipper - POL)]],'DATA ILN'!B:K,10,FALSE))</f>
        <v>#N/A</v>
      </c>
      <c r="U245" s="81" t="e">
        <f>IFERROR(VLOOKUP(Tableau119[[#This Row],[Key(Compte ILN - shipper - POL - plant)]],'DATA ILN'!A:L,12,FALSE),VLOOKUP(Tableau119[[#This Row],[Key(Compte ILN - shipper - POL)]],'DATA ILN'!B:L,11,FALSE))</f>
        <v>#N/A</v>
      </c>
      <c r="V245" s="81" t="e">
        <f>Tableau119[[#This Row],[Day ILN Order]]+Tableau119[[#This Row],[Delivery time to ILN/Shipper]]-1</f>
        <v>#N/A</v>
      </c>
      <c r="W245" s="81" t="e">
        <f>IFERROR(VLOOKUP(Tableau119[[#This Row],[Key(Compte ILN - shipper - POL - plant)]],'DATA ILN'!A:N,14,FALSE),VLOOKUP(Tableau119[[#This Row],[Key(Compte ILN - shipper - POL)]],'DATA ILN'!B:N,13,FALSE))</f>
        <v>#N/A</v>
      </c>
      <c r="X245" s="81" t="e">
        <f>IFERROR(VLOOKUP(Tableau119[[#This Row],[Key(Compte ILN - shipper - POL - plant)]],'DATA ILN'!A:P,16,FALSE),VLOOKUP(Tableau119[[#This Row],[Key(Compte ILN - shipper - POL)]],'DATA ILN'!B:P,15,FALSE))</f>
        <v>#N/A</v>
      </c>
      <c r="Y245" s="102" t="s">
        <v>149</v>
      </c>
      <c r="Z245" s="417">
        <f>IFERROR(VLOOKUP(Tableau119[[#This Row],[Name Shipper]],Plant_AILN!L:M,2,FALSE),0)</f>
        <v>2533780546</v>
      </c>
      <c r="AA245" s="416">
        <v>80</v>
      </c>
      <c r="AB245" s="396" t="b">
        <f>_xlfn.XLOOKUP(Tableau119[[#This Row],[Key(ID-date)]],'DATA BTO'!S:S,'DATA BTO'!E:E,FALSE)</f>
        <v>0</v>
      </c>
      <c r="AC245" s="3" t="b">
        <f>_xlfn.XLOOKUP(Tableau119[[#This Row],[Key(ID-date)]],'DATA BTO'!S:S,'DATA BTO'!F:F,FALSE)</f>
        <v>0</v>
      </c>
      <c r="AD245" s="50" t="b">
        <f>_xlfn.XLOOKUP(Tableau119[[#This Row],[Key(ID-date)]],'DATA BTO'!S:S,'DATA BTO'!G:G,FALSE)</f>
        <v>0</v>
      </c>
      <c r="AE245" s="50" t="b">
        <f>_xlfn.XLOOKUP(Tableau119[[#This Row],[Key(ID-date)]],'DATA BTO'!S:S,'DATA BTO'!H:H,FALSE)</f>
        <v>0</v>
      </c>
      <c r="AF245" s="81" t="e">
        <f>IF(Tableau119[[#This Row],[First Day to POL]]&lt;=Tableau119[[#This Row],[Day Cut Off]],Tableau119[[#This Row],[Day ETD]],Tableau119[[#This Row],[Day ETD]]+7)</f>
        <v>#N/A</v>
      </c>
      <c r="AG245" s="50" t="b">
        <f>_xlfn.XLOOKUP(Tableau119[[#This Row],[Key(ID-date)]],'DATA BTO'!S:S,'DATA BTO'!I:I,FALSE)</f>
        <v>0</v>
      </c>
      <c r="AH245" s="3" t="b">
        <f>_xlfn.XLOOKUP(Tableau119[[#This Row],[Key(ID-date)]],'DATA BTO'!S:S,'DATA BTO'!J:J,FALSE)</f>
        <v>0</v>
      </c>
      <c r="AI245" s="3" t="b">
        <f>_xlfn.XLOOKUP(Tableau119[[#This Row],[Key(ID-date)]],'DATA BTO'!S:S,'DATA BTO'!K:K,FALSE)</f>
        <v>0</v>
      </c>
      <c r="AJ245" s="50" t="b">
        <f>_xlfn.XLOOKUP(Tableau119[[#This Row],[Key(ID-date)]],'DATA BTO'!S:S,'DATA BTO'!L:L,FALSE)</f>
        <v>0</v>
      </c>
      <c r="AK245" s="53" t="b">
        <f>_xlfn.XLOOKUP(Tableau119[[#This Row],[Key(ID-date)]],'DATA BTO'!S:S,'DATA BTO'!N:N,FALSE)</f>
        <v>0</v>
      </c>
      <c r="AL245" s="107" t="e">
        <f>VLOOKUP(Tableau119[[#This Row],[Key(POD -PFI- Usine)]],'DATA Consignee'!A:F,6,FALSE)</f>
        <v>#N/A</v>
      </c>
      <c r="AM245" s="102"/>
      <c r="AN245" s="375" t="str">
        <f>IF(Tableau119[[#This Row],[Name PFI/CDD]]="","-",VLOOKUP(Tableau119[[#This Row],[Name PFI/CDD]],Plant_AILN!I:J,2,FALSE))</f>
        <v>-</v>
      </c>
      <c r="AO24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5" s="397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5" s="110" t="e">
        <f>VLOOKUP(Tableau119[[#This Row],[Key(POD -PFI- Usine)]],'DATA Consignee'!A:J,10,FALSE)</f>
        <v>#N/A</v>
      </c>
      <c r="AR245" s="81" t="e">
        <f>VLOOKUP(Tableau119[[#This Row],[Key(POD -PFI- Usine)]],'DATA Consignee'!A:N,14,FALSE)</f>
        <v>#N/A</v>
      </c>
      <c r="AS24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5" s="81">
        <f>Tableau119[[#This Row],[Transit time]]+Tableau119[[#This Row],[Time for security]]+Tableau119[[#This Row],[Time for security2 buffer]]</f>
        <v>0</v>
      </c>
      <c r="AV245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5" s="81" t="e">
        <f>Tableau119[[#This Row],[Leadtime SI2C]]+Tableau119[[#This Row],[First Receipt Days]]-Tableau119[[#This Row],[Day Customer Order]]+1</f>
        <v>#N/A</v>
      </c>
      <c r="AX245" s="120" t="e">
        <f>IF(Tableau119[[#This Row],[Name ILN]]&lt;&gt;"SFK Freight Forwarder",Tableau119[[#This Row],[Cust. Leadtime]],Tableau119[[#This Row],[Leadtime SI2C]])</f>
        <v>#N/A</v>
      </c>
      <c r="AY245" s="51" t="b">
        <f>_xlfn.XLOOKUP(Tableau119[[#This Row],[Key(ID-date)]],'DATA BTO'!S:S,'DATA BTO'!P:P,FALSE)</f>
        <v>0</v>
      </c>
      <c r="AZ245" s="388">
        <v>45777</v>
      </c>
      <c r="BA245" s="81"/>
    </row>
    <row r="246" spans="2:53">
      <c r="B246" s="418" t="str">
        <f>_xlfn.CONCAT(Tableau119[[#This Row],[Name ILN]],"-",Tableau119[[#This Row],[Name Shipper]],"-",Tableau119[[#This Row],[Name Site]])</f>
        <v>ILN Chennai-ILN Chennai-Curitiba CVP</v>
      </c>
      <c r="C246" s="82" t="str">
        <f>_xlfn.CONCAT(Tableau119[[#This Row],[Compte ILN]],"-",Tableau119[[#This Row],[Compte Shipper]],"-",Tableau119[[#This Row],[POL]],"-",Tableau119[[#This Row],[Compte Consignee]])</f>
        <v>2533780546-2533780546-FALSO-90018000</v>
      </c>
      <c r="D246" s="82" t="str">
        <f>_xlfn.CONCAT(Tableau119[[#This Row],[Compte ILN]],"-",Tableau119[[#This Row],[Compte Shipper]],"-",Tableau119[[#This Row],[POL]])</f>
        <v>2533780546-2533780546-FALSO</v>
      </c>
      <c r="E246" s="83" t="str">
        <f>_xlfn.CONCAT(Tableau119[[#This Row],[POL]],"-",Tableau119[[#This Row],[Carrier]],"-",Tableau119[[#This Row],[POD]])</f>
        <v>FALSO-FALSO-FALSO</v>
      </c>
      <c r="F246" s="82" t="str">
        <f>_xlfn.CONCAT(Tableau119[[#This Row],[ID]],"-","Actif")</f>
        <v>80-Actif</v>
      </c>
      <c r="G246" s="82" t="str">
        <f>_xlfn.CONCAT(Tableau119[[#This Row],[POD]],"-",Tableau119[[#This Row],[Code PFI]],"-",Tableau119[[#This Row],[Compte Consignee]])</f>
        <v>FALSO---90018000</v>
      </c>
      <c r="H246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CVP</v>
      </c>
      <c r="I246" s="502" t="str">
        <f>_xlfn.CONCAT(Tableau119[[#This Row],[ID]],"-",Tableau119[[#This Row],[Expiration Date]])</f>
        <v>80-45473</v>
      </c>
      <c r="J2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Chennai-ILN Chennai-80-FALSO-FALSO-FALSO--45473</v>
      </c>
      <c r="K246" s="120" t="str">
        <f ca="1">IF(COUNTIF(J:J,Tableau119[[#This Row],[Plant-ILN-shipper-POL-Carrier-POD-PFI]])=1,"Non","Oui")</f>
        <v>Non</v>
      </c>
      <c r="L246" s="103" t="str">
        <f>VLOOKUP(Tableau119[[#This Row],[Name Site]],Plant_AILN!A:D,4,FALSE)</f>
        <v>BRAZIL</v>
      </c>
      <c r="M246" s="415" t="s">
        <v>152</v>
      </c>
      <c r="N246" s="439">
        <f>VLOOKUP(Tableau119[[#This Row],[Name Site]],Plant_AILN!A:C,3,FALSE)</f>
        <v>90018000</v>
      </c>
      <c r="O246" s="55">
        <f>VLOOKUP(Tableau119[[#This Row],[Compte Consignee]],Order!C:D,2,FALSE)</f>
        <v>7</v>
      </c>
      <c r="P246" s="126" t="s">
        <v>149</v>
      </c>
      <c r="Q246" s="366">
        <f>VLOOKUP(Tableau119[[#This Row],[Name ILN]],Plant_AILN!F:G,2,FALSE)</f>
        <v>2533780546</v>
      </c>
      <c r="R246" s="50">
        <f>VLOOKUP(Tableau119[[#This Row],[Compte ILN]],'DATA ILN'!D:I,6,FALSE)</f>
        <v>9</v>
      </c>
      <c r="S246" s="81" t="e">
        <f>IFERROR(VLOOKUP(Tableau119[[#This Row],[Key(Compte ILN - shipper - POL - plant)]],'DATA ILN'!A:J,10,FALSE),VLOOKUP(Tableau119[[#This Row],[Key(Compte ILN - shipper - POL)]],'DATA ILN'!B:J,9,FALSE))</f>
        <v>#N/A</v>
      </c>
      <c r="T246" s="81" t="e">
        <f>IFERROR(VLOOKUP(Tableau119[[#This Row],[Key(Compte ILN - shipper - POL - plant)]],'DATA ILN'!A:K,11,FALSE),VLOOKUP(Tableau119[[#This Row],[Key(Compte ILN - shipper - POL)]],'DATA ILN'!B:K,10,FALSE))</f>
        <v>#N/A</v>
      </c>
      <c r="U246" s="81" t="e">
        <f>IFERROR(VLOOKUP(Tableau119[[#This Row],[Key(Compte ILN - shipper - POL - plant)]],'DATA ILN'!A:L,12,FALSE),VLOOKUP(Tableau119[[#This Row],[Key(Compte ILN - shipper - POL)]],'DATA ILN'!B:L,11,FALSE))</f>
        <v>#N/A</v>
      </c>
      <c r="V246" s="81" t="e">
        <f>Tableau119[[#This Row],[Day ILN Order]]+Tableau119[[#This Row],[Delivery time to ILN/Shipper]]-1</f>
        <v>#N/A</v>
      </c>
      <c r="W246" s="81" t="e">
        <f>IFERROR(VLOOKUP(Tableau119[[#This Row],[Key(Compte ILN - shipper - POL - plant)]],'DATA ILN'!A:N,14,FALSE),VLOOKUP(Tableau119[[#This Row],[Key(Compte ILN - shipper - POL)]],'DATA ILN'!B:N,13,FALSE))</f>
        <v>#N/A</v>
      </c>
      <c r="X246" s="81" t="e">
        <f>IFERROR(VLOOKUP(Tableau119[[#This Row],[Key(Compte ILN - shipper - POL - plant)]],'DATA ILN'!A:P,16,FALSE),VLOOKUP(Tableau119[[#This Row],[Key(Compte ILN - shipper - POL)]],'DATA ILN'!B:P,15,FALSE))</f>
        <v>#N/A</v>
      </c>
      <c r="Y246" s="102" t="s">
        <v>149</v>
      </c>
      <c r="Z246" s="417">
        <f>IFERROR(VLOOKUP(Tableau119[[#This Row],[Name Shipper]],Plant_AILN!L:M,2,FALSE),0)</f>
        <v>2533780546</v>
      </c>
      <c r="AA246" s="416">
        <v>80</v>
      </c>
      <c r="AB246" s="396" t="b">
        <f>_xlfn.XLOOKUP(Tableau119[[#This Row],[Key(ID-date)]],'DATA BTO'!S:S,'DATA BTO'!E:E,FALSE)</f>
        <v>0</v>
      </c>
      <c r="AC246" s="3" t="b">
        <f>_xlfn.XLOOKUP(Tableau119[[#This Row],[Key(ID-date)]],'DATA BTO'!S:S,'DATA BTO'!F:F,FALSE)</f>
        <v>0</v>
      </c>
      <c r="AD246" s="50" t="b">
        <f>_xlfn.XLOOKUP(Tableau119[[#This Row],[Key(ID-date)]],'DATA BTO'!S:S,'DATA BTO'!G:G,FALSE)</f>
        <v>0</v>
      </c>
      <c r="AE246" s="50" t="b">
        <f>_xlfn.XLOOKUP(Tableau119[[#This Row],[Key(ID-date)]],'DATA BTO'!S:S,'DATA BTO'!H:H,FALSE)</f>
        <v>0</v>
      </c>
      <c r="AF246" s="81" t="e">
        <f>IF(Tableau119[[#This Row],[First Day to POL]]&lt;=Tableau119[[#This Row],[Day Cut Off]],Tableau119[[#This Row],[Day ETD]],Tableau119[[#This Row],[Day ETD]]+7)</f>
        <v>#N/A</v>
      </c>
      <c r="AG246" s="50" t="b">
        <f>_xlfn.XLOOKUP(Tableau119[[#This Row],[Key(ID-date)]],'DATA BTO'!S:S,'DATA BTO'!I:I,FALSE)</f>
        <v>0</v>
      </c>
      <c r="AH246" s="3" t="b">
        <f>_xlfn.XLOOKUP(Tableau119[[#This Row],[Key(ID-date)]],'DATA BTO'!S:S,'DATA BTO'!J:J,FALSE)</f>
        <v>0</v>
      </c>
      <c r="AI246" s="3" t="b">
        <f>_xlfn.XLOOKUP(Tableau119[[#This Row],[Key(ID-date)]],'DATA BTO'!S:S,'DATA BTO'!K:K,FALSE)</f>
        <v>0</v>
      </c>
      <c r="AJ246" s="50" t="b">
        <f>_xlfn.XLOOKUP(Tableau119[[#This Row],[Key(ID-date)]],'DATA BTO'!S:S,'DATA BTO'!L:L,FALSE)</f>
        <v>0</v>
      </c>
      <c r="AK246" s="53" t="b">
        <f>_xlfn.XLOOKUP(Tableau119[[#This Row],[Key(ID-date)]],'DATA BTO'!S:S,'DATA BTO'!N:N,FALSE)</f>
        <v>0</v>
      </c>
      <c r="AL246" s="107" t="e">
        <f>VLOOKUP(Tableau119[[#This Row],[Key(POD -PFI- Usine)]],'DATA Consignee'!A:F,6,FALSE)</f>
        <v>#N/A</v>
      </c>
      <c r="AM246" s="102"/>
      <c r="AN246" s="375" t="str">
        <f>IF(Tableau119[[#This Row],[Name PFI/CDD]]="","-",VLOOKUP(Tableau119[[#This Row],[Name PFI/CDD]],Plant_AILN!I:J,2,FALSE))</f>
        <v>-</v>
      </c>
      <c r="AO24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6" s="397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6" s="110" t="e">
        <f>VLOOKUP(Tableau119[[#This Row],[Key(POD -PFI- Usine)]],'DATA Consignee'!A:J,10,FALSE)</f>
        <v>#N/A</v>
      </c>
      <c r="AR246" s="81" t="e">
        <f>VLOOKUP(Tableau119[[#This Row],[Key(POD -PFI- Usine)]],'DATA Consignee'!A:N,14,FALSE)</f>
        <v>#N/A</v>
      </c>
      <c r="AS24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6" s="81">
        <f>Tableau119[[#This Row],[Transit time]]+Tableau119[[#This Row],[Time for security]]+Tableau119[[#This Row],[Time for security2 buffer]]</f>
        <v>0</v>
      </c>
      <c r="AV246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6" s="81" t="e">
        <f>Tableau119[[#This Row],[Leadtime SI2C]]+Tableau119[[#This Row],[First Receipt Days]]-Tableau119[[#This Row],[Day Customer Order]]+1</f>
        <v>#N/A</v>
      </c>
      <c r="AX246" s="120" t="e">
        <f>IF(Tableau119[[#This Row],[Name ILN]]&lt;&gt;"SFK Freight Forwarder",Tableau119[[#This Row],[Cust. Leadtime]],Tableau119[[#This Row],[Leadtime SI2C]])</f>
        <v>#N/A</v>
      </c>
      <c r="AY246" s="51" t="b">
        <f>_xlfn.XLOOKUP(Tableau119[[#This Row],[Key(ID-date)]],'DATA BTO'!S:S,'DATA BTO'!P:P,FALSE)</f>
        <v>0</v>
      </c>
      <c r="AZ246" s="388">
        <v>45473</v>
      </c>
      <c r="BA246" s="81"/>
    </row>
    <row r="247" spans="2:53">
      <c r="B247" s="446" t="str">
        <f>_xlfn.CONCAT(Tableau119[[#This Row],[Name ILN]],"-",Tableau119[[#This Row],[Name Shipper]],"-",Tableau119[[#This Row],[Name Site]])</f>
        <v>ILN Chennai-ILN Chennai-Curitiba CVU</v>
      </c>
      <c r="C247" s="66" t="str">
        <f>_xlfn.CONCAT(Tableau119[[#This Row],[Compte ILN]],"-",Tableau119[[#This Row],[Compte Shipper]],"-",Tableau119[[#This Row],[POL]],"-",Tableau119[[#This Row],[Compte Consignee]])</f>
        <v>2533780546-2533780546-FALSO-90018500</v>
      </c>
      <c r="D247" s="66" t="str">
        <f>_xlfn.CONCAT(Tableau119[[#This Row],[Compte ILN]],"-",Tableau119[[#This Row],[Compte Shipper]],"-",Tableau119[[#This Row],[POL]])</f>
        <v>2533780546-2533780546-FALSO</v>
      </c>
      <c r="E247" s="130" t="str">
        <f>_xlfn.CONCAT(Tableau119[[#This Row],[POL]],"-",Tableau119[[#This Row],[Carrier]],"-",Tableau119[[#This Row],[POD]])</f>
        <v>FALSO-FALSO-FALSO</v>
      </c>
      <c r="F247" s="66" t="str">
        <f>_xlfn.CONCAT(Tableau119[[#This Row],[ID]],"-","Actif")</f>
        <v>80-Actif</v>
      </c>
      <c r="G247" s="66" t="str">
        <f>_xlfn.CONCAT(Tableau119[[#This Row],[POD]],"-",Tableau119[[#This Row],[Code PFI]],"-",Tableau119[[#This Row],[Compte Consignee]])</f>
        <v>FALSO---90018500</v>
      </c>
      <c r="H2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ChennaiFALSOCuritiba CVU</v>
      </c>
      <c r="I247" s="434" t="str">
        <f>_xlfn.CONCAT(Tableau119[[#This Row],[ID]],"-",Tableau119[[#This Row],[Expiration Date]])</f>
        <v>80-45473</v>
      </c>
      <c r="J2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Chennai-ILN Chennai-80-FALSO-FALSO-FALSO--45473</v>
      </c>
      <c r="K247" s="119" t="str">
        <f ca="1">IF(COUNTIF(J:J,Tableau119[[#This Row],[Plant-ILN-shipper-POL-Carrier-POD-PFI]])=1,"Non","Oui")</f>
        <v>Non</v>
      </c>
      <c r="L247" s="128" t="str">
        <f>VLOOKUP(Tableau119[[#This Row],[Name Site]],Plant_AILN!A:D,4,FALSE)</f>
        <v>BRAZIL</v>
      </c>
      <c r="M247" s="411" t="s">
        <v>639</v>
      </c>
      <c r="N247" s="439">
        <f>VLOOKUP(Tableau119[[#This Row],[Name Site]],Plant_AILN!A:C,3,FALSE)</f>
        <v>90018500</v>
      </c>
      <c r="O247" s="55">
        <f>VLOOKUP(Tableau119[[#This Row],[Compte Consignee]],Order!C:D,2,FALSE)</f>
        <v>7</v>
      </c>
      <c r="P247" s="124" t="s">
        <v>149</v>
      </c>
      <c r="Q247" s="365">
        <f>VLOOKUP(Tableau119[[#This Row],[Name ILN]],Plant_AILN!F:G,2,FALSE)</f>
        <v>2533780546</v>
      </c>
      <c r="R247" s="50">
        <f>VLOOKUP(Tableau119[[#This Row],[Compte ILN]],'DATA ILN'!D:I,6,FALSE)</f>
        <v>9</v>
      </c>
      <c r="S247" s="50" t="e">
        <f>IFERROR(VLOOKUP(Tableau119[[#This Row],[Key(Compte ILN - shipper - POL - plant)]],'DATA ILN'!A:J,10,FALSE),VLOOKUP(Tableau119[[#This Row],[Key(Compte ILN - shipper - POL)]],'DATA ILN'!B:J,9,FALSE))</f>
        <v>#N/A</v>
      </c>
      <c r="T247" s="50" t="e">
        <f>IFERROR(VLOOKUP(Tableau119[[#This Row],[Key(Compte ILN - shipper - POL - plant)]],'DATA ILN'!A:K,11,FALSE),VLOOKUP(Tableau119[[#This Row],[Key(Compte ILN - shipper - POL)]],'DATA ILN'!B:K,10,FALSE))</f>
        <v>#N/A</v>
      </c>
      <c r="U247" s="50" t="e">
        <f>IFERROR(VLOOKUP(Tableau119[[#This Row],[Key(Compte ILN - shipper - POL - plant)]],'DATA ILN'!A:L,12,FALSE),VLOOKUP(Tableau119[[#This Row],[Key(Compte ILN - shipper - POL)]],'DATA ILN'!B:L,11,FALSE))</f>
        <v>#N/A</v>
      </c>
      <c r="V247" s="50" t="e">
        <f>Tableau119[[#This Row],[Day ILN Order]]+Tableau119[[#This Row],[Delivery time to ILN/Shipper]]-1</f>
        <v>#N/A</v>
      </c>
      <c r="W247" s="50" t="e">
        <f>IFERROR(VLOOKUP(Tableau119[[#This Row],[Key(Compte ILN - shipper - POL - plant)]],'DATA ILN'!A:N,14,FALSE),VLOOKUP(Tableau119[[#This Row],[Key(Compte ILN - shipper - POL)]],'DATA ILN'!B:N,13,FALSE))</f>
        <v>#N/A</v>
      </c>
      <c r="X247" s="50" t="e">
        <f>IFERROR(VLOOKUP(Tableau119[[#This Row],[Key(Compte ILN - shipper - POL - plant)]],'DATA ILN'!A:P,16,FALSE),VLOOKUP(Tableau119[[#This Row],[Key(Compte ILN - shipper - POL)]],'DATA ILN'!B:P,15,FALSE))</f>
        <v>#N/A</v>
      </c>
      <c r="Y247" s="102" t="s">
        <v>149</v>
      </c>
      <c r="Z247" s="430">
        <f>IFERROR(VLOOKUP(Tableau119[[#This Row],[Name Shipper]],Plant_AILN!L:M,2,FALSE),0)</f>
        <v>2533780546</v>
      </c>
      <c r="AA247" s="406">
        <v>80</v>
      </c>
      <c r="AB247" s="396" t="b">
        <f>_xlfn.XLOOKUP(Tableau119[[#This Row],[Key(ID-date)]],'DATA BTO'!S:S,'DATA BTO'!E:E,FALSE)</f>
        <v>0</v>
      </c>
      <c r="AC247" s="3" t="b">
        <f>_xlfn.XLOOKUP(Tableau119[[#This Row],[Key(ID-date)]],'DATA BTO'!S:S,'DATA BTO'!F:F,FALSE)</f>
        <v>0</v>
      </c>
      <c r="AD247" s="50" t="b">
        <f>_xlfn.XLOOKUP(Tableau119[[#This Row],[Key(ID-date)]],'DATA BTO'!S:S,'DATA BTO'!G:G,FALSE)</f>
        <v>0</v>
      </c>
      <c r="AE247" s="50" t="b">
        <f>_xlfn.XLOOKUP(Tableau119[[#This Row],[Key(ID-date)]],'DATA BTO'!S:S,'DATA BTO'!H:H,FALSE)</f>
        <v>0</v>
      </c>
      <c r="AF247" s="81" t="e">
        <f>IF(Tableau119[[#This Row],[First Day to POL]]&lt;=Tableau119[[#This Row],[Day Cut Off]],Tableau119[[#This Row],[Day ETD]],Tableau119[[#This Row],[Day ETD]]+7)</f>
        <v>#N/A</v>
      </c>
      <c r="AG247" s="50" t="b">
        <f>_xlfn.XLOOKUP(Tableau119[[#This Row],[Key(ID-date)]],'DATA BTO'!S:S,'DATA BTO'!I:I,FALSE)</f>
        <v>0</v>
      </c>
      <c r="AH247" s="3" t="b">
        <f>_xlfn.XLOOKUP(Tableau119[[#This Row],[Key(ID-date)]],'DATA BTO'!S:S,'DATA BTO'!J:J,FALSE)</f>
        <v>0</v>
      </c>
      <c r="AI247" s="3" t="b">
        <f>_xlfn.XLOOKUP(Tableau119[[#This Row],[Key(ID-date)]],'DATA BTO'!S:S,'DATA BTO'!K:K,FALSE)</f>
        <v>0</v>
      </c>
      <c r="AJ247" s="50" t="b">
        <f>_xlfn.XLOOKUP(Tableau119[[#This Row],[Key(ID-date)]],'DATA BTO'!S:S,'DATA BTO'!L:L,FALSE)</f>
        <v>0</v>
      </c>
      <c r="AK247" s="53" t="b">
        <f>_xlfn.XLOOKUP(Tableau119[[#This Row],[Key(ID-date)]],'DATA BTO'!S:S,'DATA BTO'!N:N,FALSE)</f>
        <v>0</v>
      </c>
      <c r="AL247" s="54" t="e">
        <f>VLOOKUP(Tableau119[[#This Row],[Key(POD -PFI- Usine)]],'DATA Consignee'!A:F,6,FALSE)</f>
        <v>#N/A</v>
      </c>
      <c r="AM247" s="284"/>
      <c r="AN247" s="376" t="str">
        <f>IF(Tableau119[[#This Row],[Name PFI/CDD]]="","-",VLOOKUP(Tableau119[[#This Row],[Name PFI/CDD]],Plant_AILN!I:J,2,FALSE))</f>
        <v>-</v>
      </c>
      <c r="AO2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7" s="2" t="e">
        <f>VLOOKUP(Tableau119[[#This Row],[Key(POD -PFI- Usine)]],'DATA Consignee'!A:J,10,FALSE)</f>
        <v>#N/A</v>
      </c>
      <c r="AR247" s="50" t="e">
        <f>VLOOKUP(Tableau119[[#This Row],[Key(POD -PFI- Usine)]],'DATA Consignee'!A:N,14,FALSE)</f>
        <v>#N/A</v>
      </c>
      <c r="AS2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7" s="50">
        <f>Tableau119[[#This Row],[Transit time]]+Tableau119[[#This Row],[Time for security]]+Tableau119[[#This Row],[Time for security2 buffer]]</f>
        <v>0</v>
      </c>
      <c r="AV2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7" s="50" t="e">
        <f>Tableau119[[#This Row],[Leadtime SI2C]]+Tableau119[[#This Row],[First Receipt Days]]-Tableau119[[#This Row],[Day Customer Order]]+1</f>
        <v>#N/A</v>
      </c>
      <c r="AX247" s="119" t="e">
        <f>IF(Tableau119[[#This Row],[Name ILN]]&lt;&gt;"SFK Freight Forwarder",Tableau119[[#This Row],[Cust. Leadtime]],Tableau119[[#This Row],[Leadtime SI2C]])</f>
        <v>#N/A</v>
      </c>
      <c r="AY247" s="51" t="b">
        <f>_xlfn.XLOOKUP(Tableau119[[#This Row],[Key(ID-date)]],'DATA BTO'!S:S,'DATA BTO'!P:P,FALSE)</f>
        <v>0</v>
      </c>
      <c r="AZ247" s="338">
        <v>45473</v>
      </c>
      <c r="BA247" s="50"/>
    </row>
    <row r="248" spans="2:53">
      <c r="B248" s="66" t="str">
        <f>_xlfn.CONCAT(Tableau119[[#This Row],[Name ILN]],"-",Tableau119[[#This Row],[Name Shipper]],"-",Tableau119[[#This Row],[Name Site]])</f>
        <v>ILN FR-ILN FR-CORDOBA</v>
      </c>
      <c r="C248" s="66" t="str">
        <f>_xlfn.CONCAT(Tableau119[[#This Row],[Compte ILN]],"-",Tableau119[[#This Row],[Compte Shipper]],"-",Tableau119[[#This Row],[POL]],"-",Tableau119[[#This Row],[Compte Consignee]])</f>
        <v>92000100-92000100-FALSO-90016000</v>
      </c>
      <c r="D248" s="66" t="str">
        <f>_xlfn.CONCAT(Tableau119[[#This Row],[Compte ILN]],"-",Tableau119[[#This Row],[Compte Shipper]],"-",Tableau119[[#This Row],[POL]])</f>
        <v>92000100-92000100-FALSO</v>
      </c>
      <c r="E248" s="130" t="str">
        <f>_xlfn.CONCAT(Tableau119[[#This Row],[POL]],"-",Tableau119[[#This Row],[Carrier]],"-",Tableau119[[#This Row],[POD]])</f>
        <v>FALSO-FALSO-FALSO</v>
      </c>
      <c r="F248" s="66" t="str">
        <f>_xlfn.CONCAT(Tableau119[[#This Row],[ID]],"-","Actif")</f>
        <v>81-Actif</v>
      </c>
      <c r="G248" s="66" t="str">
        <f>_xlfn.CONCAT(Tableau119[[#This Row],[POD]],"-",Tableau119[[#This Row],[Code PFI]],"-",Tableau119[[#This Row],[Compte Consignee]])</f>
        <v>FALSO---90016000</v>
      </c>
      <c r="H2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48" s="434" t="str">
        <f>_xlfn.CONCAT(Tableau119[[#This Row],[ID]],"-",Tableau119[[#This Row],[Expiration Date]])</f>
        <v>81-46142</v>
      </c>
      <c r="J2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FR-81-FALSO-FALSO-FALSO--46142</v>
      </c>
      <c r="K248" s="119" t="str">
        <f ca="1">IF(COUNTIF(J:J,Tableau119[[#This Row],[Plant-ILN-shipper-POL-Carrier-POD-PFI]])=1,"Non","Oui")</f>
        <v>Non</v>
      </c>
      <c r="L248" s="436" t="str">
        <f>VLOOKUP(Tableau119[[#This Row],[Name Site]],Plant_AILN!A:D,4,FALSE)</f>
        <v>ARGENTINA</v>
      </c>
      <c r="M248" s="285" t="s">
        <v>158</v>
      </c>
      <c r="N248" s="439">
        <f>VLOOKUP(Tableau119[[#This Row],[Name Site]],Plant_AILN!A:C,3,FALSE)</f>
        <v>90016000</v>
      </c>
      <c r="O248" s="55">
        <f>IF(Tableau119[[#This Row],[Name PFI/CDD]]="PFI VLL",2,VLOOKUP(Tableau119[[#This Row],[Compte Consignee]],Order!C:D,2,FALSE))</f>
        <v>7</v>
      </c>
      <c r="P248" s="506" t="s">
        <v>143</v>
      </c>
      <c r="Q248" s="365">
        <f>VLOOKUP(Tableau119[[#This Row],[Name ILN]],Plant_AILN!F:G,2,FALSE)</f>
        <v>92000100</v>
      </c>
      <c r="R248" s="50">
        <f>VLOOKUP(Tableau119[[#This Row],[Compte ILN]],'DATA ILN'!D:I,6,FALSE)</f>
        <v>9</v>
      </c>
      <c r="S248" s="50" t="e">
        <f>IFERROR(VLOOKUP(Tableau119[[#This Row],[Key(Compte ILN - shipper - POL - plant)]],'DATA ILN'!A:J,10,FALSE),VLOOKUP(Tableau119[[#This Row],[Key(Compte ILN - shipper - POL)]],'DATA ILN'!B:J,9,FALSE))</f>
        <v>#N/A</v>
      </c>
      <c r="T248" s="50" t="e">
        <f>IFERROR(VLOOKUP(Tableau119[[#This Row],[Key(Compte ILN - shipper - POL - plant)]],'DATA ILN'!A:K,11,FALSE),VLOOKUP(Tableau119[[#This Row],[Key(Compte ILN - shipper - POL)]],'DATA ILN'!B:K,10,FALSE))</f>
        <v>#N/A</v>
      </c>
      <c r="U248" s="50" t="e">
        <f>IFERROR(VLOOKUP(Tableau119[[#This Row],[Key(Compte ILN - shipper - POL - plant)]],'DATA ILN'!A:L,12,FALSE),VLOOKUP(Tableau119[[#This Row],[Key(Compte ILN - shipper - POL)]],'DATA ILN'!B:L,11,FALSE))</f>
        <v>#N/A</v>
      </c>
      <c r="V248" s="50" t="e">
        <f>Tableau119[[#This Row],[Day ILN Order]]+Tableau119[[#This Row],[Delivery time to ILN/Shipper]]-1</f>
        <v>#N/A</v>
      </c>
      <c r="W248" s="50" t="e">
        <f>IFERROR(VLOOKUP(Tableau119[[#This Row],[Key(Compte ILN - shipper - POL - plant)]],'DATA ILN'!A:N,14,FALSE),VLOOKUP(Tableau119[[#This Row],[Key(Compte ILN - shipper - POL)]],'DATA ILN'!B:N,13,FALSE))</f>
        <v>#N/A</v>
      </c>
      <c r="X248" s="50" t="e">
        <f>IFERROR(VLOOKUP(Tableau119[[#This Row],[Key(Compte ILN - shipper - POL - plant)]],'DATA ILN'!A:P,16,FALSE),VLOOKUP(Tableau119[[#This Row],[Key(Compte ILN - shipper - POL)]],'DATA ILN'!B:P,15,FALSE))</f>
        <v>#N/A</v>
      </c>
      <c r="Y248" s="284" t="s">
        <v>143</v>
      </c>
      <c r="Z248" s="430">
        <f>IFERROR(VLOOKUP(Tableau119[[#This Row],[Name Shipper]],Plant_AILN!L:M,2,FALSE),0)</f>
        <v>92000100</v>
      </c>
      <c r="AA248" s="406">
        <v>81</v>
      </c>
      <c r="AB248" s="396" t="b">
        <f>_xlfn.XLOOKUP(Tableau119[[#This Row],[Key(ID-date)]],'DATA BTO'!S:S,'DATA BTO'!E:E,FALSE)</f>
        <v>0</v>
      </c>
      <c r="AC248" s="3" t="b">
        <f>_xlfn.XLOOKUP(Tableau119[[#This Row],[Key(ID-date)]],'DATA BTO'!S:S,'DATA BTO'!F:F,FALSE)</f>
        <v>0</v>
      </c>
      <c r="AD248" s="50" t="b">
        <f>_xlfn.XLOOKUP(Tableau119[[#This Row],[Key(ID-date)]],'DATA BTO'!S:S,'DATA BTO'!G:G,FALSE)</f>
        <v>0</v>
      </c>
      <c r="AE248" s="50" t="b">
        <f>_xlfn.XLOOKUP(Tableau119[[#This Row],[Key(ID-date)]],'DATA BTO'!S:S,'DATA BTO'!H:H,FALSE)</f>
        <v>0</v>
      </c>
      <c r="AF248" s="81" t="e">
        <f>IF(Tableau119[[#This Row],[First Day to POL]]&lt;=Tableau119[[#This Row],[Day Cut Off]],Tableau119[[#This Row],[Day ETD]],Tableau119[[#This Row],[Day ETD]]+7)</f>
        <v>#N/A</v>
      </c>
      <c r="AG248" s="50" t="b">
        <f>_xlfn.XLOOKUP(Tableau119[[#This Row],[Key(ID-date)]],'DATA BTO'!S:S,'DATA BTO'!I:I,FALSE)</f>
        <v>0</v>
      </c>
      <c r="AH248" s="3" t="b">
        <f>_xlfn.XLOOKUP(Tableau119[[#This Row],[Key(ID-date)]],'DATA BTO'!S:S,'DATA BTO'!J:J,FALSE)</f>
        <v>0</v>
      </c>
      <c r="AI248" s="3" t="b">
        <f>_xlfn.XLOOKUP(Tableau119[[#This Row],[Key(ID-date)]],'DATA BTO'!S:S,'DATA BTO'!K:K,FALSE)</f>
        <v>0</v>
      </c>
      <c r="AJ248" s="50" t="b">
        <f>_xlfn.XLOOKUP(Tableau119[[#This Row],[Key(ID-date)]],'DATA BTO'!S:S,'DATA BTO'!L:L,FALSE)</f>
        <v>0</v>
      </c>
      <c r="AK248" s="53" t="b">
        <f>_xlfn.XLOOKUP(Tableau119[[#This Row],[Key(ID-date)]],'DATA BTO'!S:S,'DATA BTO'!N:N,FALSE)</f>
        <v>0</v>
      </c>
      <c r="AL248" s="54" t="e">
        <f>VLOOKUP(Tableau119[[#This Row],[Key(POD -PFI- Usine)]],'DATA Consignee'!A:F,6,FALSE)</f>
        <v>#N/A</v>
      </c>
      <c r="AM248" s="284"/>
      <c r="AN248" s="376" t="str">
        <f>IF(Tableau119[[#This Row],[Name PFI/CDD]]="","-",VLOOKUP(Tableau119[[#This Row],[Name PFI/CDD]],Plant_AILN!I:J,2,FALSE))</f>
        <v>-</v>
      </c>
      <c r="AO2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8" s="2" t="e">
        <f>VLOOKUP(Tableau119[[#This Row],[Key(POD -PFI- Usine)]],'DATA Consignee'!A:J,10,FALSE)</f>
        <v>#N/A</v>
      </c>
      <c r="AR248" s="50" t="e">
        <f>VLOOKUP(Tableau119[[#This Row],[Key(POD -PFI- Usine)]],'DATA Consignee'!A:N,14,FALSE)</f>
        <v>#N/A</v>
      </c>
      <c r="AS2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8" s="50">
        <f>Tableau119[[#This Row],[Transit time]]+Tableau119[[#This Row],[Time for security]]+Tableau119[[#This Row],[Time for security2 buffer]]</f>
        <v>0</v>
      </c>
      <c r="AV2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8" s="50" t="e">
        <f>Tableau119[[#This Row],[Leadtime SI2C]]+Tableau119[[#This Row],[First Receipt Days]]-Tableau119[[#This Row],[Day Customer Order]]+1</f>
        <v>#N/A</v>
      </c>
      <c r="AX248" s="119" t="e">
        <f>IF(Tableau119[[#This Row],[Name ILN]]&lt;&gt;"SFK Freight Forwarder",Tableau119[[#This Row],[Cust. Leadtime]],Tableau119[[#This Row],[Leadtime SI2C]])</f>
        <v>#N/A</v>
      </c>
      <c r="AY248" s="51" t="b">
        <f>_xlfn.XLOOKUP(Tableau119[[#This Row],[Key(ID-date)]],'DATA BTO'!S:S,'DATA BTO'!P:P,FALSE)</f>
        <v>0</v>
      </c>
      <c r="AZ248" s="338">
        <v>46142</v>
      </c>
      <c r="BA248" s="50"/>
    </row>
    <row r="249" spans="2:53">
      <c r="B249" s="446" t="str">
        <f>_xlfn.CONCAT(Tableau119[[#This Row],[Name ILN]],"-",Tableau119[[#This Row],[Name Shipper]],"-",Tableau119[[#This Row],[Name Site]])</f>
        <v>ILN FR-ILN FR-CORDOBA</v>
      </c>
      <c r="C249" s="66" t="str">
        <f>_xlfn.CONCAT(Tableau119[[#This Row],[Compte ILN]],"-",Tableau119[[#This Row],[Compte Shipper]],"-",Tableau119[[#This Row],[POL]],"-",Tableau119[[#This Row],[Compte Consignee]])</f>
        <v>92000100-92000100-FALSO-90016000</v>
      </c>
      <c r="D249" s="66" t="str">
        <f>_xlfn.CONCAT(Tableau119[[#This Row],[Compte ILN]],"-",Tableau119[[#This Row],[Compte Shipper]],"-",Tableau119[[#This Row],[POL]])</f>
        <v>92000100-92000100-FALSO</v>
      </c>
      <c r="E249" s="130" t="str">
        <f>_xlfn.CONCAT(Tableau119[[#This Row],[POL]],"-",Tableau119[[#This Row],[Carrier]],"-",Tableau119[[#This Row],[POD]])</f>
        <v>FALSO-FALSO-FALSO</v>
      </c>
      <c r="F249" s="66" t="str">
        <f>_xlfn.CONCAT(Tableau119[[#This Row],[ID]],"-","Actif")</f>
        <v>81-Actif</v>
      </c>
      <c r="G249" s="66" t="str">
        <f>_xlfn.CONCAT(Tableau119[[#This Row],[POD]],"-",Tableau119[[#This Row],[Code PFI]],"-",Tableau119[[#This Row],[Compte Consignee]])</f>
        <v>FALSO---90016000</v>
      </c>
      <c r="H2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49" s="434" t="str">
        <f>_xlfn.CONCAT(Tableau119[[#This Row],[ID]],"-",Tableau119[[#This Row],[Expiration Date]])</f>
        <v>81-45869</v>
      </c>
      <c r="J2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FR-81-FALSO-FALSO-FALSO--45869</v>
      </c>
      <c r="K249" s="119" t="str">
        <f ca="1">IF(COUNTIF(J:J,Tableau119[[#This Row],[Plant-ILN-shipper-POL-Carrier-POD-PFI]])=1,"Non","Oui")</f>
        <v>Non</v>
      </c>
      <c r="L249" s="128" t="str">
        <f>VLOOKUP(Tableau119[[#This Row],[Name Site]],Plant_AILN!A:D,4,FALSE)</f>
        <v>ARGENTINA</v>
      </c>
      <c r="M249" s="411" t="s">
        <v>158</v>
      </c>
      <c r="N249" s="439">
        <f>VLOOKUP(Tableau119[[#This Row],[Name Site]],Plant_AILN!A:C,3,FALSE)</f>
        <v>90016000</v>
      </c>
      <c r="O249" s="55">
        <f>VLOOKUP(Tableau119[[#This Row],[Compte Consignee]],Order!C:D,2,FALSE)</f>
        <v>7</v>
      </c>
      <c r="P249" s="124" t="s">
        <v>143</v>
      </c>
      <c r="Q249" s="365">
        <f>VLOOKUP(Tableau119[[#This Row],[Name ILN]],Plant_AILN!F:G,2,FALSE)</f>
        <v>92000100</v>
      </c>
      <c r="R249" s="50">
        <f>VLOOKUP(Tableau119[[#This Row],[Compte ILN]],'DATA ILN'!D:I,6,FALSE)</f>
        <v>9</v>
      </c>
      <c r="S249" s="50" t="e">
        <f>IFERROR(VLOOKUP(Tableau119[[#This Row],[Key(Compte ILN - shipper - POL - plant)]],'DATA ILN'!A:J,10,FALSE),VLOOKUP(Tableau119[[#This Row],[Key(Compte ILN - shipper - POL)]],'DATA ILN'!B:J,9,FALSE))</f>
        <v>#N/A</v>
      </c>
      <c r="T249" s="50" t="e">
        <f>IFERROR(VLOOKUP(Tableau119[[#This Row],[Key(Compte ILN - shipper - POL - plant)]],'DATA ILN'!A:K,11,FALSE),VLOOKUP(Tableau119[[#This Row],[Key(Compte ILN - shipper - POL)]],'DATA ILN'!B:K,10,FALSE))</f>
        <v>#N/A</v>
      </c>
      <c r="U249" s="50" t="e">
        <f>IFERROR(VLOOKUP(Tableau119[[#This Row],[Key(Compte ILN - shipper - POL - plant)]],'DATA ILN'!A:L,12,FALSE),VLOOKUP(Tableau119[[#This Row],[Key(Compte ILN - shipper - POL)]],'DATA ILN'!B:L,11,FALSE))</f>
        <v>#N/A</v>
      </c>
      <c r="V249" s="50" t="e">
        <f>Tableau119[[#This Row],[Day ILN Order]]+Tableau119[[#This Row],[Delivery time to ILN/Shipper]]-1</f>
        <v>#N/A</v>
      </c>
      <c r="W249" s="50" t="e">
        <f>IFERROR(VLOOKUP(Tableau119[[#This Row],[Key(Compte ILN - shipper - POL - plant)]],'DATA ILN'!A:N,14,FALSE),VLOOKUP(Tableau119[[#This Row],[Key(Compte ILN - shipper - POL)]],'DATA ILN'!B:N,13,FALSE))</f>
        <v>#N/A</v>
      </c>
      <c r="X249" s="50" t="e">
        <f>IFERROR(VLOOKUP(Tableau119[[#This Row],[Key(Compte ILN - shipper - POL - plant)]],'DATA ILN'!A:P,16,FALSE),VLOOKUP(Tableau119[[#This Row],[Key(Compte ILN - shipper - POL)]],'DATA ILN'!B:P,15,FALSE))</f>
        <v>#N/A</v>
      </c>
      <c r="Y249" s="284" t="s">
        <v>143</v>
      </c>
      <c r="Z249" s="430">
        <f>IFERROR(VLOOKUP(Tableau119[[#This Row],[Name Shipper]],Plant_AILN!L:M,2,FALSE),0)</f>
        <v>92000100</v>
      </c>
      <c r="AA249" s="406">
        <v>81</v>
      </c>
      <c r="AB249" s="396" t="b">
        <f>_xlfn.XLOOKUP(Tableau119[[#This Row],[Key(ID-date)]],'DATA BTO'!S:S,'DATA BTO'!E:E,FALSE)</f>
        <v>0</v>
      </c>
      <c r="AC249" s="3" t="b">
        <f>_xlfn.XLOOKUP(Tableau119[[#This Row],[Key(ID-date)]],'DATA BTO'!S:S,'DATA BTO'!F:F,FALSE)</f>
        <v>0</v>
      </c>
      <c r="AD249" s="50" t="b">
        <f>_xlfn.XLOOKUP(Tableau119[[#This Row],[Key(ID-date)]],'DATA BTO'!S:S,'DATA BTO'!G:G,FALSE)</f>
        <v>0</v>
      </c>
      <c r="AE249" s="50" t="b">
        <f>_xlfn.XLOOKUP(Tableau119[[#This Row],[Key(ID-date)]],'DATA BTO'!S:S,'DATA BTO'!H:H,FALSE)</f>
        <v>0</v>
      </c>
      <c r="AF249" s="447" t="e">
        <f>IF(Tableau119[[#This Row],[First Day to POL]]&lt;=Tableau119[[#This Row],[Day Cut Off]],Tableau119[[#This Row],[Day ETD]],Tableau119[[#This Row],[Day ETD]]+7)</f>
        <v>#N/A</v>
      </c>
      <c r="AG249" s="50" t="b">
        <f>_xlfn.XLOOKUP(Tableau119[[#This Row],[Key(ID-date)]],'DATA BTO'!S:S,'DATA BTO'!I:I,FALSE)</f>
        <v>0</v>
      </c>
      <c r="AH249" s="3" t="b">
        <f>_xlfn.XLOOKUP(Tableau119[[#This Row],[Key(ID-date)]],'DATA BTO'!S:S,'DATA BTO'!J:J,FALSE)</f>
        <v>0</v>
      </c>
      <c r="AI249" s="3" t="b">
        <f>_xlfn.XLOOKUP(Tableau119[[#This Row],[Key(ID-date)]],'DATA BTO'!S:S,'DATA BTO'!K:K,FALSE)</f>
        <v>0</v>
      </c>
      <c r="AJ249" s="50" t="b">
        <f>_xlfn.XLOOKUP(Tableau119[[#This Row],[Key(ID-date)]],'DATA BTO'!S:S,'DATA BTO'!L:L,FALSE)</f>
        <v>0</v>
      </c>
      <c r="AK249" s="53" t="b">
        <f>_xlfn.XLOOKUP(Tableau119[[#This Row],[Key(ID-date)]],'DATA BTO'!S:S,'DATA BTO'!N:N,FALSE)</f>
        <v>0</v>
      </c>
      <c r="AL249" s="54" t="e">
        <f>VLOOKUP(Tableau119[[#This Row],[Key(POD -PFI- Usine)]],'DATA Consignee'!A:F,6,FALSE)</f>
        <v>#N/A</v>
      </c>
      <c r="AM249" s="284"/>
      <c r="AN249" s="376" t="str">
        <f>IF(Tableau119[[#This Row],[Name PFI/CDD]]="","-",VLOOKUP(Tableau119[[#This Row],[Name PFI/CDD]],Plant_AILN!I:J,2,FALSE))</f>
        <v>-</v>
      </c>
      <c r="AO2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49" s="2" t="e">
        <f>VLOOKUP(Tableau119[[#This Row],[Key(POD -PFI- Usine)]],'DATA Consignee'!A:J,10,FALSE)</f>
        <v>#N/A</v>
      </c>
      <c r="AR249" s="50" t="e">
        <f>VLOOKUP(Tableau119[[#This Row],[Key(POD -PFI- Usine)]],'DATA Consignee'!A:N,14,FALSE)</f>
        <v>#N/A</v>
      </c>
      <c r="AS2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49" s="50">
        <f>Tableau119[[#This Row],[Transit time]]+Tableau119[[#This Row],[Time for security]]+Tableau119[[#This Row],[Time for security2 buffer]]</f>
        <v>0</v>
      </c>
      <c r="AV2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49" s="50" t="e">
        <f>Tableau119[[#This Row],[Leadtime SI2C]]+Tableau119[[#This Row],[First Receipt Days]]-Tableau119[[#This Row],[Day Customer Order]]+1</f>
        <v>#N/A</v>
      </c>
      <c r="AX249" s="119" t="e">
        <f>IF(Tableau119[[#This Row],[Name ILN]]&lt;&gt;"SFK Freight Forwarder",Tableau119[[#This Row],[Cust. Leadtime]],Tableau119[[#This Row],[Leadtime SI2C]])</f>
        <v>#N/A</v>
      </c>
      <c r="AY249" s="51" t="b">
        <f>_xlfn.XLOOKUP(Tableau119[[#This Row],[Key(ID-date)]],'DATA BTO'!S:S,'DATA BTO'!P:P,FALSE)</f>
        <v>0</v>
      </c>
      <c r="AZ249" s="338">
        <v>45869</v>
      </c>
      <c r="BA249" s="50"/>
    </row>
    <row r="250" spans="2:53">
      <c r="B250" s="446" t="str">
        <f>_xlfn.CONCAT(Tableau119[[#This Row],[Name ILN]],"-",Tableau119[[#This Row],[Name Shipper]],"-",Tableau119[[#This Row],[Name Site]])</f>
        <v>ILN FR-ILN FR-CORDOBA</v>
      </c>
      <c r="C250" s="66" t="str">
        <f>_xlfn.CONCAT(Tableau119[[#This Row],[Compte ILN]],"-",Tableau119[[#This Row],[Compte Shipper]],"-",Tableau119[[#This Row],[POL]],"-",Tableau119[[#This Row],[Compte Consignee]])</f>
        <v>92000100-92000100-FALSO-90016000</v>
      </c>
      <c r="D250" s="66" t="str">
        <f>_xlfn.CONCAT(Tableau119[[#This Row],[Compte ILN]],"-",Tableau119[[#This Row],[Compte Shipper]],"-",Tableau119[[#This Row],[POL]])</f>
        <v>92000100-92000100-FALSO</v>
      </c>
      <c r="E250" s="130" t="str">
        <f>_xlfn.CONCAT(Tableau119[[#This Row],[POL]],"-",Tableau119[[#This Row],[Carrier]],"-",Tableau119[[#This Row],[POD]])</f>
        <v>FALSO-FALSO-FALSO</v>
      </c>
      <c r="F250" s="66" t="str">
        <f>_xlfn.CONCAT(Tableau119[[#This Row],[ID]],"-","Actif")</f>
        <v>81-Actif</v>
      </c>
      <c r="G250" s="66" t="str">
        <f>_xlfn.CONCAT(Tableau119[[#This Row],[POD]],"-",Tableau119[[#This Row],[Code PFI]],"-",Tableau119[[#This Row],[Compte Consignee]])</f>
        <v>FALSO---90016000</v>
      </c>
      <c r="H2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50" s="434" t="str">
        <f>_xlfn.CONCAT(Tableau119[[#This Row],[ID]],"-",Tableau119[[#This Row],[Expiration Date]])</f>
        <v>81-45777</v>
      </c>
      <c r="J2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FR-81-FALSO-FALSO-FALSO--45777</v>
      </c>
      <c r="K250" s="119" t="str">
        <f ca="1">IF(COUNTIF(J:J,Tableau119[[#This Row],[Plant-ILN-shipper-POL-Carrier-POD-PFI]])=1,"Non","Oui")</f>
        <v>Non</v>
      </c>
      <c r="L250" s="128" t="str">
        <f>VLOOKUP(Tableau119[[#This Row],[Name Site]],Plant_AILN!A:D,4,FALSE)</f>
        <v>ARGENTINA</v>
      </c>
      <c r="M250" s="411" t="s">
        <v>158</v>
      </c>
      <c r="N250" s="439">
        <f>VLOOKUP(Tableau119[[#This Row],[Name Site]],Plant_AILN!A:C,3,FALSE)</f>
        <v>90016000</v>
      </c>
      <c r="O250" s="55">
        <f>VLOOKUP(Tableau119[[#This Row],[Compte Consignee]],Order!C:D,2,FALSE)</f>
        <v>7</v>
      </c>
      <c r="P250" s="124" t="s">
        <v>143</v>
      </c>
      <c r="Q250" s="365">
        <f>VLOOKUP(Tableau119[[#This Row],[Name ILN]],Plant_AILN!F:G,2,FALSE)</f>
        <v>92000100</v>
      </c>
      <c r="R250" s="50">
        <f>VLOOKUP(Tableau119[[#This Row],[Compte ILN]],'DATA ILN'!D:I,6,FALSE)</f>
        <v>9</v>
      </c>
      <c r="S250" s="50" t="e">
        <f>IFERROR(VLOOKUP(Tableau119[[#This Row],[Key(Compte ILN - shipper - POL - plant)]],'DATA ILN'!A:J,10,FALSE),VLOOKUP(Tableau119[[#This Row],[Key(Compte ILN - shipper - POL)]],'DATA ILN'!B:J,9,FALSE))</f>
        <v>#N/A</v>
      </c>
      <c r="T250" s="50" t="e">
        <f>IFERROR(VLOOKUP(Tableau119[[#This Row],[Key(Compte ILN - shipper - POL - plant)]],'DATA ILN'!A:K,11,FALSE),VLOOKUP(Tableau119[[#This Row],[Key(Compte ILN - shipper - POL)]],'DATA ILN'!B:K,10,FALSE))</f>
        <v>#N/A</v>
      </c>
      <c r="U250" s="50" t="e">
        <f>IFERROR(VLOOKUP(Tableau119[[#This Row],[Key(Compte ILN - shipper - POL - plant)]],'DATA ILN'!A:L,12,FALSE),VLOOKUP(Tableau119[[#This Row],[Key(Compte ILN - shipper - POL)]],'DATA ILN'!B:L,11,FALSE))</f>
        <v>#N/A</v>
      </c>
      <c r="V250" s="50" t="e">
        <f>Tableau119[[#This Row],[Day ILN Order]]+Tableau119[[#This Row],[Delivery time to ILN/Shipper]]-1</f>
        <v>#N/A</v>
      </c>
      <c r="W250" s="50" t="e">
        <f>IFERROR(VLOOKUP(Tableau119[[#This Row],[Key(Compte ILN - shipper - POL - plant)]],'DATA ILN'!A:N,14,FALSE),VLOOKUP(Tableau119[[#This Row],[Key(Compte ILN - shipper - POL)]],'DATA ILN'!B:N,13,FALSE))</f>
        <v>#N/A</v>
      </c>
      <c r="X250" s="50" t="e">
        <f>IFERROR(VLOOKUP(Tableau119[[#This Row],[Key(Compte ILN - shipper - POL - plant)]],'DATA ILN'!A:P,16,FALSE),VLOOKUP(Tableau119[[#This Row],[Key(Compte ILN - shipper - POL)]],'DATA ILN'!B:P,15,FALSE))</f>
        <v>#N/A</v>
      </c>
      <c r="Y250" s="284" t="s">
        <v>143</v>
      </c>
      <c r="Z250" s="430">
        <f>IFERROR(VLOOKUP(Tableau119[[#This Row],[Name Shipper]],Plant_AILN!L:M,2,FALSE),0)</f>
        <v>92000100</v>
      </c>
      <c r="AA250" s="406">
        <v>81</v>
      </c>
      <c r="AB250" s="396" t="b">
        <f>_xlfn.XLOOKUP(Tableau119[[#This Row],[Key(ID-date)]],'DATA BTO'!S:S,'DATA BTO'!E:E,FALSE)</f>
        <v>0</v>
      </c>
      <c r="AC250" s="3" t="b">
        <f>_xlfn.XLOOKUP(Tableau119[[#This Row],[Key(ID-date)]],'DATA BTO'!S:S,'DATA BTO'!F:F,FALSE)</f>
        <v>0</v>
      </c>
      <c r="AD250" s="50" t="b">
        <f>_xlfn.XLOOKUP(Tableau119[[#This Row],[Key(ID-date)]],'DATA BTO'!S:S,'DATA BTO'!G:G,FALSE)</f>
        <v>0</v>
      </c>
      <c r="AE250" s="50" t="b">
        <f>_xlfn.XLOOKUP(Tableau119[[#This Row],[Key(ID-date)]],'DATA BTO'!S:S,'DATA BTO'!H:H,FALSE)</f>
        <v>0</v>
      </c>
      <c r="AF250" s="447" t="e">
        <f>IF(Tableau119[[#This Row],[First Day to POL]]&lt;=Tableau119[[#This Row],[Day Cut Off]],Tableau119[[#This Row],[Day ETD]],Tableau119[[#This Row],[Day ETD]]+7)</f>
        <v>#N/A</v>
      </c>
      <c r="AG250" s="50" t="b">
        <f>_xlfn.XLOOKUP(Tableau119[[#This Row],[Key(ID-date)]],'DATA BTO'!S:S,'DATA BTO'!I:I,FALSE)</f>
        <v>0</v>
      </c>
      <c r="AH250" s="3" t="b">
        <f>_xlfn.XLOOKUP(Tableau119[[#This Row],[Key(ID-date)]],'DATA BTO'!S:S,'DATA BTO'!J:J,FALSE)</f>
        <v>0</v>
      </c>
      <c r="AI250" s="3" t="b">
        <f>_xlfn.XLOOKUP(Tableau119[[#This Row],[Key(ID-date)]],'DATA BTO'!S:S,'DATA BTO'!K:K,FALSE)</f>
        <v>0</v>
      </c>
      <c r="AJ250" s="50" t="b">
        <f>_xlfn.XLOOKUP(Tableau119[[#This Row],[Key(ID-date)]],'DATA BTO'!S:S,'DATA BTO'!L:L,FALSE)</f>
        <v>0</v>
      </c>
      <c r="AK250" s="53" t="b">
        <f>_xlfn.XLOOKUP(Tableau119[[#This Row],[Key(ID-date)]],'DATA BTO'!S:S,'DATA BTO'!N:N,FALSE)</f>
        <v>0</v>
      </c>
      <c r="AL250" s="54" t="e">
        <f>VLOOKUP(Tableau119[[#This Row],[Key(POD -PFI- Usine)]],'DATA Consignee'!A:F,6,FALSE)</f>
        <v>#N/A</v>
      </c>
      <c r="AM250" s="284"/>
      <c r="AN250" s="376" t="str">
        <f>IF(Tableau119[[#This Row],[Name PFI/CDD]]="","-",VLOOKUP(Tableau119[[#This Row],[Name PFI/CDD]],Plant_AILN!I:J,2,FALSE))</f>
        <v>-</v>
      </c>
      <c r="AO2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0" s="2" t="e">
        <f>VLOOKUP(Tableau119[[#This Row],[Key(POD -PFI- Usine)]],'DATA Consignee'!A:J,10,FALSE)</f>
        <v>#N/A</v>
      </c>
      <c r="AR250" s="50" t="e">
        <f>VLOOKUP(Tableau119[[#This Row],[Key(POD -PFI- Usine)]],'DATA Consignee'!A:N,14,FALSE)</f>
        <v>#N/A</v>
      </c>
      <c r="AS2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0" s="50">
        <f>Tableau119[[#This Row],[Transit time]]+Tableau119[[#This Row],[Time for security]]+Tableau119[[#This Row],[Time for security2 buffer]]</f>
        <v>0</v>
      </c>
      <c r="AV2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0" s="50" t="e">
        <f>Tableau119[[#This Row],[Leadtime SI2C]]+Tableau119[[#This Row],[First Receipt Days]]-Tableau119[[#This Row],[Day Customer Order]]+1</f>
        <v>#N/A</v>
      </c>
      <c r="AX250" s="119" t="e">
        <f>IF(Tableau119[[#This Row],[Name ILN]]&lt;&gt;"SFK Freight Forwarder",Tableau119[[#This Row],[Cust. Leadtime]],Tableau119[[#This Row],[Leadtime SI2C]])</f>
        <v>#N/A</v>
      </c>
      <c r="AY250" s="51" t="b">
        <f>_xlfn.XLOOKUP(Tableau119[[#This Row],[Key(ID-date)]],'DATA BTO'!S:S,'DATA BTO'!P:P,FALSE)</f>
        <v>0</v>
      </c>
      <c r="AZ250" s="338">
        <v>45777</v>
      </c>
      <c r="BA250" s="50"/>
    </row>
    <row r="251" spans="2:53">
      <c r="B251" s="446" t="str">
        <f>_xlfn.CONCAT(Tableau119[[#This Row],[Name ILN]],"-",Tableau119[[#This Row],[Name Shipper]],"-",Tableau119[[#This Row],[Name Site]])</f>
        <v>ILN FR-ILN FR-CORDOBA</v>
      </c>
      <c r="C251" s="66" t="str">
        <f>_xlfn.CONCAT(Tableau119[[#This Row],[Compte ILN]],"-",Tableau119[[#This Row],[Compte Shipper]],"-",Tableau119[[#This Row],[POL]],"-",Tableau119[[#This Row],[Compte Consignee]])</f>
        <v>92000100-92000100-FALSO-90016000</v>
      </c>
      <c r="D251" s="66" t="str">
        <f>_xlfn.CONCAT(Tableau119[[#This Row],[Compte ILN]],"-",Tableau119[[#This Row],[Compte Shipper]],"-",Tableau119[[#This Row],[POL]])</f>
        <v>92000100-92000100-FALSO</v>
      </c>
      <c r="E251" s="130" t="str">
        <f>_xlfn.CONCAT(Tableau119[[#This Row],[POL]],"-",Tableau119[[#This Row],[Carrier]],"-",Tableau119[[#This Row],[POD]])</f>
        <v>FALSO-FALSO-FALSO</v>
      </c>
      <c r="F251" s="66" t="str">
        <f>_xlfn.CONCAT(Tableau119[[#This Row],[ID]],"-","Actif")</f>
        <v>81-Actif</v>
      </c>
      <c r="G251" s="66" t="str">
        <f>_xlfn.CONCAT(Tableau119[[#This Row],[POD]],"-",Tableau119[[#This Row],[Code PFI]],"-",Tableau119[[#This Row],[Compte Consignee]])</f>
        <v>FALSO---90016000</v>
      </c>
      <c r="H2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51" s="434" t="str">
        <f>_xlfn.CONCAT(Tableau119[[#This Row],[ID]],"-",Tableau119[[#This Row],[Expiration Date]])</f>
        <v>81-45657</v>
      </c>
      <c r="J2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FR-81-FALSO-FALSO-FALSO--45657</v>
      </c>
      <c r="K251" s="119" t="str">
        <f ca="1">IF(COUNTIF(J:J,Tableau119[[#This Row],[Plant-ILN-shipper-POL-Carrier-POD-PFI]])=1,"Non","Oui")</f>
        <v>Non</v>
      </c>
      <c r="L251" s="128" t="str">
        <f>VLOOKUP(Tableau119[[#This Row],[Name Site]],Plant_AILN!A:D,4,FALSE)</f>
        <v>ARGENTINA</v>
      </c>
      <c r="M251" s="411" t="s">
        <v>158</v>
      </c>
      <c r="N251" s="454">
        <f>VLOOKUP(Tableau119[[#This Row],[Name Site]],Plant_AILN!A:C,3,FALSE)</f>
        <v>90016000</v>
      </c>
      <c r="O251" s="55">
        <f>VLOOKUP(Tableau119[[#This Row],[Compte Consignee]],Order!C:D,2,FALSE)</f>
        <v>7</v>
      </c>
      <c r="P251" s="124" t="s">
        <v>143</v>
      </c>
      <c r="Q251" s="365">
        <f>VLOOKUP(Tableau119[[#This Row],[Name ILN]],Plant_AILN!F:G,2,FALSE)</f>
        <v>92000100</v>
      </c>
      <c r="R251" s="50">
        <f>VLOOKUP(Tableau119[[#This Row],[Compte ILN]],'DATA ILN'!D:I,6,FALSE)</f>
        <v>9</v>
      </c>
      <c r="S251" s="50" t="e">
        <f>IFERROR(VLOOKUP(Tableau119[[#This Row],[Key(Compte ILN - shipper - POL - plant)]],'DATA ILN'!A:J,10,FALSE),VLOOKUP(Tableau119[[#This Row],[Key(Compte ILN - shipper - POL)]],'DATA ILN'!B:J,9,FALSE))</f>
        <v>#N/A</v>
      </c>
      <c r="T251" s="50" t="e">
        <f>IFERROR(VLOOKUP(Tableau119[[#This Row],[Key(Compte ILN - shipper - POL - plant)]],'DATA ILN'!A:K,11,FALSE),VLOOKUP(Tableau119[[#This Row],[Key(Compte ILN - shipper - POL)]],'DATA ILN'!B:K,10,FALSE))</f>
        <v>#N/A</v>
      </c>
      <c r="U251" s="50" t="e">
        <f>IFERROR(VLOOKUP(Tableau119[[#This Row],[Key(Compte ILN - shipper - POL - plant)]],'DATA ILN'!A:L,12,FALSE),VLOOKUP(Tableau119[[#This Row],[Key(Compte ILN - shipper - POL)]],'DATA ILN'!B:L,11,FALSE))</f>
        <v>#N/A</v>
      </c>
      <c r="V251" s="50" t="e">
        <f>Tableau119[[#This Row],[Day ILN Order]]+Tableau119[[#This Row],[Delivery time to ILN/Shipper]]-1</f>
        <v>#N/A</v>
      </c>
      <c r="W251" s="50" t="e">
        <f>IFERROR(VLOOKUP(Tableau119[[#This Row],[Key(Compte ILN - shipper - POL - plant)]],'DATA ILN'!A:N,14,FALSE),VLOOKUP(Tableau119[[#This Row],[Key(Compte ILN - shipper - POL)]],'DATA ILN'!B:N,13,FALSE))</f>
        <v>#N/A</v>
      </c>
      <c r="X251" s="50" t="e">
        <f>IFERROR(VLOOKUP(Tableau119[[#This Row],[Key(Compte ILN - shipper - POL - plant)]],'DATA ILN'!A:P,16,FALSE),VLOOKUP(Tableau119[[#This Row],[Key(Compte ILN - shipper - POL)]],'DATA ILN'!B:P,15,FALSE))</f>
        <v>#N/A</v>
      </c>
      <c r="Y251" s="284" t="s">
        <v>143</v>
      </c>
      <c r="Z251" s="430">
        <f>IFERROR(VLOOKUP(Tableau119[[#This Row],[Name Shipper]],Plant_AILN!L:M,2,FALSE),0)</f>
        <v>92000100</v>
      </c>
      <c r="AA251" s="406">
        <v>81</v>
      </c>
      <c r="AB251" s="396" t="b">
        <f>_xlfn.XLOOKUP(Tableau119[[#This Row],[Key(ID-date)]],'DATA BTO'!S:S,'DATA BTO'!E:E,FALSE)</f>
        <v>0</v>
      </c>
      <c r="AC251" s="3" t="b">
        <f>_xlfn.XLOOKUP(Tableau119[[#This Row],[Key(ID-date)]],'DATA BTO'!S:S,'DATA BTO'!F:F,FALSE)</f>
        <v>0</v>
      </c>
      <c r="AD251" s="50" t="b">
        <f>_xlfn.XLOOKUP(Tableau119[[#This Row],[Key(ID-date)]],'DATA BTO'!S:S,'DATA BTO'!G:G,FALSE)</f>
        <v>0</v>
      </c>
      <c r="AE251" s="50" t="b">
        <f>_xlfn.XLOOKUP(Tableau119[[#This Row],[Key(ID-date)]],'DATA BTO'!S:S,'DATA BTO'!H:H,FALSE)</f>
        <v>0</v>
      </c>
      <c r="AF251" s="447" t="e">
        <f>IF(Tableau119[[#This Row],[First Day to POL]]&lt;=Tableau119[[#This Row],[Day Cut Off]],Tableau119[[#This Row],[Day ETD]],Tableau119[[#This Row],[Day ETD]]+7)</f>
        <v>#N/A</v>
      </c>
      <c r="AG251" s="50" t="b">
        <f>_xlfn.XLOOKUP(Tableau119[[#This Row],[Key(ID-date)]],'DATA BTO'!S:S,'DATA BTO'!I:I,FALSE)</f>
        <v>0</v>
      </c>
      <c r="AH251" s="3" t="b">
        <f>_xlfn.XLOOKUP(Tableau119[[#This Row],[Key(ID-date)]],'DATA BTO'!S:S,'DATA BTO'!J:J,FALSE)</f>
        <v>0</v>
      </c>
      <c r="AI251" s="3" t="b">
        <f>_xlfn.XLOOKUP(Tableau119[[#This Row],[Key(ID-date)]],'DATA BTO'!S:S,'DATA BTO'!K:K,FALSE)</f>
        <v>0</v>
      </c>
      <c r="AJ251" s="50" t="b">
        <f>_xlfn.XLOOKUP(Tableau119[[#This Row],[Key(ID-date)]],'DATA BTO'!S:S,'DATA BTO'!L:L,FALSE)</f>
        <v>0</v>
      </c>
      <c r="AK251" s="53" t="b">
        <f>_xlfn.XLOOKUP(Tableau119[[#This Row],[Key(ID-date)]],'DATA BTO'!S:S,'DATA BTO'!N:N,FALSE)</f>
        <v>0</v>
      </c>
      <c r="AL251" s="54" t="e">
        <f>VLOOKUP(Tableau119[[#This Row],[Key(POD -PFI- Usine)]],'DATA Consignee'!A:F,6,FALSE)</f>
        <v>#N/A</v>
      </c>
      <c r="AM251" s="284"/>
      <c r="AN251" s="376" t="str">
        <f>IF(Tableau119[[#This Row],[Name PFI/CDD]]="","-",VLOOKUP(Tableau119[[#This Row],[Name PFI/CDD]],Plant_AILN!I:J,2,FALSE))</f>
        <v>-</v>
      </c>
      <c r="AO2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1" s="2" t="e">
        <f>VLOOKUP(Tableau119[[#This Row],[Key(POD -PFI- Usine)]],'DATA Consignee'!A:J,10,FALSE)</f>
        <v>#N/A</v>
      </c>
      <c r="AR251" s="50" t="e">
        <f>VLOOKUP(Tableau119[[#This Row],[Key(POD -PFI- Usine)]],'DATA Consignee'!A:N,14,FALSE)</f>
        <v>#N/A</v>
      </c>
      <c r="AS2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1" s="50">
        <f>Tableau119[[#This Row],[Transit time]]+Tableau119[[#This Row],[Time for security]]+Tableau119[[#This Row],[Time for security2 buffer]]</f>
        <v>0</v>
      </c>
      <c r="AV2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1" s="50" t="e">
        <f>Tableau119[[#This Row],[Leadtime SI2C]]+Tableau119[[#This Row],[First Receipt Days]]-Tableau119[[#This Row],[Day Customer Order]]+1</f>
        <v>#N/A</v>
      </c>
      <c r="AX251" s="119" t="e">
        <f>IF(Tableau119[[#This Row],[Name ILN]]&lt;&gt;"SFK Freight Forwarder",Tableau119[[#This Row],[Cust. Leadtime]],Tableau119[[#This Row],[Leadtime SI2C]])</f>
        <v>#N/A</v>
      </c>
      <c r="AY251" s="51" t="b">
        <f>_xlfn.XLOOKUP(Tableau119[[#This Row],[Key(ID-date)]],'DATA BTO'!S:S,'DATA BTO'!P:P,FALSE)</f>
        <v>0</v>
      </c>
      <c r="AZ251" s="338">
        <v>45657</v>
      </c>
      <c r="BA251" s="50"/>
    </row>
    <row r="252" spans="2:53">
      <c r="B252" s="446" t="str">
        <f>_xlfn.CONCAT(Tableau119[[#This Row],[Name ILN]],"-",Tableau119[[#This Row],[Name Shipper]],"-",Tableau119[[#This Row],[Name Site]])</f>
        <v>ILN FR-ILN FR-CORDOBA</v>
      </c>
      <c r="C252" s="66" t="str">
        <f>_xlfn.CONCAT(Tableau119[[#This Row],[Compte ILN]],"-",Tableau119[[#This Row],[Compte Shipper]],"-",Tableau119[[#This Row],[POL]],"-",Tableau119[[#This Row],[Compte Consignee]])</f>
        <v>92000100-92000100-FALSO-90016000</v>
      </c>
      <c r="D252" s="66" t="str">
        <f>_xlfn.CONCAT(Tableau119[[#This Row],[Compte ILN]],"-",Tableau119[[#This Row],[Compte Shipper]],"-",Tableau119[[#This Row],[POL]])</f>
        <v>92000100-92000100-FALSO</v>
      </c>
      <c r="E252" s="130" t="str">
        <f>_xlfn.CONCAT(Tableau119[[#This Row],[POL]],"-",Tableau119[[#This Row],[Carrier]],"-",Tableau119[[#This Row],[POD]])</f>
        <v>FALSO-FALSO-FALSO</v>
      </c>
      <c r="F252" s="66" t="str">
        <f>_xlfn.CONCAT(Tableau119[[#This Row],[ID]],"-","Actif")</f>
        <v>81-Actif</v>
      </c>
      <c r="G252" s="66" t="str">
        <f>_xlfn.CONCAT(Tableau119[[#This Row],[POD]],"-",Tableau119[[#This Row],[Code PFI]],"-",Tableau119[[#This Row],[Compte Consignee]])</f>
        <v>FALSO---90016000</v>
      </c>
      <c r="H2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52" s="434" t="str">
        <f>_xlfn.CONCAT(Tableau119[[#This Row],[ID]],"-",Tableau119[[#This Row],[Expiration Date]])</f>
        <v>81-45473</v>
      </c>
      <c r="J2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FR-81-FALSO-FALSO-FALSO--45473</v>
      </c>
      <c r="K252" s="119" t="str">
        <f ca="1">IF(COUNTIF(J:J,Tableau119[[#This Row],[Plant-ILN-shipper-POL-Carrier-POD-PFI]])=1,"Non","Oui")</f>
        <v>Non</v>
      </c>
      <c r="L252" s="128" t="str">
        <f>VLOOKUP(Tableau119[[#This Row],[Name Site]],Plant_AILN!A:D,4,FALSE)</f>
        <v>ARGENTINA</v>
      </c>
      <c r="M252" s="411" t="s">
        <v>158</v>
      </c>
      <c r="N252" s="454">
        <f>VLOOKUP(Tableau119[[#This Row],[Name Site]],Plant_AILN!A:C,3,FALSE)</f>
        <v>90016000</v>
      </c>
      <c r="O252" s="55">
        <f>VLOOKUP(Tableau119[[#This Row],[Compte Consignee]],Order!C:D,2,FALSE)</f>
        <v>7</v>
      </c>
      <c r="P252" s="116" t="s">
        <v>143</v>
      </c>
      <c r="Q252" s="365">
        <f>VLOOKUP(Tableau119[[#This Row],[Name ILN]],Plant_AILN!F:G,2,FALSE)</f>
        <v>92000100</v>
      </c>
      <c r="R252" s="50">
        <f>VLOOKUP(Tableau119[[#This Row],[Compte ILN]],'DATA ILN'!D:I,6,FALSE)</f>
        <v>9</v>
      </c>
      <c r="S252" s="50" t="e">
        <f>IFERROR(VLOOKUP(Tableau119[[#This Row],[Key(Compte ILN - shipper - POL - plant)]],'DATA ILN'!A:J,10,FALSE),VLOOKUP(Tableau119[[#This Row],[Key(Compte ILN - shipper - POL)]],'DATA ILN'!B:J,9,FALSE))</f>
        <v>#N/A</v>
      </c>
      <c r="T252" s="50" t="e">
        <f>IFERROR(VLOOKUP(Tableau119[[#This Row],[Key(Compte ILN - shipper - POL - plant)]],'DATA ILN'!A:K,11,FALSE),VLOOKUP(Tableau119[[#This Row],[Key(Compte ILN - shipper - POL)]],'DATA ILN'!B:K,10,FALSE))</f>
        <v>#N/A</v>
      </c>
      <c r="U252" s="50" t="e">
        <f>IFERROR(VLOOKUP(Tableau119[[#This Row],[Key(Compte ILN - shipper - POL - plant)]],'DATA ILN'!A:L,12,FALSE),VLOOKUP(Tableau119[[#This Row],[Key(Compte ILN - shipper - POL)]],'DATA ILN'!B:L,11,FALSE))</f>
        <v>#N/A</v>
      </c>
      <c r="V252" s="50" t="e">
        <f>Tableau119[[#This Row],[Day ILN Order]]+Tableau119[[#This Row],[Delivery time to ILN/Shipper]]-1</f>
        <v>#N/A</v>
      </c>
      <c r="W252" s="50" t="e">
        <f>IFERROR(VLOOKUP(Tableau119[[#This Row],[Key(Compte ILN - shipper - POL - plant)]],'DATA ILN'!A:N,14,FALSE),VLOOKUP(Tableau119[[#This Row],[Key(Compte ILN - shipper - POL)]],'DATA ILN'!B:N,13,FALSE))</f>
        <v>#N/A</v>
      </c>
      <c r="X252" s="50" t="e">
        <f>IFERROR(VLOOKUP(Tableau119[[#This Row],[Key(Compte ILN - shipper - POL - plant)]],'DATA ILN'!A:P,16,FALSE),VLOOKUP(Tableau119[[#This Row],[Key(Compte ILN - shipper - POL)]],'DATA ILN'!B:P,15,FALSE))</f>
        <v>#N/A</v>
      </c>
      <c r="Y252" s="284" t="s">
        <v>143</v>
      </c>
      <c r="Z252" s="430">
        <f>IFERROR(VLOOKUP(Tableau119[[#This Row],[Name Shipper]],Plant_AILN!L:M,2,FALSE),0)</f>
        <v>92000100</v>
      </c>
      <c r="AA252" s="406">
        <v>81</v>
      </c>
      <c r="AB252" s="396" t="b">
        <f>_xlfn.XLOOKUP(Tableau119[[#This Row],[Key(ID-date)]],'DATA BTO'!S:S,'DATA BTO'!E:E,FALSE)</f>
        <v>0</v>
      </c>
      <c r="AC252" s="3" t="b">
        <f>_xlfn.XLOOKUP(Tableau119[[#This Row],[Key(ID-date)]],'DATA BTO'!S:S,'DATA BTO'!F:F,FALSE)</f>
        <v>0</v>
      </c>
      <c r="AD252" s="50" t="b">
        <f>_xlfn.XLOOKUP(Tableau119[[#This Row],[Key(ID-date)]],'DATA BTO'!S:S,'DATA BTO'!G:G,FALSE)</f>
        <v>0</v>
      </c>
      <c r="AE252" s="50" t="b">
        <f>_xlfn.XLOOKUP(Tableau119[[#This Row],[Key(ID-date)]],'DATA BTO'!S:S,'DATA BTO'!H:H,FALSE)</f>
        <v>0</v>
      </c>
      <c r="AF252" s="447" t="e">
        <f>IF(Tableau119[[#This Row],[First Day to POL]]&lt;=Tableau119[[#This Row],[Day Cut Off]],Tableau119[[#This Row],[Day ETD]],Tableau119[[#This Row],[Day ETD]]+7)</f>
        <v>#N/A</v>
      </c>
      <c r="AG252" s="50" t="b">
        <f>_xlfn.XLOOKUP(Tableau119[[#This Row],[Key(ID-date)]],'DATA BTO'!S:S,'DATA BTO'!I:I,FALSE)</f>
        <v>0</v>
      </c>
      <c r="AH252" s="3" t="b">
        <f>_xlfn.XLOOKUP(Tableau119[[#This Row],[Key(ID-date)]],'DATA BTO'!S:S,'DATA BTO'!J:J,FALSE)</f>
        <v>0</v>
      </c>
      <c r="AI252" s="3" t="b">
        <f>_xlfn.XLOOKUP(Tableau119[[#This Row],[Key(ID-date)]],'DATA BTO'!S:S,'DATA BTO'!K:K,FALSE)</f>
        <v>0</v>
      </c>
      <c r="AJ252" s="50" t="b">
        <f>_xlfn.XLOOKUP(Tableau119[[#This Row],[Key(ID-date)]],'DATA BTO'!S:S,'DATA BTO'!L:L,FALSE)</f>
        <v>0</v>
      </c>
      <c r="AK252" s="53" t="b">
        <f>_xlfn.XLOOKUP(Tableau119[[#This Row],[Key(ID-date)]],'DATA BTO'!S:S,'DATA BTO'!N:N,FALSE)</f>
        <v>0</v>
      </c>
      <c r="AL252" s="54" t="e">
        <f>VLOOKUP(Tableau119[[#This Row],[Key(POD -PFI- Usine)]],'DATA Consignee'!A:F,6,FALSE)</f>
        <v>#N/A</v>
      </c>
      <c r="AM252" s="284"/>
      <c r="AN252" s="376" t="str">
        <f>IF(Tableau119[[#This Row],[Name PFI/CDD]]="","-",VLOOKUP(Tableau119[[#This Row],[Name PFI/CDD]],Plant_AILN!I:J,2,FALSE))</f>
        <v>-</v>
      </c>
      <c r="AO2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2" s="2" t="e">
        <f>VLOOKUP(Tableau119[[#This Row],[Key(POD -PFI- Usine)]],'DATA Consignee'!A:J,10,FALSE)</f>
        <v>#N/A</v>
      </c>
      <c r="AR252" s="50" t="e">
        <f>VLOOKUP(Tableau119[[#This Row],[Key(POD -PFI- Usine)]],'DATA Consignee'!A:N,14,FALSE)</f>
        <v>#N/A</v>
      </c>
      <c r="AS2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2" s="50">
        <f>Tableau119[[#This Row],[Transit time]]+Tableau119[[#This Row],[Time for security]]+Tableau119[[#This Row],[Time for security2 buffer]]</f>
        <v>0</v>
      </c>
      <c r="AV2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2" s="50" t="e">
        <f>Tableau119[[#This Row],[Leadtime SI2C]]+Tableau119[[#This Row],[First Receipt Days]]-Tableau119[[#This Row],[Day Customer Order]]+1</f>
        <v>#N/A</v>
      </c>
      <c r="AX252" s="119" t="e">
        <f>IF(Tableau119[[#This Row],[Name ILN]]&lt;&gt;"SFK Freight Forwarder",Tableau119[[#This Row],[Cust. Leadtime]],Tableau119[[#This Row],[Leadtime SI2C]])</f>
        <v>#N/A</v>
      </c>
      <c r="AY252" s="51" t="b">
        <f>_xlfn.XLOOKUP(Tableau119[[#This Row],[Key(ID-date)]],'DATA BTO'!S:S,'DATA BTO'!P:P,FALSE)</f>
        <v>0</v>
      </c>
      <c r="AZ252" s="338">
        <v>45473</v>
      </c>
      <c r="BA252" s="50"/>
    </row>
    <row r="253" spans="2:53">
      <c r="B253" s="418" t="str">
        <f>_xlfn.CONCAT(Tableau119[[#This Row],[Name ILN]],"-",Tableau119[[#This Row],[Name Shipper]],"-",Tableau119[[#This Row],[Name Site]])</f>
        <v>ILN FR-ILN FR-CORDOBA</v>
      </c>
      <c r="C253" s="82" t="str">
        <f>_xlfn.CONCAT(Tableau119[[#This Row],[Compte ILN]],"-",Tableau119[[#This Row],[Compte Shipper]],"-",Tableau119[[#This Row],[POL]],"-",Tableau119[[#This Row],[Compte Consignee]])</f>
        <v>92000100-92000100-FALSO-90016000</v>
      </c>
      <c r="D253" s="82" t="str">
        <f>_xlfn.CONCAT(Tableau119[[#This Row],[Compte ILN]],"-",Tableau119[[#This Row],[Compte Shipper]],"-",Tableau119[[#This Row],[POL]])</f>
        <v>92000100-92000100-FALSO</v>
      </c>
      <c r="E253" s="83" t="str">
        <f>_xlfn.CONCAT(Tableau119[[#This Row],[POL]],"-",Tableau119[[#This Row],[Carrier]],"-",Tableau119[[#This Row],[POD]])</f>
        <v>FALSO-FALSO-FALSO</v>
      </c>
      <c r="F253" s="82" t="str">
        <f>_xlfn.CONCAT(Tableau119[[#This Row],[ID]],"-","Actif")</f>
        <v>81-Actif</v>
      </c>
      <c r="G253" s="82" t="str">
        <f>_xlfn.CONCAT(Tableau119[[#This Row],[POD]],"-",Tableau119[[#This Row],[Code PFI]],"-",Tableau119[[#This Row],[Compte Consignee]])</f>
        <v>FALSO---90016000</v>
      </c>
      <c r="H253" s="117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FRFALSOCORDOBA</v>
      </c>
      <c r="I253" s="502" t="str">
        <f>_xlfn.CONCAT(Tableau119[[#This Row],[ID]],"-",Tableau119[[#This Row],[Expiration Date]])</f>
        <v>81-45412</v>
      </c>
      <c r="J2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FR-ILN FR-81-FALSO-FALSO-FALSO--45412</v>
      </c>
      <c r="K253" s="120" t="str">
        <f ca="1">IF(COUNTIF(J:J,Tableau119[[#This Row],[Plant-ILN-shipper-POL-Carrier-POD-PFI]])=1,"Non","Oui")</f>
        <v>Non</v>
      </c>
      <c r="L253" s="103" t="str">
        <f>VLOOKUP(Tableau119[[#This Row],[Name Site]],Plant_AILN!A:D,4,FALSE)</f>
        <v>ARGENTINA</v>
      </c>
      <c r="M253" s="415" t="s">
        <v>158</v>
      </c>
      <c r="N253" s="439">
        <f>VLOOKUP(Tableau119[[#This Row],[Name Site]],Plant_AILN!A:C,3,FALSE)</f>
        <v>90016000</v>
      </c>
      <c r="O253" s="55">
        <f>VLOOKUP(Tableau119[[#This Row],[Compte Consignee]],Order!C:D,2,FALSE)</f>
        <v>7</v>
      </c>
      <c r="P253" s="126" t="s">
        <v>143</v>
      </c>
      <c r="Q253" s="366">
        <f>VLOOKUP(Tableau119[[#This Row],[Name ILN]],Plant_AILN!F:G,2,FALSE)</f>
        <v>92000100</v>
      </c>
      <c r="R253" s="50">
        <f>VLOOKUP(Tableau119[[#This Row],[Compte ILN]],'DATA ILN'!D:I,6,FALSE)</f>
        <v>9</v>
      </c>
      <c r="S253" s="81" t="e">
        <f>IFERROR(VLOOKUP(Tableau119[[#This Row],[Key(Compte ILN - shipper - POL - plant)]],'DATA ILN'!A:J,10,FALSE),VLOOKUP(Tableau119[[#This Row],[Key(Compte ILN - shipper - POL)]],'DATA ILN'!B:J,9,FALSE))</f>
        <v>#N/A</v>
      </c>
      <c r="T253" s="81" t="e">
        <f>IFERROR(VLOOKUP(Tableau119[[#This Row],[Key(Compte ILN - shipper - POL - plant)]],'DATA ILN'!A:K,11,FALSE),VLOOKUP(Tableau119[[#This Row],[Key(Compte ILN - shipper - POL)]],'DATA ILN'!B:K,10,FALSE))</f>
        <v>#N/A</v>
      </c>
      <c r="U253" s="81" t="e">
        <f>IFERROR(VLOOKUP(Tableau119[[#This Row],[Key(Compte ILN - shipper - POL - plant)]],'DATA ILN'!A:L,12,FALSE),VLOOKUP(Tableau119[[#This Row],[Key(Compte ILN - shipper - POL)]],'DATA ILN'!B:L,11,FALSE))</f>
        <v>#N/A</v>
      </c>
      <c r="V253" s="81" t="e">
        <f>Tableau119[[#This Row],[Day ILN Order]]+Tableau119[[#This Row],[Delivery time to ILN/Shipper]]-1</f>
        <v>#N/A</v>
      </c>
      <c r="W253" s="81" t="e">
        <f>IFERROR(VLOOKUP(Tableau119[[#This Row],[Key(Compte ILN - shipper - POL - plant)]],'DATA ILN'!A:N,14,FALSE),VLOOKUP(Tableau119[[#This Row],[Key(Compte ILN - shipper - POL)]],'DATA ILN'!B:N,13,FALSE))</f>
        <v>#N/A</v>
      </c>
      <c r="X253" s="81" t="e">
        <f>IFERROR(VLOOKUP(Tableau119[[#This Row],[Key(Compte ILN - shipper - POL - plant)]],'DATA ILN'!A:P,16,FALSE),VLOOKUP(Tableau119[[#This Row],[Key(Compte ILN - shipper - POL)]],'DATA ILN'!B:P,15,FALSE))</f>
        <v>#N/A</v>
      </c>
      <c r="Y253" s="486" t="s">
        <v>143</v>
      </c>
      <c r="Z253" s="417">
        <f>IFERROR(VLOOKUP(Tableau119[[#This Row],[Name Shipper]],Plant_AILN!L:M,2,FALSE),0)</f>
        <v>92000100</v>
      </c>
      <c r="AA253" s="416">
        <v>81</v>
      </c>
      <c r="AB253" s="396" t="b">
        <f>_xlfn.XLOOKUP(Tableau119[[#This Row],[Key(ID-date)]],'DATA BTO'!S:S,'DATA BTO'!E:E,FALSE)</f>
        <v>0</v>
      </c>
      <c r="AC253" s="3" t="b">
        <f>_xlfn.XLOOKUP(Tableau119[[#This Row],[Key(ID-date)]],'DATA BTO'!S:S,'DATA BTO'!F:F,FALSE)</f>
        <v>0</v>
      </c>
      <c r="AD253" s="50" t="b">
        <f>_xlfn.XLOOKUP(Tableau119[[#This Row],[Key(ID-date)]],'DATA BTO'!S:S,'DATA BTO'!G:G,FALSE)</f>
        <v>0</v>
      </c>
      <c r="AE253" s="50" t="b">
        <f>_xlfn.XLOOKUP(Tableau119[[#This Row],[Key(ID-date)]],'DATA BTO'!S:S,'DATA BTO'!H:H,FALSE)</f>
        <v>0</v>
      </c>
      <c r="AF253" s="81" t="e">
        <f>IF(Tableau119[[#This Row],[First Day to POL]]&lt;=Tableau119[[#This Row],[Day Cut Off]],Tableau119[[#This Row],[Day ETD]],Tableau119[[#This Row],[Day ETD]]+7)</f>
        <v>#N/A</v>
      </c>
      <c r="AG253" s="50" t="b">
        <f>_xlfn.XLOOKUP(Tableau119[[#This Row],[Key(ID-date)]],'DATA BTO'!S:S,'DATA BTO'!I:I,FALSE)</f>
        <v>0</v>
      </c>
      <c r="AH253" s="3" t="b">
        <f>_xlfn.XLOOKUP(Tableau119[[#This Row],[Key(ID-date)]],'DATA BTO'!S:S,'DATA BTO'!J:J,FALSE)</f>
        <v>0</v>
      </c>
      <c r="AI253" s="3" t="b">
        <f>_xlfn.XLOOKUP(Tableau119[[#This Row],[Key(ID-date)]],'DATA BTO'!S:S,'DATA BTO'!K:K,FALSE)</f>
        <v>0</v>
      </c>
      <c r="AJ253" s="50" t="b">
        <f>_xlfn.XLOOKUP(Tableau119[[#This Row],[Key(ID-date)]],'DATA BTO'!S:S,'DATA BTO'!L:L,FALSE)</f>
        <v>0</v>
      </c>
      <c r="AK253" s="53" t="b">
        <f>_xlfn.XLOOKUP(Tableau119[[#This Row],[Key(ID-date)]],'DATA BTO'!S:S,'DATA BTO'!N:N,FALSE)</f>
        <v>0</v>
      </c>
      <c r="AL253" s="107" t="e">
        <f>VLOOKUP(Tableau119[[#This Row],[Key(POD -PFI- Usine)]],'DATA Consignee'!A:F,6,FALSE)</f>
        <v>#N/A</v>
      </c>
      <c r="AM253" s="102"/>
      <c r="AN253" s="375" t="str">
        <f>IF(Tableau119[[#This Row],[Name PFI/CDD]]="","-",VLOOKUP(Tableau119[[#This Row],[Name PFI/CDD]],Plant_AILN!I:J,2,FALSE))</f>
        <v>-</v>
      </c>
      <c r="AO25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3" s="397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3" s="110" t="e">
        <f>VLOOKUP(Tableau119[[#This Row],[Key(POD -PFI- Usine)]],'DATA Consignee'!A:J,10,FALSE)</f>
        <v>#N/A</v>
      </c>
      <c r="AR253" s="81" t="e">
        <f>VLOOKUP(Tableau119[[#This Row],[Key(POD -PFI- Usine)]],'DATA Consignee'!A:N,14,FALSE)</f>
        <v>#N/A</v>
      </c>
      <c r="AS25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3" s="81">
        <f>Tableau119[[#This Row],[Transit time]]+Tableau119[[#This Row],[Time for security]]+Tableau119[[#This Row],[Time for security2 buffer]]</f>
        <v>0</v>
      </c>
      <c r="AV253" s="81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3" s="81" t="e">
        <f>Tableau119[[#This Row],[Leadtime SI2C]]+Tableau119[[#This Row],[First Receipt Days]]-Tableau119[[#This Row],[Day Customer Order]]+1</f>
        <v>#N/A</v>
      </c>
      <c r="AX253" s="120" t="e">
        <f>IF(Tableau119[[#This Row],[Name ILN]]&lt;&gt;"SFK Freight Forwarder",Tableau119[[#This Row],[Cust. Leadtime]],Tableau119[[#This Row],[Leadtime SI2C]])</f>
        <v>#N/A</v>
      </c>
      <c r="AY253" s="51" t="b">
        <f>_xlfn.XLOOKUP(Tableau119[[#This Row],[Key(ID-date)]],'DATA BTO'!S:S,'DATA BTO'!P:P,FALSE)</f>
        <v>0</v>
      </c>
      <c r="AZ253" s="388">
        <v>45412</v>
      </c>
      <c r="BA253" s="81"/>
    </row>
    <row r="254" spans="2:53">
      <c r="B254" s="66" t="str">
        <f>_xlfn.CONCAT(Tableau119[[#This Row],[Name ILN]],"-",Tableau119[[#This Row],[Name Shipper]],"-",Tableau119[[#This Row],[Name Site]])</f>
        <v>ILN FR-ILN FR-Nissan Thailande</v>
      </c>
      <c r="C254" s="66" t="str">
        <f>_xlfn.CONCAT(Tableau119[[#This Row],[Compte ILN]],"-",Tableau119[[#This Row],[Compte Shipper]],"-",Tableau119[[#This Row],[POL]],"-",Tableau119[[#This Row],[Compte Consignee]])</f>
        <v>92000100-92000100-FALSO-25048500</v>
      </c>
      <c r="D254" s="66" t="str">
        <f>_xlfn.CONCAT(Tableau119[[#This Row],[Compte ILN]],"-",Tableau119[[#This Row],[Compte Shipper]],"-",Tableau119[[#This Row],[POL]])</f>
        <v>92000100-92000100-FALSO</v>
      </c>
      <c r="E254" s="130" t="str">
        <f>_xlfn.CONCAT(Tableau119[[#This Row],[POL]],"-",Tableau119[[#This Row],[Carrier]],"-",Tableau119[[#This Row],[POD]])</f>
        <v>FALSO-FALSO-FALSO</v>
      </c>
      <c r="F254" s="66" t="str">
        <f>_xlfn.CONCAT(Tableau119[[#This Row],[ID]],"-","Actif")</f>
        <v>83-Actif</v>
      </c>
      <c r="G254" s="66" t="str">
        <f>_xlfn.CONCAT(Tableau119[[#This Row],[POD]],"-",Tableau119[[#This Row],[Code PFI]],"-",Tableau119[[#This Row],[Compte Consignee]])</f>
        <v>FALSO---25048500</v>
      </c>
      <c r="H2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FRFALSONissan Thailande</v>
      </c>
      <c r="I254" s="434" t="str">
        <f>_xlfn.CONCAT(Tableau119[[#This Row],[ID]],"-",Tableau119[[#This Row],[Expiration Date]])</f>
        <v>83-46142</v>
      </c>
      <c r="J2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Thailande-ILN FR-ILN FR-83-FALSO-FALSO-FALSO--46142</v>
      </c>
      <c r="K254" s="119" t="str">
        <f ca="1">IF(COUNTIF(J:J,Tableau119[[#This Row],[Plant-ILN-shipper-POL-Carrier-POD-PFI]])=1,"Non","Oui")</f>
        <v>Non</v>
      </c>
      <c r="L254" s="436" t="str">
        <f>VLOOKUP(Tableau119[[#This Row],[Name Site]],Plant_AILN!A:D,4,FALSE)</f>
        <v>THAILAND</v>
      </c>
      <c r="M254" s="285" t="s">
        <v>641</v>
      </c>
      <c r="N254" s="454">
        <f>VLOOKUP(Tableau119[[#This Row],[Name Site]],Plant_AILN!A:C,3,FALSE)</f>
        <v>25048500</v>
      </c>
      <c r="O254" s="55">
        <f>IF(Tableau119[[#This Row],[Name PFI/CDD]]="PFI VLL",2,VLOOKUP(Tableau119[[#This Row],[Compte Consignee]],Order!C:D,2,FALSE))</f>
        <v>7</v>
      </c>
      <c r="P254" s="124" t="s">
        <v>143</v>
      </c>
      <c r="Q254" s="365">
        <f>VLOOKUP(Tableau119[[#This Row],[Name ILN]],Plant_AILN!F:G,2,FALSE)</f>
        <v>92000100</v>
      </c>
      <c r="R254" s="50">
        <f>VLOOKUP(Tableau119[[#This Row],[Compte ILN]],'DATA ILN'!D:I,6,FALSE)</f>
        <v>9</v>
      </c>
      <c r="S254" s="50" t="e">
        <f>IFERROR(VLOOKUP(Tableau119[[#This Row],[Key(Compte ILN - shipper - POL - plant)]],'DATA ILN'!A:J,10,FALSE),VLOOKUP(Tableau119[[#This Row],[Key(Compte ILN - shipper - POL)]],'DATA ILN'!B:J,9,FALSE))</f>
        <v>#N/A</v>
      </c>
      <c r="T254" s="50" t="e">
        <f>IFERROR(VLOOKUP(Tableau119[[#This Row],[Key(Compte ILN - shipper - POL - plant)]],'DATA ILN'!A:K,11,FALSE),VLOOKUP(Tableau119[[#This Row],[Key(Compte ILN - shipper - POL)]],'DATA ILN'!B:K,10,FALSE))</f>
        <v>#N/A</v>
      </c>
      <c r="U254" s="50" t="e">
        <f>IFERROR(VLOOKUP(Tableau119[[#This Row],[Key(Compte ILN - shipper - POL - plant)]],'DATA ILN'!A:L,12,FALSE),VLOOKUP(Tableau119[[#This Row],[Key(Compte ILN - shipper - POL)]],'DATA ILN'!B:L,11,FALSE))</f>
        <v>#N/A</v>
      </c>
      <c r="V254" s="50" t="e">
        <f>Tableau119[[#This Row],[Day ILN Order]]+Tableau119[[#This Row],[Delivery time to ILN/Shipper]]-1</f>
        <v>#N/A</v>
      </c>
      <c r="W254" s="50" t="e">
        <f>IFERROR(VLOOKUP(Tableau119[[#This Row],[Key(Compte ILN - shipper - POL - plant)]],'DATA ILN'!A:N,14,FALSE),VLOOKUP(Tableau119[[#This Row],[Key(Compte ILN - shipper - POL)]],'DATA ILN'!B:N,13,FALSE))</f>
        <v>#N/A</v>
      </c>
      <c r="X254" s="50" t="e">
        <f>IFERROR(VLOOKUP(Tableau119[[#This Row],[Key(Compte ILN - shipper - POL - plant)]],'DATA ILN'!A:P,16,FALSE),VLOOKUP(Tableau119[[#This Row],[Key(Compte ILN - shipper - POL)]],'DATA ILN'!B:P,15,FALSE))</f>
        <v>#N/A</v>
      </c>
      <c r="Y254" s="284" t="s">
        <v>143</v>
      </c>
      <c r="Z254" s="430">
        <f>IFERROR(VLOOKUP(Tableau119[[#This Row],[Name Shipper]],Plant_AILN!L:M,2,FALSE),0)</f>
        <v>92000100</v>
      </c>
      <c r="AA254" s="406">
        <v>83</v>
      </c>
      <c r="AB254" s="396" t="b">
        <f>_xlfn.XLOOKUP(Tableau119[[#This Row],[Key(ID-date)]],'DATA BTO'!S:S,'DATA BTO'!E:E,FALSE)</f>
        <v>0</v>
      </c>
      <c r="AC254" s="3" t="b">
        <f>_xlfn.XLOOKUP(Tableau119[[#This Row],[Key(ID-date)]],'DATA BTO'!S:S,'DATA BTO'!F:F,FALSE)</f>
        <v>0</v>
      </c>
      <c r="AD254" s="50" t="b">
        <f>_xlfn.XLOOKUP(Tableau119[[#This Row],[Key(ID-date)]],'DATA BTO'!S:S,'DATA BTO'!G:G,FALSE)</f>
        <v>0</v>
      </c>
      <c r="AE254" s="50" t="b">
        <f>_xlfn.XLOOKUP(Tableau119[[#This Row],[Key(ID-date)]],'DATA BTO'!S:S,'DATA BTO'!H:H,FALSE)</f>
        <v>0</v>
      </c>
      <c r="AF254" s="447" t="e">
        <f>IF(Tableau119[[#This Row],[First Day to POL]]&lt;=Tableau119[[#This Row],[Day Cut Off]],Tableau119[[#This Row],[Day ETD]],Tableau119[[#This Row],[Day ETD]]+7)</f>
        <v>#N/A</v>
      </c>
      <c r="AG254" s="50" t="b">
        <f>_xlfn.XLOOKUP(Tableau119[[#This Row],[Key(ID-date)]],'DATA BTO'!S:S,'DATA BTO'!I:I,FALSE)</f>
        <v>0</v>
      </c>
      <c r="AH254" s="3" t="b">
        <f>_xlfn.XLOOKUP(Tableau119[[#This Row],[Key(ID-date)]],'DATA BTO'!S:S,'DATA BTO'!J:J,FALSE)</f>
        <v>0</v>
      </c>
      <c r="AI254" s="3" t="b">
        <f>_xlfn.XLOOKUP(Tableau119[[#This Row],[Key(ID-date)]],'DATA BTO'!S:S,'DATA BTO'!K:K,FALSE)</f>
        <v>0</v>
      </c>
      <c r="AJ254" s="50" t="b">
        <f>_xlfn.XLOOKUP(Tableau119[[#This Row],[Key(ID-date)]],'DATA BTO'!S:S,'DATA BTO'!L:L,FALSE)</f>
        <v>0</v>
      </c>
      <c r="AK254" s="53" t="b">
        <f>_xlfn.XLOOKUP(Tableau119[[#This Row],[Key(ID-date)]],'DATA BTO'!S:S,'DATA BTO'!N:N,FALSE)</f>
        <v>0</v>
      </c>
      <c r="AL254" s="54" t="e">
        <f>VLOOKUP(Tableau119[[#This Row],[Key(POD -PFI- Usine)]],'DATA Consignee'!A:F,6,FALSE)</f>
        <v>#N/A</v>
      </c>
      <c r="AM254" s="284"/>
      <c r="AN254" s="376" t="str">
        <f>IF(Tableau119[[#This Row],[Name PFI/CDD]]="","-",VLOOKUP(Tableau119[[#This Row],[Name PFI/CDD]],Plant_AILN!I:J,2,FALSE))</f>
        <v>-</v>
      </c>
      <c r="AO2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4" s="2" t="e">
        <f>VLOOKUP(Tableau119[[#This Row],[Key(POD -PFI- Usine)]],'DATA Consignee'!A:J,10,FALSE)</f>
        <v>#N/A</v>
      </c>
      <c r="AR254" s="50" t="e">
        <f>VLOOKUP(Tableau119[[#This Row],[Key(POD -PFI- Usine)]],'DATA Consignee'!A:N,14,FALSE)</f>
        <v>#N/A</v>
      </c>
      <c r="AS2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4" s="50">
        <f>Tableau119[[#This Row],[Transit time]]+Tableau119[[#This Row],[Time for security]]+Tableau119[[#This Row],[Time for security2 buffer]]</f>
        <v>0</v>
      </c>
      <c r="AV2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4" s="50" t="e">
        <f>Tableau119[[#This Row],[Leadtime SI2C]]+Tableau119[[#This Row],[First Receipt Days]]-Tableau119[[#This Row],[Day Customer Order]]+1</f>
        <v>#N/A</v>
      </c>
      <c r="AX254" s="119" t="e">
        <f>IF(Tableau119[[#This Row],[Name ILN]]&lt;&gt;"SFK Freight Forwarder",Tableau119[[#This Row],[Cust. Leadtime]],Tableau119[[#This Row],[Leadtime SI2C]])</f>
        <v>#N/A</v>
      </c>
      <c r="AY254" s="51" t="b">
        <f>_xlfn.XLOOKUP(Tableau119[[#This Row],[Key(ID-date)]],'DATA BTO'!S:S,'DATA BTO'!P:P,FALSE)</f>
        <v>0</v>
      </c>
      <c r="AZ254" s="338">
        <v>46142</v>
      </c>
      <c r="BA254" s="50"/>
    </row>
    <row r="255" spans="2:53">
      <c r="B255" s="446" t="str">
        <f>_xlfn.CONCAT(Tableau119[[#This Row],[Name ILN]],"-",Tableau119[[#This Row],[Name Shipper]],"-",Tableau119[[#This Row],[Name Site]])</f>
        <v>ILN FR-ILN FR-Nissan Thailande</v>
      </c>
      <c r="C255" s="66" t="str">
        <f>_xlfn.CONCAT(Tableau119[[#This Row],[Compte ILN]],"-",Tableau119[[#This Row],[Compte Shipper]],"-",Tableau119[[#This Row],[POL]],"-",Tableau119[[#This Row],[Compte Consignee]])</f>
        <v>92000100-92000100-FALSO-25048500</v>
      </c>
      <c r="D255" s="66" t="str">
        <f>_xlfn.CONCAT(Tableau119[[#This Row],[Compte ILN]],"-",Tableau119[[#This Row],[Compte Shipper]],"-",Tableau119[[#This Row],[POL]])</f>
        <v>92000100-92000100-FALSO</v>
      </c>
      <c r="E255" s="130" t="str">
        <f>_xlfn.CONCAT(Tableau119[[#This Row],[POL]],"-",Tableau119[[#This Row],[Carrier]],"-",Tableau119[[#This Row],[POD]])</f>
        <v>FALSO-FALSO-FALSO</v>
      </c>
      <c r="F255" s="66" t="str">
        <f>_xlfn.CONCAT(Tableau119[[#This Row],[ID]],"-","Actif")</f>
        <v>83-Actif</v>
      </c>
      <c r="G255" s="66" t="str">
        <f>_xlfn.CONCAT(Tableau119[[#This Row],[POD]],"-",Tableau119[[#This Row],[Code PFI]],"-",Tableau119[[#This Row],[Compte Consignee]])</f>
        <v>FALSO---25048500</v>
      </c>
      <c r="H2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FRFALSONissan Thailande</v>
      </c>
      <c r="I255" s="434" t="str">
        <f>_xlfn.CONCAT(Tableau119[[#This Row],[ID]],"-",Tableau119[[#This Row],[Expiration Date]])</f>
        <v>83-45777</v>
      </c>
      <c r="J2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Thailande-ILN FR-ILN FR-83-FALSO-FALSO-FALSO--45777</v>
      </c>
      <c r="K255" s="119" t="str">
        <f ca="1">IF(COUNTIF(J:J,Tableau119[[#This Row],[Plant-ILN-shipper-POL-Carrier-POD-PFI]])=1,"Non","Oui")</f>
        <v>Non</v>
      </c>
      <c r="L255" s="128" t="str">
        <f>VLOOKUP(Tableau119[[#This Row],[Name Site]],Plant_AILN!A:D,4,FALSE)</f>
        <v>THAILAND</v>
      </c>
      <c r="M255" s="411" t="s">
        <v>641</v>
      </c>
      <c r="N255" s="454">
        <f>VLOOKUP(Tableau119[[#This Row],[Name Site]],Plant_AILN!A:C,3,FALSE)</f>
        <v>25048500</v>
      </c>
      <c r="O255" s="55">
        <f>VLOOKUP(Tableau119[[#This Row],[Compte Consignee]],Order!C:D,2,FALSE)</f>
        <v>7</v>
      </c>
      <c r="P255" s="124" t="s">
        <v>143</v>
      </c>
      <c r="Q255" s="365">
        <f>VLOOKUP(Tableau119[[#This Row],[Name ILN]],Plant_AILN!F:G,2,FALSE)</f>
        <v>92000100</v>
      </c>
      <c r="R255" s="50">
        <f>VLOOKUP(Tableau119[[#This Row],[Compte ILN]],'DATA ILN'!D:I,6,FALSE)</f>
        <v>9</v>
      </c>
      <c r="S255" s="50" t="e">
        <f>IFERROR(VLOOKUP(Tableau119[[#This Row],[Key(Compte ILN - shipper - POL - plant)]],'DATA ILN'!A:J,10,FALSE),VLOOKUP(Tableau119[[#This Row],[Key(Compte ILN - shipper - POL)]],'DATA ILN'!B:J,9,FALSE))</f>
        <v>#N/A</v>
      </c>
      <c r="T255" s="50" t="e">
        <f>IFERROR(VLOOKUP(Tableau119[[#This Row],[Key(Compte ILN - shipper - POL - plant)]],'DATA ILN'!A:K,11,FALSE),VLOOKUP(Tableau119[[#This Row],[Key(Compte ILN - shipper - POL)]],'DATA ILN'!B:K,10,FALSE))</f>
        <v>#N/A</v>
      </c>
      <c r="U255" s="50" t="e">
        <f>IFERROR(VLOOKUP(Tableau119[[#This Row],[Key(Compte ILN - shipper - POL - plant)]],'DATA ILN'!A:L,12,FALSE),VLOOKUP(Tableau119[[#This Row],[Key(Compte ILN - shipper - POL)]],'DATA ILN'!B:L,11,FALSE))</f>
        <v>#N/A</v>
      </c>
      <c r="V255" s="50" t="e">
        <f>Tableau119[[#This Row],[Day ILN Order]]+Tableau119[[#This Row],[Delivery time to ILN/Shipper]]-1</f>
        <v>#N/A</v>
      </c>
      <c r="W255" s="50" t="e">
        <f>IFERROR(VLOOKUP(Tableau119[[#This Row],[Key(Compte ILN - shipper - POL - plant)]],'DATA ILN'!A:N,14,FALSE),VLOOKUP(Tableau119[[#This Row],[Key(Compte ILN - shipper - POL)]],'DATA ILN'!B:N,13,FALSE))</f>
        <v>#N/A</v>
      </c>
      <c r="X255" s="50" t="e">
        <f>IFERROR(VLOOKUP(Tableau119[[#This Row],[Key(Compte ILN - shipper - POL - plant)]],'DATA ILN'!A:P,16,FALSE),VLOOKUP(Tableau119[[#This Row],[Key(Compte ILN - shipper - POL)]],'DATA ILN'!B:P,15,FALSE))</f>
        <v>#N/A</v>
      </c>
      <c r="Y255" s="284" t="s">
        <v>143</v>
      </c>
      <c r="Z255" s="430">
        <f>IFERROR(VLOOKUP(Tableau119[[#This Row],[Name Shipper]],Plant_AILN!L:M,2,FALSE),0)</f>
        <v>92000100</v>
      </c>
      <c r="AA255" s="406">
        <v>83</v>
      </c>
      <c r="AB255" s="396" t="b">
        <f>_xlfn.XLOOKUP(Tableau119[[#This Row],[Key(ID-date)]],'DATA BTO'!S:S,'DATA BTO'!E:E,FALSE)</f>
        <v>0</v>
      </c>
      <c r="AC255" s="3" t="b">
        <f>_xlfn.XLOOKUP(Tableau119[[#This Row],[Key(ID-date)]],'DATA BTO'!S:S,'DATA BTO'!F:F,FALSE)</f>
        <v>0</v>
      </c>
      <c r="AD255" s="50" t="b">
        <f>_xlfn.XLOOKUP(Tableau119[[#This Row],[Key(ID-date)]],'DATA BTO'!S:S,'DATA BTO'!G:G,FALSE)</f>
        <v>0</v>
      </c>
      <c r="AE255" s="50" t="b">
        <f>_xlfn.XLOOKUP(Tableau119[[#This Row],[Key(ID-date)]],'DATA BTO'!S:S,'DATA BTO'!H:H,FALSE)</f>
        <v>0</v>
      </c>
      <c r="AF255" s="447" t="e">
        <f>IF(Tableau119[[#This Row],[First Day to POL]]&lt;=Tableau119[[#This Row],[Day Cut Off]],Tableau119[[#This Row],[Day ETD]],Tableau119[[#This Row],[Day ETD]]+7)</f>
        <v>#N/A</v>
      </c>
      <c r="AG255" s="50" t="b">
        <f>_xlfn.XLOOKUP(Tableau119[[#This Row],[Key(ID-date)]],'DATA BTO'!S:S,'DATA BTO'!I:I,FALSE)</f>
        <v>0</v>
      </c>
      <c r="AH255" s="3" t="b">
        <f>_xlfn.XLOOKUP(Tableau119[[#This Row],[Key(ID-date)]],'DATA BTO'!S:S,'DATA BTO'!J:J,FALSE)</f>
        <v>0</v>
      </c>
      <c r="AI255" s="3" t="b">
        <f>_xlfn.XLOOKUP(Tableau119[[#This Row],[Key(ID-date)]],'DATA BTO'!S:S,'DATA BTO'!K:K,FALSE)</f>
        <v>0</v>
      </c>
      <c r="AJ255" s="50" t="b">
        <f>_xlfn.XLOOKUP(Tableau119[[#This Row],[Key(ID-date)]],'DATA BTO'!S:S,'DATA BTO'!L:L,FALSE)</f>
        <v>0</v>
      </c>
      <c r="AK255" s="53" t="b">
        <f>_xlfn.XLOOKUP(Tableau119[[#This Row],[Key(ID-date)]],'DATA BTO'!S:S,'DATA BTO'!N:N,FALSE)</f>
        <v>0</v>
      </c>
      <c r="AL255" s="54" t="e">
        <f>VLOOKUP(Tableau119[[#This Row],[Key(POD -PFI- Usine)]],'DATA Consignee'!A:F,6,FALSE)</f>
        <v>#N/A</v>
      </c>
      <c r="AM255" s="284"/>
      <c r="AN255" s="376" t="str">
        <f>IF(Tableau119[[#This Row],[Name PFI/CDD]]="","-",VLOOKUP(Tableau119[[#This Row],[Name PFI/CDD]],Plant_AILN!I:J,2,FALSE))</f>
        <v>-</v>
      </c>
      <c r="AO2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5" s="2" t="e">
        <f>VLOOKUP(Tableau119[[#This Row],[Key(POD -PFI- Usine)]],'DATA Consignee'!A:J,10,FALSE)</f>
        <v>#N/A</v>
      </c>
      <c r="AR255" s="50" t="e">
        <f>VLOOKUP(Tableau119[[#This Row],[Key(POD -PFI- Usine)]],'DATA Consignee'!A:N,14,FALSE)</f>
        <v>#N/A</v>
      </c>
      <c r="AS2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5" s="50">
        <f>Tableau119[[#This Row],[Transit time]]+Tableau119[[#This Row],[Time for security]]+Tableau119[[#This Row],[Time for security2 buffer]]</f>
        <v>0</v>
      </c>
      <c r="AV2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5" s="50" t="e">
        <f>Tableau119[[#This Row],[Leadtime SI2C]]+Tableau119[[#This Row],[First Receipt Days]]-Tableau119[[#This Row],[Day Customer Order]]+1</f>
        <v>#N/A</v>
      </c>
      <c r="AX255" s="119" t="e">
        <f>IF(Tableau119[[#This Row],[Name ILN]]&lt;&gt;"SFK Freight Forwarder",Tableau119[[#This Row],[Cust. Leadtime]],Tableau119[[#This Row],[Leadtime SI2C]])</f>
        <v>#N/A</v>
      </c>
      <c r="AY255" s="51" t="b">
        <f>_xlfn.XLOOKUP(Tableau119[[#This Row],[Key(ID-date)]],'DATA BTO'!S:S,'DATA BTO'!P:P,FALSE)</f>
        <v>0</v>
      </c>
      <c r="AZ255" s="338">
        <v>45777</v>
      </c>
      <c r="BA255" s="50"/>
    </row>
    <row r="256" spans="2:53">
      <c r="B256" s="446" t="str">
        <f>_xlfn.CONCAT(Tableau119[[#This Row],[Name ILN]],"-",Tableau119[[#This Row],[Name Shipper]],"-",Tableau119[[#This Row],[Name Site]])</f>
        <v>ILN FR-ILN FR-Nissan Thailande</v>
      </c>
      <c r="C256" s="66" t="str">
        <f>_xlfn.CONCAT(Tableau119[[#This Row],[Compte ILN]],"-",Tableau119[[#This Row],[Compte Shipper]],"-",Tableau119[[#This Row],[POL]],"-",Tableau119[[#This Row],[Compte Consignee]])</f>
        <v>92000100-92000100-FALSO-25048500</v>
      </c>
      <c r="D256" s="66" t="str">
        <f>_xlfn.CONCAT(Tableau119[[#This Row],[Compte ILN]],"-",Tableau119[[#This Row],[Compte Shipper]],"-",Tableau119[[#This Row],[POL]])</f>
        <v>92000100-92000100-FALSO</v>
      </c>
      <c r="E256" s="130" t="str">
        <f>_xlfn.CONCAT(Tableau119[[#This Row],[POL]],"-",Tableau119[[#This Row],[Carrier]],"-",Tableau119[[#This Row],[POD]])</f>
        <v>FALSO-FALSO-FALSO</v>
      </c>
      <c r="F256" s="66" t="str">
        <f>_xlfn.CONCAT(Tableau119[[#This Row],[ID]],"-","Actif")</f>
        <v>83-Actif</v>
      </c>
      <c r="G256" s="66" t="str">
        <f>_xlfn.CONCAT(Tableau119[[#This Row],[POD]],"-",Tableau119[[#This Row],[Code PFI]],"-",Tableau119[[#This Row],[Compte Consignee]])</f>
        <v>FALSO---25048500</v>
      </c>
      <c r="H2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FRFALSONissan Thailande</v>
      </c>
      <c r="I256" s="434" t="str">
        <f>_xlfn.CONCAT(Tableau119[[#This Row],[ID]],"-",Tableau119[[#This Row],[Expiration Date]])</f>
        <v>83-45412</v>
      </c>
      <c r="J2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Thailande-ILN FR-ILN FR-83-FALSO-FALSO-FALSO--45412</v>
      </c>
      <c r="K256" s="119" t="str">
        <f ca="1">IF(COUNTIF(J:J,Tableau119[[#This Row],[Plant-ILN-shipper-POL-Carrier-POD-PFI]])=1,"Non","Oui")</f>
        <v>Non</v>
      </c>
      <c r="L256" s="128" t="str">
        <f>VLOOKUP(Tableau119[[#This Row],[Name Site]],Plant_AILN!A:D,4,FALSE)</f>
        <v>THAILAND</v>
      </c>
      <c r="M256" s="411" t="s">
        <v>641</v>
      </c>
      <c r="N256" s="454">
        <f>VLOOKUP(Tableau119[[#This Row],[Name Site]],Plant_AILN!A:C,3,FALSE)</f>
        <v>25048500</v>
      </c>
      <c r="O256" s="55">
        <f>VLOOKUP(Tableau119[[#This Row],[Compte Consignee]],Order!C:D,2,FALSE)</f>
        <v>7</v>
      </c>
      <c r="P256" s="124" t="s">
        <v>143</v>
      </c>
      <c r="Q256" s="365">
        <f>VLOOKUP(Tableau119[[#This Row],[Name ILN]],Plant_AILN!F:G,2,FALSE)</f>
        <v>92000100</v>
      </c>
      <c r="R256" s="50">
        <f>VLOOKUP(Tableau119[[#This Row],[Compte ILN]],'DATA ILN'!D:I,6,FALSE)</f>
        <v>9</v>
      </c>
      <c r="S256" s="50" t="e">
        <f>IFERROR(VLOOKUP(Tableau119[[#This Row],[Key(Compte ILN - shipper - POL - plant)]],'DATA ILN'!A:J,10,FALSE),VLOOKUP(Tableau119[[#This Row],[Key(Compte ILN - shipper - POL)]],'DATA ILN'!B:J,9,FALSE))</f>
        <v>#N/A</v>
      </c>
      <c r="T256" s="50" t="e">
        <f>IFERROR(VLOOKUP(Tableau119[[#This Row],[Key(Compte ILN - shipper - POL - plant)]],'DATA ILN'!A:K,11,FALSE),VLOOKUP(Tableau119[[#This Row],[Key(Compte ILN - shipper - POL)]],'DATA ILN'!B:K,10,FALSE))</f>
        <v>#N/A</v>
      </c>
      <c r="U256" s="50" t="e">
        <f>IFERROR(VLOOKUP(Tableau119[[#This Row],[Key(Compte ILN - shipper - POL - plant)]],'DATA ILN'!A:L,12,FALSE),VLOOKUP(Tableau119[[#This Row],[Key(Compte ILN - shipper - POL)]],'DATA ILN'!B:L,11,FALSE))</f>
        <v>#N/A</v>
      </c>
      <c r="V256" s="50" t="e">
        <f>Tableau119[[#This Row],[Day ILN Order]]+Tableau119[[#This Row],[Delivery time to ILN/Shipper]]-1</f>
        <v>#N/A</v>
      </c>
      <c r="W256" s="50" t="e">
        <f>IFERROR(VLOOKUP(Tableau119[[#This Row],[Key(Compte ILN - shipper - POL - plant)]],'DATA ILN'!A:N,14,FALSE),VLOOKUP(Tableau119[[#This Row],[Key(Compte ILN - shipper - POL)]],'DATA ILN'!B:N,13,FALSE))</f>
        <v>#N/A</v>
      </c>
      <c r="X256" s="50" t="e">
        <f>IFERROR(VLOOKUP(Tableau119[[#This Row],[Key(Compte ILN - shipper - POL - plant)]],'DATA ILN'!A:P,16,FALSE),VLOOKUP(Tableau119[[#This Row],[Key(Compte ILN - shipper - POL)]],'DATA ILN'!B:P,15,FALSE))</f>
        <v>#N/A</v>
      </c>
      <c r="Y256" s="284" t="s">
        <v>143</v>
      </c>
      <c r="Z256" s="430">
        <f>IFERROR(VLOOKUP(Tableau119[[#This Row],[Name Shipper]],Plant_AILN!L:M,2,FALSE),0)</f>
        <v>92000100</v>
      </c>
      <c r="AA256" s="406">
        <v>83</v>
      </c>
      <c r="AB256" s="396" t="b">
        <f>_xlfn.XLOOKUP(Tableau119[[#This Row],[Key(ID-date)]],'DATA BTO'!S:S,'DATA BTO'!E:E,FALSE)</f>
        <v>0</v>
      </c>
      <c r="AC256" s="3" t="b">
        <f>_xlfn.XLOOKUP(Tableau119[[#This Row],[Key(ID-date)]],'DATA BTO'!S:S,'DATA BTO'!F:F,FALSE)</f>
        <v>0</v>
      </c>
      <c r="AD256" s="50" t="b">
        <f>_xlfn.XLOOKUP(Tableau119[[#This Row],[Key(ID-date)]],'DATA BTO'!S:S,'DATA BTO'!G:G,FALSE)</f>
        <v>0</v>
      </c>
      <c r="AE256" s="50" t="b">
        <f>_xlfn.XLOOKUP(Tableau119[[#This Row],[Key(ID-date)]],'DATA BTO'!S:S,'DATA BTO'!H:H,FALSE)</f>
        <v>0</v>
      </c>
      <c r="AF256" s="447" t="e">
        <f>IF(Tableau119[[#This Row],[First Day to POL]]&lt;=Tableau119[[#This Row],[Day Cut Off]],Tableau119[[#This Row],[Day ETD]],Tableau119[[#This Row],[Day ETD]]+7)</f>
        <v>#N/A</v>
      </c>
      <c r="AG256" s="50" t="b">
        <f>_xlfn.XLOOKUP(Tableau119[[#This Row],[Key(ID-date)]],'DATA BTO'!S:S,'DATA BTO'!I:I,FALSE)</f>
        <v>0</v>
      </c>
      <c r="AH256" s="3" t="b">
        <f>_xlfn.XLOOKUP(Tableau119[[#This Row],[Key(ID-date)]],'DATA BTO'!S:S,'DATA BTO'!J:J,FALSE)</f>
        <v>0</v>
      </c>
      <c r="AI256" s="3" t="b">
        <f>_xlfn.XLOOKUP(Tableau119[[#This Row],[Key(ID-date)]],'DATA BTO'!S:S,'DATA BTO'!K:K,FALSE)</f>
        <v>0</v>
      </c>
      <c r="AJ256" s="50" t="b">
        <f>_xlfn.XLOOKUP(Tableau119[[#This Row],[Key(ID-date)]],'DATA BTO'!S:S,'DATA BTO'!L:L,FALSE)</f>
        <v>0</v>
      </c>
      <c r="AK256" s="53" t="b">
        <f>_xlfn.XLOOKUP(Tableau119[[#This Row],[Key(ID-date)]],'DATA BTO'!S:S,'DATA BTO'!N:N,FALSE)</f>
        <v>0</v>
      </c>
      <c r="AL256" s="54" t="e">
        <f>VLOOKUP(Tableau119[[#This Row],[Key(POD -PFI- Usine)]],'DATA Consignee'!A:F,6,FALSE)</f>
        <v>#N/A</v>
      </c>
      <c r="AM256" s="284"/>
      <c r="AN256" s="376" t="str">
        <f>IF(Tableau119[[#This Row],[Name PFI/CDD]]="","-",VLOOKUP(Tableau119[[#This Row],[Name PFI/CDD]],Plant_AILN!I:J,2,FALSE))</f>
        <v>-</v>
      </c>
      <c r="AO2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6" s="2" t="e">
        <f>VLOOKUP(Tableau119[[#This Row],[Key(POD -PFI- Usine)]],'DATA Consignee'!A:J,10,FALSE)</f>
        <v>#N/A</v>
      </c>
      <c r="AR256" s="50" t="e">
        <f>VLOOKUP(Tableau119[[#This Row],[Key(POD -PFI- Usine)]],'DATA Consignee'!A:N,14,FALSE)</f>
        <v>#N/A</v>
      </c>
      <c r="AS2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6" s="50">
        <f>Tableau119[[#This Row],[Transit time]]+Tableau119[[#This Row],[Time for security]]+Tableau119[[#This Row],[Time for security2 buffer]]</f>
        <v>0</v>
      </c>
      <c r="AV2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6" s="50" t="e">
        <f>Tableau119[[#This Row],[Leadtime SI2C]]+Tableau119[[#This Row],[First Receipt Days]]-Tableau119[[#This Row],[Day Customer Order]]+1</f>
        <v>#N/A</v>
      </c>
      <c r="AX256" s="119" t="e">
        <f>IF(Tableau119[[#This Row],[Name ILN]]&lt;&gt;"SFK Freight Forwarder",Tableau119[[#This Row],[Cust. Leadtime]],Tableau119[[#This Row],[Leadtime SI2C]])</f>
        <v>#N/A</v>
      </c>
      <c r="AY256" s="51" t="b">
        <f>_xlfn.XLOOKUP(Tableau119[[#This Row],[Key(ID-date)]],'DATA BTO'!S:S,'DATA BTO'!P:P,FALSE)</f>
        <v>0</v>
      </c>
      <c r="AZ256" s="338">
        <v>45412</v>
      </c>
      <c r="BA256" s="50"/>
    </row>
    <row r="257" spans="2:53">
      <c r="B257" s="66" t="str">
        <f>_xlfn.CONCAT(Tableau119[[#This Row],[Name ILN]],"-",Tableau119[[#This Row],[Name Shipper]],"-",Tableau119[[#This Row],[Name Site]])</f>
        <v>ILN Delhi-ILN Delhi-CURITIBA CMO</v>
      </c>
      <c r="C257" s="66" t="str">
        <f>_xlfn.CONCAT(Tableau119[[#This Row],[Compte ILN]],"-",Tableau119[[#This Row],[Compte Shipper]],"-",Tableau119[[#This Row],[POL]],"-",Tableau119[[#This Row],[Compte Consignee]])</f>
        <v>2533780535-2533780535-FALSO-90018600</v>
      </c>
      <c r="D257" s="66" t="str">
        <f>_xlfn.CONCAT(Tableau119[[#This Row],[Compte ILN]],"-",Tableau119[[#This Row],[Compte Shipper]],"-",Tableau119[[#This Row],[POL]])</f>
        <v>2533780535-2533780535-FALSO</v>
      </c>
      <c r="E257" s="130" t="str">
        <f>_xlfn.CONCAT(Tableau119[[#This Row],[POL]],"-",Tableau119[[#This Row],[Carrier]],"-",Tableau119[[#This Row],[POD]])</f>
        <v>FALSO-FALSO-FALSO</v>
      </c>
      <c r="F257" s="66" t="str">
        <f>_xlfn.CONCAT(Tableau119[[#This Row],[ID]],"-","Actif")</f>
        <v>84-Actif</v>
      </c>
      <c r="G257" s="66" t="str">
        <f>_xlfn.CONCAT(Tableau119[[#This Row],[POD]],"-",Tableau119[[#This Row],[Code PFI]],"-",Tableau119[[#This Row],[Compte Consignee]])</f>
        <v>FALSO---90018600</v>
      </c>
      <c r="H2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CMO</v>
      </c>
      <c r="I257" s="434" t="str">
        <f>_xlfn.CONCAT(Tableau119[[#This Row],[ID]],"-",Tableau119[[#This Row],[Expiration Date]])</f>
        <v>84-46142</v>
      </c>
      <c r="J2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Delhi-ILN Delhi-84-FALSO-FALSO-FALSO--46142</v>
      </c>
      <c r="K257" s="119" t="str">
        <f ca="1">IF(COUNTIF(J:J,Tableau119[[#This Row],[Plant-ILN-shipper-POL-Carrier-POD-PFI]])=1,"Non","Oui")</f>
        <v>Non</v>
      </c>
      <c r="L257" s="128" t="str">
        <f>VLOOKUP(Tableau119[[#This Row],[Name Site]],Plant_AILN!A:D,4,FALSE)</f>
        <v>BRAZIL</v>
      </c>
      <c r="M257" s="10" t="s">
        <v>174</v>
      </c>
      <c r="N257" s="454">
        <f>VLOOKUP(Tableau119[[#This Row],[Name Site]],Plant_AILN!A:C,3,FALSE)</f>
        <v>90018600</v>
      </c>
      <c r="O257" s="55">
        <f>IF(Tableau119[[#This Row],[Name PFI/CDD]]="PFI VLL",2,VLOOKUP(Tableau119[[#This Row],[Compte Consignee]],Order!C:D,2,FALSE))</f>
        <v>7</v>
      </c>
      <c r="P257" s="124" t="s">
        <v>284</v>
      </c>
      <c r="Q257" s="365">
        <f>VLOOKUP(Tableau119[[#This Row],[Name ILN]],Plant_AILN!F:G,2,FALSE)</f>
        <v>2533780535</v>
      </c>
      <c r="R257" s="50">
        <f>VLOOKUP(Tableau119[[#This Row],[Compte ILN]],'DATA ILN'!D:I,6,FALSE)</f>
        <v>9</v>
      </c>
      <c r="S257" s="50" t="e">
        <f>IFERROR(VLOOKUP(Tableau119[[#This Row],[Key(Compte ILN - shipper - POL - plant)]],'DATA ILN'!A:J,10,FALSE),VLOOKUP(Tableau119[[#This Row],[Key(Compte ILN - shipper - POL)]],'DATA ILN'!B:J,9,FALSE))</f>
        <v>#N/A</v>
      </c>
      <c r="T257" s="50" t="e">
        <f>IFERROR(VLOOKUP(Tableau119[[#This Row],[Key(Compte ILN - shipper - POL - plant)]],'DATA ILN'!A:K,11,FALSE),VLOOKUP(Tableau119[[#This Row],[Key(Compte ILN - shipper - POL)]],'DATA ILN'!B:K,10,FALSE))</f>
        <v>#N/A</v>
      </c>
      <c r="U257" s="50" t="e">
        <f>IFERROR(VLOOKUP(Tableau119[[#This Row],[Key(Compte ILN - shipper - POL - plant)]],'DATA ILN'!A:L,12,FALSE),VLOOKUP(Tableau119[[#This Row],[Key(Compte ILN - shipper - POL)]],'DATA ILN'!B:L,11,FALSE))</f>
        <v>#N/A</v>
      </c>
      <c r="V257" s="50" t="e">
        <f>Tableau119[[#This Row],[Day ILN Order]]+Tableau119[[#This Row],[Delivery time to ILN/Shipper]]-1</f>
        <v>#N/A</v>
      </c>
      <c r="W257" s="50" t="e">
        <f>IFERROR(VLOOKUP(Tableau119[[#This Row],[Key(Compte ILN - shipper - POL - plant)]],'DATA ILN'!A:N,14,FALSE),VLOOKUP(Tableau119[[#This Row],[Key(Compte ILN - shipper - POL)]],'DATA ILN'!B:N,13,FALSE))</f>
        <v>#N/A</v>
      </c>
      <c r="X257" s="50" t="e">
        <f>IFERROR(VLOOKUP(Tableau119[[#This Row],[Key(Compte ILN - shipper - POL - plant)]],'DATA ILN'!A:P,16,FALSE),VLOOKUP(Tableau119[[#This Row],[Key(Compte ILN - shipper - POL)]],'DATA ILN'!B:P,15,FALSE))</f>
        <v>#N/A</v>
      </c>
      <c r="Y257" s="284" t="s">
        <v>284</v>
      </c>
      <c r="Z257" s="430">
        <f>IFERROR(VLOOKUP(Tableau119[[#This Row],[Name Shipper]],Plant_AILN!L:M,2,FALSE),0)</f>
        <v>2533780535</v>
      </c>
      <c r="AA257" s="406">
        <v>84</v>
      </c>
      <c r="AB257" s="396" t="b">
        <f>_xlfn.XLOOKUP(Tableau119[[#This Row],[Key(ID-date)]],'DATA BTO'!S:S,'DATA BTO'!E:E,FALSE)</f>
        <v>0</v>
      </c>
      <c r="AC257" s="3" t="b">
        <f>_xlfn.XLOOKUP(Tableau119[[#This Row],[Key(ID-date)]],'DATA BTO'!S:S,'DATA BTO'!F:F,FALSE)</f>
        <v>0</v>
      </c>
      <c r="AD257" s="50" t="b">
        <f>_xlfn.XLOOKUP(Tableau119[[#This Row],[Key(ID-date)]],'DATA BTO'!S:S,'DATA BTO'!G:G,FALSE)</f>
        <v>0</v>
      </c>
      <c r="AE257" s="50" t="b">
        <f>_xlfn.XLOOKUP(Tableau119[[#This Row],[Key(ID-date)]],'DATA BTO'!S:S,'DATA BTO'!H:H,FALSE)</f>
        <v>0</v>
      </c>
      <c r="AF257" s="447" t="e">
        <f>IF(Tableau119[[#This Row],[First Day to POL]]&lt;=Tableau119[[#This Row],[Day Cut Off]],Tableau119[[#This Row],[Day ETD]],Tableau119[[#This Row],[Day ETD]]+7)</f>
        <v>#N/A</v>
      </c>
      <c r="AG257" s="50" t="b">
        <f>_xlfn.XLOOKUP(Tableau119[[#This Row],[Key(ID-date)]],'DATA BTO'!S:S,'DATA BTO'!I:I,FALSE)</f>
        <v>0</v>
      </c>
      <c r="AH257" s="3" t="b">
        <f>_xlfn.XLOOKUP(Tableau119[[#This Row],[Key(ID-date)]],'DATA BTO'!S:S,'DATA BTO'!J:J,FALSE)</f>
        <v>0</v>
      </c>
      <c r="AI257" s="3" t="b">
        <f>_xlfn.XLOOKUP(Tableau119[[#This Row],[Key(ID-date)]],'DATA BTO'!S:S,'DATA BTO'!K:K,FALSE)</f>
        <v>0</v>
      </c>
      <c r="AJ257" s="50" t="b">
        <f>_xlfn.XLOOKUP(Tableau119[[#This Row],[Key(ID-date)]],'DATA BTO'!S:S,'DATA BTO'!L:L,FALSE)</f>
        <v>0</v>
      </c>
      <c r="AK257" s="53" t="b">
        <f>_xlfn.XLOOKUP(Tableau119[[#This Row],[Key(ID-date)]],'DATA BTO'!S:S,'DATA BTO'!N:N,FALSE)</f>
        <v>0</v>
      </c>
      <c r="AL257" s="54" t="e">
        <f>VLOOKUP(Tableau119[[#This Row],[Key(POD -PFI- Usine)]],'DATA Consignee'!A:F,6,FALSE)</f>
        <v>#N/A</v>
      </c>
      <c r="AM257" s="284"/>
      <c r="AN257" s="376" t="str">
        <f>IF(Tableau119[[#This Row],[Name PFI/CDD]]="","-",VLOOKUP(Tableau119[[#This Row],[Name PFI/CDD]],Plant_AILN!I:J,2,FALSE))</f>
        <v>-</v>
      </c>
      <c r="AO2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7" s="2" t="e">
        <f>VLOOKUP(Tableau119[[#This Row],[Key(POD -PFI- Usine)]],'DATA Consignee'!A:J,10,FALSE)</f>
        <v>#N/A</v>
      </c>
      <c r="AR257" s="50" t="e">
        <f>VLOOKUP(Tableau119[[#This Row],[Key(POD -PFI- Usine)]],'DATA Consignee'!A:N,14,FALSE)</f>
        <v>#N/A</v>
      </c>
      <c r="AS2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7" s="50">
        <f>Tableau119[[#This Row],[Transit time]]+Tableau119[[#This Row],[Time for security]]+Tableau119[[#This Row],[Time for security2 buffer]]</f>
        <v>0</v>
      </c>
      <c r="AV2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7" s="50" t="e">
        <f>Tableau119[[#This Row],[Leadtime SI2C]]+Tableau119[[#This Row],[First Receipt Days]]-Tableau119[[#This Row],[Day Customer Order]]+1</f>
        <v>#N/A</v>
      </c>
      <c r="AX257" s="119" t="e">
        <f>IF(Tableau119[[#This Row],[Name ILN]]&lt;&gt;"SFK Freight Forwarder",Tableau119[[#This Row],[Cust. Leadtime]],Tableau119[[#This Row],[Leadtime SI2C]])</f>
        <v>#N/A</v>
      </c>
      <c r="AY257" s="51" t="b">
        <f>_xlfn.XLOOKUP(Tableau119[[#This Row],[Key(ID-date)]],'DATA BTO'!S:S,'DATA BTO'!P:P,FALSE)</f>
        <v>0</v>
      </c>
      <c r="AZ257" s="338">
        <v>46142</v>
      </c>
      <c r="BA257" s="50"/>
    </row>
    <row r="258" spans="2:53">
      <c r="B258" s="66" t="str">
        <f>_xlfn.CONCAT(Tableau119[[#This Row],[Name ILN]],"-",Tableau119[[#This Row],[Name Shipper]],"-",Tableau119[[#This Row],[Name Site]])</f>
        <v>ILN Delhi-ILN Delhi-Curitiba CVP</v>
      </c>
      <c r="C258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58" s="66" t="str">
        <f>_xlfn.CONCAT(Tableau119[[#This Row],[Compte ILN]],"-",Tableau119[[#This Row],[Compte Shipper]],"-",Tableau119[[#This Row],[POL]])</f>
        <v>2533780535-2533780535-FALSO</v>
      </c>
      <c r="E258" s="130" t="str">
        <f>_xlfn.CONCAT(Tableau119[[#This Row],[POL]],"-",Tableau119[[#This Row],[Carrier]],"-",Tableau119[[#This Row],[POD]])</f>
        <v>FALSO-FALSO-FALSO</v>
      </c>
      <c r="F258" s="66" t="str">
        <f>_xlfn.CONCAT(Tableau119[[#This Row],[ID]],"-","Actif")</f>
        <v>84-Actif</v>
      </c>
      <c r="G258" s="66" t="str">
        <f>_xlfn.CONCAT(Tableau119[[#This Row],[POD]],"-",Tableau119[[#This Row],[Code PFI]],"-",Tableau119[[#This Row],[Compte Consignee]])</f>
        <v>FALSO---90018000</v>
      </c>
      <c r="H2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CVP</v>
      </c>
      <c r="I258" s="434" t="str">
        <f>_xlfn.CONCAT(Tableau119[[#This Row],[ID]],"-",Tableau119[[#This Row],[Expiration Date]])</f>
        <v>84-46142</v>
      </c>
      <c r="J2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Delhi-ILN Delhi-84-FALSO-FALSO-FALSO--46142</v>
      </c>
      <c r="K258" s="119" t="str">
        <f ca="1">IF(COUNTIF(J:J,Tableau119[[#This Row],[Plant-ILN-shipper-POL-Carrier-POD-PFI]])=1,"Non","Oui")</f>
        <v>Non</v>
      </c>
      <c r="L258" s="128" t="str">
        <f>VLOOKUP(Tableau119[[#This Row],[Name Site]],Plant_AILN!A:D,4,FALSE)</f>
        <v>BRAZIL</v>
      </c>
      <c r="M258" s="10" t="s">
        <v>152</v>
      </c>
      <c r="N258" s="454">
        <f>VLOOKUP(Tableau119[[#This Row],[Name Site]],Plant_AILN!A:C,3,FALSE)</f>
        <v>90018000</v>
      </c>
      <c r="O258" s="55">
        <f>IF(Tableau119[[#This Row],[Name PFI/CDD]]="PFI VLL",2,VLOOKUP(Tableau119[[#This Row],[Compte Consignee]],Order!C:D,2,FALSE))</f>
        <v>7</v>
      </c>
      <c r="P258" s="124" t="s">
        <v>284</v>
      </c>
      <c r="Q258" s="365">
        <f>VLOOKUP(Tableau119[[#This Row],[Name ILN]],Plant_AILN!F:G,2,FALSE)</f>
        <v>2533780535</v>
      </c>
      <c r="R258" s="50">
        <f>VLOOKUP(Tableau119[[#This Row],[Compte ILN]],'DATA ILN'!D:I,6,FALSE)</f>
        <v>9</v>
      </c>
      <c r="S258" s="50" t="e">
        <f>IFERROR(VLOOKUP(Tableau119[[#This Row],[Key(Compte ILN - shipper - POL - plant)]],'DATA ILN'!A:J,10,FALSE),VLOOKUP(Tableau119[[#This Row],[Key(Compte ILN - shipper - POL)]],'DATA ILN'!B:J,9,FALSE))</f>
        <v>#N/A</v>
      </c>
      <c r="T258" s="50" t="e">
        <f>IFERROR(VLOOKUP(Tableau119[[#This Row],[Key(Compte ILN - shipper - POL - plant)]],'DATA ILN'!A:K,11,FALSE),VLOOKUP(Tableau119[[#This Row],[Key(Compte ILN - shipper - POL)]],'DATA ILN'!B:K,10,FALSE))</f>
        <v>#N/A</v>
      </c>
      <c r="U258" s="50" t="e">
        <f>IFERROR(VLOOKUP(Tableau119[[#This Row],[Key(Compte ILN - shipper - POL - plant)]],'DATA ILN'!A:L,12,FALSE),VLOOKUP(Tableau119[[#This Row],[Key(Compte ILN - shipper - POL)]],'DATA ILN'!B:L,11,FALSE))</f>
        <v>#N/A</v>
      </c>
      <c r="V258" s="50" t="e">
        <f>Tableau119[[#This Row],[Day ILN Order]]+Tableau119[[#This Row],[Delivery time to ILN/Shipper]]-1</f>
        <v>#N/A</v>
      </c>
      <c r="W258" s="50" t="e">
        <f>IFERROR(VLOOKUP(Tableau119[[#This Row],[Key(Compte ILN - shipper - POL - plant)]],'DATA ILN'!A:N,14,FALSE),VLOOKUP(Tableau119[[#This Row],[Key(Compte ILN - shipper - POL)]],'DATA ILN'!B:N,13,FALSE))</f>
        <v>#N/A</v>
      </c>
      <c r="X258" s="50" t="e">
        <f>IFERROR(VLOOKUP(Tableau119[[#This Row],[Key(Compte ILN - shipper - POL - plant)]],'DATA ILN'!A:P,16,FALSE),VLOOKUP(Tableau119[[#This Row],[Key(Compte ILN - shipper - POL)]],'DATA ILN'!B:P,15,FALSE))</f>
        <v>#N/A</v>
      </c>
      <c r="Y258" s="284" t="s">
        <v>284</v>
      </c>
      <c r="Z258" s="430">
        <f>IFERROR(VLOOKUP(Tableau119[[#This Row],[Name Shipper]],Plant_AILN!L:M,2,FALSE),0)</f>
        <v>2533780535</v>
      </c>
      <c r="AA258" s="406">
        <v>84</v>
      </c>
      <c r="AB258" s="396" t="b">
        <f>_xlfn.XLOOKUP(Tableau119[[#This Row],[Key(ID-date)]],'DATA BTO'!S:S,'DATA BTO'!E:E,FALSE)</f>
        <v>0</v>
      </c>
      <c r="AC258" s="3" t="b">
        <f>_xlfn.XLOOKUP(Tableau119[[#This Row],[Key(ID-date)]],'DATA BTO'!S:S,'DATA BTO'!F:F,FALSE)</f>
        <v>0</v>
      </c>
      <c r="AD258" s="50" t="b">
        <f>_xlfn.XLOOKUP(Tableau119[[#This Row],[Key(ID-date)]],'DATA BTO'!S:S,'DATA BTO'!G:G,FALSE)</f>
        <v>0</v>
      </c>
      <c r="AE258" s="50" t="b">
        <f>_xlfn.XLOOKUP(Tableau119[[#This Row],[Key(ID-date)]],'DATA BTO'!S:S,'DATA BTO'!H:H,FALSE)</f>
        <v>0</v>
      </c>
      <c r="AF258" s="447" t="e">
        <f>IF(Tableau119[[#This Row],[First Day to POL]]&lt;=Tableau119[[#This Row],[Day Cut Off]],Tableau119[[#This Row],[Day ETD]],Tableau119[[#This Row],[Day ETD]]+7)</f>
        <v>#N/A</v>
      </c>
      <c r="AG258" s="50" t="b">
        <f>_xlfn.XLOOKUP(Tableau119[[#This Row],[Key(ID-date)]],'DATA BTO'!S:S,'DATA BTO'!I:I,FALSE)</f>
        <v>0</v>
      </c>
      <c r="AH258" s="3" t="b">
        <f>_xlfn.XLOOKUP(Tableau119[[#This Row],[Key(ID-date)]],'DATA BTO'!S:S,'DATA BTO'!J:J,FALSE)</f>
        <v>0</v>
      </c>
      <c r="AI258" s="3" t="b">
        <f>_xlfn.XLOOKUP(Tableau119[[#This Row],[Key(ID-date)]],'DATA BTO'!S:S,'DATA BTO'!K:K,FALSE)</f>
        <v>0</v>
      </c>
      <c r="AJ258" s="50" t="b">
        <f>_xlfn.XLOOKUP(Tableau119[[#This Row],[Key(ID-date)]],'DATA BTO'!S:S,'DATA BTO'!L:L,FALSE)</f>
        <v>0</v>
      </c>
      <c r="AK258" s="53" t="b">
        <f>_xlfn.XLOOKUP(Tableau119[[#This Row],[Key(ID-date)]],'DATA BTO'!S:S,'DATA BTO'!N:N,FALSE)</f>
        <v>0</v>
      </c>
      <c r="AL258" s="54" t="e">
        <f>VLOOKUP(Tableau119[[#This Row],[Key(POD -PFI- Usine)]],'DATA Consignee'!A:F,6,FALSE)</f>
        <v>#N/A</v>
      </c>
      <c r="AM258" s="284"/>
      <c r="AN258" s="376" t="str">
        <f>IF(Tableau119[[#This Row],[Name PFI/CDD]]="","-",VLOOKUP(Tableau119[[#This Row],[Name PFI/CDD]],Plant_AILN!I:J,2,FALSE))</f>
        <v>-</v>
      </c>
      <c r="AO2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8" s="2" t="e">
        <f>VLOOKUP(Tableau119[[#This Row],[Key(POD -PFI- Usine)]],'DATA Consignee'!A:J,10,FALSE)</f>
        <v>#N/A</v>
      </c>
      <c r="AR258" s="50" t="e">
        <f>VLOOKUP(Tableau119[[#This Row],[Key(POD -PFI- Usine)]],'DATA Consignee'!A:N,14,FALSE)</f>
        <v>#N/A</v>
      </c>
      <c r="AS2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8" s="50">
        <f>Tableau119[[#This Row],[Transit time]]+Tableau119[[#This Row],[Time for security]]+Tableau119[[#This Row],[Time for security2 buffer]]</f>
        <v>0</v>
      </c>
      <c r="AV2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8" s="50" t="e">
        <f>Tableau119[[#This Row],[Leadtime SI2C]]+Tableau119[[#This Row],[First Receipt Days]]-Tableau119[[#This Row],[Day Customer Order]]+1</f>
        <v>#N/A</v>
      </c>
      <c r="AX258" s="119" t="e">
        <f>IF(Tableau119[[#This Row],[Name ILN]]&lt;&gt;"SFK Freight Forwarder",Tableau119[[#This Row],[Cust. Leadtime]],Tableau119[[#This Row],[Leadtime SI2C]])</f>
        <v>#N/A</v>
      </c>
      <c r="AY258" s="51" t="b">
        <f>_xlfn.XLOOKUP(Tableau119[[#This Row],[Key(ID-date)]],'DATA BTO'!S:S,'DATA BTO'!P:P,FALSE)</f>
        <v>0</v>
      </c>
      <c r="AZ258" s="338">
        <v>46142</v>
      </c>
      <c r="BA258" s="50"/>
    </row>
    <row r="259" spans="2:53">
      <c r="B259" s="66" t="str">
        <f>_xlfn.CONCAT(Tableau119[[#This Row],[Name ILN]],"-",Tableau119[[#This Row],[Name Shipper]],"-",Tableau119[[#This Row],[Name Site]])</f>
        <v>ILN Delhi-ILN Delhi-CURITIBA CVU</v>
      </c>
      <c r="C259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59" s="66" t="str">
        <f>_xlfn.CONCAT(Tableau119[[#This Row],[Compte ILN]],"-",Tableau119[[#This Row],[Compte Shipper]],"-",Tableau119[[#This Row],[POL]])</f>
        <v>2533780535-2533780535-FALSO</v>
      </c>
      <c r="E259" s="130" t="str">
        <f>_xlfn.CONCAT(Tableau119[[#This Row],[POL]],"-",Tableau119[[#This Row],[Carrier]],"-",Tableau119[[#This Row],[POD]])</f>
        <v>FALSO-FALSO-FALSO</v>
      </c>
      <c r="F259" s="66" t="str">
        <f>_xlfn.CONCAT(Tableau119[[#This Row],[ID]],"-","Actif")</f>
        <v>84-Actif</v>
      </c>
      <c r="G259" s="66" t="str">
        <f>_xlfn.CONCAT(Tableau119[[#This Row],[POD]],"-",Tableau119[[#This Row],[Code PFI]],"-",Tableau119[[#This Row],[Compte Consignee]])</f>
        <v>FALSO---90018500</v>
      </c>
      <c r="H2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CVU</v>
      </c>
      <c r="I259" s="434" t="str">
        <f>_xlfn.CONCAT(Tableau119[[#This Row],[ID]],"-",Tableau119[[#This Row],[Expiration Date]])</f>
        <v>84-46142</v>
      </c>
      <c r="J2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Delhi-ILN Delhi-84-FALSO-FALSO-FALSO--46142</v>
      </c>
      <c r="K259" s="119" t="str">
        <f ca="1">IF(COUNTIF(J:J,Tableau119[[#This Row],[Plant-ILN-shipper-POL-Carrier-POD-PFI]])=1,"Non","Oui")</f>
        <v>Non</v>
      </c>
      <c r="L259" s="128" t="str">
        <f>VLOOKUP(Tableau119[[#This Row],[Name Site]],Plant_AILN!A:D,4,FALSE)</f>
        <v>BRAZIL</v>
      </c>
      <c r="M259" s="10" t="s">
        <v>206</v>
      </c>
      <c r="N259" s="454">
        <f>VLOOKUP(Tableau119[[#This Row],[Name Site]],Plant_AILN!A:C,3,FALSE)</f>
        <v>90018500</v>
      </c>
      <c r="O259" s="55">
        <f>IF(Tableau119[[#This Row],[Name PFI/CDD]]="PFI VLL",2,VLOOKUP(Tableau119[[#This Row],[Compte Consignee]],Order!C:D,2,FALSE))</f>
        <v>7</v>
      </c>
      <c r="P259" s="124" t="s">
        <v>284</v>
      </c>
      <c r="Q259" s="365">
        <f>VLOOKUP(Tableau119[[#This Row],[Name ILN]],Plant_AILN!F:G,2,FALSE)</f>
        <v>2533780535</v>
      </c>
      <c r="R259" s="50">
        <f>VLOOKUP(Tableau119[[#This Row],[Compte ILN]],'DATA ILN'!D:I,6,FALSE)</f>
        <v>9</v>
      </c>
      <c r="S259" s="50" t="e">
        <f>IFERROR(VLOOKUP(Tableau119[[#This Row],[Key(Compte ILN - shipper - POL - plant)]],'DATA ILN'!A:J,10,FALSE),VLOOKUP(Tableau119[[#This Row],[Key(Compte ILN - shipper - POL)]],'DATA ILN'!B:J,9,FALSE))</f>
        <v>#N/A</v>
      </c>
      <c r="T259" s="50" t="e">
        <f>IFERROR(VLOOKUP(Tableau119[[#This Row],[Key(Compte ILN - shipper - POL - plant)]],'DATA ILN'!A:K,11,FALSE),VLOOKUP(Tableau119[[#This Row],[Key(Compte ILN - shipper - POL)]],'DATA ILN'!B:K,10,FALSE))</f>
        <v>#N/A</v>
      </c>
      <c r="U259" s="50" t="e">
        <f>IFERROR(VLOOKUP(Tableau119[[#This Row],[Key(Compte ILN - shipper - POL - plant)]],'DATA ILN'!A:L,12,FALSE),VLOOKUP(Tableau119[[#This Row],[Key(Compte ILN - shipper - POL)]],'DATA ILN'!B:L,11,FALSE))</f>
        <v>#N/A</v>
      </c>
      <c r="V259" s="50" t="e">
        <f>Tableau119[[#This Row],[Day ILN Order]]+Tableau119[[#This Row],[Delivery time to ILN/Shipper]]-1</f>
        <v>#N/A</v>
      </c>
      <c r="W259" s="50" t="e">
        <f>IFERROR(VLOOKUP(Tableau119[[#This Row],[Key(Compte ILN - shipper - POL - plant)]],'DATA ILN'!A:N,14,FALSE),VLOOKUP(Tableau119[[#This Row],[Key(Compte ILN - shipper - POL)]],'DATA ILN'!B:N,13,FALSE))</f>
        <v>#N/A</v>
      </c>
      <c r="X259" s="50" t="e">
        <f>IFERROR(VLOOKUP(Tableau119[[#This Row],[Key(Compte ILN - shipper - POL - plant)]],'DATA ILN'!A:P,16,FALSE),VLOOKUP(Tableau119[[#This Row],[Key(Compte ILN - shipper - POL)]],'DATA ILN'!B:P,15,FALSE))</f>
        <v>#N/A</v>
      </c>
      <c r="Y259" s="284" t="s">
        <v>284</v>
      </c>
      <c r="Z259" s="430">
        <f>IFERROR(VLOOKUP(Tableau119[[#This Row],[Name Shipper]],Plant_AILN!L:M,2,FALSE),0)</f>
        <v>2533780535</v>
      </c>
      <c r="AA259" s="406">
        <v>84</v>
      </c>
      <c r="AB259" s="396" t="b">
        <f>_xlfn.XLOOKUP(Tableau119[[#This Row],[Key(ID-date)]],'DATA BTO'!S:S,'DATA BTO'!E:E,FALSE)</f>
        <v>0</v>
      </c>
      <c r="AC259" s="3" t="b">
        <f>_xlfn.XLOOKUP(Tableau119[[#This Row],[Key(ID-date)]],'DATA BTO'!S:S,'DATA BTO'!F:F,FALSE)</f>
        <v>0</v>
      </c>
      <c r="AD259" s="50" t="b">
        <f>_xlfn.XLOOKUP(Tableau119[[#This Row],[Key(ID-date)]],'DATA BTO'!S:S,'DATA BTO'!G:G,FALSE)</f>
        <v>0</v>
      </c>
      <c r="AE259" s="50" t="b">
        <f>_xlfn.XLOOKUP(Tableau119[[#This Row],[Key(ID-date)]],'DATA BTO'!S:S,'DATA BTO'!H:H,FALSE)</f>
        <v>0</v>
      </c>
      <c r="AF259" s="447" t="e">
        <f>IF(Tableau119[[#This Row],[First Day to POL]]&lt;=Tableau119[[#This Row],[Day Cut Off]],Tableau119[[#This Row],[Day ETD]],Tableau119[[#This Row],[Day ETD]]+7)</f>
        <v>#N/A</v>
      </c>
      <c r="AG259" s="50" t="b">
        <f>_xlfn.XLOOKUP(Tableau119[[#This Row],[Key(ID-date)]],'DATA BTO'!S:S,'DATA BTO'!I:I,FALSE)</f>
        <v>0</v>
      </c>
      <c r="AH259" s="3" t="b">
        <f>_xlfn.XLOOKUP(Tableau119[[#This Row],[Key(ID-date)]],'DATA BTO'!S:S,'DATA BTO'!J:J,FALSE)</f>
        <v>0</v>
      </c>
      <c r="AI259" s="3" t="b">
        <f>_xlfn.XLOOKUP(Tableau119[[#This Row],[Key(ID-date)]],'DATA BTO'!S:S,'DATA BTO'!K:K,FALSE)</f>
        <v>0</v>
      </c>
      <c r="AJ259" s="50" t="b">
        <f>_xlfn.XLOOKUP(Tableau119[[#This Row],[Key(ID-date)]],'DATA BTO'!S:S,'DATA BTO'!L:L,FALSE)</f>
        <v>0</v>
      </c>
      <c r="AK259" s="53" t="b">
        <f>_xlfn.XLOOKUP(Tableau119[[#This Row],[Key(ID-date)]],'DATA BTO'!S:S,'DATA BTO'!N:N,FALSE)</f>
        <v>0</v>
      </c>
      <c r="AL259" s="54" t="e">
        <f>VLOOKUP(Tableau119[[#This Row],[Key(POD -PFI- Usine)]],'DATA Consignee'!A:F,6,FALSE)</f>
        <v>#N/A</v>
      </c>
      <c r="AM259" s="284"/>
      <c r="AN259" s="376" t="str">
        <f>IF(Tableau119[[#This Row],[Name PFI/CDD]]="","-",VLOOKUP(Tableau119[[#This Row],[Name PFI/CDD]],Plant_AILN!I:J,2,FALSE))</f>
        <v>-</v>
      </c>
      <c r="AO2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59" s="2" t="e">
        <f>VLOOKUP(Tableau119[[#This Row],[Key(POD -PFI- Usine)]],'DATA Consignee'!A:J,10,FALSE)</f>
        <v>#N/A</v>
      </c>
      <c r="AR259" s="50" t="e">
        <f>VLOOKUP(Tableau119[[#This Row],[Key(POD -PFI- Usine)]],'DATA Consignee'!A:N,14,FALSE)</f>
        <v>#N/A</v>
      </c>
      <c r="AS2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59" s="50">
        <f>Tableau119[[#This Row],[Transit time]]+Tableau119[[#This Row],[Time for security]]+Tableau119[[#This Row],[Time for security2 buffer]]</f>
        <v>0</v>
      </c>
      <c r="AV2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59" s="50" t="e">
        <f>Tableau119[[#This Row],[Leadtime SI2C]]+Tableau119[[#This Row],[First Receipt Days]]-Tableau119[[#This Row],[Day Customer Order]]+1</f>
        <v>#N/A</v>
      </c>
      <c r="AX259" s="119" t="e">
        <f>IF(Tableau119[[#This Row],[Name ILN]]&lt;&gt;"SFK Freight Forwarder",Tableau119[[#This Row],[Cust. Leadtime]],Tableau119[[#This Row],[Leadtime SI2C]])</f>
        <v>#N/A</v>
      </c>
      <c r="AY259" s="51" t="b">
        <f>_xlfn.XLOOKUP(Tableau119[[#This Row],[Key(ID-date)]],'DATA BTO'!S:S,'DATA BTO'!P:P,FALSE)</f>
        <v>0</v>
      </c>
      <c r="AZ259" s="338">
        <v>46142</v>
      </c>
      <c r="BA259" s="50"/>
    </row>
    <row r="260" spans="2:53">
      <c r="B260" s="446" t="str">
        <f>_xlfn.CONCAT(Tableau119[[#This Row],[Name ILN]],"-",Tableau119[[#This Row],[Name Shipper]],"-",Tableau119[[#This Row],[Name Site]])</f>
        <v>ILN Delhi-ILN Delhi-Curitiba CVP</v>
      </c>
      <c r="C260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60" s="66" t="str">
        <f>_xlfn.CONCAT(Tableau119[[#This Row],[Compte ILN]],"-",Tableau119[[#This Row],[Compte Shipper]],"-",Tableau119[[#This Row],[POL]])</f>
        <v>2533780535-2533780535-FALSO</v>
      </c>
      <c r="E260" s="130" t="str">
        <f>_xlfn.CONCAT(Tableau119[[#This Row],[POL]],"-",Tableau119[[#This Row],[Carrier]],"-",Tableau119[[#This Row],[POD]])</f>
        <v>FALSO-FALSO-FALSO</v>
      </c>
      <c r="F260" s="66" t="str">
        <f>_xlfn.CONCAT(Tableau119[[#This Row],[ID]],"-","Actif")</f>
        <v>84-Actif</v>
      </c>
      <c r="G260" s="66" t="str">
        <f>_xlfn.CONCAT(Tableau119[[#This Row],[POD]],"-",Tableau119[[#This Row],[Code PFI]],"-",Tableau119[[#This Row],[Compte Consignee]])</f>
        <v>FALSO---90018000</v>
      </c>
      <c r="H2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CVP</v>
      </c>
      <c r="I260" s="434" t="str">
        <f>_xlfn.CONCAT(Tableau119[[#This Row],[ID]],"-",Tableau119[[#This Row],[Expiration Date]])</f>
        <v>84-45991</v>
      </c>
      <c r="J2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Delhi-ILN Delhi-84-FALSO-FALSO-FALSO--45991</v>
      </c>
      <c r="K260" s="119" t="str">
        <f ca="1">IF(COUNTIF(J:J,Tableau119[[#This Row],[Plant-ILN-shipper-POL-Carrier-POD-PFI]])=1,"Non","Oui")</f>
        <v>Non</v>
      </c>
      <c r="L260" s="128" t="str">
        <f>VLOOKUP(Tableau119[[#This Row],[Name Site]],Plant_AILN!A:D,4,FALSE)</f>
        <v>BRAZIL</v>
      </c>
      <c r="M260" s="411" t="s">
        <v>152</v>
      </c>
      <c r="N260" s="454">
        <f>VLOOKUP(Tableau119[[#This Row],[Name Site]],Plant_AILN!A:C,3,FALSE)</f>
        <v>90018000</v>
      </c>
      <c r="O260" s="55">
        <f>VLOOKUP(Tableau119[[#This Row],[Compte Consignee]],Order!C:D,2,FALSE)</f>
        <v>7</v>
      </c>
      <c r="P260" s="124" t="s">
        <v>284</v>
      </c>
      <c r="Q260" s="365">
        <f>VLOOKUP(Tableau119[[#This Row],[Name ILN]],Plant_AILN!F:G,2,FALSE)</f>
        <v>2533780535</v>
      </c>
      <c r="R260" s="50">
        <f>VLOOKUP(Tableau119[[#This Row],[Compte ILN]],'DATA ILN'!D:I,6,FALSE)</f>
        <v>9</v>
      </c>
      <c r="S260" s="50" t="e">
        <f>IFERROR(VLOOKUP(Tableau119[[#This Row],[Key(Compte ILN - shipper - POL - plant)]],'DATA ILN'!A:J,10,FALSE),VLOOKUP(Tableau119[[#This Row],[Key(Compte ILN - shipper - POL)]],'DATA ILN'!B:J,9,FALSE))</f>
        <v>#N/A</v>
      </c>
      <c r="T260" s="50" t="e">
        <f>IFERROR(VLOOKUP(Tableau119[[#This Row],[Key(Compte ILN - shipper - POL - plant)]],'DATA ILN'!A:K,11,FALSE),VLOOKUP(Tableau119[[#This Row],[Key(Compte ILN - shipper - POL)]],'DATA ILN'!B:K,10,FALSE))</f>
        <v>#N/A</v>
      </c>
      <c r="U260" s="50" t="e">
        <f>IFERROR(VLOOKUP(Tableau119[[#This Row],[Key(Compte ILN - shipper - POL - plant)]],'DATA ILN'!A:L,12,FALSE),VLOOKUP(Tableau119[[#This Row],[Key(Compte ILN - shipper - POL)]],'DATA ILN'!B:L,11,FALSE))</f>
        <v>#N/A</v>
      </c>
      <c r="V260" s="50" t="e">
        <f>Tableau119[[#This Row],[Day ILN Order]]+Tableau119[[#This Row],[Delivery time to ILN/Shipper]]-1</f>
        <v>#N/A</v>
      </c>
      <c r="W260" s="50" t="e">
        <f>IFERROR(VLOOKUP(Tableau119[[#This Row],[Key(Compte ILN - shipper - POL - plant)]],'DATA ILN'!A:N,14,FALSE),VLOOKUP(Tableau119[[#This Row],[Key(Compte ILN - shipper - POL)]],'DATA ILN'!B:N,13,FALSE))</f>
        <v>#N/A</v>
      </c>
      <c r="X260" s="50" t="e">
        <f>IFERROR(VLOOKUP(Tableau119[[#This Row],[Key(Compte ILN - shipper - POL - plant)]],'DATA ILN'!A:P,16,FALSE),VLOOKUP(Tableau119[[#This Row],[Key(Compte ILN - shipper - POL)]],'DATA ILN'!B:P,15,FALSE))</f>
        <v>#N/A</v>
      </c>
      <c r="Y260" s="284" t="s">
        <v>284</v>
      </c>
      <c r="Z260" s="430">
        <f>IFERROR(VLOOKUP(Tableau119[[#This Row],[Name Shipper]],Plant_AILN!L:M,2,FALSE),0)</f>
        <v>2533780535</v>
      </c>
      <c r="AA260" s="406">
        <v>84</v>
      </c>
      <c r="AB260" s="396" t="b">
        <f>_xlfn.XLOOKUP(Tableau119[[#This Row],[Key(ID-date)]],'DATA BTO'!S:S,'DATA BTO'!E:E,FALSE)</f>
        <v>0</v>
      </c>
      <c r="AC260" s="3" t="b">
        <f>_xlfn.XLOOKUP(Tableau119[[#This Row],[Key(ID-date)]],'DATA BTO'!S:S,'DATA BTO'!F:F,FALSE)</f>
        <v>0</v>
      </c>
      <c r="AD260" s="50" t="b">
        <f>_xlfn.XLOOKUP(Tableau119[[#This Row],[Key(ID-date)]],'DATA BTO'!S:S,'DATA BTO'!G:G,FALSE)</f>
        <v>0</v>
      </c>
      <c r="AE260" s="50" t="b">
        <f>_xlfn.XLOOKUP(Tableau119[[#This Row],[Key(ID-date)]],'DATA BTO'!S:S,'DATA BTO'!H:H,FALSE)</f>
        <v>0</v>
      </c>
      <c r="AF260" s="447" t="e">
        <f>IF(Tableau119[[#This Row],[First Day to POL]]&lt;=Tableau119[[#This Row],[Day Cut Off]],Tableau119[[#This Row],[Day ETD]],Tableau119[[#This Row],[Day ETD]]+7)</f>
        <v>#N/A</v>
      </c>
      <c r="AG260" s="50" t="b">
        <f>_xlfn.XLOOKUP(Tableau119[[#This Row],[Key(ID-date)]],'DATA BTO'!S:S,'DATA BTO'!I:I,FALSE)</f>
        <v>0</v>
      </c>
      <c r="AH260" s="3" t="b">
        <f>_xlfn.XLOOKUP(Tableau119[[#This Row],[Key(ID-date)]],'DATA BTO'!S:S,'DATA BTO'!J:J,FALSE)</f>
        <v>0</v>
      </c>
      <c r="AI260" s="3" t="b">
        <f>_xlfn.XLOOKUP(Tableau119[[#This Row],[Key(ID-date)]],'DATA BTO'!S:S,'DATA BTO'!K:K,FALSE)</f>
        <v>0</v>
      </c>
      <c r="AJ260" s="50" t="b">
        <f>_xlfn.XLOOKUP(Tableau119[[#This Row],[Key(ID-date)]],'DATA BTO'!S:S,'DATA BTO'!L:L,FALSE)</f>
        <v>0</v>
      </c>
      <c r="AK260" s="53" t="b">
        <f>_xlfn.XLOOKUP(Tableau119[[#This Row],[Key(ID-date)]],'DATA BTO'!S:S,'DATA BTO'!N:N,FALSE)</f>
        <v>0</v>
      </c>
      <c r="AL260" s="54" t="e">
        <f>VLOOKUP(Tableau119[[#This Row],[Key(POD -PFI- Usine)]],'DATA Consignee'!A:F,6,FALSE)</f>
        <v>#N/A</v>
      </c>
      <c r="AM260" s="284"/>
      <c r="AN260" s="376" t="str">
        <f>IF(Tableau119[[#This Row],[Name PFI/CDD]]="","-",VLOOKUP(Tableau119[[#This Row],[Name PFI/CDD]],Plant_AILN!I:J,2,FALSE))</f>
        <v>-</v>
      </c>
      <c r="AO2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0" s="2" t="e">
        <f>VLOOKUP(Tableau119[[#This Row],[Key(POD -PFI- Usine)]],'DATA Consignee'!A:J,10,FALSE)</f>
        <v>#N/A</v>
      </c>
      <c r="AR260" s="50" t="e">
        <f>VLOOKUP(Tableau119[[#This Row],[Key(POD -PFI- Usine)]],'DATA Consignee'!A:N,14,FALSE)</f>
        <v>#N/A</v>
      </c>
      <c r="AS2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0" s="50">
        <f>Tableau119[[#This Row],[Transit time]]+Tableau119[[#This Row],[Time for security]]+Tableau119[[#This Row],[Time for security2 buffer]]</f>
        <v>0</v>
      </c>
      <c r="AV2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0" s="50" t="e">
        <f>Tableau119[[#This Row],[Leadtime SI2C]]+Tableau119[[#This Row],[First Receipt Days]]-Tableau119[[#This Row],[Day Customer Order]]+1</f>
        <v>#N/A</v>
      </c>
      <c r="AX260" s="119" t="e">
        <f>IF(Tableau119[[#This Row],[Name ILN]]&lt;&gt;"SFK Freight Forwarder",Tableau119[[#This Row],[Cust. Leadtime]],Tableau119[[#This Row],[Leadtime SI2C]])</f>
        <v>#N/A</v>
      </c>
      <c r="AY260" s="51" t="b">
        <f>_xlfn.XLOOKUP(Tableau119[[#This Row],[Key(ID-date)]],'DATA BTO'!S:S,'DATA BTO'!P:P,FALSE)</f>
        <v>0</v>
      </c>
      <c r="AZ260" s="338">
        <v>45991</v>
      </c>
      <c r="BA260" s="50"/>
    </row>
    <row r="261" spans="2:53">
      <c r="B261" s="446" t="str">
        <f>_xlfn.CONCAT(Tableau119[[#This Row],[Name ILN]],"-",Tableau119[[#This Row],[Name Shipper]],"-",Tableau119[[#This Row],[Name Site]])</f>
        <v>ILN Delhi-ILN Delhi-CURITIBA CVU</v>
      </c>
      <c r="C261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61" s="66" t="str">
        <f>_xlfn.CONCAT(Tableau119[[#This Row],[Compte ILN]],"-",Tableau119[[#This Row],[Compte Shipper]],"-",Tableau119[[#This Row],[POL]])</f>
        <v>2533780535-2533780535-FALSO</v>
      </c>
      <c r="E261" s="130" t="str">
        <f>_xlfn.CONCAT(Tableau119[[#This Row],[POL]],"-",Tableau119[[#This Row],[Carrier]],"-",Tableau119[[#This Row],[POD]])</f>
        <v>FALSO-FALSO-FALSO</v>
      </c>
      <c r="F261" s="66" t="str">
        <f>_xlfn.CONCAT(Tableau119[[#This Row],[ID]],"-","Actif")</f>
        <v>84-Actif</v>
      </c>
      <c r="G261" s="66" t="str">
        <f>_xlfn.CONCAT(Tableau119[[#This Row],[POD]],"-",Tableau119[[#This Row],[Code PFI]],"-",Tableau119[[#This Row],[Compte Consignee]])</f>
        <v>FALSO---90018500</v>
      </c>
      <c r="H2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CVU</v>
      </c>
      <c r="I261" s="434" t="str">
        <f>_xlfn.CONCAT(Tableau119[[#This Row],[ID]],"-",Tableau119[[#This Row],[Expiration Date]])</f>
        <v>84-45991</v>
      </c>
      <c r="J2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Delhi-ILN Delhi-84-FALSO-FALSO-FALSO--45991</v>
      </c>
      <c r="K261" s="119" t="str">
        <f ca="1">IF(COUNTIF(J:J,Tableau119[[#This Row],[Plant-ILN-shipper-POL-Carrier-POD-PFI]])=1,"Non","Oui")</f>
        <v>Non</v>
      </c>
      <c r="L261" s="128" t="str">
        <f>VLOOKUP(Tableau119[[#This Row],[Name Site]],Plant_AILN!A:D,4,FALSE)</f>
        <v>BRAZIL</v>
      </c>
      <c r="M261" s="411" t="s">
        <v>206</v>
      </c>
      <c r="N261" s="454">
        <f>VLOOKUP(Tableau119[[#This Row],[Name Site]],Plant_AILN!A:C,3,FALSE)</f>
        <v>90018500</v>
      </c>
      <c r="O261" s="55">
        <f>VLOOKUP(Tableau119[[#This Row],[Compte Consignee]],Order!C:D,2,FALSE)</f>
        <v>7</v>
      </c>
      <c r="P261" s="124" t="s">
        <v>284</v>
      </c>
      <c r="Q261" s="365">
        <f>VLOOKUP(Tableau119[[#This Row],[Name ILN]],Plant_AILN!F:G,2,FALSE)</f>
        <v>2533780535</v>
      </c>
      <c r="R261" s="50">
        <f>VLOOKUP(Tableau119[[#This Row],[Compte ILN]],'DATA ILN'!D:I,6,FALSE)</f>
        <v>9</v>
      </c>
      <c r="S261" s="50" t="e">
        <f>IFERROR(VLOOKUP(Tableau119[[#This Row],[Key(Compte ILN - shipper - POL - plant)]],'DATA ILN'!A:J,10,FALSE),VLOOKUP(Tableau119[[#This Row],[Key(Compte ILN - shipper - POL)]],'DATA ILN'!B:J,9,FALSE))</f>
        <v>#N/A</v>
      </c>
      <c r="T261" s="50" t="e">
        <f>IFERROR(VLOOKUP(Tableau119[[#This Row],[Key(Compte ILN - shipper - POL - plant)]],'DATA ILN'!A:K,11,FALSE),VLOOKUP(Tableau119[[#This Row],[Key(Compte ILN - shipper - POL)]],'DATA ILN'!B:K,10,FALSE))</f>
        <v>#N/A</v>
      </c>
      <c r="U261" s="50" t="e">
        <f>IFERROR(VLOOKUP(Tableau119[[#This Row],[Key(Compte ILN - shipper - POL - plant)]],'DATA ILN'!A:L,12,FALSE),VLOOKUP(Tableau119[[#This Row],[Key(Compte ILN - shipper - POL)]],'DATA ILN'!B:L,11,FALSE))</f>
        <v>#N/A</v>
      </c>
      <c r="V261" s="50" t="e">
        <f>Tableau119[[#This Row],[Day ILN Order]]+Tableau119[[#This Row],[Delivery time to ILN/Shipper]]-1</f>
        <v>#N/A</v>
      </c>
      <c r="W261" s="50" t="e">
        <f>IFERROR(VLOOKUP(Tableau119[[#This Row],[Key(Compte ILN - shipper - POL - plant)]],'DATA ILN'!A:N,14,FALSE),VLOOKUP(Tableau119[[#This Row],[Key(Compte ILN - shipper - POL)]],'DATA ILN'!B:N,13,FALSE))</f>
        <v>#N/A</v>
      </c>
      <c r="X261" s="50" t="e">
        <f>IFERROR(VLOOKUP(Tableau119[[#This Row],[Key(Compte ILN - shipper - POL - plant)]],'DATA ILN'!A:P,16,FALSE),VLOOKUP(Tableau119[[#This Row],[Key(Compte ILN - shipper - POL)]],'DATA ILN'!B:P,15,FALSE))</f>
        <v>#N/A</v>
      </c>
      <c r="Y261" s="284" t="s">
        <v>284</v>
      </c>
      <c r="Z261" s="430">
        <f>IFERROR(VLOOKUP(Tableau119[[#This Row],[Name Shipper]],Plant_AILN!L:M,2,FALSE),0)</f>
        <v>2533780535</v>
      </c>
      <c r="AA261" s="406">
        <v>84</v>
      </c>
      <c r="AB261" s="396" t="b">
        <f>_xlfn.XLOOKUP(Tableau119[[#This Row],[Key(ID-date)]],'DATA BTO'!S:S,'DATA BTO'!E:E,FALSE)</f>
        <v>0</v>
      </c>
      <c r="AC261" s="3" t="b">
        <f>_xlfn.XLOOKUP(Tableau119[[#This Row],[Key(ID-date)]],'DATA BTO'!S:S,'DATA BTO'!F:F,FALSE)</f>
        <v>0</v>
      </c>
      <c r="AD261" s="50" t="b">
        <f>_xlfn.XLOOKUP(Tableau119[[#This Row],[Key(ID-date)]],'DATA BTO'!S:S,'DATA BTO'!G:G,FALSE)</f>
        <v>0</v>
      </c>
      <c r="AE261" s="50" t="b">
        <f>_xlfn.XLOOKUP(Tableau119[[#This Row],[Key(ID-date)]],'DATA BTO'!S:S,'DATA BTO'!H:H,FALSE)</f>
        <v>0</v>
      </c>
      <c r="AF261" s="447" t="e">
        <f>IF(Tableau119[[#This Row],[First Day to POL]]&lt;=Tableau119[[#This Row],[Day Cut Off]],Tableau119[[#This Row],[Day ETD]],Tableau119[[#This Row],[Day ETD]]+7)</f>
        <v>#N/A</v>
      </c>
      <c r="AG261" s="50" t="b">
        <f>_xlfn.XLOOKUP(Tableau119[[#This Row],[Key(ID-date)]],'DATA BTO'!S:S,'DATA BTO'!I:I,FALSE)</f>
        <v>0</v>
      </c>
      <c r="AH261" s="3" t="b">
        <f>_xlfn.XLOOKUP(Tableau119[[#This Row],[Key(ID-date)]],'DATA BTO'!S:S,'DATA BTO'!J:J,FALSE)</f>
        <v>0</v>
      </c>
      <c r="AI261" s="3" t="b">
        <f>_xlfn.XLOOKUP(Tableau119[[#This Row],[Key(ID-date)]],'DATA BTO'!S:S,'DATA BTO'!K:K,FALSE)</f>
        <v>0</v>
      </c>
      <c r="AJ261" s="50" t="b">
        <f>_xlfn.XLOOKUP(Tableau119[[#This Row],[Key(ID-date)]],'DATA BTO'!S:S,'DATA BTO'!L:L,FALSE)</f>
        <v>0</v>
      </c>
      <c r="AK261" s="53" t="b">
        <f>_xlfn.XLOOKUP(Tableau119[[#This Row],[Key(ID-date)]],'DATA BTO'!S:S,'DATA BTO'!N:N,FALSE)</f>
        <v>0</v>
      </c>
      <c r="AL261" s="54" t="e">
        <f>VLOOKUP(Tableau119[[#This Row],[Key(POD -PFI- Usine)]],'DATA Consignee'!A:F,6,FALSE)</f>
        <v>#N/A</v>
      </c>
      <c r="AM261" s="284"/>
      <c r="AN261" s="376" t="str">
        <f>IF(Tableau119[[#This Row],[Name PFI/CDD]]="","-",VLOOKUP(Tableau119[[#This Row],[Name PFI/CDD]],Plant_AILN!I:J,2,FALSE))</f>
        <v>-</v>
      </c>
      <c r="AO2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1" s="2" t="e">
        <f>VLOOKUP(Tableau119[[#This Row],[Key(POD -PFI- Usine)]],'DATA Consignee'!A:J,10,FALSE)</f>
        <v>#N/A</v>
      </c>
      <c r="AR261" s="50" t="e">
        <f>VLOOKUP(Tableau119[[#This Row],[Key(POD -PFI- Usine)]],'DATA Consignee'!A:N,14,FALSE)</f>
        <v>#N/A</v>
      </c>
      <c r="AS2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1" s="50">
        <f>Tableau119[[#This Row],[Transit time]]+Tableau119[[#This Row],[Time for security]]+Tableau119[[#This Row],[Time for security2 buffer]]</f>
        <v>0</v>
      </c>
      <c r="AV2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1" s="50" t="e">
        <f>Tableau119[[#This Row],[Leadtime SI2C]]+Tableau119[[#This Row],[First Receipt Days]]-Tableau119[[#This Row],[Day Customer Order]]+1</f>
        <v>#N/A</v>
      </c>
      <c r="AX261" s="119" t="e">
        <f>IF(Tableau119[[#This Row],[Name ILN]]&lt;&gt;"SFK Freight Forwarder",Tableau119[[#This Row],[Cust. Leadtime]],Tableau119[[#This Row],[Leadtime SI2C]])</f>
        <v>#N/A</v>
      </c>
      <c r="AY261" s="51" t="b">
        <f>_xlfn.XLOOKUP(Tableau119[[#This Row],[Key(ID-date)]],'DATA BTO'!S:S,'DATA BTO'!P:P,FALSE)</f>
        <v>0</v>
      </c>
      <c r="AZ261" s="338">
        <v>45991</v>
      </c>
      <c r="BA261" s="50"/>
    </row>
    <row r="262" spans="2:53">
      <c r="B262" s="446" t="str">
        <f>_xlfn.CONCAT(Tableau119[[#This Row],[Name ILN]],"-",Tableau119[[#This Row],[Name Shipper]],"-",Tableau119[[#This Row],[Name Site]])</f>
        <v>ILN Delhi-ILN Delhi-CURITIBA CMO</v>
      </c>
      <c r="C262" s="66" t="str">
        <f>_xlfn.CONCAT(Tableau119[[#This Row],[Compte ILN]],"-",Tableau119[[#This Row],[Compte Shipper]],"-",Tableau119[[#This Row],[POL]],"-",Tableau119[[#This Row],[Compte Consignee]])</f>
        <v>2533780535-2533780535-FALSO-90018600</v>
      </c>
      <c r="D262" s="66" t="str">
        <f>_xlfn.CONCAT(Tableau119[[#This Row],[Compte ILN]],"-",Tableau119[[#This Row],[Compte Shipper]],"-",Tableau119[[#This Row],[POL]])</f>
        <v>2533780535-2533780535-FALSO</v>
      </c>
      <c r="E262" s="130" t="str">
        <f>_xlfn.CONCAT(Tableau119[[#This Row],[POL]],"-",Tableau119[[#This Row],[Carrier]],"-",Tableau119[[#This Row],[POD]])</f>
        <v>FALSO-FALSO-FALSO</v>
      </c>
      <c r="F262" s="66" t="str">
        <f>_xlfn.CONCAT(Tableau119[[#This Row],[ID]],"-","Actif")</f>
        <v>84-Actif</v>
      </c>
      <c r="G262" s="66" t="str">
        <f>_xlfn.CONCAT(Tableau119[[#This Row],[POD]],"-",Tableau119[[#This Row],[Code PFI]],"-",Tableau119[[#This Row],[Compte Consignee]])</f>
        <v>FALSO---90018600</v>
      </c>
      <c r="H2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CMO</v>
      </c>
      <c r="I262" s="434" t="str">
        <f>_xlfn.CONCAT(Tableau119[[#This Row],[ID]],"-",Tableau119[[#This Row],[Expiration Date]])</f>
        <v>84-45991</v>
      </c>
      <c r="J2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Delhi-ILN Delhi-84-FALSO-FALSO-FALSO--45991</v>
      </c>
      <c r="K262" s="119" t="str">
        <f ca="1">IF(COUNTIF(J:J,Tableau119[[#This Row],[Plant-ILN-shipper-POL-Carrier-POD-PFI]])=1,"Non","Oui")</f>
        <v>Non</v>
      </c>
      <c r="L262" s="128" t="str">
        <f>VLOOKUP(Tableau119[[#This Row],[Name Site]],Plant_AILN!A:D,4,FALSE)</f>
        <v>BRAZIL</v>
      </c>
      <c r="M262" s="411" t="s">
        <v>174</v>
      </c>
      <c r="N262" s="454">
        <f>VLOOKUP(Tableau119[[#This Row],[Name Site]],Plant_AILN!A:C,3,FALSE)</f>
        <v>90018600</v>
      </c>
      <c r="O262" s="55">
        <f>VLOOKUP(Tableau119[[#This Row],[Compte Consignee]],Order!C:D,2,FALSE)</f>
        <v>7</v>
      </c>
      <c r="P262" s="124" t="s">
        <v>284</v>
      </c>
      <c r="Q262" s="365">
        <f>VLOOKUP(Tableau119[[#This Row],[Name ILN]],Plant_AILN!F:G,2,FALSE)</f>
        <v>2533780535</v>
      </c>
      <c r="R262" s="50">
        <f>VLOOKUP(Tableau119[[#This Row],[Compte ILN]],'DATA ILN'!D:I,6,FALSE)</f>
        <v>9</v>
      </c>
      <c r="S262" s="50" t="e">
        <f>IFERROR(VLOOKUP(Tableau119[[#This Row],[Key(Compte ILN - shipper - POL - plant)]],'DATA ILN'!A:J,10,FALSE),VLOOKUP(Tableau119[[#This Row],[Key(Compte ILN - shipper - POL)]],'DATA ILN'!B:J,9,FALSE))</f>
        <v>#N/A</v>
      </c>
      <c r="T262" s="50" t="e">
        <f>IFERROR(VLOOKUP(Tableau119[[#This Row],[Key(Compte ILN - shipper - POL - plant)]],'DATA ILN'!A:K,11,FALSE),VLOOKUP(Tableau119[[#This Row],[Key(Compte ILN - shipper - POL)]],'DATA ILN'!B:K,10,FALSE))</f>
        <v>#N/A</v>
      </c>
      <c r="U262" s="50" t="e">
        <f>IFERROR(VLOOKUP(Tableau119[[#This Row],[Key(Compte ILN - shipper - POL - plant)]],'DATA ILN'!A:L,12,FALSE),VLOOKUP(Tableau119[[#This Row],[Key(Compte ILN - shipper - POL)]],'DATA ILN'!B:L,11,FALSE))</f>
        <v>#N/A</v>
      </c>
      <c r="V262" s="50" t="e">
        <f>Tableau119[[#This Row],[Day ILN Order]]+Tableau119[[#This Row],[Delivery time to ILN/Shipper]]-1</f>
        <v>#N/A</v>
      </c>
      <c r="W262" s="50" t="e">
        <f>IFERROR(VLOOKUP(Tableau119[[#This Row],[Key(Compte ILN - shipper - POL - plant)]],'DATA ILN'!A:N,14,FALSE),VLOOKUP(Tableau119[[#This Row],[Key(Compte ILN - shipper - POL)]],'DATA ILN'!B:N,13,FALSE))</f>
        <v>#N/A</v>
      </c>
      <c r="X262" s="50" t="e">
        <f>IFERROR(VLOOKUP(Tableau119[[#This Row],[Key(Compte ILN - shipper - POL - plant)]],'DATA ILN'!A:P,16,FALSE),VLOOKUP(Tableau119[[#This Row],[Key(Compte ILN - shipper - POL)]],'DATA ILN'!B:P,15,FALSE))</f>
        <v>#N/A</v>
      </c>
      <c r="Y262" s="284" t="s">
        <v>284</v>
      </c>
      <c r="Z262" s="430">
        <f>IFERROR(VLOOKUP(Tableau119[[#This Row],[Name Shipper]],Plant_AILN!L:M,2,FALSE),0)</f>
        <v>2533780535</v>
      </c>
      <c r="AA262" s="406">
        <v>84</v>
      </c>
      <c r="AB262" s="396" t="b">
        <f>_xlfn.XLOOKUP(Tableau119[[#This Row],[Key(ID-date)]],'DATA BTO'!S:S,'DATA BTO'!E:E,FALSE)</f>
        <v>0</v>
      </c>
      <c r="AC262" s="3" t="b">
        <f>_xlfn.XLOOKUP(Tableau119[[#This Row],[Key(ID-date)]],'DATA BTO'!S:S,'DATA BTO'!F:F,FALSE)</f>
        <v>0</v>
      </c>
      <c r="AD262" s="50" t="b">
        <f>_xlfn.XLOOKUP(Tableau119[[#This Row],[Key(ID-date)]],'DATA BTO'!S:S,'DATA BTO'!G:G,FALSE)</f>
        <v>0</v>
      </c>
      <c r="AE262" s="50" t="b">
        <f>_xlfn.XLOOKUP(Tableau119[[#This Row],[Key(ID-date)]],'DATA BTO'!S:S,'DATA BTO'!H:H,FALSE)</f>
        <v>0</v>
      </c>
      <c r="AF262" s="447" t="e">
        <f>IF(Tableau119[[#This Row],[First Day to POL]]&lt;=Tableau119[[#This Row],[Day Cut Off]],Tableau119[[#This Row],[Day ETD]],Tableau119[[#This Row],[Day ETD]]+7)</f>
        <v>#N/A</v>
      </c>
      <c r="AG262" s="50" t="b">
        <f>_xlfn.XLOOKUP(Tableau119[[#This Row],[Key(ID-date)]],'DATA BTO'!S:S,'DATA BTO'!I:I,FALSE)</f>
        <v>0</v>
      </c>
      <c r="AH262" s="3" t="b">
        <f>_xlfn.XLOOKUP(Tableau119[[#This Row],[Key(ID-date)]],'DATA BTO'!S:S,'DATA BTO'!J:J,FALSE)</f>
        <v>0</v>
      </c>
      <c r="AI262" s="3" t="b">
        <f>_xlfn.XLOOKUP(Tableau119[[#This Row],[Key(ID-date)]],'DATA BTO'!S:S,'DATA BTO'!K:K,FALSE)</f>
        <v>0</v>
      </c>
      <c r="AJ262" s="50" t="b">
        <f>_xlfn.XLOOKUP(Tableau119[[#This Row],[Key(ID-date)]],'DATA BTO'!S:S,'DATA BTO'!L:L,FALSE)</f>
        <v>0</v>
      </c>
      <c r="AK262" s="53" t="b">
        <f>_xlfn.XLOOKUP(Tableau119[[#This Row],[Key(ID-date)]],'DATA BTO'!S:S,'DATA BTO'!N:N,FALSE)</f>
        <v>0</v>
      </c>
      <c r="AL262" s="54" t="e">
        <f>VLOOKUP(Tableau119[[#This Row],[Key(POD -PFI- Usine)]],'DATA Consignee'!A:F,6,FALSE)</f>
        <v>#N/A</v>
      </c>
      <c r="AM262" s="284"/>
      <c r="AN262" s="376" t="str">
        <f>IF(Tableau119[[#This Row],[Name PFI/CDD]]="","-",VLOOKUP(Tableau119[[#This Row],[Name PFI/CDD]],Plant_AILN!I:J,2,FALSE))</f>
        <v>-</v>
      </c>
      <c r="AO2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2" s="2" t="e">
        <f>VLOOKUP(Tableau119[[#This Row],[Key(POD -PFI- Usine)]],'DATA Consignee'!A:J,10,FALSE)</f>
        <v>#N/A</v>
      </c>
      <c r="AR262" s="50" t="e">
        <f>VLOOKUP(Tableau119[[#This Row],[Key(POD -PFI- Usine)]],'DATA Consignee'!A:N,14,FALSE)</f>
        <v>#N/A</v>
      </c>
      <c r="AS2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2" s="50">
        <f>Tableau119[[#This Row],[Transit time]]+Tableau119[[#This Row],[Time for security]]+Tableau119[[#This Row],[Time for security2 buffer]]</f>
        <v>0</v>
      </c>
      <c r="AV2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2" s="50" t="e">
        <f>Tableau119[[#This Row],[Leadtime SI2C]]+Tableau119[[#This Row],[First Receipt Days]]-Tableau119[[#This Row],[Day Customer Order]]+1</f>
        <v>#N/A</v>
      </c>
      <c r="AX262" s="119" t="e">
        <f>IF(Tableau119[[#This Row],[Name ILN]]&lt;&gt;"SFK Freight Forwarder",Tableau119[[#This Row],[Cust. Leadtime]],Tableau119[[#This Row],[Leadtime SI2C]])</f>
        <v>#N/A</v>
      </c>
      <c r="AY262" s="51" t="b">
        <f>_xlfn.XLOOKUP(Tableau119[[#This Row],[Key(ID-date)]],'DATA BTO'!S:S,'DATA BTO'!P:P,FALSE)</f>
        <v>0</v>
      </c>
      <c r="AZ262" s="338">
        <v>45991</v>
      </c>
      <c r="BA262" s="50"/>
    </row>
    <row r="263" spans="2:53">
      <c r="B263" s="446" t="str">
        <f>_xlfn.CONCAT(Tableau119[[#This Row],[Name ILN]],"-",Tableau119[[#This Row],[Name Shipper]],"-",Tableau119[[#This Row],[Name Site]])</f>
        <v>ILN Delhi-ILN Delhi-Curitiba CVP</v>
      </c>
      <c r="C263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63" s="66" t="str">
        <f>_xlfn.CONCAT(Tableau119[[#This Row],[Compte ILN]],"-",Tableau119[[#This Row],[Compte Shipper]],"-",Tableau119[[#This Row],[POL]])</f>
        <v>2533780535-2533780535-FALSO</v>
      </c>
      <c r="E263" s="130" t="str">
        <f>_xlfn.CONCAT(Tableau119[[#This Row],[POL]],"-",Tableau119[[#This Row],[Carrier]],"-",Tableau119[[#This Row],[POD]])</f>
        <v>FALSO-FALSO-FALSO</v>
      </c>
      <c r="F263" s="66" t="str">
        <f>_xlfn.CONCAT(Tableau119[[#This Row],[ID]],"-","Actif")</f>
        <v>84-Actif</v>
      </c>
      <c r="G263" s="66" t="str">
        <f>_xlfn.CONCAT(Tableau119[[#This Row],[POD]],"-",Tableau119[[#This Row],[Code PFI]],"-",Tableau119[[#This Row],[Compte Consignee]])</f>
        <v>FALSO---90018000</v>
      </c>
      <c r="H2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CVP</v>
      </c>
      <c r="I263" s="434" t="str">
        <f>_xlfn.CONCAT(Tableau119[[#This Row],[ID]],"-",Tableau119[[#This Row],[Expiration Date]])</f>
        <v>84-45777</v>
      </c>
      <c r="J2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Delhi-ILN Delhi-84-FALSO-FALSO-FALSO--45777</v>
      </c>
      <c r="K263" s="119" t="str">
        <f ca="1">IF(COUNTIF(J:J,Tableau119[[#This Row],[Plant-ILN-shipper-POL-Carrier-POD-PFI]])=1,"Non","Oui")</f>
        <v>Non</v>
      </c>
      <c r="L263" s="128" t="str">
        <f>VLOOKUP(Tableau119[[#This Row],[Name Site]],Plant_AILN!A:D,4,FALSE)</f>
        <v>BRAZIL</v>
      </c>
      <c r="M263" s="411" t="s">
        <v>152</v>
      </c>
      <c r="N263" s="454">
        <f>VLOOKUP(Tableau119[[#This Row],[Name Site]],Plant_AILN!A:C,3,FALSE)</f>
        <v>90018000</v>
      </c>
      <c r="O263" s="55">
        <f>VLOOKUP(Tableau119[[#This Row],[Compte Consignee]],Order!C:D,2,FALSE)</f>
        <v>7</v>
      </c>
      <c r="P263" s="124" t="s">
        <v>284</v>
      </c>
      <c r="Q263" s="365">
        <f>VLOOKUP(Tableau119[[#This Row],[Name ILN]],Plant_AILN!F:G,2,FALSE)</f>
        <v>2533780535</v>
      </c>
      <c r="R263" s="50">
        <f>VLOOKUP(Tableau119[[#This Row],[Compte ILN]],'DATA ILN'!D:I,6,FALSE)</f>
        <v>9</v>
      </c>
      <c r="S263" s="50" t="e">
        <f>IFERROR(VLOOKUP(Tableau119[[#This Row],[Key(Compte ILN - shipper - POL - plant)]],'DATA ILN'!A:J,10,FALSE),VLOOKUP(Tableau119[[#This Row],[Key(Compte ILN - shipper - POL)]],'DATA ILN'!B:J,9,FALSE))</f>
        <v>#N/A</v>
      </c>
      <c r="T263" s="50" t="e">
        <f>IFERROR(VLOOKUP(Tableau119[[#This Row],[Key(Compte ILN - shipper - POL - plant)]],'DATA ILN'!A:K,11,FALSE),VLOOKUP(Tableau119[[#This Row],[Key(Compte ILN - shipper - POL)]],'DATA ILN'!B:K,10,FALSE))</f>
        <v>#N/A</v>
      </c>
      <c r="U263" s="50" t="e">
        <f>IFERROR(VLOOKUP(Tableau119[[#This Row],[Key(Compte ILN - shipper - POL - plant)]],'DATA ILN'!A:L,12,FALSE),VLOOKUP(Tableau119[[#This Row],[Key(Compte ILN - shipper - POL)]],'DATA ILN'!B:L,11,FALSE))</f>
        <v>#N/A</v>
      </c>
      <c r="V263" s="50" t="e">
        <f>Tableau119[[#This Row],[Day ILN Order]]+Tableau119[[#This Row],[Delivery time to ILN/Shipper]]-1</f>
        <v>#N/A</v>
      </c>
      <c r="W263" s="50" t="e">
        <f>IFERROR(VLOOKUP(Tableau119[[#This Row],[Key(Compte ILN - shipper - POL - plant)]],'DATA ILN'!A:N,14,FALSE),VLOOKUP(Tableau119[[#This Row],[Key(Compte ILN - shipper - POL)]],'DATA ILN'!B:N,13,FALSE))</f>
        <v>#N/A</v>
      </c>
      <c r="X263" s="50" t="e">
        <f>IFERROR(VLOOKUP(Tableau119[[#This Row],[Key(Compte ILN - shipper - POL - plant)]],'DATA ILN'!A:P,16,FALSE),VLOOKUP(Tableau119[[#This Row],[Key(Compte ILN - shipper - POL)]],'DATA ILN'!B:P,15,FALSE))</f>
        <v>#N/A</v>
      </c>
      <c r="Y263" s="284" t="s">
        <v>284</v>
      </c>
      <c r="Z263" s="430">
        <f>IFERROR(VLOOKUP(Tableau119[[#This Row],[Name Shipper]],Plant_AILN!L:M,2,FALSE),0)</f>
        <v>2533780535</v>
      </c>
      <c r="AA263" s="406">
        <v>84</v>
      </c>
      <c r="AB263" s="396" t="b">
        <f>_xlfn.XLOOKUP(Tableau119[[#This Row],[Key(ID-date)]],'DATA BTO'!S:S,'DATA BTO'!E:E,FALSE)</f>
        <v>0</v>
      </c>
      <c r="AC263" s="3" t="b">
        <f>_xlfn.XLOOKUP(Tableau119[[#This Row],[Key(ID-date)]],'DATA BTO'!S:S,'DATA BTO'!F:F,FALSE)</f>
        <v>0</v>
      </c>
      <c r="AD263" s="50" t="b">
        <f>_xlfn.XLOOKUP(Tableau119[[#This Row],[Key(ID-date)]],'DATA BTO'!S:S,'DATA BTO'!G:G,FALSE)</f>
        <v>0</v>
      </c>
      <c r="AE263" s="50" t="b">
        <f>_xlfn.XLOOKUP(Tableau119[[#This Row],[Key(ID-date)]],'DATA BTO'!S:S,'DATA BTO'!H:H,FALSE)</f>
        <v>0</v>
      </c>
      <c r="AF263" s="447" t="e">
        <f>IF(Tableau119[[#This Row],[First Day to POL]]&lt;=Tableau119[[#This Row],[Day Cut Off]],Tableau119[[#This Row],[Day ETD]],Tableau119[[#This Row],[Day ETD]]+7)</f>
        <v>#N/A</v>
      </c>
      <c r="AG263" s="50" t="b">
        <f>_xlfn.XLOOKUP(Tableau119[[#This Row],[Key(ID-date)]],'DATA BTO'!S:S,'DATA BTO'!I:I,FALSE)</f>
        <v>0</v>
      </c>
      <c r="AH263" s="3" t="b">
        <f>_xlfn.XLOOKUP(Tableau119[[#This Row],[Key(ID-date)]],'DATA BTO'!S:S,'DATA BTO'!J:J,FALSE)</f>
        <v>0</v>
      </c>
      <c r="AI263" s="3" t="b">
        <f>_xlfn.XLOOKUP(Tableau119[[#This Row],[Key(ID-date)]],'DATA BTO'!S:S,'DATA BTO'!K:K,FALSE)</f>
        <v>0</v>
      </c>
      <c r="AJ263" s="50" t="b">
        <f>_xlfn.XLOOKUP(Tableau119[[#This Row],[Key(ID-date)]],'DATA BTO'!S:S,'DATA BTO'!L:L,FALSE)</f>
        <v>0</v>
      </c>
      <c r="AK263" s="53" t="b">
        <f>_xlfn.XLOOKUP(Tableau119[[#This Row],[Key(ID-date)]],'DATA BTO'!S:S,'DATA BTO'!N:N,FALSE)</f>
        <v>0</v>
      </c>
      <c r="AL263" s="54" t="e">
        <f>VLOOKUP(Tableau119[[#This Row],[Key(POD -PFI- Usine)]],'DATA Consignee'!A:F,6,FALSE)</f>
        <v>#N/A</v>
      </c>
      <c r="AM263" s="284"/>
      <c r="AN263" s="376" t="str">
        <f>IF(Tableau119[[#This Row],[Name PFI/CDD]]="","-",VLOOKUP(Tableau119[[#This Row],[Name PFI/CDD]],Plant_AILN!I:J,2,FALSE))</f>
        <v>-</v>
      </c>
      <c r="AO2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3" s="2" t="e">
        <f>VLOOKUP(Tableau119[[#This Row],[Key(POD -PFI- Usine)]],'DATA Consignee'!A:J,10,FALSE)</f>
        <v>#N/A</v>
      </c>
      <c r="AR263" s="50" t="e">
        <f>VLOOKUP(Tableau119[[#This Row],[Key(POD -PFI- Usine)]],'DATA Consignee'!A:N,14,FALSE)</f>
        <v>#N/A</v>
      </c>
      <c r="AS2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3" s="50">
        <f>Tableau119[[#This Row],[Transit time]]+Tableau119[[#This Row],[Time for security]]+Tableau119[[#This Row],[Time for security2 buffer]]</f>
        <v>0</v>
      </c>
      <c r="AV2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3" s="50" t="e">
        <f>Tableau119[[#This Row],[Leadtime SI2C]]+Tableau119[[#This Row],[First Receipt Days]]-Tableau119[[#This Row],[Day Customer Order]]+1</f>
        <v>#N/A</v>
      </c>
      <c r="AX263" s="119" t="e">
        <f>IF(Tableau119[[#This Row],[Name ILN]]&lt;&gt;"SFK Freight Forwarder",Tableau119[[#This Row],[Cust. Leadtime]],Tableau119[[#This Row],[Leadtime SI2C]])</f>
        <v>#N/A</v>
      </c>
      <c r="AY263" s="51" t="b">
        <f>_xlfn.XLOOKUP(Tableau119[[#This Row],[Key(ID-date)]],'DATA BTO'!S:S,'DATA BTO'!P:P,FALSE)</f>
        <v>0</v>
      </c>
      <c r="AZ263" s="338">
        <v>45777</v>
      </c>
      <c r="BA263" s="50"/>
    </row>
    <row r="264" spans="2:53">
      <c r="B264" s="446" t="str">
        <f>_xlfn.CONCAT(Tableau119[[#This Row],[Name ILN]],"-",Tableau119[[#This Row],[Name Shipper]],"-",Tableau119[[#This Row],[Name Site]])</f>
        <v>ILN Delhi-ILN Delhi-CURITIBA CVU</v>
      </c>
      <c r="C264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64" s="66" t="str">
        <f>_xlfn.CONCAT(Tableau119[[#This Row],[Compte ILN]],"-",Tableau119[[#This Row],[Compte Shipper]],"-",Tableau119[[#This Row],[POL]])</f>
        <v>2533780535-2533780535-FALSO</v>
      </c>
      <c r="E264" s="130" t="str">
        <f>_xlfn.CONCAT(Tableau119[[#This Row],[POL]],"-",Tableau119[[#This Row],[Carrier]],"-",Tableau119[[#This Row],[POD]])</f>
        <v>FALSO-FALSO-FALSO</v>
      </c>
      <c r="F264" s="66" t="str">
        <f>_xlfn.CONCAT(Tableau119[[#This Row],[ID]],"-","Actif")</f>
        <v>84-Actif</v>
      </c>
      <c r="G264" s="66" t="str">
        <f>_xlfn.CONCAT(Tableau119[[#This Row],[POD]],"-",Tableau119[[#This Row],[Code PFI]],"-",Tableau119[[#This Row],[Compte Consignee]])</f>
        <v>FALSO---90018500</v>
      </c>
      <c r="H2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CVU</v>
      </c>
      <c r="I264" s="434" t="str">
        <f>_xlfn.CONCAT(Tableau119[[#This Row],[ID]],"-",Tableau119[[#This Row],[Expiration Date]])</f>
        <v>84-45777</v>
      </c>
      <c r="J2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Delhi-ILN Delhi-84-FALSO-FALSO-FALSO--45777</v>
      </c>
      <c r="K264" s="119" t="str">
        <f ca="1">IF(COUNTIF(J:J,Tableau119[[#This Row],[Plant-ILN-shipper-POL-Carrier-POD-PFI]])=1,"Non","Oui")</f>
        <v>Non</v>
      </c>
      <c r="L264" s="128" t="str">
        <f>VLOOKUP(Tableau119[[#This Row],[Name Site]],Plant_AILN!A:D,4,FALSE)</f>
        <v>BRAZIL</v>
      </c>
      <c r="M264" s="411" t="s">
        <v>206</v>
      </c>
      <c r="N264" s="454">
        <f>VLOOKUP(Tableau119[[#This Row],[Name Site]],Plant_AILN!A:C,3,FALSE)</f>
        <v>90018500</v>
      </c>
      <c r="O264" s="55">
        <f>VLOOKUP(Tableau119[[#This Row],[Compte Consignee]],Order!C:D,2,FALSE)</f>
        <v>7</v>
      </c>
      <c r="P264" s="124" t="s">
        <v>284</v>
      </c>
      <c r="Q264" s="365">
        <f>VLOOKUP(Tableau119[[#This Row],[Name ILN]],Plant_AILN!F:G,2,FALSE)</f>
        <v>2533780535</v>
      </c>
      <c r="R264" s="50">
        <f>VLOOKUP(Tableau119[[#This Row],[Compte ILN]],'DATA ILN'!D:I,6,FALSE)</f>
        <v>9</v>
      </c>
      <c r="S264" s="50" t="e">
        <f>IFERROR(VLOOKUP(Tableau119[[#This Row],[Key(Compte ILN - shipper - POL - plant)]],'DATA ILN'!A:J,10,FALSE),VLOOKUP(Tableau119[[#This Row],[Key(Compte ILN - shipper - POL)]],'DATA ILN'!B:J,9,FALSE))</f>
        <v>#N/A</v>
      </c>
      <c r="T264" s="50" t="e">
        <f>IFERROR(VLOOKUP(Tableau119[[#This Row],[Key(Compte ILN - shipper - POL - plant)]],'DATA ILN'!A:K,11,FALSE),VLOOKUP(Tableau119[[#This Row],[Key(Compte ILN - shipper - POL)]],'DATA ILN'!B:K,10,FALSE))</f>
        <v>#N/A</v>
      </c>
      <c r="U264" s="50" t="e">
        <f>IFERROR(VLOOKUP(Tableau119[[#This Row],[Key(Compte ILN - shipper - POL - plant)]],'DATA ILN'!A:L,12,FALSE),VLOOKUP(Tableau119[[#This Row],[Key(Compte ILN - shipper - POL)]],'DATA ILN'!B:L,11,FALSE))</f>
        <v>#N/A</v>
      </c>
      <c r="V264" s="50" t="e">
        <f>Tableau119[[#This Row],[Day ILN Order]]+Tableau119[[#This Row],[Delivery time to ILN/Shipper]]-1</f>
        <v>#N/A</v>
      </c>
      <c r="W264" s="50" t="e">
        <f>IFERROR(VLOOKUP(Tableau119[[#This Row],[Key(Compte ILN - shipper - POL - plant)]],'DATA ILN'!A:N,14,FALSE),VLOOKUP(Tableau119[[#This Row],[Key(Compte ILN - shipper - POL)]],'DATA ILN'!B:N,13,FALSE))</f>
        <v>#N/A</v>
      </c>
      <c r="X264" s="50" t="e">
        <f>IFERROR(VLOOKUP(Tableau119[[#This Row],[Key(Compte ILN - shipper - POL - plant)]],'DATA ILN'!A:P,16,FALSE),VLOOKUP(Tableau119[[#This Row],[Key(Compte ILN - shipper - POL)]],'DATA ILN'!B:P,15,FALSE))</f>
        <v>#N/A</v>
      </c>
      <c r="Y264" s="284" t="s">
        <v>284</v>
      </c>
      <c r="Z264" s="430">
        <f>IFERROR(VLOOKUP(Tableau119[[#This Row],[Name Shipper]],Plant_AILN!L:M,2,FALSE),0)</f>
        <v>2533780535</v>
      </c>
      <c r="AA264" s="406">
        <v>84</v>
      </c>
      <c r="AB264" s="396" t="b">
        <f>_xlfn.XLOOKUP(Tableau119[[#This Row],[Key(ID-date)]],'DATA BTO'!S:S,'DATA BTO'!E:E,FALSE)</f>
        <v>0</v>
      </c>
      <c r="AC264" s="3" t="b">
        <f>_xlfn.XLOOKUP(Tableau119[[#This Row],[Key(ID-date)]],'DATA BTO'!S:S,'DATA BTO'!F:F,FALSE)</f>
        <v>0</v>
      </c>
      <c r="AD264" s="50" t="b">
        <f>_xlfn.XLOOKUP(Tableau119[[#This Row],[Key(ID-date)]],'DATA BTO'!S:S,'DATA BTO'!G:G,FALSE)</f>
        <v>0</v>
      </c>
      <c r="AE264" s="50" t="b">
        <f>_xlfn.XLOOKUP(Tableau119[[#This Row],[Key(ID-date)]],'DATA BTO'!S:S,'DATA BTO'!H:H,FALSE)</f>
        <v>0</v>
      </c>
      <c r="AF264" s="447" t="e">
        <f>IF(Tableau119[[#This Row],[First Day to POL]]&lt;=Tableau119[[#This Row],[Day Cut Off]],Tableau119[[#This Row],[Day ETD]],Tableau119[[#This Row],[Day ETD]]+7)</f>
        <v>#N/A</v>
      </c>
      <c r="AG264" s="50" t="b">
        <f>_xlfn.XLOOKUP(Tableau119[[#This Row],[Key(ID-date)]],'DATA BTO'!S:S,'DATA BTO'!I:I,FALSE)</f>
        <v>0</v>
      </c>
      <c r="AH264" s="3" t="b">
        <f>_xlfn.XLOOKUP(Tableau119[[#This Row],[Key(ID-date)]],'DATA BTO'!S:S,'DATA BTO'!J:J,FALSE)</f>
        <v>0</v>
      </c>
      <c r="AI264" s="3" t="b">
        <f>_xlfn.XLOOKUP(Tableau119[[#This Row],[Key(ID-date)]],'DATA BTO'!S:S,'DATA BTO'!K:K,FALSE)</f>
        <v>0</v>
      </c>
      <c r="AJ264" s="50" t="b">
        <f>_xlfn.XLOOKUP(Tableau119[[#This Row],[Key(ID-date)]],'DATA BTO'!S:S,'DATA BTO'!L:L,FALSE)</f>
        <v>0</v>
      </c>
      <c r="AK264" s="53" t="b">
        <f>_xlfn.XLOOKUP(Tableau119[[#This Row],[Key(ID-date)]],'DATA BTO'!S:S,'DATA BTO'!N:N,FALSE)</f>
        <v>0</v>
      </c>
      <c r="AL264" s="54" t="e">
        <f>VLOOKUP(Tableau119[[#This Row],[Key(POD -PFI- Usine)]],'DATA Consignee'!A:F,6,FALSE)</f>
        <v>#N/A</v>
      </c>
      <c r="AM264" s="284"/>
      <c r="AN264" s="376" t="str">
        <f>IF(Tableau119[[#This Row],[Name PFI/CDD]]="","-",VLOOKUP(Tableau119[[#This Row],[Name PFI/CDD]],Plant_AILN!I:J,2,FALSE))</f>
        <v>-</v>
      </c>
      <c r="AO2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4" s="2" t="e">
        <f>VLOOKUP(Tableau119[[#This Row],[Key(POD -PFI- Usine)]],'DATA Consignee'!A:J,10,FALSE)</f>
        <v>#N/A</v>
      </c>
      <c r="AR264" s="50" t="e">
        <f>VLOOKUP(Tableau119[[#This Row],[Key(POD -PFI- Usine)]],'DATA Consignee'!A:N,14,FALSE)</f>
        <v>#N/A</v>
      </c>
      <c r="AS26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4" s="50">
        <f>Tableau119[[#This Row],[Transit time]]+Tableau119[[#This Row],[Time for security]]+Tableau119[[#This Row],[Time for security2 buffer]]</f>
        <v>0</v>
      </c>
      <c r="AV2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4" s="50" t="e">
        <f>Tableau119[[#This Row],[Leadtime SI2C]]+Tableau119[[#This Row],[First Receipt Days]]-Tableau119[[#This Row],[Day Customer Order]]+1</f>
        <v>#N/A</v>
      </c>
      <c r="AX264" s="119" t="e">
        <f>IF(Tableau119[[#This Row],[Name ILN]]&lt;&gt;"SFK Freight Forwarder",Tableau119[[#This Row],[Cust. Leadtime]],Tableau119[[#This Row],[Leadtime SI2C]])</f>
        <v>#N/A</v>
      </c>
      <c r="AY264" s="51" t="b">
        <f>_xlfn.XLOOKUP(Tableau119[[#This Row],[Key(ID-date)]],'DATA BTO'!S:S,'DATA BTO'!P:P,FALSE)</f>
        <v>0</v>
      </c>
      <c r="AZ264" s="338">
        <v>45777</v>
      </c>
      <c r="BA264" s="50"/>
    </row>
    <row r="265" spans="2:53">
      <c r="B265" s="446" t="str">
        <f>_xlfn.CONCAT(Tableau119[[#This Row],[Name ILN]],"-",Tableau119[[#This Row],[Name Shipper]],"-",Tableau119[[#This Row],[Name Site]])</f>
        <v>ILN Delhi-ILN Delhi-CURITIBA CMO</v>
      </c>
      <c r="C265" s="66" t="str">
        <f>_xlfn.CONCAT(Tableau119[[#This Row],[Compte ILN]],"-",Tableau119[[#This Row],[Compte Shipper]],"-",Tableau119[[#This Row],[POL]],"-",Tableau119[[#This Row],[Compte Consignee]])</f>
        <v>2533780535-2533780535-FALSO-90018600</v>
      </c>
      <c r="D265" s="66" t="str">
        <f>_xlfn.CONCAT(Tableau119[[#This Row],[Compte ILN]],"-",Tableau119[[#This Row],[Compte Shipper]],"-",Tableau119[[#This Row],[POL]])</f>
        <v>2533780535-2533780535-FALSO</v>
      </c>
      <c r="E265" s="130" t="str">
        <f>_xlfn.CONCAT(Tableau119[[#This Row],[POL]],"-",Tableau119[[#This Row],[Carrier]],"-",Tableau119[[#This Row],[POD]])</f>
        <v>FALSO-FALSO-FALSO</v>
      </c>
      <c r="F265" s="66" t="str">
        <f>_xlfn.CONCAT(Tableau119[[#This Row],[ID]],"-","Actif")</f>
        <v>84-Actif</v>
      </c>
      <c r="G265" s="66" t="str">
        <f>_xlfn.CONCAT(Tableau119[[#This Row],[POD]],"-",Tableau119[[#This Row],[Code PFI]],"-",Tableau119[[#This Row],[Compte Consignee]])</f>
        <v>FALSO---90018600</v>
      </c>
      <c r="H2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CMO</v>
      </c>
      <c r="I265" s="434" t="str">
        <f>_xlfn.CONCAT(Tableau119[[#This Row],[ID]],"-",Tableau119[[#This Row],[Expiration Date]])</f>
        <v>84-45777</v>
      </c>
      <c r="J2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Delhi-ILN Delhi-84-FALSO-FALSO-FALSO--45777</v>
      </c>
      <c r="K265" s="119" t="str">
        <f ca="1">IF(COUNTIF(J:J,Tableau119[[#This Row],[Plant-ILN-shipper-POL-Carrier-POD-PFI]])=1,"Non","Oui")</f>
        <v>Non</v>
      </c>
      <c r="L265" s="128" t="str">
        <f>VLOOKUP(Tableau119[[#This Row],[Name Site]],Plant_AILN!A:D,4,FALSE)</f>
        <v>BRAZIL</v>
      </c>
      <c r="M265" s="411" t="s">
        <v>174</v>
      </c>
      <c r="N265" s="454">
        <f>VLOOKUP(Tableau119[[#This Row],[Name Site]],Plant_AILN!A:C,3,FALSE)</f>
        <v>90018600</v>
      </c>
      <c r="O265" s="55">
        <f>VLOOKUP(Tableau119[[#This Row],[Compte Consignee]],Order!C:D,2,FALSE)</f>
        <v>7</v>
      </c>
      <c r="P265" s="124" t="s">
        <v>284</v>
      </c>
      <c r="Q265" s="365">
        <f>VLOOKUP(Tableau119[[#This Row],[Name ILN]],Plant_AILN!F:G,2,FALSE)</f>
        <v>2533780535</v>
      </c>
      <c r="R265" s="50">
        <f>VLOOKUP(Tableau119[[#This Row],[Compte ILN]],'DATA ILN'!D:I,6,FALSE)</f>
        <v>9</v>
      </c>
      <c r="S265" s="50" t="e">
        <f>IFERROR(VLOOKUP(Tableau119[[#This Row],[Key(Compte ILN - shipper - POL - plant)]],'DATA ILN'!A:J,10,FALSE),VLOOKUP(Tableau119[[#This Row],[Key(Compte ILN - shipper - POL)]],'DATA ILN'!B:J,9,FALSE))</f>
        <v>#N/A</v>
      </c>
      <c r="T265" s="50" t="e">
        <f>IFERROR(VLOOKUP(Tableau119[[#This Row],[Key(Compte ILN - shipper - POL - plant)]],'DATA ILN'!A:K,11,FALSE),VLOOKUP(Tableau119[[#This Row],[Key(Compte ILN - shipper - POL)]],'DATA ILN'!B:K,10,FALSE))</f>
        <v>#N/A</v>
      </c>
      <c r="U265" s="50" t="e">
        <f>IFERROR(VLOOKUP(Tableau119[[#This Row],[Key(Compte ILN - shipper - POL - plant)]],'DATA ILN'!A:L,12,FALSE),VLOOKUP(Tableau119[[#This Row],[Key(Compte ILN - shipper - POL)]],'DATA ILN'!B:L,11,FALSE))</f>
        <v>#N/A</v>
      </c>
      <c r="V265" s="50" t="e">
        <f>Tableau119[[#This Row],[Day ILN Order]]+Tableau119[[#This Row],[Delivery time to ILN/Shipper]]-1</f>
        <v>#N/A</v>
      </c>
      <c r="W265" s="50" t="e">
        <f>IFERROR(VLOOKUP(Tableau119[[#This Row],[Key(Compte ILN - shipper - POL - plant)]],'DATA ILN'!A:N,14,FALSE),VLOOKUP(Tableau119[[#This Row],[Key(Compte ILN - shipper - POL)]],'DATA ILN'!B:N,13,FALSE))</f>
        <v>#N/A</v>
      </c>
      <c r="X265" s="50" t="e">
        <f>IFERROR(VLOOKUP(Tableau119[[#This Row],[Key(Compte ILN - shipper - POL - plant)]],'DATA ILN'!A:P,16,FALSE),VLOOKUP(Tableau119[[#This Row],[Key(Compte ILN - shipper - POL)]],'DATA ILN'!B:P,15,FALSE))</f>
        <v>#N/A</v>
      </c>
      <c r="Y265" s="284" t="s">
        <v>284</v>
      </c>
      <c r="Z265" s="430">
        <f>IFERROR(VLOOKUP(Tableau119[[#This Row],[Name Shipper]],Plant_AILN!L:M,2,FALSE),0)</f>
        <v>2533780535</v>
      </c>
      <c r="AA265" s="406">
        <v>84</v>
      </c>
      <c r="AB265" s="396" t="b">
        <f>_xlfn.XLOOKUP(Tableau119[[#This Row],[Key(ID-date)]],'DATA BTO'!S:S,'DATA BTO'!E:E,FALSE)</f>
        <v>0</v>
      </c>
      <c r="AC265" s="3" t="b">
        <f>_xlfn.XLOOKUP(Tableau119[[#This Row],[Key(ID-date)]],'DATA BTO'!S:S,'DATA BTO'!F:F,FALSE)</f>
        <v>0</v>
      </c>
      <c r="AD265" s="50" t="b">
        <f>_xlfn.XLOOKUP(Tableau119[[#This Row],[Key(ID-date)]],'DATA BTO'!S:S,'DATA BTO'!G:G,FALSE)</f>
        <v>0</v>
      </c>
      <c r="AE265" s="50" t="b">
        <f>_xlfn.XLOOKUP(Tableau119[[#This Row],[Key(ID-date)]],'DATA BTO'!S:S,'DATA BTO'!H:H,FALSE)</f>
        <v>0</v>
      </c>
      <c r="AF265" s="447" t="e">
        <f>IF(Tableau119[[#This Row],[First Day to POL]]&lt;=Tableau119[[#This Row],[Day Cut Off]],Tableau119[[#This Row],[Day ETD]],Tableau119[[#This Row],[Day ETD]]+7)</f>
        <v>#N/A</v>
      </c>
      <c r="AG265" s="50" t="b">
        <f>_xlfn.XLOOKUP(Tableau119[[#This Row],[Key(ID-date)]],'DATA BTO'!S:S,'DATA BTO'!I:I,FALSE)</f>
        <v>0</v>
      </c>
      <c r="AH265" s="3" t="b">
        <f>_xlfn.XLOOKUP(Tableau119[[#This Row],[Key(ID-date)]],'DATA BTO'!S:S,'DATA BTO'!J:J,FALSE)</f>
        <v>0</v>
      </c>
      <c r="AI265" s="3" t="b">
        <f>_xlfn.XLOOKUP(Tableau119[[#This Row],[Key(ID-date)]],'DATA BTO'!S:S,'DATA BTO'!K:K,FALSE)</f>
        <v>0</v>
      </c>
      <c r="AJ265" s="50" t="b">
        <f>_xlfn.XLOOKUP(Tableau119[[#This Row],[Key(ID-date)]],'DATA BTO'!S:S,'DATA BTO'!L:L,FALSE)</f>
        <v>0</v>
      </c>
      <c r="AK265" s="53" t="b">
        <f>_xlfn.XLOOKUP(Tableau119[[#This Row],[Key(ID-date)]],'DATA BTO'!S:S,'DATA BTO'!N:N,FALSE)</f>
        <v>0</v>
      </c>
      <c r="AL265" s="54" t="e">
        <f>VLOOKUP(Tableau119[[#This Row],[Key(POD -PFI- Usine)]],'DATA Consignee'!A:F,6,FALSE)</f>
        <v>#N/A</v>
      </c>
      <c r="AM265" s="284"/>
      <c r="AN265" s="376" t="str">
        <f>IF(Tableau119[[#This Row],[Name PFI/CDD]]="","-",VLOOKUP(Tableau119[[#This Row],[Name PFI/CDD]],Plant_AILN!I:J,2,FALSE))</f>
        <v>-</v>
      </c>
      <c r="AO2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5" s="2" t="e">
        <f>VLOOKUP(Tableau119[[#This Row],[Key(POD -PFI- Usine)]],'DATA Consignee'!A:J,10,FALSE)</f>
        <v>#N/A</v>
      </c>
      <c r="AR265" s="50" t="e">
        <f>VLOOKUP(Tableau119[[#This Row],[Key(POD -PFI- Usine)]],'DATA Consignee'!A:N,14,FALSE)</f>
        <v>#N/A</v>
      </c>
      <c r="AS2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5" s="50">
        <f>Tableau119[[#This Row],[Transit time]]+Tableau119[[#This Row],[Time for security]]+Tableau119[[#This Row],[Time for security2 buffer]]</f>
        <v>0</v>
      </c>
      <c r="AV2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5" s="50" t="e">
        <f>Tableau119[[#This Row],[Leadtime SI2C]]+Tableau119[[#This Row],[First Receipt Days]]-Tableau119[[#This Row],[Day Customer Order]]+1</f>
        <v>#N/A</v>
      </c>
      <c r="AX265" s="119" t="e">
        <f>IF(Tableau119[[#This Row],[Name ILN]]&lt;&gt;"SFK Freight Forwarder",Tableau119[[#This Row],[Cust. Leadtime]],Tableau119[[#This Row],[Leadtime SI2C]])</f>
        <v>#N/A</v>
      </c>
      <c r="AY265" s="51" t="b">
        <f>_xlfn.XLOOKUP(Tableau119[[#This Row],[Key(ID-date)]],'DATA BTO'!S:S,'DATA BTO'!P:P,FALSE)</f>
        <v>0</v>
      </c>
      <c r="AZ265" s="338">
        <v>45777</v>
      </c>
      <c r="BA265" s="50"/>
    </row>
    <row r="266" spans="2:53">
      <c r="B266" s="446" t="str">
        <f>_xlfn.CONCAT(Tableau119[[#This Row],[Name ILN]],"-",Tableau119[[#This Row],[Name Shipper]],"-",Tableau119[[#This Row],[Name Site]])</f>
        <v>ILN Delhi-ILN Delhi-Curitiba CVP</v>
      </c>
      <c r="C266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66" s="66" t="str">
        <f>_xlfn.CONCAT(Tableau119[[#This Row],[Compte ILN]],"-",Tableau119[[#This Row],[Compte Shipper]],"-",Tableau119[[#This Row],[POL]])</f>
        <v>2533780535-2533780535-FALSO</v>
      </c>
      <c r="E266" s="130" t="str">
        <f>_xlfn.CONCAT(Tableau119[[#This Row],[POL]],"-",Tableau119[[#This Row],[Carrier]],"-",Tableau119[[#This Row],[POD]])</f>
        <v>FALSO-FALSO-FALSO</v>
      </c>
      <c r="F266" s="66" t="str">
        <f>_xlfn.CONCAT(Tableau119[[#This Row],[ID]],"-","Actif")</f>
        <v>84-Actif</v>
      </c>
      <c r="G266" s="66" t="str">
        <f>_xlfn.CONCAT(Tableau119[[#This Row],[POD]],"-",Tableau119[[#This Row],[Code PFI]],"-",Tableau119[[#This Row],[Compte Consignee]])</f>
        <v>FALSO---90018000</v>
      </c>
      <c r="H2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CVP</v>
      </c>
      <c r="I266" s="434" t="str">
        <f>_xlfn.CONCAT(Tableau119[[#This Row],[ID]],"-",Tableau119[[#This Row],[Expiration Date]])</f>
        <v>84-45473</v>
      </c>
      <c r="J2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Delhi-ILN Delhi-84-FALSO-FALSO-FALSO--45473</v>
      </c>
      <c r="K266" s="119" t="str">
        <f ca="1">IF(COUNTIF(J:J,Tableau119[[#This Row],[Plant-ILN-shipper-POL-Carrier-POD-PFI]])=1,"Non","Oui")</f>
        <v>Non</v>
      </c>
      <c r="L266" s="128" t="str">
        <f>VLOOKUP(Tableau119[[#This Row],[Name Site]],Plant_AILN!A:D,4,FALSE)</f>
        <v>BRAZIL</v>
      </c>
      <c r="M266" s="411" t="s">
        <v>152</v>
      </c>
      <c r="N266" s="454">
        <f>VLOOKUP(Tableau119[[#This Row],[Name Site]],Plant_AILN!A:C,3,FALSE)</f>
        <v>90018000</v>
      </c>
      <c r="O266" s="55">
        <f>VLOOKUP(Tableau119[[#This Row],[Compte Consignee]],Order!C:D,2,FALSE)</f>
        <v>7</v>
      </c>
      <c r="P266" s="124" t="s">
        <v>284</v>
      </c>
      <c r="Q266" s="365">
        <f>VLOOKUP(Tableau119[[#This Row],[Name ILN]],Plant_AILN!F:G,2,FALSE)</f>
        <v>2533780535</v>
      </c>
      <c r="R266" s="50">
        <f>VLOOKUP(Tableau119[[#This Row],[Compte ILN]],'DATA ILN'!D:I,6,FALSE)</f>
        <v>9</v>
      </c>
      <c r="S266" s="50" t="e">
        <f>IFERROR(VLOOKUP(Tableau119[[#This Row],[Key(Compte ILN - shipper - POL - plant)]],'DATA ILN'!A:J,10,FALSE),VLOOKUP(Tableau119[[#This Row],[Key(Compte ILN - shipper - POL)]],'DATA ILN'!B:J,9,FALSE))</f>
        <v>#N/A</v>
      </c>
      <c r="T266" s="50" t="e">
        <f>IFERROR(VLOOKUP(Tableau119[[#This Row],[Key(Compte ILN - shipper - POL - plant)]],'DATA ILN'!A:K,11,FALSE),VLOOKUP(Tableau119[[#This Row],[Key(Compte ILN - shipper - POL)]],'DATA ILN'!B:K,10,FALSE))</f>
        <v>#N/A</v>
      </c>
      <c r="U266" s="50" t="e">
        <f>IFERROR(VLOOKUP(Tableau119[[#This Row],[Key(Compte ILN - shipper - POL - plant)]],'DATA ILN'!A:L,12,FALSE),VLOOKUP(Tableau119[[#This Row],[Key(Compte ILN - shipper - POL)]],'DATA ILN'!B:L,11,FALSE))</f>
        <v>#N/A</v>
      </c>
      <c r="V266" s="50" t="e">
        <f>Tableau119[[#This Row],[Day ILN Order]]+Tableau119[[#This Row],[Delivery time to ILN/Shipper]]-1</f>
        <v>#N/A</v>
      </c>
      <c r="W266" s="50" t="e">
        <f>IFERROR(VLOOKUP(Tableau119[[#This Row],[Key(Compte ILN - shipper - POL - plant)]],'DATA ILN'!A:N,14,FALSE),VLOOKUP(Tableau119[[#This Row],[Key(Compte ILN - shipper - POL)]],'DATA ILN'!B:N,13,FALSE))</f>
        <v>#N/A</v>
      </c>
      <c r="X266" s="50" t="e">
        <f>IFERROR(VLOOKUP(Tableau119[[#This Row],[Key(Compte ILN - shipper - POL - plant)]],'DATA ILN'!A:P,16,FALSE),VLOOKUP(Tableau119[[#This Row],[Key(Compte ILN - shipper - POL)]],'DATA ILN'!B:P,15,FALSE))</f>
        <v>#N/A</v>
      </c>
      <c r="Y266" s="284" t="s">
        <v>284</v>
      </c>
      <c r="Z266" s="430">
        <f>IFERROR(VLOOKUP(Tableau119[[#This Row],[Name Shipper]],Plant_AILN!L:M,2,FALSE),0)</f>
        <v>2533780535</v>
      </c>
      <c r="AA266" s="406">
        <v>84</v>
      </c>
      <c r="AB266" s="396" t="b">
        <f>_xlfn.XLOOKUP(Tableau119[[#This Row],[Key(ID-date)]],'DATA BTO'!S:S,'DATA BTO'!E:E,FALSE)</f>
        <v>0</v>
      </c>
      <c r="AC266" s="3" t="b">
        <f>_xlfn.XLOOKUP(Tableau119[[#This Row],[Key(ID-date)]],'DATA BTO'!S:S,'DATA BTO'!F:F,FALSE)</f>
        <v>0</v>
      </c>
      <c r="AD266" s="50" t="b">
        <f>_xlfn.XLOOKUP(Tableau119[[#This Row],[Key(ID-date)]],'DATA BTO'!S:S,'DATA BTO'!G:G,FALSE)</f>
        <v>0</v>
      </c>
      <c r="AE266" s="50" t="b">
        <f>_xlfn.XLOOKUP(Tableau119[[#This Row],[Key(ID-date)]],'DATA BTO'!S:S,'DATA BTO'!H:H,FALSE)</f>
        <v>0</v>
      </c>
      <c r="AF266" s="447" t="e">
        <f>IF(Tableau119[[#This Row],[First Day to POL]]&lt;=Tableau119[[#This Row],[Day Cut Off]],Tableau119[[#This Row],[Day ETD]],Tableau119[[#This Row],[Day ETD]]+7)</f>
        <v>#N/A</v>
      </c>
      <c r="AG266" s="50" t="b">
        <f>_xlfn.XLOOKUP(Tableau119[[#This Row],[Key(ID-date)]],'DATA BTO'!S:S,'DATA BTO'!I:I,FALSE)</f>
        <v>0</v>
      </c>
      <c r="AH266" s="3" t="b">
        <f>_xlfn.XLOOKUP(Tableau119[[#This Row],[Key(ID-date)]],'DATA BTO'!S:S,'DATA BTO'!J:J,FALSE)</f>
        <v>0</v>
      </c>
      <c r="AI266" s="3" t="b">
        <f>_xlfn.XLOOKUP(Tableau119[[#This Row],[Key(ID-date)]],'DATA BTO'!S:S,'DATA BTO'!K:K,FALSE)</f>
        <v>0</v>
      </c>
      <c r="AJ266" s="50" t="b">
        <f>_xlfn.XLOOKUP(Tableau119[[#This Row],[Key(ID-date)]],'DATA BTO'!S:S,'DATA BTO'!L:L,FALSE)</f>
        <v>0</v>
      </c>
      <c r="AK266" s="53" t="b">
        <f>_xlfn.XLOOKUP(Tableau119[[#This Row],[Key(ID-date)]],'DATA BTO'!S:S,'DATA BTO'!N:N,FALSE)</f>
        <v>0</v>
      </c>
      <c r="AL266" s="54" t="e">
        <f>VLOOKUP(Tableau119[[#This Row],[Key(POD -PFI- Usine)]],'DATA Consignee'!A:F,6,FALSE)</f>
        <v>#N/A</v>
      </c>
      <c r="AM266" s="284"/>
      <c r="AN266" s="376" t="str">
        <f>IF(Tableau119[[#This Row],[Name PFI/CDD]]="","-",VLOOKUP(Tableau119[[#This Row],[Name PFI/CDD]],Plant_AILN!I:J,2,FALSE))</f>
        <v>-</v>
      </c>
      <c r="AO2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6" s="2" t="e">
        <f>VLOOKUP(Tableau119[[#This Row],[Key(POD -PFI- Usine)]],'DATA Consignee'!A:J,10,FALSE)</f>
        <v>#N/A</v>
      </c>
      <c r="AR266" s="50" t="e">
        <f>VLOOKUP(Tableau119[[#This Row],[Key(POD -PFI- Usine)]],'DATA Consignee'!A:N,14,FALSE)</f>
        <v>#N/A</v>
      </c>
      <c r="AS2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6" s="50">
        <f>Tableau119[[#This Row],[Transit time]]+Tableau119[[#This Row],[Time for security]]+Tableau119[[#This Row],[Time for security2 buffer]]</f>
        <v>0</v>
      </c>
      <c r="AV2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6" s="50" t="e">
        <f>Tableau119[[#This Row],[Leadtime SI2C]]+Tableau119[[#This Row],[First Receipt Days]]-Tableau119[[#This Row],[Day Customer Order]]+1</f>
        <v>#N/A</v>
      </c>
      <c r="AX266" s="119" t="e">
        <f>IF(Tableau119[[#This Row],[Name ILN]]&lt;&gt;"SFK Freight Forwarder",Tableau119[[#This Row],[Cust. Leadtime]],Tableau119[[#This Row],[Leadtime SI2C]])</f>
        <v>#N/A</v>
      </c>
      <c r="AY266" s="51" t="b">
        <f>_xlfn.XLOOKUP(Tableau119[[#This Row],[Key(ID-date)]],'DATA BTO'!S:S,'DATA BTO'!P:P,FALSE)</f>
        <v>0</v>
      </c>
      <c r="AZ266" s="338">
        <v>45473</v>
      </c>
      <c r="BA266" s="50"/>
    </row>
    <row r="267" spans="2:53">
      <c r="B267" s="446" t="str">
        <f>_xlfn.CONCAT(Tableau119[[#This Row],[Name ILN]],"-",Tableau119[[#This Row],[Name Shipper]],"-",Tableau119[[#This Row],[Name Site]])</f>
        <v>ILN Delhi-ILN Delhi-CURITIBA CVU</v>
      </c>
      <c r="C267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67" s="66" t="str">
        <f>_xlfn.CONCAT(Tableau119[[#This Row],[Compte ILN]],"-",Tableau119[[#This Row],[Compte Shipper]],"-",Tableau119[[#This Row],[POL]])</f>
        <v>2533780535-2533780535-FALSO</v>
      </c>
      <c r="E267" s="130" t="str">
        <f>_xlfn.CONCAT(Tableau119[[#This Row],[POL]],"-",Tableau119[[#This Row],[Carrier]],"-",Tableau119[[#This Row],[POD]])</f>
        <v>FALSO-FALSO-FALSO</v>
      </c>
      <c r="F267" s="66" t="str">
        <f>_xlfn.CONCAT(Tableau119[[#This Row],[ID]],"-","Actif")</f>
        <v>84-Actif</v>
      </c>
      <c r="G267" s="66" t="str">
        <f>_xlfn.CONCAT(Tableau119[[#This Row],[POD]],"-",Tableau119[[#This Row],[Code PFI]],"-",Tableau119[[#This Row],[Compte Consignee]])</f>
        <v>FALSO---90018500</v>
      </c>
      <c r="H2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CVU</v>
      </c>
      <c r="I267" s="434" t="str">
        <f>_xlfn.CONCAT(Tableau119[[#This Row],[ID]],"-",Tableau119[[#This Row],[Expiration Date]])</f>
        <v>84-45473</v>
      </c>
      <c r="J2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Delhi-ILN Delhi-84-FALSO-FALSO-FALSO--45473</v>
      </c>
      <c r="K267" s="119" t="str">
        <f ca="1">IF(COUNTIF(J:J,Tableau119[[#This Row],[Plant-ILN-shipper-POL-Carrier-POD-PFI]])=1,"Non","Oui")</f>
        <v>Non</v>
      </c>
      <c r="L267" s="128" t="str">
        <f>VLOOKUP(Tableau119[[#This Row],[Name Site]],Plant_AILN!A:D,4,FALSE)</f>
        <v>BRAZIL</v>
      </c>
      <c r="M267" s="411" t="s">
        <v>206</v>
      </c>
      <c r="N267" s="454">
        <f>VLOOKUP(Tableau119[[#This Row],[Name Site]],Plant_AILN!A:C,3,FALSE)</f>
        <v>90018500</v>
      </c>
      <c r="O267" s="55">
        <f>VLOOKUP(Tableau119[[#This Row],[Compte Consignee]],Order!C:D,2,FALSE)</f>
        <v>7</v>
      </c>
      <c r="P267" s="124" t="s">
        <v>284</v>
      </c>
      <c r="Q267" s="365">
        <f>VLOOKUP(Tableau119[[#This Row],[Name ILN]],Plant_AILN!F:G,2,FALSE)</f>
        <v>2533780535</v>
      </c>
      <c r="R267" s="50">
        <f>VLOOKUP(Tableau119[[#This Row],[Compte ILN]],'DATA ILN'!D:I,6,FALSE)</f>
        <v>9</v>
      </c>
      <c r="S267" s="50" t="e">
        <f>IFERROR(VLOOKUP(Tableau119[[#This Row],[Key(Compte ILN - shipper - POL - plant)]],'DATA ILN'!A:J,10,FALSE),VLOOKUP(Tableau119[[#This Row],[Key(Compte ILN - shipper - POL)]],'DATA ILN'!B:J,9,FALSE))</f>
        <v>#N/A</v>
      </c>
      <c r="T267" s="50" t="e">
        <f>IFERROR(VLOOKUP(Tableau119[[#This Row],[Key(Compte ILN - shipper - POL - plant)]],'DATA ILN'!A:K,11,FALSE),VLOOKUP(Tableau119[[#This Row],[Key(Compte ILN - shipper - POL)]],'DATA ILN'!B:K,10,FALSE))</f>
        <v>#N/A</v>
      </c>
      <c r="U267" s="50" t="e">
        <f>IFERROR(VLOOKUP(Tableau119[[#This Row],[Key(Compte ILN - shipper - POL - plant)]],'DATA ILN'!A:L,12,FALSE),VLOOKUP(Tableau119[[#This Row],[Key(Compte ILN - shipper - POL)]],'DATA ILN'!B:L,11,FALSE))</f>
        <v>#N/A</v>
      </c>
      <c r="V267" s="50" t="e">
        <f>Tableau119[[#This Row],[Day ILN Order]]+Tableau119[[#This Row],[Delivery time to ILN/Shipper]]-1</f>
        <v>#N/A</v>
      </c>
      <c r="W267" s="50" t="e">
        <f>IFERROR(VLOOKUP(Tableau119[[#This Row],[Key(Compte ILN - shipper - POL - plant)]],'DATA ILN'!A:N,14,FALSE),VLOOKUP(Tableau119[[#This Row],[Key(Compte ILN - shipper - POL)]],'DATA ILN'!B:N,13,FALSE))</f>
        <v>#N/A</v>
      </c>
      <c r="X267" s="50" t="e">
        <f>IFERROR(VLOOKUP(Tableau119[[#This Row],[Key(Compte ILN - shipper - POL - plant)]],'DATA ILN'!A:P,16,FALSE),VLOOKUP(Tableau119[[#This Row],[Key(Compte ILN - shipper - POL)]],'DATA ILN'!B:P,15,FALSE))</f>
        <v>#N/A</v>
      </c>
      <c r="Y267" s="284" t="s">
        <v>284</v>
      </c>
      <c r="Z267" s="430">
        <f>IFERROR(VLOOKUP(Tableau119[[#This Row],[Name Shipper]],Plant_AILN!L:M,2,FALSE),0)</f>
        <v>2533780535</v>
      </c>
      <c r="AA267" s="406">
        <v>84</v>
      </c>
      <c r="AB267" s="396" t="b">
        <f>_xlfn.XLOOKUP(Tableau119[[#This Row],[Key(ID-date)]],'DATA BTO'!S:S,'DATA BTO'!E:E,FALSE)</f>
        <v>0</v>
      </c>
      <c r="AC267" s="3" t="b">
        <f>_xlfn.XLOOKUP(Tableau119[[#This Row],[Key(ID-date)]],'DATA BTO'!S:S,'DATA BTO'!F:F,FALSE)</f>
        <v>0</v>
      </c>
      <c r="AD267" s="50" t="b">
        <f>_xlfn.XLOOKUP(Tableau119[[#This Row],[Key(ID-date)]],'DATA BTO'!S:S,'DATA BTO'!G:G,FALSE)</f>
        <v>0</v>
      </c>
      <c r="AE267" s="50" t="b">
        <f>_xlfn.XLOOKUP(Tableau119[[#This Row],[Key(ID-date)]],'DATA BTO'!S:S,'DATA BTO'!H:H,FALSE)</f>
        <v>0</v>
      </c>
      <c r="AF267" s="447" t="e">
        <f>IF(Tableau119[[#This Row],[First Day to POL]]&lt;=Tableau119[[#This Row],[Day Cut Off]],Tableau119[[#This Row],[Day ETD]],Tableau119[[#This Row],[Day ETD]]+7)</f>
        <v>#N/A</v>
      </c>
      <c r="AG267" s="50" t="b">
        <f>_xlfn.XLOOKUP(Tableau119[[#This Row],[Key(ID-date)]],'DATA BTO'!S:S,'DATA BTO'!I:I,FALSE)</f>
        <v>0</v>
      </c>
      <c r="AH267" s="3" t="b">
        <f>_xlfn.XLOOKUP(Tableau119[[#This Row],[Key(ID-date)]],'DATA BTO'!S:S,'DATA BTO'!J:J,FALSE)</f>
        <v>0</v>
      </c>
      <c r="AI267" s="3" t="b">
        <f>_xlfn.XLOOKUP(Tableau119[[#This Row],[Key(ID-date)]],'DATA BTO'!S:S,'DATA BTO'!K:K,FALSE)</f>
        <v>0</v>
      </c>
      <c r="AJ267" s="50" t="b">
        <f>_xlfn.XLOOKUP(Tableau119[[#This Row],[Key(ID-date)]],'DATA BTO'!S:S,'DATA BTO'!L:L,FALSE)</f>
        <v>0</v>
      </c>
      <c r="AK267" s="53" t="b">
        <f>_xlfn.XLOOKUP(Tableau119[[#This Row],[Key(ID-date)]],'DATA BTO'!S:S,'DATA BTO'!N:N,FALSE)</f>
        <v>0</v>
      </c>
      <c r="AL267" s="54" t="e">
        <f>VLOOKUP(Tableau119[[#This Row],[Key(POD -PFI- Usine)]],'DATA Consignee'!A:F,6,FALSE)</f>
        <v>#N/A</v>
      </c>
      <c r="AM267" s="284"/>
      <c r="AN267" s="376" t="str">
        <f>IF(Tableau119[[#This Row],[Name PFI/CDD]]="","-",VLOOKUP(Tableau119[[#This Row],[Name PFI/CDD]],Plant_AILN!I:J,2,FALSE))</f>
        <v>-</v>
      </c>
      <c r="AO26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7" s="2" t="e">
        <f>VLOOKUP(Tableau119[[#This Row],[Key(POD -PFI- Usine)]],'DATA Consignee'!A:J,10,FALSE)</f>
        <v>#N/A</v>
      </c>
      <c r="AR267" s="50" t="e">
        <f>VLOOKUP(Tableau119[[#This Row],[Key(POD -PFI- Usine)]],'DATA Consignee'!A:N,14,FALSE)</f>
        <v>#N/A</v>
      </c>
      <c r="AS26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7" s="50">
        <f>Tableau119[[#This Row],[Transit time]]+Tableau119[[#This Row],[Time for security]]+Tableau119[[#This Row],[Time for security2 buffer]]</f>
        <v>0</v>
      </c>
      <c r="AV2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7" s="50" t="e">
        <f>Tableau119[[#This Row],[Leadtime SI2C]]+Tableau119[[#This Row],[First Receipt Days]]-Tableau119[[#This Row],[Day Customer Order]]+1</f>
        <v>#N/A</v>
      </c>
      <c r="AX267" s="119" t="e">
        <f>IF(Tableau119[[#This Row],[Name ILN]]&lt;&gt;"SFK Freight Forwarder",Tableau119[[#This Row],[Cust. Leadtime]],Tableau119[[#This Row],[Leadtime SI2C]])</f>
        <v>#N/A</v>
      </c>
      <c r="AY267" s="51" t="b">
        <f>_xlfn.XLOOKUP(Tableau119[[#This Row],[Key(ID-date)]],'DATA BTO'!S:S,'DATA BTO'!P:P,FALSE)</f>
        <v>0</v>
      </c>
      <c r="AZ267" s="338">
        <v>45473</v>
      </c>
      <c r="BA267" s="50"/>
    </row>
    <row r="268" spans="2:53">
      <c r="B268" s="446" t="str">
        <f>_xlfn.CONCAT(Tableau119[[#This Row],[Name ILN]],"-",Tableau119[[#This Row],[Name Shipper]],"-",Tableau119[[#This Row],[Name Site]])</f>
        <v>ILN Delhi-ILN Delhi-CURITIBA CMO</v>
      </c>
      <c r="C268" s="66" t="str">
        <f>_xlfn.CONCAT(Tableau119[[#This Row],[Compte ILN]],"-",Tableau119[[#This Row],[Compte Shipper]],"-",Tableau119[[#This Row],[POL]],"-",Tableau119[[#This Row],[Compte Consignee]])</f>
        <v>2533780535-2533780535-FALSO-90018600</v>
      </c>
      <c r="D268" s="66" t="str">
        <f>_xlfn.CONCAT(Tableau119[[#This Row],[Compte ILN]],"-",Tableau119[[#This Row],[Compte Shipper]],"-",Tableau119[[#This Row],[POL]])</f>
        <v>2533780535-2533780535-FALSO</v>
      </c>
      <c r="E268" s="130" t="str">
        <f>_xlfn.CONCAT(Tableau119[[#This Row],[POL]],"-",Tableau119[[#This Row],[Carrier]],"-",Tableau119[[#This Row],[POD]])</f>
        <v>FALSO-FALSO-FALSO</v>
      </c>
      <c r="F268" s="66" t="str">
        <f>_xlfn.CONCAT(Tableau119[[#This Row],[ID]],"-","Actif")</f>
        <v>84-Actif</v>
      </c>
      <c r="G268" s="66" t="str">
        <f>_xlfn.CONCAT(Tableau119[[#This Row],[POD]],"-",Tableau119[[#This Row],[Code PFI]],"-",Tableau119[[#This Row],[Compte Consignee]])</f>
        <v>FALSO---90018600</v>
      </c>
      <c r="H2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CMO</v>
      </c>
      <c r="I268" s="434" t="str">
        <f>_xlfn.CONCAT(Tableau119[[#This Row],[ID]],"-",Tableau119[[#This Row],[Expiration Date]])</f>
        <v>84-45473</v>
      </c>
      <c r="J2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Delhi-ILN Delhi-84-FALSO-FALSO-FALSO--45473</v>
      </c>
      <c r="K268" s="119" t="str">
        <f ca="1">IF(COUNTIF(J:J,Tableau119[[#This Row],[Plant-ILN-shipper-POL-Carrier-POD-PFI]])=1,"Non","Oui")</f>
        <v>Non</v>
      </c>
      <c r="L268" s="128" t="str">
        <f>VLOOKUP(Tableau119[[#This Row],[Name Site]],Plant_AILN!A:D,4,FALSE)</f>
        <v>BRAZIL</v>
      </c>
      <c r="M268" s="411" t="s">
        <v>174</v>
      </c>
      <c r="N268" s="454">
        <f>VLOOKUP(Tableau119[[#This Row],[Name Site]],Plant_AILN!A:C,3,FALSE)</f>
        <v>90018600</v>
      </c>
      <c r="O268" s="55">
        <f>VLOOKUP(Tableau119[[#This Row],[Compte Consignee]],Order!C:D,2,FALSE)</f>
        <v>7</v>
      </c>
      <c r="P268" s="124" t="s">
        <v>284</v>
      </c>
      <c r="Q268" s="365">
        <f>VLOOKUP(Tableau119[[#This Row],[Name ILN]],Plant_AILN!F:G,2,FALSE)</f>
        <v>2533780535</v>
      </c>
      <c r="R268" s="50">
        <f>VLOOKUP(Tableau119[[#This Row],[Compte ILN]],'DATA ILN'!D:I,6,FALSE)</f>
        <v>9</v>
      </c>
      <c r="S268" s="50" t="e">
        <f>IFERROR(VLOOKUP(Tableau119[[#This Row],[Key(Compte ILN - shipper - POL - plant)]],'DATA ILN'!A:J,10,FALSE),VLOOKUP(Tableau119[[#This Row],[Key(Compte ILN - shipper - POL)]],'DATA ILN'!B:J,9,FALSE))</f>
        <v>#N/A</v>
      </c>
      <c r="T268" s="50" t="e">
        <f>IFERROR(VLOOKUP(Tableau119[[#This Row],[Key(Compte ILN - shipper - POL - plant)]],'DATA ILN'!A:K,11,FALSE),VLOOKUP(Tableau119[[#This Row],[Key(Compte ILN - shipper - POL)]],'DATA ILN'!B:K,10,FALSE))</f>
        <v>#N/A</v>
      </c>
      <c r="U268" s="50" t="e">
        <f>IFERROR(VLOOKUP(Tableau119[[#This Row],[Key(Compte ILN - shipper - POL - plant)]],'DATA ILN'!A:L,12,FALSE),VLOOKUP(Tableau119[[#This Row],[Key(Compte ILN - shipper - POL)]],'DATA ILN'!B:L,11,FALSE))</f>
        <v>#N/A</v>
      </c>
      <c r="V268" s="50" t="e">
        <f>Tableau119[[#This Row],[Day ILN Order]]+Tableau119[[#This Row],[Delivery time to ILN/Shipper]]-1</f>
        <v>#N/A</v>
      </c>
      <c r="W268" s="50" t="e">
        <f>IFERROR(VLOOKUP(Tableau119[[#This Row],[Key(Compte ILN - shipper - POL - plant)]],'DATA ILN'!A:N,14,FALSE),VLOOKUP(Tableau119[[#This Row],[Key(Compte ILN - shipper - POL)]],'DATA ILN'!B:N,13,FALSE))</f>
        <v>#N/A</v>
      </c>
      <c r="X268" s="50" t="e">
        <f>IFERROR(VLOOKUP(Tableau119[[#This Row],[Key(Compte ILN - shipper - POL - plant)]],'DATA ILN'!A:P,16,FALSE),VLOOKUP(Tableau119[[#This Row],[Key(Compte ILN - shipper - POL)]],'DATA ILN'!B:P,15,FALSE))</f>
        <v>#N/A</v>
      </c>
      <c r="Y268" s="284" t="s">
        <v>284</v>
      </c>
      <c r="Z268" s="430">
        <f>IFERROR(VLOOKUP(Tableau119[[#This Row],[Name Shipper]],Plant_AILN!L:M,2,FALSE),0)</f>
        <v>2533780535</v>
      </c>
      <c r="AA268" s="406">
        <v>84</v>
      </c>
      <c r="AB268" s="396" t="b">
        <f>_xlfn.XLOOKUP(Tableau119[[#This Row],[Key(ID-date)]],'DATA BTO'!S:S,'DATA BTO'!E:E,FALSE)</f>
        <v>0</v>
      </c>
      <c r="AC268" s="3" t="b">
        <f>_xlfn.XLOOKUP(Tableau119[[#This Row],[Key(ID-date)]],'DATA BTO'!S:S,'DATA BTO'!F:F,FALSE)</f>
        <v>0</v>
      </c>
      <c r="AD268" s="50" t="b">
        <f>_xlfn.XLOOKUP(Tableau119[[#This Row],[Key(ID-date)]],'DATA BTO'!S:S,'DATA BTO'!G:G,FALSE)</f>
        <v>0</v>
      </c>
      <c r="AE268" s="50" t="b">
        <f>_xlfn.XLOOKUP(Tableau119[[#This Row],[Key(ID-date)]],'DATA BTO'!S:S,'DATA BTO'!H:H,FALSE)</f>
        <v>0</v>
      </c>
      <c r="AF268" s="447" t="e">
        <f>IF(Tableau119[[#This Row],[First Day to POL]]&lt;=Tableau119[[#This Row],[Day Cut Off]],Tableau119[[#This Row],[Day ETD]],Tableau119[[#This Row],[Day ETD]]+7)</f>
        <v>#N/A</v>
      </c>
      <c r="AG268" s="50" t="b">
        <f>_xlfn.XLOOKUP(Tableau119[[#This Row],[Key(ID-date)]],'DATA BTO'!S:S,'DATA BTO'!I:I,FALSE)</f>
        <v>0</v>
      </c>
      <c r="AH268" s="3" t="b">
        <f>_xlfn.XLOOKUP(Tableau119[[#This Row],[Key(ID-date)]],'DATA BTO'!S:S,'DATA BTO'!J:J,FALSE)</f>
        <v>0</v>
      </c>
      <c r="AI268" s="3" t="b">
        <f>_xlfn.XLOOKUP(Tableau119[[#This Row],[Key(ID-date)]],'DATA BTO'!S:S,'DATA BTO'!K:K,FALSE)</f>
        <v>0</v>
      </c>
      <c r="AJ268" s="50" t="b">
        <f>_xlfn.XLOOKUP(Tableau119[[#This Row],[Key(ID-date)]],'DATA BTO'!S:S,'DATA BTO'!L:L,FALSE)</f>
        <v>0</v>
      </c>
      <c r="AK268" s="53" t="b">
        <f>_xlfn.XLOOKUP(Tableau119[[#This Row],[Key(ID-date)]],'DATA BTO'!S:S,'DATA BTO'!N:N,FALSE)</f>
        <v>0</v>
      </c>
      <c r="AL268" s="54" t="e">
        <f>VLOOKUP(Tableau119[[#This Row],[Key(POD -PFI- Usine)]],'DATA Consignee'!A:F,6,FALSE)</f>
        <v>#N/A</v>
      </c>
      <c r="AM268" s="284"/>
      <c r="AN268" s="376" t="str">
        <f>IF(Tableau119[[#This Row],[Name PFI/CDD]]="","-",VLOOKUP(Tableau119[[#This Row],[Name PFI/CDD]],Plant_AILN!I:J,2,FALSE))</f>
        <v>-</v>
      </c>
      <c r="AO2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8" s="2" t="e">
        <f>VLOOKUP(Tableau119[[#This Row],[Key(POD -PFI- Usine)]],'DATA Consignee'!A:J,10,FALSE)</f>
        <v>#N/A</v>
      </c>
      <c r="AR268" s="50" t="e">
        <f>VLOOKUP(Tableau119[[#This Row],[Key(POD -PFI- Usine)]],'DATA Consignee'!A:N,14,FALSE)</f>
        <v>#N/A</v>
      </c>
      <c r="AS2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8" s="50">
        <f>Tableau119[[#This Row],[Transit time]]+Tableau119[[#This Row],[Time for security]]+Tableau119[[#This Row],[Time for security2 buffer]]</f>
        <v>0</v>
      </c>
      <c r="AV2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8" s="50" t="e">
        <f>Tableau119[[#This Row],[Leadtime SI2C]]+Tableau119[[#This Row],[First Receipt Days]]-Tableau119[[#This Row],[Day Customer Order]]+1</f>
        <v>#N/A</v>
      </c>
      <c r="AX268" s="119" t="e">
        <f>IF(Tableau119[[#This Row],[Name ILN]]&lt;&gt;"SFK Freight Forwarder",Tableau119[[#This Row],[Cust. Leadtime]],Tableau119[[#This Row],[Leadtime SI2C]])</f>
        <v>#N/A</v>
      </c>
      <c r="AY268" s="51" t="b">
        <f>_xlfn.XLOOKUP(Tableau119[[#This Row],[Key(ID-date)]],'DATA BTO'!S:S,'DATA BTO'!P:P,FALSE)</f>
        <v>0</v>
      </c>
      <c r="AZ268" s="338">
        <v>45473</v>
      </c>
      <c r="BA268" s="50"/>
    </row>
    <row r="269" spans="2:53">
      <c r="B269" s="446" t="str">
        <f>_xlfn.CONCAT(Tableau119[[#This Row],[Name ILN]],"-",Tableau119[[#This Row],[Name Shipper]],"-",Tableau119[[#This Row],[Name Site]])</f>
        <v>ILN Delhi-ILN Delhi-Curitiba CVP</v>
      </c>
      <c r="C269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69" s="66" t="str">
        <f>_xlfn.CONCAT(Tableau119[[#This Row],[Compte ILN]],"-",Tableau119[[#This Row],[Compte Shipper]],"-",Tableau119[[#This Row],[POL]])</f>
        <v>2533780535-2533780535-FALSO</v>
      </c>
      <c r="E269" s="130" t="str">
        <f>_xlfn.CONCAT(Tableau119[[#This Row],[POL]],"-",Tableau119[[#This Row],[Carrier]],"-",Tableau119[[#This Row],[POD]])</f>
        <v>FALSO-FALSO-FALSO</v>
      </c>
      <c r="F269" s="66" t="str">
        <f>_xlfn.CONCAT(Tableau119[[#This Row],[ID]],"-","Actif")</f>
        <v>84-Actif</v>
      </c>
      <c r="G269" s="66" t="str">
        <f>_xlfn.CONCAT(Tableau119[[#This Row],[POD]],"-",Tableau119[[#This Row],[Code PFI]],"-",Tableau119[[#This Row],[Compte Consignee]])</f>
        <v>FALSO---90018000</v>
      </c>
      <c r="H2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CVP</v>
      </c>
      <c r="I269" s="434" t="str">
        <f>_xlfn.CONCAT(Tableau119[[#This Row],[ID]],"-",Tableau119[[#This Row],[Expiration Date]])</f>
        <v>84-45412</v>
      </c>
      <c r="J2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Delhi-ILN Delhi-84-FALSO-FALSO-FALSO--45412</v>
      </c>
      <c r="K269" s="119" t="str">
        <f ca="1">IF(COUNTIF(J:J,Tableau119[[#This Row],[Plant-ILN-shipper-POL-Carrier-POD-PFI]])=1,"Non","Oui")</f>
        <v>Non</v>
      </c>
      <c r="L269" s="128" t="str">
        <f>VLOOKUP(Tableau119[[#This Row],[Name Site]],Plant_AILN!A:D,4,FALSE)</f>
        <v>BRAZIL</v>
      </c>
      <c r="M269" s="411" t="s">
        <v>152</v>
      </c>
      <c r="N269" s="454">
        <f>VLOOKUP(Tableau119[[#This Row],[Name Site]],Plant_AILN!A:C,3,FALSE)</f>
        <v>90018000</v>
      </c>
      <c r="O269" s="55">
        <f>VLOOKUP(Tableau119[[#This Row],[Compte Consignee]],Order!C:D,2,FALSE)</f>
        <v>7</v>
      </c>
      <c r="P269" s="124" t="s">
        <v>284</v>
      </c>
      <c r="Q269" s="365">
        <f>VLOOKUP(Tableau119[[#This Row],[Name ILN]],Plant_AILN!F:G,2,FALSE)</f>
        <v>2533780535</v>
      </c>
      <c r="R269" s="50">
        <f>VLOOKUP(Tableau119[[#This Row],[Compte ILN]],'DATA ILN'!D:I,6,FALSE)</f>
        <v>9</v>
      </c>
      <c r="S269" s="50" t="e">
        <f>IFERROR(VLOOKUP(Tableau119[[#This Row],[Key(Compte ILN - shipper - POL - plant)]],'DATA ILN'!A:J,10,FALSE),VLOOKUP(Tableau119[[#This Row],[Key(Compte ILN - shipper - POL)]],'DATA ILN'!B:J,9,FALSE))</f>
        <v>#N/A</v>
      </c>
      <c r="T269" s="50" t="e">
        <f>IFERROR(VLOOKUP(Tableau119[[#This Row],[Key(Compte ILN - shipper - POL - plant)]],'DATA ILN'!A:K,11,FALSE),VLOOKUP(Tableau119[[#This Row],[Key(Compte ILN - shipper - POL)]],'DATA ILN'!B:K,10,FALSE))</f>
        <v>#N/A</v>
      </c>
      <c r="U269" s="50" t="e">
        <f>IFERROR(VLOOKUP(Tableau119[[#This Row],[Key(Compte ILN - shipper - POL - plant)]],'DATA ILN'!A:L,12,FALSE),VLOOKUP(Tableau119[[#This Row],[Key(Compte ILN - shipper - POL)]],'DATA ILN'!B:L,11,FALSE))</f>
        <v>#N/A</v>
      </c>
      <c r="V269" s="50" t="e">
        <f>Tableau119[[#This Row],[Day ILN Order]]+Tableau119[[#This Row],[Delivery time to ILN/Shipper]]-1</f>
        <v>#N/A</v>
      </c>
      <c r="W269" s="50" t="e">
        <f>IFERROR(VLOOKUP(Tableau119[[#This Row],[Key(Compte ILN - shipper - POL - plant)]],'DATA ILN'!A:N,14,FALSE),VLOOKUP(Tableau119[[#This Row],[Key(Compte ILN - shipper - POL)]],'DATA ILN'!B:N,13,FALSE))</f>
        <v>#N/A</v>
      </c>
      <c r="X269" s="50" t="e">
        <f>IFERROR(VLOOKUP(Tableau119[[#This Row],[Key(Compte ILN - shipper - POL - plant)]],'DATA ILN'!A:P,16,FALSE),VLOOKUP(Tableau119[[#This Row],[Key(Compte ILN - shipper - POL)]],'DATA ILN'!B:P,15,FALSE))</f>
        <v>#N/A</v>
      </c>
      <c r="Y269" s="284" t="s">
        <v>284</v>
      </c>
      <c r="Z269" s="430">
        <f>IFERROR(VLOOKUP(Tableau119[[#This Row],[Name Shipper]],Plant_AILN!L:M,2,FALSE),0)</f>
        <v>2533780535</v>
      </c>
      <c r="AA269" s="406">
        <v>84</v>
      </c>
      <c r="AB269" s="396" t="b">
        <f>_xlfn.XLOOKUP(Tableau119[[#This Row],[Key(ID-date)]],'DATA BTO'!S:S,'DATA BTO'!E:E,FALSE)</f>
        <v>0</v>
      </c>
      <c r="AC269" s="3" t="b">
        <f>_xlfn.XLOOKUP(Tableau119[[#This Row],[Key(ID-date)]],'DATA BTO'!S:S,'DATA BTO'!F:F,FALSE)</f>
        <v>0</v>
      </c>
      <c r="AD269" s="50" t="b">
        <f>_xlfn.XLOOKUP(Tableau119[[#This Row],[Key(ID-date)]],'DATA BTO'!S:S,'DATA BTO'!G:G,FALSE)</f>
        <v>0</v>
      </c>
      <c r="AE269" s="50" t="b">
        <f>_xlfn.XLOOKUP(Tableau119[[#This Row],[Key(ID-date)]],'DATA BTO'!S:S,'DATA BTO'!H:H,FALSE)</f>
        <v>0</v>
      </c>
      <c r="AF269" s="447" t="e">
        <f>IF(Tableau119[[#This Row],[First Day to POL]]&lt;=Tableau119[[#This Row],[Day Cut Off]],Tableau119[[#This Row],[Day ETD]],Tableau119[[#This Row],[Day ETD]]+7)</f>
        <v>#N/A</v>
      </c>
      <c r="AG269" s="50" t="b">
        <f>_xlfn.XLOOKUP(Tableau119[[#This Row],[Key(ID-date)]],'DATA BTO'!S:S,'DATA BTO'!I:I,FALSE)</f>
        <v>0</v>
      </c>
      <c r="AH269" s="3" t="b">
        <f>_xlfn.XLOOKUP(Tableau119[[#This Row],[Key(ID-date)]],'DATA BTO'!S:S,'DATA BTO'!J:J,FALSE)</f>
        <v>0</v>
      </c>
      <c r="AI269" s="3" t="b">
        <f>_xlfn.XLOOKUP(Tableau119[[#This Row],[Key(ID-date)]],'DATA BTO'!S:S,'DATA BTO'!K:K,FALSE)</f>
        <v>0</v>
      </c>
      <c r="AJ269" s="50" t="b">
        <f>_xlfn.XLOOKUP(Tableau119[[#This Row],[Key(ID-date)]],'DATA BTO'!S:S,'DATA BTO'!L:L,FALSE)</f>
        <v>0</v>
      </c>
      <c r="AK269" s="53" t="b">
        <f>_xlfn.XLOOKUP(Tableau119[[#This Row],[Key(ID-date)]],'DATA BTO'!S:S,'DATA BTO'!N:N,FALSE)</f>
        <v>0</v>
      </c>
      <c r="AL269" s="54" t="e">
        <f>VLOOKUP(Tableau119[[#This Row],[Key(POD -PFI- Usine)]],'DATA Consignee'!A:F,6,FALSE)</f>
        <v>#N/A</v>
      </c>
      <c r="AM269" s="284"/>
      <c r="AN269" s="376" t="str">
        <f>IF(Tableau119[[#This Row],[Name PFI/CDD]]="","-",VLOOKUP(Tableau119[[#This Row],[Name PFI/CDD]],Plant_AILN!I:J,2,FALSE))</f>
        <v>-</v>
      </c>
      <c r="AO2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69" s="2" t="e">
        <f>VLOOKUP(Tableau119[[#This Row],[Key(POD -PFI- Usine)]],'DATA Consignee'!A:J,10,FALSE)</f>
        <v>#N/A</v>
      </c>
      <c r="AR269" s="50" t="e">
        <f>VLOOKUP(Tableau119[[#This Row],[Key(POD -PFI- Usine)]],'DATA Consignee'!A:N,14,FALSE)</f>
        <v>#N/A</v>
      </c>
      <c r="AS2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69" s="50">
        <f>Tableau119[[#This Row],[Transit time]]+Tableau119[[#This Row],[Time for security]]+Tableau119[[#This Row],[Time for security2 buffer]]</f>
        <v>0</v>
      </c>
      <c r="AV2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69" s="50" t="e">
        <f>Tableau119[[#This Row],[Leadtime SI2C]]+Tableau119[[#This Row],[First Receipt Days]]-Tableau119[[#This Row],[Day Customer Order]]+1</f>
        <v>#N/A</v>
      </c>
      <c r="AX269" s="119" t="e">
        <f>IF(Tableau119[[#This Row],[Name ILN]]&lt;&gt;"SFK Freight Forwarder",Tableau119[[#This Row],[Cust. Leadtime]],Tableau119[[#This Row],[Leadtime SI2C]])</f>
        <v>#N/A</v>
      </c>
      <c r="AY269" s="51" t="b">
        <f>_xlfn.XLOOKUP(Tableau119[[#This Row],[Key(ID-date)]],'DATA BTO'!S:S,'DATA BTO'!P:P,FALSE)</f>
        <v>0</v>
      </c>
      <c r="AZ269" s="338">
        <v>45412</v>
      </c>
      <c r="BA269" s="50"/>
    </row>
    <row r="270" spans="2:53">
      <c r="B270" s="446" t="str">
        <f>_xlfn.CONCAT(Tableau119[[#This Row],[Name ILN]],"-",Tableau119[[#This Row],[Name Shipper]],"-",Tableau119[[#This Row],[Name Site]])</f>
        <v>ILN Delhi-ILN Delhi-CURITIBA CVU</v>
      </c>
      <c r="C270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70" s="66" t="str">
        <f>_xlfn.CONCAT(Tableau119[[#This Row],[Compte ILN]],"-",Tableau119[[#This Row],[Compte Shipper]],"-",Tableau119[[#This Row],[POL]])</f>
        <v>2533780535-2533780535-FALSO</v>
      </c>
      <c r="E270" s="130" t="str">
        <f>_xlfn.CONCAT(Tableau119[[#This Row],[POL]],"-",Tableau119[[#This Row],[Carrier]],"-",Tableau119[[#This Row],[POD]])</f>
        <v>FALSO-FALSO-FALSO</v>
      </c>
      <c r="F270" s="66" t="str">
        <f>_xlfn.CONCAT(Tableau119[[#This Row],[ID]],"-","Actif")</f>
        <v>84-Actif</v>
      </c>
      <c r="G270" s="66" t="str">
        <f>_xlfn.CONCAT(Tableau119[[#This Row],[POD]],"-",Tableau119[[#This Row],[Code PFI]],"-",Tableau119[[#This Row],[Compte Consignee]])</f>
        <v>FALSO---90018500</v>
      </c>
      <c r="H2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CVU</v>
      </c>
      <c r="I270" s="434" t="str">
        <f>_xlfn.CONCAT(Tableau119[[#This Row],[ID]],"-",Tableau119[[#This Row],[Expiration Date]])</f>
        <v>84-45412</v>
      </c>
      <c r="J2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Delhi-ILN Delhi-84-FALSO-FALSO-FALSO--45412</v>
      </c>
      <c r="K270" s="119" t="str">
        <f ca="1">IF(COUNTIF(J:J,Tableau119[[#This Row],[Plant-ILN-shipper-POL-Carrier-POD-PFI]])=1,"Non","Oui")</f>
        <v>Non</v>
      </c>
      <c r="L270" s="128" t="str">
        <f>VLOOKUP(Tableau119[[#This Row],[Name Site]],Plant_AILN!A:D,4,FALSE)</f>
        <v>BRAZIL</v>
      </c>
      <c r="M270" s="411" t="s">
        <v>206</v>
      </c>
      <c r="N270" s="454">
        <f>VLOOKUP(Tableau119[[#This Row],[Name Site]],Plant_AILN!A:C,3,FALSE)</f>
        <v>90018500</v>
      </c>
      <c r="O270" s="55">
        <f>VLOOKUP(Tableau119[[#This Row],[Compte Consignee]],Order!C:D,2,FALSE)</f>
        <v>7</v>
      </c>
      <c r="P270" s="124" t="s">
        <v>284</v>
      </c>
      <c r="Q270" s="365">
        <f>VLOOKUP(Tableau119[[#This Row],[Name ILN]],Plant_AILN!F:G,2,FALSE)</f>
        <v>2533780535</v>
      </c>
      <c r="R270" s="50">
        <f>VLOOKUP(Tableau119[[#This Row],[Compte ILN]],'DATA ILN'!D:I,6,FALSE)</f>
        <v>9</v>
      </c>
      <c r="S270" s="50" t="e">
        <f>IFERROR(VLOOKUP(Tableau119[[#This Row],[Key(Compte ILN - shipper - POL - plant)]],'DATA ILN'!A:J,10,FALSE),VLOOKUP(Tableau119[[#This Row],[Key(Compte ILN - shipper - POL)]],'DATA ILN'!B:J,9,FALSE))</f>
        <v>#N/A</v>
      </c>
      <c r="T270" s="50" t="e">
        <f>IFERROR(VLOOKUP(Tableau119[[#This Row],[Key(Compte ILN - shipper - POL - plant)]],'DATA ILN'!A:K,11,FALSE),VLOOKUP(Tableau119[[#This Row],[Key(Compte ILN - shipper - POL)]],'DATA ILN'!B:K,10,FALSE))</f>
        <v>#N/A</v>
      </c>
      <c r="U270" s="50" t="e">
        <f>IFERROR(VLOOKUP(Tableau119[[#This Row],[Key(Compte ILN - shipper - POL - plant)]],'DATA ILN'!A:L,12,FALSE),VLOOKUP(Tableau119[[#This Row],[Key(Compte ILN - shipper - POL)]],'DATA ILN'!B:L,11,FALSE))</f>
        <v>#N/A</v>
      </c>
      <c r="V270" s="50" t="e">
        <f>Tableau119[[#This Row],[Day ILN Order]]+Tableau119[[#This Row],[Delivery time to ILN/Shipper]]-1</f>
        <v>#N/A</v>
      </c>
      <c r="W270" s="50" t="e">
        <f>IFERROR(VLOOKUP(Tableau119[[#This Row],[Key(Compte ILN - shipper - POL - plant)]],'DATA ILN'!A:N,14,FALSE),VLOOKUP(Tableau119[[#This Row],[Key(Compte ILN - shipper - POL)]],'DATA ILN'!B:N,13,FALSE))</f>
        <v>#N/A</v>
      </c>
      <c r="X270" s="50" t="e">
        <f>IFERROR(VLOOKUP(Tableau119[[#This Row],[Key(Compte ILN - shipper - POL - plant)]],'DATA ILN'!A:P,16,FALSE),VLOOKUP(Tableau119[[#This Row],[Key(Compte ILN - shipper - POL)]],'DATA ILN'!B:P,15,FALSE))</f>
        <v>#N/A</v>
      </c>
      <c r="Y270" s="284" t="s">
        <v>284</v>
      </c>
      <c r="Z270" s="430">
        <f>IFERROR(VLOOKUP(Tableau119[[#This Row],[Name Shipper]],Plant_AILN!L:M,2,FALSE),0)</f>
        <v>2533780535</v>
      </c>
      <c r="AA270" s="406">
        <v>84</v>
      </c>
      <c r="AB270" s="396" t="b">
        <f>_xlfn.XLOOKUP(Tableau119[[#This Row],[Key(ID-date)]],'DATA BTO'!S:S,'DATA BTO'!E:E,FALSE)</f>
        <v>0</v>
      </c>
      <c r="AC270" s="3" t="b">
        <f>_xlfn.XLOOKUP(Tableau119[[#This Row],[Key(ID-date)]],'DATA BTO'!S:S,'DATA BTO'!F:F,FALSE)</f>
        <v>0</v>
      </c>
      <c r="AD270" s="50" t="b">
        <f>_xlfn.XLOOKUP(Tableau119[[#This Row],[Key(ID-date)]],'DATA BTO'!S:S,'DATA BTO'!G:G,FALSE)</f>
        <v>0</v>
      </c>
      <c r="AE270" s="50" t="b">
        <f>_xlfn.XLOOKUP(Tableau119[[#This Row],[Key(ID-date)]],'DATA BTO'!S:S,'DATA BTO'!H:H,FALSE)</f>
        <v>0</v>
      </c>
      <c r="AF270" s="447" t="e">
        <f>IF(Tableau119[[#This Row],[First Day to POL]]&lt;=Tableau119[[#This Row],[Day Cut Off]],Tableau119[[#This Row],[Day ETD]],Tableau119[[#This Row],[Day ETD]]+7)</f>
        <v>#N/A</v>
      </c>
      <c r="AG270" s="50" t="b">
        <f>_xlfn.XLOOKUP(Tableau119[[#This Row],[Key(ID-date)]],'DATA BTO'!S:S,'DATA BTO'!I:I,FALSE)</f>
        <v>0</v>
      </c>
      <c r="AH270" s="3" t="b">
        <f>_xlfn.XLOOKUP(Tableau119[[#This Row],[Key(ID-date)]],'DATA BTO'!S:S,'DATA BTO'!J:J,FALSE)</f>
        <v>0</v>
      </c>
      <c r="AI270" s="3" t="b">
        <f>_xlfn.XLOOKUP(Tableau119[[#This Row],[Key(ID-date)]],'DATA BTO'!S:S,'DATA BTO'!K:K,FALSE)</f>
        <v>0</v>
      </c>
      <c r="AJ270" s="50" t="b">
        <f>_xlfn.XLOOKUP(Tableau119[[#This Row],[Key(ID-date)]],'DATA BTO'!S:S,'DATA BTO'!L:L,FALSE)</f>
        <v>0</v>
      </c>
      <c r="AK270" s="53" t="b">
        <f>_xlfn.XLOOKUP(Tableau119[[#This Row],[Key(ID-date)]],'DATA BTO'!S:S,'DATA BTO'!N:N,FALSE)</f>
        <v>0</v>
      </c>
      <c r="AL270" s="54" t="e">
        <f>VLOOKUP(Tableau119[[#This Row],[Key(POD -PFI- Usine)]],'DATA Consignee'!A:F,6,FALSE)</f>
        <v>#N/A</v>
      </c>
      <c r="AM270" s="284"/>
      <c r="AN270" s="376" t="str">
        <f>IF(Tableau119[[#This Row],[Name PFI/CDD]]="","-",VLOOKUP(Tableau119[[#This Row],[Name PFI/CDD]],Plant_AILN!I:J,2,FALSE))</f>
        <v>-</v>
      </c>
      <c r="AO27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0" s="2" t="e">
        <f>VLOOKUP(Tableau119[[#This Row],[Key(POD -PFI- Usine)]],'DATA Consignee'!A:J,10,FALSE)</f>
        <v>#N/A</v>
      </c>
      <c r="AR270" s="50" t="e">
        <f>VLOOKUP(Tableau119[[#This Row],[Key(POD -PFI- Usine)]],'DATA Consignee'!A:N,14,FALSE)</f>
        <v>#N/A</v>
      </c>
      <c r="AS27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0" s="50">
        <f>Tableau119[[#This Row],[Transit time]]+Tableau119[[#This Row],[Time for security]]+Tableau119[[#This Row],[Time for security2 buffer]]</f>
        <v>0</v>
      </c>
      <c r="AV2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0" s="50" t="e">
        <f>Tableau119[[#This Row],[Leadtime SI2C]]+Tableau119[[#This Row],[First Receipt Days]]-Tableau119[[#This Row],[Day Customer Order]]+1</f>
        <v>#N/A</v>
      </c>
      <c r="AX270" s="119" t="e">
        <f>IF(Tableau119[[#This Row],[Name ILN]]&lt;&gt;"SFK Freight Forwarder",Tableau119[[#This Row],[Cust. Leadtime]],Tableau119[[#This Row],[Leadtime SI2C]])</f>
        <v>#N/A</v>
      </c>
      <c r="AY270" s="51" t="b">
        <f>_xlfn.XLOOKUP(Tableau119[[#This Row],[Key(ID-date)]],'DATA BTO'!S:S,'DATA BTO'!P:P,FALSE)</f>
        <v>0</v>
      </c>
      <c r="AZ270" s="338">
        <v>45412</v>
      </c>
      <c r="BA270" s="50"/>
    </row>
    <row r="271" spans="2:53">
      <c r="B271" s="446" t="str">
        <f>_xlfn.CONCAT(Tableau119[[#This Row],[Name ILN]],"-",Tableau119[[#This Row],[Name Shipper]],"-",Tableau119[[#This Row],[Name Site]])</f>
        <v>ILN Delhi-ILN Delhi-CURITIBA CMO</v>
      </c>
      <c r="C271" s="66" t="str">
        <f>_xlfn.CONCAT(Tableau119[[#This Row],[Compte ILN]],"-",Tableau119[[#This Row],[Compte Shipper]],"-",Tableau119[[#This Row],[POL]],"-",Tableau119[[#This Row],[Compte Consignee]])</f>
        <v>2533780535-2533780535-FALSO-90018600</v>
      </c>
      <c r="D271" s="66" t="str">
        <f>_xlfn.CONCAT(Tableau119[[#This Row],[Compte ILN]],"-",Tableau119[[#This Row],[Compte Shipper]],"-",Tableau119[[#This Row],[POL]])</f>
        <v>2533780535-2533780535-FALSO</v>
      </c>
      <c r="E271" s="130" t="str">
        <f>_xlfn.CONCAT(Tableau119[[#This Row],[POL]],"-",Tableau119[[#This Row],[Carrier]],"-",Tableau119[[#This Row],[POD]])</f>
        <v>FALSO-FALSO-FALSO</v>
      </c>
      <c r="F271" s="66" t="str">
        <f>_xlfn.CONCAT(Tableau119[[#This Row],[ID]],"-","Actif")</f>
        <v>84-Actif</v>
      </c>
      <c r="G271" s="66" t="str">
        <f>_xlfn.CONCAT(Tableau119[[#This Row],[POD]],"-",Tableau119[[#This Row],[Code PFI]],"-",Tableau119[[#This Row],[Compte Consignee]])</f>
        <v>FALSO---90018600</v>
      </c>
      <c r="H2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DelhiFALSOCURITIBA CMO</v>
      </c>
      <c r="I271" s="434" t="str">
        <f>_xlfn.CONCAT(Tableau119[[#This Row],[ID]],"-",Tableau119[[#This Row],[Expiration Date]])</f>
        <v>84-45412</v>
      </c>
      <c r="J2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Delhi-ILN Delhi-84-FALSO-FALSO-FALSO--45412</v>
      </c>
      <c r="K271" s="119" t="str">
        <f ca="1">IF(COUNTIF(J:J,Tableau119[[#This Row],[Plant-ILN-shipper-POL-Carrier-POD-PFI]])=1,"Non","Oui")</f>
        <v>Non</v>
      </c>
      <c r="L271" s="128" t="str">
        <f>VLOOKUP(Tableau119[[#This Row],[Name Site]],Plant_AILN!A:D,4,FALSE)</f>
        <v>BRAZIL</v>
      </c>
      <c r="M271" s="411" t="s">
        <v>174</v>
      </c>
      <c r="N271" s="454">
        <f>VLOOKUP(Tableau119[[#This Row],[Name Site]],Plant_AILN!A:C,3,FALSE)</f>
        <v>90018600</v>
      </c>
      <c r="O271" s="55">
        <f>VLOOKUP(Tableau119[[#This Row],[Compte Consignee]],Order!C:D,2,FALSE)</f>
        <v>7</v>
      </c>
      <c r="P271" s="124" t="s">
        <v>284</v>
      </c>
      <c r="Q271" s="365">
        <f>VLOOKUP(Tableau119[[#This Row],[Name ILN]],Plant_AILN!F:G,2,FALSE)</f>
        <v>2533780535</v>
      </c>
      <c r="R271" s="50">
        <f>VLOOKUP(Tableau119[[#This Row],[Compte ILN]],'DATA ILN'!D:I,6,FALSE)</f>
        <v>9</v>
      </c>
      <c r="S271" s="50" t="e">
        <f>IFERROR(VLOOKUP(Tableau119[[#This Row],[Key(Compte ILN - shipper - POL - plant)]],'DATA ILN'!A:J,10,FALSE),VLOOKUP(Tableau119[[#This Row],[Key(Compte ILN - shipper - POL)]],'DATA ILN'!B:J,9,FALSE))</f>
        <v>#N/A</v>
      </c>
      <c r="T271" s="50" t="e">
        <f>IFERROR(VLOOKUP(Tableau119[[#This Row],[Key(Compte ILN - shipper - POL - plant)]],'DATA ILN'!A:K,11,FALSE),VLOOKUP(Tableau119[[#This Row],[Key(Compte ILN - shipper - POL)]],'DATA ILN'!B:K,10,FALSE))</f>
        <v>#N/A</v>
      </c>
      <c r="U271" s="50" t="e">
        <f>IFERROR(VLOOKUP(Tableau119[[#This Row],[Key(Compte ILN - shipper - POL - plant)]],'DATA ILN'!A:L,12,FALSE),VLOOKUP(Tableau119[[#This Row],[Key(Compte ILN - shipper - POL)]],'DATA ILN'!B:L,11,FALSE))</f>
        <v>#N/A</v>
      </c>
      <c r="V271" s="50" t="e">
        <f>Tableau119[[#This Row],[Day ILN Order]]+Tableau119[[#This Row],[Delivery time to ILN/Shipper]]-1</f>
        <v>#N/A</v>
      </c>
      <c r="W271" s="50" t="e">
        <f>IFERROR(VLOOKUP(Tableau119[[#This Row],[Key(Compte ILN - shipper - POL - plant)]],'DATA ILN'!A:N,14,FALSE),VLOOKUP(Tableau119[[#This Row],[Key(Compte ILN - shipper - POL)]],'DATA ILN'!B:N,13,FALSE))</f>
        <v>#N/A</v>
      </c>
      <c r="X271" s="50" t="e">
        <f>IFERROR(VLOOKUP(Tableau119[[#This Row],[Key(Compte ILN - shipper - POL - plant)]],'DATA ILN'!A:P,16,FALSE),VLOOKUP(Tableau119[[#This Row],[Key(Compte ILN - shipper - POL)]],'DATA ILN'!B:P,15,FALSE))</f>
        <v>#N/A</v>
      </c>
      <c r="Y271" s="284" t="s">
        <v>284</v>
      </c>
      <c r="Z271" s="430">
        <f>IFERROR(VLOOKUP(Tableau119[[#This Row],[Name Shipper]],Plant_AILN!L:M,2,FALSE),0)</f>
        <v>2533780535</v>
      </c>
      <c r="AA271" s="406">
        <v>84</v>
      </c>
      <c r="AB271" s="396" t="b">
        <f>_xlfn.XLOOKUP(Tableau119[[#This Row],[Key(ID-date)]],'DATA BTO'!S:S,'DATA BTO'!E:E,FALSE)</f>
        <v>0</v>
      </c>
      <c r="AC271" s="3" t="b">
        <f>_xlfn.XLOOKUP(Tableau119[[#This Row],[Key(ID-date)]],'DATA BTO'!S:S,'DATA BTO'!F:F,FALSE)</f>
        <v>0</v>
      </c>
      <c r="AD271" s="50" t="b">
        <f>_xlfn.XLOOKUP(Tableau119[[#This Row],[Key(ID-date)]],'DATA BTO'!S:S,'DATA BTO'!G:G,FALSE)</f>
        <v>0</v>
      </c>
      <c r="AE271" s="50" t="b">
        <f>_xlfn.XLOOKUP(Tableau119[[#This Row],[Key(ID-date)]],'DATA BTO'!S:S,'DATA BTO'!H:H,FALSE)</f>
        <v>0</v>
      </c>
      <c r="AF271" s="447" t="e">
        <f>IF(Tableau119[[#This Row],[First Day to POL]]&lt;=Tableau119[[#This Row],[Day Cut Off]],Tableau119[[#This Row],[Day ETD]],Tableau119[[#This Row],[Day ETD]]+7)</f>
        <v>#N/A</v>
      </c>
      <c r="AG271" s="50" t="b">
        <f>_xlfn.XLOOKUP(Tableau119[[#This Row],[Key(ID-date)]],'DATA BTO'!S:S,'DATA BTO'!I:I,FALSE)</f>
        <v>0</v>
      </c>
      <c r="AH271" s="3" t="b">
        <f>_xlfn.XLOOKUP(Tableau119[[#This Row],[Key(ID-date)]],'DATA BTO'!S:S,'DATA BTO'!J:J,FALSE)</f>
        <v>0</v>
      </c>
      <c r="AI271" s="3" t="b">
        <f>_xlfn.XLOOKUP(Tableau119[[#This Row],[Key(ID-date)]],'DATA BTO'!S:S,'DATA BTO'!K:K,FALSE)</f>
        <v>0</v>
      </c>
      <c r="AJ271" s="50" t="b">
        <f>_xlfn.XLOOKUP(Tableau119[[#This Row],[Key(ID-date)]],'DATA BTO'!S:S,'DATA BTO'!L:L,FALSE)</f>
        <v>0</v>
      </c>
      <c r="AK271" s="53" t="b">
        <f>_xlfn.XLOOKUP(Tableau119[[#This Row],[Key(ID-date)]],'DATA BTO'!S:S,'DATA BTO'!N:N,FALSE)</f>
        <v>0</v>
      </c>
      <c r="AL271" s="54" t="e">
        <f>VLOOKUP(Tableau119[[#This Row],[Key(POD -PFI- Usine)]],'DATA Consignee'!A:F,6,FALSE)</f>
        <v>#N/A</v>
      </c>
      <c r="AM271" s="284"/>
      <c r="AN271" s="376" t="str">
        <f>IF(Tableau119[[#This Row],[Name PFI/CDD]]="","-",VLOOKUP(Tableau119[[#This Row],[Name PFI/CDD]],Plant_AILN!I:J,2,FALSE))</f>
        <v>-</v>
      </c>
      <c r="AO2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1" s="2" t="e">
        <f>VLOOKUP(Tableau119[[#This Row],[Key(POD -PFI- Usine)]],'DATA Consignee'!A:J,10,FALSE)</f>
        <v>#N/A</v>
      </c>
      <c r="AR271" s="50" t="e">
        <f>VLOOKUP(Tableau119[[#This Row],[Key(POD -PFI- Usine)]],'DATA Consignee'!A:N,14,FALSE)</f>
        <v>#N/A</v>
      </c>
      <c r="AS2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1" s="50">
        <f>Tableau119[[#This Row],[Transit time]]+Tableau119[[#This Row],[Time for security]]+Tableau119[[#This Row],[Time for security2 buffer]]</f>
        <v>0</v>
      </c>
      <c r="AV2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1" s="50" t="e">
        <f>Tableau119[[#This Row],[Leadtime SI2C]]+Tableau119[[#This Row],[First Receipt Days]]-Tableau119[[#This Row],[Day Customer Order]]+1</f>
        <v>#N/A</v>
      </c>
      <c r="AX271" s="119" t="e">
        <f>IF(Tableau119[[#This Row],[Name ILN]]&lt;&gt;"SFK Freight Forwarder",Tableau119[[#This Row],[Cust. Leadtime]],Tableau119[[#This Row],[Leadtime SI2C]])</f>
        <v>#N/A</v>
      </c>
      <c r="AY271" s="51" t="b">
        <f>_xlfn.XLOOKUP(Tableau119[[#This Row],[Key(ID-date)]],'DATA BTO'!S:S,'DATA BTO'!P:P,FALSE)</f>
        <v>0</v>
      </c>
      <c r="AZ271" s="338">
        <v>45412</v>
      </c>
      <c r="BA271" s="50"/>
    </row>
    <row r="272" spans="2:53">
      <c r="B272" s="66" t="str">
        <f>_xlfn.CONCAT(Tableau119[[#This Row],[Name ILN]],"-",Tableau119[[#This Row],[Name Shipper]],"-",Tableau119[[#This Row],[Name Site]])</f>
        <v>ILN Pune-ILN Pune-Curitiba CVP</v>
      </c>
      <c r="C272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72" s="66" t="str">
        <f>_xlfn.CONCAT(Tableau119[[#This Row],[Compte ILN]],"-",Tableau119[[#This Row],[Compte Shipper]],"-",Tableau119[[#This Row],[POL]])</f>
        <v>2533780535-2533780535-FALSO</v>
      </c>
      <c r="E272" s="130" t="str">
        <f>_xlfn.CONCAT(Tableau119[[#This Row],[POL]],"-",Tableau119[[#This Row],[Carrier]],"-",Tableau119[[#This Row],[POD]])</f>
        <v>FALSO-FALSO-FALSO</v>
      </c>
      <c r="F272" s="66" t="str">
        <f>_xlfn.CONCAT(Tableau119[[#This Row],[ID]],"-","Actif")</f>
        <v>86-Actif</v>
      </c>
      <c r="G272" s="66" t="str">
        <f>_xlfn.CONCAT(Tableau119[[#This Row],[POD]],"-",Tableau119[[#This Row],[Code PFI]],"-",Tableau119[[#This Row],[Compte Consignee]])</f>
        <v>FALSO---90018000</v>
      </c>
      <c r="H2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CVP</v>
      </c>
      <c r="I272" s="434" t="str">
        <f>_xlfn.CONCAT(Tableau119[[#This Row],[ID]],"-",Tableau119[[#This Row],[Expiration Date]])</f>
        <v>86-46142</v>
      </c>
      <c r="J2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Pune-ILN Pune-86-FALSO-FALSO-FALSO--46142</v>
      </c>
      <c r="K272" s="119" t="str">
        <f ca="1">IF(COUNTIF(J:J,Tableau119[[#This Row],[Plant-ILN-shipper-POL-Carrier-POD-PFI]])=1,"Non","Oui")</f>
        <v>Non</v>
      </c>
      <c r="L272" s="440" t="str">
        <f>VLOOKUP(Tableau119[[#This Row],[Name Site]],Plant_AILN!A:D,4,FALSE)</f>
        <v>BRAZIL</v>
      </c>
      <c r="M272" s="10" t="s">
        <v>152</v>
      </c>
      <c r="N272" s="454">
        <f>VLOOKUP(Tableau119[[#This Row],[Name Site]],Plant_AILN!A:C,3,FALSE)</f>
        <v>90018000</v>
      </c>
      <c r="O272" s="55">
        <f>IF(Tableau119[[#This Row],[Name PFI/CDD]]="PFI VLL",2,VLOOKUP(Tableau119[[#This Row],[Compte Consignee]],Order!C:D,2,FALSE))</f>
        <v>7</v>
      </c>
      <c r="P272" s="124" t="s">
        <v>150</v>
      </c>
      <c r="Q272" s="365">
        <f>VLOOKUP(Tableau119[[#This Row],[Name ILN]],Plant_AILN!F:G,2,FALSE)</f>
        <v>2533780535</v>
      </c>
      <c r="R272" s="50">
        <f>VLOOKUP(Tableau119[[#This Row],[Compte ILN]],'DATA ILN'!D:I,6,FALSE)</f>
        <v>9</v>
      </c>
      <c r="S272" s="50" t="e">
        <f>IFERROR(VLOOKUP(Tableau119[[#This Row],[Key(Compte ILN - shipper - POL - plant)]],'DATA ILN'!A:J,10,FALSE),VLOOKUP(Tableau119[[#This Row],[Key(Compte ILN - shipper - POL)]],'DATA ILN'!B:J,9,FALSE))</f>
        <v>#N/A</v>
      </c>
      <c r="T272" s="50" t="e">
        <f>IFERROR(VLOOKUP(Tableau119[[#This Row],[Key(Compte ILN - shipper - POL - plant)]],'DATA ILN'!A:K,11,FALSE),VLOOKUP(Tableau119[[#This Row],[Key(Compte ILN - shipper - POL)]],'DATA ILN'!B:K,10,FALSE))</f>
        <v>#N/A</v>
      </c>
      <c r="U272" s="50" t="e">
        <f>IFERROR(VLOOKUP(Tableau119[[#This Row],[Key(Compte ILN - shipper - POL - plant)]],'DATA ILN'!A:L,12,FALSE),VLOOKUP(Tableau119[[#This Row],[Key(Compte ILN - shipper - POL)]],'DATA ILN'!B:L,11,FALSE))</f>
        <v>#N/A</v>
      </c>
      <c r="V272" s="50" t="e">
        <f>Tableau119[[#This Row],[Day ILN Order]]+Tableau119[[#This Row],[Delivery time to ILN/Shipper]]-1</f>
        <v>#N/A</v>
      </c>
      <c r="W272" s="50" t="e">
        <f>IFERROR(VLOOKUP(Tableau119[[#This Row],[Key(Compte ILN - shipper - POL - plant)]],'DATA ILN'!A:N,14,FALSE),VLOOKUP(Tableau119[[#This Row],[Key(Compte ILN - shipper - POL)]],'DATA ILN'!B:N,13,FALSE))</f>
        <v>#N/A</v>
      </c>
      <c r="X272" s="50" t="e">
        <f>IFERROR(VLOOKUP(Tableau119[[#This Row],[Key(Compte ILN - shipper - POL - plant)]],'DATA ILN'!A:P,16,FALSE),VLOOKUP(Tableau119[[#This Row],[Key(Compte ILN - shipper - POL)]],'DATA ILN'!B:P,15,FALSE))</f>
        <v>#N/A</v>
      </c>
      <c r="Y272" s="284" t="s">
        <v>150</v>
      </c>
      <c r="Z272" s="430">
        <f>IFERROR(VLOOKUP(Tableau119[[#This Row],[Name Shipper]],Plant_AILN!L:M,2,FALSE),0)</f>
        <v>2533780535</v>
      </c>
      <c r="AA272" s="406">
        <v>86</v>
      </c>
      <c r="AB272" s="396" t="b">
        <f>_xlfn.XLOOKUP(Tableau119[[#This Row],[Key(ID-date)]],'DATA BTO'!S:S,'DATA BTO'!E:E,FALSE)</f>
        <v>0</v>
      </c>
      <c r="AC272" s="3" t="b">
        <f>_xlfn.XLOOKUP(Tableau119[[#This Row],[Key(ID-date)]],'DATA BTO'!S:S,'DATA BTO'!F:F,FALSE)</f>
        <v>0</v>
      </c>
      <c r="AD272" s="50" t="b">
        <f>_xlfn.XLOOKUP(Tableau119[[#This Row],[Key(ID-date)]],'DATA BTO'!S:S,'DATA BTO'!G:G,FALSE)</f>
        <v>0</v>
      </c>
      <c r="AE272" s="50" t="b">
        <f>_xlfn.XLOOKUP(Tableau119[[#This Row],[Key(ID-date)]],'DATA BTO'!S:S,'DATA BTO'!H:H,FALSE)</f>
        <v>0</v>
      </c>
      <c r="AF272" s="447" t="e">
        <f>IF(Tableau119[[#This Row],[First Day to POL]]&lt;=Tableau119[[#This Row],[Day Cut Off]],Tableau119[[#This Row],[Day ETD]],Tableau119[[#This Row],[Day ETD]]+7)</f>
        <v>#N/A</v>
      </c>
      <c r="AG272" s="50" t="b">
        <f>_xlfn.XLOOKUP(Tableau119[[#This Row],[Key(ID-date)]],'DATA BTO'!S:S,'DATA BTO'!I:I,FALSE)</f>
        <v>0</v>
      </c>
      <c r="AH272" s="3" t="b">
        <f>_xlfn.XLOOKUP(Tableau119[[#This Row],[Key(ID-date)]],'DATA BTO'!S:S,'DATA BTO'!J:J,FALSE)</f>
        <v>0</v>
      </c>
      <c r="AI272" s="3" t="b">
        <f>_xlfn.XLOOKUP(Tableau119[[#This Row],[Key(ID-date)]],'DATA BTO'!S:S,'DATA BTO'!K:K,FALSE)</f>
        <v>0</v>
      </c>
      <c r="AJ272" s="50" t="b">
        <f>_xlfn.XLOOKUP(Tableau119[[#This Row],[Key(ID-date)]],'DATA BTO'!S:S,'DATA BTO'!L:L,FALSE)</f>
        <v>0</v>
      </c>
      <c r="AK272" s="53" t="b">
        <f>_xlfn.XLOOKUP(Tableau119[[#This Row],[Key(ID-date)]],'DATA BTO'!S:S,'DATA BTO'!N:N,FALSE)</f>
        <v>0</v>
      </c>
      <c r="AL272" s="54" t="e">
        <f>VLOOKUP(Tableau119[[#This Row],[Key(POD -PFI- Usine)]],'DATA Consignee'!A:F,6,FALSE)</f>
        <v>#N/A</v>
      </c>
      <c r="AM272" s="284"/>
      <c r="AN272" s="376" t="str">
        <f>IF(Tableau119[[#This Row],[Name PFI/CDD]]="","-",VLOOKUP(Tableau119[[#This Row],[Name PFI/CDD]],Plant_AILN!I:J,2,FALSE))</f>
        <v>-</v>
      </c>
      <c r="AO2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2" s="2" t="e">
        <f>VLOOKUP(Tableau119[[#This Row],[Key(POD -PFI- Usine)]],'DATA Consignee'!A:J,10,FALSE)</f>
        <v>#N/A</v>
      </c>
      <c r="AR272" s="50" t="e">
        <f>VLOOKUP(Tableau119[[#This Row],[Key(POD -PFI- Usine)]],'DATA Consignee'!A:N,14,FALSE)</f>
        <v>#N/A</v>
      </c>
      <c r="AS2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2" s="50">
        <f>Tableau119[[#This Row],[Transit time]]+Tableau119[[#This Row],[Time for security]]+Tableau119[[#This Row],[Time for security2 buffer]]</f>
        <v>0</v>
      </c>
      <c r="AV2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2" s="50" t="e">
        <f>Tableau119[[#This Row],[Leadtime SI2C]]+Tableau119[[#This Row],[First Receipt Days]]-Tableau119[[#This Row],[Day Customer Order]]+1</f>
        <v>#N/A</v>
      </c>
      <c r="AX272" s="119" t="e">
        <f>IF(Tableau119[[#This Row],[Name ILN]]&lt;&gt;"SFK Freight Forwarder",Tableau119[[#This Row],[Cust. Leadtime]],Tableau119[[#This Row],[Leadtime SI2C]])</f>
        <v>#N/A</v>
      </c>
      <c r="AY272" s="51" t="b">
        <f>_xlfn.XLOOKUP(Tableau119[[#This Row],[Key(ID-date)]],'DATA BTO'!S:S,'DATA BTO'!P:P,FALSE)</f>
        <v>0</v>
      </c>
      <c r="AZ272" s="338">
        <v>46142</v>
      </c>
      <c r="BA272" s="50"/>
    </row>
    <row r="273" spans="2:53">
      <c r="B273" s="66" t="str">
        <f>_xlfn.CONCAT(Tableau119[[#This Row],[Name ILN]],"-",Tableau119[[#This Row],[Name Shipper]],"-",Tableau119[[#This Row],[Name Site]])</f>
        <v>ILN Pune-ILN Pune-Curitiba CVU</v>
      </c>
      <c r="C273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73" s="66" t="str">
        <f>_xlfn.CONCAT(Tableau119[[#This Row],[Compte ILN]],"-",Tableau119[[#This Row],[Compte Shipper]],"-",Tableau119[[#This Row],[POL]])</f>
        <v>2533780535-2533780535-FALSO</v>
      </c>
      <c r="E273" s="130" t="str">
        <f>_xlfn.CONCAT(Tableau119[[#This Row],[POL]],"-",Tableau119[[#This Row],[Carrier]],"-",Tableau119[[#This Row],[POD]])</f>
        <v>FALSO-FALSO-FALSO</v>
      </c>
      <c r="F273" s="66" t="str">
        <f>_xlfn.CONCAT(Tableau119[[#This Row],[ID]],"-","Actif")</f>
        <v>86-Actif</v>
      </c>
      <c r="G273" s="66" t="str">
        <f>_xlfn.CONCAT(Tableau119[[#This Row],[POD]],"-",Tableau119[[#This Row],[Code PFI]],"-",Tableau119[[#This Row],[Compte Consignee]])</f>
        <v>FALSO---90018500</v>
      </c>
      <c r="H2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CVU</v>
      </c>
      <c r="I273" s="434" t="str">
        <f>_xlfn.CONCAT(Tableau119[[#This Row],[ID]],"-",Tableau119[[#This Row],[Expiration Date]])</f>
        <v>86-46142</v>
      </c>
      <c r="J2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Pune-ILN Pune-86-FALSO-FALSO-FALSO--46142</v>
      </c>
      <c r="K273" s="119" t="str">
        <f ca="1">IF(COUNTIF(J:J,Tableau119[[#This Row],[Plant-ILN-shipper-POL-Carrier-POD-PFI]])=1,"Non","Oui")</f>
        <v>Non</v>
      </c>
      <c r="L273" s="440" t="str">
        <f>VLOOKUP(Tableau119[[#This Row],[Name Site]],Plant_AILN!A:D,4,FALSE)</f>
        <v>BRAZIL</v>
      </c>
      <c r="M273" s="10" t="s">
        <v>639</v>
      </c>
      <c r="N273" s="454">
        <f>VLOOKUP(Tableau119[[#This Row],[Name Site]],Plant_AILN!A:C,3,FALSE)</f>
        <v>90018500</v>
      </c>
      <c r="O273" s="55">
        <f>IF(Tableau119[[#This Row],[Name PFI/CDD]]="PFI VLL",2,VLOOKUP(Tableau119[[#This Row],[Compte Consignee]],Order!C:D,2,FALSE))</f>
        <v>7</v>
      </c>
      <c r="P273" s="124" t="s">
        <v>150</v>
      </c>
      <c r="Q273" s="365">
        <f>VLOOKUP(Tableau119[[#This Row],[Name ILN]],Plant_AILN!F:G,2,FALSE)</f>
        <v>2533780535</v>
      </c>
      <c r="R273" s="50">
        <f>VLOOKUP(Tableau119[[#This Row],[Compte ILN]],'DATA ILN'!D:I,6,FALSE)</f>
        <v>9</v>
      </c>
      <c r="S273" s="50" t="e">
        <f>IFERROR(VLOOKUP(Tableau119[[#This Row],[Key(Compte ILN - shipper - POL - plant)]],'DATA ILN'!A:J,10,FALSE),VLOOKUP(Tableau119[[#This Row],[Key(Compte ILN - shipper - POL)]],'DATA ILN'!B:J,9,FALSE))</f>
        <v>#N/A</v>
      </c>
      <c r="T273" s="50" t="e">
        <f>IFERROR(VLOOKUP(Tableau119[[#This Row],[Key(Compte ILN - shipper - POL - plant)]],'DATA ILN'!A:K,11,FALSE),VLOOKUP(Tableau119[[#This Row],[Key(Compte ILN - shipper - POL)]],'DATA ILN'!B:K,10,FALSE))</f>
        <v>#N/A</v>
      </c>
      <c r="U273" s="50" t="e">
        <f>IFERROR(VLOOKUP(Tableau119[[#This Row],[Key(Compte ILN - shipper - POL - plant)]],'DATA ILN'!A:L,12,FALSE),VLOOKUP(Tableau119[[#This Row],[Key(Compte ILN - shipper - POL)]],'DATA ILN'!B:L,11,FALSE))</f>
        <v>#N/A</v>
      </c>
      <c r="V273" s="50" t="e">
        <f>Tableau119[[#This Row],[Day ILN Order]]+Tableau119[[#This Row],[Delivery time to ILN/Shipper]]-1</f>
        <v>#N/A</v>
      </c>
      <c r="W273" s="50" t="e">
        <f>IFERROR(VLOOKUP(Tableau119[[#This Row],[Key(Compte ILN - shipper - POL - plant)]],'DATA ILN'!A:N,14,FALSE),VLOOKUP(Tableau119[[#This Row],[Key(Compte ILN - shipper - POL)]],'DATA ILN'!B:N,13,FALSE))</f>
        <v>#N/A</v>
      </c>
      <c r="X273" s="50" t="e">
        <f>IFERROR(VLOOKUP(Tableau119[[#This Row],[Key(Compte ILN - shipper - POL - plant)]],'DATA ILN'!A:P,16,FALSE),VLOOKUP(Tableau119[[#This Row],[Key(Compte ILN - shipper - POL)]],'DATA ILN'!B:P,15,FALSE))</f>
        <v>#N/A</v>
      </c>
      <c r="Y273" s="284" t="s">
        <v>150</v>
      </c>
      <c r="Z273" s="430">
        <f>IFERROR(VLOOKUP(Tableau119[[#This Row],[Name Shipper]],Plant_AILN!L:M,2,FALSE),0)</f>
        <v>2533780535</v>
      </c>
      <c r="AA273" s="406">
        <v>86</v>
      </c>
      <c r="AB273" s="396" t="b">
        <f>_xlfn.XLOOKUP(Tableau119[[#This Row],[Key(ID-date)]],'DATA BTO'!S:S,'DATA BTO'!E:E,FALSE)</f>
        <v>0</v>
      </c>
      <c r="AC273" s="3" t="b">
        <f>_xlfn.XLOOKUP(Tableau119[[#This Row],[Key(ID-date)]],'DATA BTO'!S:S,'DATA BTO'!F:F,FALSE)</f>
        <v>0</v>
      </c>
      <c r="AD273" s="50" t="b">
        <f>_xlfn.XLOOKUP(Tableau119[[#This Row],[Key(ID-date)]],'DATA BTO'!S:S,'DATA BTO'!G:G,FALSE)</f>
        <v>0</v>
      </c>
      <c r="AE273" s="50" t="b">
        <f>_xlfn.XLOOKUP(Tableau119[[#This Row],[Key(ID-date)]],'DATA BTO'!S:S,'DATA BTO'!H:H,FALSE)</f>
        <v>0</v>
      </c>
      <c r="AF273" s="447" t="e">
        <f>IF(Tableau119[[#This Row],[First Day to POL]]&lt;=Tableau119[[#This Row],[Day Cut Off]],Tableau119[[#This Row],[Day ETD]],Tableau119[[#This Row],[Day ETD]]+7)</f>
        <v>#N/A</v>
      </c>
      <c r="AG273" s="50" t="b">
        <f>_xlfn.XLOOKUP(Tableau119[[#This Row],[Key(ID-date)]],'DATA BTO'!S:S,'DATA BTO'!I:I,FALSE)</f>
        <v>0</v>
      </c>
      <c r="AH273" s="3" t="b">
        <f>_xlfn.XLOOKUP(Tableau119[[#This Row],[Key(ID-date)]],'DATA BTO'!S:S,'DATA BTO'!J:J,FALSE)</f>
        <v>0</v>
      </c>
      <c r="AI273" s="3" t="b">
        <f>_xlfn.XLOOKUP(Tableau119[[#This Row],[Key(ID-date)]],'DATA BTO'!S:S,'DATA BTO'!K:K,FALSE)</f>
        <v>0</v>
      </c>
      <c r="AJ273" s="50" t="b">
        <f>_xlfn.XLOOKUP(Tableau119[[#This Row],[Key(ID-date)]],'DATA BTO'!S:S,'DATA BTO'!L:L,FALSE)</f>
        <v>0</v>
      </c>
      <c r="AK273" s="53" t="b">
        <f>_xlfn.XLOOKUP(Tableau119[[#This Row],[Key(ID-date)]],'DATA BTO'!S:S,'DATA BTO'!N:N,FALSE)</f>
        <v>0</v>
      </c>
      <c r="AL273" s="54" t="e">
        <f>VLOOKUP(Tableau119[[#This Row],[Key(POD -PFI- Usine)]],'DATA Consignee'!A:F,6,FALSE)</f>
        <v>#N/A</v>
      </c>
      <c r="AM273" s="284"/>
      <c r="AN273" s="376" t="str">
        <f>IF(Tableau119[[#This Row],[Name PFI/CDD]]="","-",VLOOKUP(Tableau119[[#This Row],[Name PFI/CDD]],Plant_AILN!I:J,2,FALSE))</f>
        <v>-</v>
      </c>
      <c r="AO2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3" s="2" t="e">
        <f>VLOOKUP(Tableau119[[#This Row],[Key(POD -PFI- Usine)]],'DATA Consignee'!A:J,10,FALSE)</f>
        <v>#N/A</v>
      </c>
      <c r="AR273" s="50" t="e">
        <f>VLOOKUP(Tableau119[[#This Row],[Key(POD -PFI- Usine)]],'DATA Consignee'!A:N,14,FALSE)</f>
        <v>#N/A</v>
      </c>
      <c r="AS2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3" s="50">
        <f>Tableau119[[#This Row],[Transit time]]+Tableau119[[#This Row],[Time for security]]+Tableau119[[#This Row],[Time for security2 buffer]]</f>
        <v>0</v>
      </c>
      <c r="AV2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3" s="50" t="e">
        <f>Tableau119[[#This Row],[Leadtime SI2C]]+Tableau119[[#This Row],[First Receipt Days]]-Tableau119[[#This Row],[Day Customer Order]]+1</f>
        <v>#N/A</v>
      </c>
      <c r="AX273" s="119" t="e">
        <f>IF(Tableau119[[#This Row],[Name ILN]]&lt;&gt;"SFK Freight Forwarder",Tableau119[[#This Row],[Cust. Leadtime]],Tableau119[[#This Row],[Leadtime SI2C]])</f>
        <v>#N/A</v>
      </c>
      <c r="AY273" s="51" t="b">
        <f>_xlfn.XLOOKUP(Tableau119[[#This Row],[Key(ID-date)]],'DATA BTO'!S:S,'DATA BTO'!P:P,FALSE)</f>
        <v>0</v>
      </c>
      <c r="AZ273" s="338">
        <v>46142</v>
      </c>
      <c r="BA273" s="50"/>
    </row>
    <row r="274" spans="2:53">
      <c r="B274" s="446" t="str">
        <f>_xlfn.CONCAT(Tableau119[[#This Row],[Name ILN]],"-",Tableau119[[#This Row],[Name Shipper]],"-",Tableau119[[#This Row],[Name Site]])</f>
        <v>ILN Pune-ILN Pune-Curitiba CVP</v>
      </c>
      <c r="C274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74" s="66" t="str">
        <f>_xlfn.CONCAT(Tableau119[[#This Row],[Compte ILN]],"-",Tableau119[[#This Row],[Compte Shipper]],"-",Tableau119[[#This Row],[POL]])</f>
        <v>2533780535-2533780535-FALSO</v>
      </c>
      <c r="E274" s="130" t="str">
        <f>_xlfn.CONCAT(Tableau119[[#This Row],[POL]],"-",Tableau119[[#This Row],[Carrier]],"-",Tableau119[[#This Row],[POD]])</f>
        <v>FALSO-FALSO-FALSO</v>
      </c>
      <c r="F274" s="66" t="str">
        <f>_xlfn.CONCAT(Tableau119[[#This Row],[ID]],"-","Actif")</f>
        <v>86-Actif</v>
      </c>
      <c r="G274" s="66" t="str">
        <f>_xlfn.CONCAT(Tableau119[[#This Row],[POD]],"-",Tableau119[[#This Row],[Code PFI]],"-",Tableau119[[#This Row],[Compte Consignee]])</f>
        <v>FALSO---90018000</v>
      </c>
      <c r="H2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CVP</v>
      </c>
      <c r="I274" s="434" t="str">
        <f>_xlfn.CONCAT(Tableau119[[#This Row],[ID]],"-",Tableau119[[#This Row],[Expiration Date]])</f>
        <v>86-45991</v>
      </c>
      <c r="J2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Pune-ILN Pune-86-FALSO-FALSO-FALSO--45991</v>
      </c>
      <c r="K274" s="119" t="str">
        <f ca="1">IF(COUNTIF(J:J,Tableau119[[#This Row],[Plant-ILN-shipper-POL-Carrier-POD-PFI]])=1,"Non","Oui")</f>
        <v>Non</v>
      </c>
      <c r="L274" s="128" t="str">
        <f>VLOOKUP(Tableau119[[#This Row],[Name Site]],Plant_AILN!A:D,4,FALSE)</f>
        <v>BRAZIL</v>
      </c>
      <c r="M274" s="411" t="s">
        <v>152</v>
      </c>
      <c r="N274" s="454">
        <f>VLOOKUP(Tableau119[[#This Row],[Name Site]],Plant_AILN!A:C,3,FALSE)</f>
        <v>90018000</v>
      </c>
      <c r="O274" s="55">
        <f>VLOOKUP(Tableau119[[#This Row],[Compte Consignee]],Order!C:D,2,FALSE)</f>
        <v>7</v>
      </c>
      <c r="P274" s="124" t="s">
        <v>150</v>
      </c>
      <c r="Q274" s="365">
        <f>VLOOKUP(Tableau119[[#This Row],[Name ILN]],Plant_AILN!F:G,2,FALSE)</f>
        <v>2533780535</v>
      </c>
      <c r="R274" s="50">
        <f>VLOOKUP(Tableau119[[#This Row],[Compte ILN]],'DATA ILN'!D:I,6,FALSE)</f>
        <v>9</v>
      </c>
      <c r="S274" s="50" t="e">
        <f>IFERROR(VLOOKUP(Tableau119[[#This Row],[Key(Compte ILN - shipper - POL - plant)]],'DATA ILN'!A:J,10,FALSE),VLOOKUP(Tableau119[[#This Row],[Key(Compte ILN - shipper - POL)]],'DATA ILN'!B:J,9,FALSE))</f>
        <v>#N/A</v>
      </c>
      <c r="T274" s="50" t="e">
        <f>IFERROR(VLOOKUP(Tableau119[[#This Row],[Key(Compte ILN - shipper - POL - plant)]],'DATA ILN'!A:K,11,FALSE),VLOOKUP(Tableau119[[#This Row],[Key(Compte ILN - shipper - POL)]],'DATA ILN'!B:K,10,FALSE))</f>
        <v>#N/A</v>
      </c>
      <c r="U274" s="50" t="e">
        <f>IFERROR(VLOOKUP(Tableau119[[#This Row],[Key(Compte ILN - shipper - POL - plant)]],'DATA ILN'!A:L,12,FALSE),VLOOKUP(Tableau119[[#This Row],[Key(Compte ILN - shipper - POL)]],'DATA ILN'!B:L,11,FALSE))</f>
        <v>#N/A</v>
      </c>
      <c r="V274" s="50" t="e">
        <f>Tableau119[[#This Row],[Day ILN Order]]+Tableau119[[#This Row],[Delivery time to ILN/Shipper]]-1</f>
        <v>#N/A</v>
      </c>
      <c r="W274" s="50" t="e">
        <f>IFERROR(VLOOKUP(Tableau119[[#This Row],[Key(Compte ILN - shipper - POL - plant)]],'DATA ILN'!A:N,14,FALSE),VLOOKUP(Tableau119[[#This Row],[Key(Compte ILN - shipper - POL)]],'DATA ILN'!B:N,13,FALSE))</f>
        <v>#N/A</v>
      </c>
      <c r="X274" s="50" t="e">
        <f>IFERROR(VLOOKUP(Tableau119[[#This Row],[Key(Compte ILN - shipper - POL - plant)]],'DATA ILN'!A:P,16,FALSE),VLOOKUP(Tableau119[[#This Row],[Key(Compte ILN - shipper - POL)]],'DATA ILN'!B:P,15,FALSE))</f>
        <v>#N/A</v>
      </c>
      <c r="Y274" s="284" t="s">
        <v>150</v>
      </c>
      <c r="Z274" s="430">
        <f>IFERROR(VLOOKUP(Tableau119[[#This Row],[Name Shipper]],Plant_AILN!L:M,2,FALSE),0)</f>
        <v>2533780535</v>
      </c>
      <c r="AA274" s="406">
        <v>86</v>
      </c>
      <c r="AB274" s="396" t="b">
        <f>_xlfn.XLOOKUP(Tableau119[[#This Row],[Key(ID-date)]],'DATA BTO'!S:S,'DATA BTO'!E:E,FALSE)</f>
        <v>0</v>
      </c>
      <c r="AC274" s="3" t="b">
        <f>_xlfn.XLOOKUP(Tableau119[[#This Row],[Key(ID-date)]],'DATA BTO'!S:S,'DATA BTO'!F:F,FALSE)</f>
        <v>0</v>
      </c>
      <c r="AD274" s="50" t="b">
        <f>_xlfn.XLOOKUP(Tableau119[[#This Row],[Key(ID-date)]],'DATA BTO'!S:S,'DATA BTO'!G:G,FALSE)</f>
        <v>0</v>
      </c>
      <c r="AE274" s="50" t="b">
        <f>_xlfn.XLOOKUP(Tableau119[[#This Row],[Key(ID-date)]],'DATA BTO'!S:S,'DATA BTO'!H:H,FALSE)</f>
        <v>0</v>
      </c>
      <c r="AF274" s="447" t="e">
        <f>IF(Tableau119[[#This Row],[First Day to POL]]&lt;=Tableau119[[#This Row],[Day Cut Off]],Tableau119[[#This Row],[Day ETD]],Tableau119[[#This Row],[Day ETD]]+7)</f>
        <v>#N/A</v>
      </c>
      <c r="AG274" s="50" t="b">
        <f>_xlfn.XLOOKUP(Tableau119[[#This Row],[Key(ID-date)]],'DATA BTO'!S:S,'DATA BTO'!I:I,FALSE)</f>
        <v>0</v>
      </c>
      <c r="AH274" s="3" t="b">
        <f>_xlfn.XLOOKUP(Tableau119[[#This Row],[Key(ID-date)]],'DATA BTO'!S:S,'DATA BTO'!J:J,FALSE)</f>
        <v>0</v>
      </c>
      <c r="AI274" s="3" t="b">
        <f>_xlfn.XLOOKUP(Tableau119[[#This Row],[Key(ID-date)]],'DATA BTO'!S:S,'DATA BTO'!K:K,FALSE)</f>
        <v>0</v>
      </c>
      <c r="AJ274" s="50" t="b">
        <f>_xlfn.XLOOKUP(Tableau119[[#This Row],[Key(ID-date)]],'DATA BTO'!S:S,'DATA BTO'!L:L,FALSE)</f>
        <v>0</v>
      </c>
      <c r="AK274" s="53" t="b">
        <f>_xlfn.XLOOKUP(Tableau119[[#This Row],[Key(ID-date)]],'DATA BTO'!S:S,'DATA BTO'!N:N,FALSE)</f>
        <v>0</v>
      </c>
      <c r="AL274" s="54" t="e">
        <f>VLOOKUP(Tableau119[[#This Row],[Key(POD -PFI- Usine)]],'DATA Consignee'!A:F,6,FALSE)</f>
        <v>#N/A</v>
      </c>
      <c r="AM274" s="284"/>
      <c r="AN274" s="376" t="str">
        <f>IF(Tableau119[[#This Row],[Name PFI/CDD]]="","-",VLOOKUP(Tableau119[[#This Row],[Name PFI/CDD]],Plant_AILN!I:J,2,FALSE))</f>
        <v>-</v>
      </c>
      <c r="AO2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4" s="2" t="e">
        <f>VLOOKUP(Tableau119[[#This Row],[Key(POD -PFI- Usine)]],'DATA Consignee'!A:J,10,FALSE)</f>
        <v>#N/A</v>
      </c>
      <c r="AR274" s="50" t="e">
        <f>VLOOKUP(Tableau119[[#This Row],[Key(POD -PFI- Usine)]],'DATA Consignee'!A:N,14,FALSE)</f>
        <v>#N/A</v>
      </c>
      <c r="AS2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4" s="50">
        <f>Tableau119[[#This Row],[Transit time]]+Tableau119[[#This Row],[Time for security]]+Tableau119[[#This Row],[Time for security2 buffer]]</f>
        <v>0</v>
      </c>
      <c r="AV2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4" s="50" t="e">
        <f>Tableau119[[#This Row],[Leadtime SI2C]]+Tableau119[[#This Row],[First Receipt Days]]-Tableau119[[#This Row],[Day Customer Order]]+1</f>
        <v>#N/A</v>
      </c>
      <c r="AX274" s="119" t="e">
        <f>IF(Tableau119[[#This Row],[Name ILN]]&lt;&gt;"SFK Freight Forwarder",Tableau119[[#This Row],[Cust. Leadtime]],Tableau119[[#This Row],[Leadtime SI2C]])</f>
        <v>#N/A</v>
      </c>
      <c r="AY274" s="51" t="b">
        <f>_xlfn.XLOOKUP(Tableau119[[#This Row],[Key(ID-date)]],'DATA BTO'!S:S,'DATA BTO'!P:P,FALSE)</f>
        <v>0</v>
      </c>
      <c r="AZ274" s="338">
        <v>45991</v>
      </c>
      <c r="BA274" s="50"/>
    </row>
    <row r="275" spans="2:53">
      <c r="B275" s="446" t="str">
        <f>_xlfn.CONCAT(Tableau119[[#This Row],[Name ILN]],"-",Tableau119[[#This Row],[Name Shipper]],"-",Tableau119[[#This Row],[Name Site]])</f>
        <v>ILN Pune-ILN Pune-Curitiba CVU</v>
      </c>
      <c r="C275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75" s="66" t="str">
        <f>_xlfn.CONCAT(Tableau119[[#This Row],[Compte ILN]],"-",Tableau119[[#This Row],[Compte Shipper]],"-",Tableau119[[#This Row],[POL]])</f>
        <v>2533780535-2533780535-FALSO</v>
      </c>
      <c r="E275" s="130" t="str">
        <f>_xlfn.CONCAT(Tableau119[[#This Row],[POL]],"-",Tableau119[[#This Row],[Carrier]],"-",Tableau119[[#This Row],[POD]])</f>
        <v>FALSO-FALSO-FALSO</v>
      </c>
      <c r="F275" s="66" t="str">
        <f>_xlfn.CONCAT(Tableau119[[#This Row],[ID]],"-","Actif")</f>
        <v>86-Actif</v>
      </c>
      <c r="G275" s="66" t="str">
        <f>_xlfn.CONCAT(Tableau119[[#This Row],[POD]],"-",Tableau119[[#This Row],[Code PFI]],"-",Tableau119[[#This Row],[Compte Consignee]])</f>
        <v>FALSO---90018500</v>
      </c>
      <c r="H2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CVU</v>
      </c>
      <c r="I275" s="434" t="str">
        <f>_xlfn.CONCAT(Tableau119[[#This Row],[ID]],"-",Tableau119[[#This Row],[Expiration Date]])</f>
        <v>86-45991</v>
      </c>
      <c r="J2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Pune-ILN Pune-86-FALSO-FALSO-FALSO--45991</v>
      </c>
      <c r="K275" s="119" t="str">
        <f ca="1">IF(COUNTIF(J:J,Tableau119[[#This Row],[Plant-ILN-shipper-POL-Carrier-POD-PFI]])=1,"Non","Oui")</f>
        <v>Non</v>
      </c>
      <c r="L275" s="128" t="str">
        <f>VLOOKUP(Tableau119[[#This Row],[Name Site]],Plant_AILN!A:D,4,FALSE)</f>
        <v>BRAZIL</v>
      </c>
      <c r="M275" s="411" t="s">
        <v>639</v>
      </c>
      <c r="N275" s="454">
        <f>VLOOKUP(Tableau119[[#This Row],[Name Site]],Plant_AILN!A:C,3,FALSE)</f>
        <v>90018500</v>
      </c>
      <c r="O275" s="55">
        <f>VLOOKUP(Tableau119[[#This Row],[Compte Consignee]],Order!C:D,2,FALSE)</f>
        <v>7</v>
      </c>
      <c r="P275" s="124" t="s">
        <v>150</v>
      </c>
      <c r="Q275" s="365">
        <f>VLOOKUP(Tableau119[[#This Row],[Name ILN]],Plant_AILN!F:G,2,FALSE)</f>
        <v>2533780535</v>
      </c>
      <c r="R275" s="50">
        <f>VLOOKUP(Tableau119[[#This Row],[Compte ILN]],'DATA ILN'!D:I,6,FALSE)</f>
        <v>9</v>
      </c>
      <c r="S275" s="50" t="e">
        <f>IFERROR(VLOOKUP(Tableau119[[#This Row],[Key(Compte ILN - shipper - POL - plant)]],'DATA ILN'!A:J,10,FALSE),VLOOKUP(Tableau119[[#This Row],[Key(Compte ILN - shipper - POL)]],'DATA ILN'!B:J,9,FALSE))</f>
        <v>#N/A</v>
      </c>
      <c r="T275" s="50" t="e">
        <f>IFERROR(VLOOKUP(Tableau119[[#This Row],[Key(Compte ILN - shipper - POL - plant)]],'DATA ILN'!A:K,11,FALSE),VLOOKUP(Tableau119[[#This Row],[Key(Compte ILN - shipper - POL)]],'DATA ILN'!B:K,10,FALSE))</f>
        <v>#N/A</v>
      </c>
      <c r="U275" s="50" t="e">
        <f>IFERROR(VLOOKUP(Tableau119[[#This Row],[Key(Compte ILN - shipper - POL - plant)]],'DATA ILN'!A:L,12,FALSE),VLOOKUP(Tableau119[[#This Row],[Key(Compte ILN - shipper - POL)]],'DATA ILN'!B:L,11,FALSE))</f>
        <v>#N/A</v>
      </c>
      <c r="V275" s="50" t="e">
        <f>Tableau119[[#This Row],[Day ILN Order]]+Tableau119[[#This Row],[Delivery time to ILN/Shipper]]-1</f>
        <v>#N/A</v>
      </c>
      <c r="W275" s="50" t="e">
        <f>IFERROR(VLOOKUP(Tableau119[[#This Row],[Key(Compte ILN - shipper - POL - plant)]],'DATA ILN'!A:N,14,FALSE),VLOOKUP(Tableau119[[#This Row],[Key(Compte ILN - shipper - POL)]],'DATA ILN'!B:N,13,FALSE))</f>
        <v>#N/A</v>
      </c>
      <c r="X275" s="50" t="e">
        <f>IFERROR(VLOOKUP(Tableau119[[#This Row],[Key(Compte ILN - shipper - POL - plant)]],'DATA ILN'!A:P,16,FALSE),VLOOKUP(Tableau119[[#This Row],[Key(Compte ILN - shipper - POL)]],'DATA ILN'!B:P,15,FALSE))</f>
        <v>#N/A</v>
      </c>
      <c r="Y275" s="284" t="s">
        <v>150</v>
      </c>
      <c r="Z275" s="430">
        <f>IFERROR(VLOOKUP(Tableau119[[#This Row],[Name Shipper]],Plant_AILN!L:M,2,FALSE),0)</f>
        <v>2533780535</v>
      </c>
      <c r="AA275" s="406">
        <v>86</v>
      </c>
      <c r="AB275" s="396" t="b">
        <f>_xlfn.XLOOKUP(Tableau119[[#This Row],[Key(ID-date)]],'DATA BTO'!S:S,'DATA BTO'!E:E,FALSE)</f>
        <v>0</v>
      </c>
      <c r="AC275" s="3" t="b">
        <f>_xlfn.XLOOKUP(Tableau119[[#This Row],[Key(ID-date)]],'DATA BTO'!S:S,'DATA BTO'!F:F,FALSE)</f>
        <v>0</v>
      </c>
      <c r="AD275" s="50" t="b">
        <f>_xlfn.XLOOKUP(Tableau119[[#This Row],[Key(ID-date)]],'DATA BTO'!S:S,'DATA BTO'!G:G,FALSE)</f>
        <v>0</v>
      </c>
      <c r="AE275" s="50" t="b">
        <f>_xlfn.XLOOKUP(Tableau119[[#This Row],[Key(ID-date)]],'DATA BTO'!S:S,'DATA BTO'!H:H,FALSE)</f>
        <v>0</v>
      </c>
      <c r="AF275" s="447" t="e">
        <f>IF(Tableau119[[#This Row],[First Day to POL]]&lt;=Tableau119[[#This Row],[Day Cut Off]],Tableau119[[#This Row],[Day ETD]],Tableau119[[#This Row],[Day ETD]]+7)</f>
        <v>#N/A</v>
      </c>
      <c r="AG275" s="50" t="b">
        <f>_xlfn.XLOOKUP(Tableau119[[#This Row],[Key(ID-date)]],'DATA BTO'!S:S,'DATA BTO'!I:I,FALSE)</f>
        <v>0</v>
      </c>
      <c r="AH275" s="3" t="b">
        <f>_xlfn.XLOOKUP(Tableau119[[#This Row],[Key(ID-date)]],'DATA BTO'!S:S,'DATA BTO'!J:J,FALSE)</f>
        <v>0</v>
      </c>
      <c r="AI275" s="3" t="b">
        <f>_xlfn.XLOOKUP(Tableau119[[#This Row],[Key(ID-date)]],'DATA BTO'!S:S,'DATA BTO'!K:K,FALSE)</f>
        <v>0</v>
      </c>
      <c r="AJ275" s="50" t="b">
        <f>_xlfn.XLOOKUP(Tableau119[[#This Row],[Key(ID-date)]],'DATA BTO'!S:S,'DATA BTO'!L:L,FALSE)</f>
        <v>0</v>
      </c>
      <c r="AK275" s="53" t="b">
        <f>_xlfn.XLOOKUP(Tableau119[[#This Row],[Key(ID-date)]],'DATA BTO'!S:S,'DATA BTO'!N:N,FALSE)</f>
        <v>0</v>
      </c>
      <c r="AL275" s="54" t="e">
        <f>VLOOKUP(Tableau119[[#This Row],[Key(POD -PFI- Usine)]],'DATA Consignee'!A:F,6,FALSE)</f>
        <v>#N/A</v>
      </c>
      <c r="AM275" s="284"/>
      <c r="AN275" s="376" t="str">
        <f>IF(Tableau119[[#This Row],[Name PFI/CDD]]="","-",VLOOKUP(Tableau119[[#This Row],[Name PFI/CDD]],Plant_AILN!I:J,2,FALSE))</f>
        <v>-</v>
      </c>
      <c r="AO2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5" s="2" t="e">
        <f>VLOOKUP(Tableau119[[#This Row],[Key(POD -PFI- Usine)]],'DATA Consignee'!A:J,10,FALSE)</f>
        <v>#N/A</v>
      </c>
      <c r="AR275" s="50" t="e">
        <f>VLOOKUP(Tableau119[[#This Row],[Key(POD -PFI- Usine)]],'DATA Consignee'!A:N,14,FALSE)</f>
        <v>#N/A</v>
      </c>
      <c r="AS2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5" s="50">
        <f>Tableau119[[#This Row],[Transit time]]+Tableau119[[#This Row],[Time for security]]+Tableau119[[#This Row],[Time for security2 buffer]]</f>
        <v>0</v>
      </c>
      <c r="AV2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5" s="50" t="e">
        <f>Tableau119[[#This Row],[Leadtime SI2C]]+Tableau119[[#This Row],[First Receipt Days]]-Tableau119[[#This Row],[Day Customer Order]]+1</f>
        <v>#N/A</v>
      </c>
      <c r="AX275" s="119" t="e">
        <f>IF(Tableau119[[#This Row],[Name ILN]]&lt;&gt;"SFK Freight Forwarder",Tableau119[[#This Row],[Cust. Leadtime]],Tableau119[[#This Row],[Leadtime SI2C]])</f>
        <v>#N/A</v>
      </c>
      <c r="AY275" s="51" t="b">
        <f>_xlfn.XLOOKUP(Tableau119[[#This Row],[Key(ID-date)]],'DATA BTO'!S:S,'DATA BTO'!P:P,FALSE)</f>
        <v>0</v>
      </c>
      <c r="AZ275" s="338">
        <v>45991</v>
      </c>
      <c r="BA275" s="50"/>
    </row>
    <row r="276" spans="2:53">
      <c r="B276" s="446" t="str">
        <f>_xlfn.CONCAT(Tableau119[[#This Row],[Name ILN]],"-",Tableau119[[#This Row],[Name Shipper]],"-",Tableau119[[#This Row],[Name Site]])</f>
        <v>ILN Pune-ILN Pune-Curitiba CVP</v>
      </c>
      <c r="C276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76" s="66" t="str">
        <f>_xlfn.CONCAT(Tableau119[[#This Row],[Compte ILN]],"-",Tableau119[[#This Row],[Compte Shipper]],"-",Tableau119[[#This Row],[POL]])</f>
        <v>2533780535-2533780535-FALSO</v>
      </c>
      <c r="E276" s="130" t="str">
        <f>_xlfn.CONCAT(Tableau119[[#This Row],[POL]],"-",Tableau119[[#This Row],[Carrier]],"-",Tableau119[[#This Row],[POD]])</f>
        <v>FALSO-FALSO-FALSO</v>
      </c>
      <c r="F276" s="66" t="str">
        <f>_xlfn.CONCAT(Tableau119[[#This Row],[ID]],"-","Actif")</f>
        <v>86-Actif</v>
      </c>
      <c r="G276" s="66" t="str">
        <f>_xlfn.CONCAT(Tableau119[[#This Row],[POD]],"-",Tableau119[[#This Row],[Code PFI]],"-",Tableau119[[#This Row],[Compte Consignee]])</f>
        <v>FALSO---90018000</v>
      </c>
      <c r="H2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CVP</v>
      </c>
      <c r="I276" s="434" t="str">
        <f>_xlfn.CONCAT(Tableau119[[#This Row],[ID]],"-",Tableau119[[#This Row],[Expiration Date]])</f>
        <v>86-45777</v>
      </c>
      <c r="J2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Pune-ILN Pune-86-FALSO-FALSO-FALSO--45777</v>
      </c>
      <c r="K276" s="119" t="str">
        <f ca="1">IF(COUNTIF(J:J,Tableau119[[#This Row],[Plant-ILN-shipper-POL-Carrier-POD-PFI]])=1,"Non","Oui")</f>
        <v>Non</v>
      </c>
      <c r="L276" s="128" t="str">
        <f>VLOOKUP(Tableau119[[#This Row],[Name Site]],Plant_AILN!A:D,4,FALSE)</f>
        <v>BRAZIL</v>
      </c>
      <c r="M276" s="411" t="s">
        <v>152</v>
      </c>
      <c r="N276" s="454">
        <f>VLOOKUP(Tableau119[[#This Row],[Name Site]],Plant_AILN!A:C,3,FALSE)</f>
        <v>90018000</v>
      </c>
      <c r="O276" s="55">
        <f>VLOOKUP(Tableau119[[#This Row],[Compte Consignee]],Order!C:D,2,FALSE)</f>
        <v>7</v>
      </c>
      <c r="P276" s="124" t="s">
        <v>150</v>
      </c>
      <c r="Q276" s="365">
        <f>VLOOKUP(Tableau119[[#This Row],[Name ILN]],Plant_AILN!F:G,2,FALSE)</f>
        <v>2533780535</v>
      </c>
      <c r="R276" s="50">
        <f>VLOOKUP(Tableau119[[#This Row],[Compte ILN]],'DATA ILN'!D:I,6,FALSE)</f>
        <v>9</v>
      </c>
      <c r="S276" s="50" t="e">
        <f>IFERROR(VLOOKUP(Tableau119[[#This Row],[Key(Compte ILN - shipper - POL - plant)]],'DATA ILN'!A:J,10,FALSE),VLOOKUP(Tableau119[[#This Row],[Key(Compte ILN - shipper - POL)]],'DATA ILN'!B:J,9,FALSE))</f>
        <v>#N/A</v>
      </c>
      <c r="T276" s="50" t="e">
        <f>IFERROR(VLOOKUP(Tableau119[[#This Row],[Key(Compte ILN - shipper - POL - plant)]],'DATA ILN'!A:K,11,FALSE),VLOOKUP(Tableau119[[#This Row],[Key(Compte ILN - shipper - POL)]],'DATA ILN'!B:K,10,FALSE))</f>
        <v>#N/A</v>
      </c>
      <c r="U276" s="50" t="e">
        <f>IFERROR(VLOOKUP(Tableau119[[#This Row],[Key(Compte ILN - shipper - POL - plant)]],'DATA ILN'!A:L,12,FALSE),VLOOKUP(Tableau119[[#This Row],[Key(Compte ILN - shipper - POL)]],'DATA ILN'!B:L,11,FALSE))</f>
        <v>#N/A</v>
      </c>
      <c r="V276" s="50" t="e">
        <f>Tableau119[[#This Row],[Day ILN Order]]+Tableau119[[#This Row],[Delivery time to ILN/Shipper]]-1</f>
        <v>#N/A</v>
      </c>
      <c r="W276" s="50" t="e">
        <f>IFERROR(VLOOKUP(Tableau119[[#This Row],[Key(Compte ILN - shipper - POL - plant)]],'DATA ILN'!A:N,14,FALSE),VLOOKUP(Tableau119[[#This Row],[Key(Compte ILN - shipper - POL)]],'DATA ILN'!B:N,13,FALSE))</f>
        <v>#N/A</v>
      </c>
      <c r="X276" s="50" t="e">
        <f>IFERROR(VLOOKUP(Tableau119[[#This Row],[Key(Compte ILN - shipper - POL - plant)]],'DATA ILN'!A:P,16,FALSE),VLOOKUP(Tableau119[[#This Row],[Key(Compte ILN - shipper - POL)]],'DATA ILN'!B:P,15,FALSE))</f>
        <v>#N/A</v>
      </c>
      <c r="Y276" s="284" t="s">
        <v>150</v>
      </c>
      <c r="Z276" s="430">
        <f>IFERROR(VLOOKUP(Tableau119[[#This Row],[Name Shipper]],Plant_AILN!L:M,2,FALSE),0)</f>
        <v>2533780535</v>
      </c>
      <c r="AA276" s="406">
        <v>86</v>
      </c>
      <c r="AB276" s="396" t="b">
        <f>_xlfn.XLOOKUP(Tableau119[[#This Row],[Key(ID-date)]],'DATA BTO'!S:S,'DATA BTO'!E:E,FALSE)</f>
        <v>0</v>
      </c>
      <c r="AC276" s="3" t="b">
        <f>_xlfn.XLOOKUP(Tableau119[[#This Row],[Key(ID-date)]],'DATA BTO'!S:S,'DATA BTO'!F:F,FALSE)</f>
        <v>0</v>
      </c>
      <c r="AD276" s="50" t="b">
        <f>_xlfn.XLOOKUP(Tableau119[[#This Row],[Key(ID-date)]],'DATA BTO'!S:S,'DATA BTO'!G:G,FALSE)</f>
        <v>0</v>
      </c>
      <c r="AE276" s="50" t="b">
        <f>_xlfn.XLOOKUP(Tableau119[[#This Row],[Key(ID-date)]],'DATA BTO'!S:S,'DATA BTO'!H:H,FALSE)</f>
        <v>0</v>
      </c>
      <c r="AF276" s="447" t="e">
        <f>IF(Tableau119[[#This Row],[First Day to POL]]&lt;=Tableau119[[#This Row],[Day Cut Off]],Tableau119[[#This Row],[Day ETD]],Tableau119[[#This Row],[Day ETD]]+7)</f>
        <v>#N/A</v>
      </c>
      <c r="AG276" s="50" t="b">
        <f>_xlfn.XLOOKUP(Tableau119[[#This Row],[Key(ID-date)]],'DATA BTO'!S:S,'DATA BTO'!I:I,FALSE)</f>
        <v>0</v>
      </c>
      <c r="AH276" s="3" t="b">
        <f>_xlfn.XLOOKUP(Tableau119[[#This Row],[Key(ID-date)]],'DATA BTO'!S:S,'DATA BTO'!J:J,FALSE)</f>
        <v>0</v>
      </c>
      <c r="AI276" s="3" t="b">
        <f>_xlfn.XLOOKUP(Tableau119[[#This Row],[Key(ID-date)]],'DATA BTO'!S:S,'DATA BTO'!K:K,FALSE)</f>
        <v>0</v>
      </c>
      <c r="AJ276" s="50" t="b">
        <f>_xlfn.XLOOKUP(Tableau119[[#This Row],[Key(ID-date)]],'DATA BTO'!S:S,'DATA BTO'!L:L,FALSE)</f>
        <v>0</v>
      </c>
      <c r="AK276" s="53" t="b">
        <f>_xlfn.XLOOKUP(Tableau119[[#This Row],[Key(ID-date)]],'DATA BTO'!S:S,'DATA BTO'!N:N,FALSE)</f>
        <v>0</v>
      </c>
      <c r="AL276" s="54" t="e">
        <f>VLOOKUP(Tableau119[[#This Row],[Key(POD -PFI- Usine)]],'DATA Consignee'!A:F,6,FALSE)</f>
        <v>#N/A</v>
      </c>
      <c r="AM276" s="284"/>
      <c r="AN276" s="376" t="str">
        <f>IF(Tableau119[[#This Row],[Name PFI/CDD]]="","-",VLOOKUP(Tableau119[[#This Row],[Name PFI/CDD]],Plant_AILN!I:J,2,FALSE))</f>
        <v>-</v>
      </c>
      <c r="AO2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6" s="2" t="e">
        <f>VLOOKUP(Tableau119[[#This Row],[Key(POD -PFI- Usine)]],'DATA Consignee'!A:J,10,FALSE)</f>
        <v>#N/A</v>
      </c>
      <c r="AR276" s="50" t="e">
        <f>VLOOKUP(Tableau119[[#This Row],[Key(POD -PFI- Usine)]],'DATA Consignee'!A:N,14,FALSE)</f>
        <v>#N/A</v>
      </c>
      <c r="AS2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6" s="50">
        <f>Tableau119[[#This Row],[Transit time]]+Tableau119[[#This Row],[Time for security]]+Tableau119[[#This Row],[Time for security2 buffer]]</f>
        <v>0</v>
      </c>
      <c r="AV2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6" s="50" t="e">
        <f>Tableau119[[#This Row],[Leadtime SI2C]]+Tableau119[[#This Row],[First Receipt Days]]-Tableau119[[#This Row],[Day Customer Order]]+1</f>
        <v>#N/A</v>
      </c>
      <c r="AX276" s="119" t="e">
        <f>IF(Tableau119[[#This Row],[Name ILN]]&lt;&gt;"SFK Freight Forwarder",Tableau119[[#This Row],[Cust. Leadtime]],Tableau119[[#This Row],[Leadtime SI2C]])</f>
        <v>#N/A</v>
      </c>
      <c r="AY276" s="51" t="b">
        <f>_xlfn.XLOOKUP(Tableau119[[#This Row],[Key(ID-date)]],'DATA BTO'!S:S,'DATA BTO'!P:P,FALSE)</f>
        <v>0</v>
      </c>
      <c r="AZ276" s="338">
        <v>45777</v>
      </c>
      <c r="BA276" s="50"/>
    </row>
    <row r="277" spans="2:53">
      <c r="B277" s="446" t="str">
        <f>_xlfn.CONCAT(Tableau119[[#This Row],[Name ILN]],"-",Tableau119[[#This Row],[Name Shipper]],"-",Tableau119[[#This Row],[Name Site]])</f>
        <v>ILN Pune-ILN Pune-Curitiba CVU</v>
      </c>
      <c r="C277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77" s="66" t="str">
        <f>_xlfn.CONCAT(Tableau119[[#This Row],[Compte ILN]],"-",Tableau119[[#This Row],[Compte Shipper]],"-",Tableau119[[#This Row],[POL]])</f>
        <v>2533780535-2533780535-FALSO</v>
      </c>
      <c r="E277" s="130" t="str">
        <f>_xlfn.CONCAT(Tableau119[[#This Row],[POL]],"-",Tableau119[[#This Row],[Carrier]],"-",Tableau119[[#This Row],[POD]])</f>
        <v>FALSO-FALSO-FALSO</v>
      </c>
      <c r="F277" s="66" t="str">
        <f>_xlfn.CONCAT(Tableau119[[#This Row],[ID]],"-","Actif")</f>
        <v>86-Actif</v>
      </c>
      <c r="G277" s="66" t="str">
        <f>_xlfn.CONCAT(Tableau119[[#This Row],[POD]],"-",Tableau119[[#This Row],[Code PFI]],"-",Tableau119[[#This Row],[Compte Consignee]])</f>
        <v>FALSO---90018500</v>
      </c>
      <c r="H2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CVU</v>
      </c>
      <c r="I277" s="434" t="str">
        <f>_xlfn.CONCAT(Tableau119[[#This Row],[ID]],"-",Tableau119[[#This Row],[Expiration Date]])</f>
        <v>86-45777</v>
      </c>
      <c r="J2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Pune-ILN Pune-86-FALSO-FALSO-FALSO--45777</v>
      </c>
      <c r="K277" s="119" t="str">
        <f ca="1">IF(COUNTIF(J:J,Tableau119[[#This Row],[Plant-ILN-shipper-POL-Carrier-POD-PFI]])=1,"Non","Oui")</f>
        <v>Non</v>
      </c>
      <c r="L277" s="128" t="str">
        <f>VLOOKUP(Tableau119[[#This Row],[Name Site]],Plant_AILN!A:D,4,FALSE)</f>
        <v>BRAZIL</v>
      </c>
      <c r="M277" s="411" t="s">
        <v>639</v>
      </c>
      <c r="N277" s="454">
        <f>VLOOKUP(Tableau119[[#This Row],[Name Site]],Plant_AILN!A:C,3,FALSE)</f>
        <v>90018500</v>
      </c>
      <c r="O277" s="55">
        <f>VLOOKUP(Tableau119[[#This Row],[Compte Consignee]],Order!C:D,2,FALSE)</f>
        <v>7</v>
      </c>
      <c r="P277" s="124" t="s">
        <v>150</v>
      </c>
      <c r="Q277" s="365">
        <f>VLOOKUP(Tableau119[[#This Row],[Name ILN]],Plant_AILN!F:G,2,FALSE)</f>
        <v>2533780535</v>
      </c>
      <c r="R277" s="50">
        <f>VLOOKUP(Tableau119[[#This Row],[Compte ILN]],'DATA ILN'!D:I,6,FALSE)</f>
        <v>9</v>
      </c>
      <c r="S277" s="50" t="e">
        <f>IFERROR(VLOOKUP(Tableau119[[#This Row],[Key(Compte ILN - shipper - POL - plant)]],'DATA ILN'!A:J,10,FALSE),VLOOKUP(Tableau119[[#This Row],[Key(Compte ILN - shipper - POL)]],'DATA ILN'!B:J,9,FALSE))</f>
        <v>#N/A</v>
      </c>
      <c r="T277" s="50" t="e">
        <f>IFERROR(VLOOKUP(Tableau119[[#This Row],[Key(Compte ILN - shipper - POL - plant)]],'DATA ILN'!A:K,11,FALSE),VLOOKUP(Tableau119[[#This Row],[Key(Compte ILN - shipper - POL)]],'DATA ILN'!B:K,10,FALSE))</f>
        <v>#N/A</v>
      </c>
      <c r="U277" s="50" t="e">
        <f>IFERROR(VLOOKUP(Tableau119[[#This Row],[Key(Compte ILN - shipper - POL - plant)]],'DATA ILN'!A:L,12,FALSE),VLOOKUP(Tableau119[[#This Row],[Key(Compte ILN - shipper - POL)]],'DATA ILN'!B:L,11,FALSE))</f>
        <v>#N/A</v>
      </c>
      <c r="V277" s="50" t="e">
        <f>Tableau119[[#This Row],[Day ILN Order]]+Tableau119[[#This Row],[Delivery time to ILN/Shipper]]-1</f>
        <v>#N/A</v>
      </c>
      <c r="W277" s="50" t="e">
        <f>IFERROR(VLOOKUP(Tableau119[[#This Row],[Key(Compte ILN - shipper - POL - plant)]],'DATA ILN'!A:N,14,FALSE),VLOOKUP(Tableau119[[#This Row],[Key(Compte ILN - shipper - POL)]],'DATA ILN'!B:N,13,FALSE))</f>
        <v>#N/A</v>
      </c>
      <c r="X277" s="50" t="e">
        <f>IFERROR(VLOOKUP(Tableau119[[#This Row],[Key(Compte ILN - shipper - POL - plant)]],'DATA ILN'!A:P,16,FALSE),VLOOKUP(Tableau119[[#This Row],[Key(Compte ILN - shipper - POL)]],'DATA ILN'!B:P,15,FALSE))</f>
        <v>#N/A</v>
      </c>
      <c r="Y277" s="284" t="s">
        <v>150</v>
      </c>
      <c r="Z277" s="430">
        <f>IFERROR(VLOOKUP(Tableau119[[#This Row],[Name Shipper]],Plant_AILN!L:M,2,FALSE),0)</f>
        <v>2533780535</v>
      </c>
      <c r="AA277" s="406">
        <v>86</v>
      </c>
      <c r="AB277" s="396" t="b">
        <f>_xlfn.XLOOKUP(Tableau119[[#This Row],[Key(ID-date)]],'DATA BTO'!S:S,'DATA BTO'!E:E,FALSE)</f>
        <v>0</v>
      </c>
      <c r="AC277" s="3" t="b">
        <f>_xlfn.XLOOKUP(Tableau119[[#This Row],[Key(ID-date)]],'DATA BTO'!S:S,'DATA BTO'!F:F,FALSE)</f>
        <v>0</v>
      </c>
      <c r="AD277" s="50" t="b">
        <f>_xlfn.XLOOKUP(Tableau119[[#This Row],[Key(ID-date)]],'DATA BTO'!S:S,'DATA BTO'!G:G,FALSE)</f>
        <v>0</v>
      </c>
      <c r="AE277" s="50" t="b">
        <f>_xlfn.XLOOKUP(Tableau119[[#This Row],[Key(ID-date)]],'DATA BTO'!S:S,'DATA BTO'!H:H,FALSE)</f>
        <v>0</v>
      </c>
      <c r="AF277" s="81" t="e">
        <f>IF(Tableau119[[#This Row],[First Day to POL]]&lt;=Tableau119[[#This Row],[Day Cut Off]],Tableau119[[#This Row],[Day ETD]],Tableau119[[#This Row],[Day ETD]]+7)</f>
        <v>#N/A</v>
      </c>
      <c r="AG277" s="50" t="b">
        <f>_xlfn.XLOOKUP(Tableau119[[#This Row],[Key(ID-date)]],'DATA BTO'!S:S,'DATA BTO'!I:I,FALSE)</f>
        <v>0</v>
      </c>
      <c r="AH277" s="3" t="b">
        <f>_xlfn.XLOOKUP(Tableau119[[#This Row],[Key(ID-date)]],'DATA BTO'!S:S,'DATA BTO'!J:J,FALSE)</f>
        <v>0</v>
      </c>
      <c r="AI277" s="3" t="b">
        <f>_xlfn.XLOOKUP(Tableau119[[#This Row],[Key(ID-date)]],'DATA BTO'!S:S,'DATA BTO'!K:K,FALSE)</f>
        <v>0</v>
      </c>
      <c r="AJ277" s="50" t="b">
        <f>_xlfn.XLOOKUP(Tableau119[[#This Row],[Key(ID-date)]],'DATA BTO'!S:S,'DATA BTO'!L:L,FALSE)</f>
        <v>0</v>
      </c>
      <c r="AK277" s="53" t="b">
        <f>_xlfn.XLOOKUP(Tableau119[[#This Row],[Key(ID-date)]],'DATA BTO'!S:S,'DATA BTO'!N:N,FALSE)</f>
        <v>0</v>
      </c>
      <c r="AL277" s="54" t="e">
        <f>VLOOKUP(Tableau119[[#This Row],[Key(POD -PFI- Usine)]],'DATA Consignee'!A:F,6,FALSE)</f>
        <v>#N/A</v>
      </c>
      <c r="AM277" s="284"/>
      <c r="AN277" s="376" t="str">
        <f>IF(Tableau119[[#This Row],[Name PFI/CDD]]="","-",VLOOKUP(Tableau119[[#This Row],[Name PFI/CDD]],Plant_AILN!I:J,2,FALSE))</f>
        <v>-</v>
      </c>
      <c r="AO2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7" s="2" t="e">
        <f>VLOOKUP(Tableau119[[#This Row],[Key(POD -PFI- Usine)]],'DATA Consignee'!A:J,10,FALSE)</f>
        <v>#N/A</v>
      </c>
      <c r="AR277" s="50" t="e">
        <f>VLOOKUP(Tableau119[[#This Row],[Key(POD -PFI- Usine)]],'DATA Consignee'!A:N,14,FALSE)</f>
        <v>#N/A</v>
      </c>
      <c r="AS2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7" s="50">
        <f>Tableau119[[#This Row],[Transit time]]+Tableau119[[#This Row],[Time for security]]+Tableau119[[#This Row],[Time for security2 buffer]]</f>
        <v>0</v>
      </c>
      <c r="AV2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7" s="50" t="e">
        <f>Tableau119[[#This Row],[Leadtime SI2C]]+Tableau119[[#This Row],[First Receipt Days]]-Tableau119[[#This Row],[Day Customer Order]]+1</f>
        <v>#N/A</v>
      </c>
      <c r="AX277" s="119" t="e">
        <f>IF(Tableau119[[#This Row],[Name ILN]]&lt;&gt;"SFK Freight Forwarder",Tableau119[[#This Row],[Cust. Leadtime]],Tableau119[[#This Row],[Leadtime SI2C]])</f>
        <v>#N/A</v>
      </c>
      <c r="AY277" s="51" t="b">
        <f>_xlfn.XLOOKUP(Tableau119[[#This Row],[Key(ID-date)]],'DATA BTO'!S:S,'DATA BTO'!P:P,FALSE)</f>
        <v>0</v>
      </c>
      <c r="AZ277" s="338">
        <v>45777</v>
      </c>
      <c r="BA277" s="50"/>
    </row>
    <row r="278" spans="2:53">
      <c r="B278" s="446" t="str">
        <f>_xlfn.CONCAT(Tableau119[[#This Row],[Name ILN]],"-",Tableau119[[#This Row],[Name Shipper]],"-",Tableau119[[#This Row],[Name Site]])</f>
        <v>ILN Pune-ILN Pune-Curitiba CVP</v>
      </c>
      <c r="C278" s="66" t="str">
        <f>_xlfn.CONCAT(Tableau119[[#This Row],[Compte ILN]],"-",Tableau119[[#This Row],[Compte Shipper]],"-",Tableau119[[#This Row],[POL]],"-",Tableau119[[#This Row],[Compte Consignee]])</f>
        <v>2533780535-2533780535-FALSO-90018000</v>
      </c>
      <c r="D278" s="66" t="str">
        <f>_xlfn.CONCAT(Tableau119[[#This Row],[Compte ILN]],"-",Tableau119[[#This Row],[Compte Shipper]],"-",Tableau119[[#This Row],[POL]])</f>
        <v>2533780535-2533780535-FALSO</v>
      </c>
      <c r="E278" s="130" t="str">
        <f>_xlfn.CONCAT(Tableau119[[#This Row],[POL]],"-",Tableau119[[#This Row],[Carrier]],"-",Tableau119[[#This Row],[POD]])</f>
        <v>FALSO-FALSO-FALSO</v>
      </c>
      <c r="F278" s="66" t="str">
        <f>_xlfn.CONCAT(Tableau119[[#This Row],[ID]],"-","Actif")</f>
        <v>86-Actif</v>
      </c>
      <c r="G278" s="66" t="str">
        <f>_xlfn.CONCAT(Tableau119[[#This Row],[POD]],"-",Tableau119[[#This Row],[Code PFI]],"-",Tableau119[[#This Row],[Compte Consignee]])</f>
        <v>FALSO---90018000</v>
      </c>
      <c r="H2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CVP</v>
      </c>
      <c r="I278" s="434" t="str">
        <f>_xlfn.CONCAT(Tableau119[[#This Row],[ID]],"-",Tableau119[[#This Row],[Expiration Date]])</f>
        <v>86-45473</v>
      </c>
      <c r="J2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Pune-ILN Pune-86-FALSO-FALSO-FALSO--45473</v>
      </c>
      <c r="K278" s="119" t="str">
        <f ca="1">IF(COUNTIF(J:J,Tableau119[[#This Row],[Plant-ILN-shipper-POL-Carrier-POD-PFI]])=1,"Non","Oui")</f>
        <v>Non</v>
      </c>
      <c r="L278" s="128" t="str">
        <f>VLOOKUP(Tableau119[[#This Row],[Name Site]],Plant_AILN!A:D,4,FALSE)</f>
        <v>BRAZIL</v>
      </c>
      <c r="M278" s="411" t="s">
        <v>152</v>
      </c>
      <c r="N278" s="454">
        <f>VLOOKUP(Tableau119[[#This Row],[Name Site]],Plant_AILN!A:C,3,FALSE)</f>
        <v>90018000</v>
      </c>
      <c r="O278" s="55">
        <f>VLOOKUP(Tableau119[[#This Row],[Compte Consignee]],Order!C:D,2,FALSE)</f>
        <v>7</v>
      </c>
      <c r="P278" s="124" t="s">
        <v>150</v>
      </c>
      <c r="Q278" s="365">
        <f>VLOOKUP(Tableau119[[#This Row],[Name ILN]],Plant_AILN!F:G,2,FALSE)</f>
        <v>2533780535</v>
      </c>
      <c r="R278" s="50">
        <f>VLOOKUP(Tableau119[[#This Row],[Compte ILN]],'DATA ILN'!D:I,6,FALSE)</f>
        <v>9</v>
      </c>
      <c r="S278" s="50" t="e">
        <f>IFERROR(VLOOKUP(Tableau119[[#This Row],[Key(Compte ILN - shipper - POL - plant)]],'DATA ILN'!A:J,10,FALSE),VLOOKUP(Tableau119[[#This Row],[Key(Compte ILN - shipper - POL)]],'DATA ILN'!B:J,9,FALSE))</f>
        <v>#N/A</v>
      </c>
      <c r="T278" s="50" t="e">
        <f>IFERROR(VLOOKUP(Tableau119[[#This Row],[Key(Compte ILN - shipper - POL - plant)]],'DATA ILN'!A:K,11,FALSE),VLOOKUP(Tableau119[[#This Row],[Key(Compte ILN - shipper - POL)]],'DATA ILN'!B:K,10,FALSE))</f>
        <v>#N/A</v>
      </c>
      <c r="U278" s="50" t="e">
        <f>IFERROR(VLOOKUP(Tableau119[[#This Row],[Key(Compte ILN - shipper - POL - plant)]],'DATA ILN'!A:L,12,FALSE),VLOOKUP(Tableau119[[#This Row],[Key(Compte ILN - shipper - POL)]],'DATA ILN'!B:L,11,FALSE))</f>
        <v>#N/A</v>
      </c>
      <c r="V278" s="50" t="e">
        <f>Tableau119[[#This Row],[Day ILN Order]]+Tableau119[[#This Row],[Delivery time to ILN/Shipper]]-1</f>
        <v>#N/A</v>
      </c>
      <c r="W278" s="50" t="e">
        <f>IFERROR(VLOOKUP(Tableau119[[#This Row],[Key(Compte ILN - shipper - POL - plant)]],'DATA ILN'!A:N,14,FALSE),VLOOKUP(Tableau119[[#This Row],[Key(Compte ILN - shipper - POL)]],'DATA ILN'!B:N,13,FALSE))</f>
        <v>#N/A</v>
      </c>
      <c r="X278" s="50" t="e">
        <f>IFERROR(VLOOKUP(Tableau119[[#This Row],[Key(Compte ILN - shipper - POL - plant)]],'DATA ILN'!A:P,16,FALSE),VLOOKUP(Tableau119[[#This Row],[Key(Compte ILN - shipper - POL)]],'DATA ILN'!B:P,15,FALSE))</f>
        <v>#N/A</v>
      </c>
      <c r="Y278" s="284" t="s">
        <v>150</v>
      </c>
      <c r="Z278" s="430">
        <f>IFERROR(VLOOKUP(Tableau119[[#This Row],[Name Shipper]],Plant_AILN!L:M,2,FALSE),0)</f>
        <v>2533780535</v>
      </c>
      <c r="AA278" s="406">
        <v>86</v>
      </c>
      <c r="AB278" s="396" t="b">
        <f>_xlfn.XLOOKUP(Tableau119[[#This Row],[Key(ID-date)]],'DATA BTO'!S:S,'DATA BTO'!E:E,FALSE)</f>
        <v>0</v>
      </c>
      <c r="AC278" s="3" t="b">
        <f>_xlfn.XLOOKUP(Tableau119[[#This Row],[Key(ID-date)]],'DATA BTO'!S:S,'DATA BTO'!F:F,FALSE)</f>
        <v>0</v>
      </c>
      <c r="AD278" s="50" t="b">
        <f>_xlfn.XLOOKUP(Tableau119[[#This Row],[Key(ID-date)]],'DATA BTO'!S:S,'DATA BTO'!G:G,FALSE)</f>
        <v>0</v>
      </c>
      <c r="AE278" s="50" t="b">
        <f>_xlfn.XLOOKUP(Tableau119[[#This Row],[Key(ID-date)]],'DATA BTO'!S:S,'DATA BTO'!H:H,FALSE)</f>
        <v>0</v>
      </c>
      <c r="AF278" s="81" t="e">
        <f>IF(Tableau119[[#This Row],[First Day to POL]]&lt;=Tableau119[[#This Row],[Day Cut Off]],Tableau119[[#This Row],[Day ETD]],Tableau119[[#This Row],[Day ETD]]+7)</f>
        <v>#N/A</v>
      </c>
      <c r="AG278" s="50" t="b">
        <f>_xlfn.XLOOKUP(Tableau119[[#This Row],[Key(ID-date)]],'DATA BTO'!S:S,'DATA BTO'!I:I,FALSE)</f>
        <v>0</v>
      </c>
      <c r="AH278" s="3" t="b">
        <f>_xlfn.XLOOKUP(Tableau119[[#This Row],[Key(ID-date)]],'DATA BTO'!S:S,'DATA BTO'!J:J,FALSE)</f>
        <v>0</v>
      </c>
      <c r="AI278" s="3" t="b">
        <f>_xlfn.XLOOKUP(Tableau119[[#This Row],[Key(ID-date)]],'DATA BTO'!S:S,'DATA BTO'!K:K,FALSE)</f>
        <v>0</v>
      </c>
      <c r="AJ278" s="50" t="b">
        <f>_xlfn.XLOOKUP(Tableau119[[#This Row],[Key(ID-date)]],'DATA BTO'!S:S,'DATA BTO'!L:L,FALSE)</f>
        <v>0</v>
      </c>
      <c r="AK278" s="53" t="b">
        <f>_xlfn.XLOOKUP(Tableau119[[#This Row],[Key(ID-date)]],'DATA BTO'!S:S,'DATA BTO'!N:N,FALSE)</f>
        <v>0</v>
      </c>
      <c r="AL278" s="54" t="e">
        <f>VLOOKUP(Tableau119[[#This Row],[Key(POD -PFI- Usine)]],'DATA Consignee'!A:F,6,FALSE)</f>
        <v>#N/A</v>
      </c>
      <c r="AM278" s="284"/>
      <c r="AN278" s="376" t="str">
        <f>IF(Tableau119[[#This Row],[Name PFI/CDD]]="","-",VLOOKUP(Tableau119[[#This Row],[Name PFI/CDD]],Plant_AILN!I:J,2,FALSE))</f>
        <v>-</v>
      </c>
      <c r="AO27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8" s="2" t="e">
        <f>VLOOKUP(Tableau119[[#This Row],[Key(POD -PFI- Usine)]],'DATA Consignee'!A:J,10,FALSE)</f>
        <v>#N/A</v>
      </c>
      <c r="AR278" s="50" t="e">
        <f>VLOOKUP(Tableau119[[#This Row],[Key(POD -PFI- Usine)]],'DATA Consignee'!A:N,14,FALSE)</f>
        <v>#N/A</v>
      </c>
      <c r="AS27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8" s="50">
        <f>Tableau119[[#This Row],[Transit time]]+Tableau119[[#This Row],[Time for security]]+Tableau119[[#This Row],[Time for security2 buffer]]</f>
        <v>0</v>
      </c>
      <c r="AV2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8" s="50" t="e">
        <f>Tableau119[[#This Row],[Leadtime SI2C]]+Tableau119[[#This Row],[First Receipt Days]]-Tableau119[[#This Row],[Day Customer Order]]+1</f>
        <v>#N/A</v>
      </c>
      <c r="AX278" s="119" t="e">
        <f>IF(Tableau119[[#This Row],[Name ILN]]&lt;&gt;"SFK Freight Forwarder",Tableau119[[#This Row],[Cust. Leadtime]],Tableau119[[#This Row],[Leadtime SI2C]])</f>
        <v>#N/A</v>
      </c>
      <c r="AY278" s="51" t="b">
        <f>_xlfn.XLOOKUP(Tableau119[[#This Row],[Key(ID-date)]],'DATA BTO'!S:S,'DATA BTO'!P:P,FALSE)</f>
        <v>0</v>
      </c>
      <c r="AZ278" s="338">
        <v>45473</v>
      </c>
      <c r="BA278" s="50"/>
    </row>
    <row r="279" spans="2:53">
      <c r="B279" s="446" t="str">
        <f>_xlfn.CONCAT(Tableau119[[#This Row],[Name ILN]],"-",Tableau119[[#This Row],[Name Shipper]],"-",Tableau119[[#This Row],[Name Site]])</f>
        <v>ILN Pune-ILN Pune-Curitiba CVU</v>
      </c>
      <c r="C279" s="66" t="str">
        <f>_xlfn.CONCAT(Tableau119[[#This Row],[Compte ILN]],"-",Tableau119[[#This Row],[Compte Shipper]],"-",Tableau119[[#This Row],[POL]],"-",Tableau119[[#This Row],[Compte Consignee]])</f>
        <v>2533780535-2533780535-FALSO-90018500</v>
      </c>
      <c r="D279" s="66" t="str">
        <f>_xlfn.CONCAT(Tableau119[[#This Row],[Compte ILN]],"-",Tableau119[[#This Row],[Compte Shipper]],"-",Tableau119[[#This Row],[POL]])</f>
        <v>2533780535-2533780535-FALSO</v>
      </c>
      <c r="E279" s="130" t="str">
        <f>_xlfn.CONCAT(Tableau119[[#This Row],[POL]],"-",Tableau119[[#This Row],[Carrier]],"-",Tableau119[[#This Row],[POD]])</f>
        <v>FALSO-FALSO-FALSO</v>
      </c>
      <c r="F279" s="66" t="str">
        <f>_xlfn.CONCAT(Tableau119[[#This Row],[ID]],"-","Actif")</f>
        <v>86-Actif</v>
      </c>
      <c r="G279" s="66" t="str">
        <f>_xlfn.CONCAT(Tableau119[[#This Row],[POD]],"-",Tableau119[[#This Row],[Code PFI]],"-",Tableau119[[#This Row],[Compte Consignee]])</f>
        <v>FALSO---90018500</v>
      </c>
      <c r="H2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PuneFALSOCuritiba CVU</v>
      </c>
      <c r="I279" s="434" t="str">
        <f>_xlfn.CONCAT(Tableau119[[#This Row],[ID]],"-",Tableau119[[#This Row],[Expiration Date]])</f>
        <v>86-45473</v>
      </c>
      <c r="J2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Pune-ILN Pune-86-FALSO-FALSO-FALSO--45473</v>
      </c>
      <c r="K279" s="119" t="str">
        <f ca="1">IF(COUNTIF(J:J,Tableau119[[#This Row],[Plant-ILN-shipper-POL-Carrier-POD-PFI]])=1,"Non","Oui")</f>
        <v>Non</v>
      </c>
      <c r="L279" s="128" t="str">
        <f>VLOOKUP(Tableau119[[#This Row],[Name Site]],Plant_AILN!A:D,4,FALSE)</f>
        <v>BRAZIL</v>
      </c>
      <c r="M279" s="411" t="s">
        <v>639</v>
      </c>
      <c r="N279" s="454">
        <f>VLOOKUP(Tableau119[[#This Row],[Name Site]],Plant_AILN!A:C,3,FALSE)</f>
        <v>90018500</v>
      </c>
      <c r="O279" s="55">
        <f>VLOOKUP(Tableau119[[#This Row],[Compte Consignee]],Order!C:D,2,FALSE)</f>
        <v>7</v>
      </c>
      <c r="P279" s="124" t="s">
        <v>150</v>
      </c>
      <c r="Q279" s="365">
        <f>VLOOKUP(Tableau119[[#This Row],[Name ILN]],Plant_AILN!F:G,2,FALSE)</f>
        <v>2533780535</v>
      </c>
      <c r="R279" s="50">
        <f>VLOOKUP(Tableau119[[#This Row],[Compte ILN]],'DATA ILN'!D:I,6,FALSE)</f>
        <v>9</v>
      </c>
      <c r="S279" s="50" t="e">
        <f>IFERROR(VLOOKUP(Tableau119[[#This Row],[Key(Compte ILN - shipper - POL - plant)]],'DATA ILN'!A:J,10,FALSE),VLOOKUP(Tableau119[[#This Row],[Key(Compte ILN - shipper - POL)]],'DATA ILN'!B:J,9,FALSE))</f>
        <v>#N/A</v>
      </c>
      <c r="T279" s="50" t="e">
        <f>IFERROR(VLOOKUP(Tableau119[[#This Row],[Key(Compte ILN - shipper - POL - plant)]],'DATA ILN'!A:K,11,FALSE),VLOOKUP(Tableau119[[#This Row],[Key(Compte ILN - shipper - POL)]],'DATA ILN'!B:K,10,FALSE))</f>
        <v>#N/A</v>
      </c>
      <c r="U279" s="50" t="e">
        <f>IFERROR(VLOOKUP(Tableau119[[#This Row],[Key(Compte ILN - shipper - POL - plant)]],'DATA ILN'!A:L,12,FALSE),VLOOKUP(Tableau119[[#This Row],[Key(Compte ILN - shipper - POL)]],'DATA ILN'!B:L,11,FALSE))</f>
        <v>#N/A</v>
      </c>
      <c r="V279" s="50" t="e">
        <f>Tableau119[[#This Row],[Day ILN Order]]+Tableau119[[#This Row],[Delivery time to ILN/Shipper]]-1</f>
        <v>#N/A</v>
      </c>
      <c r="W279" s="50" t="e">
        <f>IFERROR(VLOOKUP(Tableau119[[#This Row],[Key(Compte ILN - shipper - POL - plant)]],'DATA ILN'!A:N,14,FALSE),VLOOKUP(Tableau119[[#This Row],[Key(Compte ILN - shipper - POL)]],'DATA ILN'!B:N,13,FALSE))</f>
        <v>#N/A</v>
      </c>
      <c r="X279" s="50" t="e">
        <f>IFERROR(VLOOKUP(Tableau119[[#This Row],[Key(Compte ILN - shipper - POL - plant)]],'DATA ILN'!A:P,16,FALSE),VLOOKUP(Tableau119[[#This Row],[Key(Compte ILN - shipper - POL)]],'DATA ILN'!B:P,15,FALSE))</f>
        <v>#N/A</v>
      </c>
      <c r="Y279" s="284" t="s">
        <v>150</v>
      </c>
      <c r="Z279" s="430">
        <f>IFERROR(VLOOKUP(Tableau119[[#This Row],[Name Shipper]],Plant_AILN!L:M,2,FALSE),0)</f>
        <v>2533780535</v>
      </c>
      <c r="AA279" s="406">
        <v>86</v>
      </c>
      <c r="AB279" s="396" t="b">
        <f>_xlfn.XLOOKUP(Tableau119[[#This Row],[Key(ID-date)]],'DATA BTO'!S:S,'DATA BTO'!E:E,FALSE)</f>
        <v>0</v>
      </c>
      <c r="AC279" s="3" t="b">
        <f>_xlfn.XLOOKUP(Tableau119[[#This Row],[Key(ID-date)]],'DATA BTO'!S:S,'DATA BTO'!F:F,FALSE)</f>
        <v>0</v>
      </c>
      <c r="AD279" s="50" t="b">
        <f>_xlfn.XLOOKUP(Tableau119[[#This Row],[Key(ID-date)]],'DATA BTO'!S:S,'DATA BTO'!G:G,FALSE)</f>
        <v>0</v>
      </c>
      <c r="AE279" s="50" t="b">
        <f>_xlfn.XLOOKUP(Tableau119[[#This Row],[Key(ID-date)]],'DATA BTO'!S:S,'DATA BTO'!H:H,FALSE)</f>
        <v>0</v>
      </c>
      <c r="AF279" s="447" t="e">
        <f>IF(Tableau119[[#This Row],[First Day to POL]]&lt;=Tableau119[[#This Row],[Day Cut Off]],Tableau119[[#This Row],[Day ETD]],Tableau119[[#This Row],[Day ETD]]+7)</f>
        <v>#N/A</v>
      </c>
      <c r="AG279" s="50" t="b">
        <f>_xlfn.XLOOKUP(Tableau119[[#This Row],[Key(ID-date)]],'DATA BTO'!S:S,'DATA BTO'!I:I,FALSE)</f>
        <v>0</v>
      </c>
      <c r="AH279" s="3" t="b">
        <f>_xlfn.XLOOKUP(Tableau119[[#This Row],[Key(ID-date)]],'DATA BTO'!S:S,'DATA BTO'!J:J,FALSE)</f>
        <v>0</v>
      </c>
      <c r="AI279" s="3" t="b">
        <f>_xlfn.XLOOKUP(Tableau119[[#This Row],[Key(ID-date)]],'DATA BTO'!S:S,'DATA BTO'!K:K,FALSE)</f>
        <v>0</v>
      </c>
      <c r="AJ279" s="50" t="b">
        <f>_xlfn.XLOOKUP(Tableau119[[#This Row],[Key(ID-date)]],'DATA BTO'!S:S,'DATA BTO'!L:L,FALSE)</f>
        <v>0</v>
      </c>
      <c r="AK279" s="53" t="b">
        <f>_xlfn.XLOOKUP(Tableau119[[#This Row],[Key(ID-date)]],'DATA BTO'!S:S,'DATA BTO'!N:N,FALSE)</f>
        <v>0</v>
      </c>
      <c r="AL279" s="54" t="e">
        <f>VLOOKUP(Tableau119[[#This Row],[Key(POD -PFI- Usine)]],'DATA Consignee'!A:F,6,FALSE)</f>
        <v>#N/A</v>
      </c>
      <c r="AM279" s="284"/>
      <c r="AN279" s="376" t="str">
        <f>IF(Tableau119[[#This Row],[Name PFI/CDD]]="","-",VLOOKUP(Tableau119[[#This Row],[Name PFI/CDD]],Plant_AILN!I:J,2,FALSE))</f>
        <v>-</v>
      </c>
      <c r="AO2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79" s="2" t="e">
        <f>VLOOKUP(Tableau119[[#This Row],[Key(POD -PFI- Usine)]],'DATA Consignee'!A:J,10,FALSE)</f>
        <v>#N/A</v>
      </c>
      <c r="AR279" s="50" t="e">
        <f>VLOOKUP(Tableau119[[#This Row],[Key(POD -PFI- Usine)]],'DATA Consignee'!A:N,14,FALSE)</f>
        <v>#N/A</v>
      </c>
      <c r="AS2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79" s="50">
        <f>Tableau119[[#This Row],[Transit time]]+Tableau119[[#This Row],[Time for security]]+Tableau119[[#This Row],[Time for security2 buffer]]</f>
        <v>0</v>
      </c>
      <c r="AV2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79" s="50" t="e">
        <f>Tableau119[[#This Row],[Leadtime SI2C]]+Tableau119[[#This Row],[First Receipt Days]]-Tableau119[[#This Row],[Day Customer Order]]+1</f>
        <v>#N/A</v>
      </c>
      <c r="AX279" s="119" t="e">
        <f>IF(Tableau119[[#This Row],[Name ILN]]&lt;&gt;"SFK Freight Forwarder",Tableau119[[#This Row],[Cust. Leadtime]],Tableau119[[#This Row],[Leadtime SI2C]])</f>
        <v>#N/A</v>
      </c>
      <c r="AY279" s="51" t="b">
        <f>_xlfn.XLOOKUP(Tableau119[[#This Row],[Key(ID-date)]],'DATA BTO'!S:S,'DATA BTO'!P:P,FALSE)</f>
        <v>0</v>
      </c>
      <c r="AZ279" s="338">
        <v>45473</v>
      </c>
      <c r="BA279" s="50"/>
    </row>
    <row r="280" spans="2:53">
      <c r="B280" s="66" t="str">
        <f>_xlfn.CONCAT(Tableau119[[#This Row],[Name ILN]],"-",Tableau119[[#This Row],[Name Shipper]],"-",Tableau119[[#This Row],[Name Site]])</f>
        <v>ILN FR-ILN FR-Mexique CVC</v>
      </c>
      <c r="C280" s="66" t="str">
        <f>_xlfn.CONCAT(Tableau119[[#This Row],[Compte ILN]],"-",Tableau119[[#This Row],[Compte Shipper]],"-",Tableau119[[#This Row],[POL]],"-",Tableau119[[#This Row],[Compte Consignee]])</f>
        <v>92000100-92000100-FALSO-90101300</v>
      </c>
      <c r="D280" s="66" t="str">
        <f>_xlfn.CONCAT(Tableau119[[#This Row],[Compte ILN]],"-",Tableau119[[#This Row],[Compte Shipper]],"-",Tableau119[[#This Row],[POL]])</f>
        <v>92000100-92000100-FALSO</v>
      </c>
      <c r="E280" s="130" t="str">
        <f>_xlfn.CONCAT(Tableau119[[#This Row],[POL]],"-",Tableau119[[#This Row],[Carrier]],"-",Tableau119[[#This Row],[POD]])</f>
        <v>FALSO-FALSO-FALSO</v>
      </c>
      <c r="F280" s="66" t="str">
        <f>_xlfn.CONCAT(Tableau119[[#This Row],[ID]],"-","Actif")</f>
        <v>101-Actif</v>
      </c>
      <c r="G280" s="66" t="str">
        <f>_xlfn.CONCAT(Tableau119[[#This Row],[POD]],"-",Tableau119[[#This Row],[Code PFI]],"-",Tableau119[[#This Row],[Compte Consignee]])</f>
        <v>FALSO---90101300</v>
      </c>
      <c r="H2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FRFALSOMexique CVC</v>
      </c>
      <c r="I280" s="434" t="str">
        <f>_xlfn.CONCAT(Tableau119[[#This Row],[ID]],"-",Tableau119[[#This Row],[Expiration Date]])</f>
        <v>101-46142</v>
      </c>
      <c r="J2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CVC-ILN FR-ILN FR-101-FALSO-FALSO-FALSO--46142</v>
      </c>
      <c r="K280" s="119" t="str">
        <f ca="1">IF(COUNTIF(J:J,Tableau119[[#This Row],[Plant-ILN-shipper-POL-Carrier-POD-PFI]])=1,"Non","Oui")</f>
        <v>Non</v>
      </c>
      <c r="L280" s="436" t="str">
        <f>VLOOKUP(Tableau119[[#This Row],[Name Site]],Plant_AILN!A:D,4,FALSE)</f>
        <v>MEXICO</v>
      </c>
      <c r="M280" s="285" t="s">
        <v>229</v>
      </c>
      <c r="N280" s="454">
        <f>VLOOKUP(Tableau119[[#This Row],[Name Site]],Plant_AILN!A:C,3,FALSE)</f>
        <v>90101300</v>
      </c>
      <c r="O280" s="55">
        <f>IF(Tableau119[[#This Row],[Name PFI/CDD]]="PFI VLL",2,VLOOKUP(Tableau119[[#This Row],[Compte Consignee]],Order!C:D,2,FALSE))</f>
        <v>7</v>
      </c>
      <c r="P280" s="124" t="s">
        <v>143</v>
      </c>
      <c r="Q280" s="365">
        <f>VLOOKUP(Tableau119[[#This Row],[Name ILN]],Plant_AILN!F:G,2,FALSE)</f>
        <v>92000100</v>
      </c>
      <c r="R280" s="50">
        <f>VLOOKUP(Tableau119[[#This Row],[Compte ILN]],'DATA ILN'!D:I,6,FALSE)</f>
        <v>9</v>
      </c>
      <c r="S280" s="50" t="e">
        <f>IFERROR(VLOOKUP(Tableau119[[#This Row],[Key(Compte ILN - shipper - POL - plant)]],'DATA ILN'!A:J,10,FALSE),VLOOKUP(Tableau119[[#This Row],[Key(Compte ILN - shipper - POL)]],'DATA ILN'!B:J,9,FALSE))</f>
        <v>#N/A</v>
      </c>
      <c r="T280" s="50" t="e">
        <f>IFERROR(VLOOKUP(Tableau119[[#This Row],[Key(Compte ILN - shipper - POL - plant)]],'DATA ILN'!A:K,11,FALSE),VLOOKUP(Tableau119[[#This Row],[Key(Compte ILN - shipper - POL)]],'DATA ILN'!B:K,10,FALSE))</f>
        <v>#N/A</v>
      </c>
      <c r="U280" s="50" t="e">
        <f>IFERROR(VLOOKUP(Tableau119[[#This Row],[Key(Compte ILN - shipper - POL - plant)]],'DATA ILN'!A:L,12,FALSE),VLOOKUP(Tableau119[[#This Row],[Key(Compte ILN - shipper - POL)]],'DATA ILN'!B:L,11,FALSE))</f>
        <v>#N/A</v>
      </c>
      <c r="V280" s="50" t="e">
        <f>Tableau119[[#This Row],[Day ILN Order]]+Tableau119[[#This Row],[Delivery time to ILN/Shipper]]-1</f>
        <v>#N/A</v>
      </c>
      <c r="W280" s="50" t="e">
        <f>IFERROR(VLOOKUP(Tableau119[[#This Row],[Key(Compte ILN - shipper - POL - plant)]],'DATA ILN'!A:N,14,FALSE),VLOOKUP(Tableau119[[#This Row],[Key(Compte ILN - shipper - POL)]],'DATA ILN'!B:N,13,FALSE))</f>
        <v>#N/A</v>
      </c>
      <c r="X280" s="50" t="e">
        <f>IFERROR(VLOOKUP(Tableau119[[#This Row],[Key(Compte ILN - shipper - POL - plant)]],'DATA ILN'!A:P,16,FALSE),VLOOKUP(Tableau119[[#This Row],[Key(Compte ILN - shipper - POL)]],'DATA ILN'!B:P,15,FALSE))</f>
        <v>#N/A</v>
      </c>
      <c r="Y280" s="284" t="s">
        <v>143</v>
      </c>
      <c r="Z280" s="430">
        <f>IFERROR(VLOOKUP(Tableau119[[#This Row],[Name Shipper]],Plant_AILN!L:M,2,FALSE),0)</f>
        <v>92000100</v>
      </c>
      <c r="AA280" s="406">
        <v>101</v>
      </c>
      <c r="AB280" s="396" t="b">
        <f>_xlfn.XLOOKUP(Tableau119[[#This Row],[Key(ID-date)]],'DATA BTO'!S:S,'DATA BTO'!E:E,FALSE)</f>
        <v>0</v>
      </c>
      <c r="AC280" s="3" t="b">
        <f>_xlfn.XLOOKUP(Tableau119[[#This Row],[Key(ID-date)]],'DATA BTO'!S:S,'DATA BTO'!F:F,FALSE)</f>
        <v>0</v>
      </c>
      <c r="AD280" s="50" t="b">
        <f>_xlfn.XLOOKUP(Tableau119[[#This Row],[Key(ID-date)]],'DATA BTO'!S:S,'DATA BTO'!G:G,FALSE)</f>
        <v>0</v>
      </c>
      <c r="AE280" s="50" t="b">
        <f>_xlfn.XLOOKUP(Tableau119[[#This Row],[Key(ID-date)]],'DATA BTO'!S:S,'DATA BTO'!H:H,FALSE)</f>
        <v>0</v>
      </c>
      <c r="AF280" s="447" t="e">
        <f>IF(Tableau119[[#This Row],[First Day to POL]]&lt;=Tableau119[[#This Row],[Day Cut Off]],Tableau119[[#This Row],[Day ETD]],Tableau119[[#This Row],[Day ETD]]+7)</f>
        <v>#N/A</v>
      </c>
      <c r="AG280" s="50" t="b">
        <f>_xlfn.XLOOKUP(Tableau119[[#This Row],[Key(ID-date)]],'DATA BTO'!S:S,'DATA BTO'!I:I,FALSE)</f>
        <v>0</v>
      </c>
      <c r="AH280" s="3" t="b">
        <f>_xlfn.XLOOKUP(Tableau119[[#This Row],[Key(ID-date)]],'DATA BTO'!S:S,'DATA BTO'!J:J,FALSE)</f>
        <v>0</v>
      </c>
      <c r="AI280" s="3" t="b">
        <f>_xlfn.XLOOKUP(Tableau119[[#This Row],[Key(ID-date)]],'DATA BTO'!S:S,'DATA BTO'!K:K,FALSE)</f>
        <v>0</v>
      </c>
      <c r="AJ280" s="50" t="b">
        <f>_xlfn.XLOOKUP(Tableau119[[#This Row],[Key(ID-date)]],'DATA BTO'!S:S,'DATA BTO'!L:L,FALSE)</f>
        <v>0</v>
      </c>
      <c r="AK280" s="53" t="b">
        <f>_xlfn.XLOOKUP(Tableau119[[#This Row],[Key(ID-date)]],'DATA BTO'!S:S,'DATA BTO'!N:N,FALSE)</f>
        <v>0</v>
      </c>
      <c r="AL280" s="54" t="e">
        <f>VLOOKUP(Tableau119[[#This Row],[Key(POD -PFI- Usine)]],'DATA Consignee'!A:F,6,FALSE)</f>
        <v>#N/A</v>
      </c>
      <c r="AM280" s="284"/>
      <c r="AN280" s="376" t="str">
        <f>IF(Tableau119[[#This Row],[Name PFI/CDD]]="","-",VLOOKUP(Tableau119[[#This Row],[Name PFI/CDD]],Plant_AILN!I:J,2,FALSE))</f>
        <v>-</v>
      </c>
      <c r="AO2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0" s="2" t="e">
        <f>VLOOKUP(Tableau119[[#This Row],[Key(POD -PFI- Usine)]],'DATA Consignee'!A:J,10,FALSE)</f>
        <v>#N/A</v>
      </c>
      <c r="AR280" s="50" t="e">
        <f>VLOOKUP(Tableau119[[#This Row],[Key(POD -PFI- Usine)]],'DATA Consignee'!A:N,14,FALSE)</f>
        <v>#N/A</v>
      </c>
      <c r="AS28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0" s="50">
        <f>Tableau119[[#This Row],[Transit time]]+Tableau119[[#This Row],[Time for security]]+Tableau119[[#This Row],[Time for security2 buffer]]</f>
        <v>0</v>
      </c>
      <c r="AV2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0" s="50" t="e">
        <f>Tableau119[[#This Row],[Leadtime SI2C]]+Tableau119[[#This Row],[First Receipt Days]]-Tableau119[[#This Row],[Day Customer Order]]+1</f>
        <v>#N/A</v>
      </c>
      <c r="AX280" s="119" t="e">
        <f>IF(Tableau119[[#This Row],[Name ILN]]&lt;&gt;"SFK Freight Forwarder",Tableau119[[#This Row],[Cust. Leadtime]],Tableau119[[#This Row],[Leadtime SI2C]])</f>
        <v>#N/A</v>
      </c>
      <c r="AY280" s="51" t="b">
        <f>_xlfn.XLOOKUP(Tableau119[[#This Row],[Key(ID-date)]],'DATA BTO'!S:S,'DATA BTO'!P:P,FALSE)</f>
        <v>0</v>
      </c>
      <c r="AZ280" s="338">
        <v>46142</v>
      </c>
      <c r="BA280" s="50"/>
    </row>
    <row r="281" spans="2:53">
      <c r="B281" s="446" t="str">
        <f>_xlfn.CONCAT(Tableau119[[#This Row],[Name ILN]],"-",Tableau119[[#This Row],[Name Shipper]],"-",Tableau119[[#This Row],[Name Site]])</f>
        <v>ILN FR-ILN FR-Mexique CVC</v>
      </c>
      <c r="C281" s="66" t="str">
        <f>_xlfn.CONCAT(Tableau119[[#This Row],[Compte ILN]],"-",Tableau119[[#This Row],[Compte Shipper]],"-",Tableau119[[#This Row],[POL]],"-",Tableau119[[#This Row],[Compte Consignee]])</f>
        <v>92000100-92000100-FALSO-90101300</v>
      </c>
      <c r="D281" s="66" t="str">
        <f>_xlfn.CONCAT(Tableau119[[#This Row],[Compte ILN]],"-",Tableau119[[#This Row],[Compte Shipper]],"-",Tableau119[[#This Row],[POL]])</f>
        <v>92000100-92000100-FALSO</v>
      </c>
      <c r="E281" s="130" t="str">
        <f>_xlfn.CONCAT(Tableau119[[#This Row],[POL]],"-",Tableau119[[#This Row],[Carrier]],"-",Tableau119[[#This Row],[POD]])</f>
        <v>FALSO-FALSO-FALSO</v>
      </c>
      <c r="F281" s="66" t="str">
        <f>_xlfn.CONCAT(Tableau119[[#This Row],[ID]],"-","Actif")</f>
        <v>101-Actif</v>
      </c>
      <c r="G281" s="66" t="str">
        <f>_xlfn.CONCAT(Tableau119[[#This Row],[POD]],"-",Tableau119[[#This Row],[Code PFI]],"-",Tableau119[[#This Row],[Compte Consignee]])</f>
        <v>FALSO---90101300</v>
      </c>
      <c r="H2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FRFALSOMexique CVC</v>
      </c>
      <c r="I281" s="434" t="str">
        <f>_xlfn.CONCAT(Tableau119[[#This Row],[ID]],"-",Tableau119[[#This Row],[Expiration Date]])</f>
        <v>101-45777</v>
      </c>
      <c r="J2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CVC-ILN FR-ILN FR-101-FALSO-FALSO-FALSO--45777</v>
      </c>
      <c r="K281" s="119" t="str">
        <f ca="1">IF(COUNTIF(J:J,Tableau119[[#This Row],[Plant-ILN-shipper-POL-Carrier-POD-PFI]])=1,"Non","Oui")</f>
        <v>Non</v>
      </c>
      <c r="L281" s="128" t="str">
        <f>VLOOKUP(Tableau119[[#This Row],[Name Site]],Plant_AILN!A:D,4,FALSE)</f>
        <v>MEXICO</v>
      </c>
      <c r="M281" s="411" t="s">
        <v>229</v>
      </c>
      <c r="N281" s="454">
        <f>VLOOKUP(Tableau119[[#This Row],[Name Site]],Plant_AILN!A:C,3,FALSE)</f>
        <v>90101300</v>
      </c>
      <c r="O281" s="55">
        <f>VLOOKUP(Tableau119[[#This Row],[Compte Consignee]],Order!C:D,2,FALSE)</f>
        <v>7</v>
      </c>
      <c r="P281" s="124" t="s">
        <v>143</v>
      </c>
      <c r="Q281" s="365">
        <f>VLOOKUP(Tableau119[[#This Row],[Name ILN]],Plant_AILN!F:G,2,FALSE)</f>
        <v>92000100</v>
      </c>
      <c r="R281" s="50">
        <f>VLOOKUP(Tableau119[[#This Row],[Compte ILN]],'DATA ILN'!D:I,6,FALSE)</f>
        <v>9</v>
      </c>
      <c r="S281" s="50" t="e">
        <f>IFERROR(VLOOKUP(Tableau119[[#This Row],[Key(Compte ILN - shipper - POL - plant)]],'DATA ILN'!A:J,10,FALSE),VLOOKUP(Tableau119[[#This Row],[Key(Compte ILN - shipper - POL)]],'DATA ILN'!B:J,9,FALSE))</f>
        <v>#N/A</v>
      </c>
      <c r="T281" s="50" t="e">
        <f>IFERROR(VLOOKUP(Tableau119[[#This Row],[Key(Compte ILN - shipper - POL - plant)]],'DATA ILN'!A:K,11,FALSE),VLOOKUP(Tableau119[[#This Row],[Key(Compte ILN - shipper - POL)]],'DATA ILN'!B:K,10,FALSE))</f>
        <v>#N/A</v>
      </c>
      <c r="U281" s="50" t="e">
        <f>IFERROR(VLOOKUP(Tableau119[[#This Row],[Key(Compte ILN - shipper - POL - plant)]],'DATA ILN'!A:L,12,FALSE),VLOOKUP(Tableau119[[#This Row],[Key(Compte ILN - shipper - POL)]],'DATA ILN'!B:L,11,FALSE))</f>
        <v>#N/A</v>
      </c>
      <c r="V281" s="50" t="e">
        <f>Tableau119[[#This Row],[Day ILN Order]]+Tableau119[[#This Row],[Delivery time to ILN/Shipper]]-1</f>
        <v>#N/A</v>
      </c>
      <c r="W281" s="50" t="e">
        <f>IFERROR(VLOOKUP(Tableau119[[#This Row],[Key(Compte ILN - shipper - POL - plant)]],'DATA ILN'!A:N,14,FALSE),VLOOKUP(Tableau119[[#This Row],[Key(Compte ILN - shipper - POL)]],'DATA ILN'!B:N,13,FALSE))</f>
        <v>#N/A</v>
      </c>
      <c r="X281" s="50" t="e">
        <f>IFERROR(VLOOKUP(Tableau119[[#This Row],[Key(Compte ILN - shipper - POL - plant)]],'DATA ILN'!A:P,16,FALSE),VLOOKUP(Tableau119[[#This Row],[Key(Compte ILN - shipper - POL)]],'DATA ILN'!B:P,15,FALSE))</f>
        <v>#N/A</v>
      </c>
      <c r="Y281" s="284" t="s">
        <v>143</v>
      </c>
      <c r="Z281" s="430">
        <f>IFERROR(VLOOKUP(Tableau119[[#This Row],[Name Shipper]],Plant_AILN!L:M,2,FALSE),0)</f>
        <v>92000100</v>
      </c>
      <c r="AA281" s="406">
        <v>101</v>
      </c>
      <c r="AB281" s="396" t="b">
        <f>_xlfn.XLOOKUP(Tableau119[[#This Row],[Key(ID-date)]],'DATA BTO'!S:S,'DATA BTO'!E:E,FALSE)</f>
        <v>0</v>
      </c>
      <c r="AC281" s="3" t="b">
        <f>_xlfn.XLOOKUP(Tableau119[[#This Row],[Key(ID-date)]],'DATA BTO'!S:S,'DATA BTO'!F:F,FALSE)</f>
        <v>0</v>
      </c>
      <c r="AD281" s="50" t="b">
        <f>_xlfn.XLOOKUP(Tableau119[[#This Row],[Key(ID-date)]],'DATA BTO'!S:S,'DATA BTO'!G:G,FALSE)</f>
        <v>0</v>
      </c>
      <c r="AE281" s="50" t="b">
        <f>_xlfn.XLOOKUP(Tableau119[[#This Row],[Key(ID-date)]],'DATA BTO'!S:S,'DATA BTO'!H:H,FALSE)</f>
        <v>0</v>
      </c>
      <c r="AF281" s="447" t="e">
        <f>IF(Tableau119[[#This Row],[First Day to POL]]&lt;=Tableau119[[#This Row],[Day Cut Off]],Tableau119[[#This Row],[Day ETD]],Tableau119[[#This Row],[Day ETD]]+7)</f>
        <v>#N/A</v>
      </c>
      <c r="AG281" s="50" t="b">
        <f>_xlfn.XLOOKUP(Tableau119[[#This Row],[Key(ID-date)]],'DATA BTO'!S:S,'DATA BTO'!I:I,FALSE)</f>
        <v>0</v>
      </c>
      <c r="AH281" s="3" t="b">
        <f>_xlfn.XLOOKUP(Tableau119[[#This Row],[Key(ID-date)]],'DATA BTO'!S:S,'DATA BTO'!J:J,FALSE)</f>
        <v>0</v>
      </c>
      <c r="AI281" s="3" t="b">
        <f>_xlfn.XLOOKUP(Tableau119[[#This Row],[Key(ID-date)]],'DATA BTO'!S:S,'DATA BTO'!K:K,FALSE)</f>
        <v>0</v>
      </c>
      <c r="AJ281" s="50" t="b">
        <f>_xlfn.XLOOKUP(Tableau119[[#This Row],[Key(ID-date)]],'DATA BTO'!S:S,'DATA BTO'!L:L,FALSE)</f>
        <v>0</v>
      </c>
      <c r="AK281" s="53" t="b">
        <f>_xlfn.XLOOKUP(Tableau119[[#This Row],[Key(ID-date)]],'DATA BTO'!S:S,'DATA BTO'!N:N,FALSE)</f>
        <v>0</v>
      </c>
      <c r="AL281" s="54" t="e">
        <f>VLOOKUP(Tableau119[[#This Row],[Key(POD -PFI- Usine)]],'DATA Consignee'!A:F,6,FALSE)</f>
        <v>#N/A</v>
      </c>
      <c r="AM281" s="284"/>
      <c r="AN281" s="376" t="str">
        <f>IF(Tableau119[[#This Row],[Name PFI/CDD]]="","-",VLOOKUP(Tableau119[[#This Row],[Name PFI/CDD]],Plant_AILN!I:J,2,FALSE))</f>
        <v>-</v>
      </c>
      <c r="AO2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1" s="2" t="e">
        <f>VLOOKUP(Tableau119[[#This Row],[Key(POD -PFI- Usine)]],'DATA Consignee'!A:J,10,FALSE)</f>
        <v>#N/A</v>
      </c>
      <c r="AR281" s="50" t="e">
        <f>VLOOKUP(Tableau119[[#This Row],[Key(POD -PFI- Usine)]],'DATA Consignee'!A:N,14,FALSE)</f>
        <v>#N/A</v>
      </c>
      <c r="AS2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1" s="50">
        <f>Tableau119[[#This Row],[Transit time]]+Tableau119[[#This Row],[Time for security]]+Tableau119[[#This Row],[Time for security2 buffer]]</f>
        <v>0</v>
      </c>
      <c r="AV2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1" s="50" t="e">
        <f>Tableau119[[#This Row],[Leadtime SI2C]]+Tableau119[[#This Row],[First Receipt Days]]-Tableau119[[#This Row],[Day Customer Order]]+1</f>
        <v>#N/A</v>
      </c>
      <c r="AX281" s="119" t="e">
        <f>IF(Tableau119[[#This Row],[Name ILN]]&lt;&gt;"SFK Freight Forwarder",Tableau119[[#This Row],[Cust. Leadtime]],Tableau119[[#This Row],[Leadtime SI2C]])</f>
        <v>#N/A</v>
      </c>
      <c r="AY281" s="51" t="b">
        <f>_xlfn.XLOOKUP(Tableau119[[#This Row],[Key(ID-date)]],'DATA BTO'!S:S,'DATA BTO'!P:P,FALSE)</f>
        <v>0</v>
      </c>
      <c r="AZ281" s="338">
        <v>45777</v>
      </c>
      <c r="BA281" s="50"/>
    </row>
    <row r="282" spans="2:53">
      <c r="B282" s="446" t="str">
        <f>_xlfn.CONCAT(Tableau119[[#This Row],[Name ILN]],"-",Tableau119[[#This Row],[Name Shipper]],"-",Tableau119[[#This Row],[Name Site]])</f>
        <v>ILN FR-ILN FR-Mexique CVC</v>
      </c>
      <c r="C282" s="66" t="str">
        <f>_xlfn.CONCAT(Tableau119[[#This Row],[Compte ILN]],"-",Tableau119[[#This Row],[Compte Shipper]],"-",Tableau119[[#This Row],[POL]],"-",Tableau119[[#This Row],[Compte Consignee]])</f>
        <v>92000100-92000100-FALSO-90101300</v>
      </c>
      <c r="D282" s="66" t="str">
        <f>_xlfn.CONCAT(Tableau119[[#This Row],[Compte ILN]],"-",Tableau119[[#This Row],[Compte Shipper]],"-",Tableau119[[#This Row],[POL]])</f>
        <v>92000100-92000100-FALSO</v>
      </c>
      <c r="E282" s="130" t="str">
        <f>_xlfn.CONCAT(Tableau119[[#This Row],[POL]],"-",Tableau119[[#This Row],[Carrier]],"-",Tableau119[[#This Row],[POD]])</f>
        <v>FALSO-FALSO-FALSO</v>
      </c>
      <c r="F282" s="66" t="str">
        <f>_xlfn.CONCAT(Tableau119[[#This Row],[ID]],"-","Actif")</f>
        <v>101-Actif</v>
      </c>
      <c r="G282" s="66" t="str">
        <f>_xlfn.CONCAT(Tableau119[[#This Row],[POD]],"-",Tableau119[[#This Row],[Code PFI]],"-",Tableau119[[#This Row],[Compte Consignee]])</f>
        <v>FALSO---90101300</v>
      </c>
      <c r="H2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FRFALSOMexique CVC</v>
      </c>
      <c r="I282" s="434" t="str">
        <f>_xlfn.CONCAT(Tableau119[[#This Row],[ID]],"-",Tableau119[[#This Row],[Expiration Date]])</f>
        <v>101-45412</v>
      </c>
      <c r="J2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CVC-ILN FR-ILN FR-101-FALSO-FALSO-FALSO--45412</v>
      </c>
      <c r="K282" s="119" t="str">
        <f ca="1">IF(COUNTIF(J:J,Tableau119[[#This Row],[Plant-ILN-shipper-POL-Carrier-POD-PFI]])=1,"Non","Oui")</f>
        <v>Non</v>
      </c>
      <c r="L282" s="128" t="str">
        <f>VLOOKUP(Tableau119[[#This Row],[Name Site]],Plant_AILN!A:D,4,FALSE)</f>
        <v>MEXICO</v>
      </c>
      <c r="M282" s="411" t="s">
        <v>229</v>
      </c>
      <c r="N282" s="454">
        <f>VLOOKUP(Tableau119[[#This Row],[Name Site]],Plant_AILN!A:C,3,FALSE)</f>
        <v>90101300</v>
      </c>
      <c r="O282" s="55">
        <f>VLOOKUP(Tableau119[[#This Row],[Compte Consignee]],Order!C:D,2,FALSE)</f>
        <v>7</v>
      </c>
      <c r="P282" s="124" t="s">
        <v>143</v>
      </c>
      <c r="Q282" s="365">
        <f>VLOOKUP(Tableau119[[#This Row],[Name ILN]],Plant_AILN!F:G,2,FALSE)</f>
        <v>92000100</v>
      </c>
      <c r="R282" s="50">
        <f>VLOOKUP(Tableau119[[#This Row],[Compte ILN]],'DATA ILN'!D:I,6,FALSE)</f>
        <v>9</v>
      </c>
      <c r="S282" s="50" t="e">
        <f>IFERROR(VLOOKUP(Tableau119[[#This Row],[Key(Compte ILN - shipper - POL - plant)]],'DATA ILN'!A:J,10,FALSE),VLOOKUP(Tableau119[[#This Row],[Key(Compte ILN - shipper - POL)]],'DATA ILN'!B:J,9,FALSE))</f>
        <v>#N/A</v>
      </c>
      <c r="T282" s="50" t="e">
        <f>IFERROR(VLOOKUP(Tableau119[[#This Row],[Key(Compte ILN - shipper - POL - plant)]],'DATA ILN'!A:K,11,FALSE),VLOOKUP(Tableau119[[#This Row],[Key(Compte ILN - shipper - POL)]],'DATA ILN'!B:K,10,FALSE))</f>
        <v>#N/A</v>
      </c>
      <c r="U282" s="50" t="e">
        <f>IFERROR(VLOOKUP(Tableau119[[#This Row],[Key(Compte ILN - shipper - POL - plant)]],'DATA ILN'!A:L,12,FALSE),VLOOKUP(Tableau119[[#This Row],[Key(Compte ILN - shipper - POL)]],'DATA ILN'!B:L,11,FALSE))</f>
        <v>#N/A</v>
      </c>
      <c r="V282" s="50" t="e">
        <f>Tableau119[[#This Row],[Day ILN Order]]+Tableau119[[#This Row],[Delivery time to ILN/Shipper]]-1</f>
        <v>#N/A</v>
      </c>
      <c r="W282" s="50" t="e">
        <f>IFERROR(VLOOKUP(Tableau119[[#This Row],[Key(Compte ILN - shipper - POL - plant)]],'DATA ILN'!A:N,14,FALSE),VLOOKUP(Tableau119[[#This Row],[Key(Compte ILN - shipper - POL)]],'DATA ILN'!B:N,13,FALSE))</f>
        <v>#N/A</v>
      </c>
      <c r="X282" s="50" t="e">
        <f>IFERROR(VLOOKUP(Tableau119[[#This Row],[Key(Compte ILN - shipper - POL - plant)]],'DATA ILN'!A:P,16,FALSE),VLOOKUP(Tableau119[[#This Row],[Key(Compte ILN - shipper - POL)]],'DATA ILN'!B:P,15,FALSE))</f>
        <v>#N/A</v>
      </c>
      <c r="Y282" s="284" t="s">
        <v>143</v>
      </c>
      <c r="Z282" s="430">
        <f>IFERROR(VLOOKUP(Tableau119[[#This Row],[Name Shipper]],Plant_AILN!L:M,2,FALSE),0)</f>
        <v>92000100</v>
      </c>
      <c r="AA282" s="406">
        <v>101</v>
      </c>
      <c r="AB282" s="396" t="b">
        <f>_xlfn.XLOOKUP(Tableau119[[#This Row],[Key(ID-date)]],'DATA BTO'!S:S,'DATA BTO'!E:E,FALSE)</f>
        <v>0</v>
      </c>
      <c r="AC282" s="3" t="b">
        <f>_xlfn.XLOOKUP(Tableau119[[#This Row],[Key(ID-date)]],'DATA BTO'!S:S,'DATA BTO'!F:F,FALSE)</f>
        <v>0</v>
      </c>
      <c r="AD282" s="50" t="b">
        <f>_xlfn.XLOOKUP(Tableau119[[#This Row],[Key(ID-date)]],'DATA BTO'!S:S,'DATA BTO'!G:G,FALSE)</f>
        <v>0</v>
      </c>
      <c r="AE282" s="50" t="b">
        <f>_xlfn.XLOOKUP(Tableau119[[#This Row],[Key(ID-date)]],'DATA BTO'!S:S,'DATA BTO'!H:H,FALSE)</f>
        <v>0</v>
      </c>
      <c r="AF282" s="447" t="e">
        <f>IF(Tableau119[[#This Row],[First Day to POL]]&lt;=Tableau119[[#This Row],[Day Cut Off]],Tableau119[[#This Row],[Day ETD]],Tableau119[[#This Row],[Day ETD]]+7)</f>
        <v>#N/A</v>
      </c>
      <c r="AG282" s="50" t="b">
        <f>_xlfn.XLOOKUP(Tableau119[[#This Row],[Key(ID-date)]],'DATA BTO'!S:S,'DATA BTO'!I:I,FALSE)</f>
        <v>0</v>
      </c>
      <c r="AH282" s="3" t="b">
        <f>_xlfn.XLOOKUP(Tableau119[[#This Row],[Key(ID-date)]],'DATA BTO'!S:S,'DATA BTO'!J:J,FALSE)</f>
        <v>0</v>
      </c>
      <c r="AI282" s="3" t="b">
        <f>_xlfn.XLOOKUP(Tableau119[[#This Row],[Key(ID-date)]],'DATA BTO'!S:S,'DATA BTO'!K:K,FALSE)</f>
        <v>0</v>
      </c>
      <c r="AJ282" s="50" t="b">
        <f>_xlfn.XLOOKUP(Tableau119[[#This Row],[Key(ID-date)]],'DATA BTO'!S:S,'DATA BTO'!L:L,FALSE)</f>
        <v>0</v>
      </c>
      <c r="AK282" s="53" t="b">
        <f>_xlfn.XLOOKUP(Tableau119[[#This Row],[Key(ID-date)]],'DATA BTO'!S:S,'DATA BTO'!N:N,FALSE)</f>
        <v>0</v>
      </c>
      <c r="AL282" s="54" t="e">
        <f>VLOOKUP(Tableau119[[#This Row],[Key(POD -PFI- Usine)]],'DATA Consignee'!A:F,6,FALSE)</f>
        <v>#N/A</v>
      </c>
      <c r="AM282" s="284"/>
      <c r="AN282" s="376" t="str">
        <f>IF(Tableau119[[#This Row],[Name PFI/CDD]]="","-",VLOOKUP(Tableau119[[#This Row],[Name PFI/CDD]],Plant_AILN!I:J,2,FALSE))</f>
        <v>-</v>
      </c>
      <c r="AO28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2" s="2" t="e">
        <f>VLOOKUP(Tableau119[[#This Row],[Key(POD -PFI- Usine)]],'DATA Consignee'!A:J,10,FALSE)</f>
        <v>#N/A</v>
      </c>
      <c r="AR282" s="50" t="e">
        <f>VLOOKUP(Tableau119[[#This Row],[Key(POD -PFI- Usine)]],'DATA Consignee'!A:N,14,FALSE)</f>
        <v>#N/A</v>
      </c>
      <c r="AS28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2" s="50">
        <f>Tableau119[[#This Row],[Transit time]]+Tableau119[[#This Row],[Time for security]]+Tableau119[[#This Row],[Time for security2 buffer]]</f>
        <v>0</v>
      </c>
      <c r="AV2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2" s="50" t="e">
        <f>Tableau119[[#This Row],[Leadtime SI2C]]+Tableau119[[#This Row],[First Receipt Days]]-Tableau119[[#This Row],[Day Customer Order]]+1</f>
        <v>#N/A</v>
      </c>
      <c r="AX282" s="119" t="e">
        <f>IF(Tableau119[[#This Row],[Name ILN]]&lt;&gt;"SFK Freight Forwarder",Tableau119[[#This Row],[Cust. Leadtime]],Tableau119[[#This Row],[Leadtime SI2C]])</f>
        <v>#N/A</v>
      </c>
      <c r="AY282" s="51" t="b">
        <f>_xlfn.XLOOKUP(Tableau119[[#This Row],[Key(ID-date)]],'DATA BTO'!S:S,'DATA BTO'!P:P,FALSE)</f>
        <v>0</v>
      </c>
      <c r="AZ282" s="338">
        <v>45412</v>
      </c>
      <c r="BA282" s="50"/>
    </row>
    <row r="283" spans="2:53">
      <c r="B283" s="66" t="str">
        <f>_xlfn.CONCAT(Tableau119[[#This Row],[Name ILN]],"-",Tableau119[[#This Row],[Name Shipper]],"-",Tableau119[[#This Row],[Name Site]])</f>
        <v>ILN Mioveni-ILN Mioveni-SOMACA</v>
      </c>
      <c r="C283" s="66" t="str">
        <f>_xlfn.CONCAT(Tableau119[[#This Row],[Compte ILN]],"-",Tableau119[[#This Row],[Compte Shipper]],"-",Tableau119[[#This Row],[POL]],"-",Tableau119[[#This Row],[Compte Consignee]])</f>
        <v>28390-28390-FALSO-90038200</v>
      </c>
      <c r="D283" s="66" t="str">
        <f>_xlfn.CONCAT(Tableau119[[#This Row],[Compte ILN]],"-",Tableau119[[#This Row],[Compte Shipper]],"-",Tableau119[[#This Row],[POL]])</f>
        <v>28390-28390-FALSO</v>
      </c>
      <c r="E283" s="130" t="str">
        <f>_xlfn.CONCAT(Tableau119[[#This Row],[POL]],"-",Tableau119[[#This Row],[Carrier]],"-",Tableau119[[#This Row],[POD]])</f>
        <v>FALSO-FALSO-FALSO</v>
      </c>
      <c r="F283" s="66" t="str">
        <f>_xlfn.CONCAT(Tableau119[[#This Row],[ID]],"-","Actif")</f>
        <v>102-Actif</v>
      </c>
      <c r="G283" s="66" t="str">
        <f>_xlfn.CONCAT(Tableau119[[#This Row],[POD]],"-",Tableau119[[#This Row],[Code PFI]],"-",Tableau119[[#This Row],[Compte Consignee]])</f>
        <v>FALSO---90038200</v>
      </c>
      <c r="H2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MioveniFALSOSOMACA</v>
      </c>
      <c r="I283" s="434" t="str">
        <f>_xlfn.CONCAT(Tableau119[[#This Row],[ID]],"-",Tableau119[[#This Row],[Expiration Date]])</f>
        <v>102-46142</v>
      </c>
      <c r="J2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Mioveni-ILN Mioveni-102-FALSO-FALSO-FALSO--46142</v>
      </c>
      <c r="K283" s="119" t="str">
        <f ca="1">IF(COUNTIF(J:J,Tableau119[[#This Row],[Plant-ILN-shipper-POL-Carrier-POD-PFI]])=1,"Non","Oui")</f>
        <v>Non</v>
      </c>
      <c r="L283" s="436" t="str">
        <f>VLOOKUP(Tableau119[[#This Row],[Name Site]],Plant_AILN!A:D,4,FALSE)</f>
        <v>MOROCCO</v>
      </c>
      <c r="M283" s="285" t="s">
        <v>179</v>
      </c>
      <c r="N283" s="454">
        <f>VLOOKUP(Tableau119[[#This Row],[Name Site]],Plant_AILN!A:C,3,FALSE)</f>
        <v>90038200</v>
      </c>
      <c r="O283" s="55">
        <f>IF(Tableau119[[#This Row],[Name PFI/CDD]]="PFI VLL",2,VLOOKUP(Tableau119[[#This Row],[Compte Consignee]],Order!C:D,2,FALSE))</f>
        <v>7</v>
      </c>
      <c r="P283" s="124" t="s">
        <v>168</v>
      </c>
      <c r="Q283" s="365">
        <f>VLOOKUP(Tableau119[[#This Row],[Name ILN]],Plant_AILN!F:G,2,FALSE)</f>
        <v>28390</v>
      </c>
      <c r="R283" s="50">
        <f>VLOOKUP(Tableau119[[#This Row],[Compte ILN]],'DATA ILN'!D:I,6,FALSE)</f>
        <v>9</v>
      </c>
      <c r="S283" s="50" t="e">
        <f>IFERROR(VLOOKUP(Tableau119[[#This Row],[Key(Compte ILN - shipper - POL - plant)]],'DATA ILN'!A:J,10,FALSE),VLOOKUP(Tableau119[[#This Row],[Key(Compte ILN - shipper - POL)]],'DATA ILN'!B:J,9,FALSE))</f>
        <v>#N/A</v>
      </c>
      <c r="T283" s="50" t="e">
        <f>IFERROR(VLOOKUP(Tableau119[[#This Row],[Key(Compte ILN - shipper - POL - plant)]],'DATA ILN'!A:K,11,FALSE),VLOOKUP(Tableau119[[#This Row],[Key(Compte ILN - shipper - POL)]],'DATA ILN'!B:K,10,FALSE))</f>
        <v>#N/A</v>
      </c>
      <c r="U283" s="50" t="e">
        <f>IFERROR(VLOOKUP(Tableau119[[#This Row],[Key(Compte ILN - shipper - POL - plant)]],'DATA ILN'!A:L,12,FALSE),VLOOKUP(Tableau119[[#This Row],[Key(Compte ILN - shipper - POL)]],'DATA ILN'!B:L,11,FALSE))</f>
        <v>#N/A</v>
      </c>
      <c r="V283" s="50" t="e">
        <f>Tableau119[[#This Row],[Day ILN Order]]+Tableau119[[#This Row],[Delivery time to ILN/Shipper]]-1</f>
        <v>#N/A</v>
      </c>
      <c r="W283" s="50" t="e">
        <f>IFERROR(VLOOKUP(Tableau119[[#This Row],[Key(Compte ILN - shipper - POL - plant)]],'DATA ILN'!A:N,14,FALSE),VLOOKUP(Tableau119[[#This Row],[Key(Compte ILN - shipper - POL)]],'DATA ILN'!B:N,13,FALSE))</f>
        <v>#N/A</v>
      </c>
      <c r="X283" s="50" t="e">
        <f>IFERROR(VLOOKUP(Tableau119[[#This Row],[Key(Compte ILN - shipper - POL - plant)]],'DATA ILN'!A:P,16,FALSE),VLOOKUP(Tableau119[[#This Row],[Key(Compte ILN - shipper - POL)]],'DATA ILN'!B:P,15,FALSE))</f>
        <v>#N/A</v>
      </c>
      <c r="Y283" s="284" t="s">
        <v>168</v>
      </c>
      <c r="Z283" s="430">
        <f>IFERROR(VLOOKUP(Tableau119[[#This Row],[Name Shipper]],Plant_AILN!L:M,2,FALSE),0)</f>
        <v>28390</v>
      </c>
      <c r="AA283" s="406">
        <v>102</v>
      </c>
      <c r="AB283" s="396" t="b">
        <f>_xlfn.XLOOKUP(Tableau119[[#This Row],[Key(ID-date)]],'DATA BTO'!S:S,'DATA BTO'!E:E,FALSE)</f>
        <v>0</v>
      </c>
      <c r="AC283" s="3" t="b">
        <f>_xlfn.XLOOKUP(Tableau119[[#This Row],[Key(ID-date)]],'DATA BTO'!S:S,'DATA BTO'!F:F,FALSE)</f>
        <v>0</v>
      </c>
      <c r="AD283" s="50" t="b">
        <f>_xlfn.XLOOKUP(Tableau119[[#This Row],[Key(ID-date)]],'DATA BTO'!S:S,'DATA BTO'!G:G,FALSE)</f>
        <v>0</v>
      </c>
      <c r="AE283" s="50" t="b">
        <f>_xlfn.XLOOKUP(Tableau119[[#This Row],[Key(ID-date)]],'DATA BTO'!S:S,'DATA BTO'!H:H,FALSE)</f>
        <v>0</v>
      </c>
      <c r="AF283" s="447" t="e">
        <f>IF(Tableau119[[#This Row],[First Day to POL]]&lt;=Tableau119[[#This Row],[Day Cut Off]],Tableau119[[#This Row],[Day ETD]],Tableau119[[#This Row],[Day ETD]]+7)</f>
        <v>#N/A</v>
      </c>
      <c r="AG283" s="50" t="b">
        <f>_xlfn.XLOOKUP(Tableau119[[#This Row],[Key(ID-date)]],'DATA BTO'!S:S,'DATA BTO'!I:I,FALSE)</f>
        <v>0</v>
      </c>
      <c r="AH283" s="3" t="b">
        <f>_xlfn.XLOOKUP(Tableau119[[#This Row],[Key(ID-date)]],'DATA BTO'!S:S,'DATA BTO'!J:J,FALSE)</f>
        <v>0</v>
      </c>
      <c r="AI283" s="3" t="b">
        <f>_xlfn.XLOOKUP(Tableau119[[#This Row],[Key(ID-date)]],'DATA BTO'!S:S,'DATA BTO'!K:K,FALSE)</f>
        <v>0</v>
      </c>
      <c r="AJ283" s="50" t="b">
        <f>_xlfn.XLOOKUP(Tableau119[[#This Row],[Key(ID-date)]],'DATA BTO'!S:S,'DATA BTO'!L:L,FALSE)</f>
        <v>0</v>
      </c>
      <c r="AK283" s="53" t="b">
        <f>_xlfn.XLOOKUP(Tableau119[[#This Row],[Key(ID-date)]],'DATA BTO'!S:S,'DATA BTO'!N:N,FALSE)</f>
        <v>0</v>
      </c>
      <c r="AL283" s="54" t="e">
        <f>VLOOKUP(Tableau119[[#This Row],[Key(POD -PFI- Usine)]],'DATA Consignee'!A:F,6,FALSE)</f>
        <v>#N/A</v>
      </c>
      <c r="AM283" s="284"/>
      <c r="AN283" s="376" t="str">
        <f>IF(Tableau119[[#This Row],[Name PFI/CDD]]="","-",VLOOKUP(Tableau119[[#This Row],[Name PFI/CDD]],Plant_AILN!I:J,2,FALSE))</f>
        <v>-</v>
      </c>
      <c r="AO2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3" s="2" t="e">
        <f>VLOOKUP(Tableau119[[#This Row],[Key(POD -PFI- Usine)]],'DATA Consignee'!A:J,10,FALSE)</f>
        <v>#N/A</v>
      </c>
      <c r="AR283" s="50" t="e">
        <f>VLOOKUP(Tableau119[[#This Row],[Key(POD -PFI- Usine)]],'DATA Consignee'!A:N,14,FALSE)</f>
        <v>#N/A</v>
      </c>
      <c r="AS2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3" s="50">
        <f>Tableau119[[#This Row],[Transit time]]+Tableau119[[#This Row],[Time for security]]+Tableau119[[#This Row],[Time for security2 buffer]]</f>
        <v>0</v>
      </c>
      <c r="AV2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3" s="50" t="e">
        <f>Tableau119[[#This Row],[Leadtime SI2C]]+Tableau119[[#This Row],[First Receipt Days]]-Tableau119[[#This Row],[Day Customer Order]]+1</f>
        <v>#N/A</v>
      </c>
      <c r="AX283" s="119" t="e">
        <f>IF(Tableau119[[#This Row],[Name ILN]]&lt;&gt;"SFK Freight Forwarder",Tableau119[[#This Row],[Cust. Leadtime]],Tableau119[[#This Row],[Leadtime SI2C]])</f>
        <v>#N/A</v>
      </c>
      <c r="AY283" s="51" t="b">
        <f>_xlfn.XLOOKUP(Tableau119[[#This Row],[Key(ID-date)]],'DATA BTO'!S:S,'DATA BTO'!P:P,FALSE)</f>
        <v>0</v>
      </c>
      <c r="AZ283" s="338">
        <v>46142</v>
      </c>
      <c r="BA283" s="50"/>
    </row>
    <row r="284" spans="2:53">
      <c r="B284" s="446" t="str">
        <f>_xlfn.CONCAT(Tableau119[[#This Row],[Name ILN]],"-",Tableau119[[#This Row],[Name Shipper]],"-",Tableau119[[#This Row],[Name Site]])</f>
        <v>ILN Mioveni-ILN Mioveni-SOMACA</v>
      </c>
      <c r="C284" s="66" t="str">
        <f>_xlfn.CONCAT(Tableau119[[#This Row],[Compte ILN]],"-",Tableau119[[#This Row],[Compte Shipper]],"-",Tableau119[[#This Row],[POL]],"-",Tableau119[[#This Row],[Compte Consignee]])</f>
        <v>28390-28390-FALSO-90038200</v>
      </c>
      <c r="D284" s="66" t="str">
        <f>_xlfn.CONCAT(Tableau119[[#This Row],[Compte ILN]],"-",Tableau119[[#This Row],[Compte Shipper]],"-",Tableau119[[#This Row],[POL]])</f>
        <v>28390-28390-FALSO</v>
      </c>
      <c r="E284" s="130" t="str">
        <f>_xlfn.CONCAT(Tableau119[[#This Row],[POL]],"-",Tableau119[[#This Row],[Carrier]],"-",Tableau119[[#This Row],[POD]])</f>
        <v>FALSO-FALSO-FALSO</v>
      </c>
      <c r="F284" s="66" t="str">
        <f>_xlfn.CONCAT(Tableau119[[#This Row],[ID]],"-","Actif")</f>
        <v>102-Actif</v>
      </c>
      <c r="G284" s="66" t="str">
        <f>_xlfn.CONCAT(Tableau119[[#This Row],[POD]],"-",Tableau119[[#This Row],[Code PFI]],"-",Tableau119[[#This Row],[Compte Consignee]])</f>
        <v>FALSO---90038200</v>
      </c>
      <c r="H2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MioveniFALSOSOMACA</v>
      </c>
      <c r="I284" s="434" t="str">
        <f>_xlfn.CONCAT(Tableau119[[#This Row],[ID]],"-",Tableau119[[#This Row],[Expiration Date]])</f>
        <v>102-45906</v>
      </c>
      <c r="J2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Mioveni-ILN Mioveni-102-FALSO-FALSO-FALSO--45906</v>
      </c>
      <c r="K284" s="119" t="str">
        <f ca="1">IF(COUNTIF(J:J,Tableau119[[#This Row],[Plant-ILN-shipper-POL-Carrier-POD-PFI]])=1,"Non","Oui")</f>
        <v>Non</v>
      </c>
      <c r="L284" s="128" t="str">
        <f>VLOOKUP(Tableau119[[#This Row],[Name Site]],Plant_AILN!A:D,4,FALSE)</f>
        <v>MOROCCO</v>
      </c>
      <c r="M284" s="411" t="s">
        <v>179</v>
      </c>
      <c r="N284" s="454">
        <f>VLOOKUP(Tableau119[[#This Row],[Name Site]],Plant_AILN!A:C,3,FALSE)</f>
        <v>90038200</v>
      </c>
      <c r="O284" s="55">
        <f>VLOOKUP(Tableau119[[#This Row],[Compte Consignee]],Order!C:D,2,FALSE)</f>
        <v>7</v>
      </c>
      <c r="P284" s="124" t="s">
        <v>168</v>
      </c>
      <c r="Q284" s="365">
        <f>VLOOKUP(Tableau119[[#This Row],[Name ILN]],Plant_AILN!F:G,2,FALSE)</f>
        <v>28390</v>
      </c>
      <c r="R284" s="50">
        <f>VLOOKUP(Tableau119[[#This Row],[Compte ILN]],'DATA ILN'!D:I,6,FALSE)</f>
        <v>9</v>
      </c>
      <c r="S284" s="50" t="e">
        <f>IFERROR(VLOOKUP(Tableau119[[#This Row],[Key(Compte ILN - shipper - POL - plant)]],'DATA ILN'!A:J,10,FALSE),VLOOKUP(Tableau119[[#This Row],[Key(Compte ILN - shipper - POL)]],'DATA ILN'!B:J,9,FALSE))</f>
        <v>#N/A</v>
      </c>
      <c r="T284" s="50" t="e">
        <f>IFERROR(VLOOKUP(Tableau119[[#This Row],[Key(Compte ILN - shipper - POL - plant)]],'DATA ILN'!A:K,11,FALSE),VLOOKUP(Tableau119[[#This Row],[Key(Compte ILN - shipper - POL)]],'DATA ILN'!B:K,10,FALSE))</f>
        <v>#N/A</v>
      </c>
      <c r="U284" s="50" t="e">
        <f>IFERROR(VLOOKUP(Tableau119[[#This Row],[Key(Compte ILN - shipper - POL - plant)]],'DATA ILN'!A:L,12,FALSE),VLOOKUP(Tableau119[[#This Row],[Key(Compte ILN - shipper - POL)]],'DATA ILN'!B:L,11,FALSE))</f>
        <v>#N/A</v>
      </c>
      <c r="V284" s="50" t="e">
        <f>Tableau119[[#This Row],[Day ILN Order]]+Tableau119[[#This Row],[Delivery time to ILN/Shipper]]-1</f>
        <v>#N/A</v>
      </c>
      <c r="W284" s="50" t="e">
        <f>IFERROR(VLOOKUP(Tableau119[[#This Row],[Key(Compte ILN - shipper - POL - plant)]],'DATA ILN'!A:N,14,FALSE),VLOOKUP(Tableau119[[#This Row],[Key(Compte ILN - shipper - POL)]],'DATA ILN'!B:N,13,FALSE))</f>
        <v>#N/A</v>
      </c>
      <c r="X284" s="50" t="e">
        <f>IFERROR(VLOOKUP(Tableau119[[#This Row],[Key(Compte ILN - shipper - POL - plant)]],'DATA ILN'!A:P,16,FALSE),VLOOKUP(Tableau119[[#This Row],[Key(Compte ILN - shipper - POL)]],'DATA ILN'!B:P,15,FALSE))</f>
        <v>#N/A</v>
      </c>
      <c r="Y284" s="284" t="s">
        <v>168</v>
      </c>
      <c r="Z284" s="430">
        <f>IFERROR(VLOOKUP(Tableau119[[#This Row],[Name Shipper]],Plant_AILN!L:M,2,FALSE),0)</f>
        <v>28390</v>
      </c>
      <c r="AA284" s="406">
        <v>102</v>
      </c>
      <c r="AB284" s="396" t="b">
        <f>_xlfn.XLOOKUP(Tableau119[[#This Row],[Key(ID-date)]],'DATA BTO'!S:S,'DATA BTO'!E:E,FALSE)</f>
        <v>0</v>
      </c>
      <c r="AC284" s="3" t="b">
        <f>_xlfn.XLOOKUP(Tableau119[[#This Row],[Key(ID-date)]],'DATA BTO'!S:S,'DATA BTO'!F:F,FALSE)</f>
        <v>0</v>
      </c>
      <c r="AD284" s="50" t="b">
        <f>_xlfn.XLOOKUP(Tableau119[[#This Row],[Key(ID-date)]],'DATA BTO'!S:S,'DATA BTO'!G:G,FALSE)</f>
        <v>0</v>
      </c>
      <c r="AE284" s="50" t="b">
        <f>_xlfn.XLOOKUP(Tableau119[[#This Row],[Key(ID-date)]],'DATA BTO'!S:S,'DATA BTO'!H:H,FALSE)</f>
        <v>0</v>
      </c>
      <c r="AF284" s="447" t="e">
        <f>IF(Tableau119[[#This Row],[First Day to POL]]&lt;=Tableau119[[#This Row],[Day Cut Off]],Tableau119[[#This Row],[Day ETD]],Tableau119[[#This Row],[Day ETD]]+7)</f>
        <v>#N/A</v>
      </c>
      <c r="AG284" s="50" t="b">
        <f>_xlfn.XLOOKUP(Tableau119[[#This Row],[Key(ID-date)]],'DATA BTO'!S:S,'DATA BTO'!I:I,FALSE)</f>
        <v>0</v>
      </c>
      <c r="AH284" s="3" t="b">
        <f>_xlfn.XLOOKUP(Tableau119[[#This Row],[Key(ID-date)]],'DATA BTO'!S:S,'DATA BTO'!J:J,FALSE)</f>
        <v>0</v>
      </c>
      <c r="AI284" s="3" t="b">
        <f>_xlfn.XLOOKUP(Tableau119[[#This Row],[Key(ID-date)]],'DATA BTO'!S:S,'DATA BTO'!K:K,FALSE)</f>
        <v>0</v>
      </c>
      <c r="AJ284" s="50" t="b">
        <f>_xlfn.XLOOKUP(Tableau119[[#This Row],[Key(ID-date)]],'DATA BTO'!S:S,'DATA BTO'!L:L,FALSE)</f>
        <v>0</v>
      </c>
      <c r="AK284" s="53" t="b">
        <f>_xlfn.XLOOKUP(Tableau119[[#This Row],[Key(ID-date)]],'DATA BTO'!S:S,'DATA BTO'!N:N,FALSE)</f>
        <v>0</v>
      </c>
      <c r="AL284" s="54" t="e">
        <f>VLOOKUP(Tableau119[[#This Row],[Key(POD -PFI- Usine)]],'DATA Consignee'!A:F,6,FALSE)</f>
        <v>#N/A</v>
      </c>
      <c r="AM284" s="284"/>
      <c r="AN284" s="376" t="str">
        <f>IF(Tableau119[[#This Row],[Name PFI/CDD]]="","-",VLOOKUP(Tableau119[[#This Row],[Name PFI/CDD]],Plant_AILN!I:J,2,FALSE))</f>
        <v>-</v>
      </c>
      <c r="AO2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4" s="2" t="e">
        <f>VLOOKUP(Tableau119[[#This Row],[Key(POD -PFI- Usine)]],'DATA Consignee'!A:J,10,FALSE)</f>
        <v>#N/A</v>
      </c>
      <c r="AR284" s="50" t="e">
        <f>VLOOKUP(Tableau119[[#This Row],[Key(POD -PFI- Usine)]],'DATA Consignee'!A:N,14,FALSE)</f>
        <v>#N/A</v>
      </c>
      <c r="AS2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4" s="50">
        <f>Tableau119[[#This Row],[Transit time]]+Tableau119[[#This Row],[Time for security]]+Tableau119[[#This Row],[Time for security2 buffer]]</f>
        <v>0</v>
      </c>
      <c r="AV2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4" s="50" t="e">
        <f>Tableau119[[#This Row],[Leadtime SI2C]]+Tableau119[[#This Row],[First Receipt Days]]-Tableau119[[#This Row],[Day Customer Order]]+1</f>
        <v>#N/A</v>
      </c>
      <c r="AX284" s="119" t="e">
        <f>IF(Tableau119[[#This Row],[Name ILN]]&lt;&gt;"SFK Freight Forwarder",Tableau119[[#This Row],[Cust. Leadtime]],Tableau119[[#This Row],[Leadtime SI2C]])</f>
        <v>#N/A</v>
      </c>
      <c r="AY284" s="51" t="b">
        <f>_xlfn.XLOOKUP(Tableau119[[#This Row],[Key(ID-date)]],'DATA BTO'!S:S,'DATA BTO'!P:P,FALSE)</f>
        <v>0</v>
      </c>
      <c r="AZ284" s="338">
        <v>45906</v>
      </c>
      <c r="BA284" s="50"/>
    </row>
    <row r="285" spans="2:53">
      <c r="B285" s="446" t="str">
        <f>_xlfn.CONCAT(Tableau119[[#This Row],[Name ILN]],"-",Tableau119[[#This Row],[Name Shipper]],"-",Tableau119[[#This Row],[Name Site]])</f>
        <v>ILN Mioveni-ILN Mioveni-SOMACA</v>
      </c>
      <c r="C285" s="66" t="str">
        <f>_xlfn.CONCAT(Tableau119[[#This Row],[Compte ILN]],"-",Tableau119[[#This Row],[Compte Shipper]],"-",Tableau119[[#This Row],[POL]],"-",Tableau119[[#This Row],[Compte Consignee]])</f>
        <v>28390-28390-FALSO-90038200</v>
      </c>
      <c r="D285" s="66" t="str">
        <f>_xlfn.CONCAT(Tableau119[[#This Row],[Compte ILN]],"-",Tableau119[[#This Row],[Compte Shipper]],"-",Tableau119[[#This Row],[POL]])</f>
        <v>28390-28390-FALSO</v>
      </c>
      <c r="E285" s="130" t="str">
        <f>_xlfn.CONCAT(Tableau119[[#This Row],[POL]],"-",Tableau119[[#This Row],[Carrier]],"-",Tableau119[[#This Row],[POD]])</f>
        <v>FALSO-FALSO-FALSO</v>
      </c>
      <c r="F285" s="66" t="str">
        <f>_xlfn.CONCAT(Tableau119[[#This Row],[ID]],"-","Actif")</f>
        <v>102-Actif</v>
      </c>
      <c r="G285" s="66" t="str">
        <f>_xlfn.CONCAT(Tableau119[[#This Row],[POD]],"-",Tableau119[[#This Row],[Code PFI]],"-",Tableau119[[#This Row],[Compte Consignee]])</f>
        <v>FALSO---90038200</v>
      </c>
      <c r="H2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MioveniFALSOSOMACA</v>
      </c>
      <c r="I285" s="434" t="str">
        <f>_xlfn.CONCAT(Tableau119[[#This Row],[ID]],"-",Tableau119[[#This Row],[Expiration Date]])</f>
        <v>102-45788</v>
      </c>
      <c r="J2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Mioveni-ILN Mioveni-102-FALSO-FALSO-FALSO--45788</v>
      </c>
      <c r="K285" s="119" t="str">
        <f ca="1">IF(COUNTIF(J:J,Tableau119[[#This Row],[Plant-ILN-shipper-POL-Carrier-POD-PFI]])=1,"Non","Oui")</f>
        <v>Non</v>
      </c>
      <c r="L285" s="128" t="str">
        <f>VLOOKUP(Tableau119[[#This Row],[Name Site]],Plant_AILN!A:D,4,FALSE)</f>
        <v>MOROCCO</v>
      </c>
      <c r="M285" s="411" t="s">
        <v>179</v>
      </c>
      <c r="N285" s="454">
        <f>VLOOKUP(Tableau119[[#This Row],[Name Site]],Plant_AILN!A:C,3,FALSE)</f>
        <v>90038200</v>
      </c>
      <c r="O285" s="55">
        <f>VLOOKUP(Tableau119[[#This Row],[Compte Consignee]],Order!C:D,2,FALSE)</f>
        <v>7</v>
      </c>
      <c r="P285" s="124" t="s">
        <v>168</v>
      </c>
      <c r="Q285" s="365">
        <f>VLOOKUP(Tableau119[[#This Row],[Name ILN]],Plant_AILN!F:G,2,FALSE)</f>
        <v>28390</v>
      </c>
      <c r="R285" s="50">
        <f>VLOOKUP(Tableau119[[#This Row],[Compte ILN]],'DATA ILN'!D:I,6,FALSE)</f>
        <v>9</v>
      </c>
      <c r="S285" s="50" t="e">
        <f>IFERROR(VLOOKUP(Tableau119[[#This Row],[Key(Compte ILN - shipper - POL - plant)]],'DATA ILN'!A:J,10,FALSE),VLOOKUP(Tableau119[[#This Row],[Key(Compte ILN - shipper - POL)]],'DATA ILN'!B:J,9,FALSE))</f>
        <v>#N/A</v>
      </c>
      <c r="T285" s="50" t="e">
        <f>IFERROR(VLOOKUP(Tableau119[[#This Row],[Key(Compte ILN - shipper - POL - plant)]],'DATA ILN'!A:K,11,FALSE),VLOOKUP(Tableau119[[#This Row],[Key(Compte ILN - shipper - POL)]],'DATA ILN'!B:K,10,FALSE))</f>
        <v>#N/A</v>
      </c>
      <c r="U285" s="50" t="e">
        <f>IFERROR(VLOOKUP(Tableau119[[#This Row],[Key(Compte ILN - shipper - POL - plant)]],'DATA ILN'!A:L,12,FALSE),VLOOKUP(Tableau119[[#This Row],[Key(Compte ILN - shipper - POL)]],'DATA ILN'!B:L,11,FALSE))</f>
        <v>#N/A</v>
      </c>
      <c r="V285" s="50" t="e">
        <f>Tableau119[[#This Row],[Day ILN Order]]+Tableau119[[#This Row],[Delivery time to ILN/Shipper]]-1</f>
        <v>#N/A</v>
      </c>
      <c r="W285" s="50" t="e">
        <f>IFERROR(VLOOKUP(Tableau119[[#This Row],[Key(Compte ILN - shipper - POL - plant)]],'DATA ILN'!A:N,14,FALSE),VLOOKUP(Tableau119[[#This Row],[Key(Compte ILN - shipper - POL)]],'DATA ILN'!B:N,13,FALSE))</f>
        <v>#N/A</v>
      </c>
      <c r="X285" s="50" t="e">
        <f>IFERROR(VLOOKUP(Tableau119[[#This Row],[Key(Compte ILN - shipper - POL - plant)]],'DATA ILN'!A:P,16,FALSE),VLOOKUP(Tableau119[[#This Row],[Key(Compte ILN - shipper - POL)]],'DATA ILN'!B:P,15,FALSE))</f>
        <v>#N/A</v>
      </c>
      <c r="Y285" s="284" t="s">
        <v>168</v>
      </c>
      <c r="Z285" s="430">
        <f>IFERROR(VLOOKUP(Tableau119[[#This Row],[Name Shipper]],Plant_AILN!L:M,2,FALSE),0)</f>
        <v>28390</v>
      </c>
      <c r="AA285" s="406">
        <v>102</v>
      </c>
      <c r="AB285" s="396" t="b">
        <f>_xlfn.XLOOKUP(Tableau119[[#This Row],[Key(ID-date)]],'DATA BTO'!S:S,'DATA BTO'!E:E,FALSE)</f>
        <v>0</v>
      </c>
      <c r="AC285" s="3" t="b">
        <f>_xlfn.XLOOKUP(Tableau119[[#This Row],[Key(ID-date)]],'DATA BTO'!S:S,'DATA BTO'!F:F,FALSE)</f>
        <v>0</v>
      </c>
      <c r="AD285" s="50" t="b">
        <f>_xlfn.XLOOKUP(Tableau119[[#This Row],[Key(ID-date)]],'DATA BTO'!S:S,'DATA BTO'!G:G,FALSE)</f>
        <v>0</v>
      </c>
      <c r="AE285" s="50" t="b">
        <f>_xlfn.XLOOKUP(Tableau119[[#This Row],[Key(ID-date)]],'DATA BTO'!S:S,'DATA BTO'!H:H,FALSE)</f>
        <v>0</v>
      </c>
      <c r="AF285" s="447" t="e">
        <f>IF(Tableau119[[#This Row],[First Day to POL]]&lt;=Tableau119[[#This Row],[Day Cut Off]],Tableau119[[#This Row],[Day ETD]],Tableau119[[#This Row],[Day ETD]]+7)</f>
        <v>#N/A</v>
      </c>
      <c r="AG285" s="50" t="b">
        <f>_xlfn.XLOOKUP(Tableau119[[#This Row],[Key(ID-date)]],'DATA BTO'!S:S,'DATA BTO'!I:I,FALSE)</f>
        <v>0</v>
      </c>
      <c r="AH285" s="3" t="b">
        <f>_xlfn.XLOOKUP(Tableau119[[#This Row],[Key(ID-date)]],'DATA BTO'!S:S,'DATA BTO'!J:J,FALSE)</f>
        <v>0</v>
      </c>
      <c r="AI285" s="3" t="b">
        <f>_xlfn.XLOOKUP(Tableau119[[#This Row],[Key(ID-date)]],'DATA BTO'!S:S,'DATA BTO'!K:K,FALSE)</f>
        <v>0</v>
      </c>
      <c r="AJ285" s="50" t="b">
        <f>_xlfn.XLOOKUP(Tableau119[[#This Row],[Key(ID-date)]],'DATA BTO'!S:S,'DATA BTO'!L:L,FALSE)</f>
        <v>0</v>
      </c>
      <c r="AK285" s="53" t="b">
        <f>_xlfn.XLOOKUP(Tableau119[[#This Row],[Key(ID-date)]],'DATA BTO'!S:S,'DATA BTO'!N:N,FALSE)</f>
        <v>0</v>
      </c>
      <c r="AL285" s="54" t="e">
        <f>VLOOKUP(Tableau119[[#This Row],[Key(POD -PFI- Usine)]],'DATA Consignee'!A:F,6,FALSE)</f>
        <v>#N/A</v>
      </c>
      <c r="AM285" s="284"/>
      <c r="AN285" s="376" t="str">
        <f>IF(Tableau119[[#This Row],[Name PFI/CDD]]="","-",VLOOKUP(Tableau119[[#This Row],[Name PFI/CDD]],Plant_AILN!I:J,2,FALSE))</f>
        <v>-</v>
      </c>
      <c r="AO2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5" s="2" t="e">
        <f>VLOOKUP(Tableau119[[#This Row],[Key(POD -PFI- Usine)]],'DATA Consignee'!A:J,10,FALSE)</f>
        <v>#N/A</v>
      </c>
      <c r="AR285" s="50" t="e">
        <f>VLOOKUP(Tableau119[[#This Row],[Key(POD -PFI- Usine)]],'DATA Consignee'!A:N,14,FALSE)</f>
        <v>#N/A</v>
      </c>
      <c r="AS2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5" s="50">
        <f>Tableau119[[#This Row],[Transit time]]+Tableau119[[#This Row],[Time for security]]+Tableau119[[#This Row],[Time for security2 buffer]]</f>
        <v>0</v>
      </c>
      <c r="AV2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5" s="50" t="e">
        <f>Tableau119[[#This Row],[Leadtime SI2C]]+Tableau119[[#This Row],[First Receipt Days]]-Tableau119[[#This Row],[Day Customer Order]]+1</f>
        <v>#N/A</v>
      </c>
      <c r="AX285" s="119" t="e">
        <f>IF(Tableau119[[#This Row],[Name ILN]]&lt;&gt;"SFK Freight Forwarder",Tableau119[[#This Row],[Cust. Leadtime]],Tableau119[[#This Row],[Leadtime SI2C]])</f>
        <v>#N/A</v>
      </c>
      <c r="AY285" s="51" t="b">
        <f>_xlfn.XLOOKUP(Tableau119[[#This Row],[Key(ID-date)]],'DATA BTO'!S:S,'DATA BTO'!P:P,FALSE)</f>
        <v>0</v>
      </c>
      <c r="AZ285" s="338">
        <v>45788</v>
      </c>
      <c r="BA285" s="50"/>
    </row>
    <row r="286" spans="2:53">
      <c r="B286" s="446" t="str">
        <f>_xlfn.CONCAT(Tableau119[[#This Row],[Name ILN]],"-",Tableau119[[#This Row],[Name Shipper]],"-",Tableau119[[#This Row],[Name Site]])</f>
        <v>ILN Mioveni-ILN Mioveni-SOMACA</v>
      </c>
      <c r="C286" s="66" t="str">
        <f>_xlfn.CONCAT(Tableau119[[#This Row],[Compte ILN]],"-",Tableau119[[#This Row],[Compte Shipper]],"-",Tableau119[[#This Row],[POL]],"-",Tableau119[[#This Row],[Compte Consignee]])</f>
        <v>28390-28390-FALSO-90038200</v>
      </c>
      <c r="D286" s="66" t="str">
        <f>_xlfn.CONCAT(Tableau119[[#This Row],[Compte ILN]],"-",Tableau119[[#This Row],[Compte Shipper]],"-",Tableau119[[#This Row],[POL]])</f>
        <v>28390-28390-FALSO</v>
      </c>
      <c r="E286" s="130" t="str">
        <f>_xlfn.CONCAT(Tableau119[[#This Row],[POL]],"-",Tableau119[[#This Row],[Carrier]],"-",Tableau119[[#This Row],[POD]])</f>
        <v>FALSO-FALSO-FALSO</v>
      </c>
      <c r="F286" s="66" t="str">
        <f>_xlfn.CONCAT(Tableau119[[#This Row],[ID]],"-","Actif")</f>
        <v>102-Actif</v>
      </c>
      <c r="G286" s="66" t="str">
        <f>_xlfn.CONCAT(Tableau119[[#This Row],[POD]],"-",Tableau119[[#This Row],[Code PFI]],"-",Tableau119[[#This Row],[Compte Consignee]])</f>
        <v>FALSO---90038200</v>
      </c>
      <c r="H2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MioveniFALSOSOMACA</v>
      </c>
      <c r="I286" s="434" t="str">
        <f>_xlfn.CONCAT(Tableau119[[#This Row],[ID]],"-",Tableau119[[#This Row],[Expiration Date]])</f>
        <v>102-45708</v>
      </c>
      <c r="J2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Mioveni-ILN Mioveni-102-FALSO-FALSO-FALSO--45708</v>
      </c>
      <c r="K286" s="119" t="str">
        <f ca="1">IF(COUNTIF(J:J,Tableau119[[#This Row],[Plant-ILN-shipper-POL-Carrier-POD-PFI]])=1,"Non","Oui")</f>
        <v>Non</v>
      </c>
      <c r="L286" s="128" t="str">
        <f>VLOOKUP(Tableau119[[#This Row],[Name Site]],Plant_AILN!A:D,4,FALSE)</f>
        <v>MOROCCO</v>
      </c>
      <c r="M286" s="411" t="s">
        <v>179</v>
      </c>
      <c r="N286" s="454">
        <f>VLOOKUP(Tableau119[[#This Row],[Name Site]],Plant_AILN!A:C,3,FALSE)</f>
        <v>90038200</v>
      </c>
      <c r="O286" s="55">
        <f>VLOOKUP(Tableau119[[#This Row],[Compte Consignee]],Order!C:D,2,FALSE)</f>
        <v>7</v>
      </c>
      <c r="P286" s="124" t="s">
        <v>168</v>
      </c>
      <c r="Q286" s="365">
        <f>VLOOKUP(Tableau119[[#This Row],[Name ILN]],Plant_AILN!F:G,2,FALSE)</f>
        <v>28390</v>
      </c>
      <c r="R286" s="50">
        <f>VLOOKUP(Tableau119[[#This Row],[Compte ILN]],'DATA ILN'!D:I,6,FALSE)</f>
        <v>9</v>
      </c>
      <c r="S286" s="50" t="e">
        <f>IFERROR(VLOOKUP(Tableau119[[#This Row],[Key(Compte ILN - shipper - POL - plant)]],'DATA ILN'!A:J,10,FALSE),VLOOKUP(Tableau119[[#This Row],[Key(Compte ILN - shipper - POL)]],'DATA ILN'!B:J,9,FALSE))</f>
        <v>#N/A</v>
      </c>
      <c r="T286" s="50" t="e">
        <f>IFERROR(VLOOKUP(Tableau119[[#This Row],[Key(Compte ILN - shipper - POL - plant)]],'DATA ILN'!A:K,11,FALSE),VLOOKUP(Tableau119[[#This Row],[Key(Compte ILN - shipper - POL)]],'DATA ILN'!B:K,10,FALSE))</f>
        <v>#N/A</v>
      </c>
      <c r="U286" s="50" t="e">
        <f>IFERROR(VLOOKUP(Tableau119[[#This Row],[Key(Compte ILN - shipper - POL - plant)]],'DATA ILN'!A:L,12,FALSE),VLOOKUP(Tableau119[[#This Row],[Key(Compte ILN - shipper - POL)]],'DATA ILN'!B:L,11,FALSE))</f>
        <v>#N/A</v>
      </c>
      <c r="V286" s="50" t="e">
        <f>Tableau119[[#This Row],[Day ILN Order]]+Tableau119[[#This Row],[Delivery time to ILN/Shipper]]-1</f>
        <v>#N/A</v>
      </c>
      <c r="W286" s="50" t="e">
        <f>IFERROR(VLOOKUP(Tableau119[[#This Row],[Key(Compte ILN - shipper - POL - plant)]],'DATA ILN'!A:N,14,FALSE),VLOOKUP(Tableau119[[#This Row],[Key(Compte ILN - shipper - POL)]],'DATA ILN'!B:N,13,FALSE))</f>
        <v>#N/A</v>
      </c>
      <c r="X286" s="50" t="e">
        <f>IFERROR(VLOOKUP(Tableau119[[#This Row],[Key(Compte ILN - shipper - POL - plant)]],'DATA ILN'!A:P,16,FALSE),VLOOKUP(Tableau119[[#This Row],[Key(Compte ILN - shipper - POL)]],'DATA ILN'!B:P,15,FALSE))</f>
        <v>#N/A</v>
      </c>
      <c r="Y286" s="284" t="s">
        <v>168</v>
      </c>
      <c r="Z286" s="430">
        <f>IFERROR(VLOOKUP(Tableau119[[#This Row],[Name Shipper]],Plant_AILN!L:M,2,FALSE),0)</f>
        <v>28390</v>
      </c>
      <c r="AA286" s="406">
        <v>102</v>
      </c>
      <c r="AB286" s="396" t="b">
        <f>_xlfn.XLOOKUP(Tableau119[[#This Row],[Key(ID-date)]],'DATA BTO'!S:S,'DATA BTO'!E:E,FALSE)</f>
        <v>0</v>
      </c>
      <c r="AC286" s="3" t="b">
        <f>_xlfn.XLOOKUP(Tableau119[[#This Row],[Key(ID-date)]],'DATA BTO'!S:S,'DATA BTO'!F:F,FALSE)</f>
        <v>0</v>
      </c>
      <c r="AD286" s="50" t="b">
        <f>_xlfn.XLOOKUP(Tableau119[[#This Row],[Key(ID-date)]],'DATA BTO'!S:S,'DATA BTO'!G:G,FALSE)</f>
        <v>0</v>
      </c>
      <c r="AE286" s="50" t="b">
        <f>_xlfn.XLOOKUP(Tableau119[[#This Row],[Key(ID-date)]],'DATA BTO'!S:S,'DATA BTO'!H:H,FALSE)</f>
        <v>0</v>
      </c>
      <c r="AF286" s="447" t="e">
        <f>IF(Tableau119[[#This Row],[First Day to POL]]&lt;=Tableau119[[#This Row],[Day Cut Off]],Tableau119[[#This Row],[Day ETD]],Tableau119[[#This Row],[Day ETD]]+7)</f>
        <v>#N/A</v>
      </c>
      <c r="AG286" s="50" t="b">
        <f>_xlfn.XLOOKUP(Tableau119[[#This Row],[Key(ID-date)]],'DATA BTO'!S:S,'DATA BTO'!I:I,FALSE)</f>
        <v>0</v>
      </c>
      <c r="AH286" s="3" t="b">
        <f>_xlfn.XLOOKUP(Tableau119[[#This Row],[Key(ID-date)]],'DATA BTO'!S:S,'DATA BTO'!J:J,FALSE)</f>
        <v>0</v>
      </c>
      <c r="AI286" s="3" t="b">
        <f>_xlfn.XLOOKUP(Tableau119[[#This Row],[Key(ID-date)]],'DATA BTO'!S:S,'DATA BTO'!K:K,FALSE)</f>
        <v>0</v>
      </c>
      <c r="AJ286" s="50" t="b">
        <f>_xlfn.XLOOKUP(Tableau119[[#This Row],[Key(ID-date)]],'DATA BTO'!S:S,'DATA BTO'!L:L,FALSE)</f>
        <v>0</v>
      </c>
      <c r="AK286" s="53" t="b">
        <f>_xlfn.XLOOKUP(Tableau119[[#This Row],[Key(ID-date)]],'DATA BTO'!S:S,'DATA BTO'!N:N,FALSE)</f>
        <v>0</v>
      </c>
      <c r="AL286" s="54" t="e">
        <f>VLOOKUP(Tableau119[[#This Row],[Key(POD -PFI- Usine)]],'DATA Consignee'!A:F,6,FALSE)</f>
        <v>#N/A</v>
      </c>
      <c r="AM286" s="284"/>
      <c r="AN286" s="376" t="str">
        <f>IF(Tableau119[[#This Row],[Name PFI/CDD]]="","-",VLOOKUP(Tableau119[[#This Row],[Name PFI/CDD]],Plant_AILN!I:J,2,FALSE))</f>
        <v>-</v>
      </c>
      <c r="AO2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6" s="2" t="e">
        <f>VLOOKUP(Tableau119[[#This Row],[Key(POD -PFI- Usine)]],'DATA Consignee'!A:J,10,FALSE)</f>
        <v>#N/A</v>
      </c>
      <c r="AR286" s="50" t="e">
        <f>VLOOKUP(Tableau119[[#This Row],[Key(POD -PFI- Usine)]],'DATA Consignee'!A:N,14,FALSE)</f>
        <v>#N/A</v>
      </c>
      <c r="AS2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6" s="50">
        <f>Tableau119[[#This Row],[Transit time]]+Tableau119[[#This Row],[Time for security]]+Tableau119[[#This Row],[Time for security2 buffer]]</f>
        <v>0</v>
      </c>
      <c r="AV2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6" s="50" t="e">
        <f>Tableau119[[#This Row],[Leadtime SI2C]]+Tableau119[[#This Row],[First Receipt Days]]-Tableau119[[#This Row],[Day Customer Order]]+1</f>
        <v>#N/A</v>
      </c>
      <c r="AX286" s="119" t="e">
        <f>IF(Tableau119[[#This Row],[Name ILN]]&lt;&gt;"SFK Freight Forwarder",Tableau119[[#This Row],[Cust. Leadtime]],Tableau119[[#This Row],[Leadtime SI2C]])</f>
        <v>#N/A</v>
      </c>
      <c r="AY286" s="51" t="b">
        <f>_xlfn.XLOOKUP(Tableau119[[#This Row],[Key(ID-date)]],'DATA BTO'!S:S,'DATA BTO'!P:P,FALSE)</f>
        <v>0</v>
      </c>
      <c r="AZ286" s="338">
        <v>45708</v>
      </c>
      <c r="BA286" s="50"/>
    </row>
    <row r="287" spans="2:53">
      <c r="B287" s="66" t="str">
        <f>_xlfn.CONCAT(Tableau119[[#This Row],[Name ILN]],"-",Tableau119[[#This Row],[Name Shipper]],"-",Tableau119[[#This Row],[Name Site]])</f>
        <v>ILN Mioveni-ILN Mioveni-Curitiba CVP</v>
      </c>
      <c r="C287" s="66" t="str">
        <f>_xlfn.CONCAT(Tableau119[[#This Row],[Compte ILN]],"-",Tableau119[[#This Row],[Compte Shipper]],"-",Tableau119[[#This Row],[POL]],"-",Tableau119[[#This Row],[Compte Consignee]])</f>
        <v>28390-28390-FALSO-90018000</v>
      </c>
      <c r="D287" s="66" t="str">
        <f>_xlfn.CONCAT(Tableau119[[#This Row],[Compte ILN]],"-",Tableau119[[#This Row],[Compte Shipper]],"-",Tableau119[[#This Row],[POL]])</f>
        <v>28390-28390-FALSO</v>
      </c>
      <c r="E287" s="130" t="str">
        <f>_xlfn.CONCAT(Tableau119[[#This Row],[POL]],"-",Tableau119[[#This Row],[Carrier]],"-",Tableau119[[#This Row],[POD]])</f>
        <v>FALSO-FALSO-FALSO</v>
      </c>
      <c r="F287" s="66" t="str">
        <f>_xlfn.CONCAT(Tableau119[[#This Row],[ID]],"-","Actif")</f>
        <v>103-Actif</v>
      </c>
      <c r="G287" s="66" t="str">
        <f>_xlfn.CONCAT(Tableau119[[#This Row],[POD]],"-",Tableau119[[#This Row],[Code PFI]],"-",Tableau119[[#This Row],[Compte Consignee]])</f>
        <v>FALSO---90018000</v>
      </c>
      <c r="H2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CVP</v>
      </c>
      <c r="I287" s="434" t="str">
        <f>_xlfn.CONCAT(Tableau119[[#This Row],[ID]],"-",Tableau119[[#This Row],[Expiration Date]])</f>
        <v>103-46142</v>
      </c>
      <c r="J2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Mioveni-ILN Mioveni-103-FALSO-FALSO-FALSO--46142</v>
      </c>
      <c r="K287" s="119" t="str">
        <f ca="1">IF(COUNTIF(J:J,Tableau119[[#This Row],[Plant-ILN-shipper-POL-Carrier-POD-PFI]])=1,"Non","Oui")</f>
        <v>Non</v>
      </c>
      <c r="L287" s="436" t="str">
        <f>VLOOKUP(Tableau119[[#This Row],[Name Site]],Plant_AILN!A:D,4,FALSE)</f>
        <v>BRAZIL</v>
      </c>
      <c r="M287" s="285" t="s">
        <v>152</v>
      </c>
      <c r="N287" s="454">
        <f>VLOOKUP(Tableau119[[#This Row],[Name Site]],Plant_AILN!A:C,3,FALSE)</f>
        <v>90018000</v>
      </c>
      <c r="O287" s="55">
        <f>IF(Tableau119[[#This Row],[Name PFI/CDD]]="PFI VLL",2,VLOOKUP(Tableau119[[#This Row],[Compte Consignee]],Order!C:D,2,FALSE))</f>
        <v>7</v>
      </c>
      <c r="P287" s="124" t="s">
        <v>168</v>
      </c>
      <c r="Q287" s="365">
        <f>VLOOKUP(Tableau119[[#This Row],[Name ILN]],Plant_AILN!F:G,2,FALSE)</f>
        <v>28390</v>
      </c>
      <c r="R287" s="50">
        <f>VLOOKUP(Tableau119[[#This Row],[Compte ILN]],'DATA ILN'!D:I,6,FALSE)</f>
        <v>9</v>
      </c>
      <c r="S287" s="50" t="e">
        <f>IFERROR(VLOOKUP(Tableau119[[#This Row],[Key(Compte ILN - shipper - POL - plant)]],'DATA ILN'!A:J,10,FALSE),VLOOKUP(Tableau119[[#This Row],[Key(Compte ILN - shipper - POL)]],'DATA ILN'!B:J,9,FALSE))</f>
        <v>#N/A</v>
      </c>
      <c r="T287" s="50" t="e">
        <f>IFERROR(VLOOKUP(Tableau119[[#This Row],[Key(Compte ILN - shipper - POL - plant)]],'DATA ILN'!A:K,11,FALSE),VLOOKUP(Tableau119[[#This Row],[Key(Compte ILN - shipper - POL)]],'DATA ILN'!B:K,10,FALSE))</f>
        <v>#N/A</v>
      </c>
      <c r="U287" s="50" t="e">
        <f>IFERROR(VLOOKUP(Tableau119[[#This Row],[Key(Compte ILN - shipper - POL - plant)]],'DATA ILN'!A:L,12,FALSE),VLOOKUP(Tableau119[[#This Row],[Key(Compte ILN - shipper - POL)]],'DATA ILN'!B:L,11,FALSE))</f>
        <v>#N/A</v>
      </c>
      <c r="V287" s="50" t="e">
        <f>Tableau119[[#This Row],[Day ILN Order]]+Tableau119[[#This Row],[Delivery time to ILN/Shipper]]-1</f>
        <v>#N/A</v>
      </c>
      <c r="W287" s="50" t="e">
        <f>IFERROR(VLOOKUP(Tableau119[[#This Row],[Key(Compte ILN - shipper - POL - plant)]],'DATA ILN'!A:N,14,FALSE),VLOOKUP(Tableau119[[#This Row],[Key(Compte ILN - shipper - POL)]],'DATA ILN'!B:N,13,FALSE))</f>
        <v>#N/A</v>
      </c>
      <c r="X287" s="50" t="e">
        <f>IFERROR(VLOOKUP(Tableau119[[#This Row],[Key(Compte ILN - shipper - POL - plant)]],'DATA ILN'!A:P,16,FALSE),VLOOKUP(Tableau119[[#This Row],[Key(Compte ILN - shipper - POL)]],'DATA ILN'!B:P,15,FALSE))</f>
        <v>#N/A</v>
      </c>
      <c r="Y287" s="284" t="s">
        <v>168</v>
      </c>
      <c r="Z287" s="430">
        <f>IFERROR(VLOOKUP(Tableau119[[#This Row],[Name Shipper]],Plant_AILN!L:M,2,FALSE),0)</f>
        <v>28390</v>
      </c>
      <c r="AA287" s="406">
        <v>103</v>
      </c>
      <c r="AB287" s="396" t="b">
        <f>_xlfn.XLOOKUP(Tableau119[[#This Row],[Key(ID-date)]],'DATA BTO'!S:S,'DATA BTO'!E:E,FALSE)</f>
        <v>0</v>
      </c>
      <c r="AC287" s="3" t="b">
        <f>_xlfn.XLOOKUP(Tableau119[[#This Row],[Key(ID-date)]],'DATA BTO'!S:S,'DATA BTO'!F:F,FALSE)</f>
        <v>0</v>
      </c>
      <c r="AD287" s="50" t="b">
        <f>_xlfn.XLOOKUP(Tableau119[[#This Row],[Key(ID-date)]],'DATA BTO'!S:S,'DATA BTO'!G:G,FALSE)</f>
        <v>0</v>
      </c>
      <c r="AE287" s="50" t="b">
        <f>_xlfn.XLOOKUP(Tableau119[[#This Row],[Key(ID-date)]],'DATA BTO'!S:S,'DATA BTO'!H:H,FALSE)</f>
        <v>0</v>
      </c>
      <c r="AF287" s="447" t="e">
        <f>IF(Tableau119[[#This Row],[First Day to POL]]&lt;=Tableau119[[#This Row],[Day Cut Off]],Tableau119[[#This Row],[Day ETD]],Tableau119[[#This Row],[Day ETD]]+7)</f>
        <v>#N/A</v>
      </c>
      <c r="AG287" s="50" t="b">
        <f>_xlfn.XLOOKUP(Tableau119[[#This Row],[Key(ID-date)]],'DATA BTO'!S:S,'DATA BTO'!I:I,FALSE)</f>
        <v>0</v>
      </c>
      <c r="AH287" s="3" t="b">
        <f>_xlfn.XLOOKUP(Tableau119[[#This Row],[Key(ID-date)]],'DATA BTO'!S:S,'DATA BTO'!J:J,FALSE)</f>
        <v>0</v>
      </c>
      <c r="AI287" s="3" t="b">
        <f>_xlfn.XLOOKUP(Tableau119[[#This Row],[Key(ID-date)]],'DATA BTO'!S:S,'DATA BTO'!K:K,FALSE)</f>
        <v>0</v>
      </c>
      <c r="AJ287" s="50" t="b">
        <f>_xlfn.XLOOKUP(Tableau119[[#This Row],[Key(ID-date)]],'DATA BTO'!S:S,'DATA BTO'!L:L,FALSE)</f>
        <v>0</v>
      </c>
      <c r="AK287" s="53" t="b">
        <f>_xlfn.XLOOKUP(Tableau119[[#This Row],[Key(ID-date)]],'DATA BTO'!S:S,'DATA BTO'!N:N,FALSE)</f>
        <v>0</v>
      </c>
      <c r="AL287" s="54" t="e">
        <f>VLOOKUP(Tableau119[[#This Row],[Key(POD -PFI- Usine)]],'DATA Consignee'!A:F,6,FALSE)</f>
        <v>#N/A</v>
      </c>
      <c r="AM287" s="284"/>
      <c r="AN287" s="376" t="str">
        <f>IF(Tableau119[[#This Row],[Name PFI/CDD]]="","-",VLOOKUP(Tableau119[[#This Row],[Name PFI/CDD]],Plant_AILN!I:J,2,FALSE))</f>
        <v>-</v>
      </c>
      <c r="AO2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7" s="2" t="e">
        <f>VLOOKUP(Tableau119[[#This Row],[Key(POD -PFI- Usine)]],'DATA Consignee'!A:J,10,FALSE)</f>
        <v>#N/A</v>
      </c>
      <c r="AR287" s="50" t="e">
        <f>VLOOKUP(Tableau119[[#This Row],[Key(POD -PFI- Usine)]],'DATA Consignee'!A:N,14,FALSE)</f>
        <v>#N/A</v>
      </c>
      <c r="AS2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7" s="50">
        <f>Tableau119[[#This Row],[Transit time]]+Tableau119[[#This Row],[Time for security]]+Tableau119[[#This Row],[Time for security2 buffer]]</f>
        <v>0</v>
      </c>
      <c r="AV2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7" s="50" t="e">
        <f>Tableau119[[#This Row],[Leadtime SI2C]]+Tableau119[[#This Row],[First Receipt Days]]-Tableau119[[#This Row],[Day Customer Order]]+1</f>
        <v>#N/A</v>
      </c>
      <c r="AX287" s="119" t="e">
        <f>IF(Tableau119[[#This Row],[Name ILN]]&lt;&gt;"SFK Freight Forwarder",Tableau119[[#This Row],[Cust. Leadtime]],Tableau119[[#This Row],[Leadtime SI2C]])</f>
        <v>#N/A</v>
      </c>
      <c r="AY287" s="51" t="b">
        <f>_xlfn.XLOOKUP(Tableau119[[#This Row],[Key(ID-date)]],'DATA BTO'!S:S,'DATA BTO'!P:P,FALSE)</f>
        <v>0</v>
      </c>
      <c r="AZ287" s="338">
        <v>46142</v>
      </c>
      <c r="BA287" s="50"/>
    </row>
    <row r="288" spans="2:53">
      <c r="B288" s="66" t="str">
        <f>_xlfn.CONCAT(Tableau119[[#This Row],[Name ILN]],"-",Tableau119[[#This Row],[Name Shipper]],"-",Tableau119[[#This Row],[Name Site]])</f>
        <v>ILN Mioveni-ILN Mioveni-Curitiba CVU</v>
      </c>
      <c r="C288" s="66" t="str">
        <f>_xlfn.CONCAT(Tableau119[[#This Row],[Compte ILN]],"-",Tableau119[[#This Row],[Compte Shipper]],"-",Tableau119[[#This Row],[POL]],"-",Tableau119[[#This Row],[Compte Consignee]])</f>
        <v>28390-28390-FALSO-90018500</v>
      </c>
      <c r="D288" s="66" t="str">
        <f>_xlfn.CONCAT(Tableau119[[#This Row],[Compte ILN]],"-",Tableau119[[#This Row],[Compte Shipper]],"-",Tableau119[[#This Row],[POL]])</f>
        <v>28390-28390-FALSO</v>
      </c>
      <c r="E288" s="130" t="str">
        <f>_xlfn.CONCAT(Tableau119[[#This Row],[POL]],"-",Tableau119[[#This Row],[Carrier]],"-",Tableau119[[#This Row],[POD]])</f>
        <v>FALSO-FALSO-FALSO</v>
      </c>
      <c r="F288" s="66" t="str">
        <f>_xlfn.CONCAT(Tableau119[[#This Row],[ID]],"-","Actif")</f>
        <v>103-Actif</v>
      </c>
      <c r="G288" s="66" t="str">
        <f>_xlfn.CONCAT(Tableau119[[#This Row],[POD]],"-",Tableau119[[#This Row],[Code PFI]],"-",Tableau119[[#This Row],[Compte Consignee]])</f>
        <v>FALSO---90018500</v>
      </c>
      <c r="H2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CVU</v>
      </c>
      <c r="I288" s="434" t="str">
        <f>_xlfn.CONCAT(Tableau119[[#This Row],[ID]],"-",Tableau119[[#This Row],[Expiration Date]])</f>
        <v>103-46142</v>
      </c>
      <c r="J2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Mioveni-ILN Mioveni-103-FALSO-FALSO-FALSO--46142</v>
      </c>
      <c r="K288" s="119" t="str">
        <f ca="1">IF(COUNTIF(J:J,Tableau119[[#This Row],[Plant-ILN-shipper-POL-Carrier-POD-PFI]])=1,"Non","Oui")</f>
        <v>Non</v>
      </c>
      <c r="L288" s="440" t="str">
        <f>VLOOKUP(Tableau119[[#This Row],[Name Site]],Plant_AILN!A:D,4,FALSE)</f>
        <v>BRAZIL</v>
      </c>
      <c r="M288" s="10" t="s">
        <v>639</v>
      </c>
      <c r="N288" s="454">
        <f>VLOOKUP(Tableau119[[#This Row],[Name Site]],Plant_AILN!A:C,3,FALSE)</f>
        <v>90018500</v>
      </c>
      <c r="O288" s="55">
        <f>IF(Tableau119[[#This Row],[Name PFI/CDD]]="PFI VLL",2,VLOOKUP(Tableau119[[#This Row],[Compte Consignee]],Order!C:D,2,FALSE))</f>
        <v>7</v>
      </c>
      <c r="P288" s="124" t="s">
        <v>168</v>
      </c>
      <c r="Q288" s="365">
        <f>VLOOKUP(Tableau119[[#This Row],[Name ILN]],Plant_AILN!F:G,2,FALSE)</f>
        <v>28390</v>
      </c>
      <c r="R288" s="50">
        <f>VLOOKUP(Tableau119[[#This Row],[Compte ILN]],'DATA ILN'!D:I,6,FALSE)</f>
        <v>9</v>
      </c>
      <c r="S288" s="50" t="e">
        <f>IFERROR(VLOOKUP(Tableau119[[#This Row],[Key(Compte ILN - shipper - POL - plant)]],'DATA ILN'!A:J,10,FALSE),VLOOKUP(Tableau119[[#This Row],[Key(Compte ILN - shipper - POL)]],'DATA ILN'!B:J,9,FALSE))</f>
        <v>#N/A</v>
      </c>
      <c r="T288" s="50" t="e">
        <f>IFERROR(VLOOKUP(Tableau119[[#This Row],[Key(Compte ILN - shipper - POL - plant)]],'DATA ILN'!A:K,11,FALSE),VLOOKUP(Tableau119[[#This Row],[Key(Compte ILN - shipper - POL)]],'DATA ILN'!B:K,10,FALSE))</f>
        <v>#N/A</v>
      </c>
      <c r="U288" s="50" t="e">
        <f>IFERROR(VLOOKUP(Tableau119[[#This Row],[Key(Compte ILN - shipper - POL - plant)]],'DATA ILN'!A:L,12,FALSE),VLOOKUP(Tableau119[[#This Row],[Key(Compte ILN - shipper - POL)]],'DATA ILN'!B:L,11,FALSE))</f>
        <v>#N/A</v>
      </c>
      <c r="V288" s="50" t="e">
        <f>Tableau119[[#This Row],[Day ILN Order]]+Tableau119[[#This Row],[Delivery time to ILN/Shipper]]-1</f>
        <v>#N/A</v>
      </c>
      <c r="W288" s="50" t="e">
        <f>IFERROR(VLOOKUP(Tableau119[[#This Row],[Key(Compte ILN - shipper - POL - plant)]],'DATA ILN'!A:N,14,FALSE),VLOOKUP(Tableau119[[#This Row],[Key(Compte ILN - shipper - POL)]],'DATA ILN'!B:N,13,FALSE))</f>
        <v>#N/A</v>
      </c>
      <c r="X288" s="50" t="e">
        <f>IFERROR(VLOOKUP(Tableau119[[#This Row],[Key(Compte ILN - shipper - POL - plant)]],'DATA ILN'!A:P,16,FALSE),VLOOKUP(Tableau119[[#This Row],[Key(Compte ILN - shipper - POL)]],'DATA ILN'!B:P,15,FALSE))</f>
        <v>#N/A</v>
      </c>
      <c r="Y288" s="284" t="s">
        <v>168</v>
      </c>
      <c r="Z288" s="430">
        <f>IFERROR(VLOOKUP(Tableau119[[#This Row],[Name Shipper]],Plant_AILN!L:M,2,FALSE),0)</f>
        <v>28390</v>
      </c>
      <c r="AA288" s="406">
        <v>103</v>
      </c>
      <c r="AB288" s="396" t="b">
        <f>_xlfn.XLOOKUP(Tableau119[[#This Row],[Key(ID-date)]],'DATA BTO'!S:S,'DATA BTO'!E:E,FALSE)</f>
        <v>0</v>
      </c>
      <c r="AC288" s="3" t="b">
        <f>_xlfn.XLOOKUP(Tableau119[[#This Row],[Key(ID-date)]],'DATA BTO'!S:S,'DATA BTO'!F:F,FALSE)</f>
        <v>0</v>
      </c>
      <c r="AD288" s="50" t="b">
        <f>_xlfn.XLOOKUP(Tableau119[[#This Row],[Key(ID-date)]],'DATA BTO'!S:S,'DATA BTO'!G:G,FALSE)</f>
        <v>0</v>
      </c>
      <c r="AE288" s="50" t="b">
        <f>_xlfn.XLOOKUP(Tableau119[[#This Row],[Key(ID-date)]],'DATA BTO'!S:S,'DATA BTO'!H:H,FALSE)</f>
        <v>0</v>
      </c>
      <c r="AF288" s="447" t="e">
        <f>IF(Tableau119[[#This Row],[First Day to POL]]&lt;=Tableau119[[#This Row],[Day Cut Off]],Tableau119[[#This Row],[Day ETD]],Tableau119[[#This Row],[Day ETD]]+7)</f>
        <v>#N/A</v>
      </c>
      <c r="AG288" s="50" t="b">
        <f>_xlfn.XLOOKUP(Tableau119[[#This Row],[Key(ID-date)]],'DATA BTO'!S:S,'DATA BTO'!I:I,FALSE)</f>
        <v>0</v>
      </c>
      <c r="AH288" s="3" t="b">
        <f>_xlfn.XLOOKUP(Tableau119[[#This Row],[Key(ID-date)]],'DATA BTO'!S:S,'DATA BTO'!J:J,FALSE)</f>
        <v>0</v>
      </c>
      <c r="AI288" s="3" t="b">
        <f>_xlfn.XLOOKUP(Tableau119[[#This Row],[Key(ID-date)]],'DATA BTO'!S:S,'DATA BTO'!K:K,FALSE)</f>
        <v>0</v>
      </c>
      <c r="AJ288" s="50" t="b">
        <f>_xlfn.XLOOKUP(Tableau119[[#This Row],[Key(ID-date)]],'DATA BTO'!S:S,'DATA BTO'!L:L,FALSE)</f>
        <v>0</v>
      </c>
      <c r="AK288" s="53" t="b">
        <f>_xlfn.XLOOKUP(Tableau119[[#This Row],[Key(ID-date)]],'DATA BTO'!S:S,'DATA BTO'!N:N,FALSE)</f>
        <v>0</v>
      </c>
      <c r="AL288" s="54" t="e">
        <f>VLOOKUP(Tableau119[[#This Row],[Key(POD -PFI- Usine)]],'DATA Consignee'!A:F,6,FALSE)</f>
        <v>#N/A</v>
      </c>
      <c r="AM288" s="284"/>
      <c r="AN288" s="376" t="str">
        <f>IF(Tableau119[[#This Row],[Name PFI/CDD]]="","-",VLOOKUP(Tableau119[[#This Row],[Name PFI/CDD]],Plant_AILN!I:J,2,FALSE))</f>
        <v>-</v>
      </c>
      <c r="AO28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8" s="2" t="e">
        <f>VLOOKUP(Tableau119[[#This Row],[Key(POD -PFI- Usine)]],'DATA Consignee'!A:J,10,FALSE)</f>
        <v>#N/A</v>
      </c>
      <c r="AR288" s="50" t="e">
        <f>VLOOKUP(Tableau119[[#This Row],[Key(POD -PFI- Usine)]],'DATA Consignee'!A:N,14,FALSE)</f>
        <v>#N/A</v>
      </c>
      <c r="AS28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8" s="50">
        <f>Tableau119[[#This Row],[Transit time]]+Tableau119[[#This Row],[Time for security]]+Tableau119[[#This Row],[Time for security2 buffer]]</f>
        <v>0</v>
      </c>
      <c r="AV2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8" s="50" t="e">
        <f>Tableau119[[#This Row],[Leadtime SI2C]]+Tableau119[[#This Row],[First Receipt Days]]-Tableau119[[#This Row],[Day Customer Order]]+1</f>
        <v>#N/A</v>
      </c>
      <c r="AX288" s="119" t="e">
        <f>IF(Tableau119[[#This Row],[Name ILN]]&lt;&gt;"SFK Freight Forwarder",Tableau119[[#This Row],[Cust. Leadtime]],Tableau119[[#This Row],[Leadtime SI2C]])</f>
        <v>#N/A</v>
      </c>
      <c r="AY288" s="51" t="b">
        <f>_xlfn.XLOOKUP(Tableau119[[#This Row],[Key(ID-date)]],'DATA BTO'!S:S,'DATA BTO'!P:P,FALSE)</f>
        <v>0</v>
      </c>
      <c r="AZ288" s="338">
        <v>46142</v>
      </c>
      <c r="BA288" s="50"/>
    </row>
    <row r="289" spans="2:53">
      <c r="B289" s="446" t="str">
        <f>_xlfn.CONCAT(Tableau119[[#This Row],[Name ILN]],"-",Tableau119[[#This Row],[Name Shipper]],"-",Tableau119[[#This Row],[Name Site]])</f>
        <v>ILN Mioveni-ILN Mioveni-Curitiba CVP</v>
      </c>
      <c r="C289" s="66" t="str">
        <f>_xlfn.CONCAT(Tableau119[[#This Row],[Compte ILN]],"-",Tableau119[[#This Row],[Compte Shipper]],"-",Tableau119[[#This Row],[POL]],"-",Tableau119[[#This Row],[Compte Consignee]])</f>
        <v>28390-28390-FALSO-90018000</v>
      </c>
      <c r="D289" s="66" t="str">
        <f>_xlfn.CONCAT(Tableau119[[#This Row],[Compte ILN]],"-",Tableau119[[#This Row],[Compte Shipper]],"-",Tableau119[[#This Row],[POL]])</f>
        <v>28390-28390-FALSO</v>
      </c>
      <c r="E289" s="130" t="str">
        <f>_xlfn.CONCAT(Tableau119[[#This Row],[POL]],"-",Tableau119[[#This Row],[Carrier]],"-",Tableau119[[#This Row],[POD]])</f>
        <v>FALSO-FALSO-FALSO</v>
      </c>
      <c r="F289" s="66" t="str">
        <f>_xlfn.CONCAT(Tableau119[[#This Row],[ID]],"-","Actif")</f>
        <v>103-Actif</v>
      </c>
      <c r="G289" s="66" t="str">
        <f>_xlfn.CONCAT(Tableau119[[#This Row],[POD]],"-",Tableau119[[#This Row],[Code PFI]],"-",Tableau119[[#This Row],[Compte Consignee]])</f>
        <v>FALSO---90018000</v>
      </c>
      <c r="H2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CVP</v>
      </c>
      <c r="I289" s="434" t="str">
        <f>_xlfn.CONCAT(Tableau119[[#This Row],[ID]],"-",Tableau119[[#This Row],[Expiration Date]])</f>
        <v>103-46011</v>
      </c>
      <c r="J2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Mioveni-ILN Mioveni-103-FALSO-FALSO-FALSO--46011</v>
      </c>
      <c r="K289" s="119" t="str">
        <f ca="1">IF(COUNTIF(J:J,Tableau119[[#This Row],[Plant-ILN-shipper-POL-Carrier-POD-PFI]])=1,"Non","Oui")</f>
        <v>Non</v>
      </c>
      <c r="L289" s="128" t="str">
        <f>VLOOKUP(Tableau119[[#This Row],[Name Site]],Plant_AILN!A:D,4,FALSE)</f>
        <v>BRAZIL</v>
      </c>
      <c r="M289" s="411" t="s">
        <v>152</v>
      </c>
      <c r="N289" s="454">
        <f>VLOOKUP(Tableau119[[#This Row],[Name Site]],Plant_AILN!A:C,3,FALSE)</f>
        <v>90018000</v>
      </c>
      <c r="O289" s="55">
        <f>VLOOKUP(Tableau119[[#This Row],[Compte Consignee]],Order!C:D,2,FALSE)</f>
        <v>7</v>
      </c>
      <c r="P289" s="124" t="s">
        <v>168</v>
      </c>
      <c r="Q289" s="365">
        <f>VLOOKUP(Tableau119[[#This Row],[Name ILN]],Plant_AILN!F:G,2,FALSE)</f>
        <v>28390</v>
      </c>
      <c r="R289" s="50">
        <f>VLOOKUP(Tableau119[[#This Row],[Compte ILN]],'DATA ILN'!D:I,6,FALSE)</f>
        <v>9</v>
      </c>
      <c r="S289" s="50" t="e">
        <f>IFERROR(VLOOKUP(Tableau119[[#This Row],[Key(Compte ILN - shipper - POL - plant)]],'DATA ILN'!A:J,10,FALSE),VLOOKUP(Tableau119[[#This Row],[Key(Compte ILN - shipper - POL)]],'DATA ILN'!B:J,9,FALSE))</f>
        <v>#N/A</v>
      </c>
      <c r="T289" s="50" t="e">
        <f>IFERROR(VLOOKUP(Tableau119[[#This Row],[Key(Compte ILN - shipper - POL - plant)]],'DATA ILN'!A:K,11,FALSE),VLOOKUP(Tableau119[[#This Row],[Key(Compte ILN - shipper - POL)]],'DATA ILN'!B:K,10,FALSE))</f>
        <v>#N/A</v>
      </c>
      <c r="U289" s="50" t="e">
        <f>IFERROR(VLOOKUP(Tableau119[[#This Row],[Key(Compte ILN - shipper - POL - plant)]],'DATA ILN'!A:L,12,FALSE),VLOOKUP(Tableau119[[#This Row],[Key(Compte ILN - shipper - POL)]],'DATA ILN'!B:L,11,FALSE))</f>
        <v>#N/A</v>
      </c>
      <c r="V289" s="50" t="e">
        <f>Tableau119[[#This Row],[Day ILN Order]]+Tableau119[[#This Row],[Delivery time to ILN/Shipper]]-1</f>
        <v>#N/A</v>
      </c>
      <c r="W289" s="50" t="e">
        <f>IFERROR(VLOOKUP(Tableau119[[#This Row],[Key(Compte ILN - shipper - POL - plant)]],'DATA ILN'!A:N,14,FALSE),VLOOKUP(Tableau119[[#This Row],[Key(Compte ILN - shipper - POL)]],'DATA ILN'!B:N,13,FALSE))</f>
        <v>#N/A</v>
      </c>
      <c r="X289" s="50" t="e">
        <f>IFERROR(VLOOKUP(Tableau119[[#This Row],[Key(Compte ILN - shipper - POL - plant)]],'DATA ILN'!A:P,16,FALSE),VLOOKUP(Tableau119[[#This Row],[Key(Compte ILN - shipper - POL)]],'DATA ILN'!B:P,15,FALSE))</f>
        <v>#N/A</v>
      </c>
      <c r="Y289" s="284" t="s">
        <v>168</v>
      </c>
      <c r="Z289" s="430">
        <f>IFERROR(VLOOKUP(Tableau119[[#This Row],[Name Shipper]],Plant_AILN!L:M,2,FALSE),0)</f>
        <v>28390</v>
      </c>
      <c r="AA289" s="406">
        <v>103</v>
      </c>
      <c r="AB289" s="396" t="b">
        <f>_xlfn.XLOOKUP(Tableau119[[#This Row],[Key(ID-date)]],'DATA BTO'!S:S,'DATA BTO'!E:E,FALSE)</f>
        <v>0</v>
      </c>
      <c r="AC289" s="3" t="b">
        <f>_xlfn.XLOOKUP(Tableau119[[#This Row],[Key(ID-date)]],'DATA BTO'!S:S,'DATA BTO'!F:F,FALSE)</f>
        <v>0</v>
      </c>
      <c r="AD289" s="50" t="b">
        <f>_xlfn.XLOOKUP(Tableau119[[#This Row],[Key(ID-date)]],'DATA BTO'!S:S,'DATA BTO'!G:G,FALSE)</f>
        <v>0</v>
      </c>
      <c r="AE289" s="50" t="b">
        <f>_xlfn.XLOOKUP(Tableau119[[#This Row],[Key(ID-date)]],'DATA BTO'!S:S,'DATA BTO'!H:H,FALSE)</f>
        <v>0</v>
      </c>
      <c r="AF289" s="447" t="e">
        <f>IF(Tableau119[[#This Row],[First Day to POL]]&lt;=Tableau119[[#This Row],[Day Cut Off]],Tableau119[[#This Row],[Day ETD]],Tableau119[[#This Row],[Day ETD]]+7)</f>
        <v>#N/A</v>
      </c>
      <c r="AG289" s="50" t="b">
        <f>_xlfn.XLOOKUP(Tableau119[[#This Row],[Key(ID-date)]],'DATA BTO'!S:S,'DATA BTO'!I:I,FALSE)</f>
        <v>0</v>
      </c>
      <c r="AH289" s="3" t="b">
        <f>_xlfn.XLOOKUP(Tableau119[[#This Row],[Key(ID-date)]],'DATA BTO'!S:S,'DATA BTO'!J:J,FALSE)</f>
        <v>0</v>
      </c>
      <c r="AI289" s="3" t="b">
        <f>_xlfn.XLOOKUP(Tableau119[[#This Row],[Key(ID-date)]],'DATA BTO'!S:S,'DATA BTO'!K:K,FALSE)</f>
        <v>0</v>
      </c>
      <c r="AJ289" s="50" t="b">
        <f>_xlfn.XLOOKUP(Tableau119[[#This Row],[Key(ID-date)]],'DATA BTO'!S:S,'DATA BTO'!L:L,FALSE)</f>
        <v>0</v>
      </c>
      <c r="AK289" s="53" t="b">
        <f>_xlfn.XLOOKUP(Tableau119[[#This Row],[Key(ID-date)]],'DATA BTO'!S:S,'DATA BTO'!N:N,FALSE)</f>
        <v>0</v>
      </c>
      <c r="AL289" s="54" t="e">
        <f>VLOOKUP(Tableau119[[#This Row],[Key(POD -PFI- Usine)]],'DATA Consignee'!A:F,6,FALSE)</f>
        <v>#N/A</v>
      </c>
      <c r="AM289" s="284"/>
      <c r="AN289" s="376" t="str">
        <f>IF(Tableau119[[#This Row],[Name PFI/CDD]]="","-",VLOOKUP(Tableau119[[#This Row],[Name PFI/CDD]],Plant_AILN!I:J,2,FALSE))</f>
        <v>-</v>
      </c>
      <c r="AO2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89" s="2" t="e">
        <f>VLOOKUP(Tableau119[[#This Row],[Key(POD -PFI- Usine)]],'DATA Consignee'!A:J,10,FALSE)</f>
        <v>#N/A</v>
      </c>
      <c r="AR289" s="50" t="e">
        <f>VLOOKUP(Tableau119[[#This Row],[Key(POD -PFI- Usine)]],'DATA Consignee'!A:N,14,FALSE)</f>
        <v>#N/A</v>
      </c>
      <c r="AS2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89" s="50">
        <f>Tableau119[[#This Row],[Transit time]]+Tableau119[[#This Row],[Time for security]]+Tableau119[[#This Row],[Time for security2 buffer]]</f>
        <v>0</v>
      </c>
      <c r="AV2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89" s="50" t="e">
        <f>Tableau119[[#This Row],[Leadtime SI2C]]+Tableau119[[#This Row],[First Receipt Days]]-Tableau119[[#This Row],[Day Customer Order]]+1</f>
        <v>#N/A</v>
      </c>
      <c r="AX289" s="119" t="e">
        <f>IF(Tableau119[[#This Row],[Name ILN]]&lt;&gt;"SFK Freight Forwarder",Tableau119[[#This Row],[Cust. Leadtime]],Tableau119[[#This Row],[Leadtime SI2C]])</f>
        <v>#N/A</v>
      </c>
      <c r="AY289" s="51" t="b">
        <f>_xlfn.XLOOKUP(Tableau119[[#This Row],[Key(ID-date)]],'DATA BTO'!S:S,'DATA BTO'!P:P,FALSE)</f>
        <v>0</v>
      </c>
      <c r="AZ289" s="338">
        <v>46011</v>
      </c>
      <c r="BA289" s="50"/>
    </row>
    <row r="290" spans="2:53">
      <c r="B290" s="446" t="str">
        <f>_xlfn.CONCAT(Tableau119[[#This Row],[Name ILN]],"-",Tableau119[[#This Row],[Name Shipper]],"-",Tableau119[[#This Row],[Name Site]])</f>
        <v>ILN Mioveni-ILN Mioveni-Curitiba CVU</v>
      </c>
      <c r="C290" s="66" t="str">
        <f>_xlfn.CONCAT(Tableau119[[#This Row],[Compte ILN]],"-",Tableau119[[#This Row],[Compte Shipper]],"-",Tableau119[[#This Row],[POL]],"-",Tableau119[[#This Row],[Compte Consignee]])</f>
        <v>28390-28390-FALSO-90018500</v>
      </c>
      <c r="D290" s="66" t="str">
        <f>_xlfn.CONCAT(Tableau119[[#This Row],[Compte ILN]],"-",Tableau119[[#This Row],[Compte Shipper]],"-",Tableau119[[#This Row],[POL]])</f>
        <v>28390-28390-FALSO</v>
      </c>
      <c r="E290" s="130" t="str">
        <f>_xlfn.CONCAT(Tableau119[[#This Row],[POL]],"-",Tableau119[[#This Row],[Carrier]],"-",Tableau119[[#This Row],[POD]])</f>
        <v>FALSO-FALSO-FALSO</v>
      </c>
      <c r="F290" s="66" t="str">
        <f>_xlfn.CONCAT(Tableau119[[#This Row],[ID]],"-","Actif")</f>
        <v>103-Actif</v>
      </c>
      <c r="G290" s="66" t="str">
        <f>_xlfn.CONCAT(Tableau119[[#This Row],[POD]],"-",Tableau119[[#This Row],[Code PFI]],"-",Tableau119[[#This Row],[Compte Consignee]])</f>
        <v>FALSO---90018500</v>
      </c>
      <c r="H2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CVU</v>
      </c>
      <c r="I290" s="434" t="str">
        <f>_xlfn.CONCAT(Tableau119[[#This Row],[ID]],"-",Tableau119[[#This Row],[Expiration Date]])</f>
        <v>103-46011</v>
      </c>
      <c r="J2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Mioveni-ILN Mioveni-103-FALSO-FALSO-FALSO--46011</v>
      </c>
      <c r="K290" s="119" t="str">
        <f ca="1">IF(COUNTIF(J:J,Tableau119[[#This Row],[Plant-ILN-shipper-POL-Carrier-POD-PFI]])=1,"Non","Oui")</f>
        <v>Non</v>
      </c>
      <c r="L290" s="128" t="str">
        <f>VLOOKUP(Tableau119[[#This Row],[Name Site]],Plant_AILN!A:D,4,FALSE)</f>
        <v>BRAZIL</v>
      </c>
      <c r="M290" s="411" t="s">
        <v>639</v>
      </c>
      <c r="N290" s="454">
        <f>VLOOKUP(Tableau119[[#This Row],[Name Site]],Plant_AILN!A:C,3,FALSE)</f>
        <v>90018500</v>
      </c>
      <c r="O290" s="55">
        <f>VLOOKUP(Tableau119[[#This Row],[Compte Consignee]],Order!C:D,2,FALSE)</f>
        <v>7</v>
      </c>
      <c r="P290" s="124" t="s">
        <v>168</v>
      </c>
      <c r="Q290" s="365">
        <f>VLOOKUP(Tableau119[[#This Row],[Name ILN]],Plant_AILN!F:G,2,FALSE)</f>
        <v>28390</v>
      </c>
      <c r="R290" s="50">
        <f>VLOOKUP(Tableau119[[#This Row],[Compte ILN]],'DATA ILN'!D:I,6,FALSE)</f>
        <v>9</v>
      </c>
      <c r="S290" s="50" t="e">
        <f>IFERROR(VLOOKUP(Tableau119[[#This Row],[Key(Compte ILN - shipper - POL - plant)]],'DATA ILN'!A:J,10,FALSE),VLOOKUP(Tableau119[[#This Row],[Key(Compte ILN - shipper - POL)]],'DATA ILN'!B:J,9,FALSE))</f>
        <v>#N/A</v>
      </c>
      <c r="T290" s="50" t="e">
        <f>IFERROR(VLOOKUP(Tableau119[[#This Row],[Key(Compte ILN - shipper - POL - plant)]],'DATA ILN'!A:K,11,FALSE),VLOOKUP(Tableau119[[#This Row],[Key(Compte ILN - shipper - POL)]],'DATA ILN'!B:K,10,FALSE))</f>
        <v>#N/A</v>
      </c>
      <c r="U290" s="50" t="e">
        <f>IFERROR(VLOOKUP(Tableau119[[#This Row],[Key(Compte ILN - shipper - POL - plant)]],'DATA ILN'!A:L,12,FALSE),VLOOKUP(Tableau119[[#This Row],[Key(Compte ILN - shipper - POL)]],'DATA ILN'!B:L,11,FALSE))</f>
        <v>#N/A</v>
      </c>
      <c r="V290" s="50" t="e">
        <f>Tableau119[[#This Row],[Day ILN Order]]+Tableau119[[#This Row],[Delivery time to ILN/Shipper]]-1</f>
        <v>#N/A</v>
      </c>
      <c r="W290" s="50" t="e">
        <f>IFERROR(VLOOKUP(Tableau119[[#This Row],[Key(Compte ILN - shipper - POL - plant)]],'DATA ILN'!A:N,14,FALSE),VLOOKUP(Tableau119[[#This Row],[Key(Compte ILN - shipper - POL)]],'DATA ILN'!B:N,13,FALSE))</f>
        <v>#N/A</v>
      </c>
      <c r="X290" s="50" t="e">
        <f>IFERROR(VLOOKUP(Tableau119[[#This Row],[Key(Compte ILN - shipper - POL - plant)]],'DATA ILN'!A:P,16,FALSE),VLOOKUP(Tableau119[[#This Row],[Key(Compte ILN - shipper - POL)]],'DATA ILN'!B:P,15,FALSE))</f>
        <v>#N/A</v>
      </c>
      <c r="Y290" s="284" t="s">
        <v>168</v>
      </c>
      <c r="Z290" s="430">
        <f>IFERROR(VLOOKUP(Tableau119[[#This Row],[Name Shipper]],Plant_AILN!L:M,2,FALSE),0)</f>
        <v>28390</v>
      </c>
      <c r="AA290" s="406">
        <v>103</v>
      </c>
      <c r="AB290" s="396" t="b">
        <f>_xlfn.XLOOKUP(Tableau119[[#This Row],[Key(ID-date)]],'DATA BTO'!S:S,'DATA BTO'!E:E,FALSE)</f>
        <v>0</v>
      </c>
      <c r="AC290" s="3" t="b">
        <f>_xlfn.XLOOKUP(Tableau119[[#This Row],[Key(ID-date)]],'DATA BTO'!S:S,'DATA BTO'!F:F,FALSE)</f>
        <v>0</v>
      </c>
      <c r="AD290" s="50" t="b">
        <f>_xlfn.XLOOKUP(Tableau119[[#This Row],[Key(ID-date)]],'DATA BTO'!S:S,'DATA BTO'!G:G,FALSE)</f>
        <v>0</v>
      </c>
      <c r="AE290" s="50" t="b">
        <f>_xlfn.XLOOKUP(Tableau119[[#This Row],[Key(ID-date)]],'DATA BTO'!S:S,'DATA BTO'!H:H,FALSE)</f>
        <v>0</v>
      </c>
      <c r="AF290" s="81" t="e">
        <f>IF(Tableau119[[#This Row],[First Day to POL]]&lt;=Tableau119[[#This Row],[Day Cut Off]],Tableau119[[#This Row],[Day ETD]],Tableau119[[#This Row],[Day ETD]]+7)</f>
        <v>#N/A</v>
      </c>
      <c r="AG290" s="50" t="b">
        <f>_xlfn.XLOOKUP(Tableau119[[#This Row],[Key(ID-date)]],'DATA BTO'!S:S,'DATA BTO'!I:I,FALSE)</f>
        <v>0</v>
      </c>
      <c r="AH290" s="3" t="b">
        <f>_xlfn.XLOOKUP(Tableau119[[#This Row],[Key(ID-date)]],'DATA BTO'!S:S,'DATA BTO'!J:J,FALSE)</f>
        <v>0</v>
      </c>
      <c r="AI290" s="3" t="b">
        <f>_xlfn.XLOOKUP(Tableau119[[#This Row],[Key(ID-date)]],'DATA BTO'!S:S,'DATA BTO'!K:K,FALSE)</f>
        <v>0</v>
      </c>
      <c r="AJ290" s="50" t="b">
        <f>_xlfn.XLOOKUP(Tableau119[[#This Row],[Key(ID-date)]],'DATA BTO'!S:S,'DATA BTO'!L:L,FALSE)</f>
        <v>0</v>
      </c>
      <c r="AK290" s="53" t="b">
        <f>_xlfn.XLOOKUP(Tableau119[[#This Row],[Key(ID-date)]],'DATA BTO'!S:S,'DATA BTO'!N:N,FALSE)</f>
        <v>0</v>
      </c>
      <c r="AL290" s="54" t="e">
        <f>VLOOKUP(Tableau119[[#This Row],[Key(POD -PFI- Usine)]],'DATA Consignee'!A:F,6,FALSE)</f>
        <v>#N/A</v>
      </c>
      <c r="AM290" s="284"/>
      <c r="AN290" s="376" t="str">
        <f>IF(Tableau119[[#This Row],[Name PFI/CDD]]="","-",VLOOKUP(Tableau119[[#This Row],[Name PFI/CDD]],Plant_AILN!I:J,2,FALSE))</f>
        <v>-</v>
      </c>
      <c r="AO2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0" s="2" t="e">
        <f>VLOOKUP(Tableau119[[#This Row],[Key(POD -PFI- Usine)]],'DATA Consignee'!A:J,10,FALSE)</f>
        <v>#N/A</v>
      </c>
      <c r="AR290" s="50" t="e">
        <f>VLOOKUP(Tableau119[[#This Row],[Key(POD -PFI- Usine)]],'DATA Consignee'!A:N,14,FALSE)</f>
        <v>#N/A</v>
      </c>
      <c r="AS2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0" s="50">
        <f>Tableau119[[#This Row],[Transit time]]+Tableau119[[#This Row],[Time for security]]+Tableau119[[#This Row],[Time for security2 buffer]]</f>
        <v>0</v>
      </c>
      <c r="AV2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0" s="50" t="e">
        <f>Tableau119[[#This Row],[Leadtime SI2C]]+Tableau119[[#This Row],[First Receipt Days]]-Tableau119[[#This Row],[Day Customer Order]]+1</f>
        <v>#N/A</v>
      </c>
      <c r="AX290" s="119" t="e">
        <f>IF(Tableau119[[#This Row],[Name ILN]]&lt;&gt;"SFK Freight Forwarder",Tableau119[[#This Row],[Cust. Leadtime]],Tableau119[[#This Row],[Leadtime SI2C]])</f>
        <v>#N/A</v>
      </c>
      <c r="AY290" s="51" t="b">
        <f>_xlfn.XLOOKUP(Tableau119[[#This Row],[Key(ID-date)]],'DATA BTO'!S:S,'DATA BTO'!P:P,FALSE)</f>
        <v>0</v>
      </c>
      <c r="AZ290" s="338">
        <v>46011</v>
      </c>
      <c r="BA290" s="50"/>
    </row>
    <row r="291" spans="2:53">
      <c r="B291" s="446" t="str">
        <f>_xlfn.CONCAT(Tableau119[[#This Row],[Name ILN]],"-",Tableau119[[#This Row],[Name Shipper]],"-",Tableau119[[#This Row],[Name Site]])</f>
        <v>ILN Mioveni-ILN Mioveni-Curitiba CVP</v>
      </c>
      <c r="C291" s="66" t="str">
        <f>_xlfn.CONCAT(Tableau119[[#This Row],[Compte ILN]],"-",Tableau119[[#This Row],[Compte Shipper]],"-",Tableau119[[#This Row],[POL]],"-",Tableau119[[#This Row],[Compte Consignee]])</f>
        <v>28390-28390-FALSO-90018000</v>
      </c>
      <c r="D291" s="66" t="str">
        <f>_xlfn.CONCAT(Tableau119[[#This Row],[Compte ILN]],"-",Tableau119[[#This Row],[Compte Shipper]],"-",Tableau119[[#This Row],[POL]])</f>
        <v>28390-28390-FALSO</v>
      </c>
      <c r="E291" s="130" t="str">
        <f>_xlfn.CONCAT(Tableau119[[#This Row],[POL]],"-",Tableau119[[#This Row],[Carrier]],"-",Tableau119[[#This Row],[POD]])</f>
        <v>FALSO-FALSO-FALSO</v>
      </c>
      <c r="F291" s="66" t="str">
        <f>_xlfn.CONCAT(Tableau119[[#This Row],[ID]],"-","Actif")</f>
        <v>103-Actif</v>
      </c>
      <c r="G291" s="66" t="str">
        <f>_xlfn.CONCAT(Tableau119[[#This Row],[POD]],"-",Tableau119[[#This Row],[Code PFI]],"-",Tableau119[[#This Row],[Compte Consignee]])</f>
        <v>FALSO---90018000</v>
      </c>
      <c r="H2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CVP</v>
      </c>
      <c r="I291" s="434" t="str">
        <f>_xlfn.CONCAT(Tableau119[[#This Row],[ID]],"-",Tableau119[[#This Row],[Expiration Date]])</f>
        <v>103-45777</v>
      </c>
      <c r="J2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Mioveni-ILN Mioveni-103-FALSO-FALSO-FALSO--45777</v>
      </c>
      <c r="K291" s="119" t="str">
        <f ca="1">IF(COUNTIF(J:J,Tableau119[[#This Row],[Plant-ILN-shipper-POL-Carrier-POD-PFI]])=1,"Non","Oui")</f>
        <v>Non</v>
      </c>
      <c r="L291" s="128" t="str">
        <f>VLOOKUP(Tableau119[[#This Row],[Name Site]],Plant_AILN!A:D,4,FALSE)</f>
        <v>BRAZIL</v>
      </c>
      <c r="M291" s="411" t="s">
        <v>152</v>
      </c>
      <c r="N291" s="454">
        <f>VLOOKUP(Tableau119[[#This Row],[Name Site]],Plant_AILN!A:C,3,FALSE)</f>
        <v>90018000</v>
      </c>
      <c r="O291" s="55">
        <f>VLOOKUP(Tableau119[[#This Row],[Compte Consignee]],Order!C:D,2,FALSE)</f>
        <v>7</v>
      </c>
      <c r="P291" s="124" t="s">
        <v>168</v>
      </c>
      <c r="Q291" s="365">
        <f>VLOOKUP(Tableau119[[#This Row],[Name ILN]],Plant_AILN!F:G,2,FALSE)</f>
        <v>28390</v>
      </c>
      <c r="R291" s="50">
        <f>VLOOKUP(Tableau119[[#This Row],[Compte ILN]],'DATA ILN'!D:I,6,FALSE)</f>
        <v>9</v>
      </c>
      <c r="S291" s="50" t="e">
        <f>IFERROR(VLOOKUP(Tableau119[[#This Row],[Key(Compte ILN - shipper - POL - plant)]],'DATA ILN'!A:J,10,FALSE),VLOOKUP(Tableau119[[#This Row],[Key(Compte ILN - shipper - POL)]],'DATA ILN'!B:J,9,FALSE))</f>
        <v>#N/A</v>
      </c>
      <c r="T291" s="50" t="e">
        <f>IFERROR(VLOOKUP(Tableau119[[#This Row],[Key(Compte ILN - shipper - POL - plant)]],'DATA ILN'!A:K,11,FALSE),VLOOKUP(Tableau119[[#This Row],[Key(Compte ILN - shipper - POL)]],'DATA ILN'!B:K,10,FALSE))</f>
        <v>#N/A</v>
      </c>
      <c r="U291" s="50" t="e">
        <f>IFERROR(VLOOKUP(Tableau119[[#This Row],[Key(Compte ILN - shipper - POL - plant)]],'DATA ILN'!A:L,12,FALSE),VLOOKUP(Tableau119[[#This Row],[Key(Compte ILN - shipper - POL)]],'DATA ILN'!B:L,11,FALSE))</f>
        <v>#N/A</v>
      </c>
      <c r="V291" s="50" t="e">
        <f>Tableau119[[#This Row],[Day ILN Order]]+Tableau119[[#This Row],[Delivery time to ILN/Shipper]]-1</f>
        <v>#N/A</v>
      </c>
      <c r="W291" s="50" t="e">
        <f>IFERROR(VLOOKUP(Tableau119[[#This Row],[Key(Compte ILN - shipper - POL - plant)]],'DATA ILN'!A:N,14,FALSE),VLOOKUP(Tableau119[[#This Row],[Key(Compte ILN - shipper - POL)]],'DATA ILN'!B:N,13,FALSE))</f>
        <v>#N/A</v>
      </c>
      <c r="X291" s="50" t="e">
        <f>IFERROR(VLOOKUP(Tableau119[[#This Row],[Key(Compte ILN - shipper - POL - plant)]],'DATA ILN'!A:P,16,FALSE),VLOOKUP(Tableau119[[#This Row],[Key(Compte ILN - shipper - POL)]],'DATA ILN'!B:P,15,FALSE))</f>
        <v>#N/A</v>
      </c>
      <c r="Y291" s="284" t="s">
        <v>168</v>
      </c>
      <c r="Z291" s="430">
        <f>IFERROR(VLOOKUP(Tableau119[[#This Row],[Name Shipper]],Plant_AILN!L:M,2,FALSE),0)</f>
        <v>28390</v>
      </c>
      <c r="AA291" s="406">
        <v>103</v>
      </c>
      <c r="AB291" s="396" t="b">
        <f>_xlfn.XLOOKUP(Tableau119[[#This Row],[Key(ID-date)]],'DATA BTO'!S:S,'DATA BTO'!E:E,FALSE)</f>
        <v>0</v>
      </c>
      <c r="AC291" s="3" t="b">
        <f>_xlfn.XLOOKUP(Tableau119[[#This Row],[Key(ID-date)]],'DATA BTO'!S:S,'DATA BTO'!F:F,FALSE)</f>
        <v>0</v>
      </c>
      <c r="AD291" s="50" t="b">
        <f>_xlfn.XLOOKUP(Tableau119[[#This Row],[Key(ID-date)]],'DATA BTO'!S:S,'DATA BTO'!G:G,FALSE)</f>
        <v>0</v>
      </c>
      <c r="AE291" s="50" t="b">
        <f>_xlfn.XLOOKUP(Tableau119[[#This Row],[Key(ID-date)]],'DATA BTO'!S:S,'DATA BTO'!H:H,FALSE)</f>
        <v>0</v>
      </c>
      <c r="AF291" s="81" t="e">
        <f>IF(Tableau119[[#This Row],[First Day to POL]]&lt;=Tableau119[[#This Row],[Day Cut Off]],Tableau119[[#This Row],[Day ETD]],Tableau119[[#This Row],[Day ETD]]+7)</f>
        <v>#N/A</v>
      </c>
      <c r="AG291" s="50" t="b">
        <f>_xlfn.XLOOKUP(Tableau119[[#This Row],[Key(ID-date)]],'DATA BTO'!S:S,'DATA BTO'!I:I,FALSE)</f>
        <v>0</v>
      </c>
      <c r="AH291" s="3" t="b">
        <f>_xlfn.XLOOKUP(Tableau119[[#This Row],[Key(ID-date)]],'DATA BTO'!S:S,'DATA BTO'!J:J,FALSE)</f>
        <v>0</v>
      </c>
      <c r="AI291" s="3" t="b">
        <f>_xlfn.XLOOKUP(Tableau119[[#This Row],[Key(ID-date)]],'DATA BTO'!S:S,'DATA BTO'!K:K,FALSE)</f>
        <v>0</v>
      </c>
      <c r="AJ291" s="50" t="b">
        <f>_xlfn.XLOOKUP(Tableau119[[#This Row],[Key(ID-date)]],'DATA BTO'!S:S,'DATA BTO'!L:L,FALSE)</f>
        <v>0</v>
      </c>
      <c r="AK291" s="53" t="b">
        <f>_xlfn.XLOOKUP(Tableau119[[#This Row],[Key(ID-date)]],'DATA BTO'!S:S,'DATA BTO'!N:N,FALSE)</f>
        <v>0</v>
      </c>
      <c r="AL291" s="54" t="e">
        <f>VLOOKUP(Tableau119[[#This Row],[Key(POD -PFI- Usine)]],'DATA Consignee'!A:F,6,FALSE)</f>
        <v>#N/A</v>
      </c>
      <c r="AM291" s="284"/>
      <c r="AN291" s="376" t="str">
        <f>IF(Tableau119[[#This Row],[Name PFI/CDD]]="","-",VLOOKUP(Tableau119[[#This Row],[Name PFI/CDD]],Plant_AILN!I:J,2,FALSE))</f>
        <v>-</v>
      </c>
      <c r="AO2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1" s="2" t="e">
        <f>VLOOKUP(Tableau119[[#This Row],[Key(POD -PFI- Usine)]],'DATA Consignee'!A:J,10,FALSE)</f>
        <v>#N/A</v>
      </c>
      <c r="AR291" s="50" t="e">
        <f>VLOOKUP(Tableau119[[#This Row],[Key(POD -PFI- Usine)]],'DATA Consignee'!A:N,14,FALSE)</f>
        <v>#N/A</v>
      </c>
      <c r="AS2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1" s="50">
        <f>Tableau119[[#This Row],[Transit time]]+Tableau119[[#This Row],[Time for security]]+Tableau119[[#This Row],[Time for security2 buffer]]</f>
        <v>0</v>
      </c>
      <c r="AV2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1" s="50" t="e">
        <f>Tableau119[[#This Row],[Leadtime SI2C]]+Tableau119[[#This Row],[First Receipt Days]]-Tableau119[[#This Row],[Day Customer Order]]+1</f>
        <v>#N/A</v>
      </c>
      <c r="AX291" s="119" t="e">
        <f>IF(Tableau119[[#This Row],[Name ILN]]&lt;&gt;"SFK Freight Forwarder",Tableau119[[#This Row],[Cust. Leadtime]],Tableau119[[#This Row],[Leadtime SI2C]])</f>
        <v>#N/A</v>
      </c>
      <c r="AY291" s="51" t="b">
        <f>_xlfn.XLOOKUP(Tableau119[[#This Row],[Key(ID-date)]],'DATA BTO'!S:S,'DATA BTO'!P:P,FALSE)</f>
        <v>0</v>
      </c>
      <c r="AZ291" s="338">
        <v>45777</v>
      </c>
      <c r="BA291" s="50"/>
    </row>
    <row r="292" spans="2:53">
      <c r="B292" s="446" t="str">
        <f>_xlfn.CONCAT(Tableau119[[#This Row],[Name ILN]],"-",Tableau119[[#This Row],[Name Shipper]],"-",Tableau119[[#This Row],[Name Site]])</f>
        <v>ILN Mioveni-ILN Mioveni-Curitiba CVU</v>
      </c>
      <c r="C292" s="66" t="str">
        <f>_xlfn.CONCAT(Tableau119[[#This Row],[Compte ILN]],"-",Tableau119[[#This Row],[Compte Shipper]],"-",Tableau119[[#This Row],[POL]],"-",Tableau119[[#This Row],[Compte Consignee]])</f>
        <v>28390-28390-FALSO-90018500</v>
      </c>
      <c r="D292" s="66" t="str">
        <f>_xlfn.CONCAT(Tableau119[[#This Row],[Compte ILN]],"-",Tableau119[[#This Row],[Compte Shipper]],"-",Tableau119[[#This Row],[POL]])</f>
        <v>28390-28390-FALSO</v>
      </c>
      <c r="E292" s="130" t="str">
        <f>_xlfn.CONCAT(Tableau119[[#This Row],[POL]],"-",Tableau119[[#This Row],[Carrier]],"-",Tableau119[[#This Row],[POD]])</f>
        <v>FALSO-FALSO-FALSO</v>
      </c>
      <c r="F292" s="66" t="str">
        <f>_xlfn.CONCAT(Tableau119[[#This Row],[ID]],"-","Actif")</f>
        <v>103-Actif</v>
      </c>
      <c r="G292" s="66" t="str">
        <f>_xlfn.CONCAT(Tableau119[[#This Row],[POD]],"-",Tableau119[[#This Row],[Code PFI]],"-",Tableau119[[#This Row],[Compte Consignee]])</f>
        <v>FALSO---90018500</v>
      </c>
      <c r="H2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CVU</v>
      </c>
      <c r="I292" s="434" t="str">
        <f>_xlfn.CONCAT(Tableau119[[#This Row],[ID]],"-",Tableau119[[#This Row],[Expiration Date]])</f>
        <v>103-45777</v>
      </c>
      <c r="J2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Mioveni-ILN Mioveni-103-FALSO-FALSO-FALSO--45777</v>
      </c>
      <c r="K292" s="119" t="str">
        <f ca="1">IF(COUNTIF(J:J,Tableau119[[#This Row],[Plant-ILN-shipper-POL-Carrier-POD-PFI]])=1,"Non","Oui")</f>
        <v>Non</v>
      </c>
      <c r="L292" s="128" t="str">
        <f>VLOOKUP(Tableau119[[#This Row],[Name Site]],Plant_AILN!A:D,4,FALSE)</f>
        <v>BRAZIL</v>
      </c>
      <c r="M292" s="411" t="s">
        <v>639</v>
      </c>
      <c r="N292" s="454">
        <f>VLOOKUP(Tableau119[[#This Row],[Name Site]],Plant_AILN!A:C,3,FALSE)</f>
        <v>90018500</v>
      </c>
      <c r="O292" s="55">
        <f>VLOOKUP(Tableau119[[#This Row],[Compte Consignee]],Order!C:D,2,FALSE)</f>
        <v>7</v>
      </c>
      <c r="P292" s="124" t="s">
        <v>168</v>
      </c>
      <c r="Q292" s="365">
        <f>VLOOKUP(Tableau119[[#This Row],[Name ILN]],Plant_AILN!F:G,2,FALSE)</f>
        <v>28390</v>
      </c>
      <c r="R292" s="50">
        <f>VLOOKUP(Tableau119[[#This Row],[Compte ILN]],'DATA ILN'!D:I,6,FALSE)</f>
        <v>9</v>
      </c>
      <c r="S292" s="50" t="e">
        <f>IFERROR(VLOOKUP(Tableau119[[#This Row],[Key(Compte ILN - shipper - POL - plant)]],'DATA ILN'!A:J,10,FALSE),VLOOKUP(Tableau119[[#This Row],[Key(Compte ILN - shipper - POL)]],'DATA ILN'!B:J,9,FALSE))</f>
        <v>#N/A</v>
      </c>
      <c r="T292" s="50" t="e">
        <f>IFERROR(VLOOKUP(Tableau119[[#This Row],[Key(Compte ILN - shipper - POL - plant)]],'DATA ILN'!A:K,11,FALSE),VLOOKUP(Tableau119[[#This Row],[Key(Compte ILN - shipper - POL)]],'DATA ILN'!B:K,10,FALSE))</f>
        <v>#N/A</v>
      </c>
      <c r="U292" s="50" t="e">
        <f>IFERROR(VLOOKUP(Tableau119[[#This Row],[Key(Compte ILN - shipper - POL - plant)]],'DATA ILN'!A:L,12,FALSE),VLOOKUP(Tableau119[[#This Row],[Key(Compte ILN - shipper - POL)]],'DATA ILN'!B:L,11,FALSE))</f>
        <v>#N/A</v>
      </c>
      <c r="V292" s="50" t="e">
        <f>Tableau119[[#This Row],[Day ILN Order]]+Tableau119[[#This Row],[Delivery time to ILN/Shipper]]-1</f>
        <v>#N/A</v>
      </c>
      <c r="W292" s="50" t="e">
        <f>IFERROR(VLOOKUP(Tableau119[[#This Row],[Key(Compte ILN - shipper - POL - plant)]],'DATA ILN'!A:N,14,FALSE),VLOOKUP(Tableau119[[#This Row],[Key(Compte ILN - shipper - POL)]],'DATA ILN'!B:N,13,FALSE))</f>
        <v>#N/A</v>
      </c>
      <c r="X292" s="50" t="e">
        <f>IFERROR(VLOOKUP(Tableau119[[#This Row],[Key(Compte ILN - shipper - POL - plant)]],'DATA ILN'!A:P,16,FALSE),VLOOKUP(Tableau119[[#This Row],[Key(Compte ILN - shipper - POL)]],'DATA ILN'!B:P,15,FALSE))</f>
        <v>#N/A</v>
      </c>
      <c r="Y292" s="284" t="s">
        <v>168</v>
      </c>
      <c r="Z292" s="430">
        <f>IFERROR(VLOOKUP(Tableau119[[#This Row],[Name Shipper]],Plant_AILN!L:M,2,FALSE),0)</f>
        <v>28390</v>
      </c>
      <c r="AA292" s="406">
        <v>103</v>
      </c>
      <c r="AB292" s="396" t="b">
        <f>_xlfn.XLOOKUP(Tableau119[[#This Row],[Key(ID-date)]],'DATA BTO'!S:S,'DATA BTO'!E:E,FALSE)</f>
        <v>0</v>
      </c>
      <c r="AC292" s="3" t="b">
        <f>_xlfn.XLOOKUP(Tableau119[[#This Row],[Key(ID-date)]],'DATA BTO'!S:S,'DATA BTO'!F:F,FALSE)</f>
        <v>0</v>
      </c>
      <c r="AD292" s="50" t="b">
        <f>_xlfn.XLOOKUP(Tableau119[[#This Row],[Key(ID-date)]],'DATA BTO'!S:S,'DATA BTO'!G:G,FALSE)</f>
        <v>0</v>
      </c>
      <c r="AE292" s="50" t="b">
        <f>_xlfn.XLOOKUP(Tableau119[[#This Row],[Key(ID-date)]],'DATA BTO'!S:S,'DATA BTO'!H:H,FALSE)</f>
        <v>0</v>
      </c>
      <c r="AF292" s="447" t="e">
        <f>IF(Tableau119[[#This Row],[First Day to POL]]&lt;=Tableau119[[#This Row],[Day Cut Off]],Tableau119[[#This Row],[Day ETD]],Tableau119[[#This Row],[Day ETD]]+7)</f>
        <v>#N/A</v>
      </c>
      <c r="AG292" s="50" t="b">
        <f>_xlfn.XLOOKUP(Tableau119[[#This Row],[Key(ID-date)]],'DATA BTO'!S:S,'DATA BTO'!I:I,FALSE)</f>
        <v>0</v>
      </c>
      <c r="AH292" s="3" t="b">
        <f>_xlfn.XLOOKUP(Tableau119[[#This Row],[Key(ID-date)]],'DATA BTO'!S:S,'DATA BTO'!J:J,FALSE)</f>
        <v>0</v>
      </c>
      <c r="AI292" s="3" t="b">
        <f>_xlfn.XLOOKUP(Tableau119[[#This Row],[Key(ID-date)]],'DATA BTO'!S:S,'DATA BTO'!K:K,FALSE)</f>
        <v>0</v>
      </c>
      <c r="AJ292" s="50" t="b">
        <f>_xlfn.XLOOKUP(Tableau119[[#This Row],[Key(ID-date)]],'DATA BTO'!S:S,'DATA BTO'!L:L,FALSE)</f>
        <v>0</v>
      </c>
      <c r="AK292" s="53" t="b">
        <f>_xlfn.XLOOKUP(Tableau119[[#This Row],[Key(ID-date)]],'DATA BTO'!S:S,'DATA BTO'!N:N,FALSE)</f>
        <v>0</v>
      </c>
      <c r="AL292" s="54" t="e">
        <f>VLOOKUP(Tableau119[[#This Row],[Key(POD -PFI- Usine)]],'DATA Consignee'!A:F,6,FALSE)</f>
        <v>#N/A</v>
      </c>
      <c r="AM292" s="284"/>
      <c r="AN292" s="376" t="str">
        <f>IF(Tableau119[[#This Row],[Name PFI/CDD]]="","-",VLOOKUP(Tableau119[[#This Row],[Name PFI/CDD]],Plant_AILN!I:J,2,FALSE))</f>
        <v>-</v>
      </c>
      <c r="AO29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2" s="2" t="e">
        <f>VLOOKUP(Tableau119[[#This Row],[Key(POD -PFI- Usine)]],'DATA Consignee'!A:J,10,FALSE)</f>
        <v>#N/A</v>
      </c>
      <c r="AR292" s="50" t="e">
        <f>VLOOKUP(Tableau119[[#This Row],[Key(POD -PFI- Usine)]],'DATA Consignee'!A:N,14,FALSE)</f>
        <v>#N/A</v>
      </c>
      <c r="AS29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2" s="50">
        <f>Tableau119[[#This Row],[Transit time]]+Tableau119[[#This Row],[Time for security]]+Tableau119[[#This Row],[Time for security2 buffer]]</f>
        <v>0</v>
      </c>
      <c r="AV2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2" s="50" t="e">
        <f>Tableau119[[#This Row],[Leadtime SI2C]]+Tableau119[[#This Row],[First Receipt Days]]-Tableau119[[#This Row],[Day Customer Order]]+1</f>
        <v>#N/A</v>
      </c>
      <c r="AX292" s="119" t="e">
        <f>IF(Tableau119[[#This Row],[Name ILN]]&lt;&gt;"SFK Freight Forwarder",Tableau119[[#This Row],[Cust. Leadtime]],Tableau119[[#This Row],[Leadtime SI2C]])</f>
        <v>#N/A</v>
      </c>
      <c r="AY292" s="51" t="b">
        <f>_xlfn.XLOOKUP(Tableau119[[#This Row],[Key(ID-date)]],'DATA BTO'!S:S,'DATA BTO'!P:P,FALSE)</f>
        <v>0</v>
      </c>
      <c r="AZ292" s="338">
        <v>45777</v>
      </c>
      <c r="BA292" s="50"/>
    </row>
    <row r="293" spans="2:53">
      <c r="B293" s="446" t="str">
        <f>_xlfn.CONCAT(Tableau119[[#This Row],[Name ILN]],"-",Tableau119[[#This Row],[Name Shipper]],"-",Tableau119[[#This Row],[Name Site]])</f>
        <v>ILN Mioveni-ILN Mioveni-Curitiba CVP</v>
      </c>
      <c r="C293" s="66" t="str">
        <f>_xlfn.CONCAT(Tableau119[[#This Row],[Compte ILN]],"-",Tableau119[[#This Row],[Compte Shipper]],"-",Tableau119[[#This Row],[POL]],"-",Tableau119[[#This Row],[Compte Consignee]])</f>
        <v>28390-28390-FALSO-90018000</v>
      </c>
      <c r="D293" s="66" t="str">
        <f>_xlfn.CONCAT(Tableau119[[#This Row],[Compte ILN]],"-",Tableau119[[#This Row],[Compte Shipper]],"-",Tableau119[[#This Row],[POL]])</f>
        <v>28390-28390-FALSO</v>
      </c>
      <c r="E293" s="130" t="str">
        <f>_xlfn.CONCAT(Tableau119[[#This Row],[POL]],"-",Tableau119[[#This Row],[Carrier]],"-",Tableau119[[#This Row],[POD]])</f>
        <v>FALSO-FALSO-FALSO</v>
      </c>
      <c r="F293" s="66" t="str">
        <f>_xlfn.CONCAT(Tableau119[[#This Row],[ID]],"-","Actif")</f>
        <v>103-Actif</v>
      </c>
      <c r="G293" s="66" t="str">
        <f>_xlfn.CONCAT(Tableau119[[#This Row],[POD]],"-",Tableau119[[#This Row],[Code PFI]],"-",Tableau119[[#This Row],[Compte Consignee]])</f>
        <v>FALSO---90018000</v>
      </c>
      <c r="H2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CVP</v>
      </c>
      <c r="I293" s="434" t="str">
        <f>_xlfn.CONCAT(Tableau119[[#This Row],[ID]],"-",Tableau119[[#This Row],[Expiration Date]])</f>
        <v>103-45473</v>
      </c>
      <c r="J2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Mioveni-ILN Mioveni-103-FALSO-FALSO-FALSO--45473</v>
      </c>
      <c r="K293" s="119" t="str">
        <f ca="1">IF(COUNTIF(J:J,Tableau119[[#This Row],[Plant-ILN-shipper-POL-Carrier-POD-PFI]])=1,"Non","Oui")</f>
        <v>Non</v>
      </c>
      <c r="L293" s="128" t="str">
        <f>VLOOKUP(Tableau119[[#This Row],[Name Site]],Plant_AILN!A:D,4,FALSE)</f>
        <v>BRAZIL</v>
      </c>
      <c r="M293" s="411" t="s">
        <v>152</v>
      </c>
      <c r="N293" s="454">
        <f>VLOOKUP(Tableau119[[#This Row],[Name Site]],Plant_AILN!A:C,3,FALSE)</f>
        <v>90018000</v>
      </c>
      <c r="O293" s="55">
        <f>VLOOKUP(Tableau119[[#This Row],[Compte Consignee]],Order!C:D,2,FALSE)</f>
        <v>7</v>
      </c>
      <c r="P293" s="124" t="s">
        <v>168</v>
      </c>
      <c r="Q293" s="365">
        <f>VLOOKUP(Tableau119[[#This Row],[Name ILN]],Plant_AILN!F:G,2,FALSE)</f>
        <v>28390</v>
      </c>
      <c r="R293" s="50">
        <f>VLOOKUP(Tableau119[[#This Row],[Compte ILN]],'DATA ILN'!D:I,6,FALSE)</f>
        <v>9</v>
      </c>
      <c r="S293" s="50" t="e">
        <f>IFERROR(VLOOKUP(Tableau119[[#This Row],[Key(Compte ILN - shipper - POL - plant)]],'DATA ILN'!A:J,10,FALSE),VLOOKUP(Tableau119[[#This Row],[Key(Compte ILN - shipper - POL)]],'DATA ILN'!B:J,9,FALSE))</f>
        <v>#N/A</v>
      </c>
      <c r="T293" s="50" t="e">
        <f>IFERROR(VLOOKUP(Tableau119[[#This Row],[Key(Compte ILN - shipper - POL - plant)]],'DATA ILN'!A:K,11,FALSE),VLOOKUP(Tableau119[[#This Row],[Key(Compte ILN - shipper - POL)]],'DATA ILN'!B:K,10,FALSE))</f>
        <v>#N/A</v>
      </c>
      <c r="U293" s="50" t="e">
        <f>IFERROR(VLOOKUP(Tableau119[[#This Row],[Key(Compte ILN - shipper - POL - plant)]],'DATA ILN'!A:L,12,FALSE),VLOOKUP(Tableau119[[#This Row],[Key(Compte ILN - shipper - POL)]],'DATA ILN'!B:L,11,FALSE))</f>
        <v>#N/A</v>
      </c>
      <c r="V293" s="50" t="e">
        <f>Tableau119[[#This Row],[Day ILN Order]]+Tableau119[[#This Row],[Delivery time to ILN/Shipper]]-1</f>
        <v>#N/A</v>
      </c>
      <c r="W293" s="50" t="e">
        <f>IFERROR(VLOOKUP(Tableau119[[#This Row],[Key(Compte ILN - shipper - POL - plant)]],'DATA ILN'!A:N,14,FALSE),VLOOKUP(Tableau119[[#This Row],[Key(Compte ILN - shipper - POL)]],'DATA ILN'!B:N,13,FALSE))</f>
        <v>#N/A</v>
      </c>
      <c r="X293" s="50" t="e">
        <f>IFERROR(VLOOKUP(Tableau119[[#This Row],[Key(Compte ILN - shipper - POL - plant)]],'DATA ILN'!A:P,16,FALSE),VLOOKUP(Tableau119[[#This Row],[Key(Compte ILN - shipper - POL)]],'DATA ILN'!B:P,15,FALSE))</f>
        <v>#N/A</v>
      </c>
      <c r="Y293" s="284" t="s">
        <v>168</v>
      </c>
      <c r="Z293" s="430">
        <f>IFERROR(VLOOKUP(Tableau119[[#This Row],[Name Shipper]],Plant_AILN!L:M,2,FALSE),0)</f>
        <v>28390</v>
      </c>
      <c r="AA293" s="406">
        <v>103</v>
      </c>
      <c r="AB293" s="396" t="b">
        <f>_xlfn.XLOOKUP(Tableau119[[#This Row],[Key(ID-date)]],'DATA BTO'!S:S,'DATA BTO'!E:E,FALSE)</f>
        <v>0</v>
      </c>
      <c r="AC293" s="3" t="b">
        <f>_xlfn.XLOOKUP(Tableau119[[#This Row],[Key(ID-date)]],'DATA BTO'!S:S,'DATA BTO'!F:F,FALSE)</f>
        <v>0</v>
      </c>
      <c r="AD293" s="50" t="b">
        <f>_xlfn.XLOOKUP(Tableau119[[#This Row],[Key(ID-date)]],'DATA BTO'!S:S,'DATA BTO'!G:G,FALSE)</f>
        <v>0</v>
      </c>
      <c r="AE293" s="50" t="b">
        <f>_xlfn.XLOOKUP(Tableau119[[#This Row],[Key(ID-date)]],'DATA BTO'!S:S,'DATA BTO'!H:H,FALSE)</f>
        <v>0</v>
      </c>
      <c r="AF293" s="447" t="e">
        <f>IF(Tableau119[[#This Row],[First Day to POL]]&lt;=Tableau119[[#This Row],[Day Cut Off]],Tableau119[[#This Row],[Day ETD]],Tableau119[[#This Row],[Day ETD]]+7)</f>
        <v>#N/A</v>
      </c>
      <c r="AG293" s="50" t="b">
        <f>_xlfn.XLOOKUP(Tableau119[[#This Row],[Key(ID-date)]],'DATA BTO'!S:S,'DATA BTO'!I:I,FALSE)</f>
        <v>0</v>
      </c>
      <c r="AH293" s="3" t="b">
        <f>_xlfn.XLOOKUP(Tableau119[[#This Row],[Key(ID-date)]],'DATA BTO'!S:S,'DATA BTO'!J:J,FALSE)</f>
        <v>0</v>
      </c>
      <c r="AI293" s="3" t="b">
        <f>_xlfn.XLOOKUP(Tableau119[[#This Row],[Key(ID-date)]],'DATA BTO'!S:S,'DATA BTO'!K:K,FALSE)</f>
        <v>0</v>
      </c>
      <c r="AJ293" s="50" t="b">
        <f>_xlfn.XLOOKUP(Tableau119[[#This Row],[Key(ID-date)]],'DATA BTO'!S:S,'DATA BTO'!L:L,FALSE)</f>
        <v>0</v>
      </c>
      <c r="AK293" s="53" t="b">
        <f>_xlfn.XLOOKUP(Tableau119[[#This Row],[Key(ID-date)]],'DATA BTO'!S:S,'DATA BTO'!N:N,FALSE)</f>
        <v>0</v>
      </c>
      <c r="AL293" s="54" t="e">
        <f>VLOOKUP(Tableau119[[#This Row],[Key(POD -PFI- Usine)]],'DATA Consignee'!A:F,6,FALSE)</f>
        <v>#N/A</v>
      </c>
      <c r="AM293" s="284"/>
      <c r="AN293" s="376" t="str">
        <f>IF(Tableau119[[#This Row],[Name PFI/CDD]]="","-",VLOOKUP(Tableau119[[#This Row],[Name PFI/CDD]],Plant_AILN!I:J,2,FALSE))</f>
        <v>-</v>
      </c>
      <c r="AO2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3" s="2" t="e">
        <f>VLOOKUP(Tableau119[[#This Row],[Key(POD -PFI- Usine)]],'DATA Consignee'!A:J,10,FALSE)</f>
        <v>#N/A</v>
      </c>
      <c r="AR293" s="50" t="e">
        <f>VLOOKUP(Tableau119[[#This Row],[Key(POD -PFI- Usine)]],'DATA Consignee'!A:N,14,FALSE)</f>
        <v>#N/A</v>
      </c>
      <c r="AS2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3" s="50">
        <f>Tableau119[[#This Row],[Transit time]]+Tableau119[[#This Row],[Time for security]]+Tableau119[[#This Row],[Time for security2 buffer]]</f>
        <v>0</v>
      </c>
      <c r="AV2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3" s="50" t="e">
        <f>Tableau119[[#This Row],[Leadtime SI2C]]+Tableau119[[#This Row],[First Receipt Days]]-Tableau119[[#This Row],[Day Customer Order]]+1</f>
        <v>#N/A</v>
      </c>
      <c r="AX293" s="119" t="e">
        <f>IF(Tableau119[[#This Row],[Name ILN]]&lt;&gt;"SFK Freight Forwarder",Tableau119[[#This Row],[Cust. Leadtime]],Tableau119[[#This Row],[Leadtime SI2C]])</f>
        <v>#N/A</v>
      </c>
      <c r="AY293" s="51" t="b">
        <f>_xlfn.XLOOKUP(Tableau119[[#This Row],[Key(ID-date)]],'DATA BTO'!S:S,'DATA BTO'!P:P,FALSE)</f>
        <v>0</v>
      </c>
      <c r="AZ293" s="338">
        <v>45473</v>
      </c>
      <c r="BA293" s="50"/>
    </row>
    <row r="294" spans="2:53">
      <c r="B294" s="446" t="str">
        <f>_xlfn.CONCAT(Tableau119[[#This Row],[Name ILN]],"-",Tableau119[[#This Row],[Name Shipper]],"-",Tableau119[[#This Row],[Name Site]])</f>
        <v>ILN Mioveni-ILN Mioveni-Curitiba CVU</v>
      </c>
      <c r="C294" s="66" t="str">
        <f>_xlfn.CONCAT(Tableau119[[#This Row],[Compte ILN]],"-",Tableau119[[#This Row],[Compte Shipper]],"-",Tableau119[[#This Row],[POL]],"-",Tableau119[[#This Row],[Compte Consignee]])</f>
        <v>28390-28390-FALSO-90018500</v>
      </c>
      <c r="D294" s="66" t="str">
        <f>_xlfn.CONCAT(Tableau119[[#This Row],[Compte ILN]],"-",Tableau119[[#This Row],[Compte Shipper]],"-",Tableau119[[#This Row],[POL]])</f>
        <v>28390-28390-FALSO</v>
      </c>
      <c r="E294" s="130" t="str">
        <f>_xlfn.CONCAT(Tableau119[[#This Row],[POL]],"-",Tableau119[[#This Row],[Carrier]],"-",Tableau119[[#This Row],[POD]])</f>
        <v>FALSO-FALSO-FALSO</v>
      </c>
      <c r="F294" s="66" t="str">
        <f>_xlfn.CONCAT(Tableau119[[#This Row],[ID]],"-","Actif")</f>
        <v>103-Actif</v>
      </c>
      <c r="G294" s="66" t="str">
        <f>_xlfn.CONCAT(Tableau119[[#This Row],[POD]],"-",Tableau119[[#This Row],[Code PFI]],"-",Tableau119[[#This Row],[Compte Consignee]])</f>
        <v>FALSO---90018500</v>
      </c>
      <c r="H2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CVU</v>
      </c>
      <c r="I294" s="434" t="str">
        <f>_xlfn.CONCAT(Tableau119[[#This Row],[ID]],"-",Tableau119[[#This Row],[Expiration Date]])</f>
        <v>103-45473</v>
      </c>
      <c r="J2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Mioveni-ILN Mioveni-103-FALSO-FALSO-FALSO--45473</v>
      </c>
      <c r="K294" s="119" t="str">
        <f ca="1">IF(COUNTIF(J:J,Tableau119[[#This Row],[Plant-ILN-shipper-POL-Carrier-POD-PFI]])=1,"Non","Oui")</f>
        <v>Non</v>
      </c>
      <c r="L294" s="128" t="str">
        <f>VLOOKUP(Tableau119[[#This Row],[Name Site]],Plant_AILN!A:D,4,FALSE)</f>
        <v>BRAZIL</v>
      </c>
      <c r="M294" s="411" t="s">
        <v>639</v>
      </c>
      <c r="N294" s="454">
        <f>VLOOKUP(Tableau119[[#This Row],[Name Site]],Plant_AILN!A:C,3,FALSE)</f>
        <v>90018500</v>
      </c>
      <c r="O294" s="55">
        <f>VLOOKUP(Tableau119[[#This Row],[Compte Consignee]],Order!C:D,2,FALSE)</f>
        <v>7</v>
      </c>
      <c r="P294" s="124" t="s">
        <v>168</v>
      </c>
      <c r="Q294" s="365">
        <f>VLOOKUP(Tableau119[[#This Row],[Name ILN]],Plant_AILN!F:G,2,FALSE)</f>
        <v>28390</v>
      </c>
      <c r="R294" s="50">
        <f>VLOOKUP(Tableau119[[#This Row],[Compte ILN]],'DATA ILN'!D:I,6,FALSE)</f>
        <v>9</v>
      </c>
      <c r="S294" s="50" t="e">
        <f>IFERROR(VLOOKUP(Tableau119[[#This Row],[Key(Compte ILN - shipper - POL - plant)]],'DATA ILN'!A:J,10,FALSE),VLOOKUP(Tableau119[[#This Row],[Key(Compte ILN - shipper - POL)]],'DATA ILN'!B:J,9,FALSE))</f>
        <v>#N/A</v>
      </c>
      <c r="T294" s="50" t="e">
        <f>IFERROR(VLOOKUP(Tableau119[[#This Row],[Key(Compte ILN - shipper - POL - plant)]],'DATA ILN'!A:K,11,FALSE),VLOOKUP(Tableau119[[#This Row],[Key(Compte ILN - shipper - POL)]],'DATA ILN'!B:K,10,FALSE))</f>
        <v>#N/A</v>
      </c>
      <c r="U294" s="50" t="e">
        <f>IFERROR(VLOOKUP(Tableau119[[#This Row],[Key(Compte ILN - shipper - POL - plant)]],'DATA ILN'!A:L,12,FALSE),VLOOKUP(Tableau119[[#This Row],[Key(Compte ILN - shipper - POL)]],'DATA ILN'!B:L,11,FALSE))</f>
        <v>#N/A</v>
      </c>
      <c r="V294" s="50" t="e">
        <f>Tableau119[[#This Row],[Day ILN Order]]+Tableau119[[#This Row],[Delivery time to ILN/Shipper]]-1</f>
        <v>#N/A</v>
      </c>
      <c r="W294" s="50" t="e">
        <f>IFERROR(VLOOKUP(Tableau119[[#This Row],[Key(Compte ILN - shipper - POL - plant)]],'DATA ILN'!A:N,14,FALSE),VLOOKUP(Tableau119[[#This Row],[Key(Compte ILN - shipper - POL)]],'DATA ILN'!B:N,13,FALSE))</f>
        <v>#N/A</v>
      </c>
      <c r="X294" s="50" t="e">
        <f>IFERROR(VLOOKUP(Tableau119[[#This Row],[Key(Compte ILN - shipper - POL - plant)]],'DATA ILN'!A:P,16,FALSE),VLOOKUP(Tableau119[[#This Row],[Key(Compte ILN - shipper - POL)]],'DATA ILN'!B:P,15,FALSE))</f>
        <v>#N/A</v>
      </c>
      <c r="Y294" s="284" t="s">
        <v>168</v>
      </c>
      <c r="Z294" s="430">
        <f>IFERROR(VLOOKUP(Tableau119[[#This Row],[Name Shipper]],Plant_AILN!L:M,2,FALSE),0)</f>
        <v>28390</v>
      </c>
      <c r="AA294" s="406">
        <v>103</v>
      </c>
      <c r="AB294" s="396" t="b">
        <f>_xlfn.XLOOKUP(Tableau119[[#This Row],[Key(ID-date)]],'DATA BTO'!S:S,'DATA BTO'!E:E,FALSE)</f>
        <v>0</v>
      </c>
      <c r="AC294" s="3" t="b">
        <f>_xlfn.XLOOKUP(Tableau119[[#This Row],[Key(ID-date)]],'DATA BTO'!S:S,'DATA BTO'!F:F,FALSE)</f>
        <v>0</v>
      </c>
      <c r="AD294" s="50" t="b">
        <f>_xlfn.XLOOKUP(Tableau119[[#This Row],[Key(ID-date)]],'DATA BTO'!S:S,'DATA BTO'!G:G,FALSE)</f>
        <v>0</v>
      </c>
      <c r="AE294" s="50" t="b">
        <f>_xlfn.XLOOKUP(Tableau119[[#This Row],[Key(ID-date)]],'DATA BTO'!S:S,'DATA BTO'!H:H,FALSE)</f>
        <v>0</v>
      </c>
      <c r="AF294" s="447" t="e">
        <f>IF(Tableau119[[#This Row],[First Day to POL]]&lt;=Tableau119[[#This Row],[Day Cut Off]],Tableau119[[#This Row],[Day ETD]],Tableau119[[#This Row],[Day ETD]]+7)</f>
        <v>#N/A</v>
      </c>
      <c r="AG294" s="50" t="b">
        <f>_xlfn.XLOOKUP(Tableau119[[#This Row],[Key(ID-date)]],'DATA BTO'!S:S,'DATA BTO'!I:I,FALSE)</f>
        <v>0</v>
      </c>
      <c r="AH294" s="3" t="b">
        <f>_xlfn.XLOOKUP(Tableau119[[#This Row],[Key(ID-date)]],'DATA BTO'!S:S,'DATA BTO'!J:J,FALSE)</f>
        <v>0</v>
      </c>
      <c r="AI294" s="3" t="b">
        <f>_xlfn.XLOOKUP(Tableau119[[#This Row],[Key(ID-date)]],'DATA BTO'!S:S,'DATA BTO'!K:K,FALSE)</f>
        <v>0</v>
      </c>
      <c r="AJ294" s="50" t="b">
        <f>_xlfn.XLOOKUP(Tableau119[[#This Row],[Key(ID-date)]],'DATA BTO'!S:S,'DATA BTO'!L:L,FALSE)</f>
        <v>0</v>
      </c>
      <c r="AK294" s="53" t="b">
        <f>_xlfn.XLOOKUP(Tableau119[[#This Row],[Key(ID-date)]],'DATA BTO'!S:S,'DATA BTO'!N:N,FALSE)</f>
        <v>0</v>
      </c>
      <c r="AL294" s="54" t="e">
        <f>VLOOKUP(Tableau119[[#This Row],[Key(POD -PFI- Usine)]],'DATA Consignee'!A:F,6,FALSE)</f>
        <v>#N/A</v>
      </c>
      <c r="AM294" s="284"/>
      <c r="AN294" s="376" t="str">
        <f>IF(Tableau119[[#This Row],[Name PFI/CDD]]="","-",VLOOKUP(Tableau119[[#This Row],[Name PFI/CDD]],Plant_AILN!I:J,2,FALSE))</f>
        <v>-</v>
      </c>
      <c r="AO2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4" s="2" t="e">
        <f>VLOOKUP(Tableau119[[#This Row],[Key(POD -PFI- Usine)]],'DATA Consignee'!A:J,10,FALSE)</f>
        <v>#N/A</v>
      </c>
      <c r="AR294" s="50" t="e">
        <f>VLOOKUP(Tableau119[[#This Row],[Key(POD -PFI- Usine)]],'DATA Consignee'!A:N,14,FALSE)</f>
        <v>#N/A</v>
      </c>
      <c r="AS29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4" s="50">
        <f>Tableau119[[#This Row],[Transit time]]+Tableau119[[#This Row],[Time for security]]+Tableau119[[#This Row],[Time for security2 buffer]]</f>
        <v>0</v>
      </c>
      <c r="AV2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4" s="50" t="e">
        <f>Tableau119[[#This Row],[Leadtime SI2C]]+Tableau119[[#This Row],[First Receipt Days]]-Tableau119[[#This Row],[Day Customer Order]]+1</f>
        <v>#N/A</v>
      </c>
      <c r="AX294" s="119" t="e">
        <f>IF(Tableau119[[#This Row],[Name ILN]]&lt;&gt;"SFK Freight Forwarder",Tableau119[[#This Row],[Cust. Leadtime]],Tableau119[[#This Row],[Leadtime SI2C]])</f>
        <v>#N/A</v>
      </c>
      <c r="AY294" s="51" t="b">
        <f>_xlfn.XLOOKUP(Tableau119[[#This Row],[Key(ID-date)]],'DATA BTO'!S:S,'DATA BTO'!P:P,FALSE)</f>
        <v>0</v>
      </c>
      <c r="AZ294" s="338">
        <v>45473</v>
      </c>
      <c r="BA294" s="50"/>
    </row>
    <row r="295" spans="2:53">
      <c r="B295" s="446" t="str">
        <f>_xlfn.CONCAT(Tableau119[[#This Row],[Name ILN]],"-",Tableau119[[#This Row],[Name Shipper]],"-",Tableau119[[#This Row],[Name Site]])</f>
        <v>ILN Mioveni-ILN Mioveni-Curitiba CVP</v>
      </c>
      <c r="C295" s="66" t="str">
        <f>_xlfn.CONCAT(Tableau119[[#This Row],[Compte ILN]],"-",Tableau119[[#This Row],[Compte Shipper]],"-",Tableau119[[#This Row],[POL]],"-",Tableau119[[#This Row],[Compte Consignee]])</f>
        <v>28390-28390-FALSO-90018000</v>
      </c>
      <c r="D295" s="66" t="str">
        <f>_xlfn.CONCAT(Tableau119[[#This Row],[Compte ILN]],"-",Tableau119[[#This Row],[Compte Shipper]],"-",Tableau119[[#This Row],[POL]])</f>
        <v>28390-28390-FALSO</v>
      </c>
      <c r="E295" s="130" t="str">
        <f>_xlfn.CONCAT(Tableau119[[#This Row],[POL]],"-",Tableau119[[#This Row],[Carrier]],"-",Tableau119[[#This Row],[POD]])</f>
        <v>FALSO-FALSO-FALSO</v>
      </c>
      <c r="F295" s="66" t="str">
        <f>_xlfn.CONCAT(Tableau119[[#This Row],[ID]],"-","Actif")</f>
        <v>103-Actif</v>
      </c>
      <c r="G295" s="66" t="str">
        <f>_xlfn.CONCAT(Tableau119[[#This Row],[POD]],"-",Tableau119[[#This Row],[Code PFI]],"-",Tableau119[[#This Row],[Compte Consignee]])</f>
        <v>FALSO---90018000</v>
      </c>
      <c r="H2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CVP</v>
      </c>
      <c r="I295" s="434" t="str">
        <f>_xlfn.CONCAT(Tableau119[[#This Row],[ID]],"-",Tableau119[[#This Row],[Expiration Date]])</f>
        <v>103-45392</v>
      </c>
      <c r="J2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Mioveni-ILN Mioveni-103-FALSO-FALSO-FALSO--45392</v>
      </c>
      <c r="K295" s="119" t="str">
        <f ca="1">IF(COUNTIF(J:J,Tableau119[[#This Row],[Plant-ILN-shipper-POL-Carrier-POD-PFI]])=1,"Non","Oui")</f>
        <v>Non</v>
      </c>
      <c r="L295" s="128" t="str">
        <f>VLOOKUP(Tableau119[[#This Row],[Name Site]],Plant_AILN!A:D,4,FALSE)</f>
        <v>BRAZIL</v>
      </c>
      <c r="M295" s="411" t="s">
        <v>152</v>
      </c>
      <c r="N295" s="454">
        <f>VLOOKUP(Tableau119[[#This Row],[Name Site]],Plant_AILN!A:C,3,FALSE)</f>
        <v>90018000</v>
      </c>
      <c r="O295" s="55">
        <f>VLOOKUP(Tableau119[[#This Row],[Compte Consignee]],Order!C:D,2,FALSE)</f>
        <v>7</v>
      </c>
      <c r="P295" s="124" t="s">
        <v>168</v>
      </c>
      <c r="Q295" s="365">
        <f>VLOOKUP(Tableau119[[#This Row],[Name ILN]],Plant_AILN!F:G,2,FALSE)</f>
        <v>28390</v>
      </c>
      <c r="R295" s="50">
        <f>VLOOKUP(Tableau119[[#This Row],[Compte ILN]],'DATA ILN'!D:I,6,FALSE)</f>
        <v>9</v>
      </c>
      <c r="S295" s="50" t="e">
        <f>IFERROR(VLOOKUP(Tableau119[[#This Row],[Key(Compte ILN - shipper - POL - plant)]],'DATA ILN'!A:J,10,FALSE),VLOOKUP(Tableau119[[#This Row],[Key(Compte ILN - shipper - POL)]],'DATA ILN'!B:J,9,FALSE))</f>
        <v>#N/A</v>
      </c>
      <c r="T295" s="50" t="e">
        <f>IFERROR(VLOOKUP(Tableau119[[#This Row],[Key(Compte ILN - shipper - POL - plant)]],'DATA ILN'!A:K,11,FALSE),VLOOKUP(Tableau119[[#This Row],[Key(Compte ILN - shipper - POL)]],'DATA ILN'!B:K,10,FALSE))</f>
        <v>#N/A</v>
      </c>
      <c r="U295" s="50" t="e">
        <f>IFERROR(VLOOKUP(Tableau119[[#This Row],[Key(Compte ILN - shipper - POL - plant)]],'DATA ILN'!A:L,12,FALSE),VLOOKUP(Tableau119[[#This Row],[Key(Compte ILN - shipper - POL)]],'DATA ILN'!B:L,11,FALSE))</f>
        <v>#N/A</v>
      </c>
      <c r="V295" s="50" t="e">
        <f>Tableau119[[#This Row],[Day ILN Order]]+Tableau119[[#This Row],[Delivery time to ILN/Shipper]]-1</f>
        <v>#N/A</v>
      </c>
      <c r="W295" s="50" t="e">
        <f>IFERROR(VLOOKUP(Tableau119[[#This Row],[Key(Compte ILN - shipper - POL - plant)]],'DATA ILN'!A:N,14,FALSE),VLOOKUP(Tableau119[[#This Row],[Key(Compte ILN - shipper - POL)]],'DATA ILN'!B:N,13,FALSE))</f>
        <v>#N/A</v>
      </c>
      <c r="X295" s="50" t="e">
        <f>IFERROR(VLOOKUP(Tableau119[[#This Row],[Key(Compte ILN - shipper - POL - plant)]],'DATA ILN'!A:P,16,FALSE),VLOOKUP(Tableau119[[#This Row],[Key(Compte ILN - shipper - POL)]],'DATA ILN'!B:P,15,FALSE))</f>
        <v>#N/A</v>
      </c>
      <c r="Y295" s="284" t="s">
        <v>168</v>
      </c>
      <c r="Z295" s="430">
        <f>IFERROR(VLOOKUP(Tableau119[[#This Row],[Name Shipper]],Plant_AILN!L:M,2,FALSE),0)</f>
        <v>28390</v>
      </c>
      <c r="AA295" s="406">
        <v>103</v>
      </c>
      <c r="AB295" s="396" t="b">
        <f>_xlfn.XLOOKUP(Tableau119[[#This Row],[Key(ID-date)]],'DATA BTO'!S:S,'DATA BTO'!E:E,FALSE)</f>
        <v>0</v>
      </c>
      <c r="AC295" s="3" t="b">
        <f>_xlfn.XLOOKUP(Tableau119[[#This Row],[Key(ID-date)]],'DATA BTO'!S:S,'DATA BTO'!F:F,FALSE)</f>
        <v>0</v>
      </c>
      <c r="AD295" s="50" t="b">
        <f>_xlfn.XLOOKUP(Tableau119[[#This Row],[Key(ID-date)]],'DATA BTO'!S:S,'DATA BTO'!G:G,FALSE)</f>
        <v>0</v>
      </c>
      <c r="AE295" s="50" t="b">
        <f>_xlfn.XLOOKUP(Tableau119[[#This Row],[Key(ID-date)]],'DATA BTO'!S:S,'DATA BTO'!H:H,FALSE)</f>
        <v>0</v>
      </c>
      <c r="AF295" s="447" t="e">
        <f>IF(Tableau119[[#This Row],[First Day to POL]]&lt;=Tableau119[[#This Row],[Day Cut Off]],Tableau119[[#This Row],[Day ETD]],Tableau119[[#This Row],[Day ETD]]+7)</f>
        <v>#N/A</v>
      </c>
      <c r="AG295" s="50" t="b">
        <f>_xlfn.XLOOKUP(Tableau119[[#This Row],[Key(ID-date)]],'DATA BTO'!S:S,'DATA BTO'!I:I,FALSE)</f>
        <v>0</v>
      </c>
      <c r="AH295" s="3" t="b">
        <f>_xlfn.XLOOKUP(Tableau119[[#This Row],[Key(ID-date)]],'DATA BTO'!S:S,'DATA BTO'!J:J,FALSE)</f>
        <v>0</v>
      </c>
      <c r="AI295" s="3" t="b">
        <f>_xlfn.XLOOKUP(Tableau119[[#This Row],[Key(ID-date)]],'DATA BTO'!S:S,'DATA BTO'!K:K,FALSE)</f>
        <v>0</v>
      </c>
      <c r="AJ295" s="50" t="b">
        <f>_xlfn.XLOOKUP(Tableau119[[#This Row],[Key(ID-date)]],'DATA BTO'!S:S,'DATA BTO'!L:L,FALSE)</f>
        <v>0</v>
      </c>
      <c r="AK295" s="53" t="b">
        <f>_xlfn.XLOOKUP(Tableau119[[#This Row],[Key(ID-date)]],'DATA BTO'!S:S,'DATA BTO'!N:N,FALSE)</f>
        <v>0</v>
      </c>
      <c r="AL295" s="54" t="e">
        <f>VLOOKUP(Tableau119[[#This Row],[Key(POD -PFI- Usine)]],'DATA Consignee'!A:F,6,FALSE)</f>
        <v>#N/A</v>
      </c>
      <c r="AM295" s="284"/>
      <c r="AN295" s="376" t="str">
        <f>IF(Tableau119[[#This Row],[Name PFI/CDD]]="","-",VLOOKUP(Tableau119[[#This Row],[Name PFI/CDD]],Plant_AILN!I:J,2,FALSE))</f>
        <v>-</v>
      </c>
      <c r="AO29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5" s="2" t="e">
        <f>VLOOKUP(Tableau119[[#This Row],[Key(POD -PFI- Usine)]],'DATA Consignee'!A:J,10,FALSE)</f>
        <v>#N/A</v>
      </c>
      <c r="AR295" s="50" t="e">
        <f>VLOOKUP(Tableau119[[#This Row],[Key(POD -PFI- Usine)]],'DATA Consignee'!A:N,14,FALSE)</f>
        <v>#N/A</v>
      </c>
      <c r="AS29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5" s="50">
        <f>Tableau119[[#This Row],[Transit time]]+Tableau119[[#This Row],[Time for security]]+Tableau119[[#This Row],[Time for security2 buffer]]</f>
        <v>0</v>
      </c>
      <c r="AV2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5" s="50" t="e">
        <f>Tableau119[[#This Row],[Leadtime SI2C]]+Tableau119[[#This Row],[First Receipt Days]]-Tableau119[[#This Row],[Day Customer Order]]+1</f>
        <v>#N/A</v>
      </c>
      <c r="AX295" s="119" t="e">
        <f>IF(Tableau119[[#This Row],[Name ILN]]&lt;&gt;"SFK Freight Forwarder",Tableau119[[#This Row],[Cust. Leadtime]],Tableau119[[#This Row],[Leadtime SI2C]])</f>
        <v>#N/A</v>
      </c>
      <c r="AY295" s="51" t="b">
        <f>_xlfn.XLOOKUP(Tableau119[[#This Row],[Key(ID-date)]],'DATA BTO'!S:S,'DATA BTO'!P:P,FALSE)</f>
        <v>0</v>
      </c>
      <c r="AZ295" s="338">
        <v>45392</v>
      </c>
      <c r="BA295" s="50"/>
    </row>
    <row r="296" spans="2:53">
      <c r="B296" s="446" t="str">
        <f>_xlfn.CONCAT(Tableau119[[#This Row],[Name ILN]],"-",Tableau119[[#This Row],[Name Shipper]],"-",Tableau119[[#This Row],[Name Site]])</f>
        <v>ILN Mioveni-ILN Mioveni-Curitiba CVU</v>
      </c>
      <c r="C296" s="66" t="str">
        <f>_xlfn.CONCAT(Tableau119[[#This Row],[Compte ILN]],"-",Tableau119[[#This Row],[Compte Shipper]],"-",Tableau119[[#This Row],[POL]],"-",Tableau119[[#This Row],[Compte Consignee]])</f>
        <v>28390-28390-FALSO-90018500</v>
      </c>
      <c r="D296" s="66" t="str">
        <f>_xlfn.CONCAT(Tableau119[[#This Row],[Compte ILN]],"-",Tableau119[[#This Row],[Compte Shipper]],"-",Tableau119[[#This Row],[POL]])</f>
        <v>28390-28390-FALSO</v>
      </c>
      <c r="E296" s="130" t="str">
        <f>_xlfn.CONCAT(Tableau119[[#This Row],[POL]],"-",Tableau119[[#This Row],[Carrier]],"-",Tableau119[[#This Row],[POD]])</f>
        <v>FALSO-FALSO-FALSO</v>
      </c>
      <c r="F296" s="66" t="str">
        <f>_xlfn.CONCAT(Tableau119[[#This Row],[ID]],"-","Actif")</f>
        <v>103-Actif</v>
      </c>
      <c r="G296" s="66" t="str">
        <f>_xlfn.CONCAT(Tableau119[[#This Row],[POD]],"-",Tableau119[[#This Row],[Code PFI]],"-",Tableau119[[#This Row],[Compte Consignee]])</f>
        <v>FALSO---90018500</v>
      </c>
      <c r="H2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CVU</v>
      </c>
      <c r="I296" s="434" t="str">
        <f>_xlfn.CONCAT(Tableau119[[#This Row],[ID]],"-",Tableau119[[#This Row],[Expiration Date]])</f>
        <v>103-45392</v>
      </c>
      <c r="J2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Mioveni-ILN Mioveni-103-FALSO-FALSO-FALSO--45392</v>
      </c>
      <c r="K296" s="119" t="str">
        <f ca="1">IF(COUNTIF(J:J,Tableau119[[#This Row],[Plant-ILN-shipper-POL-Carrier-POD-PFI]])=1,"Non","Oui")</f>
        <v>Non</v>
      </c>
      <c r="L296" s="128" t="str">
        <f>VLOOKUP(Tableau119[[#This Row],[Name Site]],Plant_AILN!A:D,4,FALSE)</f>
        <v>BRAZIL</v>
      </c>
      <c r="M296" s="411" t="s">
        <v>639</v>
      </c>
      <c r="N296" s="454">
        <f>VLOOKUP(Tableau119[[#This Row],[Name Site]],Plant_AILN!A:C,3,FALSE)</f>
        <v>90018500</v>
      </c>
      <c r="O296" s="55">
        <f>VLOOKUP(Tableau119[[#This Row],[Compte Consignee]],Order!C:D,2,FALSE)</f>
        <v>7</v>
      </c>
      <c r="P296" s="126" t="s">
        <v>168</v>
      </c>
      <c r="Q296" s="365">
        <f>VLOOKUP(Tableau119[[#This Row],[Name ILN]],Plant_AILN!F:G,2,FALSE)</f>
        <v>28390</v>
      </c>
      <c r="R296" s="50">
        <f>VLOOKUP(Tableau119[[#This Row],[Compte ILN]],'DATA ILN'!D:I,6,FALSE)</f>
        <v>9</v>
      </c>
      <c r="S296" s="50" t="e">
        <f>IFERROR(VLOOKUP(Tableau119[[#This Row],[Key(Compte ILN - shipper - POL - plant)]],'DATA ILN'!A:J,10,FALSE),VLOOKUP(Tableau119[[#This Row],[Key(Compte ILN - shipper - POL)]],'DATA ILN'!B:J,9,FALSE))</f>
        <v>#N/A</v>
      </c>
      <c r="T296" s="50" t="e">
        <f>IFERROR(VLOOKUP(Tableau119[[#This Row],[Key(Compte ILN - shipper - POL - plant)]],'DATA ILN'!A:K,11,FALSE),VLOOKUP(Tableau119[[#This Row],[Key(Compte ILN - shipper - POL)]],'DATA ILN'!B:K,10,FALSE))</f>
        <v>#N/A</v>
      </c>
      <c r="U296" s="50" t="e">
        <f>IFERROR(VLOOKUP(Tableau119[[#This Row],[Key(Compte ILN - shipper - POL - plant)]],'DATA ILN'!A:L,12,FALSE),VLOOKUP(Tableau119[[#This Row],[Key(Compte ILN - shipper - POL)]],'DATA ILN'!B:L,11,FALSE))</f>
        <v>#N/A</v>
      </c>
      <c r="V296" s="50" t="e">
        <f>Tableau119[[#This Row],[Day ILN Order]]+Tableau119[[#This Row],[Delivery time to ILN/Shipper]]-1</f>
        <v>#N/A</v>
      </c>
      <c r="W296" s="50" t="e">
        <f>IFERROR(VLOOKUP(Tableau119[[#This Row],[Key(Compte ILN - shipper - POL - plant)]],'DATA ILN'!A:N,14,FALSE),VLOOKUP(Tableau119[[#This Row],[Key(Compte ILN - shipper - POL)]],'DATA ILN'!B:N,13,FALSE))</f>
        <v>#N/A</v>
      </c>
      <c r="X296" s="50" t="e">
        <f>IFERROR(VLOOKUP(Tableau119[[#This Row],[Key(Compte ILN - shipper - POL - plant)]],'DATA ILN'!A:P,16,FALSE),VLOOKUP(Tableau119[[#This Row],[Key(Compte ILN - shipper - POL)]],'DATA ILN'!B:P,15,FALSE))</f>
        <v>#N/A</v>
      </c>
      <c r="Y296" s="284" t="s">
        <v>168</v>
      </c>
      <c r="Z296" s="430">
        <f>IFERROR(VLOOKUP(Tableau119[[#This Row],[Name Shipper]],Plant_AILN!L:M,2,FALSE),0)</f>
        <v>28390</v>
      </c>
      <c r="AA296" s="406">
        <v>103</v>
      </c>
      <c r="AB296" s="396" t="b">
        <f>_xlfn.XLOOKUP(Tableau119[[#This Row],[Key(ID-date)]],'DATA BTO'!S:S,'DATA BTO'!E:E,FALSE)</f>
        <v>0</v>
      </c>
      <c r="AC296" s="3" t="b">
        <f>_xlfn.XLOOKUP(Tableau119[[#This Row],[Key(ID-date)]],'DATA BTO'!S:S,'DATA BTO'!F:F,FALSE)</f>
        <v>0</v>
      </c>
      <c r="AD296" s="50" t="b">
        <f>_xlfn.XLOOKUP(Tableau119[[#This Row],[Key(ID-date)]],'DATA BTO'!S:S,'DATA BTO'!G:G,FALSE)</f>
        <v>0</v>
      </c>
      <c r="AE296" s="50" t="b">
        <f>_xlfn.XLOOKUP(Tableau119[[#This Row],[Key(ID-date)]],'DATA BTO'!S:S,'DATA BTO'!H:H,FALSE)</f>
        <v>0</v>
      </c>
      <c r="AF296" s="447" t="e">
        <f>IF(Tableau119[[#This Row],[First Day to POL]]&lt;=Tableau119[[#This Row],[Day Cut Off]],Tableau119[[#This Row],[Day ETD]],Tableau119[[#This Row],[Day ETD]]+7)</f>
        <v>#N/A</v>
      </c>
      <c r="AG296" s="50" t="b">
        <f>_xlfn.XLOOKUP(Tableau119[[#This Row],[Key(ID-date)]],'DATA BTO'!S:S,'DATA BTO'!I:I,FALSE)</f>
        <v>0</v>
      </c>
      <c r="AH296" s="3" t="b">
        <f>_xlfn.XLOOKUP(Tableau119[[#This Row],[Key(ID-date)]],'DATA BTO'!S:S,'DATA BTO'!J:J,FALSE)</f>
        <v>0</v>
      </c>
      <c r="AI296" s="3" t="b">
        <f>_xlfn.XLOOKUP(Tableau119[[#This Row],[Key(ID-date)]],'DATA BTO'!S:S,'DATA BTO'!K:K,FALSE)</f>
        <v>0</v>
      </c>
      <c r="AJ296" s="50" t="b">
        <f>_xlfn.XLOOKUP(Tableau119[[#This Row],[Key(ID-date)]],'DATA BTO'!S:S,'DATA BTO'!L:L,FALSE)</f>
        <v>0</v>
      </c>
      <c r="AK296" s="53" t="b">
        <f>_xlfn.XLOOKUP(Tableau119[[#This Row],[Key(ID-date)]],'DATA BTO'!S:S,'DATA BTO'!N:N,FALSE)</f>
        <v>0</v>
      </c>
      <c r="AL296" s="54" t="e">
        <f>VLOOKUP(Tableau119[[#This Row],[Key(POD -PFI- Usine)]],'DATA Consignee'!A:F,6,FALSE)</f>
        <v>#N/A</v>
      </c>
      <c r="AM296" s="284"/>
      <c r="AN296" s="376" t="str">
        <f>IF(Tableau119[[#This Row],[Name PFI/CDD]]="","-",VLOOKUP(Tableau119[[#This Row],[Name PFI/CDD]],Plant_AILN!I:J,2,FALSE))</f>
        <v>-</v>
      </c>
      <c r="AO2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6" s="2" t="e">
        <f>VLOOKUP(Tableau119[[#This Row],[Key(POD -PFI- Usine)]],'DATA Consignee'!A:J,10,FALSE)</f>
        <v>#N/A</v>
      </c>
      <c r="AR296" s="50" t="e">
        <f>VLOOKUP(Tableau119[[#This Row],[Key(POD -PFI- Usine)]],'DATA Consignee'!A:N,14,FALSE)</f>
        <v>#N/A</v>
      </c>
      <c r="AS29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6" s="50">
        <f>Tableau119[[#This Row],[Transit time]]+Tableau119[[#This Row],[Time for security]]+Tableau119[[#This Row],[Time for security2 buffer]]</f>
        <v>0</v>
      </c>
      <c r="AV2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6" s="50" t="e">
        <f>Tableau119[[#This Row],[Leadtime SI2C]]+Tableau119[[#This Row],[First Receipt Days]]-Tableau119[[#This Row],[Day Customer Order]]+1</f>
        <v>#N/A</v>
      </c>
      <c r="AX296" s="119" t="e">
        <f>IF(Tableau119[[#This Row],[Name ILN]]&lt;&gt;"SFK Freight Forwarder",Tableau119[[#This Row],[Cust. Leadtime]],Tableau119[[#This Row],[Leadtime SI2C]])</f>
        <v>#N/A</v>
      </c>
      <c r="AY296" s="51" t="b">
        <f>_xlfn.XLOOKUP(Tableau119[[#This Row],[Key(ID-date)]],'DATA BTO'!S:S,'DATA BTO'!P:P,FALSE)</f>
        <v>0</v>
      </c>
      <c r="AZ296" s="338">
        <v>45392</v>
      </c>
      <c r="BA296" s="50"/>
    </row>
    <row r="297" spans="2:53">
      <c r="B297" s="66" t="str">
        <f>_xlfn.CONCAT(Tableau119[[#This Row],[Name ILN]],"-",Tableau119[[#This Row],[Name Shipper]],"-",Tableau119[[#This Row],[Name Site]])</f>
        <v>ILN Mioveni-ILN Mioveni-CHENNAI Powertrain</v>
      </c>
      <c r="C297" s="66" t="str">
        <f>_xlfn.CONCAT(Tableau119[[#This Row],[Compte ILN]],"-",Tableau119[[#This Row],[Compte Shipper]],"-",Tableau119[[#This Row],[POL]],"-",Tableau119[[#This Row],[Compte Consignee]])</f>
        <v>28390-28390-FALSO-26549500</v>
      </c>
      <c r="D297" s="66" t="str">
        <f>_xlfn.CONCAT(Tableau119[[#This Row],[Compte ILN]],"-",Tableau119[[#This Row],[Compte Shipper]],"-",Tableau119[[#This Row],[POL]])</f>
        <v>28390-28390-FALSO</v>
      </c>
      <c r="E297" s="130" t="str">
        <f>_xlfn.CONCAT(Tableau119[[#This Row],[POL]],"-",Tableau119[[#This Row],[Carrier]],"-",Tableau119[[#This Row],[POD]])</f>
        <v>FALSO-FALSO-FALSO</v>
      </c>
      <c r="F297" s="66" t="str">
        <f>_xlfn.CONCAT(Tableau119[[#This Row],[ID]],"-","Actif")</f>
        <v>110-Actif</v>
      </c>
      <c r="G297" s="66" t="str">
        <f>_xlfn.CONCAT(Tableau119[[#This Row],[POD]],"-",Tableau119[[#This Row],[Code PFI]],"-",Tableau119[[#This Row],[Compte Consignee]])</f>
        <v>FALSO---26549500</v>
      </c>
      <c r="H2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Powertrain</v>
      </c>
      <c r="I297" s="434" t="str">
        <f>_xlfn.CONCAT(Tableau119[[#This Row],[ID]],"-",Tableau119[[#This Row],[Expiration Date]])</f>
        <v>110-46142</v>
      </c>
      <c r="J2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Mioveni-ILN Mioveni-110-FALSO-FALSO-FALSO--46142</v>
      </c>
      <c r="K297" s="119" t="str">
        <f ca="1">IF(COUNTIF(J:J,Tableau119[[#This Row],[Plant-ILN-shipper-POL-Carrier-POD-PFI]])=1,"Non","Oui")</f>
        <v>Non</v>
      </c>
      <c r="L297" s="436" t="str">
        <f>VLOOKUP(Tableau119[[#This Row],[Name Site]],Plant_AILN!A:D,4,FALSE)</f>
        <v>INDIA</v>
      </c>
      <c r="M297" s="285" t="s">
        <v>221</v>
      </c>
      <c r="N297" s="454">
        <f>VLOOKUP(Tableau119[[#This Row],[Name Site]],Plant_AILN!A:C,3,FALSE)</f>
        <v>26549500</v>
      </c>
      <c r="O297" s="55">
        <f>IF(Tableau119[[#This Row],[Name PFI/CDD]]="PFI VLL",2,VLOOKUP(Tableau119[[#This Row],[Compte Consignee]],Order!C:D,2,FALSE))</f>
        <v>5</v>
      </c>
      <c r="P297" s="124" t="s">
        <v>168</v>
      </c>
      <c r="Q297" s="365">
        <f>VLOOKUP(Tableau119[[#This Row],[Name ILN]],Plant_AILN!F:G,2,FALSE)</f>
        <v>28390</v>
      </c>
      <c r="R297" s="50">
        <f>VLOOKUP(Tableau119[[#This Row],[Compte ILN]],'DATA ILN'!D:I,6,FALSE)</f>
        <v>9</v>
      </c>
      <c r="S297" s="50" t="e">
        <f>IFERROR(VLOOKUP(Tableau119[[#This Row],[Key(Compte ILN - shipper - POL - plant)]],'DATA ILN'!A:J,10,FALSE),VLOOKUP(Tableau119[[#This Row],[Key(Compte ILN - shipper - POL)]],'DATA ILN'!B:J,9,FALSE))</f>
        <v>#N/A</v>
      </c>
      <c r="T297" s="50" t="e">
        <f>IFERROR(VLOOKUP(Tableau119[[#This Row],[Key(Compte ILN - shipper - POL - plant)]],'DATA ILN'!A:K,11,FALSE),VLOOKUP(Tableau119[[#This Row],[Key(Compte ILN - shipper - POL)]],'DATA ILN'!B:K,10,FALSE))</f>
        <v>#N/A</v>
      </c>
      <c r="U297" s="50" t="e">
        <f>IFERROR(VLOOKUP(Tableau119[[#This Row],[Key(Compte ILN - shipper - POL - plant)]],'DATA ILN'!A:L,12,FALSE),VLOOKUP(Tableau119[[#This Row],[Key(Compte ILN - shipper - POL)]],'DATA ILN'!B:L,11,FALSE))</f>
        <v>#N/A</v>
      </c>
      <c r="V297" s="50" t="e">
        <f>Tableau119[[#This Row],[Day ILN Order]]+Tableau119[[#This Row],[Delivery time to ILN/Shipper]]-1</f>
        <v>#N/A</v>
      </c>
      <c r="W297" s="50" t="e">
        <f>IFERROR(VLOOKUP(Tableau119[[#This Row],[Key(Compte ILN - shipper - POL - plant)]],'DATA ILN'!A:N,14,FALSE),VLOOKUP(Tableau119[[#This Row],[Key(Compte ILN - shipper - POL)]],'DATA ILN'!B:N,13,FALSE))</f>
        <v>#N/A</v>
      </c>
      <c r="X297" s="50" t="e">
        <f>IFERROR(VLOOKUP(Tableau119[[#This Row],[Key(Compte ILN - shipper - POL - plant)]],'DATA ILN'!A:P,16,FALSE),VLOOKUP(Tableau119[[#This Row],[Key(Compte ILN - shipper - POL)]],'DATA ILN'!B:P,15,FALSE))</f>
        <v>#N/A</v>
      </c>
      <c r="Y297" s="124" t="s">
        <v>168</v>
      </c>
      <c r="Z297" s="430">
        <f>IFERROR(VLOOKUP(Tableau119[[#This Row],[Name Shipper]],Plant_AILN!L:M,2,FALSE),0)</f>
        <v>28390</v>
      </c>
      <c r="AA297" s="406">
        <v>110</v>
      </c>
      <c r="AB297" s="396" t="b">
        <f>_xlfn.XLOOKUP(Tableau119[[#This Row],[Key(ID-date)]],'DATA BTO'!S:S,'DATA BTO'!E:E,FALSE)</f>
        <v>0</v>
      </c>
      <c r="AC297" s="3" t="b">
        <f>_xlfn.XLOOKUP(Tableau119[[#This Row],[Key(ID-date)]],'DATA BTO'!S:S,'DATA BTO'!F:F,FALSE)</f>
        <v>0</v>
      </c>
      <c r="AD297" s="50" t="b">
        <f>_xlfn.XLOOKUP(Tableau119[[#This Row],[Key(ID-date)]],'DATA BTO'!S:S,'DATA BTO'!G:G,FALSE)</f>
        <v>0</v>
      </c>
      <c r="AE297" s="50" t="b">
        <f>_xlfn.XLOOKUP(Tableau119[[#This Row],[Key(ID-date)]],'DATA BTO'!S:S,'DATA BTO'!H:H,FALSE)</f>
        <v>0</v>
      </c>
      <c r="AF297" s="447" t="e">
        <f>IF(Tableau119[[#This Row],[First Day to POL]]&lt;=Tableau119[[#This Row],[Day Cut Off]],Tableau119[[#This Row],[Day ETD]],Tableau119[[#This Row],[Day ETD]]+7)</f>
        <v>#N/A</v>
      </c>
      <c r="AG297" s="50" t="b">
        <f>_xlfn.XLOOKUP(Tableau119[[#This Row],[Key(ID-date)]],'DATA BTO'!S:S,'DATA BTO'!I:I,FALSE)</f>
        <v>0</v>
      </c>
      <c r="AH297" s="3" t="b">
        <f>_xlfn.XLOOKUP(Tableau119[[#This Row],[Key(ID-date)]],'DATA BTO'!S:S,'DATA BTO'!J:J,FALSE)</f>
        <v>0</v>
      </c>
      <c r="AI297" s="3" t="b">
        <f>_xlfn.XLOOKUP(Tableau119[[#This Row],[Key(ID-date)]],'DATA BTO'!S:S,'DATA BTO'!K:K,FALSE)</f>
        <v>0</v>
      </c>
      <c r="AJ297" s="50" t="b">
        <f>_xlfn.XLOOKUP(Tableau119[[#This Row],[Key(ID-date)]],'DATA BTO'!S:S,'DATA BTO'!L:L,FALSE)</f>
        <v>0</v>
      </c>
      <c r="AK297" s="53" t="b">
        <f>_xlfn.XLOOKUP(Tableau119[[#This Row],[Key(ID-date)]],'DATA BTO'!S:S,'DATA BTO'!N:N,FALSE)</f>
        <v>0</v>
      </c>
      <c r="AL297" s="54" t="e">
        <f>VLOOKUP(Tableau119[[#This Row],[Key(POD -PFI- Usine)]],'DATA Consignee'!A:F,6,FALSE)</f>
        <v>#N/A</v>
      </c>
      <c r="AM297" s="284"/>
      <c r="AN297" s="376" t="str">
        <f>IF(Tableau119[[#This Row],[Name PFI/CDD]]="","-",VLOOKUP(Tableau119[[#This Row],[Name PFI/CDD]],Plant_AILN!I:J,2,FALSE))</f>
        <v>-</v>
      </c>
      <c r="AO29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7" s="2" t="e">
        <f>VLOOKUP(Tableau119[[#This Row],[Key(POD -PFI- Usine)]],'DATA Consignee'!A:J,10,FALSE)</f>
        <v>#N/A</v>
      </c>
      <c r="AR297" s="50" t="e">
        <f>VLOOKUP(Tableau119[[#This Row],[Key(POD -PFI- Usine)]],'DATA Consignee'!A:N,14,FALSE)</f>
        <v>#N/A</v>
      </c>
      <c r="AS29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7" s="50">
        <f>Tableau119[[#This Row],[Transit time]]+Tableau119[[#This Row],[Time for security]]+Tableau119[[#This Row],[Time for security2 buffer]]</f>
        <v>0</v>
      </c>
      <c r="AV2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7" s="50" t="e">
        <f>Tableau119[[#This Row],[Leadtime SI2C]]+Tableau119[[#This Row],[First Receipt Days]]-Tableau119[[#This Row],[Day Customer Order]]+1</f>
        <v>#N/A</v>
      </c>
      <c r="AX297" s="119" t="e">
        <f>IF(Tableau119[[#This Row],[Name ILN]]&lt;&gt;"SFK Freight Forwarder",Tableau119[[#This Row],[Cust. Leadtime]],Tableau119[[#This Row],[Leadtime SI2C]])</f>
        <v>#N/A</v>
      </c>
      <c r="AY297" s="51" t="b">
        <f>_xlfn.XLOOKUP(Tableau119[[#This Row],[Key(ID-date)]],'DATA BTO'!S:S,'DATA BTO'!P:P,FALSE)</f>
        <v>0</v>
      </c>
      <c r="AZ297" s="338">
        <v>46142</v>
      </c>
      <c r="BA297" s="50"/>
    </row>
    <row r="298" spans="2:53">
      <c r="B298" s="66" t="str">
        <f>_xlfn.CONCAT(Tableau119[[#This Row],[Name ILN]],"-",Tableau119[[#This Row],[Name Shipper]],"-",Tableau119[[#This Row],[Name Site]])</f>
        <v>ILN Mioveni-ILN Mioveni-CHENNAI Vehicule</v>
      </c>
      <c r="C298" s="66" t="str">
        <f>_xlfn.CONCAT(Tableau119[[#This Row],[Compte ILN]],"-",Tableau119[[#This Row],[Compte Shipper]],"-",Tableau119[[#This Row],[POL]],"-",Tableau119[[#This Row],[Compte Consignee]])</f>
        <v>28390-28390-FALSO-26549502</v>
      </c>
      <c r="D298" s="66" t="str">
        <f>_xlfn.CONCAT(Tableau119[[#This Row],[Compte ILN]],"-",Tableau119[[#This Row],[Compte Shipper]],"-",Tableau119[[#This Row],[POL]])</f>
        <v>28390-28390-FALSO</v>
      </c>
      <c r="E298" s="130" t="str">
        <f>_xlfn.CONCAT(Tableau119[[#This Row],[POL]],"-",Tableau119[[#This Row],[Carrier]],"-",Tableau119[[#This Row],[POD]])</f>
        <v>FALSO-FALSO-FALSO</v>
      </c>
      <c r="F298" s="66" t="str">
        <f>_xlfn.CONCAT(Tableau119[[#This Row],[ID]],"-","Actif")</f>
        <v>110-Actif</v>
      </c>
      <c r="G298" s="66" t="str">
        <f>_xlfn.CONCAT(Tableau119[[#This Row],[POD]],"-",Tableau119[[#This Row],[Code PFI]],"-",Tableau119[[#This Row],[Compte Consignee]])</f>
        <v>FALSO---26549502</v>
      </c>
      <c r="H2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Vehicule</v>
      </c>
      <c r="I298" s="434" t="str">
        <f>_xlfn.CONCAT(Tableau119[[#This Row],[ID]],"-",Tableau119[[#This Row],[Expiration Date]])</f>
        <v>110-46142</v>
      </c>
      <c r="J2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Mioveni-ILN Mioveni-110-FALSO-FALSO-FALSO--46142</v>
      </c>
      <c r="K298" s="119" t="str">
        <f ca="1">IF(COUNTIF(J:J,Tableau119[[#This Row],[Plant-ILN-shipper-POL-Carrier-POD-PFI]])=1,"Non","Oui")</f>
        <v>Non</v>
      </c>
      <c r="L298" s="436" t="str">
        <f>VLOOKUP(Tableau119[[#This Row],[Name Site]],Plant_AILN!A:D,4,FALSE)</f>
        <v>INDIA</v>
      </c>
      <c r="M298" s="285" t="s">
        <v>159</v>
      </c>
      <c r="N298" s="454">
        <f>VLOOKUP(Tableau119[[#This Row],[Name Site]],Plant_AILN!A:C,3,FALSE)</f>
        <v>26549502</v>
      </c>
      <c r="O298" s="55">
        <f>IF(Tableau119[[#This Row],[Name PFI/CDD]]="PFI VLL",2,VLOOKUP(Tableau119[[#This Row],[Compte Consignee]],Order!C:D,2,FALSE))</f>
        <v>5</v>
      </c>
      <c r="P298" s="124" t="s">
        <v>168</v>
      </c>
      <c r="Q298" s="365">
        <f>VLOOKUP(Tableau119[[#This Row],[Name ILN]],Plant_AILN!F:G,2,FALSE)</f>
        <v>28390</v>
      </c>
      <c r="R298" s="50">
        <f>VLOOKUP(Tableau119[[#This Row],[Compte ILN]],'DATA ILN'!D:I,6,FALSE)</f>
        <v>9</v>
      </c>
      <c r="S298" s="50" t="e">
        <f>IFERROR(VLOOKUP(Tableau119[[#This Row],[Key(Compte ILN - shipper - POL - plant)]],'DATA ILN'!A:J,10,FALSE),VLOOKUP(Tableau119[[#This Row],[Key(Compte ILN - shipper - POL)]],'DATA ILN'!B:J,9,FALSE))</f>
        <v>#N/A</v>
      </c>
      <c r="T298" s="50" t="e">
        <f>IFERROR(VLOOKUP(Tableau119[[#This Row],[Key(Compte ILN - shipper - POL - plant)]],'DATA ILN'!A:K,11,FALSE),VLOOKUP(Tableau119[[#This Row],[Key(Compte ILN - shipper - POL)]],'DATA ILN'!B:K,10,FALSE))</f>
        <v>#N/A</v>
      </c>
      <c r="U298" s="50" t="e">
        <f>IFERROR(VLOOKUP(Tableau119[[#This Row],[Key(Compte ILN - shipper - POL - plant)]],'DATA ILN'!A:L,12,FALSE),VLOOKUP(Tableau119[[#This Row],[Key(Compte ILN - shipper - POL)]],'DATA ILN'!B:L,11,FALSE))</f>
        <v>#N/A</v>
      </c>
      <c r="V298" s="50" t="e">
        <f>Tableau119[[#This Row],[Day ILN Order]]+Tableau119[[#This Row],[Delivery time to ILN/Shipper]]-1</f>
        <v>#N/A</v>
      </c>
      <c r="W298" s="50" t="e">
        <f>IFERROR(VLOOKUP(Tableau119[[#This Row],[Key(Compte ILN - shipper - POL - plant)]],'DATA ILN'!A:N,14,FALSE),VLOOKUP(Tableau119[[#This Row],[Key(Compte ILN - shipper - POL)]],'DATA ILN'!B:N,13,FALSE))</f>
        <v>#N/A</v>
      </c>
      <c r="X298" s="50" t="e">
        <f>IFERROR(VLOOKUP(Tableau119[[#This Row],[Key(Compte ILN - shipper - POL - plant)]],'DATA ILN'!A:P,16,FALSE),VLOOKUP(Tableau119[[#This Row],[Key(Compte ILN - shipper - POL)]],'DATA ILN'!B:P,15,FALSE))</f>
        <v>#N/A</v>
      </c>
      <c r="Y298" s="124" t="s">
        <v>168</v>
      </c>
      <c r="Z298" s="430">
        <f>IFERROR(VLOOKUP(Tableau119[[#This Row],[Name Shipper]],Plant_AILN!L:M,2,FALSE),0)</f>
        <v>28390</v>
      </c>
      <c r="AA298" s="406">
        <v>110</v>
      </c>
      <c r="AB298" s="396" t="b">
        <f>_xlfn.XLOOKUP(Tableau119[[#This Row],[Key(ID-date)]],'DATA BTO'!S:S,'DATA BTO'!E:E,FALSE)</f>
        <v>0</v>
      </c>
      <c r="AC298" s="3" t="b">
        <f>_xlfn.XLOOKUP(Tableau119[[#This Row],[Key(ID-date)]],'DATA BTO'!S:S,'DATA BTO'!F:F,FALSE)</f>
        <v>0</v>
      </c>
      <c r="AD298" s="50" t="b">
        <f>_xlfn.XLOOKUP(Tableau119[[#This Row],[Key(ID-date)]],'DATA BTO'!S:S,'DATA BTO'!G:G,FALSE)</f>
        <v>0</v>
      </c>
      <c r="AE298" s="50" t="b">
        <f>_xlfn.XLOOKUP(Tableau119[[#This Row],[Key(ID-date)]],'DATA BTO'!S:S,'DATA BTO'!H:H,FALSE)</f>
        <v>0</v>
      </c>
      <c r="AF298" s="447" t="e">
        <f>IF(Tableau119[[#This Row],[First Day to POL]]&lt;=Tableau119[[#This Row],[Day Cut Off]],Tableau119[[#This Row],[Day ETD]],Tableau119[[#This Row],[Day ETD]]+7)</f>
        <v>#N/A</v>
      </c>
      <c r="AG298" s="50" t="b">
        <f>_xlfn.XLOOKUP(Tableau119[[#This Row],[Key(ID-date)]],'DATA BTO'!S:S,'DATA BTO'!I:I,FALSE)</f>
        <v>0</v>
      </c>
      <c r="AH298" s="3" t="b">
        <f>_xlfn.XLOOKUP(Tableau119[[#This Row],[Key(ID-date)]],'DATA BTO'!S:S,'DATA BTO'!J:J,FALSE)</f>
        <v>0</v>
      </c>
      <c r="AI298" s="3" t="b">
        <f>_xlfn.XLOOKUP(Tableau119[[#This Row],[Key(ID-date)]],'DATA BTO'!S:S,'DATA BTO'!K:K,FALSE)</f>
        <v>0</v>
      </c>
      <c r="AJ298" s="50" t="b">
        <f>_xlfn.XLOOKUP(Tableau119[[#This Row],[Key(ID-date)]],'DATA BTO'!S:S,'DATA BTO'!L:L,FALSE)</f>
        <v>0</v>
      </c>
      <c r="AK298" s="53" t="b">
        <f>_xlfn.XLOOKUP(Tableau119[[#This Row],[Key(ID-date)]],'DATA BTO'!S:S,'DATA BTO'!N:N,FALSE)</f>
        <v>0</v>
      </c>
      <c r="AL298" s="54" t="e">
        <f>VLOOKUP(Tableau119[[#This Row],[Key(POD -PFI- Usine)]],'DATA Consignee'!A:F,6,FALSE)</f>
        <v>#N/A</v>
      </c>
      <c r="AM298" s="284"/>
      <c r="AN298" s="376" t="str">
        <f>IF(Tableau119[[#This Row],[Name PFI/CDD]]="","-",VLOOKUP(Tableau119[[#This Row],[Name PFI/CDD]],Plant_AILN!I:J,2,FALSE))</f>
        <v>-</v>
      </c>
      <c r="AO29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8" s="2" t="e">
        <f>VLOOKUP(Tableau119[[#This Row],[Key(POD -PFI- Usine)]],'DATA Consignee'!A:J,10,FALSE)</f>
        <v>#N/A</v>
      </c>
      <c r="AR298" s="50" t="e">
        <f>VLOOKUP(Tableau119[[#This Row],[Key(POD -PFI- Usine)]],'DATA Consignee'!A:N,14,FALSE)</f>
        <v>#N/A</v>
      </c>
      <c r="AS29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8" s="50">
        <f>Tableau119[[#This Row],[Transit time]]+Tableau119[[#This Row],[Time for security]]+Tableau119[[#This Row],[Time for security2 buffer]]</f>
        <v>0</v>
      </c>
      <c r="AV2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8" s="50" t="e">
        <f>Tableau119[[#This Row],[Leadtime SI2C]]+Tableau119[[#This Row],[First Receipt Days]]-Tableau119[[#This Row],[Day Customer Order]]+1</f>
        <v>#N/A</v>
      </c>
      <c r="AX298" s="119" t="e">
        <f>IF(Tableau119[[#This Row],[Name ILN]]&lt;&gt;"SFK Freight Forwarder",Tableau119[[#This Row],[Cust. Leadtime]],Tableau119[[#This Row],[Leadtime SI2C]])</f>
        <v>#N/A</v>
      </c>
      <c r="AY298" s="51" t="b">
        <f>_xlfn.XLOOKUP(Tableau119[[#This Row],[Key(ID-date)]],'DATA BTO'!S:S,'DATA BTO'!P:P,FALSE)</f>
        <v>0</v>
      </c>
      <c r="AZ298" s="338">
        <v>46142</v>
      </c>
      <c r="BA298" s="50"/>
    </row>
    <row r="299" spans="2:53">
      <c r="B299" s="446" t="str">
        <f>_xlfn.CONCAT(Tableau119[[#This Row],[Name ILN]],"-",Tableau119[[#This Row],[Name Shipper]],"-",Tableau119[[#This Row],[Name Site]])</f>
        <v>ILN Mioveni-ILN Mioveni-CHENNAI Powertrain</v>
      </c>
      <c r="C299" s="66" t="str">
        <f>_xlfn.CONCAT(Tableau119[[#This Row],[Compte ILN]],"-",Tableau119[[#This Row],[Compte Shipper]],"-",Tableau119[[#This Row],[POL]],"-",Tableau119[[#This Row],[Compte Consignee]])</f>
        <v>28390-28390-FALSO-26549500</v>
      </c>
      <c r="D299" s="66" t="str">
        <f>_xlfn.CONCAT(Tableau119[[#This Row],[Compte ILN]],"-",Tableau119[[#This Row],[Compte Shipper]],"-",Tableau119[[#This Row],[POL]])</f>
        <v>28390-28390-FALSO</v>
      </c>
      <c r="E299" s="130" t="str">
        <f>_xlfn.CONCAT(Tableau119[[#This Row],[POL]],"-",Tableau119[[#This Row],[Carrier]],"-",Tableau119[[#This Row],[POD]])</f>
        <v>FALSO-FALSO-FALSO</v>
      </c>
      <c r="F299" s="66" t="str">
        <f>_xlfn.CONCAT(Tableau119[[#This Row],[ID]],"-","Actif")</f>
        <v>110-Actif</v>
      </c>
      <c r="G299" s="66" t="str">
        <f>_xlfn.CONCAT(Tableau119[[#This Row],[POD]],"-",Tableau119[[#This Row],[Code PFI]],"-",Tableau119[[#This Row],[Compte Consignee]])</f>
        <v>FALSO---26549500</v>
      </c>
      <c r="H2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Powertrain</v>
      </c>
      <c r="I299" s="434" t="str">
        <f>_xlfn.CONCAT(Tableau119[[#This Row],[ID]],"-",Tableau119[[#This Row],[Expiration Date]])</f>
        <v>110-46011</v>
      </c>
      <c r="J2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Mioveni-ILN Mioveni-110-FALSO-FALSO-FALSO--46011</v>
      </c>
      <c r="K299" s="119" t="str">
        <f ca="1">IF(COUNTIF(J:J,Tableau119[[#This Row],[Plant-ILN-shipper-POL-Carrier-POD-PFI]])=1,"Non","Oui")</f>
        <v>Non</v>
      </c>
      <c r="L299" s="128" t="str">
        <f>VLOOKUP(Tableau119[[#This Row],[Name Site]],Plant_AILN!A:D,4,FALSE)</f>
        <v>INDIA</v>
      </c>
      <c r="M299" s="411" t="s">
        <v>221</v>
      </c>
      <c r="N299" s="454">
        <f>VLOOKUP(Tableau119[[#This Row],[Name Site]],Plant_AILN!A:C,3,FALSE)</f>
        <v>26549500</v>
      </c>
      <c r="O299" s="55">
        <f>VLOOKUP(Tableau119[[#This Row],[Compte Consignee]],Order!C:D,2,FALSE)</f>
        <v>5</v>
      </c>
      <c r="P299" s="124" t="s">
        <v>168</v>
      </c>
      <c r="Q299" s="365">
        <f>VLOOKUP(Tableau119[[#This Row],[Name ILN]],Plant_AILN!F:G,2,FALSE)</f>
        <v>28390</v>
      </c>
      <c r="R299" s="50">
        <f>VLOOKUP(Tableau119[[#This Row],[Compte ILN]],'DATA ILN'!D:I,6,FALSE)</f>
        <v>9</v>
      </c>
      <c r="S299" s="50" t="e">
        <f>IFERROR(VLOOKUP(Tableau119[[#This Row],[Key(Compte ILN - shipper - POL - plant)]],'DATA ILN'!A:J,10,FALSE),VLOOKUP(Tableau119[[#This Row],[Key(Compte ILN - shipper - POL)]],'DATA ILN'!B:J,9,FALSE))</f>
        <v>#N/A</v>
      </c>
      <c r="T299" s="50" t="e">
        <f>IFERROR(VLOOKUP(Tableau119[[#This Row],[Key(Compte ILN - shipper - POL - plant)]],'DATA ILN'!A:K,11,FALSE),VLOOKUP(Tableau119[[#This Row],[Key(Compte ILN - shipper - POL)]],'DATA ILN'!B:K,10,FALSE))</f>
        <v>#N/A</v>
      </c>
      <c r="U299" s="50" t="e">
        <f>IFERROR(VLOOKUP(Tableau119[[#This Row],[Key(Compte ILN - shipper - POL - plant)]],'DATA ILN'!A:L,12,FALSE),VLOOKUP(Tableau119[[#This Row],[Key(Compte ILN - shipper - POL)]],'DATA ILN'!B:L,11,FALSE))</f>
        <v>#N/A</v>
      </c>
      <c r="V299" s="50" t="e">
        <f>Tableau119[[#This Row],[Day ILN Order]]+Tableau119[[#This Row],[Delivery time to ILN/Shipper]]-1</f>
        <v>#N/A</v>
      </c>
      <c r="W299" s="50" t="e">
        <f>IFERROR(VLOOKUP(Tableau119[[#This Row],[Key(Compte ILN - shipper - POL - plant)]],'DATA ILN'!A:N,14,FALSE),VLOOKUP(Tableau119[[#This Row],[Key(Compte ILN - shipper - POL)]],'DATA ILN'!B:N,13,FALSE))</f>
        <v>#N/A</v>
      </c>
      <c r="X299" s="50" t="e">
        <f>IFERROR(VLOOKUP(Tableau119[[#This Row],[Key(Compte ILN - shipper - POL - plant)]],'DATA ILN'!A:P,16,FALSE),VLOOKUP(Tableau119[[#This Row],[Key(Compte ILN - shipper - POL)]],'DATA ILN'!B:P,15,FALSE))</f>
        <v>#N/A</v>
      </c>
      <c r="Y299" s="124" t="s">
        <v>168</v>
      </c>
      <c r="Z299" s="430">
        <f>IFERROR(VLOOKUP(Tableau119[[#This Row],[Name Shipper]],Plant_AILN!L:M,2,FALSE),0)</f>
        <v>28390</v>
      </c>
      <c r="AA299" s="406">
        <v>110</v>
      </c>
      <c r="AB299" s="396" t="b">
        <f>_xlfn.XLOOKUP(Tableau119[[#This Row],[Key(ID-date)]],'DATA BTO'!S:S,'DATA BTO'!E:E,FALSE)</f>
        <v>0</v>
      </c>
      <c r="AC299" s="3" t="b">
        <f>_xlfn.XLOOKUP(Tableau119[[#This Row],[Key(ID-date)]],'DATA BTO'!S:S,'DATA BTO'!F:F,FALSE)</f>
        <v>0</v>
      </c>
      <c r="AD299" s="50" t="b">
        <f>_xlfn.XLOOKUP(Tableau119[[#This Row],[Key(ID-date)]],'DATA BTO'!S:S,'DATA BTO'!G:G,FALSE)</f>
        <v>0</v>
      </c>
      <c r="AE299" s="50" t="b">
        <f>_xlfn.XLOOKUP(Tableau119[[#This Row],[Key(ID-date)]],'DATA BTO'!S:S,'DATA BTO'!H:H,FALSE)</f>
        <v>0</v>
      </c>
      <c r="AF299" s="447" t="e">
        <f>IF(Tableau119[[#This Row],[First Day to POL]]&lt;=Tableau119[[#This Row],[Day Cut Off]],Tableau119[[#This Row],[Day ETD]],Tableau119[[#This Row],[Day ETD]]+7)</f>
        <v>#N/A</v>
      </c>
      <c r="AG299" s="50" t="b">
        <f>_xlfn.XLOOKUP(Tableau119[[#This Row],[Key(ID-date)]],'DATA BTO'!S:S,'DATA BTO'!I:I,FALSE)</f>
        <v>0</v>
      </c>
      <c r="AH299" s="3" t="b">
        <f>_xlfn.XLOOKUP(Tableau119[[#This Row],[Key(ID-date)]],'DATA BTO'!S:S,'DATA BTO'!J:J,FALSE)</f>
        <v>0</v>
      </c>
      <c r="AI299" s="3" t="b">
        <f>_xlfn.XLOOKUP(Tableau119[[#This Row],[Key(ID-date)]],'DATA BTO'!S:S,'DATA BTO'!K:K,FALSE)</f>
        <v>0</v>
      </c>
      <c r="AJ299" s="50" t="b">
        <f>_xlfn.XLOOKUP(Tableau119[[#This Row],[Key(ID-date)]],'DATA BTO'!S:S,'DATA BTO'!L:L,FALSE)</f>
        <v>0</v>
      </c>
      <c r="AK299" s="53" t="b">
        <f>_xlfn.XLOOKUP(Tableau119[[#This Row],[Key(ID-date)]],'DATA BTO'!S:S,'DATA BTO'!N:N,FALSE)</f>
        <v>0</v>
      </c>
      <c r="AL299" s="54" t="e">
        <f>VLOOKUP(Tableau119[[#This Row],[Key(POD -PFI- Usine)]],'DATA Consignee'!A:F,6,FALSE)</f>
        <v>#N/A</v>
      </c>
      <c r="AM299" s="284"/>
      <c r="AN299" s="376" t="str">
        <f>IF(Tableau119[[#This Row],[Name PFI/CDD]]="","-",VLOOKUP(Tableau119[[#This Row],[Name PFI/CDD]],Plant_AILN!I:J,2,FALSE))</f>
        <v>-</v>
      </c>
      <c r="AO2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2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299" s="2" t="e">
        <f>VLOOKUP(Tableau119[[#This Row],[Key(POD -PFI- Usine)]],'DATA Consignee'!A:J,10,FALSE)</f>
        <v>#N/A</v>
      </c>
      <c r="AR299" s="50" t="e">
        <f>VLOOKUP(Tableau119[[#This Row],[Key(POD -PFI- Usine)]],'DATA Consignee'!A:N,14,FALSE)</f>
        <v>#N/A</v>
      </c>
      <c r="AS29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29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299" s="50">
        <f>Tableau119[[#This Row],[Transit time]]+Tableau119[[#This Row],[Time for security]]+Tableau119[[#This Row],[Time for security2 buffer]]</f>
        <v>0</v>
      </c>
      <c r="AV29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299" s="50" t="e">
        <f>Tableau119[[#This Row],[Leadtime SI2C]]+Tableau119[[#This Row],[First Receipt Days]]-Tableau119[[#This Row],[Day Customer Order]]+1</f>
        <v>#N/A</v>
      </c>
      <c r="AX299" s="119" t="e">
        <f>IF(Tableau119[[#This Row],[Name ILN]]&lt;&gt;"SFK Freight Forwarder",Tableau119[[#This Row],[Cust. Leadtime]],Tableau119[[#This Row],[Leadtime SI2C]])</f>
        <v>#N/A</v>
      </c>
      <c r="AY299" s="51" t="b">
        <f>_xlfn.XLOOKUP(Tableau119[[#This Row],[Key(ID-date)]],'DATA BTO'!S:S,'DATA BTO'!P:P,FALSE)</f>
        <v>0</v>
      </c>
      <c r="AZ299" s="338">
        <v>46011</v>
      </c>
      <c r="BA299" s="50"/>
    </row>
    <row r="300" spans="2:53">
      <c r="B300" s="446" t="str">
        <f>_xlfn.CONCAT(Tableau119[[#This Row],[Name ILN]],"-",Tableau119[[#This Row],[Name Shipper]],"-",Tableau119[[#This Row],[Name Site]])</f>
        <v>ILN Mioveni-ILN Mioveni-CHENNAI Vehicule</v>
      </c>
      <c r="C300" s="66" t="str">
        <f>_xlfn.CONCAT(Tableau119[[#This Row],[Compte ILN]],"-",Tableau119[[#This Row],[Compte Shipper]],"-",Tableau119[[#This Row],[POL]],"-",Tableau119[[#This Row],[Compte Consignee]])</f>
        <v>28390-28390-FALSO-26549502</v>
      </c>
      <c r="D300" s="66" t="str">
        <f>_xlfn.CONCAT(Tableau119[[#This Row],[Compte ILN]],"-",Tableau119[[#This Row],[Compte Shipper]],"-",Tableau119[[#This Row],[POL]])</f>
        <v>28390-28390-FALSO</v>
      </c>
      <c r="E300" s="130" t="str">
        <f>_xlfn.CONCAT(Tableau119[[#This Row],[POL]],"-",Tableau119[[#This Row],[Carrier]],"-",Tableau119[[#This Row],[POD]])</f>
        <v>FALSO-FALSO-FALSO</v>
      </c>
      <c r="F300" s="66" t="str">
        <f>_xlfn.CONCAT(Tableau119[[#This Row],[ID]],"-","Actif")</f>
        <v>110-Actif</v>
      </c>
      <c r="G300" s="66" t="str">
        <f>_xlfn.CONCAT(Tableau119[[#This Row],[POD]],"-",Tableau119[[#This Row],[Code PFI]],"-",Tableau119[[#This Row],[Compte Consignee]])</f>
        <v>FALSO---26549502</v>
      </c>
      <c r="H3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Vehicule</v>
      </c>
      <c r="I300" s="434" t="str">
        <f>_xlfn.CONCAT(Tableau119[[#This Row],[ID]],"-",Tableau119[[#This Row],[Expiration Date]])</f>
        <v>110-46011</v>
      </c>
      <c r="J3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Mioveni-ILN Mioveni-110-FALSO-FALSO-FALSO--46011</v>
      </c>
      <c r="K300" s="119" t="str">
        <f ca="1">IF(COUNTIF(J:J,Tableau119[[#This Row],[Plant-ILN-shipper-POL-Carrier-POD-PFI]])=1,"Non","Oui")</f>
        <v>Non</v>
      </c>
      <c r="L300" s="128" t="str">
        <f>VLOOKUP(Tableau119[[#This Row],[Name Site]],Plant_AILN!A:D,4,FALSE)</f>
        <v>INDIA</v>
      </c>
      <c r="M300" s="411" t="s">
        <v>159</v>
      </c>
      <c r="N300" s="454">
        <f>VLOOKUP(Tableau119[[#This Row],[Name Site]],Plant_AILN!A:C,3,FALSE)</f>
        <v>26549502</v>
      </c>
      <c r="O300" s="55">
        <f>VLOOKUP(Tableau119[[#This Row],[Compte Consignee]],Order!C:D,2,FALSE)</f>
        <v>5</v>
      </c>
      <c r="P300" s="124" t="s">
        <v>168</v>
      </c>
      <c r="Q300" s="365">
        <f>VLOOKUP(Tableau119[[#This Row],[Name ILN]],Plant_AILN!F:G,2,FALSE)</f>
        <v>28390</v>
      </c>
      <c r="R300" s="50">
        <f>VLOOKUP(Tableau119[[#This Row],[Compte ILN]],'DATA ILN'!D:I,6,FALSE)</f>
        <v>9</v>
      </c>
      <c r="S300" s="50" t="e">
        <f>IFERROR(VLOOKUP(Tableau119[[#This Row],[Key(Compte ILN - shipper - POL - plant)]],'DATA ILN'!A:J,10,FALSE),VLOOKUP(Tableau119[[#This Row],[Key(Compte ILN - shipper - POL)]],'DATA ILN'!B:J,9,FALSE))</f>
        <v>#N/A</v>
      </c>
      <c r="T300" s="50" t="e">
        <f>IFERROR(VLOOKUP(Tableau119[[#This Row],[Key(Compte ILN - shipper - POL - plant)]],'DATA ILN'!A:K,11,FALSE),VLOOKUP(Tableau119[[#This Row],[Key(Compte ILN - shipper - POL)]],'DATA ILN'!B:K,10,FALSE))</f>
        <v>#N/A</v>
      </c>
      <c r="U300" s="50" t="e">
        <f>IFERROR(VLOOKUP(Tableau119[[#This Row],[Key(Compte ILN - shipper - POL - plant)]],'DATA ILN'!A:L,12,FALSE),VLOOKUP(Tableau119[[#This Row],[Key(Compte ILN - shipper - POL)]],'DATA ILN'!B:L,11,FALSE))</f>
        <v>#N/A</v>
      </c>
      <c r="V300" s="50" t="e">
        <f>Tableau119[[#This Row],[Day ILN Order]]+Tableau119[[#This Row],[Delivery time to ILN/Shipper]]-1</f>
        <v>#N/A</v>
      </c>
      <c r="W300" s="50" t="e">
        <f>IFERROR(VLOOKUP(Tableau119[[#This Row],[Key(Compte ILN - shipper - POL - plant)]],'DATA ILN'!A:N,14,FALSE),VLOOKUP(Tableau119[[#This Row],[Key(Compte ILN - shipper - POL)]],'DATA ILN'!B:N,13,FALSE))</f>
        <v>#N/A</v>
      </c>
      <c r="X300" s="50" t="e">
        <f>IFERROR(VLOOKUP(Tableau119[[#This Row],[Key(Compte ILN - shipper - POL - plant)]],'DATA ILN'!A:P,16,FALSE),VLOOKUP(Tableau119[[#This Row],[Key(Compte ILN - shipper - POL)]],'DATA ILN'!B:P,15,FALSE))</f>
        <v>#N/A</v>
      </c>
      <c r="Y300" s="124" t="s">
        <v>168</v>
      </c>
      <c r="Z300" s="430">
        <f>IFERROR(VLOOKUP(Tableau119[[#This Row],[Name Shipper]],Plant_AILN!L:M,2,FALSE),0)</f>
        <v>28390</v>
      </c>
      <c r="AA300" s="406">
        <v>110</v>
      </c>
      <c r="AB300" s="396" t="b">
        <f>_xlfn.XLOOKUP(Tableau119[[#This Row],[Key(ID-date)]],'DATA BTO'!S:S,'DATA BTO'!E:E,FALSE)</f>
        <v>0</v>
      </c>
      <c r="AC300" s="3" t="b">
        <f>_xlfn.XLOOKUP(Tableau119[[#This Row],[Key(ID-date)]],'DATA BTO'!S:S,'DATA BTO'!F:F,FALSE)</f>
        <v>0</v>
      </c>
      <c r="AD300" s="50" t="b">
        <f>_xlfn.XLOOKUP(Tableau119[[#This Row],[Key(ID-date)]],'DATA BTO'!S:S,'DATA BTO'!G:G,FALSE)</f>
        <v>0</v>
      </c>
      <c r="AE300" s="50" t="b">
        <f>_xlfn.XLOOKUP(Tableau119[[#This Row],[Key(ID-date)]],'DATA BTO'!S:S,'DATA BTO'!H:H,FALSE)</f>
        <v>0</v>
      </c>
      <c r="AF300" s="81" t="e">
        <f>IF(Tableau119[[#This Row],[First Day to POL]]&lt;=Tableau119[[#This Row],[Day Cut Off]],Tableau119[[#This Row],[Day ETD]],Tableau119[[#This Row],[Day ETD]]+7)</f>
        <v>#N/A</v>
      </c>
      <c r="AG300" s="50" t="b">
        <f>_xlfn.XLOOKUP(Tableau119[[#This Row],[Key(ID-date)]],'DATA BTO'!S:S,'DATA BTO'!I:I,FALSE)</f>
        <v>0</v>
      </c>
      <c r="AH300" s="3" t="b">
        <f>_xlfn.XLOOKUP(Tableau119[[#This Row],[Key(ID-date)]],'DATA BTO'!S:S,'DATA BTO'!J:J,FALSE)</f>
        <v>0</v>
      </c>
      <c r="AI300" s="3" t="b">
        <f>_xlfn.XLOOKUP(Tableau119[[#This Row],[Key(ID-date)]],'DATA BTO'!S:S,'DATA BTO'!K:K,FALSE)</f>
        <v>0</v>
      </c>
      <c r="AJ300" s="50" t="b">
        <f>_xlfn.XLOOKUP(Tableau119[[#This Row],[Key(ID-date)]],'DATA BTO'!S:S,'DATA BTO'!L:L,FALSE)</f>
        <v>0</v>
      </c>
      <c r="AK300" s="53" t="b">
        <f>_xlfn.XLOOKUP(Tableau119[[#This Row],[Key(ID-date)]],'DATA BTO'!S:S,'DATA BTO'!N:N,FALSE)</f>
        <v>0</v>
      </c>
      <c r="AL300" s="54" t="e">
        <f>VLOOKUP(Tableau119[[#This Row],[Key(POD -PFI- Usine)]],'DATA Consignee'!A:F,6,FALSE)</f>
        <v>#N/A</v>
      </c>
      <c r="AM300" s="284"/>
      <c r="AN300" s="376" t="str">
        <f>IF(Tableau119[[#This Row],[Name PFI/CDD]]="","-",VLOOKUP(Tableau119[[#This Row],[Name PFI/CDD]],Plant_AILN!I:J,2,FALSE))</f>
        <v>-</v>
      </c>
      <c r="AO3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0" s="2" t="e">
        <f>VLOOKUP(Tableau119[[#This Row],[Key(POD -PFI- Usine)]],'DATA Consignee'!A:J,10,FALSE)</f>
        <v>#N/A</v>
      </c>
      <c r="AR300" s="50" t="e">
        <f>VLOOKUP(Tableau119[[#This Row],[Key(POD -PFI- Usine)]],'DATA Consignee'!A:N,14,FALSE)</f>
        <v>#N/A</v>
      </c>
      <c r="AS30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0" s="50">
        <f>Tableau119[[#This Row],[Transit time]]+Tableau119[[#This Row],[Time for security]]+Tableau119[[#This Row],[Time for security2 buffer]]</f>
        <v>0</v>
      </c>
      <c r="AV30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0" s="50" t="e">
        <f>Tableau119[[#This Row],[Leadtime SI2C]]+Tableau119[[#This Row],[First Receipt Days]]-Tableau119[[#This Row],[Day Customer Order]]+1</f>
        <v>#N/A</v>
      </c>
      <c r="AX300" s="119" t="e">
        <f>IF(Tableau119[[#This Row],[Name ILN]]&lt;&gt;"SFK Freight Forwarder",Tableau119[[#This Row],[Cust. Leadtime]],Tableau119[[#This Row],[Leadtime SI2C]])</f>
        <v>#N/A</v>
      </c>
      <c r="AY300" s="51" t="b">
        <f>_xlfn.XLOOKUP(Tableau119[[#This Row],[Key(ID-date)]],'DATA BTO'!S:S,'DATA BTO'!P:P,FALSE)</f>
        <v>0</v>
      </c>
      <c r="AZ300" s="338">
        <v>46011</v>
      </c>
      <c r="BA300" s="50"/>
    </row>
    <row r="301" spans="2:53">
      <c r="B301" s="446" t="str">
        <f>_xlfn.CONCAT(Tableau119[[#This Row],[Name ILN]],"-",Tableau119[[#This Row],[Name Shipper]],"-",Tableau119[[#This Row],[Name Site]])</f>
        <v>ILN Mioveni-ILN Mioveni-CHENNAI Powertrain</v>
      </c>
      <c r="C301" s="66" t="str">
        <f>_xlfn.CONCAT(Tableau119[[#This Row],[Compte ILN]],"-",Tableau119[[#This Row],[Compte Shipper]],"-",Tableau119[[#This Row],[POL]],"-",Tableau119[[#This Row],[Compte Consignee]])</f>
        <v>28390-28390-FALSO-26549500</v>
      </c>
      <c r="D301" s="66" t="str">
        <f>_xlfn.CONCAT(Tableau119[[#This Row],[Compte ILN]],"-",Tableau119[[#This Row],[Compte Shipper]],"-",Tableau119[[#This Row],[POL]])</f>
        <v>28390-28390-FALSO</v>
      </c>
      <c r="E301" s="130" t="str">
        <f>_xlfn.CONCAT(Tableau119[[#This Row],[POL]],"-",Tableau119[[#This Row],[Carrier]],"-",Tableau119[[#This Row],[POD]])</f>
        <v>FALSO-FALSO-FALSO</v>
      </c>
      <c r="F301" s="66" t="str">
        <f>_xlfn.CONCAT(Tableau119[[#This Row],[ID]],"-","Actif")</f>
        <v>110-Actif</v>
      </c>
      <c r="G301" s="66" t="str">
        <f>_xlfn.CONCAT(Tableau119[[#This Row],[POD]],"-",Tableau119[[#This Row],[Code PFI]],"-",Tableau119[[#This Row],[Compte Consignee]])</f>
        <v>FALSO---26549500</v>
      </c>
      <c r="H3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Powertrain</v>
      </c>
      <c r="I301" s="434" t="str">
        <f>_xlfn.CONCAT(Tableau119[[#This Row],[ID]],"-",Tableau119[[#This Row],[Expiration Date]])</f>
        <v>110-45777</v>
      </c>
      <c r="J3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Mioveni-ILN Mioveni-110-FALSO-FALSO-FALSO--45777</v>
      </c>
      <c r="K301" s="119" t="str">
        <f ca="1">IF(COUNTIF(J:J,Tableau119[[#This Row],[Plant-ILN-shipper-POL-Carrier-POD-PFI]])=1,"Non","Oui")</f>
        <v>Non</v>
      </c>
      <c r="L301" s="128" t="str">
        <f>VLOOKUP(Tableau119[[#This Row],[Name Site]],Plant_AILN!A:D,4,FALSE)</f>
        <v>INDIA</v>
      </c>
      <c r="M301" s="411" t="s">
        <v>221</v>
      </c>
      <c r="N301" s="454">
        <f>VLOOKUP(Tableau119[[#This Row],[Name Site]],Plant_AILN!A:C,3,FALSE)</f>
        <v>26549500</v>
      </c>
      <c r="O301" s="55">
        <f>VLOOKUP(Tableau119[[#This Row],[Compte Consignee]],Order!C:D,2,FALSE)</f>
        <v>5</v>
      </c>
      <c r="P301" s="124" t="s">
        <v>168</v>
      </c>
      <c r="Q301" s="365">
        <f>VLOOKUP(Tableau119[[#This Row],[Name ILN]],Plant_AILN!F:G,2,FALSE)</f>
        <v>28390</v>
      </c>
      <c r="R301" s="50">
        <f>VLOOKUP(Tableau119[[#This Row],[Compte ILN]],'DATA ILN'!D:I,6,FALSE)</f>
        <v>9</v>
      </c>
      <c r="S301" s="50" t="e">
        <f>IFERROR(VLOOKUP(Tableau119[[#This Row],[Key(Compte ILN - shipper - POL - plant)]],'DATA ILN'!A:J,10,FALSE),VLOOKUP(Tableau119[[#This Row],[Key(Compte ILN - shipper - POL)]],'DATA ILN'!B:J,9,FALSE))</f>
        <v>#N/A</v>
      </c>
      <c r="T301" s="50" t="e">
        <f>IFERROR(VLOOKUP(Tableau119[[#This Row],[Key(Compte ILN - shipper - POL - plant)]],'DATA ILN'!A:K,11,FALSE),VLOOKUP(Tableau119[[#This Row],[Key(Compte ILN - shipper - POL)]],'DATA ILN'!B:K,10,FALSE))</f>
        <v>#N/A</v>
      </c>
      <c r="U301" s="50" t="e">
        <f>IFERROR(VLOOKUP(Tableau119[[#This Row],[Key(Compte ILN - shipper - POL - plant)]],'DATA ILN'!A:L,12,FALSE),VLOOKUP(Tableau119[[#This Row],[Key(Compte ILN - shipper - POL)]],'DATA ILN'!B:L,11,FALSE))</f>
        <v>#N/A</v>
      </c>
      <c r="V301" s="50" t="e">
        <f>Tableau119[[#This Row],[Day ILN Order]]+Tableau119[[#This Row],[Delivery time to ILN/Shipper]]-1</f>
        <v>#N/A</v>
      </c>
      <c r="W301" s="50" t="e">
        <f>IFERROR(VLOOKUP(Tableau119[[#This Row],[Key(Compte ILN - shipper - POL - plant)]],'DATA ILN'!A:N,14,FALSE),VLOOKUP(Tableau119[[#This Row],[Key(Compte ILN - shipper - POL)]],'DATA ILN'!B:N,13,FALSE))</f>
        <v>#N/A</v>
      </c>
      <c r="X301" s="50" t="e">
        <f>IFERROR(VLOOKUP(Tableau119[[#This Row],[Key(Compte ILN - shipper - POL - plant)]],'DATA ILN'!A:P,16,FALSE),VLOOKUP(Tableau119[[#This Row],[Key(Compte ILN - shipper - POL)]],'DATA ILN'!B:P,15,FALSE))</f>
        <v>#N/A</v>
      </c>
      <c r="Y301" s="124" t="s">
        <v>168</v>
      </c>
      <c r="Z301" s="430">
        <f>IFERROR(VLOOKUP(Tableau119[[#This Row],[Name Shipper]],Plant_AILN!L:M,2,FALSE),0)</f>
        <v>28390</v>
      </c>
      <c r="AA301" s="406">
        <v>110</v>
      </c>
      <c r="AB301" s="396" t="b">
        <f>_xlfn.XLOOKUP(Tableau119[[#This Row],[Key(ID-date)]],'DATA BTO'!S:S,'DATA BTO'!E:E,FALSE)</f>
        <v>0</v>
      </c>
      <c r="AC301" s="3" t="b">
        <f>_xlfn.XLOOKUP(Tableau119[[#This Row],[Key(ID-date)]],'DATA BTO'!S:S,'DATA BTO'!F:F,FALSE)</f>
        <v>0</v>
      </c>
      <c r="AD301" s="50" t="b">
        <f>_xlfn.XLOOKUP(Tableau119[[#This Row],[Key(ID-date)]],'DATA BTO'!S:S,'DATA BTO'!G:G,FALSE)</f>
        <v>0</v>
      </c>
      <c r="AE301" s="50" t="b">
        <f>_xlfn.XLOOKUP(Tableau119[[#This Row],[Key(ID-date)]],'DATA BTO'!S:S,'DATA BTO'!H:H,FALSE)</f>
        <v>0</v>
      </c>
      <c r="AF301" s="81" t="e">
        <f>IF(Tableau119[[#This Row],[First Day to POL]]&lt;=Tableau119[[#This Row],[Day Cut Off]],Tableau119[[#This Row],[Day ETD]],Tableau119[[#This Row],[Day ETD]]+7)</f>
        <v>#N/A</v>
      </c>
      <c r="AG301" s="50" t="b">
        <f>_xlfn.XLOOKUP(Tableau119[[#This Row],[Key(ID-date)]],'DATA BTO'!S:S,'DATA BTO'!I:I,FALSE)</f>
        <v>0</v>
      </c>
      <c r="AH301" s="3" t="b">
        <f>_xlfn.XLOOKUP(Tableau119[[#This Row],[Key(ID-date)]],'DATA BTO'!S:S,'DATA BTO'!J:J,FALSE)</f>
        <v>0</v>
      </c>
      <c r="AI301" s="3" t="b">
        <f>_xlfn.XLOOKUP(Tableau119[[#This Row],[Key(ID-date)]],'DATA BTO'!S:S,'DATA BTO'!K:K,FALSE)</f>
        <v>0</v>
      </c>
      <c r="AJ301" s="50" t="b">
        <f>_xlfn.XLOOKUP(Tableau119[[#This Row],[Key(ID-date)]],'DATA BTO'!S:S,'DATA BTO'!L:L,FALSE)</f>
        <v>0</v>
      </c>
      <c r="AK301" s="53" t="b">
        <f>_xlfn.XLOOKUP(Tableau119[[#This Row],[Key(ID-date)]],'DATA BTO'!S:S,'DATA BTO'!N:N,FALSE)</f>
        <v>0</v>
      </c>
      <c r="AL301" s="54" t="e">
        <f>VLOOKUP(Tableau119[[#This Row],[Key(POD -PFI- Usine)]],'DATA Consignee'!A:F,6,FALSE)</f>
        <v>#N/A</v>
      </c>
      <c r="AM301" s="284"/>
      <c r="AN301" s="376" t="str">
        <f>IF(Tableau119[[#This Row],[Name PFI/CDD]]="","-",VLOOKUP(Tableau119[[#This Row],[Name PFI/CDD]],Plant_AILN!I:J,2,FALSE))</f>
        <v>-</v>
      </c>
      <c r="AO30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1" s="2" t="e">
        <f>VLOOKUP(Tableau119[[#This Row],[Key(POD -PFI- Usine)]],'DATA Consignee'!A:J,10,FALSE)</f>
        <v>#N/A</v>
      </c>
      <c r="AR301" s="50" t="e">
        <f>VLOOKUP(Tableau119[[#This Row],[Key(POD -PFI- Usine)]],'DATA Consignee'!A:N,14,FALSE)</f>
        <v>#N/A</v>
      </c>
      <c r="AS30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1" s="50">
        <f>Tableau119[[#This Row],[Transit time]]+Tableau119[[#This Row],[Time for security]]+Tableau119[[#This Row],[Time for security2 buffer]]</f>
        <v>0</v>
      </c>
      <c r="AV3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1" s="50" t="e">
        <f>Tableau119[[#This Row],[Leadtime SI2C]]+Tableau119[[#This Row],[First Receipt Days]]-Tableau119[[#This Row],[Day Customer Order]]+1</f>
        <v>#N/A</v>
      </c>
      <c r="AX301" s="119" t="e">
        <f>IF(Tableau119[[#This Row],[Name ILN]]&lt;&gt;"SFK Freight Forwarder",Tableau119[[#This Row],[Cust. Leadtime]],Tableau119[[#This Row],[Leadtime SI2C]])</f>
        <v>#N/A</v>
      </c>
      <c r="AY301" s="51" t="b">
        <f>_xlfn.XLOOKUP(Tableau119[[#This Row],[Key(ID-date)]],'DATA BTO'!S:S,'DATA BTO'!P:P,FALSE)</f>
        <v>0</v>
      </c>
      <c r="AZ301" s="338">
        <v>45777</v>
      </c>
      <c r="BA301" s="50"/>
    </row>
    <row r="302" spans="2:53">
      <c r="B302" s="446" t="str">
        <f>_xlfn.CONCAT(Tableau119[[#This Row],[Name ILN]],"-",Tableau119[[#This Row],[Name Shipper]],"-",Tableau119[[#This Row],[Name Site]])</f>
        <v>ILN Mioveni-ILN Mioveni-CHENNAI Vehicule</v>
      </c>
      <c r="C302" s="66" t="str">
        <f>_xlfn.CONCAT(Tableau119[[#This Row],[Compte ILN]],"-",Tableau119[[#This Row],[Compte Shipper]],"-",Tableau119[[#This Row],[POL]],"-",Tableau119[[#This Row],[Compte Consignee]])</f>
        <v>28390-28390-FALSO-26549502</v>
      </c>
      <c r="D302" s="66" t="str">
        <f>_xlfn.CONCAT(Tableau119[[#This Row],[Compte ILN]],"-",Tableau119[[#This Row],[Compte Shipper]],"-",Tableau119[[#This Row],[POL]])</f>
        <v>28390-28390-FALSO</v>
      </c>
      <c r="E302" s="130" t="str">
        <f>_xlfn.CONCAT(Tableau119[[#This Row],[POL]],"-",Tableau119[[#This Row],[Carrier]],"-",Tableau119[[#This Row],[POD]])</f>
        <v>FALSO-FALSO-FALSO</v>
      </c>
      <c r="F302" s="66" t="str">
        <f>_xlfn.CONCAT(Tableau119[[#This Row],[ID]],"-","Actif")</f>
        <v>110-Actif</v>
      </c>
      <c r="G302" s="66" t="str">
        <f>_xlfn.CONCAT(Tableau119[[#This Row],[POD]],"-",Tableau119[[#This Row],[Code PFI]],"-",Tableau119[[#This Row],[Compte Consignee]])</f>
        <v>FALSO---26549502</v>
      </c>
      <c r="H3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Vehicule</v>
      </c>
      <c r="I302" s="434" t="str">
        <f>_xlfn.CONCAT(Tableau119[[#This Row],[ID]],"-",Tableau119[[#This Row],[Expiration Date]])</f>
        <v>110-45777</v>
      </c>
      <c r="J3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Mioveni-ILN Mioveni-110-FALSO-FALSO-FALSO--45777</v>
      </c>
      <c r="K302" s="119" t="str">
        <f ca="1">IF(COUNTIF(J:J,Tableau119[[#This Row],[Plant-ILN-shipper-POL-Carrier-POD-PFI]])=1,"Non","Oui")</f>
        <v>Non</v>
      </c>
      <c r="L302" s="128" t="str">
        <f>VLOOKUP(Tableau119[[#This Row],[Name Site]],Plant_AILN!A:D,4,FALSE)</f>
        <v>INDIA</v>
      </c>
      <c r="M302" s="411" t="s">
        <v>159</v>
      </c>
      <c r="N302" s="454">
        <f>VLOOKUP(Tableau119[[#This Row],[Name Site]],Plant_AILN!A:C,3,FALSE)</f>
        <v>26549502</v>
      </c>
      <c r="O302" s="55">
        <f>VLOOKUP(Tableau119[[#This Row],[Compte Consignee]],Order!C:D,2,FALSE)</f>
        <v>5</v>
      </c>
      <c r="P302" s="124" t="s">
        <v>168</v>
      </c>
      <c r="Q302" s="365">
        <f>VLOOKUP(Tableau119[[#This Row],[Name ILN]],Plant_AILN!F:G,2,FALSE)</f>
        <v>28390</v>
      </c>
      <c r="R302" s="50">
        <f>VLOOKUP(Tableau119[[#This Row],[Compte ILN]],'DATA ILN'!D:I,6,FALSE)</f>
        <v>9</v>
      </c>
      <c r="S302" s="50" t="e">
        <f>IFERROR(VLOOKUP(Tableau119[[#This Row],[Key(Compte ILN - shipper - POL - plant)]],'DATA ILN'!A:J,10,FALSE),VLOOKUP(Tableau119[[#This Row],[Key(Compte ILN - shipper - POL)]],'DATA ILN'!B:J,9,FALSE))</f>
        <v>#N/A</v>
      </c>
      <c r="T302" s="50" t="e">
        <f>IFERROR(VLOOKUP(Tableau119[[#This Row],[Key(Compte ILN - shipper - POL - plant)]],'DATA ILN'!A:K,11,FALSE),VLOOKUP(Tableau119[[#This Row],[Key(Compte ILN - shipper - POL)]],'DATA ILN'!B:K,10,FALSE))</f>
        <v>#N/A</v>
      </c>
      <c r="U302" s="50" t="e">
        <f>IFERROR(VLOOKUP(Tableau119[[#This Row],[Key(Compte ILN - shipper - POL - plant)]],'DATA ILN'!A:L,12,FALSE),VLOOKUP(Tableau119[[#This Row],[Key(Compte ILN - shipper - POL)]],'DATA ILN'!B:L,11,FALSE))</f>
        <v>#N/A</v>
      </c>
      <c r="V302" s="50" t="e">
        <f>Tableau119[[#This Row],[Day ILN Order]]+Tableau119[[#This Row],[Delivery time to ILN/Shipper]]-1</f>
        <v>#N/A</v>
      </c>
      <c r="W302" s="50" t="e">
        <f>IFERROR(VLOOKUP(Tableau119[[#This Row],[Key(Compte ILN - shipper - POL - plant)]],'DATA ILN'!A:N,14,FALSE),VLOOKUP(Tableau119[[#This Row],[Key(Compte ILN - shipper - POL)]],'DATA ILN'!B:N,13,FALSE))</f>
        <v>#N/A</v>
      </c>
      <c r="X302" s="50" t="e">
        <f>IFERROR(VLOOKUP(Tableau119[[#This Row],[Key(Compte ILN - shipper - POL - plant)]],'DATA ILN'!A:P,16,FALSE),VLOOKUP(Tableau119[[#This Row],[Key(Compte ILN - shipper - POL)]],'DATA ILN'!B:P,15,FALSE))</f>
        <v>#N/A</v>
      </c>
      <c r="Y302" s="124" t="s">
        <v>168</v>
      </c>
      <c r="Z302" s="430">
        <f>IFERROR(VLOOKUP(Tableau119[[#This Row],[Name Shipper]],Plant_AILN!L:M,2,FALSE),0)</f>
        <v>28390</v>
      </c>
      <c r="AA302" s="406">
        <v>110</v>
      </c>
      <c r="AB302" s="396" t="b">
        <f>_xlfn.XLOOKUP(Tableau119[[#This Row],[Key(ID-date)]],'DATA BTO'!S:S,'DATA BTO'!E:E,FALSE)</f>
        <v>0</v>
      </c>
      <c r="AC302" s="3" t="b">
        <f>_xlfn.XLOOKUP(Tableau119[[#This Row],[Key(ID-date)]],'DATA BTO'!S:S,'DATA BTO'!F:F,FALSE)</f>
        <v>0</v>
      </c>
      <c r="AD302" s="50" t="b">
        <f>_xlfn.XLOOKUP(Tableau119[[#This Row],[Key(ID-date)]],'DATA BTO'!S:S,'DATA BTO'!G:G,FALSE)</f>
        <v>0</v>
      </c>
      <c r="AE302" s="50" t="b">
        <f>_xlfn.XLOOKUP(Tableau119[[#This Row],[Key(ID-date)]],'DATA BTO'!S:S,'DATA BTO'!H:H,FALSE)</f>
        <v>0</v>
      </c>
      <c r="AF302" s="447" t="e">
        <f>IF(Tableau119[[#This Row],[First Day to POL]]&lt;=Tableau119[[#This Row],[Day Cut Off]],Tableau119[[#This Row],[Day ETD]],Tableau119[[#This Row],[Day ETD]]+7)</f>
        <v>#N/A</v>
      </c>
      <c r="AG302" s="50" t="b">
        <f>_xlfn.XLOOKUP(Tableau119[[#This Row],[Key(ID-date)]],'DATA BTO'!S:S,'DATA BTO'!I:I,FALSE)</f>
        <v>0</v>
      </c>
      <c r="AH302" s="3" t="b">
        <f>_xlfn.XLOOKUP(Tableau119[[#This Row],[Key(ID-date)]],'DATA BTO'!S:S,'DATA BTO'!J:J,FALSE)</f>
        <v>0</v>
      </c>
      <c r="AI302" s="3" t="b">
        <f>_xlfn.XLOOKUP(Tableau119[[#This Row],[Key(ID-date)]],'DATA BTO'!S:S,'DATA BTO'!K:K,FALSE)</f>
        <v>0</v>
      </c>
      <c r="AJ302" s="50" t="b">
        <f>_xlfn.XLOOKUP(Tableau119[[#This Row],[Key(ID-date)]],'DATA BTO'!S:S,'DATA BTO'!L:L,FALSE)</f>
        <v>0</v>
      </c>
      <c r="AK302" s="53" t="b">
        <f>_xlfn.XLOOKUP(Tableau119[[#This Row],[Key(ID-date)]],'DATA BTO'!S:S,'DATA BTO'!N:N,FALSE)</f>
        <v>0</v>
      </c>
      <c r="AL302" s="54" t="e">
        <f>VLOOKUP(Tableau119[[#This Row],[Key(POD -PFI- Usine)]],'DATA Consignee'!A:F,6,FALSE)</f>
        <v>#N/A</v>
      </c>
      <c r="AM302" s="284"/>
      <c r="AN302" s="376" t="str">
        <f>IF(Tableau119[[#This Row],[Name PFI/CDD]]="","-",VLOOKUP(Tableau119[[#This Row],[Name PFI/CDD]],Plant_AILN!I:J,2,FALSE))</f>
        <v>-</v>
      </c>
      <c r="AO30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2" s="2" t="e">
        <f>VLOOKUP(Tableau119[[#This Row],[Key(POD -PFI- Usine)]],'DATA Consignee'!A:J,10,FALSE)</f>
        <v>#N/A</v>
      </c>
      <c r="AR302" s="50" t="e">
        <f>VLOOKUP(Tableau119[[#This Row],[Key(POD -PFI- Usine)]],'DATA Consignee'!A:N,14,FALSE)</f>
        <v>#N/A</v>
      </c>
      <c r="AS30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2" s="50">
        <f>Tableau119[[#This Row],[Transit time]]+Tableau119[[#This Row],[Time for security]]+Tableau119[[#This Row],[Time for security2 buffer]]</f>
        <v>0</v>
      </c>
      <c r="AV3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2" s="50" t="e">
        <f>Tableau119[[#This Row],[Leadtime SI2C]]+Tableau119[[#This Row],[First Receipt Days]]-Tableau119[[#This Row],[Day Customer Order]]+1</f>
        <v>#N/A</v>
      </c>
      <c r="AX302" s="119" t="e">
        <f>IF(Tableau119[[#This Row],[Name ILN]]&lt;&gt;"SFK Freight Forwarder",Tableau119[[#This Row],[Cust. Leadtime]],Tableau119[[#This Row],[Leadtime SI2C]])</f>
        <v>#N/A</v>
      </c>
      <c r="AY302" s="51" t="b">
        <f>_xlfn.XLOOKUP(Tableau119[[#This Row],[Key(ID-date)]],'DATA BTO'!S:S,'DATA BTO'!P:P,FALSE)</f>
        <v>0</v>
      </c>
      <c r="AZ302" s="338">
        <v>45777</v>
      </c>
      <c r="BA302" s="50"/>
    </row>
    <row r="303" spans="2:53">
      <c r="B303" s="446" t="str">
        <f>_xlfn.CONCAT(Tableau119[[#This Row],[Name ILN]],"-",Tableau119[[#This Row],[Name Shipper]],"-",Tableau119[[#This Row],[Name Site]])</f>
        <v>ILN Mioveni-ILN Mioveni-CHENNAI Powertrain</v>
      </c>
      <c r="C303" s="66" t="str">
        <f>_xlfn.CONCAT(Tableau119[[#This Row],[Compte ILN]],"-",Tableau119[[#This Row],[Compte Shipper]],"-",Tableau119[[#This Row],[POL]],"-",Tableau119[[#This Row],[Compte Consignee]])</f>
        <v>28390-28390-FALSO-26549500</v>
      </c>
      <c r="D303" s="66" t="str">
        <f>_xlfn.CONCAT(Tableau119[[#This Row],[Compte ILN]],"-",Tableau119[[#This Row],[Compte Shipper]],"-",Tableau119[[#This Row],[POL]])</f>
        <v>28390-28390-FALSO</v>
      </c>
      <c r="E303" s="130" t="str">
        <f>_xlfn.CONCAT(Tableau119[[#This Row],[POL]],"-",Tableau119[[#This Row],[Carrier]],"-",Tableau119[[#This Row],[POD]])</f>
        <v>FALSO-FALSO-FALSO</v>
      </c>
      <c r="F303" s="66" t="str">
        <f>_xlfn.CONCAT(Tableau119[[#This Row],[ID]],"-","Actif")</f>
        <v>110-Actif</v>
      </c>
      <c r="G303" s="66" t="str">
        <f>_xlfn.CONCAT(Tableau119[[#This Row],[POD]],"-",Tableau119[[#This Row],[Code PFI]],"-",Tableau119[[#This Row],[Compte Consignee]])</f>
        <v>FALSO---26549500</v>
      </c>
      <c r="H3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Powertrain</v>
      </c>
      <c r="I303" s="434" t="str">
        <f>_xlfn.CONCAT(Tableau119[[#This Row],[ID]],"-",Tableau119[[#This Row],[Expiration Date]])</f>
        <v>110-45473</v>
      </c>
      <c r="J3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Mioveni-ILN Mioveni-110-FALSO-FALSO-FALSO--45473</v>
      </c>
      <c r="K303" s="119" t="str">
        <f ca="1">IF(COUNTIF(J:J,Tableau119[[#This Row],[Plant-ILN-shipper-POL-Carrier-POD-PFI]])=1,"Non","Oui")</f>
        <v>Non</v>
      </c>
      <c r="L303" s="128" t="str">
        <f>VLOOKUP(Tableau119[[#This Row],[Name Site]],Plant_AILN!A:D,4,FALSE)</f>
        <v>INDIA</v>
      </c>
      <c r="M303" s="411" t="s">
        <v>221</v>
      </c>
      <c r="N303" s="454">
        <f>VLOOKUP(Tableau119[[#This Row],[Name Site]],Plant_AILN!A:C,3,FALSE)</f>
        <v>26549500</v>
      </c>
      <c r="O303" s="55">
        <f>VLOOKUP(Tableau119[[#This Row],[Compte Consignee]],Order!C:D,2,FALSE)</f>
        <v>5</v>
      </c>
      <c r="P303" s="124" t="s">
        <v>168</v>
      </c>
      <c r="Q303" s="365">
        <f>VLOOKUP(Tableau119[[#This Row],[Name ILN]],Plant_AILN!F:G,2,FALSE)</f>
        <v>28390</v>
      </c>
      <c r="R303" s="50">
        <f>VLOOKUP(Tableau119[[#This Row],[Compte ILN]],'DATA ILN'!D:I,6,FALSE)</f>
        <v>9</v>
      </c>
      <c r="S303" s="50" t="e">
        <f>IFERROR(VLOOKUP(Tableau119[[#This Row],[Key(Compte ILN - shipper - POL - plant)]],'DATA ILN'!A:J,10,FALSE),VLOOKUP(Tableau119[[#This Row],[Key(Compte ILN - shipper - POL)]],'DATA ILN'!B:J,9,FALSE))</f>
        <v>#N/A</v>
      </c>
      <c r="T303" s="50" t="e">
        <f>IFERROR(VLOOKUP(Tableau119[[#This Row],[Key(Compte ILN - shipper - POL - plant)]],'DATA ILN'!A:K,11,FALSE),VLOOKUP(Tableau119[[#This Row],[Key(Compte ILN - shipper - POL)]],'DATA ILN'!B:K,10,FALSE))</f>
        <v>#N/A</v>
      </c>
      <c r="U303" s="50" t="e">
        <f>IFERROR(VLOOKUP(Tableau119[[#This Row],[Key(Compte ILN - shipper - POL - plant)]],'DATA ILN'!A:L,12,FALSE),VLOOKUP(Tableau119[[#This Row],[Key(Compte ILN - shipper - POL)]],'DATA ILN'!B:L,11,FALSE))</f>
        <v>#N/A</v>
      </c>
      <c r="V303" s="50" t="e">
        <f>Tableau119[[#This Row],[Day ILN Order]]+Tableau119[[#This Row],[Delivery time to ILN/Shipper]]-1</f>
        <v>#N/A</v>
      </c>
      <c r="W303" s="50" t="e">
        <f>IFERROR(VLOOKUP(Tableau119[[#This Row],[Key(Compte ILN - shipper - POL - plant)]],'DATA ILN'!A:N,14,FALSE),VLOOKUP(Tableau119[[#This Row],[Key(Compte ILN - shipper - POL)]],'DATA ILN'!B:N,13,FALSE))</f>
        <v>#N/A</v>
      </c>
      <c r="X303" s="50" t="e">
        <f>IFERROR(VLOOKUP(Tableau119[[#This Row],[Key(Compte ILN - shipper - POL - plant)]],'DATA ILN'!A:P,16,FALSE),VLOOKUP(Tableau119[[#This Row],[Key(Compte ILN - shipper - POL)]],'DATA ILN'!B:P,15,FALSE))</f>
        <v>#N/A</v>
      </c>
      <c r="Y303" s="284" t="s">
        <v>168</v>
      </c>
      <c r="Z303" s="430">
        <f>IFERROR(VLOOKUP(Tableau119[[#This Row],[Name Shipper]],Plant_AILN!L:M,2,FALSE),0)</f>
        <v>28390</v>
      </c>
      <c r="AA303" s="406">
        <v>110</v>
      </c>
      <c r="AB303" s="396" t="b">
        <f>_xlfn.XLOOKUP(Tableau119[[#This Row],[Key(ID-date)]],'DATA BTO'!S:S,'DATA BTO'!E:E,FALSE)</f>
        <v>0</v>
      </c>
      <c r="AC303" s="3" t="b">
        <f>_xlfn.XLOOKUP(Tableau119[[#This Row],[Key(ID-date)]],'DATA BTO'!S:S,'DATA BTO'!F:F,FALSE)</f>
        <v>0</v>
      </c>
      <c r="AD303" s="50" t="b">
        <f>_xlfn.XLOOKUP(Tableau119[[#This Row],[Key(ID-date)]],'DATA BTO'!S:S,'DATA BTO'!G:G,FALSE)</f>
        <v>0</v>
      </c>
      <c r="AE303" s="50" t="b">
        <f>_xlfn.XLOOKUP(Tableau119[[#This Row],[Key(ID-date)]],'DATA BTO'!S:S,'DATA BTO'!H:H,FALSE)</f>
        <v>0</v>
      </c>
      <c r="AF303" s="81" t="e">
        <f>IF(Tableau119[[#This Row],[First Day to POL]]&lt;=Tableau119[[#This Row],[Day Cut Off]],Tableau119[[#This Row],[Day ETD]],Tableau119[[#This Row],[Day ETD]]+7)</f>
        <v>#N/A</v>
      </c>
      <c r="AG303" s="50" t="b">
        <f>_xlfn.XLOOKUP(Tableau119[[#This Row],[Key(ID-date)]],'DATA BTO'!S:S,'DATA BTO'!I:I,FALSE)</f>
        <v>0</v>
      </c>
      <c r="AH303" s="3" t="b">
        <f>_xlfn.XLOOKUP(Tableau119[[#This Row],[Key(ID-date)]],'DATA BTO'!S:S,'DATA BTO'!J:J,FALSE)</f>
        <v>0</v>
      </c>
      <c r="AI303" s="3" t="b">
        <f>_xlfn.XLOOKUP(Tableau119[[#This Row],[Key(ID-date)]],'DATA BTO'!S:S,'DATA BTO'!K:K,FALSE)</f>
        <v>0</v>
      </c>
      <c r="AJ303" s="50" t="b">
        <f>_xlfn.XLOOKUP(Tableau119[[#This Row],[Key(ID-date)]],'DATA BTO'!S:S,'DATA BTO'!L:L,FALSE)</f>
        <v>0</v>
      </c>
      <c r="AK303" s="53" t="b">
        <f>_xlfn.XLOOKUP(Tableau119[[#This Row],[Key(ID-date)]],'DATA BTO'!S:S,'DATA BTO'!N:N,FALSE)</f>
        <v>0</v>
      </c>
      <c r="AL303" s="54" t="e">
        <f>VLOOKUP(Tableau119[[#This Row],[Key(POD -PFI- Usine)]],'DATA Consignee'!A:F,6,FALSE)</f>
        <v>#N/A</v>
      </c>
      <c r="AM303" s="284"/>
      <c r="AN303" s="376" t="str">
        <f>IF(Tableau119[[#This Row],[Name PFI/CDD]]="","-",VLOOKUP(Tableau119[[#This Row],[Name PFI/CDD]],Plant_AILN!I:J,2,FALSE))</f>
        <v>-</v>
      </c>
      <c r="AO30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3" s="2" t="e">
        <f>VLOOKUP(Tableau119[[#This Row],[Key(POD -PFI- Usine)]],'DATA Consignee'!A:J,10,FALSE)</f>
        <v>#N/A</v>
      </c>
      <c r="AR303" s="50" t="e">
        <f>VLOOKUP(Tableau119[[#This Row],[Key(POD -PFI- Usine)]],'DATA Consignee'!A:N,14,FALSE)</f>
        <v>#N/A</v>
      </c>
      <c r="AS30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3" s="50">
        <f>Tableau119[[#This Row],[Transit time]]+Tableau119[[#This Row],[Time for security]]+Tableau119[[#This Row],[Time for security2 buffer]]</f>
        <v>0</v>
      </c>
      <c r="AV3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3" s="50" t="e">
        <f>Tableau119[[#This Row],[Leadtime SI2C]]+Tableau119[[#This Row],[First Receipt Days]]-Tableau119[[#This Row],[Day Customer Order]]+1</f>
        <v>#N/A</v>
      </c>
      <c r="AX303" s="119" t="e">
        <f>IF(Tableau119[[#This Row],[Name ILN]]&lt;&gt;"SFK Freight Forwarder",Tableau119[[#This Row],[Cust. Leadtime]],Tableau119[[#This Row],[Leadtime SI2C]])</f>
        <v>#N/A</v>
      </c>
      <c r="AY303" s="51" t="b">
        <f>_xlfn.XLOOKUP(Tableau119[[#This Row],[Key(ID-date)]],'DATA BTO'!S:S,'DATA BTO'!P:P,FALSE)</f>
        <v>0</v>
      </c>
      <c r="AZ303" s="338">
        <v>45473</v>
      </c>
      <c r="BA303" s="50"/>
    </row>
    <row r="304" spans="2:53">
      <c r="B304" s="446" t="str">
        <f>_xlfn.CONCAT(Tableau119[[#This Row],[Name ILN]],"-",Tableau119[[#This Row],[Name Shipper]],"-",Tableau119[[#This Row],[Name Site]])</f>
        <v>ILN Mioveni-ILN Mioveni-CHENNAI Vehicule</v>
      </c>
      <c r="C304" s="66" t="str">
        <f>_xlfn.CONCAT(Tableau119[[#This Row],[Compte ILN]],"-",Tableau119[[#This Row],[Compte Shipper]],"-",Tableau119[[#This Row],[POL]],"-",Tableau119[[#This Row],[Compte Consignee]])</f>
        <v>28390-28390-FALSO-26549502</v>
      </c>
      <c r="D304" s="66" t="str">
        <f>_xlfn.CONCAT(Tableau119[[#This Row],[Compte ILN]],"-",Tableau119[[#This Row],[Compte Shipper]],"-",Tableau119[[#This Row],[POL]])</f>
        <v>28390-28390-FALSO</v>
      </c>
      <c r="E304" s="130" t="str">
        <f>_xlfn.CONCAT(Tableau119[[#This Row],[POL]],"-",Tableau119[[#This Row],[Carrier]],"-",Tableau119[[#This Row],[POD]])</f>
        <v>FALSO-FALSO-FALSO</v>
      </c>
      <c r="F304" s="66" t="str">
        <f>_xlfn.CONCAT(Tableau119[[#This Row],[ID]],"-","Actif")</f>
        <v>110-Actif</v>
      </c>
      <c r="G304" s="66" t="str">
        <f>_xlfn.CONCAT(Tableau119[[#This Row],[POD]],"-",Tableau119[[#This Row],[Code PFI]],"-",Tableau119[[#This Row],[Compte Consignee]])</f>
        <v>FALSO---26549502</v>
      </c>
      <c r="H3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Vehicule</v>
      </c>
      <c r="I304" s="434" t="str">
        <f>_xlfn.CONCAT(Tableau119[[#This Row],[ID]],"-",Tableau119[[#This Row],[Expiration Date]])</f>
        <v>110-45473</v>
      </c>
      <c r="J3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Mioveni-ILN Mioveni-110-FALSO-FALSO-FALSO--45473</v>
      </c>
      <c r="K304" s="119" t="str">
        <f ca="1">IF(COUNTIF(J:J,Tableau119[[#This Row],[Plant-ILN-shipper-POL-Carrier-POD-PFI]])=1,"Non","Oui")</f>
        <v>Non</v>
      </c>
      <c r="L304" s="128" t="str">
        <f>VLOOKUP(Tableau119[[#This Row],[Name Site]],Plant_AILN!A:D,4,FALSE)</f>
        <v>INDIA</v>
      </c>
      <c r="M304" s="411" t="s">
        <v>159</v>
      </c>
      <c r="N304" s="454">
        <f>VLOOKUP(Tableau119[[#This Row],[Name Site]],Plant_AILN!A:C,3,FALSE)</f>
        <v>26549502</v>
      </c>
      <c r="O304" s="55">
        <f>VLOOKUP(Tableau119[[#This Row],[Compte Consignee]],Order!C:D,2,FALSE)</f>
        <v>5</v>
      </c>
      <c r="P304" s="124" t="s">
        <v>168</v>
      </c>
      <c r="Q304" s="365">
        <f>VLOOKUP(Tableau119[[#This Row],[Name ILN]],Plant_AILN!F:G,2,FALSE)</f>
        <v>28390</v>
      </c>
      <c r="R304" s="50">
        <f>VLOOKUP(Tableau119[[#This Row],[Compte ILN]],'DATA ILN'!D:I,6,FALSE)</f>
        <v>9</v>
      </c>
      <c r="S304" s="50" t="e">
        <f>IFERROR(VLOOKUP(Tableau119[[#This Row],[Key(Compte ILN - shipper - POL - plant)]],'DATA ILN'!A:J,10,FALSE),VLOOKUP(Tableau119[[#This Row],[Key(Compte ILN - shipper - POL)]],'DATA ILN'!B:J,9,FALSE))</f>
        <v>#N/A</v>
      </c>
      <c r="T304" s="50" t="e">
        <f>IFERROR(VLOOKUP(Tableau119[[#This Row],[Key(Compte ILN - shipper - POL - plant)]],'DATA ILN'!A:K,11,FALSE),VLOOKUP(Tableau119[[#This Row],[Key(Compte ILN - shipper - POL)]],'DATA ILN'!B:K,10,FALSE))</f>
        <v>#N/A</v>
      </c>
      <c r="U304" s="50" t="e">
        <f>IFERROR(VLOOKUP(Tableau119[[#This Row],[Key(Compte ILN - shipper - POL - plant)]],'DATA ILN'!A:L,12,FALSE),VLOOKUP(Tableau119[[#This Row],[Key(Compte ILN - shipper - POL)]],'DATA ILN'!B:L,11,FALSE))</f>
        <v>#N/A</v>
      </c>
      <c r="V304" s="50" t="e">
        <f>Tableau119[[#This Row],[Day ILN Order]]+Tableau119[[#This Row],[Delivery time to ILN/Shipper]]-1</f>
        <v>#N/A</v>
      </c>
      <c r="W304" s="50" t="e">
        <f>IFERROR(VLOOKUP(Tableau119[[#This Row],[Key(Compte ILN - shipper - POL - plant)]],'DATA ILN'!A:N,14,FALSE),VLOOKUP(Tableau119[[#This Row],[Key(Compte ILN - shipper - POL)]],'DATA ILN'!B:N,13,FALSE))</f>
        <v>#N/A</v>
      </c>
      <c r="X304" s="50" t="e">
        <f>IFERROR(VLOOKUP(Tableau119[[#This Row],[Key(Compte ILN - shipper - POL - plant)]],'DATA ILN'!A:P,16,FALSE),VLOOKUP(Tableau119[[#This Row],[Key(Compte ILN - shipper - POL)]],'DATA ILN'!B:P,15,FALSE))</f>
        <v>#N/A</v>
      </c>
      <c r="Y304" s="284" t="s">
        <v>168</v>
      </c>
      <c r="Z304" s="430">
        <f>IFERROR(VLOOKUP(Tableau119[[#This Row],[Name Shipper]],Plant_AILN!L:M,2,FALSE),0)</f>
        <v>28390</v>
      </c>
      <c r="AA304" s="406">
        <v>110</v>
      </c>
      <c r="AB304" s="396" t="b">
        <f>_xlfn.XLOOKUP(Tableau119[[#This Row],[Key(ID-date)]],'DATA BTO'!S:S,'DATA BTO'!E:E,FALSE)</f>
        <v>0</v>
      </c>
      <c r="AC304" s="3" t="b">
        <f>_xlfn.XLOOKUP(Tableau119[[#This Row],[Key(ID-date)]],'DATA BTO'!S:S,'DATA BTO'!F:F,FALSE)</f>
        <v>0</v>
      </c>
      <c r="AD304" s="50" t="b">
        <f>_xlfn.XLOOKUP(Tableau119[[#This Row],[Key(ID-date)]],'DATA BTO'!S:S,'DATA BTO'!G:G,FALSE)</f>
        <v>0</v>
      </c>
      <c r="AE304" s="50" t="b">
        <f>_xlfn.XLOOKUP(Tableau119[[#This Row],[Key(ID-date)]],'DATA BTO'!S:S,'DATA BTO'!H:H,FALSE)</f>
        <v>0</v>
      </c>
      <c r="AF304" s="81" t="e">
        <f>IF(Tableau119[[#This Row],[First Day to POL]]&lt;=Tableau119[[#This Row],[Day Cut Off]],Tableau119[[#This Row],[Day ETD]],Tableau119[[#This Row],[Day ETD]]+7)</f>
        <v>#N/A</v>
      </c>
      <c r="AG304" s="50" t="b">
        <f>_xlfn.XLOOKUP(Tableau119[[#This Row],[Key(ID-date)]],'DATA BTO'!S:S,'DATA BTO'!I:I,FALSE)</f>
        <v>0</v>
      </c>
      <c r="AH304" s="3" t="b">
        <f>_xlfn.XLOOKUP(Tableau119[[#This Row],[Key(ID-date)]],'DATA BTO'!S:S,'DATA BTO'!J:J,FALSE)</f>
        <v>0</v>
      </c>
      <c r="AI304" s="3" t="b">
        <f>_xlfn.XLOOKUP(Tableau119[[#This Row],[Key(ID-date)]],'DATA BTO'!S:S,'DATA BTO'!K:K,FALSE)</f>
        <v>0</v>
      </c>
      <c r="AJ304" s="50" t="b">
        <f>_xlfn.XLOOKUP(Tableau119[[#This Row],[Key(ID-date)]],'DATA BTO'!S:S,'DATA BTO'!L:L,FALSE)</f>
        <v>0</v>
      </c>
      <c r="AK304" s="53" t="b">
        <f>_xlfn.XLOOKUP(Tableau119[[#This Row],[Key(ID-date)]],'DATA BTO'!S:S,'DATA BTO'!N:N,FALSE)</f>
        <v>0</v>
      </c>
      <c r="AL304" s="54" t="e">
        <f>VLOOKUP(Tableau119[[#This Row],[Key(POD -PFI- Usine)]],'DATA Consignee'!A:F,6,FALSE)</f>
        <v>#N/A</v>
      </c>
      <c r="AM304" s="284"/>
      <c r="AN304" s="376" t="str">
        <f>IF(Tableau119[[#This Row],[Name PFI/CDD]]="","-",VLOOKUP(Tableau119[[#This Row],[Name PFI/CDD]],Plant_AILN!I:J,2,FALSE))</f>
        <v>-</v>
      </c>
      <c r="AO30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4" s="2" t="e">
        <f>VLOOKUP(Tableau119[[#This Row],[Key(POD -PFI- Usine)]],'DATA Consignee'!A:J,10,FALSE)</f>
        <v>#N/A</v>
      </c>
      <c r="AR304" s="50" t="e">
        <f>VLOOKUP(Tableau119[[#This Row],[Key(POD -PFI- Usine)]],'DATA Consignee'!A:N,14,FALSE)</f>
        <v>#N/A</v>
      </c>
      <c r="AS30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4" s="50">
        <f>Tableau119[[#This Row],[Transit time]]+Tableau119[[#This Row],[Time for security]]+Tableau119[[#This Row],[Time for security2 buffer]]</f>
        <v>0</v>
      </c>
      <c r="AV3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4" s="50" t="e">
        <f>Tableau119[[#This Row],[Leadtime SI2C]]+Tableau119[[#This Row],[First Receipt Days]]-Tableau119[[#This Row],[Day Customer Order]]+1</f>
        <v>#N/A</v>
      </c>
      <c r="AX304" s="119" t="e">
        <f>IF(Tableau119[[#This Row],[Name ILN]]&lt;&gt;"SFK Freight Forwarder",Tableau119[[#This Row],[Cust. Leadtime]],Tableau119[[#This Row],[Leadtime SI2C]])</f>
        <v>#N/A</v>
      </c>
      <c r="AY304" s="51" t="b">
        <f>_xlfn.XLOOKUP(Tableau119[[#This Row],[Key(ID-date)]],'DATA BTO'!S:S,'DATA BTO'!P:P,FALSE)</f>
        <v>0</v>
      </c>
      <c r="AZ304" s="338">
        <v>45473</v>
      </c>
      <c r="BA304" s="50"/>
    </row>
    <row r="305" spans="2:53">
      <c r="B305" s="446" t="str">
        <f>_xlfn.CONCAT(Tableau119[[#This Row],[Name ILN]],"-",Tableau119[[#This Row],[Name Shipper]],"-",Tableau119[[#This Row],[Name Site]])</f>
        <v>ILN Mioveni-ILN Mioveni-CHENNAI Powertrain</v>
      </c>
      <c r="C305" s="66" t="str">
        <f>_xlfn.CONCAT(Tableau119[[#This Row],[Compte ILN]],"-",Tableau119[[#This Row],[Compte Shipper]],"-",Tableau119[[#This Row],[POL]],"-",Tableau119[[#This Row],[Compte Consignee]])</f>
        <v>28390-28390-FALSO-26549500</v>
      </c>
      <c r="D305" s="66" t="str">
        <f>_xlfn.CONCAT(Tableau119[[#This Row],[Compte ILN]],"-",Tableau119[[#This Row],[Compte Shipper]],"-",Tableau119[[#This Row],[POL]])</f>
        <v>28390-28390-FALSO</v>
      </c>
      <c r="E305" s="130" t="str">
        <f>_xlfn.CONCAT(Tableau119[[#This Row],[POL]],"-",Tableau119[[#This Row],[Carrier]],"-",Tableau119[[#This Row],[POD]])</f>
        <v>FALSO-FALSO-FALSO</v>
      </c>
      <c r="F305" s="66" t="str">
        <f>_xlfn.CONCAT(Tableau119[[#This Row],[ID]],"-","Actif")</f>
        <v>110-Actif</v>
      </c>
      <c r="G305" s="66" t="str">
        <f>_xlfn.CONCAT(Tableau119[[#This Row],[POD]],"-",Tableau119[[#This Row],[Code PFI]],"-",Tableau119[[#This Row],[Compte Consignee]])</f>
        <v>FALSO---26549500</v>
      </c>
      <c r="H3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Powertrain</v>
      </c>
      <c r="I305" s="434" t="str">
        <f>_xlfn.CONCAT(Tableau119[[#This Row],[ID]],"-",Tableau119[[#This Row],[Expiration Date]])</f>
        <v>110-45412</v>
      </c>
      <c r="J3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Mioveni-ILN Mioveni-110-FALSO-FALSO-FALSO--45412</v>
      </c>
      <c r="K305" s="119" t="str">
        <f ca="1">IF(COUNTIF(J:J,Tableau119[[#This Row],[Plant-ILN-shipper-POL-Carrier-POD-PFI]])=1,"Non","Oui")</f>
        <v>Non</v>
      </c>
      <c r="L305" s="128" t="str">
        <f>VLOOKUP(Tableau119[[#This Row],[Name Site]],Plant_AILN!A:D,4,FALSE)</f>
        <v>INDIA</v>
      </c>
      <c r="M305" s="411" t="s">
        <v>221</v>
      </c>
      <c r="N305" s="454">
        <f>VLOOKUP(Tableau119[[#This Row],[Name Site]],Plant_AILN!A:C,3,FALSE)</f>
        <v>26549500</v>
      </c>
      <c r="O305" s="55">
        <f>VLOOKUP(Tableau119[[#This Row],[Compte Consignee]],Order!C:D,2,FALSE)</f>
        <v>5</v>
      </c>
      <c r="P305" s="124" t="s">
        <v>168</v>
      </c>
      <c r="Q305" s="365">
        <f>VLOOKUP(Tableau119[[#This Row],[Name ILN]],Plant_AILN!F:G,2,FALSE)</f>
        <v>28390</v>
      </c>
      <c r="R305" s="50">
        <f>VLOOKUP(Tableau119[[#This Row],[Compte ILN]],'DATA ILN'!D:I,6,FALSE)</f>
        <v>9</v>
      </c>
      <c r="S305" s="50" t="e">
        <f>IFERROR(VLOOKUP(Tableau119[[#This Row],[Key(Compte ILN - shipper - POL - plant)]],'DATA ILN'!A:J,10,FALSE),VLOOKUP(Tableau119[[#This Row],[Key(Compte ILN - shipper - POL)]],'DATA ILN'!B:J,9,FALSE))</f>
        <v>#N/A</v>
      </c>
      <c r="T305" s="50" t="e">
        <f>IFERROR(VLOOKUP(Tableau119[[#This Row],[Key(Compte ILN - shipper - POL - plant)]],'DATA ILN'!A:K,11,FALSE),VLOOKUP(Tableau119[[#This Row],[Key(Compte ILN - shipper - POL)]],'DATA ILN'!B:K,10,FALSE))</f>
        <v>#N/A</v>
      </c>
      <c r="U305" s="50" t="e">
        <f>IFERROR(VLOOKUP(Tableau119[[#This Row],[Key(Compte ILN - shipper - POL - plant)]],'DATA ILN'!A:L,12,FALSE),VLOOKUP(Tableau119[[#This Row],[Key(Compte ILN - shipper - POL)]],'DATA ILN'!B:L,11,FALSE))</f>
        <v>#N/A</v>
      </c>
      <c r="V305" s="50" t="e">
        <f>Tableau119[[#This Row],[Day ILN Order]]+Tableau119[[#This Row],[Delivery time to ILN/Shipper]]-1</f>
        <v>#N/A</v>
      </c>
      <c r="W305" s="50" t="e">
        <f>IFERROR(VLOOKUP(Tableau119[[#This Row],[Key(Compte ILN - shipper - POL - plant)]],'DATA ILN'!A:N,14,FALSE),VLOOKUP(Tableau119[[#This Row],[Key(Compte ILN - shipper - POL)]],'DATA ILN'!B:N,13,FALSE))</f>
        <v>#N/A</v>
      </c>
      <c r="X305" s="50" t="e">
        <f>IFERROR(VLOOKUP(Tableau119[[#This Row],[Key(Compte ILN - shipper - POL - plant)]],'DATA ILN'!A:P,16,FALSE),VLOOKUP(Tableau119[[#This Row],[Key(Compte ILN - shipper - POL)]],'DATA ILN'!B:P,15,FALSE))</f>
        <v>#N/A</v>
      </c>
      <c r="Y305" s="284" t="s">
        <v>168</v>
      </c>
      <c r="Z305" s="430">
        <f>IFERROR(VLOOKUP(Tableau119[[#This Row],[Name Shipper]],Plant_AILN!L:M,2,FALSE),0)</f>
        <v>28390</v>
      </c>
      <c r="AA305" s="406">
        <v>110</v>
      </c>
      <c r="AB305" s="396" t="b">
        <f>_xlfn.XLOOKUP(Tableau119[[#This Row],[Key(ID-date)]],'DATA BTO'!S:S,'DATA BTO'!E:E,FALSE)</f>
        <v>0</v>
      </c>
      <c r="AC305" s="3" t="b">
        <f>_xlfn.XLOOKUP(Tableau119[[#This Row],[Key(ID-date)]],'DATA BTO'!S:S,'DATA BTO'!F:F,FALSE)</f>
        <v>0</v>
      </c>
      <c r="AD305" s="50" t="b">
        <f>_xlfn.XLOOKUP(Tableau119[[#This Row],[Key(ID-date)]],'DATA BTO'!S:S,'DATA BTO'!G:G,FALSE)</f>
        <v>0</v>
      </c>
      <c r="AE305" s="50" t="b">
        <f>_xlfn.XLOOKUP(Tableau119[[#This Row],[Key(ID-date)]],'DATA BTO'!S:S,'DATA BTO'!H:H,FALSE)</f>
        <v>0</v>
      </c>
      <c r="AF305" s="81" t="e">
        <f>IF(Tableau119[[#This Row],[First Day to POL]]&lt;=Tableau119[[#This Row],[Day Cut Off]],Tableau119[[#This Row],[Day ETD]],Tableau119[[#This Row],[Day ETD]]+7)</f>
        <v>#N/A</v>
      </c>
      <c r="AG305" s="50" t="b">
        <f>_xlfn.XLOOKUP(Tableau119[[#This Row],[Key(ID-date)]],'DATA BTO'!S:S,'DATA BTO'!I:I,FALSE)</f>
        <v>0</v>
      </c>
      <c r="AH305" s="3" t="b">
        <f>_xlfn.XLOOKUP(Tableau119[[#This Row],[Key(ID-date)]],'DATA BTO'!S:S,'DATA BTO'!J:J,FALSE)</f>
        <v>0</v>
      </c>
      <c r="AI305" s="3" t="b">
        <f>_xlfn.XLOOKUP(Tableau119[[#This Row],[Key(ID-date)]],'DATA BTO'!S:S,'DATA BTO'!K:K,FALSE)</f>
        <v>0</v>
      </c>
      <c r="AJ305" s="50" t="b">
        <f>_xlfn.XLOOKUP(Tableau119[[#This Row],[Key(ID-date)]],'DATA BTO'!S:S,'DATA BTO'!L:L,FALSE)</f>
        <v>0</v>
      </c>
      <c r="AK305" s="53" t="b">
        <f>_xlfn.XLOOKUP(Tableau119[[#This Row],[Key(ID-date)]],'DATA BTO'!S:S,'DATA BTO'!N:N,FALSE)</f>
        <v>0</v>
      </c>
      <c r="AL305" s="54" t="e">
        <f>VLOOKUP(Tableau119[[#This Row],[Key(POD -PFI- Usine)]],'DATA Consignee'!A:F,6,FALSE)</f>
        <v>#N/A</v>
      </c>
      <c r="AM305" s="284"/>
      <c r="AN305" s="376" t="str">
        <f>IF(Tableau119[[#This Row],[Name PFI/CDD]]="","-",VLOOKUP(Tableau119[[#This Row],[Name PFI/CDD]],Plant_AILN!I:J,2,FALSE))</f>
        <v>-</v>
      </c>
      <c r="AO30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5" s="2" t="e">
        <f>VLOOKUP(Tableau119[[#This Row],[Key(POD -PFI- Usine)]],'DATA Consignee'!A:J,10,FALSE)</f>
        <v>#N/A</v>
      </c>
      <c r="AR305" s="50" t="e">
        <f>VLOOKUP(Tableau119[[#This Row],[Key(POD -PFI- Usine)]],'DATA Consignee'!A:N,14,FALSE)</f>
        <v>#N/A</v>
      </c>
      <c r="AS3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5" s="50">
        <f>Tableau119[[#This Row],[Transit time]]+Tableau119[[#This Row],[Time for security]]+Tableau119[[#This Row],[Time for security2 buffer]]</f>
        <v>0</v>
      </c>
      <c r="AV3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5" s="50" t="e">
        <f>Tableau119[[#This Row],[Leadtime SI2C]]+Tableau119[[#This Row],[First Receipt Days]]-Tableau119[[#This Row],[Day Customer Order]]+1</f>
        <v>#N/A</v>
      </c>
      <c r="AX305" s="119" t="e">
        <f>IF(Tableau119[[#This Row],[Name ILN]]&lt;&gt;"SFK Freight Forwarder",Tableau119[[#This Row],[Cust. Leadtime]],Tableau119[[#This Row],[Leadtime SI2C]])</f>
        <v>#N/A</v>
      </c>
      <c r="AY305" s="51" t="b">
        <f>_xlfn.XLOOKUP(Tableau119[[#This Row],[Key(ID-date)]],'DATA BTO'!S:S,'DATA BTO'!P:P,FALSE)</f>
        <v>0</v>
      </c>
      <c r="AZ305" s="338">
        <v>45412</v>
      </c>
      <c r="BA305" s="50"/>
    </row>
    <row r="306" spans="2:53">
      <c r="B306" s="446" t="str">
        <f>_xlfn.CONCAT(Tableau119[[#This Row],[Name ILN]],"-",Tableau119[[#This Row],[Name Shipper]],"-",Tableau119[[#This Row],[Name Site]])</f>
        <v>ILN Mioveni-ILN Mioveni-CHENNAI Vehicule</v>
      </c>
      <c r="C306" s="66" t="str">
        <f>_xlfn.CONCAT(Tableau119[[#This Row],[Compte ILN]],"-",Tableau119[[#This Row],[Compte Shipper]],"-",Tableau119[[#This Row],[POL]],"-",Tableau119[[#This Row],[Compte Consignee]])</f>
        <v>28390-28390-FALSO-26549502</v>
      </c>
      <c r="D306" s="66" t="str">
        <f>_xlfn.CONCAT(Tableau119[[#This Row],[Compte ILN]],"-",Tableau119[[#This Row],[Compte Shipper]],"-",Tableau119[[#This Row],[POL]])</f>
        <v>28390-28390-FALSO</v>
      </c>
      <c r="E306" s="130" t="str">
        <f>_xlfn.CONCAT(Tableau119[[#This Row],[POL]],"-",Tableau119[[#This Row],[Carrier]],"-",Tableau119[[#This Row],[POD]])</f>
        <v>FALSO-FALSO-FALSO</v>
      </c>
      <c r="F306" s="66" t="str">
        <f>_xlfn.CONCAT(Tableau119[[#This Row],[ID]],"-","Actif")</f>
        <v>110-Actif</v>
      </c>
      <c r="G306" s="66" t="str">
        <f>_xlfn.CONCAT(Tableau119[[#This Row],[POD]],"-",Tableau119[[#This Row],[Code PFI]],"-",Tableau119[[#This Row],[Compte Consignee]])</f>
        <v>FALSO---26549502</v>
      </c>
      <c r="H3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MioveniFALSOCHENNAI Vehicule</v>
      </c>
      <c r="I306" s="434" t="str">
        <f>_xlfn.CONCAT(Tableau119[[#This Row],[ID]],"-",Tableau119[[#This Row],[Expiration Date]])</f>
        <v>110-45412</v>
      </c>
      <c r="J3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Mioveni-ILN Mioveni-110-FALSO-FALSO-FALSO--45412</v>
      </c>
      <c r="K306" s="119" t="str">
        <f ca="1">IF(COUNTIF(J:J,Tableau119[[#This Row],[Plant-ILN-shipper-POL-Carrier-POD-PFI]])=1,"Non","Oui")</f>
        <v>Non</v>
      </c>
      <c r="L306" s="128" t="str">
        <f>VLOOKUP(Tableau119[[#This Row],[Name Site]],Plant_AILN!A:D,4,FALSE)</f>
        <v>INDIA</v>
      </c>
      <c r="M306" s="411" t="s">
        <v>159</v>
      </c>
      <c r="N306" s="454">
        <f>VLOOKUP(Tableau119[[#This Row],[Name Site]],Plant_AILN!A:C,3,FALSE)</f>
        <v>26549502</v>
      </c>
      <c r="O306" s="55">
        <f>VLOOKUP(Tableau119[[#This Row],[Compte Consignee]],Order!C:D,2,FALSE)</f>
        <v>5</v>
      </c>
      <c r="P306" s="124" t="s">
        <v>168</v>
      </c>
      <c r="Q306" s="365">
        <f>VLOOKUP(Tableau119[[#This Row],[Name ILN]],Plant_AILN!F:G,2,FALSE)</f>
        <v>28390</v>
      </c>
      <c r="R306" s="50">
        <f>VLOOKUP(Tableau119[[#This Row],[Compte ILN]],'DATA ILN'!D:I,6,FALSE)</f>
        <v>9</v>
      </c>
      <c r="S306" s="50" t="e">
        <f>IFERROR(VLOOKUP(Tableau119[[#This Row],[Key(Compte ILN - shipper - POL - plant)]],'DATA ILN'!A:J,10,FALSE),VLOOKUP(Tableau119[[#This Row],[Key(Compte ILN - shipper - POL)]],'DATA ILN'!B:J,9,FALSE))</f>
        <v>#N/A</v>
      </c>
      <c r="T306" s="50" t="e">
        <f>IFERROR(VLOOKUP(Tableau119[[#This Row],[Key(Compte ILN - shipper - POL - plant)]],'DATA ILN'!A:K,11,FALSE),VLOOKUP(Tableau119[[#This Row],[Key(Compte ILN - shipper - POL)]],'DATA ILN'!B:K,10,FALSE))</f>
        <v>#N/A</v>
      </c>
      <c r="U306" s="50" t="e">
        <f>IFERROR(VLOOKUP(Tableau119[[#This Row],[Key(Compte ILN - shipper - POL - plant)]],'DATA ILN'!A:L,12,FALSE),VLOOKUP(Tableau119[[#This Row],[Key(Compte ILN - shipper - POL)]],'DATA ILN'!B:L,11,FALSE))</f>
        <v>#N/A</v>
      </c>
      <c r="V306" s="50" t="e">
        <f>Tableau119[[#This Row],[Day ILN Order]]+Tableau119[[#This Row],[Delivery time to ILN/Shipper]]-1</f>
        <v>#N/A</v>
      </c>
      <c r="W306" s="50" t="e">
        <f>IFERROR(VLOOKUP(Tableau119[[#This Row],[Key(Compte ILN - shipper - POL - plant)]],'DATA ILN'!A:N,14,FALSE),VLOOKUP(Tableau119[[#This Row],[Key(Compte ILN - shipper - POL)]],'DATA ILN'!B:N,13,FALSE))</f>
        <v>#N/A</v>
      </c>
      <c r="X306" s="50" t="e">
        <f>IFERROR(VLOOKUP(Tableau119[[#This Row],[Key(Compte ILN - shipper - POL - plant)]],'DATA ILN'!A:P,16,FALSE),VLOOKUP(Tableau119[[#This Row],[Key(Compte ILN - shipper - POL)]],'DATA ILN'!B:P,15,FALSE))</f>
        <v>#N/A</v>
      </c>
      <c r="Y306" s="124" t="s">
        <v>168</v>
      </c>
      <c r="Z306" s="430">
        <f>IFERROR(VLOOKUP(Tableau119[[#This Row],[Name Shipper]],Plant_AILN!L:M,2,FALSE),0)</f>
        <v>28390</v>
      </c>
      <c r="AA306" s="406">
        <v>110</v>
      </c>
      <c r="AB306" s="396" t="b">
        <f>_xlfn.XLOOKUP(Tableau119[[#This Row],[Key(ID-date)]],'DATA BTO'!S:S,'DATA BTO'!E:E,FALSE)</f>
        <v>0</v>
      </c>
      <c r="AC306" s="3" t="b">
        <f>_xlfn.XLOOKUP(Tableau119[[#This Row],[Key(ID-date)]],'DATA BTO'!S:S,'DATA BTO'!F:F,FALSE)</f>
        <v>0</v>
      </c>
      <c r="AD306" s="50" t="b">
        <f>_xlfn.XLOOKUP(Tableau119[[#This Row],[Key(ID-date)]],'DATA BTO'!S:S,'DATA BTO'!G:G,FALSE)</f>
        <v>0</v>
      </c>
      <c r="AE306" s="50" t="b">
        <f>_xlfn.XLOOKUP(Tableau119[[#This Row],[Key(ID-date)]],'DATA BTO'!S:S,'DATA BTO'!H:H,FALSE)</f>
        <v>0</v>
      </c>
      <c r="AF306" s="81" t="e">
        <f>IF(Tableau119[[#This Row],[First Day to POL]]&lt;=Tableau119[[#This Row],[Day Cut Off]],Tableau119[[#This Row],[Day ETD]],Tableau119[[#This Row],[Day ETD]]+7)</f>
        <v>#N/A</v>
      </c>
      <c r="AG306" s="50" t="b">
        <f>_xlfn.XLOOKUP(Tableau119[[#This Row],[Key(ID-date)]],'DATA BTO'!S:S,'DATA BTO'!I:I,FALSE)</f>
        <v>0</v>
      </c>
      <c r="AH306" s="3" t="b">
        <f>_xlfn.XLOOKUP(Tableau119[[#This Row],[Key(ID-date)]],'DATA BTO'!S:S,'DATA BTO'!J:J,FALSE)</f>
        <v>0</v>
      </c>
      <c r="AI306" s="3" t="b">
        <f>_xlfn.XLOOKUP(Tableau119[[#This Row],[Key(ID-date)]],'DATA BTO'!S:S,'DATA BTO'!K:K,FALSE)</f>
        <v>0</v>
      </c>
      <c r="AJ306" s="50" t="b">
        <f>_xlfn.XLOOKUP(Tableau119[[#This Row],[Key(ID-date)]],'DATA BTO'!S:S,'DATA BTO'!L:L,FALSE)</f>
        <v>0</v>
      </c>
      <c r="AK306" s="53" t="b">
        <f>_xlfn.XLOOKUP(Tableau119[[#This Row],[Key(ID-date)]],'DATA BTO'!S:S,'DATA BTO'!N:N,FALSE)</f>
        <v>0</v>
      </c>
      <c r="AL306" s="54" t="e">
        <f>VLOOKUP(Tableau119[[#This Row],[Key(POD -PFI- Usine)]],'DATA Consignee'!A:F,6,FALSE)</f>
        <v>#N/A</v>
      </c>
      <c r="AM306" s="284"/>
      <c r="AN306" s="376" t="str">
        <f>IF(Tableau119[[#This Row],[Name PFI/CDD]]="","-",VLOOKUP(Tableau119[[#This Row],[Name PFI/CDD]],Plant_AILN!I:J,2,FALSE))</f>
        <v>-</v>
      </c>
      <c r="AO30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6" s="2" t="e">
        <f>VLOOKUP(Tableau119[[#This Row],[Key(POD -PFI- Usine)]],'DATA Consignee'!A:J,10,FALSE)</f>
        <v>#N/A</v>
      </c>
      <c r="AR306" s="50" t="e">
        <f>VLOOKUP(Tableau119[[#This Row],[Key(POD -PFI- Usine)]],'DATA Consignee'!A:N,14,FALSE)</f>
        <v>#N/A</v>
      </c>
      <c r="AS30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6" s="50">
        <f>Tableau119[[#This Row],[Transit time]]+Tableau119[[#This Row],[Time for security]]+Tableau119[[#This Row],[Time for security2 buffer]]</f>
        <v>0</v>
      </c>
      <c r="AV3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6" s="50" t="e">
        <f>Tableau119[[#This Row],[Leadtime SI2C]]+Tableau119[[#This Row],[First Receipt Days]]-Tableau119[[#This Row],[Day Customer Order]]+1</f>
        <v>#N/A</v>
      </c>
      <c r="AX306" s="119" t="e">
        <f>IF(Tableau119[[#This Row],[Name ILN]]&lt;&gt;"SFK Freight Forwarder",Tableau119[[#This Row],[Cust. Leadtime]],Tableau119[[#This Row],[Leadtime SI2C]])</f>
        <v>#N/A</v>
      </c>
      <c r="AY306" s="51" t="b">
        <f>_xlfn.XLOOKUP(Tableau119[[#This Row],[Key(ID-date)]],'DATA BTO'!S:S,'DATA BTO'!P:P,FALSE)</f>
        <v>0</v>
      </c>
      <c r="AZ306" s="338">
        <v>45412</v>
      </c>
      <c r="BA306" s="50"/>
    </row>
    <row r="307" spans="2:53">
      <c r="B307" s="66" t="str">
        <f>_xlfn.CONCAT(Tableau119[[#This Row],[Name ILN]],"-",Tableau119[[#This Row],[Name Shipper]],"-",Tableau119[[#This Row],[Name Site]])</f>
        <v>ILN Mioveni-ILN Mioveni-TANGER</v>
      </c>
      <c r="C307" s="66" t="str">
        <f>_xlfn.CONCAT(Tableau119[[#This Row],[Compte ILN]],"-",Tableau119[[#This Row],[Compte Shipper]],"-",Tableau119[[#This Row],[POL]],"-",Tableau119[[#This Row],[Compte Consignee]])</f>
        <v>28390-28390-FALSO-900383</v>
      </c>
      <c r="D307" s="66" t="str">
        <f>_xlfn.CONCAT(Tableau119[[#This Row],[Compte ILN]],"-",Tableau119[[#This Row],[Compte Shipper]],"-",Tableau119[[#This Row],[POL]])</f>
        <v>28390-28390-FALSO</v>
      </c>
      <c r="E307" s="130" t="str">
        <f>_xlfn.CONCAT(Tableau119[[#This Row],[POL]],"-",Tableau119[[#This Row],[Carrier]],"-",Tableau119[[#This Row],[POD]])</f>
        <v>FALSO-FALSO-FALSO</v>
      </c>
      <c r="F307" s="66" t="str">
        <f>_xlfn.CONCAT(Tableau119[[#This Row],[ID]],"-","Actif")</f>
        <v>112-Actif</v>
      </c>
      <c r="G307" s="66" t="str">
        <f>_xlfn.CONCAT(Tableau119[[#This Row],[POD]],"-",Tableau119[[#This Row],[Code PFI]],"-",Tableau119[[#This Row],[Compte Consignee]])</f>
        <v>FALSO---900383</v>
      </c>
      <c r="H3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MioveniFALSOTANGER</v>
      </c>
      <c r="I307" s="434" t="str">
        <f>_xlfn.CONCAT(Tableau119[[#This Row],[ID]],"-",Tableau119[[#This Row],[Expiration Date]])</f>
        <v>112-46142</v>
      </c>
      <c r="J3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Mioveni-ILN Mioveni-112-FALSO-FALSO-FALSO--46142</v>
      </c>
      <c r="K307" s="119" t="str">
        <f ca="1">IF(COUNTIF(J:J,Tableau119[[#This Row],[Plant-ILN-shipper-POL-Carrier-POD-PFI]])=1,"Non","Oui")</f>
        <v>Non</v>
      </c>
      <c r="L307" s="436" t="str">
        <f>VLOOKUP(Tableau119[[#This Row],[Name Site]],Plant_AILN!A:D,4,FALSE)</f>
        <v>MOROCCO</v>
      </c>
      <c r="M307" s="285" t="s">
        <v>180</v>
      </c>
      <c r="N307" s="454">
        <f>VLOOKUP(Tableau119[[#This Row],[Name Site]],Plant_AILN!A:C,3,FALSE)</f>
        <v>900383</v>
      </c>
      <c r="O307" s="55">
        <f>IF(Tableau119[[#This Row],[Name PFI/CDD]]="PFI VLL",2,VLOOKUP(Tableau119[[#This Row],[Compte Consignee]],Order!C:D,2,FALSE))</f>
        <v>7</v>
      </c>
      <c r="P307" s="124" t="s">
        <v>168</v>
      </c>
      <c r="Q307" s="365">
        <f>VLOOKUP(Tableau119[[#This Row],[Name ILN]],Plant_AILN!F:G,2,FALSE)</f>
        <v>28390</v>
      </c>
      <c r="R307" s="50">
        <f>VLOOKUP(Tableau119[[#This Row],[Compte ILN]],'DATA ILN'!D:I,6,FALSE)</f>
        <v>9</v>
      </c>
      <c r="S307" s="50" t="e">
        <f>IFERROR(VLOOKUP(Tableau119[[#This Row],[Key(Compte ILN - shipper - POL - plant)]],'DATA ILN'!A:J,10,FALSE),VLOOKUP(Tableau119[[#This Row],[Key(Compte ILN - shipper - POL)]],'DATA ILN'!B:J,9,FALSE))</f>
        <v>#N/A</v>
      </c>
      <c r="T307" s="50" t="e">
        <f>IFERROR(VLOOKUP(Tableau119[[#This Row],[Key(Compte ILN - shipper - POL - plant)]],'DATA ILN'!A:K,11,FALSE),VLOOKUP(Tableau119[[#This Row],[Key(Compte ILN - shipper - POL)]],'DATA ILN'!B:K,10,FALSE))</f>
        <v>#N/A</v>
      </c>
      <c r="U307" s="50" t="e">
        <f>IFERROR(VLOOKUP(Tableau119[[#This Row],[Key(Compte ILN - shipper - POL - plant)]],'DATA ILN'!A:L,12,FALSE),VLOOKUP(Tableau119[[#This Row],[Key(Compte ILN - shipper - POL)]],'DATA ILN'!B:L,11,FALSE))</f>
        <v>#N/A</v>
      </c>
      <c r="V307" s="50" t="e">
        <f>Tableau119[[#This Row],[Day ILN Order]]+Tableau119[[#This Row],[Delivery time to ILN/Shipper]]-1</f>
        <v>#N/A</v>
      </c>
      <c r="W307" s="50" t="e">
        <f>IFERROR(VLOOKUP(Tableau119[[#This Row],[Key(Compte ILN - shipper - POL - plant)]],'DATA ILN'!A:N,14,FALSE),VLOOKUP(Tableau119[[#This Row],[Key(Compte ILN - shipper - POL)]],'DATA ILN'!B:N,13,FALSE))</f>
        <v>#N/A</v>
      </c>
      <c r="X307" s="50" t="e">
        <f>IFERROR(VLOOKUP(Tableau119[[#This Row],[Key(Compte ILN - shipper - POL - plant)]],'DATA ILN'!A:P,16,FALSE),VLOOKUP(Tableau119[[#This Row],[Key(Compte ILN - shipper - POL)]],'DATA ILN'!B:P,15,FALSE))</f>
        <v>#N/A</v>
      </c>
      <c r="Y307" s="124" t="s">
        <v>168</v>
      </c>
      <c r="Z307" s="430">
        <f>IFERROR(VLOOKUP(Tableau119[[#This Row],[Name Shipper]],Plant_AILN!L:M,2,FALSE),0)</f>
        <v>28390</v>
      </c>
      <c r="AA307" s="406">
        <v>112</v>
      </c>
      <c r="AB307" s="396" t="b">
        <f>_xlfn.XLOOKUP(Tableau119[[#This Row],[Key(ID-date)]],'DATA BTO'!S:S,'DATA BTO'!E:E,FALSE)</f>
        <v>0</v>
      </c>
      <c r="AC307" s="3" t="b">
        <f>_xlfn.XLOOKUP(Tableau119[[#This Row],[Key(ID-date)]],'DATA BTO'!S:S,'DATA BTO'!F:F,FALSE)</f>
        <v>0</v>
      </c>
      <c r="AD307" s="50" t="b">
        <f>_xlfn.XLOOKUP(Tableau119[[#This Row],[Key(ID-date)]],'DATA BTO'!S:S,'DATA BTO'!G:G,FALSE)</f>
        <v>0</v>
      </c>
      <c r="AE307" s="50" t="b">
        <f>_xlfn.XLOOKUP(Tableau119[[#This Row],[Key(ID-date)]],'DATA BTO'!S:S,'DATA BTO'!H:H,FALSE)</f>
        <v>0</v>
      </c>
      <c r="AF307" s="447" t="e">
        <f>IF(Tableau119[[#This Row],[First Day to POL]]&lt;=Tableau119[[#This Row],[Day Cut Off]],Tableau119[[#This Row],[Day ETD]],Tableau119[[#This Row],[Day ETD]]+7)</f>
        <v>#N/A</v>
      </c>
      <c r="AG307" s="50" t="b">
        <f>_xlfn.XLOOKUP(Tableau119[[#This Row],[Key(ID-date)]],'DATA BTO'!S:S,'DATA BTO'!I:I,FALSE)</f>
        <v>0</v>
      </c>
      <c r="AH307" s="3" t="b">
        <f>_xlfn.XLOOKUP(Tableau119[[#This Row],[Key(ID-date)]],'DATA BTO'!S:S,'DATA BTO'!J:J,FALSE)</f>
        <v>0</v>
      </c>
      <c r="AI307" s="3" t="b">
        <f>_xlfn.XLOOKUP(Tableau119[[#This Row],[Key(ID-date)]],'DATA BTO'!S:S,'DATA BTO'!K:K,FALSE)</f>
        <v>0</v>
      </c>
      <c r="AJ307" s="50" t="b">
        <f>_xlfn.XLOOKUP(Tableau119[[#This Row],[Key(ID-date)]],'DATA BTO'!S:S,'DATA BTO'!L:L,FALSE)</f>
        <v>0</v>
      </c>
      <c r="AK307" s="53" t="b">
        <f>_xlfn.XLOOKUP(Tableau119[[#This Row],[Key(ID-date)]],'DATA BTO'!S:S,'DATA BTO'!N:N,FALSE)</f>
        <v>0</v>
      </c>
      <c r="AL307" s="54" t="e">
        <f>VLOOKUP(Tableau119[[#This Row],[Key(POD -PFI- Usine)]],'DATA Consignee'!A:F,6,FALSE)</f>
        <v>#N/A</v>
      </c>
      <c r="AM307" s="284"/>
      <c r="AN307" s="376" t="str">
        <f>IF(Tableau119[[#This Row],[Name PFI/CDD]]="","-",VLOOKUP(Tableau119[[#This Row],[Name PFI/CDD]],Plant_AILN!I:J,2,FALSE))</f>
        <v>-</v>
      </c>
      <c r="AO30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7" s="2" t="e">
        <f>VLOOKUP(Tableau119[[#This Row],[Key(POD -PFI- Usine)]],'DATA Consignee'!A:J,10,FALSE)</f>
        <v>#N/A</v>
      </c>
      <c r="AR307" s="50" t="e">
        <f>VLOOKUP(Tableau119[[#This Row],[Key(POD -PFI- Usine)]],'DATA Consignee'!A:N,14,FALSE)</f>
        <v>#N/A</v>
      </c>
      <c r="AS30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7" s="50">
        <f>Tableau119[[#This Row],[Transit time]]+Tableau119[[#This Row],[Time for security]]+Tableau119[[#This Row],[Time for security2 buffer]]</f>
        <v>0</v>
      </c>
      <c r="AV3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7" s="50" t="e">
        <f>Tableau119[[#This Row],[Leadtime SI2C]]+Tableau119[[#This Row],[First Receipt Days]]-Tableau119[[#This Row],[Day Customer Order]]+1</f>
        <v>#N/A</v>
      </c>
      <c r="AX307" s="119" t="e">
        <f>IF(Tableau119[[#This Row],[Name ILN]]&lt;&gt;"SFK Freight Forwarder",Tableau119[[#This Row],[Cust. Leadtime]],Tableau119[[#This Row],[Leadtime SI2C]])</f>
        <v>#N/A</v>
      </c>
      <c r="AY307" s="51" t="b">
        <f>_xlfn.XLOOKUP(Tableau119[[#This Row],[Key(ID-date)]],'DATA BTO'!S:S,'DATA BTO'!P:P,FALSE)</f>
        <v>0</v>
      </c>
      <c r="AZ307" s="338">
        <v>46142</v>
      </c>
      <c r="BA307" s="50"/>
    </row>
    <row r="308" spans="2:53">
      <c r="B308" s="446" t="str">
        <f>_xlfn.CONCAT(Tableau119[[#This Row],[Name ILN]],"-",Tableau119[[#This Row],[Name Shipper]],"-",Tableau119[[#This Row],[Name Site]])</f>
        <v>ILN Mioveni-ILN Mioveni-TANGER</v>
      </c>
      <c r="C308" s="66" t="str">
        <f>_xlfn.CONCAT(Tableau119[[#This Row],[Compte ILN]],"-",Tableau119[[#This Row],[Compte Shipper]],"-",Tableau119[[#This Row],[POL]],"-",Tableau119[[#This Row],[Compte Consignee]])</f>
        <v>28390-28390-FALSO-900383</v>
      </c>
      <c r="D308" s="66" t="str">
        <f>_xlfn.CONCAT(Tableau119[[#This Row],[Compte ILN]],"-",Tableau119[[#This Row],[Compte Shipper]],"-",Tableau119[[#This Row],[POL]])</f>
        <v>28390-28390-FALSO</v>
      </c>
      <c r="E308" s="130" t="str">
        <f>_xlfn.CONCAT(Tableau119[[#This Row],[POL]],"-",Tableau119[[#This Row],[Carrier]],"-",Tableau119[[#This Row],[POD]])</f>
        <v>FALSO-FALSO-FALSO</v>
      </c>
      <c r="F308" s="66" t="str">
        <f>_xlfn.CONCAT(Tableau119[[#This Row],[ID]],"-","Actif")</f>
        <v>112-Actif</v>
      </c>
      <c r="G308" s="66" t="str">
        <f>_xlfn.CONCAT(Tableau119[[#This Row],[POD]],"-",Tableau119[[#This Row],[Code PFI]],"-",Tableau119[[#This Row],[Compte Consignee]])</f>
        <v>FALSO---900383</v>
      </c>
      <c r="H3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MioveniFALSOTANGER</v>
      </c>
      <c r="I308" s="434" t="str">
        <f>_xlfn.CONCAT(Tableau119[[#This Row],[ID]],"-",Tableau119[[#This Row],[Expiration Date]])</f>
        <v>112-45906</v>
      </c>
      <c r="J3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Mioveni-ILN Mioveni-112-FALSO-FALSO-FALSO--45906</v>
      </c>
      <c r="K308" s="119" t="str">
        <f ca="1">IF(COUNTIF(J:J,Tableau119[[#This Row],[Plant-ILN-shipper-POL-Carrier-POD-PFI]])=1,"Non","Oui")</f>
        <v>Non</v>
      </c>
      <c r="L308" s="128" t="str">
        <f>VLOOKUP(Tableau119[[#This Row],[Name Site]],Plant_AILN!A:D,4,FALSE)</f>
        <v>MOROCCO</v>
      </c>
      <c r="M308" s="411" t="s">
        <v>180</v>
      </c>
      <c r="N308" s="454">
        <f>VLOOKUP(Tableau119[[#This Row],[Name Site]],Plant_AILN!A:C,3,FALSE)</f>
        <v>900383</v>
      </c>
      <c r="O308" s="55">
        <f>VLOOKUP(Tableau119[[#This Row],[Compte Consignee]],Order!C:D,2,FALSE)</f>
        <v>7</v>
      </c>
      <c r="P308" s="124" t="s">
        <v>168</v>
      </c>
      <c r="Q308" s="365">
        <f>VLOOKUP(Tableau119[[#This Row],[Name ILN]],Plant_AILN!F:G,2,FALSE)</f>
        <v>28390</v>
      </c>
      <c r="R308" s="50">
        <f>VLOOKUP(Tableau119[[#This Row],[Compte ILN]],'DATA ILN'!D:I,6,FALSE)</f>
        <v>9</v>
      </c>
      <c r="S308" s="50" t="e">
        <f>IFERROR(VLOOKUP(Tableau119[[#This Row],[Key(Compte ILN - shipper - POL - plant)]],'DATA ILN'!A:J,10,FALSE),VLOOKUP(Tableau119[[#This Row],[Key(Compte ILN - shipper - POL)]],'DATA ILN'!B:J,9,FALSE))</f>
        <v>#N/A</v>
      </c>
      <c r="T308" s="50" t="e">
        <f>IFERROR(VLOOKUP(Tableau119[[#This Row],[Key(Compte ILN - shipper - POL - plant)]],'DATA ILN'!A:K,11,FALSE),VLOOKUP(Tableau119[[#This Row],[Key(Compte ILN - shipper - POL)]],'DATA ILN'!B:K,10,FALSE))</f>
        <v>#N/A</v>
      </c>
      <c r="U308" s="50" t="e">
        <f>IFERROR(VLOOKUP(Tableau119[[#This Row],[Key(Compte ILN - shipper - POL - plant)]],'DATA ILN'!A:L,12,FALSE),VLOOKUP(Tableau119[[#This Row],[Key(Compte ILN - shipper - POL)]],'DATA ILN'!B:L,11,FALSE))</f>
        <v>#N/A</v>
      </c>
      <c r="V308" s="50" t="e">
        <f>Tableau119[[#This Row],[Day ILN Order]]+Tableau119[[#This Row],[Delivery time to ILN/Shipper]]-1</f>
        <v>#N/A</v>
      </c>
      <c r="W308" s="50" t="e">
        <f>IFERROR(VLOOKUP(Tableau119[[#This Row],[Key(Compte ILN - shipper - POL - plant)]],'DATA ILN'!A:N,14,FALSE),VLOOKUP(Tableau119[[#This Row],[Key(Compte ILN - shipper - POL)]],'DATA ILN'!B:N,13,FALSE))</f>
        <v>#N/A</v>
      </c>
      <c r="X308" s="50" t="e">
        <f>IFERROR(VLOOKUP(Tableau119[[#This Row],[Key(Compte ILN - shipper - POL - plant)]],'DATA ILN'!A:P,16,FALSE),VLOOKUP(Tableau119[[#This Row],[Key(Compte ILN - shipper - POL)]],'DATA ILN'!B:P,15,FALSE))</f>
        <v>#N/A</v>
      </c>
      <c r="Y308" s="124" t="s">
        <v>168</v>
      </c>
      <c r="Z308" s="430">
        <f>IFERROR(VLOOKUP(Tableau119[[#This Row],[Name Shipper]],Plant_AILN!L:M,2,FALSE),0)</f>
        <v>28390</v>
      </c>
      <c r="AA308" s="406">
        <v>112</v>
      </c>
      <c r="AB308" s="396" t="b">
        <f>_xlfn.XLOOKUP(Tableau119[[#This Row],[Key(ID-date)]],'DATA BTO'!S:S,'DATA BTO'!E:E,FALSE)</f>
        <v>0</v>
      </c>
      <c r="AC308" s="3" t="b">
        <f>_xlfn.XLOOKUP(Tableau119[[#This Row],[Key(ID-date)]],'DATA BTO'!S:S,'DATA BTO'!F:F,FALSE)</f>
        <v>0</v>
      </c>
      <c r="AD308" s="50" t="b">
        <f>_xlfn.XLOOKUP(Tableau119[[#This Row],[Key(ID-date)]],'DATA BTO'!S:S,'DATA BTO'!G:G,FALSE)</f>
        <v>0</v>
      </c>
      <c r="AE308" s="50" t="b">
        <f>_xlfn.XLOOKUP(Tableau119[[#This Row],[Key(ID-date)]],'DATA BTO'!S:S,'DATA BTO'!H:H,FALSE)</f>
        <v>0</v>
      </c>
      <c r="AF308" s="447" t="e">
        <f>IF(Tableau119[[#This Row],[First Day to POL]]&lt;=Tableau119[[#This Row],[Day Cut Off]],Tableau119[[#This Row],[Day ETD]],Tableau119[[#This Row],[Day ETD]]+7)</f>
        <v>#N/A</v>
      </c>
      <c r="AG308" s="50" t="b">
        <f>_xlfn.XLOOKUP(Tableau119[[#This Row],[Key(ID-date)]],'DATA BTO'!S:S,'DATA BTO'!I:I,FALSE)</f>
        <v>0</v>
      </c>
      <c r="AH308" s="3" t="b">
        <f>_xlfn.XLOOKUP(Tableau119[[#This Row],[Key(ID-date)]],'DATA BTO'!S:S,'DATA BTO'!J:J,FALSE)</f>
        <v>0</v>
      </c>
      <c r="AI308" s="3" t="b">
        <f>_xlfn.XLOOKUP(Tableau119[[#This Row],[Key(ID-date)]],'DATA BTO'!S:S,'DATA BTO'!K:K,FALSE)</f>
        <v>0</v>
      </c>
      <c r="AJ308" s="50" t="b">
        <f>_xlfn.XLOOKUP(Tableau119[[#This Row],[Key(ID-date)]],'DATA BTO'!S:S,'DATA BTO'!L:L,FALSE)</f>
        <v>0</v>
      </c>
      <c r="AK308" s="53" t="b">
        <f>_xlfn.XLOOKUP(Tableau119[[#This Row],[Key(ID-date)]],'DATA BTO'!S:S,'DATA BTO'!N:N,FALSE)</f>
        <v>0</v>
      </c>
      <c r="AL308" s="54" t="e">
        <f>VLOOKUP(Tableau119[[#This Row],[Key(POD -PFI- Usine)]],'DATA Consignee'!A:F,6,FALSE)</f>
        <v>#N/A</v>
      </c>
      <c r="AM308" s="284"/>
      <c r="AN308" s="376" t="str">
        <f>IF(Tableau119[[#This Row],[Name PFI/CDD]]="","-",VLOOKUP(Tableau119[[#This Row],[Name PFI/CDD]],Plant_AILN!I:J,2,FALSE))</f>
        <v>-</v>
      </c>
      <c r="AO30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8" s="2" t="e">
        <f>VLOOKUP(Tableau119[[#This Row],[Key(POD -PFI- Usine)]],'DATA Consignee'!A:J,10,FALSE)</f>
        <v>#N/A</v>
      </c>
      <c r="AR308" s="50" t="e">
        <f>VLOOKUP(Tableau119[[#This Row],[Key(POD -PFI- Usine)]],'DATA Consignee'!A:N,14,FALSE)</f>
        <v>#N/A</v>
      </c>
      <c r="AS3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8" s="50">
        <f>Tableau119[[#This Row],[Transit time]]+Tableau119[[#This Row],[Time for security]]+Tableau119[[#This Row],[Time for security2 buffer]]</f>
        <v>0</v>
      </c>
      <c r="AV3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8" s="50" t="e">
        <f>Tableau119[[#This Row],[Leadtime SI2C]]+Tableau119[[#This Row],[First Receipt Days]]-Tableau119[[#This Row],[Day Customer Order]]+1</f>
        <v>#N/A</v>
      </c>
      <c r="AX308" s="119" t="e">
        <f>IF(Tableau119[[#This Row],[Name ILN]]&lt;&gt;"SFK Freight Forwarder",Tableau119[[#This Row],[Cust. Leadtime]],Tableau119[[#This Row],[Leadtime SI2C]])</f>
        <v>#N/A</v>
      </c>
      <c r="AY308" s="51" t="b">
        <f>_xlfn.XLOOKUP(Tableau119[[#This Row],[Key(ID-date)]],'DATA BTO'!S:S,'DATA BTO'!P:P,FALSE)</f>
        <v>0</v>
      </c>
      <c r="AZ308" s="338">
        <v>45906</v>
      </c>
      <c r="BA308" s="50"/>
    </row>
    <row r="309" spans="2:53">
      <c r="B309" s="446" t="str">
        <f>_xlfn.CONCAT(Tableau119[[#This Row],[Name ILN]],"-",Tableau119[[#This Row],[Name Shipper]],"-",Tableau119[[#This Row],[Name Site]])</f>
        <v>ILN Mioveni-ILN Mioveni-TANGER</v>
      </c>
      <c r="C309" s="66" t="str">
        <f>_xlfn.CONCAT(Tableau119[[#This Row],[Compte ILN]],"-",Tableau119[[#This Row],[Compte Shipper]],"-",Tableau119[[#This Row],[POL]],"-",Tableau119[[#This Row],[Compte Consignee]])</f>
        <v>28390-28390-FALSO-900383</v>
      </c>
      <c r="D309" s="66" t="str">
        <f>_xlfn.CONCAT(Tableau119[[#This Row],[Compte ILN]],"-",Tableau119[[#This Row],[Compte Shipper]],"-",Tableau119[[#This Row],[POL]])</f>
        <v>28390-28390-FALSO</v>
      </c>
      <c r="E309" s="130" t="str">
        <f>_xlfn.CONCAT(Tableau119[[#This Row],[POL]],"-",Tableau119[[#This Row],[Carrier]],"-",Tableau119[[#This Row],[POD]])</f>
        <v>FALSO-FALSO-FALSO</v>
      </c>
      <c r="F309" s="66" t="str">
        <f>_xlfn.CONCAT(Tableau119[[#This Row],[ID]],"-","Actif")</f>
        <v>112-Actif</v>
      </c>
      <c r="G309" s="66" t="str">
        <f>_xlfn.CONCAT(Tableau119[[#This Row],[POD]],"-",Tableau119[[#This Row],[Code PFI]],"-",Tableau119[[#This Row],[Compte Consignee]])</f>
        <v>FALSO---900383</v>
      </c>
      <c r="H3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MioveniFALSOTANGER</v>
      </c>
      <c r="I309" s="434" t="str">
        <f>_xlfn.CONCAT(Tableau119[[#This Row],[ID]],"-",Tableau119[[#This Row],[Expiration Date]])</f>
        <v>112-45788</v>
      </c>
      <c r="J3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Mioveni-ILN Mioveni-112-FALSO-FALSO-FALSO--45788</v>
      </c>
      <c r="K309" s="119" t="str">
        <f ca="1">IF(COUNTIF(J:J,Tableau119[[#This Row],[Plant-ILN-shipper-POL-Carrier-POD-PFI]])=1,"Non","Oui")</f>
        <v>Non</v>
      </c>
      <c r="L309" s="128" t="str">
        <f>VLOOKUP(Tableau119[[#This Row],[Name Site]],Plant_AILN!A:D,4,FALSE)</f>
        <v>MOROCCO</v>
      </c>
      <c r="M309" s="411" t="s">
        <v>180</v>
      </c>
      <c r="N309" s="454">
        <f>VLOOKUP(Tableau119[[#This Row],[Name Site]],Plant_AILN!A:C,3,FALSE)</f>
        <v>900383</v>
      </c>
      <c r="O309" s="55">
        <f>VLOOKUP(Tableau119[[#This Row],[Compte Consignee]],Order!C:D,2,FALSE)</f>
        <v>7</v>
      </c>
      <c r="P309" s="124" t="s">
        <v>168</v>
      </c>
      <c r="Q309" s="365">
        <f>VLOOKUP(Tableau119[[#This Row],[Name ILN]],Plant_AILN!F:G,2,FALSE)</f>
        <v>28390</v>
      </c>
      <c r="R309" s="50">
        <f>VLOOKUP(Tableau119[[#This Row],[Compte ILN]],'DATA ILN'!D:I,6,FALSE)</f>
        <v>9</v>
      </c>
      <c r="S309" s="50" t="e">
        <f>IFERROR(VLOOKUP(Tableau119[[#This Row],[Key(Compte ILN - shipper - POL - plant)]],'DATA ILN'!A:J,10,FALSE),VLOOKUP(Tableau119[[#This Row],[Key(Compte ILN - shipper - POL)]],'DATA ILN'!B:J,9,FALSE))</f>
        <v>#N/A</v>
      </c>
      <c r="T309" s="50" t="e">
        <f>IFERROR(VLOOKUP(Tableau119[[#This Row],[Key(Compte ILN - shipper - POL - plant)]],'DATA ILN'!A:K,11,FALSE),VLOOKUP(Tableau119[[#This Row],[Key(Compte ILN - shipper - POL)]],'DATA ILN'!B:K,10,FALSE))</f>
        <v>#N/A</v>
      </c>
      <c r="U309" s="50" t="e">
        <f>IFERROR(VLOOKUP(Tableau119[[#This Row],[Key(Compte ILN - shipper - POL - plant)]],'DATA ILN'!A:L,12,FALSE),VLOOKUP(Tableau119[[#This Row],[Key(Compte ILN - shipper - POL)]],'DATA ILN'!B:L,11,FALSE))</f>
        <v>#N/A</v>
      </c>
      <c r="V309" s="50" t="e">
        <f>Tableau119[[#This Row],[Day ILN Order]]+Tableau119[[#This Row],[Delivery time to ILN/Shipper]]-1</f>
        <v>#N/A</v>
      </c>
      <c r="W309" s="50" t="e">
        <f>IFERROR(VLOOKUP(Tableau119[[#This Row],[Key(Compte ILN - shipper - POL - plant)]],'DATA ILN'!A:N,14,FALSE),VLOOKUP(Tableau119[[#This Row],[Key(Compte ILN - shipper - POL)]],'DATA ILN'!B:N,13,FALSE))</f>
        <v>#N/A</v>
      </c>
      <c r="X309" s="50" t="e">
        <f>IFERROR(VLOOKUP(Tableau119[[#This Row],[Key(Compte ILN - shipper - POL - plant)]],'DATA ILN'!A:P,16,FALSE),VLOOKUP(Tableau119[[#This Row],[Key(Compte ILN - shipper - POL)]],'DATA ILN'!B:P,15,FALSE))</f>
        <v>#N/A</v>
      </c>
      <c r="Y309" s="124" t="s">
        <v>168</v>
      </c>
      <c r="Z309" s="430">
        <f>IFERROR(VLOOKUP(Tableau119[[#This Row],[Name Shipper]],Plant_AILN!L:M,2,FALSE),0)</f>
        <v>28390</v>
      </c>
      <c r="AA309" s="406">
        <v>112</v>
      </c>
      <c r="AB309" s="396" t="b">
        <f>_xlfn.XLOOKUP(Tableau119[[#This Row],[Key(ID-date)]],'DATA BTO'!S:S,'DATA BTO'!E:E,FALSE)</f>
        <v>0</v>
      </c>
      <c r="AC309" s="3" t="b">
        <f>_xlfn.XLOOKUP(Tableau119[[#This Row],[Key(ID-date)]],'DATA BTO'!S:S,'DATA BTO'!F:F,FALSE)</f>
        <v>0</v>
      </c>
      <c r="AD309" s="50" t="b">
        <f>_xlfn.XLOOKUP(Tableau119[[#This Row],[Key(ID-date)]],'DATA BTO'!S:S,'DATA BTO'!G:G,FALSE)</f>
        <v>0</v>
      </c>
      <c r="AE309" s="50" t="b">
        <f>_xlfn.XLOOKUP(Tableau119[[#This Row],[Key(ID-date)]],'DATA BTO'!S:S,'DATA BTO'!H:H,FALSE)</f>
        <v>0</v>
      </c>
      <c r="AF309" s="447" t="e">
        <f>IF(Tableau119[[#This Row],[First Day to POL]]&lt;=Tableau119[[#This Row],[Day Cut Off]],Tableau119[[#This Row],[Day ETD]],Tableau119[[#This Row],[Day ETD]]+7)</f>
        <v>#N/A</v>
      </c>
      <c r="AG309" s="50" t="b">
        <f>_xlfn.XLOOKUP(Tableau119[[#This Row],[Key(ID-date)]],'DATA BTO'!S:S,'DATA BTO'!I:I,FALSE)</f>
        <v>0</v>
      </c>
      <c r="AH309" s="3" t="b">
        <f>_xlfn.XLOOKUP(Tableau119[[#This Row],[Key(ID-date)]],'DATA BTO'!S:S,'DATA BTO'!J:J,FALSE)</f>
        <v>0</v>
      </c>
      <c r="AI309" s="3" t="b">
        <f>_xlfn.XLOOKUP(Tableau119[[#This Row],[Key(ID-date)]],'DATA BTO'!S:S,'DATA BTO'!K:K,FALSE)</f>
        <v>0</v>
      </c>
      <c r="AJ309" s="50" t="b">
        <f>_xlfn.XLOOKUP(Tableau119[[#This Row],[Key(ID-date)]],'DATA BTO'!S:S,'DATA BTO'!L:L,FALSE)</f>
        <v>0</v>
      </c>
      <c r="AK309" s="53" t="b">
        <f>_xlfn.XLOOKUP(Tableau119[[#This Row],[Key(ID-date)]],'DATA BTO'!S:S,'DATA BTO'!N:N,FALSE)</f>
        <v>0</v>
      </c>
      <c r="AL309" s="54" t="e">
        <f>VLOOKUP(Tableau119[[#This Row],[Key(POD -PFI- Usine)]],'DATA Consignee'!A:F,6,FALSE)</f>
        <v>#N/A</v>
      </c>
      <c r="AM309" s="284"/>
      <c r="AN309" s="376" t="str">
        <f>IF(Tableau119[[#This Row],[Name PFI/CDD]]="","-",VLOOKUP(Tableau119[[#This Row],[Name PFI/CDD]],Plant_AILN!I:J,2,FALSE))</f>
        <v>-</v>
      </c>
      <c r="AO30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0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09" s="2" t="e">
        <f>VLOOKUP(Tableau119[[#This Row],[Key(POD -PFI- Usine)]],'DATA Consignee'!A:J,10,FALSE)</f>
        <v>#N/A</v>
      </c>
      <c r="AR309" s="50" t="e">
        <f>VLOOKUP(Tableau119[[#This Row],[Key(POD -PFI- Usine)]],'DATA Consignee'!A:N,14,FALSE)</f>
        <v>#N/A</v>
      </c>
      <c r="AS3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09" s="50">
        <f>Tableau119[[#This Row],[Transit time]]+Tableau119[[#This Row],[Time for security]]+Tableau119[[#This Row],[Time for security2 buffer]]</f>
        <v>0</v>
      </c>
      <c r="AV3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09" s="50" t="e">
        <f>Tableau119[[#This Row],[Leadtime SI2C]]+Tableau119[[#This Row],[First Receipt Days]]-Tableau119[[#This Row],[Day Customer Order]]+1</f>
        <v>#N/A</v>
      </c>
      <c r="AX309" s="119" t="e">
        <f>IF(Tableau119[[#This Row],[Name ILN]]&lt;&gt;"SFK Freight Forwarder",Tableau119[[#This Row],[Cust. Leadtime]],Tableau119[[#This Row],[Leadtime SI2C]])</f>
        <v>#N/A</v>
      </c>
      <c r="AY309" s="51" t="b">
        <f>_xlfn.XLOOKUP(Tableau119[[#This Row],[Key(ID-date)]],'DATA BTO'!S:S,'DATA BTO'!P:P,FALSE)</f>
        <v>0</v>
      </c>
      <c r="AZ309" s="338">
        <v>45788</v>
      </c>
      <c r="BA309" s="50"/>
    </row>
    <row r="310" spans="2:53">
      <c r="B310" s="446" t="str">
        <f>_xlfn.CONCAT(Tableau119[[#This Row],[Name ILN]],"-",Tableau119[[#This Row],[Name Shipper]],"-",Tableau119[[#This Row],[Name Site]])</f>
        <v>ILN Mioveni-ILN Mioveni-TANGER</v>
      </c>
      <c r="C310" s="66" t="str">
        <f>_xlfn.CONCAT(Tableau119[[#This Row],[Compte ILN]],"-",Tableau119[[#This Row],[Compte Shipper]],"-",Tableau119[[#This Row],[POL]],"-",Tableau119[[#This Row],[Compte Consignee]])</f>
        <v>28390-28390-FALSO-900383</v>
      </c>
      <c r="D310" s="66" t="str">
        <f>_xlfn.CONCAT(Tableau119[[#This Row],[Compte ILN]],"-",Tableau119[[#This Row],[Compte Shipper]],"-",Tableau119[[#This Row],[POL]])</f>
        <v>28390-28390-FALSO</v>
      </c>
      <c r="E310" s="130" t="str">
        <f>_xlfn.CONCAT(Tableau119[[#This Row],[POL]],"-",Tableau119[[#This Row],[Carrier]],"-",Tableau119[[#This Row],[POD]])</f>
        <v>FALSO-FALSO-FALSO</v>
      </c>
      <c r="F310" s="66" t="str">
        <f>_xlfn.CONCAT(Tableau119[[#This Row],[ID]],"-","Actif")</f>
        <v>112-Actif</v>
      </c>
      <c r="G310" s="66" t="str">
        <f>_xlfn.CONCAT(Tableau119[[#This Row],[POD]],"-",Tableau119[[#This Row],[Code PFI]],"-",Tableau119[[#This Row],[Compte Consignee]])</f>
        <v>FALSO---900383</v>
      </c>
      <c r="H3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MioveniFALSOTANGER</v>
      </c>
      <c r="I310" s="434" t="str">
        <f>_xlfn.CONCAT(Tableau119[[#This Row],[ID]],"-",Tableau119[[#This Row],[Expiration Date]])</f>
        <v>112-45708</v>
      </c>
      <c r="J3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Mioveni-ILN Mioveni-112-FALSO-FALSO-FALSO--45708</v>
      </c>
      <c r="K310" s="119" t="str">
        <f ca="1">IF(COUNTIF(J:J,Tableau119[[#This Row],[Plant-ILN-shipper-POL-Carrier-POD-PFI]])=1,"Non","Oui")</f>
        <v>Non</v>
      </c>
      <c r="L310" s="128" t="str">
        <f>VLOOKUP(Tableau119[[#This Row],[Name Site]],Plant_AILN!A:D,4,FALSE)</f>
        <v>MOROCCO</v>
      </c>
      <c r="M310" s="411" t="s">
        <v>180</v>
      </c>
      <c r="N310" s="454">
        <f>VLOOKUP(Tableau119[[#This Row],[Name Site]],Plant_AILN!A:C,3,FALSE)</f>
        <v>900383</v>
      </c>
      <c r="O310" s="55">
        <f>VLOOKUP(Tableau119[[#This Row],[Compte Consignee]],Order!C:D,2,FALSE)</f>
        <v>7</v>
      </c>
      <c r="P310" s="124" t="s">
        <v>168</v>
      </c>
      <c r="Q310" s="365">
        <f>VLOOKUP(Tableau119[[#This Row],[Name ILN]],Plant_AILN!F:G,2,FALSE)</f>
        <v>28390</v>
      </c>
      <c r="R310" s="50">
        <f>VLOOKUP(Tableau119[[#This Row],[Compte ILN]],'DATA ILN'!D:I,6,FALSE)</f>
        <v>9</v>
      </c>
      <c r="S310" s="50" t="e">
        <f>IFERROR(VLOOKUP(Tableau119[[#This Row],[Key(Compte ILN - shipper - POL - plant)]],'DATA ILN'!A:J,10,FALSE),VLOOKUP(Tableau119[[#This Row],[Key(Compte ILN - shipper - POL)]],'DATA ILN'!B:J,9,FALSE))</f>
        <v>#N/A</v>
      </c>
      <c r="T310" s="50" t="e">
        <f>IFERROR(VLOOKUP(Tableau119[[#This Row],[Key(Compte ILN - shipper - POL - plant)]],'DATA ILN'!A:K,11,FALSE),VLOOKUP(Tableau119[[#This Row],[Key(Compte ILN - shipper - POL)]],'DATA ILN'!B:K,10,FALSE))</f>
        <v>#N/A</v>
      </c>
      <c r="U310" s="50" t="e">
        <f>IFERROR(VLOOKUP(Tableau119[[#This Row],[Key(Compte ILN - shipper - POL - plant)]],'DATA ILN'!A:L,12,FALSE),VLOOKUP(Tableau119[[#This Row],[Key(Compte ILN - shipper - POL)]],'DATA ILN'!B:L,11,FALSE))</f>
        <v>#N/A</v>
      </c>
      <c r="V310" s="50" t="e">
        <f>Tableau119[[#This Row],[Day ILN Order]]+Tableau119[[#This Row],[Delivery time to ILN/Shipper]]-1</f>
        <v>#N/A</v>
      </c>
      <c r="W310" s="50" t="e">
        <f>IFERROR(VLOOKUP(Tableau119[[#This Row],[Key(Compte ILN - shipper - POL - plant)]],'DATA ILN'!A:N,14,FALSE),VLOOKUP(Tableau119[[#This Row],[Key(Compte ILN - shipper - POL)]],'DATA ILN'!B:N,13,FALSE))</f>
        <v>#N/A</v>
      </c>
      <c r="X310" s="50" t="e">
        <f>IFERROR(VLOOKUP(Tableau119[[#This Row],[Key(Compte ILN - shipper - POL - plant)]],'DATA ILN'!A:P,16,FALSE),VLOOKUP(Tableau119[[#This Row],[Key(Compte ILN - shipper - POL)]],'DATA ILN'!B:P,15,FALSE))</f>
        <v>#N/A</v>
      </c>
      <c r="Y310" s="284" t="s">
        <v>168</v>
      </c>
      <c r="Z310" s="430">
        <f>IFERROR(VLOOKUP(Tableau119[[#This Row],[Name Shipper]],Plant_AILN!L:M,2,FALSE),0)</f>
        <v>28390</v>
      </c>
      <c r="AA310" s="406">
        <v>112</v>
      </c>
      <c r="AB310" s="396" t="b">
        <f>_xlfn.XLOOKUP(Tableau119[[#This Row],[Key(ID-date)]],'DATA BTO'!S:S,'DATA BTO'!E:E,FALSE)</f>
        <v>0</v>
      </c>
      <c r="AC310" s="3" t="b">
        <f>_xlfn.XLOOKUP(Tableau119[[#This Row],[Key(ID-date)]],'DATA BTO'!S:S,'DATA BTO'!F:F,FALSE)</f>
        <v>0</v>
      </c>
      <c r="AD310" s="50" t="b">
        <f>_xlfn.XLOOKUP(Tableau119[[#This Row],[Key(ID-date)]],'DATA BTO'!S:S,'DATA BTO'!G:G,FALSE)</f>
        <v>0</v>
      </c>
      <c r="AE310" s="50" t="b">
        <f>_xlfn.XLOOKUP(Tableau119[[#This Row],[Key(ID-date)]],'DATA BTO'!S:S,'DATA BTO'!H:H,FALSE)</f>
        <v>0</v>
      </c>
      <c r="AF310" s="447" t="e">
        <f>IF(Tableau119[[#This Row],[First Day to POL]]&lt;=Tableau119[[#This Row],[Day Cut Off]],Tableau119[[#This Row],[Day ETD]],Tableau119[[#This Row],[Day ETD]]+7)</f>
        <v>#N/A</v>
      </c>
      <c r="AG310" s="50" t="b">
        <f>_xlfn.XLOOKUP(Tableau119[[#This Row],[Key(ID-date)]],'DATA BTO'!S:S,'DATA BTO'!I:I,FALSE)</f>
        <v>0</v>
      </c>
      <c r="AH310" s="3" t="b">
        <f>_xlfn.XLOOKUP(Tableau119[[#This Row],[Key(ID-date)]],'DATA BTO'!S:S,'DATA BTO'!J:J,FALSE)</f>
        <v>0</v>
      </c>
      <c r="AI310" s="3" t="b">
        <f>_xlfn.XLOOKUP(Tableau119[[#This Row],[Key(ID-date)]],'DATA BTO'!S:S,'DATA BTO'!K:K,FALSE)</f>
        <v>0</v>
      </c>
      <c r="AJ310" s="50" t="b">
        <f>_xlfn.XLOOKUP(Tableau119[[#This Row],[Key(ID-date)]],'DATA BTO'!S:S,'DATA BTO'!L:L,FALSE)</f>
        <v>0</v>
      </c>
      <c r="AK310" s="53" t="b">
        <f>_xlfn.XLOOKUP(Tableau119[[#This Row],[Key(ID-date)]],'DATA BTO'!S:S,'DATA BTO'!N:N,FALSE)</f>
        <v>0</v>
      </c>
      <c r="AL310" s="54" t="e">
        <f>VLOOKUP(Tableau119[[#This Row],[Key(POD -PFI- Usine)]],'DATA Consignee'!A:F,6,FALSE)</f>
        <v>#N/A</v>
      </c>
      <c r="AM310" s="284"/>
      <c r="AN310" s="376" t="str">
        <f>IF(Tableau119[[#This Row],[Name PFI/CDD]]="","-",VLOOKUP(Tableau119[[#This Row],[Name PFI/CDD]],Plant_AILN!I:J,2,FALSE))</f>
        <v>-</v>
      </c>
      <c r="AO3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0" s="2" t="e">
        <f>VLOOKUP(Tableau119[[#This Row],[Key(POD -PFI- Usine)]],'DATA Consignee'!A:J,10,FALSE)</f>
        <v>#N/A</v>
      </c>
      <c r="AR310" s="50" t="e">
        <f>VLOOKUP(Tableau119[[#This Row],[Key(POD -PFI- Usine)]],'DATA Consignee'!A:N,14,FALSE)</f>
        <v>#N/A</v>
      </c>
      <c r="AS3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0" s="50">
        <f>Tableau119[[#This Row],[Transit time]]+Tableau119[[#This Row],[Time for security]]+Tableau119[[#This Row],[Time for security2 buffer]]</f>
        <v>0</v>
      </c>
      <c r="AV3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0" s="50" t="e">
        <f>Tableau119[[#This Row],[Leadtime SI2C]]+Tableau119[[#This Row],[First Receipt Days]]-Tableau119[[#This Row],[Day Customer Order]]+1</f>
        <v>#N/A</v>
      </c>
      <c r="AX310" s="119" t="e">
        <f>IF(Tableau119[[#This Row],[Name ILN]]&lt;&gt;"SFK Freight Forwarder",Tableau119[[#This Row],[Cust. Leadtime]],Tableau119[[#This Row],[Leadtime SI2C]])</f>
        <v>#N/A</v>
      </c>
      <c r="AY310" s="51" t="b">
        <f>_xlfn.XLOOKUP(Tableau119[[#This Row],[Key(ID-date)]],'DATA BTO'!S:S,'DATA BTO'!P:P,FALSE)</f>
        <v>0</v>
      </c>
      <c r="AZ310" s="338">
        <v>45708</v>
      </c>
      <c r="BA310" s="50"/>
    </row>
    <row r="311" spans="2:53">
      <c r="B311" s="66" t="str">
        <f>_xlfn.CONCAT(Tableau119[[#This Row],[Name ILN]],"-",Tableau119[[#This Row],[Name Shipper]],"-",Tableau119[[#This Row],[Name Site]])</f>
        <v>ILN Mioveni-ILN Mioveni-RKM</v>
      </c>
      <c r="C311" s="66" t="str">
        <f>_xlfn.CONCAT(Tableau119[[#This Row],[Compte ILN]],"-",Tableau119[[#This Row],[Compte Shipper]],"-",Tableau119[[#This Row],[POL]],"-",Tableau119[[#This Row],[Compte Consignee]])</f>
        <v>28390-28390-FALSO-92002200</v>
      </c>
      <c r="D311" s="66" t="str">
        <f>_xlfn.CONCAT(Tableau119[[#This Row],[Compte ILN]],"-",Tableau119[[#This Row],[Compte Shipper]],"-",Tableau119[[#This Row],[POL]])</f>
        <v>28390-28390-FALSO</v>
      </c>
      <c r="E311" s="130" t="str">
        <f>_xlfn.CONCAT(Tableau119[[#This Row],[POL]],"-",Tableau119[[#This Row],[Carrier]],"-",Tableau119[[#This Row],[POD]])</f>
        <v>FALSO-FALSO-FALSO</v>
      </c>
      <c r="F311" s="66" t="str">
        <f>_xlfn.CONCAT(Tableau119[[#This Row],[ID]],"-","Actif")</f>
        <v>114-Actif</v>
      </c>
      <c r="G311" s="66" t="str">
        <f>_xlfn.CONCAT(Tableau119[[#This Row],[POD]],"-",Tableau119[[#This Row],[Code PFI]],"-",Tableau119[[#This Row],[Compte Consignee]])</f>
        <v>FALSO---92002200</v>
      </c>
      <c r="H3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MioveniFALSORKM</v>
      </c>
      <c r="I311" s="434" t="str">
        <f>_xlfn.CONCAT(Tableau119[[#This Row],[ID]],"-",Tableau119[[#This Row],[Expiration Date]])</f>
        <v>114-46142</v>
      </c>
      <c r="J3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Mioveni-ILN Mioveni-114-FALSO-FALSO-FALSO--46142</v>
      </c>
      <c r="K311" s="119" t="str">
        <f ca="1">IF(COUNTIF(J:J,Tableau119[[#This Row],[Plant-ILN-shipper-POL-Carrier-POD-PFI]])=1,"Non","Oui")</f>
        <v>Non</v>
      </c>
      <c r="L311" s="436" t="str">
        <f>VLOOKUP(Tableau119[[#This Row],[Name Site]],Plant_AILN!A:D,4,FALSE)</f>
        <v>KOREA</v>
      </c>
      <c r="M311" s="285" t="s">
        <v>145</v>
      </c>
      <c r="N311" s="454">
        <f>VLOOKUP(Tableau119[[#This Row],[Name Site]],Plant_AILN!A:C,3,FALSE)</f>
        <v>92002200</v>
      </c>
      <c r="O311" s="55">
        <f>IF(Tableau119[[#This Row],[Name PFI/CDD]]="PFI VLL",2,VLOOKUP(Tableau119[[#This Row],[Compte Consignee]],Order!C:D,2,FALSE))</f>
        <v>2</v>
      </c>
      <c r="P311" s="124" t="s">
        <v>168</v>
      </c>
      <c r="Q311" s="365">
        <f>VLOOKUP(Tableau119[[#This Row],[Name ILN]],Plant_AILN!F:G,2,FALSE)</f>
        <v>28390</v>
      </c>
      <c r="R311" s="50">
        <f>VLOOKUP(Tableau119[[#This Row],[Compte ILN]],'DATA ILN'!D:I,6,FALSE)</f>
        <v>9</v>
      </c>
      <c r="S311" s="50" t="e">
        <f>IFERROR(VLOOKUP(Tableau119[[#This Row],[Key(Compte ILN - shipper - POL - plant)]],'DATA ILN'!A:J,10,FALSE),VLOOKUP(Tableau119[[#This Row],[Key(Compte ILN - shipper - POL)]],'DATA ILN'!B:J,9,FALSE))</f>
        <v>#N/A</v>
      </c>
      <c r="T311" s="50" t="e">
        <f>IFERROR(VLOOKUP(Tableau119[[#This Row],[Key(Compte ILN - shipper - POL - plant)]],'DATA ILN'!A:K,11,FALSE),VLOOKUP(Tableau119[[#This Row],[Key(Compte ILN - shipper - POL)]],'DATA ILN'!B:K,10,FALSE))</f>
        <v>#N/A</v>
      </c>
      <c r="U311" s="50" t="e">
        <f>IFERROR(VLOOKUP(Tableau119[[#This Row],[Key(Compte ILN - shipper - POL - plant)]],'DATA ILN'!A:L,12,FALSE),VLOOKUP(Tableau119[[#This Row],[Key(Compte ILN - shipper - POL)]],'DATA ILN'!B:L,11,FALSE))</f>
        <v>#N/A</v>
      </c>
      <c r="V311" s="50" t="e">
        <f>Tableau119[[#This Row],[Day ILN Order]]+Tableau119[[#This Row],[Delivery time to ILN/Shipper]]-1</f>
        <v>#N/A</v>
      </c>
      <c r="W311" s="50" t="e">
        <f>IFERROR(VLOOKUP(Tableau119[[#This Row],[Key(Compte ILN - shipper - POL - plant)]],'DATA ILN'!A:N,14,FALSE),VLOOKUP(Tableau119[[#This Row],[Key(Compte ILN - shipper - POL)]],'DATA ILN'!B:N,13,FALSE))</f>
        <v>#N/A</v>
      </c>
      <c r="X311" s="50" t="e">
        <f>IFERROR(VLOOKUP(Tableau119[[#This Row],[Key(Compte ILN - shipper - POL - plant)]],'DATA ILN'!A:P,16,FALSE),VLOOKUP(Tableau119[[#This Row],[Key(Compte ILN - shipper - POL)]],'DATA ILN'!B:P,15,FALSE))</f>
        <v>#N/A</v>
      </c>
      <c r="Y311" s="284" t="s">
        <v>168</v>
      </c>
      <c r="Z311" s="430">
        <f>IFERROR(VLOOKUP(Tableau119[[#This Row],[Name Shipper]],Plant_AILN!L:M,2,FALSE),0)</f>
        <v>28390</v>
      </c>
      <c r="AA311" s="406">
        <v>114</v>
      </c>
      <c r="AB311" s="396" t="b">
        <f>_xlfn.XLOOKUP(Tableau119[[#This Row],[Key(ID-date)]],'DATA BTO'!S:S,'DATA BTO'!E:E,FALSE)</f>
        <v>0</v>
      </c>
      <c r="AC311" s="3" t="b">
        <f>_xlfn.XLOOKUP(Tableau119[[#This Row],[Key(ID-date)]],'DATA BTO'!S:S,'DATA BTO'!F:F,FALSE)</f>
        <v>0</v>
      </c>
      <c r="AD311" s="50" t="b">
        <f>_xlfn.XLOOKUP(Tableau119[[#This Row],[Key(ID-date)]],'DATA BTO'!S:S,'DATA BTO'!G:G,FALSE)</f>
        <v>0</v>
      </c>
      <c r="AE311" s="50" t="b">
        <f>_xlfn.XLOOKUP(Tableau119[[#This Row],[Key(ID-date)]],'DATA BTO'!S:S,'DATA BTO'!H:H,FALSE)</f>
        <v>0</v>
      </c>
      <c r="AF311" s="447" t="e">
        <f>IF(Tableau119[[#This Row],[First Day to POL]]&lt;=Tableau119[[#This Row],[Day Cut Off]],Tableau119[[#This Row],[Day ETD]],Tableau119[[#This Row],[Day ETD]]+7)</f>
        <v>#N/A</v>
      </c>
      <c r="AG311" s="50" t="b">
        <f>_xlfn.XLOOKUP(Tableau119[[#This Row],[Key(ID-date)]],'DATA BTO'!S:S,'DATA BTO'!I:I,FALSE)</f>
        <v>0</v>
      </c>
      <c r="AH311" s="3" t="b">
        <f>_xlfn.XLOOKUP(Tableau119[[#This Row],[Key(ID-date)]],'DATA BTO'!S:S,'DATA BTO'!J:J,FALSE)</f>
        <v>0</v>
      </c>
      <c r="AI311" s="3" t="b">
        <f>_xlfn.XLOOKUP(Tableau119[[#This Row],[Key(ID-date)]],'DATA BTO'!S:S,'DATA BTO'!K:K,FALSE)</f>
        <v>0</v>
      </c>
      <c r="AJ311" s="50" t="b">
        <f>_xlfn.XLOOKUP(Tableau119[[#This Row],[Key(ID-date)]],'DATA BTO'!S:S,'DATA BTO'!L:L,FALSE)</f>
        <v>0</v>
      </c>
      <c r="AK311" s="53" t="b">
        <f>_xlfn.XLOOKUP(Tableau119[[#This Row],[Key(ID-date)]],'DATA BTO'!S:S,'DATA BTO'!N:N,FALSE)</f>
        <v>0</v>
      </c>
      <c r="AL311" s="54" t="e">
        <f>VLOOKUP(Tableau119[[#This Row],[Key(POD -PFI- Usine)]],'DATA Consignee'!A:F,6,FALSE)</f>
        <v>#N/A</v>
      </c>
      <c r="AM311" s="284"/>
      <c r="AN311" s="376" t="str">
        <f>IF(Tableau119[[#This Row],[Name PFI/CDD]]="","-",VLOOKUP(Tableau119[[#This Row],[Name PFI/CDD]],Plant_AILN!I:J,2,FALSE))</f>
        <v>-</v>
      </c>
      <c r="AO3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1" s="2" t="e">
        <f>VLOOKUP(Tableau119[[#This Row],[Key(POD -PFI- Usine)]],'DATA Consignee'!A:J,10,FALSE)</f>
        <v>#N/A</v>
      </c>
      <c r="AR311" s="50" t="e">
        <f>VLOOKUP(Tableau119[[#This Row],[Key(POD -PFI- Usine)]],'DATA Consignee'!A:N,14,FALSE)</f>
        <v>#N/A</v>
      </c>
      <c r="AS3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1" s="50">
        <f>Tableau119[[#This Row],[Transit time]]+Tableau119[[#This Row],[Time for security]]+Tableau119[[#This Row],[Time for security2 buffer]]</f>
        <v>0</v>
      </c>
      <c r="AV3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1" s="50" t="e">
        <f>Tableau119[[#This Row],[Leadtime SI2C]]+Tableau119[[#This Row],[First Receipt Days]]-Tableau119[[#This Row],[Day Customer Order]]+1</f>
        <v>#N/A</v>
      </c>
      <c r="AX311" s="119" t="e">
        <f>IF(Tableau119[[#This Row],[Name ILN]]&lt;&gt;"SFK Freight Forwarder",Tableau119[[#This Row],[Cust. Leadtime]],Tableau119[[#This Row],[Leadtime SI2C]])</f>
        <v>#N/A</v>
      </c>
      <c r="AY311" s="51" t="b">
        <f>_xlfn.XLOOKUP(Tableau119[[#This Row],[Key(ID-date)]],'DATA BTO'!S:S,'DATA BTO'!P:P,FALSE)</f>
        <v>0</v>
      </c>
      <c r="AZ311" s="338">
        <v>46142</v>
      </c>
      <c r="BA311" s="50"/>
    </row>
    <row r="312" spans="2:53">
      <c r="B312" s="446" t="str">
        <f>_xlfn.CONCAT(Tableau119[[#This Row],[Name ILN]],"-",Tableau119[[#This Row],[Name Shipper]],"-",Tableau119[[#This Row],[Name Site]])</f>
        <v>ILN Mioveni-ILN Mioveni-RKM</v>
      </c>
      <c r="C312" s="66" t="str">
        <f>_xlfn.CONCAT(Tableau119[[#This Row],[Compte ILN]],"-",Tableau119[[#This Row],[Compte Shipper]],"-",Tableau119[[#This Row],[POL]],"-",Tableau119[[#This Row],[Compte Consignee]])</f>
        <v>28390-28390-FALSO-92002200</v>
      </c>
      <c r="D312" s="66" t="str">
        <f>_xlfn.CONCAT(Tableau119[[#This Row],[Compte ILN]],"-",Tableau119[[#This Row],[Compte Shipper]],"-",Tableau119[[#This Row],[POL]])</f>
        <v>28390-28390-FALSO</v>
      </c>
      <c r="E312" s="130" t="str">
        <f>_xlfn.CONCAT(Tableau119[[#This Row],[POL]],"-",Tableau119[[#This Row],[Carrier]],"-",Tableau119[[#This Row],[POD]])</f>
        <v>FALSO-FALSO-FALSO</v>
      </c>
      <c r="F312" s="66" t="str">
        <f>_xlfn.CONCAT(Tableau119[[#This Row],[ID]],"-","Actif")</f>
        <v>114-Actif</v>
      </c>
      <c r="G312" s="66" t="str">
        <f>_xlfn.CONCAT(Tableau119[[#This Row],[POD]],"-",Tableau119[[#This Row],[Code PFI]],"-",Tableau119[[#This Row],[Compte Consignee]])</f>
        <v>FALSO---92002200</v>
      </c>
      <c r="H3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MioveniFALSORKM</v>
      </c>
      <c r="I312" s="434" t="str">
        <f>_xlfn.CONCAT(Tableau119[[#This Row],[ID]],"-",Tableau119[[#This Row],[Expiration Date]])</f>
        <v>114-45777</v>
      </c>
      <c r="J3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Mioveni-ILN Mioveni-114-FALSO-FALSO-FALSO--45777</v>
      </c>
      <c r="K312" s="119" t="str">
        <f ca="1">IF(COUNTIF(J:J,Tableau119[[#This Row],[Plant-ILN-shipper-POL-Carrier-POD-PFI]])=1,"Non","Oui")</f>
        <v>Non</v>
      </c>
      <c r="L312" s="128" t="str">
        <f>VLOOKUP(Tableau119[[#This Row],[Name Site]],Plant_AILN!A:D,4,FALSE)</f>
        <v>KOREA</v>
      </c>
      <c r="M312" s="411" t="s">
        <v>145</v>
      </c>
      <c r="N312" s="454">
        <f>VLOOKUP(Tableau119[[#This Row],[Name Site]],Plant_AILN!A:C,3,FALSE)</f>
        <v>92002200</v>
      </c>
      <c r="O312" s="55">
        <f>VLOOKUP(Tableau119[[#This Row],[Compte Consignee]],Order!C:D,2,FALSE)</f>
        <v>2</v>
      </c>
      <c r="P312" s="124" t="s">
        <v>168</v>
      </c>
      <c r="Q312" s="365">
        <f>VLOOKUP(Tableau119[[#This Row],[Name ILN]],Plant_AILN!F:G,2,FALSE)</f>
        <v>28390</v>
      </c>
      <c r="R312" s="50">
        <f>VLOOKUP(Tableau119[[#This Row],[Compte ILN]],'DATA ILN'!D:I,6,FALSE)</f>
        <v>9</v>
      </c>
      <c r="S312" s="50" t="e">
        <f>IFERROR(VLOOKUP(Tableau119[[#This Row],[Key(Compte ILN - shipper - POL - plant)]],'DATA ILN'!A:J,10,FALSE),VLOOKUP(Tableau119[[#This Row],[Key(Compte ILN - shipper - POL)]],'DATA ILN'!B:J,9,FALSE))</f>
        <v>#N/A</v>
      </c>
      <c r="T312" s="50" t="e">
        <f>IFERROR(VLOOKUP(Tableau119[[#This Row],[Key(Compte ILN - shipper - POL - plant)]],'DATA ILN'!A:K,11,FALSE),VLOOKUP(Tableau119[[#This Row],[Key(Compte ILN - shipper - POL)]],'DATA ILN'!B:K,10,FALSE))</f>
        <v>#N/A</v>
      </c>
      <c r="U312" s="50" t="e">
        <f>IFERROR(VLOOKUP(Tableau119[[#This Row],[Key(Compte ILN - shipper - POL - plant)]],'DATA ILN'!A:L,12,FALSE),VLOOKUP(Tableau119[[#This Row],[Key(Compte ILN - shipper - POL)]],'DATA ILN'!B:L,11,FALSE))</f>
        <v>#N/A</v>
      </c>
      <c r="V312" s="50" t="e">
        <f>Tableau119[[#This Row],[Day ILN Order]]+Tableau119[[#This Row],[Delivery time to ILN/Shipper]]-1</f>
        <v>#N/A</v>
      </c>
      <c r="W312" s="50" t="e">
        <f>IFERROR(VLOOKUP(Tableau119[[#This Row],[Key(Compte ILN - shipper - POL - plant)]],'DATA ILN'!A:N,14,FALSE),VLOOKUP(Tableau119[[#This Row],[Key(Compte ILN - shipper - POL)]],'DATA ILN'!B:N,13,FALSE))</f>
        <v>#N/A</v>
      </c>
      <c r="X312" s="50" t="e">
        <f>IFERROR(VLOOKUP(Tableau119[[#This Row],[Key(Compte ILN - shipper - POL - plant)]],'DATA ILN'!A:P,16,FALSE),VLOOKUP(Tableau119[[#This Row],[Key(Compte ILN - shipper - POL)]],'DATA ILN'!B:P,15,FALSE))</f>
        <v>#N/A</v>
      </c>
      <c r="Y312" s="284" t="s">
        <v>168</v>
      </c>
      <c r="Z312" s="430">
        <f>IFERROR(VLOOKUP(Tableau119[[#This Row],[Name Shipper]],Plant_AILN!L:M,2,FALSE),0)</f>
        <v>28390</v>
      </c>
      <c r="AA312" s="406">
        <v>114</v>
      </c>
      <c r="AB312" s="396" t="b">
        <f>_xlfn.XLOOKUP(Tableau119[[#This Row],[Key(ID-date)]],'DATA BTO'!S:S,'DATA BTO'!E:E,FALSE)</f>
        <v>0</v>
      </c>
      <c r="AC312" s="3" t="b">
        <f>_xlfn.XLOOKUP(Tableau119[[#This Row],[Key(ID-date)]],'DATA BTO'!S:S,'DATA BTO'!F:F,FALSE)</f>
        <v>0</v>
      </c>
      <c r="AD312" s="50" t="b">
        <f>_xlfn.XLOOKUP(Tableau119[[#This Row],[Key(ID-date)]],'DATA BTO'!S:S,'DATA BTO'!G:G,FALSE)</f>
        <v>0</v>
      </c>
      <c r="AE312" s="50" t="b">
        <f>_xlfn.XLOOKUP(Tableau119[[#This Row],[Key(ID-date)]],'DATA BTO'!S:S,'DATA BTO'!H:H,FALSE)</f>
        <v>0</v>
      </c>
      <c r="AF312" s="447" t="e">
        <f>IF(Tableau119[[#This Row],[First Day to POL]]&lt;=Tableau119[[#This Row],[Day Cut Off]],Tableau119[[#This Row],[Day ETD]],Tableau119[[#This Row],[Day ETD]]+7)</f>
        <v>#N/A</v>
      </c>
      <c r="AG312" s="50" t="b">
        <f>_xlfn.XLOOKUP(Tableau119[[#This Row],[Key(ID-date)]],'DATA BTO'!S:S,'DATA BTO'!I:I,FALSE)</f>
        <v>0</v>
      </c>
      <c r="AH312" s="3" t="b">
        <f>_xlfn.XLOOKUP(Tableau119[[#This Row],[Key(ID-date)]],'DATA BTO'!S:S,'DATA BTO'!J:J,FALSE)</f>
        <v>0</v>
      </c>
      <c r="AI312" s="3" t="b">
        <f>_xlfn.XLOOKUP(Tableau119[[#This Row],[Key(ID-date)]],'DATA BTO'!S:S,'DATA BTO'!K:K,FALSE)</f>
        <v>0</v>
      </c>
      <c r="AJ312" s="50" t="b">
        <f>_xlfn.XLOOKUP(Tableau119[[#This Row],[Key(ID-date)]],'DATA BTO'!S:S,'DATA BTO'!L:L,FALSE)</f>
        <v>0</v>
      </c>
      <c r="AK312" s="53" t="b">
        <f>_xlfn.XLOOKUP(Tableau119[[#This Row],[Key(ID-date)]],'DATA BTO'!S:S,'DATA BTO'!N:N,FALSE)</f>
        <v>0</v>
      </c>
      <c r="AL312" s="54" t="e">
        <f>VLOOKUP(Tableau119[[#This Row],[Key(POD -PFI- Usine)]],'DATA Consignee'!A:F,6,FALSE)</f>
        <v>#N/A</v>
      </c>
      <c r="AM312" s="284"/>
      <c r="AN312" s="376" t="str">
        <f>IF(Tableau119[[#This Row],[Name PFI/CDD]]="","-",VLOOKUP(Tableau119[[#This Row],[Name PFI/CDD]],Plant_AILN!I:J,2,FALSE))</f>
        <v>-</v>
      </c>
      <c r="AO3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2" s="2" t="e">
        <f>VLOOKUP(Tableau119[[#This Row],[Key(POD -PFI- Usine)]],'DATA Consignee'!A:J,10,FALSE)</f>
        <v>#N/A</v>
      </c>
      <c r="AR312" s="50" t="e">
        <f>VLOOKUP(Tableau119[[#This Row],[Key(POD -PFI- Usine)]],'DATA Consignee'!A:N,14,FALSE)</f>
        <v>#N/A</v>
      </c>
      <c r="AS3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2" s="50">
        <f>Tableau119[[#This Row],[Transit time]]+Tableau119[[#This Row],[Time for security]]+Tableau119[[#This Row],[Time for security2 buffer]]</f>
        <v>0</v>
      </c>
      <c r="AV3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2" s="50" t="e">
        <f>Tableau119[[#This Row],[Leadtime SI2C]]+Tableau119[[#This Row],[First Receipt Days]]-Tableau119[[#This Row],[Day Customer Order]]+1</f>
        <v>#N/A</v>
      </c>
      <c r="AX312" s="119" t="e">
        <f>IF(Tableau119[[#This Row],[Name ILN]]&lt;&gt;"SFK Freight Forwarder",Tableau119[[#This Row],[Cust. Leadtime]],Tableau119[[#This Row],[Leadtime SI2C]])</f>
        <v>#N/A</v>
      </c>
      <c r="AY312" s="51" t="b">
        <f>_xlfn.XLOOKUP(Tableau119[[#This Row],[Key(ID-date)]],'DATA BTO'!S:S,'DATA BTO'!P:P,FALSE)</f>
        <v>0</v>
      </c>
      <c r="AZ312" s="338">
        <v>45777</v>
      </c>
      <c r="BA312" s="50"/>
    </row>
    <row r="313" spans="2:53">
      <c r="B313" s="446" t="str">
        <f>_xlfn.CONCAT(Tableau119[[#This Row],[Name ILN]],"-",Tableau119[[#This Row],[Name Shipper]],"-",Tableau119[[#This Row],[Name Site]])</f>
        <v>ILN Mioveni-ILN Mioveni-RKM</v>
      </c>
      <c r="C313" s="66" t="str">
        <f>_xlfn.CONCAT(Tableau119[[#This Row],[Compte ILN]],"-",Tableau119[[#This Row],[Compte Shipper]],"-",Tableau119[[#This Row],[POL]],"-",Tableau119[[#This Row],[Compte Consignee]])</f>
        <v>28390-28390-FALSO-92002200</v>
      </c>
      <c r="D313" s="66" t="str">
        <f>_xlfn.CONCAT(Tableau119[[#This Row],[Compte ILN]],"-",Tableau119[[#This Row],[Compte Shipper]],"-",Tableau119[[#This Row],[POL]])</f>
        <v>28390-28390-FALSO</v>
      </c>
      <c r="E313" s="130" t="str">
        <f>_xlfn.CONCAT(Tableau119[[#This Row],[POL]],"-",Tableau119[[#This Row],[Carrier]],"-",Tableau119[[#This Row],[POD]])</f>
        <v>FALSO-FALSO-FALSO</v>
      </c>
      <c r="F313" s="66" t="str">
        <f>_xlfn.CONCAT(Tableau119[[#This Row],[ID]],"-","Actif")</f>
        <v>114-Actif</v>
      </c>
      <c r="G313" s="66" t="str">
        <f>_xlfn.CONCAT(Tableau119[[#This Row],[POD]],"-",Tableau119[[#This Row],[Code PFI]],"-",Tableau119[[#This Row],[Compte Consignee]])</f>
        <v>FALSO---92002200</v>
      </c>
      <c r="H3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MioveniFALSORKM</v>
      </c>
      <c r="I313" s="434" t="str">
        <f>_xlfn.CONCAT(Tableau119[[#This Row],[ID]],"-",Tableau119[[#This Row],[Expiration Date]])</f>
        <v>114-45473</v>
      </c>
      <c r="J3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Mioveni-ILN Mioveni-114-FALSO-FALSO-FALSO--45473</v>
      </c>
      <c r="K313" s="119" t="str">
        <f ca="1">IF(COUNTIF(J:J,Tableau119[[#This Row],[Plant-ILN-shipper-POL-Carrier-POD-PFI]])=1,"Non","Oui")</f>
        <v>Non</v>
      </c>
      <c r="L313" s="128" t="str">
        <f>VLOOKUP(Tableau119[[#This Row],[Name Site]],Plant_AILN!A:D,4,FALSE)</f>
        <v>KOREA</v>
      </c>
      <c r="M313" s="411" t="s">
        <v>145</v>
      </c>
      <c r="N313" s="454">
        <f>VLOOKUP(Tableau119[[#This Row],[Name Site]],Plant_AILN!A:C,3,FALSE)</f>
        <v>92002200</v>
      </c>
      <c r="O313" s="55">
        <f>VLOOKUP(Tableau119[[#This Row],[Compte Consignee]],Order!C:D,2,FALSE)</f>
        <v>2</v>
      </c>
      <c r="P313" s="124" t="s">
        <v>168</v>
      </c>
      <c r="Q313" s="365">
        <f>VLOOKUP(Tableau119[[#This Row],[Name ILN]],Plant_AILN!F:G,2,FALSE)</f>
        <v>28390</v>
      </c>
      <c r="R313" s="50">
        <f>VLOOKUP(Tableau119[[#This Row],[Compte ILN]],'DATA ILN'!D:I,6,FALSE)</f>
        <v>9</v>
      </c>
      <c r="S313" s="50" t="e">
        <f>IFERROR(VLOOKUP(Tableau119[[#This Row],[Key(Compte ILN - shipper - POL - plant)]],'DATA ILN'!A:J,10,FALSE),VLOOKUP(Tableau119[[#This Row],[Key(Compte ILN - shipper - POL)]],'DATA ILN'!B:J,9,FALSE))</f>
        <v>#N/A</v>
      </c>
      <c r="T313" s="50" t="e">
        <f>IFERROR(VLOOKUP(Tableau119[[#This Row],[Key(Compte ILN - shipper - POL - plant)]],'DATA ILN'!A:K,11,FALSE),VLOOKUP(Tableau119[[#This Row],[Key(Compte ILN - shipper - POL)]],'DATA ILN'!B:K,10,FALSE))</f>
        <v>#N/A</v>
      </c>
      <c r="U313" s="50" t="e">
        <f>IFERROR(VLOOKUP(Tableau119[[#This Row],[Key(Compte ILN - shipper - POL - plant)]],'DATA ILN'!A:L,12,FALSE),VLOOKUP(Tableau119[[#This Row],[Key(Compte ILN - shipper - POL)]],'DATA ILN'!B:L,11,FALSE))</f>
        <v>#N/A</v>
      </c>
      <c r="V313" s="50" t="e">
        <f>Tableau119[[#This Row],[Day ILN Order]]+Tableau119[[#This Row],[Delivery time to ILN/Shipper]]-1</f>
        <v>#N/A</v>
      </c>
      <c r="W313" s="50" t="e">
        <f>IFERROR(VLOOKUP(Tableau119[[#This Row],[Key(Compte ILN - shipper - POL - plant)]],'DATA ILN'!A:N,14,FALSE),VLOOKUP(Tableau119[[#This Row],[Key(Compte ILN - shipper - POL)]],'DATA ILN'!B:N,13,FALSE))</f>
        <v>#N/A</v>
      </c>
      <c r="X313" s="50" t="e">
        <f>IFERROR(VLOOKUP(Tableau119[[#This Row],[Key(Compte ILN - shipper - POL - plant)]],'DATA ILN'!A:P,16,FALSE),VLOOKUP(Tableau119[[#This Row],[Key(Compte ILN - shipper - POL)]],'DATA ILN'!B:P,15,FALSE))</f>
        <v>#N/A</v>
      </c>
      <c r="Y313" s="284" t="s">
        <v>168</v>
      </c>
      <c r="Z313" s="430">
        <f>IFERROR(VLOOKUP(Tableau119[[#This Row],[Name Shipper]],Plant_AILN!L:M,2,FALSE),0)</f>
        <v>28390</v>
      </c>
      <c r="AA313" s="406">
        <v>114</v>
      </c>
      <c r="AB313" s="396" t="b">
        <f>_xlfn.XLOOKUP(Tableau119[[#This Row],[Key(ID-date)]],'DATA BTO'!S:S,'DATA BTO'!E:E,FALSE)</f>
        <v>0</v>
      </c>
      <c r="AC313" s="3" t="b">
        <f>_xlfn.XLOOKUP(Tableau119[[#This Row],[Key(ID-date)]],'DATA BTO'!S:S,'DATA BTO'!F:F,FALSE)</f>
        <v>0</v>
      </c>
      <c r="AD313" s="50" t="b">
        <f>_xlfn.XLOOKUP(Tableau119[[#This Row],[Key(ID-date)]],'DATA BTO'!S:S,'DATA BTO'!G:G,FALSE)</f>
        <v>0</v>
      </c>
      <c r="AE313" s="50" t="b">
        <f>_xlfn.XLOOKUP(Tableau119[[#This Row],[Key(ID-date)]],'DATA BTO'!S:S,'DATA BTO'!H:H,FALSE)</f>
        <v>0</v>
      </c>
      <c r="AF313" s="447" t="e">
        <f>IF(Tableau119[[#This Row],[First Day to POL]]&lt;=Tableau119[[#This Row],[Day Cut Off]],Tableau119[[#This Row],[Day ETD]],Tableau119[[#This Row],[Day ETD]]+7)</f>
        <v>#N/A</v>
      </c>
      <c r="AG313" s="50" t="b">
        <f>_xlfn.XLOOKUP(Tableau119[[#This Row],[Key(ID-date)]],'DATA BTO'!S:S,'DATA BTO'!I:I,FALSE)</f>
        <v>0</v>
      </c>
      <c r="AH313" s="3" t="b">
        <f>_xlfn.XLOOKUP(Tableau119[[#This Row],[Key(ID-date)]],'DATA BTO'!S:S,'DATA BTO'!J:J,FALSE)</f>
        <v>0</v>
      </c>
      <c r="AI313" s="3" t="b">
        <f>_xlfn.XLOOKUP(Tableau119[[#This Row],[Key(ID-date)]],'DATA BTO'!S:S,'DATA BTO'!K:K,FALSE)</f>
        <v>0</v>
      </c>
      <c r="AJ313" s="50" t="b">
        <f>_xlfn.XLOOKUP(Tableau119[[#This Row],[Key(ID-date)]],'DATA BTO'!S:S,'DATA BTO'!L:L,FALSE)</f>
        <v>0</v>
      </c>
      <c r="AK313" s="53" t="b">
        <f>_xlfn.XLOOKUP(Tableau119[[#This Row],[Key(ID-date)]],'DATA BTO'!S:S,'DATA BTO'!N:N,FALSE)</f>
        <v>0</v>
      </c>
      <c r="AL313" s="54" t="e">
        <f>VLOOKUP(Tableau119[[#This Row],[Key(POD -PFI- Usine)]],'DATA Consignee'!A:F,6,FALSE)</f>
        <v>#N/A</v>
      </c>
      <c r="AM313" s="284"/>
      <c r="AN313" s="376" t="str">
        <f>IF(Tableau119[[#This Row],[Name PFI/CDD]]="","-",VLOOKUP(Tableau119[[#This Row],[Name PFI/CDD]],Plant_AILN!I:J,2,FALSE))</f>
        <v>-</v>
      </c>
      <c r="AO3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3" s="2" t="e">
        <f>VLOOKUP(Tableau119[[#This Row],[Key(POD -PFI- Usine)]],'DATA Consignee'!A:J,10,FALSE)</f>
        <v>#N/A</v>
      </c>
      <c r="AR313" s="50" t="e">
        <f>VLOOKUP(Tableau119[[#This Row],[Key(POD -PFI- Usine)]],'DATA Consignee'!A:N,14,FALSE)</f>
        <v>#N/A</v>
      </c>
      <c r="AS3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3" s="50">
        <f>Tableau119[[#This Row],[Transit time]]+Tableau119[[#This Row],[Time for security]]+Tableau119[[#This Row],[Time for security2 buffer]]</f>
        <v>0</v>
      </c>
      <c r="AV3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3" s="50" t="e">
        <f>Tableau119[[#This Row],[Leadtime SI2C]]+Tableau119[[#This Row],[First Receipt Days]]-Tableau119[[#This Row],[Day Customer Order]]+1</f>
        <v>#N/A</v>
      </c>
      <c r="AX313" s="119" t="e">
        <f>IF(Tableau119[[#This Row],[Name ILN]]&lt;&gt;"SFK Freight Forwarder",Tableau119[[#This Row],[Cust. Leadtime]],Tableau119[[#This Row],[Leadtime SI2C]])</f>
        <v>#N/A</v>
      </c>
      <c r="AY313" s="51" t="b">
        <f>_xlfn.XLOOKUP(Tableau119[[#This Row],[Key(ID-date)]],'DATA BTO'!S:S,'DATA BTO'!P:P,FALSE)</f>
        <v>0</v>
      </c>
      <c r="AZ313" s="338">
        <v>45473</v>
      </c>
      <c r="BA313" s="50"/>
    </row>
    <row r="314" spans="2:53">
      <c r="B314" s="66" t="str">
        <f>_xlfn.CONCAT(Tableau119[[#This Row],[Name ILN]],"-",Tableau119[[#This Row],[Name Shipper]],"-",Tableau119[[#This Row],[Name Site]])</f>
        <v>ILN Mioveni-ILN Mioveni-CORDOBA</v>
      </c>
      <c r="C314" s="66" t="str">
        <f>_xlfn.CONCAT(Tableau119[[#This Row],[Compte ILN]],"-",Tableau119[[#This Row],[Compte Shipper]],"-",Tableau119[[#This Row],[POL]],"-",Tableau119[[#This Row],[Compte Consignee]])</f>
        <v>28390-28390-FALSO-90016000</v>
      </c>
      <c r="D314" s="66" t="str">
        <f>_xlfn.CONCAT(Tableau119[[#This Row],[Compte ILN]],"-",Tableau119[[#This Row],[Compte Shipper]],"-",Tableau119[[#This Row],[POL]])</f>
        <v>28390-28390-FALSO</v>
      </c>
      <c r="E314" s="130" t="str">
        <f>_xlfn.CONCAT(Tableau119[[#This Row],[POL]],"-",Tableau119[[#This Row],[Carrier]],"-",Tableau119[[#This Row],[POD]])</f>
        <v>FALSO-FALSO-FALSO</v>
      </c>
      <c r="F314" s="66" t="str">
        <f>_xlfn.CONCAT(Tableau119[[#This Row],[ID]],"-","Actif")</f>
        <v>115-Actif</v>
      </c>
      <c r="G314" s="66" t="str">
        <f>_xlfn.CONCAT(Tableau119[[#This Row],[POD]],"-",Tableau119[[#This Row],[Code PFI]],"-",Tableau119[[#This Row],[Compte Consignee]])</f>
        <v>FALSO---90016000</v>
      </c>
      <c r="H3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MioveniFALSOCORDOBA</v>
      </c>
      <c r="I314" s="434" t="str">
        <f>_xlfn.CONCAT(Tableau119[[#This Row],[ID]],"-",Tableau119[[#This Row],[Expiration Date]])</f>
        <v>115-46142</v>
      </c>
      <c r="J3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Mioveni-ILN Mioveni-115-FALSO-FALSO-FALSO--46142</v>
      </c>
      <c r="K314" s="119" t="str">
        <f ca="1">IF(COUNTIF(J:J,Tableau119[[#This Row],[Plant-ILN-shipper-POL-Carrier-POD-PFI]])=1,"Non","Oui")</f>
        <v>Non</v>
      </c>
      <c r="L314" s="436" t="str">
        <f>VLOOKUP(Tableau119[[#This Row],[Name Site]],Plant_AILN!A:D,4,FALSE)</f>
        <v>ARGENTINA</v>
      </c>
      <c r="M314" s="285" t="s">
        <v>158</v>
      </c>
      <c r="N314" s="454">
        <f>VLOOKUP(Tableau119[[#This Row],[Name Site]],Plant_AILN!A:C,3,FALSE)</f>
        <v>90016000</v>
      </c>
      <c r="O314" s="55">
        <f>IF(Tableau119[[#This Row],[Name PFI/CDD]]="PFI VLL",2,VLOOKUP(Tableau119[[#This Row],[Compte Consignee]],Order!C:D,2,FALSE))</f>
        <v>7</v>
      </c>
      <c r="P314" s="124" t="s">
        <v>168</v>
      </c>
      <c r="Q314" s="365">
        <f>VLOOKUP(Tableau119[[#This Row],[Name ILN]],Plant_AILN!F:G,2,FALSE)</f>
        <v>28390</v>
      </c>
      <c r="R314" s="50">
        <f>VLOOKUP(Tableau119[[#This Row],[Compte ILN]],'DATA ILN'!D:I,6,FALSE)</f>
        <v>9</v>
      </c>
      <c r="S314" s="50" t="e">
        <f>IFERROR(VLOOKUP(Tableau119[[#This Row],[Key(Compte ILN - shipper - POL - plant)]],'DATA ILN'!A:J,10,FALSE),VLOOKUP(Tableau119[[#This Row],[Key(Compte ILN - shipper - POL)]],'DATA ILN'!B:J,9,FALSE))</f>
        <v>#N/A</v>
      </c>
      <c r="T314" s="50" t="e">
        <f>IFERROR(VLOOKUP(Tableau119[[#This Row],[Key(Compte ILN - shipper - POL - plant)]],'DATA ILN'!A:K,11,FALSE),VLOOKUP(Tableau119[[#This Row],[Key(Compte ILN - shipper - POL)]],'DATA ILN'!B:K,10,FALSE))</f>
        <v>#N/A</v>
      </c>
      <c r="U314" s="50" t="e">
        <f>IFERROR(VLOOKUP(Tableau119[[#This Row],[Key(Compte ILN - shipper - POL - plant)]],'DATA ILN'!A:L,12,FALSE),VLOOKUP(Tableau119[[#This Row],[Key(Compte ILN - shipper - POL)]],'DATA ILN'!B:L,11,FALSE))</f>
        <v>#N/A</v>
      </c>
      <c r="V314" s="50" t="e">
        <f>Tableau119[[#This Row],[Day ILN Order]]+Tableau119[[#This Row],[Delivery time to ILN/Shipper]]-1</f>
        <v>#N/A</v>
      </c>
      <c r="W314" s="50" t="e">
        <f>IFERROR(VLOOKUP(Tableau119[[#This Row],[Key(Compte ILN - shipper - POL - plant)]],'DATA ILN'!A:N,14,FALSE),VLOOKUP(Tableau119[[#This Row],[Key(Compte ILN - shipper - POL)]],'DATA ILN'!B:N,13,FALSE))</f>
        <v>#N/A</v>
      </c>
      <c r="X314" s="50" t="e">
        <f>IFERROR(VLOOKUP(Tableau119[[#This Row],[Key(Compte ILN - shipper - POL - plant)]],'DATA ILN'!A:P,16,FALSE),VLOOKUP(Tableau119[[#This Row],[Key(Compte ILN - shipper - POL)]],'DATA ILN'!B:P,15,FALSE))</f>
        <v>#N/A</v>
      </c>
      <c r="Y314" s="284" t="s">
        <v>168</v>
      </c>
      <c r="Z314" s="430">
        <f>IFERROR(VLOOKUP(Tableau119[[#This Row],[Name Shipper]],Plant_AILN!L:M,2,FALSE),0)</f>
        <v>28390</v>
      </c>
      <c r="AA314" s="406">
        <v>115</v>
      </c>
      <c r="AB314" s="396" t="b">
        <f>_xlfn.XLOOKUP(Tableau119[[#This Row],[Key(ID-date)]],'DATA BTO'!S:S,'DATA BTO'!E:E,FALSE)</f>
        <v>0</v>
      </c>
      <c r="AC314" s="3" t="b">
        <f>_xlfn.XLOOKUP(Tableau119[[#This Row],[Key(ID-date)]],'DATA BTO'!S:S,'DATA BTO'!F:F,FALSE)</f>
        <v>0</v>
      </c>
      <c r="AD314" s="50" t="b">
        <f>_xlfn.XLOOKUP(Tableau119[[#This Row],[Key(ID-date)]],'DATA BTO'!S:S,'DATA BTO'!G:G,FALSE)</f>
        <v>0</v>
      </c>
      <c r="AE314" s="50" t="b">
        <f>_xlfn.XLOOKUP(Tableau119[[#This Row],[Key(ID-date)]],'DATA BTO'!S:S,'DATA BTO'!H:H,FALSE)</f>
        <v>0</v>
      </c>
      <c r="AF314" s="447" t="e">
        <f>IF(Tableau119[[#This Row],[First Day to POL]]&lt;=Tableau119[[#This Row],[Day Cut Off]],Tableau119[[#This Row],[Day ETD]],Tableau119[[#This Row],[Day ETD]]+7)</f>
        <v>#N/A</v>
      </c>
      <c r="AG314" s="50" t="b">
        <f>_xlfn.XLOOKUP(Tableau119[[#This Row],[Key(ID-date)]],'DATA BTO'!S:S,'DATA BTO'!I:I,FALSE)</f>
        <v>0</v>
      </c>
      <c r="AH314" s="3" t="b">
        <f>_xlfn.XLOOKUP(Tableau119[[#This Row],[Key(ID-date)]],'DATA BTO'!S:S,'DATA BTO'!J:J,FALSE)</f>
        <v>0</v>
      </c>
      <c r="AI314" s="3" t="b">
        <f>_xlfn.XLOOKUP(Tableau119[[#This Row],[Key(ID-date)]],'DATA BTO'!S:S,'DATA BTO'!K:K,FALSE)</f>
        <v>0</v>
      </c>
      <c r="AJ314" s="50" t="b">
        <f>_xlfn.XLOOKUP(Tableau119[[#This Row],[Key(ID-date)]],'DATA BTO'!S:S,'DATA BTO'!L:L,FALSE)</f>
        <v>0</v>
      </c>
      <c r="AK314" s="53" t="b">
        <f>_xlfn.XLOOKUP(Tableau119[[#This Row],[Key(ID-date)]],'DATA BTO'!S:S,'DATA BTO'!N:N,FALSE)</f>
        <v>0</v>
      </c>
      <c r="AL314" s="54" t="e">
        <f>VLOOKUP(Tableau119[[#This Row],[Key(POD -PFI- Usine)]],'DATA Consignee'!A:F,6,FALSE)</f>
        <v>#N/A</v>
      </c>
      <c r="AM314" s="284"/>
      <c r="AN314" s="376" t="str">
        <f>IF(Tableau119[[#This Row],[Name PFI/CDD]]="","-",VLOOKUP(Tableau119[[#This Row],[Name PFI/CDD]],Plant_AILN!I:J,2,FALSE))</f>
        <v>-</v>
      </c>
      <c r="AO3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4" s="2" t="e">
        <f>VLOOKUP(Tableau119[[#This Row],[Key(POD -PFI- Usine)]],'DATA Consignee'!A:J,10,FALSE)</f>
        <v>#N/A</v>
      </c>
      <c r="AR314" s="50" t="e">
        <f>VLOOKUP(Tableau119[[#This Row],[Key(POD -PFI- Usine)]],'DATA Consignee'!A:N,14,FALSE)</f>
        <v>#N/A</v>
      </c>
      <c r="AS3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4" s="50">
        <f>Tableau119[[#This Row],[Transit time]]+Tableau119[[#This Row],[Time for security]]+Tableau119[[#This Row],[Time for security2 buffer]]</f>
        <v>0</v>
      </c>
      <c r="AV3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4" s="50" t="e">
        <f>Tableau119[[#This Row],[Leadtime SI2C]]+Tableau119[[#This Row],[First Receipt Days]]-Tableau119[[#This Row],[Day Customer Order]]+1</f>
        <v>#N/A</v>
      </c>
      <c r="AX314" s="119" t="e">
        <f>IF(Tableau119[[#This Row],[Name ILN]]&lt;&gt;"SFK Freight Forwarder",Tableau119[[#This Row],[Cust. Leadtime]],Tableau119[[#This Row],[Leadtime SI2C]])</f>
        <v>#N/A</v>
      </c>
      <c r="AY314" s="51" t="b">
        <f>_xlfn.XLOOKUP(Tableau119[[#This Row],[Key(ID-date)]],'DATA BTO'!S:S,'DATA BTO'!P:P,FALSE)</f>
        <v>0</v>
      </c>
      <c r="AZ314" s="338">
        <v>46142</v>
      </c>
      <c r="BA314" s="50"/>
    </row>
    <row r="315" spans="2:53">
      <c r="B315" s="446" t="str">
        <f>_xlfn.CONCAT(Tableau119[[#This Row],[Name ILN]],"-",Tableau119[[#This Row],[Name Shipper]],"-",Tableau119[[#This Row],[Name Site]])</f>
        <v>ILN Mioveni-ILN Mioveni-CORDOBA</v>
      </c>
      <c r="C315" s="66" t="str">
        <f>_xlfn.CONCAT(Tableau119[[#This Row],[Compte ILN]],"-",Tableau119[[#This Row],[Compte Shipper]],"-",Tableau119[[#This Row],[POL]],"-",Tableau119[[#This Row],[Compte Consignee]])</f>
        <v>28390-28390-FALSO-90016000</v>
      </c>
      <c r="D315" s="66" t="str">
        <f>_xlfn.CONCAT(Tableau119[[#This Row],[Compte ILN]],"-",Tableau119[[#This Row],[Compte Shipper]],"-",Tableau119[[#This Row],[POL]])</f>
        <v>28390-28390-FALSO</v>
      </c>
      <c r="E315" s="130" t="str">
        <f>_xlfn.CONCAT(Tableau119[[#This Row],[POL]],"-",Tableau119[[#This Row],[Carrier]],"-",Tableau119[[#This Row],[POD]])</f>
        <v>FALSO-FALSO-FALSO</v>
      </c>
      <c r="F315" s="66" t="str">
        <f>_xlfn.CONCAT(Tableau119[[#This Row],[ID]],"-","Actif")</f>
        <v>115-Actif</v>
      </c>
      <c r="G315" s="66" t="str">
        <f>_xlfn.CONCAT(Tableau119[[#This Row],[POD]],"-",Tableau119[[#This Row],[Code PFI]],"-",Tableau119[[#This Row],[Compte Consignee]])</f>
        <v>FALSO---90016000</v>
      </c>
      <c r="H3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MioveniFALSOCORDOBA</v>
      </c>
      <c r="I315" s="434" t="str">
        <f>_xlfn.CONCAT(Tableau119[[#This Row],[ID]],"-",Tableau119[[#This Row],[Expiration Date]])</f>
        <v>115-46011</v>
      </c>
      <c r="J3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Mioveni-ILN Mioveni-115-FALSO-FALSO-FALSO--46011</v>
      </c>
      <c r="K315" s="119" t="str">
        <f ca="1">IF(COUNTIF(J:J,Tableau119[[#This Row],[Plant-ILN-shipper-POL-Carrier-POD-PFI]])=1,"Non","Oui")</f>
        <v>Non</v>
      </c>
      <c r="L315" s="128" t="str">
        <f>VLOOKUP(Tableau119[[#This Row],[Name Site]],Plant_AILN!A:D,4,FALSE)</f>
        <v>ARGENTINA</v>
      </c>
      <c r="M315" s="411" t="s">
        <v>158</v>
      </c>
      <c r="N315" s="454">
        <f>VLOOKUP(Tableau119[[#This Row],[Name Site]],Plant_AILN!A:C,3,FALSE)</f>
        <v>90016000</v>
      </c>
      <c r="O315" s="55">
        <f>VLOOKUP(Tableau119[[#This Row],[Compte Consignee]],Order!C:D,2,FALSE)</f>
        <v>7</v>
      </c>
      <c r="P315" s="124" t="s">
        <v>168</v>
      </c>
      <c r="Q315" s="365">
        <f>VLOOKUP(Tableau119[[#This Row],[Name ILN]],Plant_AILN!F:G,2,FALSE)</f>
        <v>28390</v>
      </c>
      <c r="R315" s="50">
        <f>VLOOKUP(Tableau119[[#This Row],[Compte ILN]],'DATA ILN'!D:I,6,FALSE)</f>
        <v>9</v>
      </c>
      <c r="S315" s="50" t="e">
        <f>IFERROR(VLOOKUP(Tableau119[[#This Row],[Key(Compte ILN - shipper - POL - plant)]],'DATA ILN'!A:J,10,FALSE),VLOOKUP(Tableau119[[#This Row],[Key(Compte ILN - shipper - POL)]],'DATA ILN'!B:J,9,FALSE))</f>
        <v>#N/A</v>
      </c>
      <c r="T315" s="50" t="e">
        <f>IFERROR(VLOOKUP(Tableau119[[#This Row],[Key(Compte ILN - shipper - POL - plant)]],'DATA ILN'!A:K,11,FALSE),VLOOKUP(Tableau119[[#This Row],[Key(Compte ILN - shipper - POL)]],'DATA ILN'!B:K,10,FALSE))</f>
        <v>#N/A</v>
      </c>
      <c r="U315" s="50" t="e">
        <f>IFERROR(VLOOKUP(Tableau119[[#This Row],[Key(Compte ILN - shipper - POL - plant)]],'DATA ILN'!A:L,12,FALSE),VLOOKUP(Tableau119[[#This Row],[Key(Compte ILN - shipper - POL)]],'DATA ILN'!B:L,11,FALSE))</f>
        <v>#N/A</v>
      </c>
      <c r="V315" s="50" t="e">
        <f>Tableau119[[#This Row],[Day ILN Order]]+Tableau119[[#This Row],[Delivery time to ILN/Shipper]]-1</f>
        <v>#N/A</v>
      </c>
      <c r="W315" s="50" t="e">
        <f>IFERROR(VLOOKUP(Tableau119[[#This Row],[Key(Compte ILN - shipper - POL - plant)]],'DATA ILN'!A:N,14,FALSE),VLOOKUP(Tableau119[[#This Row],[Key(Compte ILN - shipper - POL)]],'DATA ILN'!B:N,13,FALSE))</f>
        <v>#N/A</v>
      </c>
      <c r="X315" s="50" t="e">
        <f>IFERROR(VLOOKUP(Tableau119[[#This Row],[Key(Compte ILN - shipper - POL - plant)]],'DATA ILN'!A:P,16,FALSE),VLOOKUP(Tableau119[[#This Row],[Key(Compte ILN - shipper - POL)]],'DATA ILN'!B:P,15,FALSE))</f>
        <v>#N/A</v>
      </c>
      <c r="Y315" s="284" t="s">
        <v>168</v>
      </c>
      <c r="Z315" s="430">
        <f>IFERROR(VLOOKUP(Tableau119[[#This Row],[Name Shipper]],Plant_AILN!L:M,2,FALSE),0)</f>
        <v>28390</v>
      </c>
      <c r="AA315" s="406">
        <v>115</v>
      </c>
      <c r="AB315" s="396" t="b">
        <f>_xlfn.XLOOKUP(Tableau119[[#This Row],[Key(ID-date)]],'DATA BTO'!S:S,'DATA BTO'!E:E,FALSE)</f>
        <v>0</v>
      </c>
      <c r="AC315" s="3" t="b">
        <f>_xlfn.XLOOKUP(Tableau119[[#This Row],[Key(ID-date)]],'DATA BTO'!S:S,'DATA BTO'!F:F,FALSE)</f>
        <v>0</v>
      </c>
      <c r="AD315" s="50" t="b">
        <f>_xlfn.XLOOKUP(Tableau119[[#This Row],[Key(ID-date)]],'DATA BTO'!S:S,'DATA BTO'!G:G,FALSE)</f>
        <v>0</v>
      </c>
      <c r="AE315" s="50" t="b">
        <f>_xlfn.XLOOKUP(Tableau119[[#This Row],[Key(ID-date)]],'DATA BTO'!S:S,'DATA BTO'!H:H,FALSE)</f>
        <v>0</v>
      </c>
      <c r="AF315" s="447" t="e">
        <f>IF(Tableau119[[#This Row],[First Day to POL]]&lt;=Tableau119[[#This Row],[Day Cut Off]],Tableau119[[#This Row],[Day ETD]],Tableau119[[#This Row],[Day ETD]]+7)</f>
        <v>#N/A</v>
      </c>
      <c r="AG315" s="50" t="b">
        <f>_xlfn.XLOOKUP(Tableau119[[#This Row],[Key(ID-date)]],'DATA BTO'!S:S,'DATA BTO'!I:I,FALSE)</f>
        <v>0</v>
      </c>
      <c r="AH315" s="3" t="b">
        <f>_xlfn.XLOOKUP(Tableau119[[#This Row],[Key(ID-date)]],'DATA BTO'!S:S,'DATA BTO'!J:J,FALSE)</f>
        <v>0</v>
      </c>
      <c r="AI315" s="3" t="b">
        <f>_xlfn.XLOOKUP(Tableau119[[#This Row],[Key(ID-date)]],'DATA BTO'!S:S,'DATA BTO'!K:K,FALSE)</f>
        <v>0</v>
      </c>
      <c r="AJ315" s="50" t="b">
        <f>_xlfn.XLOOKUP(Tableau119[[#This Row],[Key(ID-date)]],'DATA BTO'!S:S,'DATA BTO'!L:L,FALSE)</f>
        <v>0</v>
      </c>
      <c r="AK315" s="53" t="b">
        <f>_xlfn.XLOOKUP(Tableau119[[#This Row],[Key(ID-date)]],'DATA BTO'!S:S,'DATA BTO'!N:N,FALSE)</f>
        <v>0</v>
      </c>
      <c r="AL315" s="54" t="e">
        <f>VLOOKUP(Tableau119[[#This Row],[Key(POD -PFI- Usine)]],'DATA Consignee'!A:F,6,FALSE)</f>
        <v>#N/A</v>
      </c>
      <c r="AM315" s="284"/>
      <c r="AN315" s="376" t="str">
        <f>IF(Tableau119[[#This Row],[Name PFI/CDD]]="","-",VLOOKUP(Tableau119[[#This Row],[Name PFI/CDD]],Plant_AILN!I:J,2,FALSE))</f>
        <v>-</v>
      </c>
      <c r="AO3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5" s="2" t="e">
        <f>VLOOKUP(Tableau119[[#This Row],[Key(POD -PFI- Usine)]],'DATA Consignee'!A:J,10,FALSE)</f>
        <v>#N/A</v>
      </c>
      <c r="AR315" s="50" t="e">
        <f>VLOOKUP(Tableau119[[#This Row],[Key(POD -PFI- Usine)]],'DATA Consignee'!A:N,14,FALSE)</f>
        <v>#N/A</v>
      </c>
      <c r="AS3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5" s="50">
        <f>Tableau119[[#This Row],[Transit time]]+Tableau119[[#This Row],[Time for security]]+Tableau119[[#This Row],[Time for security2 buffer]]</f>
        <v>0</v>
      </c>
      <c r="AV3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5" s="50" t="e">
        <f>Tableau119[[#This Row],[Leadtime SI2C]]+Tableau119[[#This Row],[First Receipt Days]]-Tableau119[[#This Row],[Day Customer Order]]+1</f>
        <v>#N/A</v>
      </c>
      <c r="AX315" s="119" t="e">
        <f>IF(Tableau119[[#This Row],[Name ILN]]&lt;&gt;"SFK Freight Forwarder",Tableau119[[#This Row],[Cust. Leadtime]],Tableau119[[#This Row],[Leadtime SI2C]])</f>
        <v>#N/A</v>
      </c>
      <c r="AY315" s="51" t="b">
        <f>_xlfn.XLOOKUP(Tableau119[[#This Row],[Key(ID-date)]],'DATA BTO'!S:S,'DATA BTO'!P:P,FALSE)</f>
        <v>0</v>
      </c>
      <c r="AZ315" s="338">
        <v>46011</v>
      </c>
      <c r="BA315" s="50"/>
    </row>
    <row r="316" spans="2:53">
      <c r="B316" s="446" t="str">
        <f>_xlfn.CONCAT(Tableau119[[#This Row],[Name ILN]],"-",Tableau119[[#This Row],[Name Shipper]],"-",Tableau119[[#This Row],[Name Site]])</f>
        <v>ILN Mioveni-ILN Mioveni-CORDOBA</v>
      </c>
      <c r="C316" s="66" t="str">
        <f>_xlfn.CONCAT(Tableau119[[#This Row],[Compte ILN]],"-",Tableau119[[#This Row],[Compte Shipper]],"-",Tableau119[[#This Row],[POL]],"-",Tableau119[[#This Row],[Compte Consignee]])</f>
        <v>28390-28390-FALSO-90016000</v>
      </c>
      <c r="D316" s="66" t="str">
        <f>_xlfn.CONCAT(Tableau119[[#This Row],[Compte ILN]],"-",Tableau119[[#This Row],[Compte Shipper]],"-",Tableau119[[#This Row],[POL]])</f>
        <v>28390-28390-FALSO</v>
      </c>
      <c r="E316" s="130" t="str">
        <f>_xlfn.CONCAT(Tableau119[[#This Row],[POL]],"-",Tableau119[[#This Row],[Carrier]],"-",Tableau119[[#This Row],[POD]])</f>
        <v>FALSO-FALSO-FALSO</v>
      </c>
      <c r="F316" s="66" t="str">
        <f>_xlfn.CONCAT(Tableau119[[#This Row],[ID]],"-","Actif")</f>
        <v>115-Actif</v>
      </c>
      <c r="G316" s="66" t="str">
        <f>_xlfn.CONCAT(Tableau119[[#This Row],[POD]],"-",Tableau119[[#This Row],[Code PFI]],"-",Tableau119[[#This Row],[Compte Consignee]])</f>
        <v>FALSO---90016000</v>
      </c>
      <c r="H3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MioveniFALSOCORDOBA</v>
      </c>
      <c r="I316" s="434" t="str">
        <f>_xlfn.CONCAT(Tableau119[[#This Row],[ID]],"-",Tableau119[[#This Row],[Expiration Date]])</f>
        <v>115-45777</v>
      </c>
      <c r="J3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Mioveni-ILN Mioveni-115-FALSO-FALSO-FALSO--45777</v>
      </c>
      <c r="K316" s="119" t="str">
        <f ca="1">IF(COUNTIF(J:J,Tableau119[[#This Row],[Plant-ILN-shipper-POL-Carrier-POD-PFI]])=1,"Non","Oui")</f>
        <v>Non</v>
      </c>
      <c r="L316" s="128" t="str">
        <f>VLOOKUP(Tableau119[[#This Row],[Name Site]],Plant_AILN!A:D,4,FALSE)</f>
        <v>ARGENTINA</v>
      </c>
      <c r="M316" s="411" t="s">
        <v>158</v>
      </c>
      <c r="N316" s="454">
        <f>VLOOKUP(Tableau119[[#This Row],[Name Site]],Plant_AILN!A:C,3,FALSE)</f>
        <v>90016000</v>
      </c>
      <c r="O316" s="55">
        <f>VLOOKUP(Tableau119[[#This Row],[Compte Consignee]],Order!C:D,2,FALSE)</f>
        <v>7</v>
      </c>
      <c r="P316" s="124" t="s">
        <v>168</v>
      </c>
      <c r="Q316" s="365">
        <f>VLOOKUP(Tableau119[[#This Row],[Name ILN]],Plant_AILN!F:G,2,FALSE)</f>
        <v>28390</v>
      </c>
      <c r="R316" s="50">
        <f>VLOOKUP(Tableau119[[#This Row],[Compte ILN]],'DATA ILN'!D:I,6,FALSE)</f>
        <v>9</v>
      </c>
      <c r="S316" s="50" t="e">
        <f>IFERROR(VLOOKUP(Tableau119[[#This Row],[Key(Compte ILN - shipper - POL - plant)]],'DATA ILN'!A:J,10,FALSE),VLOOKUP(Tableau119[[#This Row],[Key(Compte ILN - shipper - POL)]],'DATA ILN'!B:J,9,FALSE))</f>
        <v>#N/A</v>
      </c>
      <c r="T316" s="50" t="e">
        <f>IFERROR(VLOOKUP(Tableau119[[#This Row],[Key(Compte ILN - shipper - POL - plant)]],'DATA ILN'!A:K,11,FALSE),VLOOKUP(Tableau119[[#This Row],[Key(Compte ILN - shipper - POL)]],'DATA ILN'!B:K,10,FALSE))</f>
        <v>#N/A</v>
      </c>
      <c r="U316" s="50" t="e">
        <f>IFERROR(VLOOKUP(Tableau119[[#This Row],[Key(Compte ILN - shipper - POL - plant)]],'DATA ILN'!A:L,12,FALSE),VLOOKUP(Tableau119[[#This Row],[Key(Compte ILN - shipper - POL)]],'DATA ILN'!B:L,11,FALSE))</f>
        <v>#N/A</v>
      </c>
      <c r="V316" s="50" t="e">
        <f>Tableau119[[#This Row],[Day ILN Order]]+Tableau119[[#This Row],[Delivery time to ILN/Shipper]]-1</f>
        <v>#N/A</v>
      </c>
      <c r="W316" s="50" t="e">
        <f>IFERROR(VLOOKUP(Tableau119[[#This Row],[Key(Compte ILN - shipper - POL - plant)]],'DATA ILN'!A:N,14,FALSE),VLOOKUP(Tableau119[[#This Row],[Key(Compte ILN - shipper - POL)]],'DATA ILN'!B:N,13,FALSE))</f>
        <v>#N/A</v>
      </c>
      <c r="X316" s="50" t="e">
        <f>IFERROR(VLOOKUP(Tableau119[[#This Row],[Key(Compte ILN - shipper - POL - plant)]],'DATA ILN'!A:P,16,FALSE),VLOOKUP(Tableau119[[#This Row],[Key(Compte ILN - shipper - POL)]],'DATA ILN'!B:P,15,FALSE))</f>
        <v>#N/A</v>
      </c>
      <c r="Y316" s="284" t="s">
        <v>168</v>
      </c>
      <c r="Z316" s="430">
        <f>IFERROR(VLOOKUP(Tableau119[[#This Row],[Name Shipper]],Plant_AILN!L:M,2,FALSE),0)</f>
        <v>28390</v>
      </c>
      <c r="AA316" s="406">
        <v>115</v>
      </c>
      <c r="AB316" s="396" t="b">
        <f>_xlfn.XLOOKUP(Tableau119[[#This Row],[Key(ID-date)]],'DATA BTO'!S:S,'DATA BTO'!E:E,FALSE)</f>
        <v>0</v>
      </c>
      <c r="AC316" s="3" t="b">
        <f>_xlfn.XLOOKUP(Tableau119[[#This Row],[Key(ID-date)]],'DATA BTO'!S:S,'DATA BTO'!F:F,FALSE)</f>
        <v>0</v>
      </c>
      <c r="AD316" s="50" t="b">
        <f>_xlfn.XLOOKUP(Tableau119[[#This Row],[Key(ID-date)]],'DATA BTO'!S:S,'DATA BTO'!G:G,FALSE)</f>
        <v>0</v>
      </c>
      <c r="AE316" s="50" t="b">
        <f>_xlfn.XLOOKUP(Tableau119[[#This Row],[Key(ID-date)]],'DATA BTO'!S:S,'DATA BTO'!H:H,FALSE)</f>
        <v>0</v>
      </c>
      <c r="AF316" s="447" t="e">
        <f>IF(Tableau119[[#This Row],[First Day to POL]]&lt;=Tableau119[[#This Row],[Day Cut Off]],Tableau119[[#This Row],[Day ETD]],Tableau119[[#This Row],[Day ETD]]+7)</f>
        <v>#N/A</v>
      </c>
      <c r="AG316" s="50" t="b">
        <f>_xlfn.XLOOKUP(Tableau119[[#This Row],[Key(ID-date)]],'DATA BTO'!S:S,'DATA BTO'!I:I,FALSE)</f>
        <v>0</v>
      </c>
      <c r="AH316" s="3" t="b">
        <f>_xlfn.XLOOKUP(Tableau119[[#This Row],[Key(ID-date)]],'DATA BTO'!S:S,'DATA BTO'!J:J,FALSE)</f>
        <v>0</v>
      </c>
      <c r="AI316" s="3" t="b">
        <f>_xlfn.XLOOKUP(Tableau119[[#This Row],[Key(ID-date)]],'DATA BTO'!S:S,'DATA BTO'!K:K,FALSE)</f>
        <v>0</v>
      </c>
      <c r="AJ316" s="50" t="b">
        <f>_xlfn.XLOOKUP(Tableau119[[#This Row],[Key(ID-date)]],'DATA BTO'!S:S,'DATA BTO'!L:L,FALSE)</f>
        <v>0</v>
      </c>
      <c r="AK316" s="53" t="b">
        <f>_xlfn.XLOOKUP(Tableau119[[#This Row],[Key(ID-date)]],'DATA BTO'!S:S,'DATA BTO'!N:N,FALSE)</f>
        <v>0</v>
      </c>
      <c r="AL316" s="54" t="e">
        <f>VLOOKUP(Tableau119[[#This Row],[Key(POD -PFI- Usine)]],'DATA Consignee'!A:F,6,FALSE)</f>
        <v>#N/A</v>
      </c>
      <c r="AM316" s="284"/>
      <c r="AN316" s="376" t="str">
        <f>IF(Tableau119[[#This Row],[Name PFI/CDD]]="","-",VLOOKUP(Tableau119[[#This Row],[Name PFI/CDD]],Plant_AILN!I:J,2,FALSE))</f>
        <v>-</v>
      </c>
      <c r="AO3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6" s="2" t="e">
        <f>VLOOKUP(Tableau119[[#This Row],[Key(POD -PFI- Usine)]],'DATA Consignee'!A:J,10,FALSE)</f>
        <v>#N/A</v>
      </c>
      <c r="AR316" s="50" t="e">
        <f>VLOOKUP(Tableau119[[#This Row],[Key(POD -PFI- Usine)]],'DATA Consignee'!A:N,14,FALSE)</f>
        <v>#N/A</v>
      </c>
      <c r="AS3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6" s="50">
        <f>Tableau119[[#This Row],[Transit time]]+Tableau119[[#This Row],[Time for security]]+Tableau119[[#This Row],[Time for security2 buffer]]</f>
        <v>0</v>
      </c>
      <c r="AV3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6" s="50" t="e">
        <f>Tableau119[[#This Row],[Leadtime SI2C]]+Tableau119[[#This Row],[First Receipt Days]]-Tableau119[[#This Row],[Day Customer Order]]+1</f>
        <v>#N/A</v>
      </c>
      <c r="AX316" s="119" t="e">
        <f>IF(Tableau119[[#This Row],[Name ILN]]&lt;&gt;"SFK Freight Forwarder",Tableau119[[#This Row],[Cust. Leadtime]],Tableau119[[#This Row],[Leadtime SI2C]])</f>
        <v>#N/A</v>
      </c>
      <c r="AY316" s="51" t="b">
        <f>_xlfn.XLOOKUP(Tableau119[[#This Row],[Key(ID-date)]],'DATA BTO'!S:S,'DATA BTO'!P:P,FALSE)</f>
        <v>0</v>
      </c>
      <c r="AZ316" s="338">
        <v>45777</v>
      </c>
      <c r="BA316" s="50"/>
    </row>
    <row r="317" spans="2:53">
      <c r="B317" s="446" t="str">
        <f>_xlfn.CONCAT(Tableau119[[#This Row],[Name ILN]],"-",Tableau119[[#This Row],[Name Shipper]],"-",Tableau119[[#This Row],[Name Site]])</f>
        <v>ILN Mioveni-ILN Mioveni-CORDOBA</v>
      </c>
      <c r="C317" s="66" t="str">
        <f>_xlfn.CONCAT(Tableau119[[#This Row],[Compte ILN]],"-",Tableau119[[#This Row],[Compte Shipper]],"-",Tableau119[[#This Row],[POL]],"-",Tableau119[[#This Row],[Compte Consignee]])</f>
        <v>28390-28390-FALSO-90016000</v>
      </c>
      <c r="D317" s="66" t="str">
        <f>_xlfn.CONCAT(Tableau119[[#This Row],[Compte ILN]],"-",Tableau119[[#This Row],[Compte Shipper]],"-",Tableau119[[#This Row],[POL]])</f>
        <v>28390-28390-FALSO</v>
      </c>
      <c r="E317" s="130" t="str">
        <f>_xlfn.CONCAT(Tableau119[[#This Row],[POL]],"-",Tableau119[[#This Row],[Carrier]],"-",Tableau119[[#This Row],[POD]])</f>
        <v>FALSO-FALSO-FALSO</v>
      </c>
      <c r="F317" s="66" t="str">
        <f>_xlfn.CONCAT(Tableau119[[#This Row],[ID]],"-","Actif")</f>
        <v>115-Actif</v>
      </c>
      <c r="G317" s="66" t="str">
        <f>_xlfn.CONCAT(Tableau119[[#This Row],[POD]],"-",Tableau119[[#This Row],[Code PFI]],"-",Tableau119[[#This Row],[Compte Consignee]])</f>
        <v>FALSO---90016000</v>
      </c>
      <c r="H3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MioveniFALSOCORDOBA</v>
      </c>
      <c r="I317" s="434" t="str">
        <f>_xlfn.CONCAT(Tableau119[[#This Row],[ID]],"-",Tableau119[[#This Row],[Expiration Date]])</f>
        <v>115-45473</v>
      </c>
      <c r="J3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Mioveni-ILN Mioveni-115-FALSO-FALSO-FALSO--45473</v>
      </c>
      <c r="K317" s="119" t="str">
        <f ca="1">IF(COUNTIF(J:J,Tableau119[[#This Row],[Plant-ILN-shipper-POL-Carrier-POD-PFI]])=1,"Non","Oui")</f>
        <v>Non</v>
      </c>
      <c r="L317" s="128" t="str">
        <f>VLOOKUP(Tableau119[[#This Row],[Name Site]],Plant_AILN!A:D,4,FALSE)</f>
        <v>ARGENTINA</v>
      </c>
      <c r="M317" s="411" t="s">
        <v>158</v>
      </c>
      <c r="N317" s="454">
        <f>VLOOKUP(Tableau119[[#This Row],[Name Site]],Plant_AILN!A:C,3,FALSE)</f>
        <v>90016000</v>
      </c>
      <c r="O317" s="55">
        <f>VLOOKUP(Tableau119[[#This Row],[Compte Consignee]],Order!C:D,2,FALSE)</f>
        <v>7</v>
      </c>
      <c r="P317" s="124" t="s">
        <v>168</v>
      </c>
      <c r="Q317" s="365">
        <f>VLOOKUP(Tableau119[[#This Row],[Name ILN]],Plant_AILN!F:G,2,FALSE)</f>
        <v>28390</v>
      </c>
      <c r="R317" s="50">
        <f>VLOOKUP(Tableau119[[#This Row],[Compte ILN]],'DATA ILN'!D:I,6,FALSE)</f>
        <v>9</v>
      </c>
      <c r="S317" s="50" t="e">
        <f>IFERROR(VLOOKUP(Tableau119[[#This Row],[Key(Compte ILN - shipper - POL - plant)]],'DATA ILN'!A:J,10,FALSE),VLOOKUP(Tableau119[[#This Row],[Key(Compte ILN - shipper - POL)]],'DATA ILN'!B:J,9,FALSE))</f>
        <v>#N/A</v>
      </c>
      <c r="T317" s="50" t="e">
        <f>IFERROR(VLOOKUP(Tableau119[[#This Row],[Key(Compte ILN - shipper - POL - plant)]],'DATA ILN'!A:K,11,FALSE),VLOOKUP(Tableau119[[#This Row],[Key(Compte ILN - shipper - POL)]],'DATA ILN'!B:K,10,FALSE))</f>
        <v>#N/A</v>
      </c>
      <c r="U317" s="50" t="e">
        <f>IFERROR(VLOOKUP(Tableau119[[#This Row],[Key(Compte ILN - shipper - POL - plant)]],'DATA ILN'!A:L,12,FALSE),VLOOKUP(Tableau119[[#This Row],[Key(Compte ILN - shipper - POL)]],'DATA ILN'!B:L,11,FALSE))</f>
        <v>#N/A</v>
      </c>
      <c r="V317" s="50" t="e">
        <f>Tableau119[[#This Row],[Day ILN Order]]+Tableau119[[#This Row],[Delivery time to ILN/Shipper]]-1</f>
        <v>#N/A</v>
      </c>
      <c r="W317" s="50" t="e">
        <f>IFERROR(VLOOKUP(Tableau119[[#This Row],[Key(Compte ILN - shipper - POL - plant)]],'DATA ILN'!A:N,14,FALSE),VLOOKUP(Tableau119[[#This Row],[Key(Compte ILN - shipper - POL)]],'DATA ILN'!B:N,13,FALSE))</f>
        <v>#N/A</v>
      </c>
      <c r="X317" s="50" t="e">
        <f>IFERROR(VLOOKUP(Tableau119[[#This Row],[Key(Compte ILN - shipper - POL - plant)]],'DATA ILN'!A:P,16,FALSE),VLOOKUP(Tableau119[[#This Row],[Key(Compte ILN - shipper - POL)]],'DATA ILN'!B:P,15,FALSE))</f>
        <v>#N/A</v>
      </c>
      <c r="Y317" s="284" t="s">
        <v>168</v>
      </c>
      <c r="Z317" s="430">
        <f>IFERROR(VLOOKUP(Tableau119[[#This Row],[Name Shipper]],Plant_AILN!L:M,2,FALSE),0)</f>
        <v>28390</v>
      </c>
      <c r="AA317" s="406">
        <v>115</v>
      </c>
      <c r="AB317" s="396" t="b">
        <f>_xlfn.XLOOKUP(Tableau119[[#This Row],[Key(ID-date)]],'DATA BTO'!S:S,'DATA BTO'!E:E,FALSE)</f>
        <v>0</v>
      </c>
      <c r="AC317" s="3" t="b">
        <f>_xlfn.XLOOKUP(Tableau119[[#This Row],[Key(ID-date)]],'DATA BTO'!S:S,'DATA BTO'!F:F,FALSE)</f>
        <v>0</v>
      </c>
      <c r="AD317" s="50" t="b">
        <f>_xlfn.XLOOKUP(Tableau119[[#This Row],[Key(ID-date)]],'DATA BTO'!S:S,'DATA BTO'!G:G,FALSE)</f>
        <v>0</v>
      </c>
      <c r="AE317" s="50" t="b">
        <f>_xlfn.XLOOKUP(Tableau119[[#This Row],[Key(ID-date)]],'DATA BTO'!S:S,'DATA BTO'!H:H,FALSE)</f>
        <v>0</v>
      </c>
      <c r="AF317" s="447" t="e">
        <f>IF(Tableau119[[#This Row],[First Day to POL]]&lt;=Tableau119[[#This Row],[Day Cut Off]],Tableau119[[#This Row],[Day ETD]],Tableau119[[#This Row],[Day ETD]]+7)</f>
        <v>#N/A</v>
      </c>
      <c r="AG317" s="50" t="b">
        <f>_xlfn.XLOOKUP(Tableau119[[#This Row],[Key(ID-date)]],'DATA BTO'!S:S,'DATA BTO'!I:I,FALSE)</f>
        <v>0</v>
      </c>
      <c r="AH317" s="3" t="b">
        <f>_xlfn.XLOOKUP(Tableau119[[#This Row],[Key(ID-date)]],'DATA BTO'!S:S,'DATA BTO'!J:J,FALSE)</f>
        <v>0</v>
      </c>
      <c r="AI317" s="3" t="b">
        <f>_xlfn.XLOOKUP(Tableau119[[#This Row],[Key(ID-date)]],'DATA BTO'!S:S,'DATA BTO'!K:K,FALSE)</f>
        <v>0</v>
      </c>
      <c r="AJ317" s="50" t="b">
        <f>_xlfn.XLOOKUP(Tableau119[[#This Row],[Key(ID-date)]],'DATA BTO'!S:S,'DATA BTO'!L:L,FALSE)</f>
        <v>0</v>
      </c>
      <c r="AK317" s="53" t="b">
        <f>_xlfn.XLOOKUP(Tableau119[[#This Row],[Key(ID-date)]],'DATA BTO'!S:S,'DATA BTO'!N:N,FALSE)</f>
        <v>0</v>
      </c>
      <c r="AL317" s="54" t="e">
        <f>VLOOKUP(Tableau119[[#This Row],[Key(POD -PFI- Usine)]],'DATA Consignee'!A:F,6,FALSE)</f>
        <v>#N/A</v>
      </c>
      <c r="AM317" s="284"/>
      <c r="AN317" s="376" t="str">
        <f>IF(Tableau119[[#This Row],[Name PFI/CDD]]="","-",VLOOKUP(Tableau119[[#This Row],[Name PFI/CDD]],Plant_AILN!I:J,2,FALSE))</f>
        <v>-</v>
      </c>
      <c r="AO3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7" s="2" t="e">
        <f>VLOOKUP(Tableau119[[#This Row],[Key(POD -PFI- Usine)]],'DATA Consignee'!A:J,10,FALSE)</f>
        <v>#N/A</v>
      </c>
      <c r="AR317" s="50" t="e">
        <f>VLOOKUP(Tableau119[[#This Row],[Key(POD -PFI- Usine)]],'DATA Consignee'!A:N,14,FALSE)</f>
        <v>#N/A</v>
      </c>
      <c r="AS3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7" s="50">
        <f>Tableau119[[#This Row],[Transit time]]+Tableau119[[#This Row],[Time for security]]+Tableau119[[#This Row],[Time for security2 buffer]]</f>
        <v>0</v>
      </c>
      <c r="AV3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7" s="50" t="e">
        <f>Tableau119[[#This Row],[Leadtime SI2C]]+Tableau119[[#This Row],[First Receipt Days]]-Tableau119[[#This Row],[Day Customer Order]]+1</f>
        <v>#N/A</v>
      </c>
      <c r="AX317" s="119" t="e">
        <f>IF(Tableau119[[#This Row],[Name ILN]]&lt;&gt;"SFK Freight Forwarder",Tableau119[[#This Row],[Cust. Leadtime]],Tableau119[[#This Row],[Leadtime SI2C]])</f>
        <v>#N/A</v>
      </c>
      <c r="AY317" s="51" t="b">
        <f>_xlfn.XLOOKUP(Tableau119[[#This Row],[Key(ID-date)]],'DATA BTO'!S:S,'DATA BTO'!P:P,FALSE)</f>
        <v>0</v>
      </c>
      <c r="AZ317" s="338">
        <v>45473</v>
      </c>
      <c r="BA317" s="50"/>
    </row>
    <row r="318" spans="2:53">
      <c r="B318" s="446" t="str">
        <f>_xlfn.CONCAT(Tableau119[[#This Row],[Name ILN]],"-",Tableau119[[#This Row],[Name Shipper]],"-",Tableau119[[#This Row],[Name Site]])</f>
        <v>ILN Mioveni-ILN Mioveni-CORDOBA</v>
      </c>
      <c r="C318" s="66" t="str">
        <f>_xlfn.CONCAT(Tableau119[[#This Row],[Compte ILN]],"-",Tableau119[[#This Row],[Compte Shipper]],"-",Tableau119[[#This Row],[POL]],"-",Tableau119[[#This Row],[Compte Consignee]])</f>
        <v>28390-28390-FALSO-90016000</v>
      </c>
      <c r="D318" s="66" t="str">
        <f>_xlfn.CONCAT(Tableau119[[#This Row],[Compte ILN]],"-",Tableau119[[#This Row],[Compte Shipper]],"-",Tableau119[[#This Row],[POL]])</f>
        <v>28390-28390-FALSO</v>
      </c>
      <c r="E318" s="130" t="str">
        <f>_xlfn.CONCAT(Tableau119[[#This Row],[POL]],"-",Tableau119[[#This Row],[Carrier]],"-",Tableau119[[#This Row],[POD]])</f>
        <v>FALSO-FALSO-FALSO</v>
      </c>
      <c r="F318" s="66" t="str">
        <f>_xlfn.CONCAT(Tableau119[[#This Row],[ID]],"-","Actif")</f>
        <v>115-Actif</v>
      </c>
      <c r="G318" s="66" t="str">
        <f>_xlfn.CONCAT(Tableau119[[#This Row],[POD]],"-",Tableau119[[#This Row],[Code PFI]],"-",Tableau119[[#This Row],[Compte Consignee]])</f>
        <v>FALSO---90016000</v>
      </c>
      <c r="H3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MioveniFALSOCORDOBA</v>
      </c>
      <c r="I318" s="434" t="str">
        <f>_xlfn.CONCAT(Tableau119[[#This Row],[ID]],"-",Tableau119[[#This Row],[Expiration Date]])</f>
        <v>115-45392</v>
      </c>
      <c r="J3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Mioveni-ILN Mioveni-115-FALSO-FALSO-FALSO--45392</v>
      </c>
      <c r="K318" s="119" t="str">
        <f ca="1">IF(COUNTIF(J:J,Tableau119[[#This Row],[Plant-ILN-shipper-POL-Carrier-POD-PFI]])=1,"Non","Oui")</f>
        <v>Non</v>
      </c>
      <c r="L318" s="128" t="str">
        <f>VLOOKUP(Tableau119[[#This Row],[Name Site]],Plant_AILN!A:D,4,FALSE)</f>
        <v>ARGENTINA</v>
      </c>
      <c r="M318" s="411" t="s">
        <v>158</v>
      </c>
      <c r="N318" s="454">
        <f>VLOOKUP(Tableau119[[#This Row],[Name Site]],Plant_AILN!A:C,3,FALSE)</f>
        <v>90016000</v>
      </c>
      <c r="O318" s="55">
        <f>VLOOKUP(Tableau119[[#This Row],[Compte Consignee]],Order!C:D,2,FALSE)</f>
        <v>7</v>
      </c>
      <c r="P318" s="124" t="s">
        <v>168</v>
      </c>
      <c r="Q318" s="365">
        <f>VLOOKUP(Tableau119[[#This Row],[Name ILN]],Plant_AILN!F:G,2,FALSE)</f>
        <v>28390</v>
      </c>
      <c r="R318" s="50">
        <f>VLOOKUP(Tableau119[[#This Row],[Compte ILN]],'DATA ILN'!D:I,6,FALSE)</f>
        <v>9</v>
      </c>
      <c r="S318" s="50" t="e">
        <f>IFERROR(VLOOKUP(Tableau119[[#This Row],[Key(Compte ILN - shipper - POL - plant)]],'DATA ILN'!A:J,10,FALSE),VLOOKUP(Tableau119[[#This Row],[Key(Compte ILN - shipper - POL)]],'DATA ILN'!B:J,9,FALSE))</f>
        <v>#N/A</v>
      </c>
      <c r="T318" s="50" t="e">
        <f>IFERROR(VLOOKUP(Tableau119[[#This Row],[Key(Compte ILN - shipper - POL - plant)]],'DATA ILN'!A:K,11,FALSE),VLOOKUP(Tableau119[[#This Row],[Key(Compte ILN - shipper - POL)]],'DATA ILN'!B:K,10,FALSE))</f>
        <v>#N/A</v>
      </c>
      <c r="U318" s="50" t="e">
        <f>IFERROR(VLOOKUP(Tableau119[[#This Row],[Key(Compte ILN - shipper - POL - plant)]],'DATA ILN'!A:L,12,FALSE),VLOOKUP(Tableau119[[#This Row],[Key(Compte ILN - shipper - POL)]],'DATA ILN'!B:L,11,FALSE))</f>
        <v>#N/A</v>
      </c>
      <c r="V318" s="50" t="e">
        <f>Tableau119[[#This Row],[Day ILN Order]]+Tableau119[[#This Row],[Delivery time to ILN/Shipper]]-1</f>
        <v>#N/A</v>
      </c>
      <c r="W318" s="50" t="e">
        <f>IFERROR(VLOOKUP(Tableau119[[#This Row],[Key(Compte ILN - shipper - POL - plant)]],'DATA ILN'!A:N,14,FALSE),VLOOKUP(Tableau119[[#This Row],[Key(Compte ILN - shipper - POL)]],'DATA ILN'!B:N,13,FALSE))</f>
        <v>#N/A</v>
      </c>
      <c r="X318" s="50" t="e">
        <f>IFERROR(VLOOKUP(Tableau119[[#This Row],[Key(Compte ILN - shipper - POL - plant)]],'DATA ILN'!A:P,16,FALSE),VLOOKUP(Tableau119[[#This Row],[Key(Compte ILN - shipper - POL)]],'DATA ILN'!B:P,15,FALSE))</f>
        <v>#N/A</v>
      </c>
      <c r="Y318" s="284" t="s">
        <v>168</v>
      </c>
      <c r="Z318" s="430">
        <f>IFERROR(VLOOKUP(Tableau119[[#This Row],[Name Shipper]],Plant_AILN!L:M,2,FALSE),0)</f>
        <v>28390</v>
      </c>
      <c r="AA318" s="406">
        <v>115</v>
      </c>
      <c r="AB318" s="396" t="b">
        <f>_xlfn.XLOOKUP(Tableau119[[#This Row],[Key(ID-date)]],'DATA BTO'!S:S,'DATA BTO'!E:E,FALSE)</f>
        <v>0</v>
      </c>
      <c r="AC318" s="3" t="b">
        <f>_xlfn.XLOOKUP(Tableau119[[#This Row],[Key(ID-date)]],'DATA BTO'!S:S,'DATA BTO'!F:F,FALSE)</f>
        <v>0</v>
      </c>
      <c r="AD318" s="50" t="b">
        <f>_xlfn.XLOOKUP(Tableau119[[#This Row],[Key(ID-date)]],'DATA BTO'!S:S,'DATA BTO'!G:G,FALSE)</f>
        <v>0</v>
      </c>
      <c r="AE318" s="50" t="b">
        <f>_xlfn.XLOOKUP(Tableau119[[#This Row],[Key(ID-date)]],'DATA BTO'!S:S,'DATA BTO'!H:H,FALSE)</f>
        <v>0</v>
      </c>
      <c r="AF318" s="447" t="e">
        <f>IF(Tableau119[[#This Row],[First Day to POL]]&lt;=Tableau119[[#This Row],[Day Cut Off]],Tableau119[[#This Row],[Day ETD]],Tableau119[[#This Row],[Day ETD]]+7)</f>
        <v>#N/A</v>
      </c>
      <c r="AG318" s="50" t="b">
        <f>_xlfn.XLOOKUP(Tableau119[[#This Row],[Key(ID-date)]],'DATA BTO'!S:S,'DATA BTO'!I:I,FALSE)</f>
        <v>0</v>
      </c>
      <c r="AH318" s="3" t="b">
        <f>_xlfn.XLOOKUP(Tableau119[[#This Row],[Key(ID-date)]],'DATA BTO'!S:S,'DATA BTO'!J:J,FALSE)</f>
        <v>0</v>
      </c>
      <c r="AI318" s="3" t="b">
        <f>_xlfn.XLOOKUP(Tableau119[[#This Row],[Key(ID-date)]],'DATA BTO'!S:S,'DATA BTO'!K:K,FALSE)</f>
        <v>0</v>
      </c>
      <c r="AJ318" s="50" t="b">
        <f>_xlfn.XLOOKUP(Tableau119[[#This Row],[Key(ID-date)]],'DATA BTO'!S:S,'DATA BTO'!L:L,FALSE)</f>
        <v>0</v>
      </c>
      <c r="AK318" s="53" t="b">
        <f>_xlfn.XLOOKUP(Tableau119[[#This Row],[Key(ID-date)]],'DATA BTO'!S:S,'DATA BTO'!N:N,FALSE)</f>
        <v>0</v>
      </c>
      <c r="AL318" s="54" t="e">
        <f>VLOOKUP(Tableau119[[#This Row],[Key(POD -PFI- Usine)]],'DATA Consignee'!A:F,6,FALSE)</f>
        <v>#N/A</v>
      </c>
      <c r="AM318" s="284"/>
      <c r="AN318" s="376" t="str">
        <f>IF(Tableau119[[#This Row],[Name PFI/CDD]]="","-",VLOOKUP(Tableau119[[#This Row],[Name PFI/CDD]],Plant_AILN!I:J,2,FALSE))</f>
        <v>-</v>
      </c>
      <c r="AO3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8" s="2" t="e">
        <f>VLOOKUP(Tableau119[[#This Row],[Key(POD -PFI- Usine)]],'DATA Consignee'!A:J,10,FALSE)</f>
        <v>#N/A</v>
      </c>
      <c r="AR318" s="50" t="e">
        <f>VLOOKUP(Tableau119[[#This Row],[Key(POD -PFI- Usine)]],'DATA Consignee'!A:N,14,FALSE)</f>
        <v>#N/A</v>
      </c>
      <c r="AS31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1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18" s="50">
        <f>Tableau119[[#This Row],[Transit time]]+Tableau119[[#This Row],[Time for security]]+Tableau119[[#This Row],[Time for security2 buffer]]</f>
        <v>0</v>
      </c>
      <c r="AV3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18" s="50" t="e">
        <f>Tableau119[[#This Row],[Leadtime SI2C]]+Tableau119[[#This Row],[First Receipt Days]]-Tableau119[[#This Row],[Day Customer Order]]+1</f>
        <v>#N/A</v>
      </c>
      <c r="AX318" s="119" t="e">
        <f>IF(Tableau119[[#This Row],[Name ILN]]&lt;&gt;"SFK Freight Forwarder",Tableau119[[#This Row],[Cust. Leadtime]],Tableau119[[#This Row],[Leadtime SI2C]])</f>
        <v>#N/A</v>
      </c>
      <c r="AY318" s="51" t="b">
        <f>_xlfn.XLOOKUP(Tableau119[[#This Row],[Key(ID-date)]],'DATA BTO'!S:S,'DATA BTO'!P:P,FALSE)</f>
        <v>0</v>
      </c>
      <c r="AZ318" s="338">
        <v>45392</v>
      </c>
      <c r="BA318" s="50"/>
    </row>
    <row r="319" spans="2:53">
      <c r="B319" s="66" t="str">
        <f>_xlfn.CONCAT(Tableau119[[#This Row],[Name ILN]],"-",Tableau119[[#This Row],[Name Shipper]],"-",Tableau119[[#This Row],[Name Site]])</f>
        <v>ILN Chennai-ILN Chennai-CORMECANICA</v>
      </c>
      <c r="C319" s="66" t="str">
        <f>_xlfn.CONCAT(Tableau119[[#This Row],[Compte ILN]],"-",Tableau119[[#This Row],[Compte Shipper]],"-",Tableau119[[#This Row],[POL]],"-",Tableau119[[#This Row],[Compte Consignee]])</f>
        <v>2533780546-2533780546-INENR-90009500</v>
      </c>
      <c r="D319" s="66" t="str">
        <f>_xlfn.CONCAT(Tableau119[[#This Row],[Compte ILN]],"-",Tableau119[[#This Row],[Compte Shipper]],"-",Tableau119[[#This Row],[POL]])</f>
        <v>2533780546-2533780546-INENR</v>
      </c>
      <c r="E319" s="130" t="str">
        <f>_xlfn.CONCAT(Tableau119[[#This Row],[POL]],"-",Tableau119[[#This Row],[Carrier]],"-",Tableau119[[#This Row],[POD]])</f>
        <v>INENR-MSC-CLSAI</v>
      </c>
      <c r="F319" s="66" t="str">
        <f>_xlfn.CONCAT(Tableau119[[#This Row],[ID]],"-","Actif")</f>
        <v>120-Actif</v>
      </c>
      <c r="G319" s="66" t="str">
        <f>_xlfn.CONCAT(Tableau119[[#This Row],[POD]],"-",Tableau119[[#This Row],[Code PFI]],"-",Tableau119[[#This Row],[Compte Consignee]])</f>
        <v>CLSAI---90009500</v>
      </c>
      <c r="H3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ChennaiINENRCORMECANICA</v>
      </c>
      <c r="I319" s="434" t="str">
        <f>_xlfn.CONCAT(Tableau119[[#This Row],[ID]],"-",Tableau119[[#This Row],[Expiration Date]])</f>
        <v>120-46142</v>
      </c>
      <c r="J3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Chennai-ILN Chennai-120-INENR-MSC-CLSAI--46142</v>
      </c>
      <c r="K319" s="119" t="str">
        <f ca="1">IF(COUNTIF(J:J,Tableau119[[#This Row],[Plant-ILN-shipper-POL-Carrier-POD-PFI]])=1,"Non","Oui")</f>
        <v>Non</v>
      </c>
      <c r="L319" s="436" t="str">
        <f>VLOOKUP(Tableau119[[#This Row],[Name Site]],Plant_AILN!A:D,4,FALSE)</f>
        <v>CHILE</v>
      </c>
      <c r="M319" s="285" t="s">
        <v>142</v>
      </c>
      <c r="N319" s="454">
        <f>VLOOKUP(Tableau119[[#This Row],[Name Site]],Plant_AILN!A:C,3,FALSE)</f>
        <v>90009500</v>
      </c>
      <c r="O319" s="55">
        <f>IF(Tableau119[[#This Row],[Name PFI/CDD]]="PFI VLL",2,VLOOKUP(Tableau119[[#This Row],[Compte Consignee]],Order!C:D,2,FALSE))</f>
        <v>7</v>
      </c>
      <c r="P319" s="124" t="s">
        <v>149</v>
      </c>
      <c r="Q319" s="365">
        <f>VLOOKUP(Tableau119[[#This Row],[Name ILN]],Plant_AILN!F:G,2,FALSE)</f>
        <v>2533780546</v>
      </c>
      <c r="R319" s="50">
        <f>VLOOKUP(Tableau119[[#This Row],[Compte ILN]],'DATA ILN'!D:I,6,FALSE)</f>
        <v>9</v>
      </c>
      <c r="S319" s="50">
        <f>IFERROR(VLOOKUP(Tableau119[[#This Row],[Key(Compte ILN - shipper - POL - plant)]],'DATA ILN'!A:J,10,FALSE),VLOOKUP(Tableau119[[#This Row],[Key(Compte ILN - shipper - POL)]],'DATA ILN'!B:J,9,FALSE))</f>
        <v>14</v>
      </c>
      <c r="T319" s="50">
        <f>IFERROR(VLOOKUP(Tableau119[[#This Row],[Key(Compte ILN - shipper - POL - plant)]],'DATA ILN'!A:K,11,FALSE),VLOOKUP(Tableau119[[#This Row],[Key(Compte ILN - shipper - POL)]],'DATA ILN'!B:K,10,FALSE))</f>
        <v>5</v>
      </c>
      <c r="U319" s="50">
        <f>IFERROR(VLOOKUP(Tableau119[[#This Row],[Key(Compte ILN - shipper - POL - plant)]],'DATA ILN'!A:L,12,FALSE),VLOOKUP(Tableau119[[#This Row],[Key(Compte ILN - shipper - POL)]],'DATA ILN'!B:L,11,FALSE))</f>
        <v>7</v>
      </c>
      <c r="V319" s="50">
        <f>Tableau119[[#This Row],[Day ILN Order]]+Tableau119[[#This Row],[Delivery time to ILN/Shipper]]-1</f>
        <v>22</v>
      </c>
      <c r="W319" s="50">
        <f>IFERROR(VLOOKUP(Tableau119[[#This Row],[Key(Compte ILN - shipper - POL - plant)]],'DATA ILN'!A:N,14,FALSE),VLOOKUP(Tableau119[[#This Row],[Key(Compte ILN - shipper - POL)]],'DATA ILN'!B:N,13,FALSE))</f>
        <v>2</v>
      </c>
      <c r="X319" s="50">
        <f>IFERROR(VLOOKUP(Tableau119[[#This Row],[Key(Compte ILN - shipper - POL - plant)]],'DATA ILN'!A:P,16,FALSE),VLOOKUP(Tableau119[[#This Row],[Key(Compte ILN - shipper - POL)]],'DATA ILN'!B:P,15,FALSE))</f>
        <v>5</v>
      </c>
      <c r="Y319" s="284" t="s">
        <v>149</v>
      </c>
      <c r="Z319" s="430">
        <f>IFERROR(VLOOKUP(Tableau119[[#This Row],[Name Shipper]],Plant_AILN!L:M,2,FALSE),0)</f>
        <v>2533780546</v>
      </c>
      <c r="AA319" s="406">
        <v>120</v>
      </c>
      <c r="AB319" s="396" t="str">
        <f>_xlfn.XLOOKUP(Tableau119[[#This Row],[Key(ID-date)]],'DATA BTO'!S:S,'DATA BTO'!E:E,FALSE)</f>
        <v>INENR</v>
      </c>
      <c r="AC319" s="3" t="str">
        <f>_xlfn.XLOOKUP(Tableau119[[#This Row],[Key(ID-date)]],'DATA BTO'!S:S,'DATA BTO'!F:F,FALSE)</f>
        <v>MSC</v>
      </c>
      <c r="AD319" s="50">
        <f>_xlfn.XLOOKUP(Tableau119[[#This Row],[Key(ID-date)]],'DATA BTO'!S:S,'DATA BTO'!G:G,FALSE)</f>
        <v>5</v>
      </c>
      <c r="AE319" s="50">
        <f>_xlfn.XLOOKUP(Tableau119[[#This Row],[Key(ID-date)]],'DATA BTO'!S:S,'DATA BTO'!H:H,FALSE)</f>
        <v>7</v>
      </c>
      <c r="AF319" s="447">
        <f>IF(Tableau119[[#This Row],[First Day to POL]]&lt;=Tableau119[[#This Row],[Day Cut Off]],Tableau119[[#This Row],[Day ETD]],Tableau119[[#This Row],[Day ETD]]+7)</f>
        <v>7</v>
      </c>
      <c r="AG319" s="50">
        <f>_xlfn.XLOOKUP(Tableau119[[#This Row],[Key(ID-date)]],'DATA BTO'!S:S,'DATA BTO'!I:I,FALSE)</f>
        <v>70</v>
      </c>
      <c r="AH319" s="3" t="str">
        <f>_xlfn.XLOOKUP(Tableau119[[#This Row],[Key(ID-date)]],'DATA BTO'!S:S,'DATA BTO'!J:J,FALSE)</f>
        <v>CLSAI</v>
      </c>
      <c r="AI319" s="3">
        <f>_xlfn.XLOOKUP(Tableau119[[#This Row],[Key(ID-date)]],'DATA BTO'!S:S,'DATA BTO'!K:K,FALSE)</f>
        <v>3</v>
      </c>
      <c r="AJ319" s="50">
        <f>_xlfn.XLOOKUP(Tableau119[[#This Row],[Key(ID-date)]],'DATA BTO'!S:S,'DATA BTO'!L:L,FALSE)</f>
        <v>7</v>
      </c>
      <c r="AK319" s="53" t="str">
        <f>_xlfn.XLOOKUP(Tableau119[[#This Row],[Key(ID-date)]],'DATA BTO'!S:S,'DATA BTO'!N:N,FALSE)</f>
        <v>Marc-Aurele</v>
      </c>
      <c r="AL319" s="54">
        <f>VLOOKUP(Tableau119[[#This Row],[Key(POD -PFI- Usine)]],'DATA Consignee'!A:F,6,FALSE)</f>
        <v>2</v>
      </c>
      <c r="AM319" s="284"/>
      <c r="AN319" s="376" t="str">
        <f>IF(Tableau119[[#This Row],[Name PFI/CDD]]="","-",VLOOKUP(Tableau119[[#This Row],[Name PFI/CDD]],Plant_AILN!I:J,2,FALSE))</f>
        <v>-</v>
      </c>
      <c r="AO3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19" s="2">
        <f>VLOOKUP(Tableau119[[#This Row],[Key(POD -PFI- Usine)]],'DATA Consignee'!A:J,10,FALSE)</f>
        <v>0</v>
      </c>
      <c r="AR319" s="50">
        <f>VLOOKUP(Tableau119[[#This Row],[Key(POD -PFI- Usine)]],'DATA Consignee'!A:N,14,FALSE)</f>
        <v>2</v>
      </c>
      <c r="AS31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31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319" s="50">
        <f>Tableau119[[#This Row],[Transit time]]+Tableau119[[#This Row],[Time for security]]+Tableau119[[#This Row],[Time for security2 buffer]]</f>
        <v>80</v>
      </c>
      <c r="AV31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19" s="50">
        <f>Tableau119[[#This Row],[Leadtime SI2C]]+Tableau119[[#This Row],[First Receipt Days]]-Tableau119[[#This Row],[Day Customer Order]]+1</f>
        <v>113</v>
      </c>
      <c r="AX319" s="119">
        <f>IF(Tableau119[[#This Row],[Name ILN]]&lt;&gt;"SFK Freight Forwarder",Tableau119[[#This Row],[Cust. Leadtime]],Tableau119[[#This Row],[Leadtime SI2C]])</f>
        <v>113</v>
      </c>
      <c r="AY319" s="51" t="str">
        <f>_xlfn.XLOOKUP(Tableau119[[#This Row],[Key(ID-date)]],'DATA BTO'!S:S,'DATA BTO'!P:P,FALSE)</f>
        <v>Renault &gt; Horse BPH</v>
      </c>
      <c r="AZ319" s="338">
        <v>46142</v>
      </c>
      <c r="BA319" s="50"/>
    </row>
    <row r="320" spans="2:53">
      <c r="B320" s="446" t="str">
        <f>_xlfn.CONCAT(Tableau119[[#This Row],[Name ILN]],"-",Tableau119[[#This Row],[Name Shipper]],"-",Tableau119[[#This Row],[Name Site]])</f>
        <v>ILN Chennai-ILN Chennai-CORMECANICA</v>
      </c>
      <c r="C320" s="66" t="str">
        <f>_xlfn.CONCAT(Tableau119[[#This Row],[Compte ILN]],"-",Tableau119[[#This Row],[Compte Shipper]],"-",Tableau119[[#This Row],[POL]],"-",Tableau119[[#This Row],[Compte Consignee]])</f>
        <v>2533780546-2533780546-INENR-90009500</v>
      </c>
      <c r="D320" s="66" t="str">
        <f>_xlfn.CONCAT(Tableau119[[#This Row],[Compte ILN]],"-",Tableau119[[#This Row],[Compte Shipper]],"-",Tableau119[[#This Row],[POL]])</f>
        <v>2533780546-2533780546-INENR</v>
      </c>
      <c r="E320" s="130" t="str">
        <f>_xlfn.CONCAT(Tableau119[[#This Row],[POL]],"-",Tableau119[[#This Row],[Carrier]],"-",Tableau119[[#This Row],[POD]])</f>
        <v>INENR-MSC-CLSAI</v>
      </c>
      <c r="F320" s="66" t="str">
        <f>_xlfn.CONCAT(Tableau119[[#This Row],[ID]],"-","Actif")</f>
        <v>120-Actif</v>
      </c>
      <c r="G320" s="66" t="str">
        <f>_xlfn.CONCAT(Tableau119[[#This Row],[POD]],"-",Tableau119[[#This Row],[Code PFI]],"-",Tableau119[[#This Row],[Compte Consignee]])</f>
        <v>CLSAI---90009500</v>
      </c>
      <c r="H3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ChennaiINENRCORMECANICA</v>
      </c>
      <c r="I320" s="434" t="str">
        <f>_xlfn.CONCAT(Tableau119[[#This Row],[ID]],"-",Tableau119[[#This Row],[Expiration Date]])</f>
        <v>120-45899</v>
      </c>
      <c r="J3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Chennai-ILN Chennai-120-INENR-MSC-CLSAI--45899</v>
      </c>
      <c r="K320" s="119" t="str">
        <f ca="1">IF(COUNTIF(J:J,Tableau119[[#This Row],[Plant-ILN-shipper-POL-Carrier-POD-PFI]])=1,"Non","Oui")</f>
        <v>Non</v>
      </c>
      <c r="L320" s="128" t="str">
        <f>VLOOKUP(Tableau119[[#This Row],[Name Site]],Plant_AILN!A:D,4,FALSE)</f>
        <v>CHILE</v>
      </c>
      <c r="M320" s="411" t="s">
        <v>142</v>
      </c>
      <c r="N320" s="454">
        <f>VLOOKUP(Tableau119[[#This Row],[Name Site]],Plant_AILN!A:C,3,FALSE)</f>
        <v>90009500</v>
      </c>
      <c r="O320" s="55">
        <f>VLOOKUP(Tableau119[[#This Row],[Compte Consignee]],Order!C:D,2,FALSE)</f>
        <v>7</v>
      </c>
      <c r="P320" s="124" t="s">
        <v>149</v>
      </c>
      <c r="Q320" s="365">
        <f>VLOOKUP(Tableau119[[#This Row],[Name ILN]],Plant_AILN!F:G,2,FALSE)</f>
        <v>2533780546</v>
      </c>
      <c r="R320" s="50">
        <f>VLOOKUP(Tableau119[[#This Row],[Compte ILN]],'DATA ILN'!D:I,6,FALSE)</f>
        <v>9</v>
      </c>
      <c r="S320" s="50">
        <f>IFERROR(VLOOKUP(Tableau119[[#This Row],[Key(Compte ILN - shipper - POL - plant)]],'DATA ILN'!A:J,10,FALSE),VLOOKUP(Tableau119[[#This Row],[Key(Compte ILN - shipper - POL)]],'DATA ILN'!B:J,9,FALSE))</f>
        <v>14</v>
      </c>
      <c r="T320" s="50">
        <f>IFERROR(VLOOKUP(Tableau119[[#This Row],[Key(Compte ILN - shipper - POL - plant)]],'DATA ILN'!A:K,11,FALSE),VLOOKUP(Tableau119[[#This Row],[Key(Compte ILN - shipper - POL)]],'DATA ILN'!B:K,10,FALSE))</f>
        <v>5</v>
      </c>
      <c r="U320" s="50">
        <f>IFERROR(VLOOKUP(Tableau119[[#This Row],[Key(Compte ILN - shipper - POL - plant)]],'DATA ILN'!A:L,12,FALSE),VLOOKUP(Tableau119[[#This Row],[Key(Compte ILN - shipper - POL)]],'DATA ILN'!B:L,11,FALSE))</f>
        <v>7</v>
      </c>
      <c r="V320" s="50">
        <f>Tableau119[[#This Row],[Day ILN Order]]+Tableau119[[#This Row],[Delivery time to ILN/Shipper]]-1</f>
        <v>22</v>
      </c>
      <c r="W320" s="50">
        <f>IFERROR(VLOOKUP(Tableau119[[#This Row],[Key(Compte ILN - shipper - POL - plant)]],'DATA ILN'!A:N,14,FALSE),VLOOKUP(Tableau119[[#This Row],[Key(Compte ILN - shipper - POL)]],'DATA ILN'!B:N,13,FALSE))</f>
        <v>2</v>
      </c>
      <c r="X320" s="50">
        <f>IFERROR(VLOOKUP(Tableau119[[#This Row],[Key(Compte ILN - shipper - POL - plant)]],'DATA ILN'!A:P,16,FALSE),VLOOKUP(Tableau119[[#This Row],[Key(Compte ILN - shipper - POL)]],'DATA ILN'!B:P,15,FALSE))</f>
        <v>5</v>
      </c>
      <c r="Y320" s="284" t="s">
        <v>149</v>
      </c>
      <c r="Z320" s="430">
        <f>IFERROR(VLOOKUP(Tableau119[[#This Row],[Name Shipper]],Plant_AILN!L:M,2,FALSE),0)</f>
        <v>2533780546</v>
      </c>
      <c r="AA320" s="406">
        <v>120</v>
      </c>
      <c r="AB320" s="396" t="str">
        <f>_xlfn.XLOOKUP(Tableau119[[#This Row],[Key(ID-date)]],'DATA BTO'!S:S,'DATA BTO'!E:E,FALSE)</f>
        <v>INENR</v>
      </c>
      <c r="AC320" s="3" t="str">
        <f>_xlfn.XLOOKUP(Tableau119[[#This Row],[Key(ID-date)]],'DATA BTO'!S:S,'DATA BTO'!F:F,FALSE)</f>
        <v>MSC</v>
      </c>
      <c r="AD320" s="50">
        <f>_xlfn.XLOOKUP(Tableau119[[#This Row],[Key(ID-date)]],'DATA BTO'!S:S,'DATA BTO'!G:G,FALSE)</f>
        <v>5</v>
      </c>
      <c r="AE320" s="50">
        <f>_xlfn.XLOOKUP(Tableau119[[#This Row],[Key(ID-date)]],'DATA BTO'!S:S,'DATA BTO'!H:H,FALSE)</f>
        <v>7</v>
      </c>
      <c r="AF320" s="447">
        <f>IF(Tableau119[[#This Row],[First Day to POL]]&lt;=Tableau119[[#This Row],[Day Cut Off]],Tableau119[[#This Row],[Day ETD]],Tableau119[[#This Row],[Day ETD]]+7)</f>
        <v>7</v>
      </c>
      <c r="AG320" s="50">
        <f>_xlfn.XLOOKUP(Tableau119[[#This Row],[Key(ID-date)]],'DATA BTO'!S:S,'DATA BTO'!I:I,FALSE)</f>
        <v>66</v>
      </c>
      <c r="AH320" s="3" t="str">
        <f>_xlfn.XLOOKUP(Tableau119[[#This Row],[Key(ID-date)]],'DATA BTO'!S:S,'DATA BTO'!J:J,FALSE)</f>
        <v>CLSAI</v>
      </c>
      <c r="AI320" s="3">
        <f>_xlfn.XLOOKUP(Tableau119[[#This Row],[Key(ID-date)]],'DATA BTO'!S:S,'DATA BTO'!K:K,FALSE)</f>
        <v>3</v>
      </c>
      <c r="AJ320" s="50">
        <f>_xlfn.XLOOKUP(Tableau119[[#This Row],[Key(ID-date)]],'DATA BTO'!S:S,'DATA BTO'!L:L,FALSE)</f>
        <v>7</v>
      </c>
      <c r="AK320" s="53" t="str">
        <f>_xlfn.XLOOKUP(Tableau119[[#This Row],[Key(ID-date)]],'DATA BTO'!S:S,'DATA BTO'!N:N,FALSE)</f>
        <v>Marc-Aurele</v>
      </c>
      <c r="AL320" s="54">
        <f>VLOOKUP(Tableau119[[#This Row],[Key(POD -PFI- Usine)]],'DATA Consignee'!A:F,6,FALSE)</f>
        <v>2</v>
      </c>
      <c r="AM320" s="284"/>
      <c r="AN320" s="376" t="str">
        <f>IF(Tableau119[[#This Row],[Name PFI/CDD]]="","-",VLOOKUP(Tableau119[[#This Row],[Name PFI/CDD]],Plant_AILN!I:J,2,FALSE))</f>
        <v>-</v>
      </c>
      <c r="AO3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0" s="2">
        <f>VLOOKUP(Tableau119[[#This Row],[Key(POD -PFI- Usine)]],'DATA Consignee'!A:J,10,FALSE)</f>
        <v>0</v>
      </c>
      <c r="AR320" s="50">
        <f>VLOOKUP(Tableau119[[#This Row],[Key(POD -PFI- Usine)]],'DATA Consignee'!A:N,14,FALSE)</f>
        <v>2</v>
      </c>
      <c r="AS32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32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320" s="50">
        <f>Tableau119[[#This Row],[Transit time]]+Tableau119[[#This Row],[Time for security]]+Tableau119[[#This Row],[Time for security2 buffer]]</f>
        <v>76</v>
      </c>
      <c r="AV32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20" s="50">
        <f>Tableau119[[#This Row],[Leadtime SI2C]]+Tableau119[[#This Row],[First Receipt Days]]-Tableau119[[#This Row],[Day Customer Order]]+1</f>
        <v>113</v>
      </c>
      <c r="AX320" s="119">
        <f>IF(Tableau119[[#This Row],[Name ILN]]&lt;&gt;"SFK Freight Forwarder",Tableau119[[#This Row],[Cust. Leadtime]],Tableau119[[#This Row],[Leadtime SI2C]])</f>
        <v>113</v>
      </c>
      <c r="AY320" s="51" t="str">
        <f>_xlfn.XLOOKUP(Tableau119[[#This Row],[Key(ID-date)]],'DATA BTO'!S:S,'DATA BTO'!P:P,FALSE)</f>
        <v>Renault &gt; Horse BPH</v>
      </c>
      <c r="AZ320" s="338">
        <v>45899</v>
      </c>
      <c r="BA320" s="50"/>
    </row>
    <row r="321" spans="2:53">
      <c r="B321" s="446" t="str">
        <f>_xlfn.CONCAT(Tableau119[[#This Row],[Name ILN]],"-",Tableau119[[#This Row],[Name Shipper]],"-",Tableau119[[#This Row],[Name Site]])</f>
        <v>ILN Chennai-ILN Chennai-CORMECANICA</v>
      </c>
      <c r="C321" s="66" t="str">
        <f>_xlfn.CONCAT(Tableau119[[#This Row],[Compte ILN]],"-",Tableau119[[#This Row],[Compte Shipper]],"-",Tableau119[[#This Row],[POL]],"-",Tableau119[[#This Row],[Compte Consignee]])</f>
        <v>2533780546-2533780546-INENR-90009500</v>
      </c>
      <c r="D321" s="66" t="str">
        <f>_xlfn.CONCAT(Tableau119[[#This Row],[Compte ILN]],"-",Tableau119[[#This Row],[Compte Shipper]],"-",Tableau119[[#This Row],[POL]])</f>
        <v>2533780546-2533780546-INENR</v>
      </c>
      <c r="E321" s="130" t="str">
        <f>_xlfn.CONCAT(Tableau119[[#This Row],[POL]],"-",Tableau119[[#This Row],[Carrier]],"-",Tableau119[[#This Row],[POD]])</f>
        <v>INENR-Maersk-CLVAP</v>
      </c>
      <c r="F321" s="66" t="str">
        <f>_xlfn.CONCAT(Tableau119[[#This Row],[ID]],"-","Actif")</f>
        <v>120-Actif</v>
      </c>
      <c r="G321" s="66" t="str">
        <f>_xlfn.CONCAT(Tableau119[[#This Row],[POD]],"-",Tableau119[[#This Row],[Code PFI]],"-",Tableau119[[#This Row],[Compte Consignee]])</f>
        <v>CLVAP---90009500</v>
      </c>
      <c r="H3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ChennaiINENRCORMECANICA</v>
      </c>
      <c r="I321" s="434" t="str">
        <f>_xlfn.CONCAT(Tableau119[[#This Row],[ID]],"-",Tableau119[[#This Row],[Expiration Date]])</f>
        <v>120-45777</v>
      </c>
      <c r="J3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Chennai-ILN Chennai-120-INENR-Maersk-CLVAP--45777</v>
      </c>
      <c r="K321" s="119" t="str">
        <f ca="1">IF(COUNTIF(J:J,Tableau119[[#This Row],[Plant-ILN-shipper-POL-Carrier-POD-PFI]])=1,"Non","Oui")</f>
        <v>Non</v>
      </c>
      <c r="L321" s="128" t="str">
        <f>VLOOKUP(Tableau119[[#This Row],[Name Site]],Plant_AILN!A:D,4,FALSE)</f>
        <v>CHILE</v>
      </c>
      <c r="M321" s="411" t="s">
        <v>142</v>
      </c>
      <c r="N321" s="454">
        <f>VLOOKUP(Tableau119[[#This Row],[Name Site]],Plant_AILN!A:C,3,FALSE)</f>
        <v>90009500</v>
      </c>
      <c r="O321" s="55">
        <f>VLOOKUP(Tableau119[[#This Row],[Compte Consignee]],Order!C:D,2,FALSE)</f>
        <v>7</v>
      </c>
      <c r="P321" s="124" t="s">
        <v>149</v>
      </c>
      <c r="Q321" s="365">
        <f>VLOOKUP(Tableau119[[#This Row],[Name ILN]],Plant_AILN!F:G,2,FALSE)</f>
        <v>2533780546</v>
      </c>
      <c r="R321" s="50">
        <f>VLOOKUP(Tableau119[[#This Row],[Compte ILN]],'DATA ILN'!D:I,6,FALSE)</f>
        <v>9</v>
      </c>
      <c r="S321" s="50">
        <f>IFERROR(VLOOKUP(Tableau119[[#This Row],[Key(Compte ILN - shipper - POL - plant)]],'DATA ILN'!A:J,10,FALSE),VLOOKUP(Tableau119[[#This Row],[Key(Compte ILN - shipper - POL)]],'DATA ILN'!B:J,9,FALSE))</f>
        <v>14</v>
      </c>
      <c r="T321" s="50">
        <f>IFERROR(VLOOKUP(Tableau119[[#This Row],[Key(Compte ILN - shipper - POL - plant)]],'DATA ILN'!A:K,11,FALSE),VLOOKUP(Tableau119[[#This Row],[Key(Compte ILN - shipper - POL)]],'DATA ILN'!B:K,10,FALSE))</f>
        <v>5</v>
      </c>
      <c r="U321" s="50">
        <f>IFERROR(VLOOKUP(Tableau119[[#This Row],[Key(Compte ILN - shipper - POL - plant)]],'DATA ILN'!A:L,12,FALSE),VLOOKUP(Tableau119[[#This Row],[Key(Compte ILN - shipper - POL)]],'DATA ILN'!B:L,11,FALSE))</f>
        <v>7</v>
      </c>
      <c r="V321" s="50">
        <f>Tableau119[[#This Row],[Day ILN Order]]+Tableau119[[#This Row],[Delivery time to ILN/Shipper]]-1</f>
        <v>22</v>
      </c>
      <c r="W321" s="50">
        <f>IFERROR(VLOOKUP(Tableau119[[#This Row],[Key(Compte ILN - shipper - POL - plant)]],'DATA ILN'!A:N,14,FALSE),VLOOKUP(Tableau119[[#This Row],[Key(Compte ILN - shipper - POL)]],'DATA ILN'!B:N,13,FALSE))</f>
        <v>2</v>
      </c>
      <c r="X321" s="50">
        <f>IFERROR(VLOOKUP(Tableau119[[#This Row],[Key(Compte ILN - shipper - POL - plant)]],'DATA ILN'!A:P,16,FALSE),VLOOKUP(Tableau119[[#This Row],[Key(Compte ILN - shipper - POL)]],'DATA ILN'!B:P,15,FALSE))</f>
        <v>5</v>
      </c>
      <c r="Y321" s="284" t="s">
        <v>149</v>
      </c>
      <c r="Z321" s="430">
        <f>IFERROR(VLOOKUP(Tableau119[[#This Row],[Name Shipper]],Plant_AILN!L:M,2,FALSE),0)</f>
        <v>2533780546</v>
      </c>
      <c r="AA321" s="406">
        <v>120</v>
      </c>
      <c r="AB321" s="396" t="str">
        <f>_xlfn.XLOOKUP(Tableau119[[#This Row],[Key(ID-date)]],'DATA BTO'!S:S,'DATA BTO'!E:E,FALSE)</f>
        <v>INENR</v>
      </c>
      <c r="AC321" s="3" t="str">
        <f>_xlfn.XLOOKUP(Tableau119[[#This Row],[Key(ID-date)]],'DATA BTO'!S:S,'DATA BTO'!F:F,FALSE)</f>
        <v>Maersk</v>
      </c>
      <c r="AD321" s="50">
        <f>_xlfn.XLOOKUP(Tableau119[[#This Row],[Key(ID-date)]],'DATA BTO'!S:S,'DATA BTO'!G:G,FALSE)</f>
        <v>1</v>
      </c>
      <c r="AE321" s="50">
        <f>_xlfn.XLOOKUP(Tableau119[[#This Row],[Key(ID-date)]],'DATA BTO'!S:S,'DATA BTO'!H:H,FALSE)</f>
        <v>2</v>
      </c>
      <c r="AF321" s="447">
        <f>IF(Tableau119[[#This Row],[First Day to POL]]&lt;=Tableau119[[#This Row],[Day Cut Off]],Tableau119[[#This Row],[Day ETD]],Tableau119[[#This Row],[Day ETD]]+7)</f>
        <v>9</v>
      </c>
      <c r="AG321" s="50">
        <f>_xlfn.XLOOKUP(Tableau119[[#This Row],[Key(ID-date)]],'DATA BTO'!S:S,'DATA BTO'!I:I,FALSE)</f>
        <v>71</v>
      </c>
      <c r="AH321" s="3" t="str">
        <f>_xlfn.XLOOKUP(Tableau119[[#This Row],[Key(ID-date)]],'DATA BTO'!S:S,'DATA BTO'!J:J,FALSE)</f>
        <v>CLVAP</v>
      </c>
      <c r="AI321" s="3">
        <f>_xlfn.XLOOKUP(Tableau119[[#This Row],[Key(ID-date)]],'DATA BTO'!S:S,'DATA BTO'!K:K,FALSE)</f>
        <v>3</v>
      </c>
      <c r="AJ321" s="50">
        <f>_xlfn.XLOOKUP(Tableau119[[#This Row],[Key(ID-date)]],'DATA BTO'!S:S,'DATA BTO'!L:L,FALSE)</f>
        <v>0</v>
      </c>
      <c r="AK321" s="53" t="str">
        <f>_xlfn.XLOOKUP(Tableau119[[#This Row],[Key(ID-date)]],'DATA BTO'!S:S,'DATA BTO'!N:N,FALSE)</f>
        <v>Anthony</v>
      </c>
      <c r="AL321" s="54">
        <f>VLOOKUP(Tableau119[[#This Row],[Key(POD -PFI- Usine)]],'DATA Consignee'!A:F,6,FALSE)</f>
        <v>2</v>
      </c>
      <c r="AM321" s="284"/>
      <c r="AN321" s="376" t="str">
        <f>IF(Tableau119[[#This Row],[Name PFI/CDD]]="","-",VLOOKUP(Tableau119[[#This Row],[Name PFI/CDD]],Plant_AILN!I:J,2,FALSE))</f>
        <v>-</v>
      </c>
      <c r="AO3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1" s="2">
        <f>VLOOKUP(Tableau119[[#This Row],[Key(POD -PFI- Usine)]],'DATA Consignee'!A:J,10,FALSE)</f>
        <v>0</v>
      </c>
      <c r="AR321" s="50">
        <f>VLOOKUP(Tableau119[[#This Row],[Key(POD -PFI- Usine)]],'DATA Consignee'!A:N,14,FALSE)</f>
        <v>2</v>
      </c>
      <c r="AS32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32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321" s="50">
        <f>Tableau119[[#This Row],[Transit time]]+Tableau119[[#This Row],[Time for security]]+Tableau119[[#This Row],[Time for security2 buffer]]</f>
        <v>74</v>
      </c>
      <c r="AV32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21" s="50">
        <f>Tableau119[[#This Row],[Leadtime SI2C]]+Tableau119[[#This Row],[First Receipt Days]]-Tableau119[[#This Row],[Day Customer Order]]+1</f>
        <v>113</v>
      </c>
      <c r="AX321" s="119">
        <f>IF(Tableau119[[#This Row],[Name ILN]]&lt;&gt;"SFK Freight Forwarder",Tableau119[[#This Row],[Cust. Leadtime]],Tableau119[[#This Row],[Leadtime SI2C]])</f>
        <v>113</v>
      </c>
      <c r="AY321" s="51" t="str">
        <f>_xlfn.XLOOKUP(Tableau119[[#This Row],[Key(ID-date)]],'DATA BTO'!S:S,'DATA BTO'!P:P,FALSE)</f>
        <v>Renault &gt; Horse BPH</v>
      </c>
      <c r="AZ321" s="338">
        <v>45777</v>
      </c>
      <c r="BA321" s="50"/>
    </row>
    <row r="322" spans="2:53">
      <c r="B322" s="446" t="str">
        <f>_xlfn.CONCAT(Tableau119[[#This Row],[Name ILN]],"-",Tableau119[[#This Row],[Name Shipper]],"-",Tableau119[[#This Row],[Name Site]])</f>
        <v>ILN Chennai-ILN Chennai-CORMECANICA</v>
      </c>
      <c r="C322" s="66" t="str">
        <f>_xlfn.CONCAT(Tableau119[[#This Row],[Compte ILN]],"-",Tableau119[[#This Row],[Compte Shipper]],"-",Tableau119[[#This Row],[POL]],"-",Tableau119[[#This Row],[Compte Consignee]])</f>
        <v>2533780546-2533780546-INENR-90009500</v>
      </c>
      <c r="D322" s="66" t="str">
        <f>_xlfn.CONCAT(Tableau119[[#This Row],[Compte ILN]],"-",Tableau119[[#This Row],[Compte Shipper]],"-",Tableau119[[#This Row],[POL]])</f>
        <v>2533780546-2533780546-INENR</v>
      </c>
      <c r="E322" s="130" t="str">
        <f>_xlfn.CONCAT(Tableau119[[#This Row],[POL]],"-",Tableau119[[#This Row],[Carrier]],"-",Tableau119[[#This Row],[POD]])</f>
        <v>INENR-Maersk-CLVAP</v>
      </c>
      <c r="F322" s="66" t="str">
        <f>_xlfn.CONCAT(Tableau119[[#This Row],[ID]],"-","Actif")</f>
        <v>120-Actif</v>
      </c>
      <c r="G322" s="66" t="str">
        <f>_xlfn.CONCAT(Tableau119[[#This Row],[POD]],"-",Tableau119[[#This Row],[Code PFI]],"-",Tableau119[[#This Row],[Compte Consignee]])</f>
        <v>CLVAP---90009500</v>
      </c>
      <c r="H3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ChennaiINENRCORMECANICA</v>
      </c>
      <c r="I322" s="434" t="str">
        <f>_xlfn.CONCAT(Tableau119[[#This Row],[ID]],"-",Tableau119[[#This Row],[Expiration Date]])</f>
        <v>120-45473</v>
      </c>
      <c r="J3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Chennai-ILN Chennai-120-INENR-Maersk-CLVAP--45473</v>
      </c>
      <c r="K322" s="119" t="str">
        <f ca="1">IF(COUNTIF(J:J,Tableau119[[#This Row],[Plant-ILN-shipper-POL-Carrier-POD-PFI]])=1,"Non","Oui")</f>
        <v>Non</v>
      </c>
      <c r="L322" s="128" t="str">
        <f>VLOOKUP(Tableau119[[#This Row],[Name Site]],Plant_AILN!A:D,4,FALSE)</f>
        <v>CHILE</v>
      </c>
      <c r="M322" s="411" t="s">
        <v>142</v>
      </c>
      <c r="N322" s="454">
        <f>VLOOKUP(Tableau119[[#This Row],[Name Site]],Plant_AILN!A:C,3,FALSE)</f>
        <v>90009500</v>
      </c>
      <c r="O322" s="55">
        <f>VLOOKUP(Tableau119[[#This Row],[Compte Consignee]],Order!C:D,2,FALSE)</f>
        <v>7</v>
      </c>
      <c r="P322" s="124" t="s">
        <v>149</v>
      </c>
      <c r="Q322" s="365">
        <f>VLOOKUP(Tableau119[[#This Row],[Name ILN]],Plant_AILN!F:G,2,FALSE)</f>
        <v>2533780546</v>
      </c>
      <c r="R322" s="50">
        <f>VLOOKUP(Tableau119[[#This Row],[Compte ILN]],'DATA ILN'!D:I,6,FALSE)</f>
        <v>9</v>
      </c>
      <c r="S322" s="50">
        <f>IFERROR(VLOOKUP(Tableau119[[#This Row],[Key(Compte ILN - shipper - POL - plant)]],'DATA ILN'!A:J,10,FALSE),VLOOKUP(Tableau119[[#This Row],[Key(Compte ILN - shipper - POL)]],'DATA ILN'!B:J,9,FALSE))</f>
        <v>14</v>
      </c>
      <c r="T322" s="50">
        <f>IFERROR(VLOOKUP(Tableau119[[#This Row],[Key(Compte ILN - shipper - POL - plant)]],'DATA ILN'!A:K,11,FALSE),VLOOKUP(Tableau119[[#This Row],[Key(Compte ILN - shipper - POL)]],'DATA ILN'!B:K,10,FALSE))</f>
        <v>5</v>
      </c>
      <c r="U322" s="50">
        <f>IFERROR(VLOOKUP(Tableau119[[#This Row],[Key(Compte ILN - shipper - POL - plant)]],'DATA ILN'!A:L,12,FALSE),VLOOKUP(Tableau119[[#This Row],[Key(Compte ILN - shipper - POL)]],'DATA ILN'!B:L,11,FALSE))</f>
        <v>7</v>
      </c>
      <c r="V322" s="50">
        <f>Tableau119[[#This Row],[Day ILN Order]]+Tableau119[[#This Row],[Delivery time to ILN/Shipper]]-1</f>
        <v>22</v>
      </c>
      <c r="W322" s="50">
        <f>IFERROR(VLOOKUP(Tableau119[[#This Row],[Key(Compte ILN - shipper - POL - plant)]],'DATA ILN'!A:N,14,FALSE),VLOOKUP(Tableau119[[#This Row],[Key(Compte ILN - shipper - POL)]],'DATA ILN'!B:N,13,FALSE))</f>
        <v>2</v>
      </c>
      <c r="X322" s="50">
        <f>IFERROR(VLOOKUP(Tableau119[[#This Row],[Key(Compte ILN - shipper - POL - plant)]],'DATA ILN'!A:P,16,FALSE),VLOOKUP(Tableau119[[#This Row],[Key(Compte ILN - shipper - POL)]],'DATA ILN'!B:P,15,FALSE))</f>
        <v>5</v>
      </c>
      <c r="Y322" s="284" t="s">
        <v>149</v>
      </c>
      <c r="Z322" s="430">
        <f>IFERROR(VLOOKUP(Tableau119[[#This Row],[Name Shipper]],Plant_AILN!L:M,2,FALSE),0)</f>
        <v>2533780546</v>
      </c>
      <c r="AA322" s="406">
        <v>120</v>
      </c>
      <c r="AB322" s="396" t="str">
        <f>_xlfn.XLOOKUP(Tableau119[[#This Row],[Key(ID-date)]],'DATA BTO'!S:S,'DATA BTO'!E:E,FALSE)</f>
        <v>INENR</v>
      </c>
      <c r="AC322" s="3" t="str">
        <f>_xlfn.XLOOKUP(Tableau119[[#This Row],[Key(ID-date)]],'DATA BTO'!S:S,'DATA BTO'!F:F,FALSE)</f>
        <v>Maersk</v>
      </c>
      <c r="AD322" s="50">
        <f>_xlfn.XLOOKUP(Tableau119[[#This Row],[Key(ID-date)]],'DATA BTO'!S:S,'DATA BTO'!G:G,FALSE)</f>
        <v>1</v>
      </c>
      <c r="AE322" s="50">
        <f>_xlfn.XLOOKUP(Tableau119[[#This Row],[Key(ID-date)]],'DATA BTO'!S:S,'DATA BTO'!H:H,FALSE)</f>
        <v>2</v>
      </c>
      <c r="AF322" s="447">
        <f>IF(Tableau119[[#This Row],[First Day to POL]]&lt;=Tableau119[[#This Row],[Day Cut Off]],Tableau119[[#This Row],[Day ETD]],Tableau119[[#This Row],[Day ETD]]+7)</f>
        <v>9</v>
      </c>
      <c r="AG322" s="50">
        <f>_xlfn.XLOOKUP(Tableau119[[#This Row],[Key(ID-date)]],'DATA BTO'!S:S,'DATA BTO'!I:I,FALSE)</f>
        <v>71</v>
      </c>
      <c r="AH322" s="3" t="str">
        <f>_xlfn.XLOOKUP(Tableau119[[#This Row],[Key(ID-date)]],'DATA BTO'!S:S,'DATA BTO'!J:J,FALSE)</f>
        <v>CLVAP</v>
      </c>
      <c r="AI322" s="3">
        <f>_xlfn.XLOOKUP(Tableau119[[#This Row],[Key(ID-date)]],'DATA BTO'!S:S,'DATA BTO'!K:K,FALSE)</f>
        <v>3</v>
      </c>
      <c r="AJ322" s="50">
        <f>_xlfn.XLOOKUP(Tableau119[[#This Row],[Key(ID-date)]],'DATA BTO'!S:S,'DATA BTO'!L:L,FALSE)</f>
        <v>0</v>
      </c>
      <c r="AK322" s="53" t="str">
        <f>_xlfn.XLOOKUP(Tableau119[[#This Row],[Key(ID-date)]],'DATA BTO'!S:S,'DATA BTO'!N:N,FALSE)</f>
        <v>Anthony</v>
      </c>
      <c r="AL322" s="54">
        <f>VLOOKUP(Tableau119[[#This Row],[Key(POD -PFI- Usine)]],'DATA Consignee'!A:F,6,FALSE)</f>
        <v>2</v>
      </c>
      <c r="AM322" s="284"/>
      <c r="AN322" s="376" t="str">
        <f>IF(Tableau119[[#This Row],[Name PFI/CDD]]="","-",VLOOKUP(Tableau119[[#This Row],[Name PFI/CDD]],Plant_AILN!I:J,2,FALSE))</f>
        <v>-</v>
      </c>
      <c r="AO3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2" s="2">
        <f>VLOOKUP(Tableau119[[#This Row],[Key(POD -PFI- Usine)]],'DATA Consignee'!A:J,10,FALSE)</f>
        <v>0</v>
      </c>
      <c r="AR322" s="50">
        <f>VLOOKUP(Tableau119[[#This Row],[Key(POD -PFI- Usine)]],'DATA Consignee'!A:N,14,FALSE)</f>
        <v>2</v>
      </c>
      <c r="AS32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32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322" s="50">
        <f>Tableau119[[#This Row],[Transit time]]+Tableau119[[#This Row],[Time for security]]+Tableau119[[#This Row],[Time for security2 buffer]]</f>
        <v>74</v>
      </c>
      <c r="AV32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22" s="50">
        <f>Tableau119[[#This Row],[Leadtime SI2C]]+Tableau119[[#This Row],[First Receipt Days]]-Tableau119[[#This Row],[Day Customer Order]]+1</f>
        <v>113</v>
      </c>
      <c r="AX322" s="119">
        <f>IF(Tableau119[[#This Row],[Name ILN]]&lt;&gt;"SFK Freight Forwarder",Tableau119[[#This Row],[Cust. Leadtime]],Tableau119[[#This Row],[Leadtime SI2C]])</f>
        <v>113</v>
      </c>
      <c r="AY322" s="51" t="str">
        <f>_xlfn.XLOOKUP(Tableau119[[#This Row],[Key(ID-date)]],'DATA BTO'!S:S,'DATA BTO'!P:P,FALSE)</f>
        <v>Renault &gt; Horse BPH</v>
      </c>
      <c r="AZ322" s="338">
        <v>45473</v>
      </c>
      <c r="BA322" s="50"/>
    </row>
    <row r="323" spans="2:53">
      <c r="B323" s="446" t="str">
        <f>_xlfn.CONCAT(Tableau119[[#This Row],[Name ILN]],"-",Tableau119[[#This Row],[Name Shipper]],"-",Tableau119[[#This Row],[Name Site]])</f>
        <v>ILN Chennai-ILN Chennai-CORMECANICA</v>
      </c>
      <c r="C323" s="66" t="str">
        <f>_xlfn.CONCAT(Tableau119[[#This Row],[Compte ILN]],"-",Tableau119[[#This Row],[Compte Shipper]],"-",Tableau119[[#This Row],[POL]],"-",Tableau119[[#This Row],[Compte Consignee]])</f>
        <v>2533780546-2533780546-INENR-90009500</v>
      </c>
      <c r="D323" s="66" t="str">
        <f>_xlfn.CONCAT(Tableau119[[#This Row],[Compte ILN]],"-",Tableau119[[#This Row],[Compte Shipper]],"-",Tableau119[[#This Row],[POL]])</f>
        <v>2533780546-2533780546-INENR</v>
      </c>
      <c r="E323" s="130" t="str">
        <f>_xlfn.CONCAT(Tableau119[[#This Row],[POL]],"-",Tableau119[[#This Row],[Carrier]],"-",Tableau119[[#This Row],[POD]])</f>
        <v>INENR-Maersk-CLVAP</v>
      </c>
      <c r="F323" s="66" t="str">
        <f>_xlfn.CONCAT(Tableau119[[#This Row],[ID]],"-","Actif")</f>
        <v>120-Actif</v>
      </c>
      <c r="G323" s="66" t="str">
        <f>_xlfn.CONCAT(Tableau119[[#This Row],[POD]],"-",Tableau119[[#This Row],[Code PFI]],"-",Tableau119[[#This Row],[Compte Consignee]])</f>
        <v>CLVAP---90009500</v>
      </c>
      <c r="H3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ChennaiINENRCORMECANICA</v>
      </c>
      <c r="I323" s="434" t="str">
        <f>_xlfn.CONCAT(Tableau119[[#This Row],[ID]],"-",Tableau119[[#This Row],[Expiration Date]])</f>
        <v>120-45412</v>
      </c>
      <c r="J3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Chennai-ILN Chennai-120-INENR-Maersk-CLVAP--45412</v>
      </c>
      <c r="K323" s="119" t="str">
        <f ca="1">IF(COUNTIF(J:J,Tableau119[[#This Row],[Plant-ILN-shipper-POL-Carrier-POD-PFI]])=1,"Non","Oui")</f>
        <v>Non</v>
      </c>
      <c r="L323" s="128" t="str">
        <f>VLOOKUP(Tableau119[[#This Row],[Name Site]],Plant_AILN!A:D,4,FALSE)</f>
        <v>CHILE</v>
      </c>
      <c r="M323" s="411" t="s">
        <v>142</v>
      </c>
      <c r="N323" s="454">
        <f>VLOOKUP(Tableau119[[#This Row],[Name Site]],Plant_AILN!A:C,3,FALSE)</f>
        <v>90009500</v>
      </c>
      <c r="O323" s="55">
        <f>VLOOKUP(Tableau119[[#This Row],[Compte Consignee]],Order!C:D,2,FALSE)</f>
        <v>7</v>
      </c>
      <c r="P323" s="124" t="s">
        <v>149</v>
      </c>
      <c r="Q323" s="365">
        <f>VLOOKUP(Tableau119[[#This Row],[Name ILN]],Plant_AILN!F:G,2,FALSE)</f>
        <v>2533780546</v>
      </c>
      <c r="R323" s="50">
        <f>VLOOKUP(Tableau119[[#This Row],[Compte ILN]],'DATA ILN'!D:I,6,FALSE)</f>
        <v>9</v>
      </c>
      <c r="S323" s="50">
        <f>IFERROR(VLOOKUP(Tableau119[[#This Row],[Key(Compte ILN - shipper - POL - plant)]],'DATA ILN'!A:J,10,FALSE),VLOOKUP(Tableau119[[#This Row],[Key(Compte ILN - shipper - POL)]],'DATA ILN'!B:J,9,FALSE))</f>
        <v>14</v>
      </c>
      <c r="T323" s="50">
        <f>IFERROR(VLOOKUP(Tableau119[[#This Row],[Key(Compte ILN - shipper - POL - plant)]],'DATA ILN'!A:K,11,FALSE),VLOOKUP(Tableau119[[#This Row],[Key(Compte ILN - shipper - POL)]],'DATA ILN'!B:K,10,FALSE))</f>
        <v>5</v>
      </c>
      <c r="U323" s="50">
        <f>IFERROR(VLOOKUP(Tableau119[[#This Row],[Key(Compte ILN - shipper - POL - plant)]],'DATA ILN'!A:L,12,FALSE),VLOOKUP(Tableau119[[#This Row],[Key(Compte ILN - shipper - POL)]],'DATA ILN'!B:L,11,FALSE))</f>
        <v>7</v>
      </c>
      <c r="V323" s="50">
        <f>Tableau119[[#This Row],[Day ILN Order]]+Tableau119[[#This Row],[Delivery time to ILN/Shipper]]-1</f>
        <v>22</v>
      </c>
      <c r="W323" s="50">
        <f>IFERROR(VLOOKUP(Tableau119[[#This Row],[Key(Compte ILN - shipper - POL - plant)]],'DATA ILN'!A:N,14,FALSE),VLOOKUP(Tableau119[[#This Row],[Key(Compte ILN - shipper - POL)]],'DATA ILN'!B:N,13,FALSE))</f>
        <v>2</v>
      </c>
      <c r="X323" s="50">
        <f>IFERROR(VLOOKUP(Tableau119[[#This Row],[Key(Compte ILN - shipper - POL - plant)]],'DATA ILN'!A:P,16,FALSE),VLOOKUP(Tableau119[[#This Row],[Key(Compte ILN - shipper - POL)]],'DATA ILN'!B:P,15,FALSE))</f>
        <v>5</v>
      </c>
      <c r="Y323" s="284" t="s">
        <v>149</v>
      </c>
      <c r="Z323" s="430">
        <f>IFERROR(VLOOKUP(Tableau119[[#This Row],[Name Shipper]],Plant_AILN!L:M,2,FALSE),0)</f>
        <v>2533780546</v>
      </c>
      <c r="AA323" s="406">
        <v>120</v>
      </c>
      <c r="AB323" s="396" t="str">
        <f>_xlfn.XLOOKUP(Tableau119[[#This Row],[Key(ID-date)]],'DATA BTO'!S:S,'DATA BTO'!E:E,FALSE)</f>
        <v>INENR</v>
      </c>
      <c r="AC323" s="3" t="str">
        <f>_xlfn.XLOOKUP(Tableau119[[#This Row],[Key(ID-date)]],'DATA BTO'!S:S,'DATA BTO'!F:F,FALSE)</f>
        <v>Maersk</v>
      </c>
      <c r="AD323" s="50">
        <f>_xlfn.XLOOKUP(Tableau119[[#This Row],[Key(ID-date)]],'DATA BTO'!S:S,'DATA BTO'!G:G,FALSE)</f>
        <v>3</v>
      </c>
      <c r="AE323" s="50">
        <f>_xlfn.XLOOKUP(Tableau119[[#This Row],[Key(ID-date)]],'DATA BTO'!S:S,'DATA BTO'!H:H,FALSE)</f>
        <v>5</v>
      </c>
      <c r="AF323" s="447">
        <f>IF(Tableau119[[#This Row],[First Day to POL]]&lt;=Tableau119[[#This Row],[Day Cut Off]],Tableau119[[#This Row],[Day ETD]],Tableau119[[#This Row],[Day ETD]]+7)</f>
        <v>12</v>
      </c>
      <c r="AG323" s="50">
        <f>_xlfn.XLOOKUP(Tableau119[[#This Row],[Key(ID-date)]],'DATA BTO'!S:S,'DATA BTO'!I:I,FALSE)</f>
        <v>56</v>
      </c>
      <c r="AH323" s="3" t="str">
        <f>_xlfn.XLOOKUP(Tableau119[[#This Row],[Key(ID-date)]],'DATA BTO'!S:S,'DATA BTO'!J:J,FALSE)</f>
        <v>CLVAP</v>
      </c>
      <c r="AI323" s="3">
        <f>_xlfn.XLOOKUP(Tableau119[[#This Row],[Key(ID-date)]],'DATA BTO'!S:S,'DATA BTO'!K:K,FALSE)</f>
        <v>3</v>
      </c>
      <c r="AJ323" s="50">
        <f>_xlfn.XLOOKUP(Tableau119[[#This Row],[Key(ID-date)]],'DATA BTO'!S:S,'DATA BTO'!L:L,FALSE)</f>
        <v>7</v>
      </c>
      <c r="AK323" s="53" t="str">
        <f>_xlfn.XLOOKUP(Tableau119[[#This Row],[Key(ID-date)]],'DATA BTO'!S:S,'DATA BTO'!N:N,FALSE)</f>
        <v>Anthony</v>
      </c>
      <c r="AL323" s="54">
        <f>VLOOKUP(Tableau119[[#This Row],[Key(POD -PFI- Usine)]],'DATA Consignee'!A:F,6,FALSE)</f>
        <v>2</v>
      </c>
      <c r="AM323" s="284"/>
      <c r="AN323" s="376" t="str">
        <f>IF(Tableau119[[#This Row],[Name PFI/CDD]]="","-",VLOOKUP(Tableau119[[#This Row],[Name PFI/CDD]],Plant_AILN!I:J,2,FALSE))</f>
        <v>-</v>
      </c>
      <c r="AO3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3" s="2">
        <f>VLOOKUP(Tableau119[[#This Row],[Key(POD -PFI- Usine)]],'DATA Consignee'!A:J,10,FALSE)</f>
        <v>0</v>
      </c>
      <c r="AR323" s="50">
        <f>VLOOKUP(Tableau119[[#This Row],[Key(POD -PFI- Usine)]],'DATA Consignee'!A:N,14,FALSE)</f>
        <v>2</v>
      </c>
      <c r="AS32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32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323" s="50">
        <f>Tableau119[[#This Row],[Transit time]]+Tableau119[[#This Row],[Time for security]]+Tableau119[[#This Row],[Time for security2 buffer]]</f>
        <v>66</v>
      </c>
      <c r="AV32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323" s="50">
        <f>Tableau119[[#This Row],[Leadtime SI2C]]+Tableau119[[#This Row],[First Receipt Days]]-Tableau119[[#This Row],[Day Customer Order]]+1</f>
        <v>106</v>
      </c>
      <c r="AX323" s="119">
        <f>IF(Tableau119[[#This Row],[Name ILN]]&lt;&gt;"SFK Freight Forwarder",Tableau119[[#This Row],[Cust. Leadtime]],Tableau119[[#This Row],[Leadtime SI2C]])</f>
        <v>106</v>
      </c>
      <c r="AY323" s="51" t="str">
        <f>_xlfn.XLOOKUP(Tableau119[[#This Row],[Key(ID-date)]],'DATA BTO'!S:S,'DATA BTO'!P:P,FALSE)</f>
        <v>Renault &gt; Horse BPH</v>
      </c>
      <c r="AZ323" s="338">
        <v>45412</v>
      </c>
      <c r="BA323" s="50"/>
    </row>
    <row r="324" spans="2:53">
      <c r="B324" s="66" t="str">
        <f>_xlfn.CONCAT(Tableau119[[#This Row],[Name ILN]],"-",Tableau119[[#This Row],[Name Shipper]],"-",Tableau119[[#This Row],[Name Site]])</f>
        <v>ILN Pune-ILN Pune-CORMECANICA</v>
      </c>
      <c r="C324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4" s="66" t="str">
        <f>_xlfn.CONCAT(Tableau119[[#This Row],[Compte ILN]],"-",Tableau119[[#This Row],[Compte Shipper]],"-",Tableau119[[#This Row],[POL]])</f>
        <v>2533780535-2533780535-INNSA</v>
      </c>
      <c r="E324" s="130" t="str">
        <f>_xlfn.CONCAT(Tableau119[[#This Row],[POL]],"-",Tableau119[[#This Row],[Carrier]],"-",Tableau119[[#This Row],[POD]])</f>
        <v>INNSA-MSC-CLSAI</v>
      </c>
      <c r="F324" s="66" t="str">
        <f>_xlfn.CONCAT(Tableau119[[#This Row],[ID]],"-","Actif")</f>
        <v>121-Actif</v>
      </c>
      <c r="G324" s="66" t="str">
        <f>_xlfn.CONCAT(Tableau119[[#This Row],[POD]],"-",Tableau119[[#This Row],[Code PFI]],"-",Tableau119[[#This Row],[Compte Consignee]])</f>
        <v>CLSAI---90009500</v>
      </c>
      <c r="H3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4" s="434" t="str">
        <f>_xlfn.CONCAT(Tableau119[[#This Row],[ID]],"-",Tableau119[[#This Row],[Expiration Date]])</f>
        <v>121-46142</v>
      </c>
      <c r="J3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Pune-121-INNSA-MSC-CLSAI--46142</v>
      </c>
      <c r="K324" s="119" t="str">
        <f ca="1">IF(COUNTIF(J:J,Tableau119[[#This Row],[Plant-ILN-shipper-POL-Carrier-POD-PFI]])=1,"Non","Oui")</f>
        <v>Non</v>
      </c>
      <c r="L324" s="436" t="str">
        <f>VLOOKUP(Tableau119[[#This Row],[Name Site]],Plant_AILN!A:D,4,FALSE)</f>
        <v>CHILE</v>
      </c>
      <c r="M324" s="285" t="s">
        <v>142</v>
      </c>
      <c r="N324" s="454">
        <f>VLOOKUP(Tableau119[[#This Row],[Name Site]],Plant_AILN!A:C,3,FALSE)</f>
        <v>90009500</v>
      </c>
      <c r="O324" s="55">
        <f>IF(Tableau119[[#This Row],[Name PFI/CDD]]="PFI VLL",2,VLOOKUP(Tableau119[[#This Row],[Compte Consignee]],Order!C:D,2,FALSE))</f>
        <v>7</v>
      </c>
      <c r="P324" s="124" t="s">
        <v>150</v>
      </c>
      <c r="Q324" s="365">
        <f>VLOOKUP(Tableau119[[#This Row],[Name ILN]],Plant_AILN!F:G,2,FALSE)</f>
        <v>2533780535</v>
      </c>
      <c r="R324" s="50">
        <f>VLOOKUP(Tableau119[[#This Row],[Compte ILN]],'DATA ILN'!D:I,6,FALSE)</f>
        <v>9</v>
      </c>
      <c r="S324" s="50">
        <f>IFERROR(VLOOKUP(Tableau119[[#This Row],[Key(Compte ILN - shipper - POL - plant)]],'DATA ILN'!A:J,10,FALSE),VLOOKUP(Tableau119[[#This Row],[Key(Compte ILN - shipper - POL)]],'DATA ILN'!B:J,9,FALSE))</f>
        <v>14</v>
      </c>
      <c r="T324" s="50">
        <f>IFERROR(VLOOKUP(Tableau119[[#This Row],[Key(Compte ILN - shipper - POL - plant)]],'DATA ILN'!A:K,11,FALSE),VLOOKUP(Tableau119[[#This Row],[Key(Compte ILN - shipper - POL)]],'DATA ILN'!B:K,10,FALSE))</f>
        <v>5</v>
      </c>
      <c r="U324" s="50">
        <f>IFERROR(VLOOKUP(Tableau119[[#This Row],[Key(Compte ILN - shipper - POL - plant)]],'DATA ILN'!A:L,12,FALSE),VLOOKUP(Tableau119[[#This Row],[Key(Compte ILN - shipper - POL)]],'DATA ILN'!B:L,11,FALSE))</f>
        <v>7</v>
      </c>
      <c r="V324" s="50">
        <f>Tableau119[[#This Row],[Day ILN Order]]+Tableau119[[#This Row],[Delivery time to ILN/Shipper]]-1</f>
        <v>22</v>
      </c>
      <c r="W324" s="50">
        <f>IFERROR(VLOOKUP(Tableau119[[#This Row],[Key(Compte ILN - shipper - POL - plant)]],'DATA ILN'!A:N,14,FALSE),VLOOKUP(Tableau119[[#This Row],[Key(Compte ILN - shipper - POL)]],'DATA ILN'!B:N,13,FALSE))</f>
        <v>3</v>
      </c>
      <c r="X324" s="50">
        <f>IFERROR(VLOOKUP(Tableau119[[#This Row],[Key(Compte ILN - shipper - POL - plant)]],'DATA ILN'!A:P,16,FALSE),VLOOKUP(Tableau119[[#This Row],[Key(Compte ILN - shipper - POL)]],'DATA ILN'!B:P,15,FALSE))</f>
        <v>5</v>
      </c>
      <c r="Y324" s="284" t="s">
        <v>150</v>
      </c>
      <c r="Z324" s="430">
        <f>IFERROR(VLOOKUP(Tableau119[[#This Row],[Name Shipper]],Plant_AILN!L:M,2,FALSE),0)</f>
        <v>2533780535</v>
      </c>
      <c r="AA324" s="406">
        <v>121</v>
      </c>
      <c r="AB324" s="396" t="str">
        <f>_xlfn.XLOOKUP(Tableau119[[#This Row],[Key(ID-date)]],'DATA BTO'!S:S,'DATA BTO'!E:E,FALSE)</f>
        <v>INNSA</v>
      </c>
      <c r="AC324" s="3" t="str">
        <f>_xlfn.XLOOKUP(Tableau119[[#This Row],[Key(ID-date)]],'DATA BTO'!S:S,'DATA BTO'!F:F,FALSE)</f>
        <v>MSC</v>
      </c>
      <c r="AD324" s="50">
        <f>_xlfn.XLOOKUP(Tableau119[[#This Row],[Key(ID-date)]],'DATA BTO'!S:S,'DATA BTO'!G:G,FALSE)</f>
        <v>2</v>
      </c>
      <c r="AE324" s="50">
        <f>_xlfn.XLOOKUP(Tableau119[[#This Row],[Key(ID-date)]],'DATA BTO'!S:S,'DATA BTO'!H:H,FALSE)</f>
        <v>4</v>
      </c>
      <c r="AF324" s="447">
        <f>IF(Tableau119[[#This Row],[First Day to POL]]&lt;=Tableau119[[#This Row],[Day Cut Off]],Tableau119[[#This Row],[Day ETD]],Tableau119[[#This Row],[Day ETD]]+7)</f>
        <v>11</v>
      </c>
      <c r="AG324" s="50">
        <f>_xlfn.XLOOKUP(Tableau119[[#This Row],[Key(ID-date)]],'DATA BTO'!S:S,'DATA BTO'!I:I,FALSE)</f>
        <v>81</v>
      </c>
      <c r="AH324" s="3" t="str">
        <f>_xlfn.XLOOKUP(Tableau119[[#This Row],[Key(ID-date)]],'DATA BTO'!S:S,'DATA BTO'!J:J,FALSE)</f>
        <v>CLSAI</v>
      </c>
      <c r="AI324" s="3">
        <f>_xlfn.XLOOKUP(Tableau119[[#This Row],[Key(ID-date)]],'DATA BTO'!S:S,'DATA BTO'!K:K,FALSE)</f>
        <v>3</v>
      </c>
      <c r="AJ324" s="50">
        <f>_xlfn.XLOOKUP(Tableau119[[#This Row],[Key(ID-date)]],'DATA BTO'!S:S,'DATA BTO'!L:L,FALSE)</f>
        <v>0</v>
      </c>
      <c r="AK324" s="53" t="str">
        <f>_xlfn.XLOOKUP(Tableau119[[#This Row],[Key(ID-date)]],'DATA BTO'!S:S,'DATA BTO'!N:N,FALSE)</f>
        <v>Marc-Aurele</v>
      </c>
      <c r="AL324" s="54">
        <f>VLOOKUP(Tableau119[[#This Row],[Key(POD -PFI- Usine)]],'DATA Consignee'!A:F,6,FALSE)</f>
        <v>2</v>
      </c>
      <c r="AM324" s="284"/>
      <c r="AN324" s="376" t="str">
        <f>IF(Tableau119[[#This Row],[Name PFI/CDD]]="","-",VLOOKUP(Tableau119[[#This Row],[Name PFI/CDD]],Plant_AILN!I:J,2,FALSE))</f>
        <v>-</v>
      </c>
      <c r="AO32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4" s="2">
        <f>VLOOKUP(Tableau119[[#This Row],[Key(POD -PFI- Usine)]],'DATA Consignee'!A:J,10,FALSE)</f>
        <v>0</v>
      </c>
      <c r="AR324" s="50">
        <f>VLOOKUP(Tableau119[[#This Row],[Key(POD -PFI- Usine)]],'DATA Consignee'!A:N,14,FALSE)</f>
        <v>2</v>
      </c>
      <c r="AS32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32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324" s="50">
        <f>Tableau119[[#This Row],[Transit time]]+Tableau119[[#This Row],[Time for security]]+Tableau119[[#This Row],[Time for security2 buffer]]</f>
        <v>84</v>
      </c>
      <c r="AV32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104</v>
      </c>
      <c r="AW324" s="50">
        <f>Tableau119[[#This Row],[Leadtime SI2C]]+Tableau119[[#This Row],[First Receipt Days]]-Tableau119[[#This Row],[Day Customer Order]]+1</f>
        <v>120</v>
      </c>
      <c r="AX324" s="119">
        <f>IF(Tableau119[[#This Row],[Name ILN]]&lt;&gt;"SFK Freight Forwarder",Tableau119[[#This Row],[Cust. Leadtime]],Tableau119[[#This Row],[Leadtime SI2C]])</f>
        <v>120</v>
      </c>
      <c r="AY324" s="51" t="str">
        <f>_xlfn.XLOOKUP(Tableau119[[#This Row],[Key(ID-date)]],'DATA BTO'!S:S,'DATA BTO'!P:P,FALSE)</f>
        <v>Renault &gt; Horse BPH</v>
      </c>
      <c r="AZ324" s="338">
        <v>46142</v>
      </c>
      <c r="BA324" s="50"/>
    </row>
    <row r="325" spans="2:53">
      <c r="B325" s="446" t="str">
        <f>_xlfn.CONCAT(Tableau119[[#This Row],[Name ILN]],"-",Tableau119[[#This Row],[Name Shipper]],"-",Tableau119[[#This Row],[Name Site]])</f>
        <v>ILN Pune-ILN Pune-CORMECANICA</v>
      </c>
      <c r="C325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5" s="66" t="str">
        <f>_xlfn.CONCAT(Tableau119[[#This Row],[Compte ILN]],"-",Tableau119[[#This Row],[Compte Shipper]],"-",Tableau119[[#This Row],[POL]])</f>
        <v>2533780535-2533780535-INNSA</v>
      </c>
      <c r="E325" s="130" t="str">
        <f>_xlfn.CONCAT(Tableau119[[#This Row],[POL]],"-",Tableau119[[#This Row],[Carrier]],"-",Tableau119[[#This Row],[POD]])</f>
        <v>INNSA-MSC-CLSAI</v>
      </c>
      <c r="F325" s="66" t="str">
        <f>_xlfn.CONCAT(Tableau119[[#This Row],[ID]],"-","Actif")</f>
        <v>121-Actif</v>
      </c>
      <c r="G325" s="66" t="str">
        <f>_xlfn.CONCAT(Tableau119[[#This Row],[POD]],"-",Tableau119[[#This Row],[Code PFI]],"-",Tableau119[[#This Row],[Compte Consignee]])</f>
        <v>CLSAI---90009500</v>
      </c>
      <c r="H3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5" s="434" t="str">
        <f>_xlfn.CONCAT(Tableau119[[#This Row],[ID]],"-",Tableau119[[#This Row],[Expiration Date]])</f>
        <v>121-45961</v>
      </c>
      <c r="J3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Pune-121-INNSA-MSC-CLSAI--45961</v>
      </c>
      <c r="K325" s="119" t="str">
        <f ca="1">IF(COUNTIF(J:J,Tableau119[[#This Row],[Plant-ILN-shipper-POL-Carrier-POD-PFI]])=1,"Non","Oui")</f>
        <v>Non</v>
      </c>
      <c r="L325" s="128" t="str">
        <f>VLOOKUP(Tableau119[[#This Row],[Name Site]],Plant_AILN!A:D,4,FALSE)</f>
        <v>CHILE</v>
      </c>
      <c r="M325" s="411" t="s">
        <v>142</v>
      </c>
      <c r="N325" s="454">
        <f>VLOOKUP(Tableau119[[#This Row],[Name Site]],Plant_AILN!A:C,3,FALSE)</f>
        <v>90009500</v>
      </c>
      <c r="O325" s="55">
        <f>VLOOKUP(Tableau119[[#This Row],[Compte Consignee]],Order!C:D,2,FALSE)</f>
        <v>7</v>
      </c>
      <c r="P325" s="124" t="s">
        <v>150</v>
      </c>
      <c r="Q325" s="365">
        <f>VLOOKUP(Tableau119[[#This Row],[Name ILN]],Plant_AILN!F:G,2,FALSE)</f>
        <v>2533780535</v>
      </c>
      <c r="R325" s="50">
        <f>VLOOKUP(Tableau119[[#This Row],[Compte ILN]],'DATA ILN'!D:I,6,FALSE)</f>
        <v>9</v>
      </c>
      <c r="S325" s="50">
        <f>IFERROR(VLOOKUP(Tableau119[[#This Row],[Key(Compte ILN - shipper - POL - plant)]],'DATA ILN'!A:J,10,FALSE),VLOOKUP(Tableau119[[#This Row],[Key(Compte ILN - shipper - POL)]],'DATA ILN'!B:J,9,FALSE))</f>
        <v>14</v>
      </c>
      <c r="T325" s="50">
        <f>IFERROR(VLOOKUP(Tableau119[[#This Row],[Key(Compte ILN - shipper - POL - plant)]],'DATA ILN'!A:K,11,FALSE),VLOOKUP(Tableau119[[#This Row],[Key(Compte ILN - shipper - POL)]],'DATA ILN'!B:K,10,FALSE))</f>
        <v>5</v>
      </c>
      <c r="U325" s="50">
        <f>IFERROR(VLOOKUP(Tableau119[[#This Row],[Key(Compte ILN - shipper - POL - plant)]],'DATA ILN'!A:L,12,FALSE),VLOOKUP(Tableau119[[#This Row],[Key(Compte ILN - shipper - POL)]],'DATA ILN'!B:L,11,FALSE))</f>
        <v>7</v>
      </c>
      <c r="V325" s="50">
        <f>Tableau119[[#This Row],[Day ILN Order]]+Tableau119[[#This Row],[Delivery time to ILN/Shipper]]-1</f>
        <v>22</v>
      </c>
      <c r="W325" s="50">
        <f>IFERROR(VLOOKUP(Tableau119[[#This Row],[Key(Compte ILN - shipper - POL - plant)]],'DATA ILN'!A:N,14,FALSE),VLOOKUP(Tableau119[[#This Row],[Key(Compte ILN - shipper - POL)]],'DATA ILN'!B:N,13,FALSE))</f>
        <v>3</v>
      </c>
      <c r="X325" s="50">
        <f>IFERROR(VLOOKUP(Tableau119[[#This Row],[Key(Compte ILN - shipper - POL - plant)]],'DATA ILN'!A:P,16,FALSE),VLOOKUP(Tableau119[[#This Row],[Key(Compte ILN - shipper - POL)]],'DATA ILN'!B:P,15,FALSE))</f>
        <v>5</v>
      </c>
      <c r="Y325" s="284" t="s">
        <v>150</v>
      </c>
      <c r="Z325" s="430">
        <f>IFERROR(VLOOKUP(Tableau119[[#This Row],[Name Shipper]],Plant_AILN!L:M,2,FALSE),0)</f>
        <v>2533780535</v>
      </c>
      <c r="AA325" s="406">
        <v>121</v>
      </c>
      <c r="AB325" s="396" t="str">
        <f>_xlfn.XLOOKUP(Tableau119[[#This Row],[Key(ID-date)]],'DATA BTO'!S:S,'DATA BTO'!E:E,FALSE)</f>
        <v>INNSA</v>
      </c>
      <c r="AC325" s="3" t="str">
        <f>_xlfn.XLOOKUP(Tableau119[[#This Row],[Key(ID-date)]],'DATA BTO'!S:S,'DATA BTO'!F:F,FALSE)</f>
        <v>MSC</v>
      </c>
      <c r="AD325" s="50">
        <f>_xlfn.XLOOKUP(Tableau119[[#This Row],[Key(ID-date)]],'DATA BTO'!S:S,'DATA BTO'!G:G,FALSE)</f>
        <v>2</v>
      </c>
      <c r="AE325" s="50">
        <f>_xlfn.XLOOKUP(Tableau119[[#This Row],[Key(ID-date)]],'DATA BTO'!S:S,'DATA BTO'!H:H,FALSE)</f>
        <v>4</v>
      </c>
      <c r="AF325" s="447">
        <f>IF(Tableau119[[#This Row],[First Day to POL]]&lt;=Tableau119[[#This Row],[Day Cut Off]],Tableau119[[#This Row],[Day ETD]],Tableau119[[#This Row],[Day ETD]]+7)</f>
        <v>11</v>
      </c>
      <c r="AG325" s="50">
        <f>_xlfn.XLOOKUP(Tableau119[[#This Row],[Key(ID-date)]],'DATA BTO'!S:S,'DATA BTO'!I:I,FALSE)</f>
        <v>61</v>
      </c>
      <c r="AH325" s="3" t="str">
        <f>_xlfn.XLOOKUP(Tableau119[[#This Row],[Key(ID-date)]],'DATA BTO'!S:S,'DATA BTO'!J:J,FALSE)</f>
        <v>CLSAI</v>
      </c>
      <c r="AI325" s="3">
        <f>_xlfn.XLOOKUP(Tableau119[[#This Row],[Key(ID-date)]],'DATA BTO'!S:S,'DATA BTO'!K:K,FALSE)</f>
        <v>3</v>
      </c>
      <c r="AJ325" s="50">
        <f>_xlfn.XLOOKUP(Tableau119[[#This Row],[Key(ID-date)]],'DATA BTO'!S:S,'DATA BTO'!L:L,FALSE)</f>
        <v>7</v>
      </c>
      <c r="AK325" s="53" t="str">
        <f>_xlfn.XLOOKUP(Tableau119[[#This Row],[Key(ID-date)]],'DATA BTO'!S:S,'DATA BTO'!N:N,FALSE)</f>
        <v>Marc-Aurele</v>
      </c>
      <c r="AL325" s="54">
        <f>VLOOKUP(Tableau119[[#This Row],[Key(POD -PFI- Usine)]],'DATA Consignee'!A:F,6,FALSE)</f>
        <v>2</v>
      </c>
      <c r="AM325" s="284"/>
      <c r="AN325" s="376" t="str">
        <f>IF(Tableau119[[#This Row],[Name PFI/CDD]]="","-",VLOOKUP(Tableau119[[#This Row],[Name PFI/CDD]],Plant_AILN!I:J,2,FALSE))</f>
        <v>-</v>
      </c>
      <c r="AO3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5" s="2">
        <f>VLOOKUP(Tableau119[[#This Row],[Key(POD -PFI- Usine)]],'DATA Consignee'!A:J,10,FALSE)</f>
        <v>0</v>
      </c>
      <c r="AR325" s="50">
        <f>VLOOKUP(Tableau119[[#This Row],[Key(POD -PFI- Usine)]],'DATA Consignee'!A:N,14,FALSE)</f>
        <v>2</v>
      </c>
      <c r="AS32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32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325" s="50">
        <f>Tableau119[[#This Row],[Transit time]]+Tableau119[[#This Row],[Time for security]]+Tableau119[[#This Row],[Time for security2 buffer]]</f>
        <v>71</v>
      </c>
      <c r="AV32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25" s="50">
        <f>Tableau119[[#This Row],[Leadtime SI2C]]+Tableau119[[#This Row],[First Receipt Days]]-Tableau119[[#This Row],[Day Customer Order]]+1</f>
        <v>113</v>
      </c>
      <c r="AX325" s="119">
        <f>IF(Tableau119[[#This Row],[Name ILN]]&lt;&gt;"SFK Freight Forwarder",Tableau119[[#This Row],[Cust. Leadtime]],Tableau119[[#This Row],[Leadtime SI2C]])</f>
        <v>113</v>
      </c>
      <c r="AY325" s="51" t="str">
        <f>_xlfn.XLOOKUP(Tableau119[[#This Row],[Key(ID-date)]],'DATA BTO'!S:S,'DATA BTO'!P:P,FALSE)</f>
        <v>Renault &gt; Horse BPH</v>
      </c>
      <c r="AZ325" s="338">
        <v>45961</v>
      </c>
      <c r="BA325" s="50"/>
    </row>
    <row r="326" spans="2:53">
      <c r="B326" s="446" t="str">
        <f>_xlfn.CONCAT(Tableau119[[#This Row],[Name ILN]],"-",Tableau119[[#This Row],[Name Shipper]],"-",Tableau119[[#This Row],[Name Site]])</f>
        <v>ILN Pune-ILN Pune-CORMECANICA</v>
      </c>
      <c r="C326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6" s="66" t="str">
        <f>_xlfn.CONCAT(Tableau119[[#This Row],[Compte ILN]],"-",Tableau119[[#This Row],[Compte Shipper]],"-",Tableau119[[#This Row],[POL]])</f>
        <v>2533780535-2533780535-INNSA</v>
      </c>
      <c r="E326" s="130" t="str">
        <f>_xlfn.CONCAT(Tableau119[[#This Row],[POL]],"-",Tableau119[[#This Row],[Carrier]],"-",Tableau119[[#This Row],[POD]])</f>
        <v>INNSA-Hapag-Lloyd-CLSAI</v>
      </c>
      <c r="F326" s="66" t="str">
        <f>_xlfn.CONCAT(Tableau119[[#This Row],[ID]],"-","Actif")</f>
        <v>121-Actif</v>
      </c>
      <c r="G326" s="66" t="str">
        <f>_xlfn.CONCAT(Tableau119[[#This Row],[POD]],"-",Tableau119[[#This Row],[Code PFI]],"-",Tableau119[[#This Row],[Compte Consignee]])</f>
        <v>CLSAI---90009500</v>
      </c>
      <c r="H3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6" s="502" t="str">
        <f>_xlfn.CONCAT(Tableau119[[#This Row],[ID]],"-",Tableau119[[#This Row],[Expiration Date]])</f>
        <v>121-45777</v>
      </c>
      <c r="J3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Pune-121-INNSA-Hapag-Lloyd-CLSAI--45777</v>
      </c>
      <c r="K326" s="119" t="str">
        <f ca="1">IF(COUNTIF(J:J,Tableau119[[#This Row],[Plant-ILN-shipper-POL-Carrier-POD-PFI]])=1,"Non","Oui")</f>
        <v>Non</v>
      </c>
      <c r="L326" s="128" t="str">
        <f>VLOOKUP(Tableau119[[#This Row],[Name Site]],Plant_AILN!A:D,4,FALSE)</f>
        <v>CHILE</v>
      </c>
      <c r="M326" s="415" t="s">
        <v>142</v>
      </c>
      <c r="N326" s="454">
        <f>VLOOKUP(Tableau119[[#This Row],[Name Site]],Plant_AILN!A:C,3,FALSE)</f>
        <v>90009500</v>
      </c>
      <c r="O326" s="55">
        <f>VLOOKUP(Tableau119[[#This Row],[Compte Consignee]],Order!C:D,2,FALSE)</f>
        <v>7</v>
      </c>
      <c r="P326" s="126" t="s">
        <v>150</v>
      </c>
      <c r="Q326" s="365">
        <f>VLOOKUP(Tableau119[[#This Row],[Name ILN]],Plant_AILN!F:G,2,FALSE)</f>
        <v>2533780535</v>
      </c>
      <c r="R326" s="50">
        <f>VLOOKUP(Tableau119[[#This Row],[Compte ILN]],'DATA ILN'!D:I,6,FALSE)</f>
        <v>9</v>
      </c>
      <c r="S326" s="50">
        <f>IFERROR(VLOOKUP(Tableau119[[#This Row],[Key(Compte ILN - shipper - POL - plant)]],'DATA ILN'!A:J,10,FALSE),VLOOKUP(Tableau119[[#This Row],[Key(Compte ILN - shipper - POL)]],'DATA ILN'!B:J,9,FALSE))</f>
        <v>14</v>
      </c>
      <c r="T326" s="50">
        <f>IFERROR(VLOOKUP(Tableau119[[#This Row],[Key(Compte ILN - shipper - POL - plant)]],'DATA ILN'!A:K,11,FALSE),VLOOKUP(Tableau119[[#This Row],[Key(Compte ILN - shipper - POL)]],'DATA ILN'!B:K,10,FALSE))</f>
        <v>5</v>
      </c>
      <c r="U326" s="50">
        <f>IFERROR(VLOOKUP(Tableau119[[#This Row],[Key(Compte ILN - shipper - POL - plant)]],'DATA ILN'!A:L,12,FALSE),VLOOKUP(Tableau119[[#This Row],[Key(Compte ILN - shipper - POL)]],'DATA ILN'!B:L,11,FALSE))</f>
        <v>7</v>
      </c>
      <c r="V326" s="50">
        <f>Tableau119[[#This Row],[Day ILN Order]]+Tableau119[[#This Row],[Delivery time to ILN/Shipper]]-1</f>
        <v>22</v>
      </c>
      <c r="W326" s="50">
        <f>IFERROR(VLOOKUP(Tableau119[[#This Row],[Key(Compte ILN - shipper - POL - plant)]],'DATA ILN'!A:N,14,FALSE),VLOOKUP(Tableau119[[#This Row],[Key(Compte ILN - shipper - POL)]],'DATA ILN'!B:N,13,FALSE))</f>
        <v>3</v>
      </c>
      <c r="X326" s="50">
        <f>IFERROR(VLOOKUP(Tableau119[[#This Row],[Key(Compte ILN - shipper - POL - plant)]],'DATA ILN'!A:P,16,FALSE),VLOOKUP(Tableau119[[#This Row],[Key(Compte ILN - shipper - POL)]],'DATA ILN'!B:P,15,FALSE))</f>
        <v>5</v>
      </c>
      <c r="Y326" s="102" t="s">
        <v>150</v>
      </c>
      <c r="Z326" s="430">
        <f>IFERROR(VLOOKUP(Tableau119[[#This Row],[Name Shipper]],Plant_AILN!L:M,2,FALSE),0)</f>
        <v>2533780535</v>
      </c>
      <c r="AA326" s="416">
        <v>121</v>
      </c>
      <c r="AB326" s="396" t="str">
        <f>_xlfn.XLOOKUP(Tableau119[[#This Row],[Key(ID-date)]],'DATA BTO'!S:S,'DATA BTO'!E:E,FALSE)</f>
        <v>INNSA</v>
      </c>
      <c r="AC326" s="3" t="str">
        <f>_xlfn.XLOOKUP(Tableau119[[#This Row],[Key(ID-date)]],'DATA BTO'!S:S,'DATA BTO'!F:F,FALSE)</f>
        <v>Hapag-Lloyd</v>
      </c>
      <c r="AD326" s="50">
        <f>_xlfn.XLOOKUP(Tableau119[[#This Row],[Key(ID-date)]],'DATA BTO'!S:S,'DATA BTO'!G:G,FALSE)</f>
        <v>2</v>
      </c>
      <c r="AE326" s="50">
        <f>_xlfn.XLOOKUP(Tableau119[[#This Row],[Key(ID-date)]],'DATA BTO'!S:S,'DATA BTO'!H:H,FALSE)</f>
        <v>4</v>
      </c>
      <c r="AF326" s="447">
        <f>IF(Tableau119[[#This Row],[First Day to POL]]&lt;=Tableau119[[#This Row],[Day Cut Off]],Tableau119[[#This Row],[Day ETD]],Tableau119[[#This Row],[Day ETD]]+7)</f>
        <v>11</v>
      </c>
      <c r="AG326" s="50">
        <f>_xlfn.XLOOKUP(Tableau119[[#This Row],[Key(ID-date)]],'DATA BTO'!S:S,'DATA BTO'!I:I,FALSE)</f>
        <v>63</v>
      </c>
      <c r="AH326" s="3" t="str">
        <f>_xlfn.XLOOKUP(Tableau119[[#This Row],[Key(ID-date)]],'DATA BTO'!S:S,'DATA BTO'!J:J,FALSE)</f>
        <v>CLSAI</v>
      </c>
      <c r="AI326" s="3">
        <f>_xlfn.XLOOKUP(Tableau119[[#This Row],[Key(ID-date)]],'DATA BTO'!S:S,'DATA BTO'!K:K,FALSE)</f>
        <v>3</v>
      </c>
      <c r="AJ326" s="50">
        <f>_xlfn.XLOOKUP(Tableau119[[#This Row],[Key(ID-date)]],'DATA BTO'!S:S,'DATA BTO'!L:L,FALSE)</f>
        <v>7</v>
      </c>
      <c r="AK326" s="53" t="str">
        <f>_xlfn.XLOOKUP(Tableau119[[#This Row],[Key(ID-date)]],'DATA BTO'!S:S,'DATA BTO'!N:N,FALSE)</f>
        <v>Anthony</v>
      </c>
      <c r="AL326" s="54">
        <f>VLOOKUP(Tableau119[[#This Row],[Key(POD -PFI- Usine)]],'DATA Consignee'!A:F,6,FALSE)</f>
        <v>2</v>
      </c>
      <c r="AM326" s="102"/>
      <c r="AN326" s="376" t="str">
        <f>IF(Tableau119[[#This Row],[Name PFI/CDD]]="","-",VLOOKUP(Tableau119[[#This Row],[Name PFI/CDD]],Plant_AILN!I:J,2,FALSE))</f>
        <v>-</v>
      </c>
      <c r="AO3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6" s="2">
        <f>VLOOKUP(Tableau119[[#This Row],[Key(POD -PFI- Usine)]],'DATA Consignee'!A:J,10,FALSE)</f>
        <v>0</v>
      </c>
      <c r="AR326" s="50">
        <f>VLOOKUP(Tableau119[[#This Row],[Key(POD -PFI- Usine)]],'DATA Consignee'!A:N,14,FALSE)</f>
        <v>2</v>
      </c>
      <c r="AS32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32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326" s="50">
        <f>Tableau119[[#This Row],[Transit time]]+Tableau119[[#This Row],[Time for security]]+Tableau119[[#This Row],[Time for security2 buffer]]</f>
        <v>73</v>
      </c>
      <c r="AV32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326" s="50">
        <f>Tableau119[[#This Row],[Leadtime SI2C]]+Tableau119[[#This Row],[First Receipt Days]]-Tableau119[[#This Row],[Day Customer Order]]+1</f>
        <v>113</v>
      </c>
      <c r="AX326" s="119">
        <f>IF(Tableau119[[#This Row],[Name ILN]]&lt;&gt;"SFK Freight Forwarder",Tableau119[[#This Row],[Cust. Leadtime]],Tableau119[[#This Row],[Leadtime SI2C]])</f>
        <v>113</v>
      </c>
      <c r="AY326" s="51" t="str">
        <f>_xlfn.XLOOKUP(Tableau119[[#This Row],[Key(ID-date)]],'DATA BTO'!S:S,'DATA BTO'!P:P,FALSE)</f>
        <v>Renault &gt; Horse BPH</v>
      </c>
      <c r="AZ326" s="388">
        <v>45777</v>
      </c>
      <c r="BA326" s="81"/>
    </row>
    <row r="327" spans="2:53">
      <c r="B327" s="446" t="str">
        <f>_xlfn.CONCAT(Tableau119[[#This Row],[Name ILN]],"-",Tableau119[[#This Row],[Name Shipper]],"-",Tableau119[[#This Row],[Name Site]])</f>
        <v>ILN Pune-ILN Pune-CORMECANICA</v>
      </c>
      <c r="C327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7" s="66" t="str">
        <f>_xlfn.CONCAT(Tableau119[[#This Row],[Compte ILN]],"-",Tableau119[[#This Row],[Compte Shipper]],"-",Tableau119[[#This Row],[POL]])</f>
        <v>2533780535-2533780535-INNSA</v>
      </c>
      <c r="E327" s="130" t="str">
        <f>_xlfn.CONCAT(Tableau119[[#This Row],[POL]],"-",Tableau119[[#This Row],[Carrier]],"-",Tableau119[[#This Row],[POD]])</f>
        <v>INNSA-Hapag-Lloyd-CLSAI</v>
      </c>
      <c r="F327" s="66" t="str">
        <f>_xlfn.CONCAT(Tableau119[[#This Row],[ID]],"-","Actif")</f>
        <v>121-Actif</v>
      </c>
      <c r="G327" s="66" t="str">
        <f>_xlfn.CONCAT(Tableau119[[#This Row],[POD]],"-",Tableau119[[#This Row],[Code PFI]],"-",Tableau119[[#This Row],[Compte Consignee]])</f>
        <v>CLSAI---90009500</v>
      </c>
      <c r="H3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7" s="434" t="str">
        <f>_xlfn.CONCAT(Tableau119[[#This Row],[ID]],"-",Tableau119[[#This Row],[Expiration Date]])</f>
        <v>121-45676</v>
      </c>
      <c r="J3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Pune-121-INNSA-Hapag-Lloyd-CLSAI--45676</v>
      </c>
      <c r="K327" s="119" t="str">
        <f ca="1">IF(COUNTIF(J:J,Tableau119[[#This Row],[Plant-ILN-shipper-POL-Carrier-POD-PFI]])=1,"Non","Oui")</f>
        <v>Non</v>
      </c>
      <c r="L327" s="128" t="str">
        <f>VLOOKUP(Tableau119[[#This Row],[Name Site]],Plant_AILN!A:D,4,FALSE)</f>
        <v>CHILE</v>
      </c>
      <c r="M327" s="411" t="s">
        <v>142</v>
      </c>
      <c r="N327" s="454">
        <f>VLOOKUP(Tableau119[[#This Row],[Name Site]],Plant_AILN!A:C,3,FALSE)</f>
        <v>90009500</v>
      </c>
      <c r="O327" s="55">
        <f>VLOOKUP(Tableau119[[#This Row],[Compte Consignee]],Order!C:D,2,FALSE)</f>
        <v>7</v>
      </c>
      <c r="P327" s="124" t="s">
        <v>150</v>
      </c>
      <c r="Q327" s="365">
        <f>VLOOKUP(Tableau119[[#This Row],[Name ILN]],Plant_AILN!F:G,2,FALSE)</f>
        <v>2533780535</v>
      </c>
      <c r="R327" s="50">
        <f>VLOOKUP(Tableau119[[#This Row],[Compte ILN]],'DATA ILN'!D:I,6,FALSE)</f>
        <v>9</v>
      </c>
      <c r="S327" s="50">
        <f>IFERROR(VLOOKUP(Tableau119[[#This Row],[Key(Compte ILN - shipper - POL - plant)]],'DATA ILN'!A:J,10,FALSE),VLOOKUP(Tableau119[[#This Row],[Key(Compte ILN - shipper - POL)]],'DATA ILN'!B:J,9,FALSE))</f>
        <v>14</v>
      </c>
      <c r="T327" s="50">
        <f>IFERROR(VLOOKUP(Tableau119[[#This Row],[Key(Compte ILN - shipper - POL - plant)]],'DATA ILN'!A:K,11,FALSE),VLOOKUP(Tableau119[[#This Row],[Key(Compte ILN - shipper - POL)]],'DATA ILN'!B:K,10,FALSE))</f>
        <v>5</v>
      </c>
      <c r="U327" s="50">
        <f>IFERROR(VLOOKUP(Tableau119[[#This Row],[Key(Compte ILN - shipper - POL - plant)]],'DATA ILN'!A:L,12,FALSE),VLOOKUP(Tableau119[[#This Row],[Key(Compte ILN - shipper - POL)]],'DATA ILN'!B:L,11,FALSE))</f>
        <v>7</v>
      </c>
      <c r="V327" s="50">
        <f>Tableau119[[#This Row],[Day ILN Order]]+Tableau119[[#This Row],[Delivery time to ILN/Shipper]]-1</f>
        <v>22</v>
      </c>
      <c r="W327" s="50">
        <f>IFERROR(VLOOKUP(Tableau119[[#This Row],[Key(Compte ILN - shipper - POL - plant)]],'DATA ILN'!A:N,14,FALSE),VLOOKUP(Tableau119[[#This Row],[Key(Compte ILN - shipper - POL)]],'DATA ILN'!B:N,13,FALSE))</f>
        <v>3</v>
      </c>
      <c r="X327" s="50">
        <f>IFERROR(VLOOKUP(Tableau119[[#This Row],[Key(Compte ILN - shipper - POL - plant)]],'DATA ILN'!A:P,16,FALSE),VLOOKUP(Tableau119[[#This Row],[Key(Compte ILN - shipper - POL)]],'DATA ILN'!B:P,15,FALSE))</f>
        <v>5</v>
      </c>
      <c r="Y327" s="284" t="s">
        <v>150</v>
      </c>
      <c r="Z327" s="430">
        <f>IFERROR(VLOOKUP(Tableau119[[#This Row],[Name Shipper]],Plant_AILN!L:M,2,FALSE),0)</f>
        <v>2533780535</v>
      </c>
      <c r="AA327" s="406">
        <v>121</v>
      </c>
      <c r="AB327" s="396" t="str">
        <f>_xlfn.XLOOKUP(Tableau119[[#This Row],[Key(ID-date)]],'DATA BTO'!S:S,'DATA BTO'!E:E,FALSE)</f>
        <v>INNSA</v>
      </c>
      <c r="AC327" s="3" t="str">
        <f>_xlfn.XLOOKUP(Tableau119[[#This Row],[Key(ID-date)]],'DATA BTO'!S:S,'DATA BTO'!F:F,FALSE)</f>
        <v>Hapag-Lloyd</v>
      </c>
      <c r="AD327" s="50">
        <f>_xlfn.XLOOKUP(Tableau119[[#This Row],[Key(ID-date)]],'DATA BTO'!S:S,'DATA BTO'!G:G,FALSE)</f>
        <v>2</v>
      </c>
      <c r="AE327" s="50">
        <f>_xlfn.XLOOKUP(Tableau119[[#This Row],[Key(ID-date)]],'DATA BTO'!S:S,'DATA BTO'!H:H,FALSE)</f>
        <v>4</v>
      </c>
      <c r="AF327" s="447">
        <f>IF(Tableau119[[#This Row],[First Day to POL]]&lt;=Tableau119[[#This Row],[Day Cut Off]],Tableau119[[#This Row],[Day ETD]],Tableau119[[#This Row],[Day ETD]]+7)</f>
        <v>11</v>
      </c>
      <c r="AG327" s="50">
        <f>_xlfn.XLOOKUP(Tableau119[[#This Row],[Key(ID-date)]],'DATA BTO'!S:S,'DATA BTO'!I:I,FALSE)</f>
        <v>63</v>
      </c>
      <c r="AH327" s="3" t="str">
        <f>_xlfn.XLOOKUP(Tableau119[[#This Row],[Key(ID-date)]],'DATA BTO'!S:S,'DATA BTO'!J:J,FALSE)</f>
        <v>CLSAI</v>
      </c>
      <c r="AI327" s="3">
        <f>_xlfn.XLOOKUP(Tableau119[[#This Row],[Key(ID-date)]],'DATA BTO'!S:S,'DATA BTO'!K:K,FALSE)</f>
        <v>3</v>
      </c>
      <c r="AJ327" s="50">
        <f>_xlfn.XLOOKUP(Tableau119[[#This Row],[Key(ID-date)]],'DATA BTO'!S:S,'DATA BTO'!L:L,FALSE)</f>
        <v>0</v>
      </c>
      <c r="AK327" s="53" t="str">
        <f>_xlfn.XLOOKUP(Tableau119[[#This Row],[Key(ID-date)]],'DATA BTO'!S:S,'DATA BTO'!N:N,FALSE)</f>
        <v>Anthony</v>
      </c>
      <c r="AL327" s="54">
        <f>VLOOKUP(Tableau119[[#This Row],[Key(POD -PFI- Usine)]],'DATA Consignee'!A:F,6,FALSE)</f>
        <v>2</v>
      </c>
      <c r="AM327" s="284"/>
      <c r="AN327" s="376" t="str">
        <f>IF(Tableau119[[#This Row],[Name PFI/CDD]]="","-",VLOOKUP(Tableau119[[#This Row],[Name PFI/CDD]],Plant_AILN!I:J,2,FALSE))</f>
        <v>-</v>
      </c>
      <c r="AO3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7" s="2">
        <f>VLOOKUP(Tableau119[[#This Row],[Key(POD -PFI- Usine)]],'DATA Consignee'!A:J,10,FALSE)</f>
        <v>0</v>
      </c>
      <c r="AR327" s="50">
        <f>VLOOKUP(Tableau119[[#This Row],[Key(POD -PFI- Usine)]],'DATA Consignee'!A:N,14,FALSE)</f>
        <v>2</v>
      </c>
      <c r="AS32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32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327" s="50">
        <f>Tableau119[[#This Row],[Transit time]]+Tableau119[[#This Row],[Time for security]]+Tableau119[[#This Row],[Time for security2 buffer]]</f>
        <v>66</v>
      </c>
      <c r="AV32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327" s="50">
        <f>Tableau119[[#This Row],[Leadtime SI2C]]+Tableau119[[#This Row],[First Receipt Days]]-Tableau119[[#This Row],[Day Customer Order]]+1</f>
        <v>106</v>
      </c>
      <c r="AX327" s="119">
        <f>IF(Tableau119[[#This Row],[Name ILN]]&lt;&gt;"SFK Freight Forwarder",Tableau119[[#This Row],[Cust. Leadtime]],Tableau119[[#This Row],[Leadtime SI2C]])</f>
        <v>106</v>
      </c>
      <c r="AY327" s="51" t="str">
        <f>_xlfn.XLOOKUP(Tableau119[[#This Row],[Key(ID-date)]],'DATA BTO'!S:S,'DATA BTO'!P:P,FALSE)</f>
        <v>Renault &gt; Horse BPH</v>
      </c>
      <c r="AZ327" s="338">
        <v>45676</v>
      </c>
      <c r="BA327" s="50"/>
    </row>
    <row r="328" spans="2:53">
      <c r="B328" s="446" t="str">
        <f>_xlfn.CONCAT(Tableau119[[#This Row],[Name ILN]],"-",Tableau119[[#This Row],[Name Shipper]],"-",Tableau119[[#This Row],[Name Site]])</f>
        <v>ILN Pune-ILN Pune-CORMECANICA</v>
      </c>
      <c r="C328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8" s="66" t="str">
        <f>_xlfn.CONCAT(Tableau119[[#This Row],[Compte ILN]],"-",Tableau119[[#This Row],[Compte Shipper]],"-",Tableau119[[#This Row],[POL]])</f>
        <v>2533780535-2533780535-INNSA</v>
      </c>
      <c r="E328" s="130" t="str">
        <f>_xlfn.CONCAT(Tableau119[[#This Row],[POL]],"-",Tableau119[[#This Row],[Carrier]],"-",Tableau119[[#This Row],[POD]])</f>
        <v>INNSA-Hapag-Lloyd-CLVAP</v>
      </c>
      <c r="F328" s="66" t="str">
        <f>_xlfn.CONCAT(Tableau119[[#This Row],[ID]],"-","Actif")</f>
        <v>121-Actif</v>
      </c>
      <c r="G328" s="66" t="str">
        <f>_xlfn.CONCAT(Tableau119[[#This Row],[POD]],"-",Tableau119[[#This Row],[Code PFI]],"-",Tableau119[[#This Row],[Compte Consignee]])</f>
        <v>CLVAP---90009500</v>
      </c>
      <c r="H3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8" s="434" t="str">
        <f>_xlfn.CONCAT(Tableau119[[#This Row],[ID]],"-",Tableau119[[#This Row],[Expiration Date]])</f>
        <v>121-45473</v>
      </c>
      <c r="J3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Pune-121-INNSA-Hapag-Lloyd-CLVAP--45473</v>
      </c>
      <c r="K328" s="119" t="str">
        <f ca="1">IF(COUNTIF(J:J,Tableau119[[#This Row],[Plant-ILN-shipper-POL-Carrier-POD-PFI]])=1,"Non","Oui")</f>
        <v>Non</v>
      </c>
      <c r="L328" s="128" t="str">
        <f>VLOOKUP(Tableau119[[#This Row],[Name Site]],Plant_AILN!A:D,4,FALSE)</f>
        <v>CHILE</v>
      </c>
      <c r="M328" s="411" t="s">
        <v>142</v>
      </c>
      <c r="N328" s="454">
        <f>VLOOKUP(Tableau119[[#This Row],[Name Site]],Plant_AILN!A:C,3,FALSE)</f>
        <v>90009500</v>
      </c>
      <c r="O328" s="55">
        <f>VLOOKUP(Tableau119[[#This Row],[Compte Consignee]],Order!C:D,2,FALSE)</f>
        <v>7</v>
      </c>
      <c r="P328" s="124" t="s">
        <v>150</v>
      </c>
      <c r="Q328" s="365">
        <f>VLOOKUP(Tableau119[[#This Row],[Name ILN]],Plant_AILN!F:G,2,FALSE)</f>
        <v>2533780535</v>
      </c>
      <c r="R328" s="50">
        <f>VLOOKUP(Tableau119[[#This Row],[Compte ILN]],'DATA ILN'!D:I,6,FALSE)</f>
        <v>9</v>
      </c>
      <c r="S328" s="50">
        <f>IFERROR(VLOOKUP(Tableau119[[#This Row],[Key(Compte ILN - shipper - POL - plant)]],'DATA ILN'!A:J,10,FALSE),VLOOKUP(Tableau119[[#This Row],[Key(Compte ILN - shipper - POL)]],'DATA ILN'!B:J,9,FALSE))</f>
        <v>14</v>
      </c>
      <c r="T328" s="50">
        <f>IFERROR(VLOOKUP(Tableau119[[#This Row],[Key(Compte ILN - shipper - POL - plant)]],'DATA ILN'!A:K,11,FALSE),VLOOKUP(Tableau119[[#This Row],[Key(Compte ILN - shipper - POL)]],'DATA ILN'!B:K,10,FALSE))</f>
        <v>5</v>
      </c>
      <c r="U328" s="50">
        <f>IFERROR(VLOOKUP(Tableau119[[#This Row],[Key(Compte ILN - shipper - POL - plant)]],'DATA ILN'!A:L,12,FALSE),VLOOKUP(Tableau119[[#This Row],[Key(Compte ILN - shipper - POL)]],'DATA ILN'!B:L,11,FALSE))</f>
        <v>7</v>
      </c>
      <c r="V328" s="50">
        <f>Tableau119[[#This Row],[Day ILN Order]]+Tableau119[[#This Row],[Delivery time to ILN/Shipper]]-1</f>
        <v>22</v>
      </c>
      <c r="W328" s="50">
        <f>IFERROR(VLOOKUP(Tableau119[[#This Row],[Key(Compte ILN - shipper - POL - plant)]],'DATA ILN'!A:N,14,FALSE),VLOOKUP(Tableau119[[#This Row],[Key(Compte ILN - shipper - POL)]],'DATA ILN'!B:N,13,FALSE))</f>
        <v>3</v>
      </c>
      <c r="X328" s="50">
        <f>IFERROR(VLOOKUP(Tableau119[[#This Row],[Key(Compte ILN - shipper - POL - plant)]],'DATA ILN'!A:P,16,FALSE),VLOOKUP(Tableau119[[#This Row],[Key(Compte ILN - shipper - POL)]],'DATA ILN'!B:P,15,FALSE))</f>
        <v>5</v>
      </c>
      <c r="Y328" s="284" t="s">
        <v>150</v>
      </c>
      <c r="Z328" s="430">
        <f>IFERROR(VLOOKUP(Tableau119[[#This Row],[Name Shipper]],Plant_AILN!L:M,2,FALSE),0)</f>
        <v>2533780535</v>
      </c>
      <c r="AA328" s="406">
        <v>121</v>
      </c>
      <c r="AB328" s="396" t="str">
        <f>_xlfn.XLOOKUP(Tableau119[[#This Row],[Key(ID-date)]],'DATA BTO'!S:S,'DATA BTO'!E:E,FALSE)</f>
        <v>INNSA</v>
      </c>
      <c r="AC328" s="3" t="str">
        <f>_xlfn.XLOOKUP(Tableau119[[#This Row],[Key(ID-date)]],'DATA BTO'!S:S,'DATA BTO'!F:F,FALSE)</f>
        <v>Hapag-Lloyd</v>
      </c>
      <c r="AD328" s="50">
        <f>_xlfn.XLOOKUP(Tableau119[[#This Row],[Key(ID-date)]],'DATA BTO'!S:S,'DATA BTO'!G:G,FALSE)</f>
        <v>2</v>
      </c>
      <c r="AE328" s="50">
        <f>_xlfn.XLOOKUP(Tableau119[[#This Row],[Key(ID-date)]],'DATA BTO'!S:S,'DATA BTO'!H:H,FALSE)</f>
        <v>4</v>
      </c>
      <c r="AF328" s="447">
        <f>IF(Tableau119[[#This Row],[First Day to POL]]&lt;=Tableau119[[#This Row],[Day Cut Off]],Tableau119[[#This Row],[Day ETD]],Tableau119[[#This Row],[Day ETD]]+7)</f>
        <v>11</v>
      </c>
      <c r="AG328" s="50">
        <f>_xlfn.XLOOKUP(Tableau119[[#This Row],[Key(ID-date)]],'DATA BTO'!S:S,'DATA BTO'!I:I,FALSE)</f>
        <v>63</v>
      </c>
      <c r="AH328" s="3" t="str">
        <f>_xlfn.XLOOKUP(Tableau119[[#This Row],[Key(ID-date)]],'DATA BTO'!S:S,'DATA BTO'!J:J,FALSE)</f>
        <v>CLVAP</v>
      </c>
      <c r="AI328" s="3">
        <f>_xlfn.XLOOKUP(Tableau119[[#This Row],[Key(ID-date)]],'DATA BTO'!S:S,'DATA BTO'!K:K,FALSE)</f>
        <v>3</v>
      </c>
      <c r="AJ328" s="50">
        <f>_xlfn.XLOOKUP(Tableau119[[#This Row],[Key(ID-date)]],'DATA BTO'!S:S,'DATA BTO'!L:L,FALSE)</f>
        <v>0</v>
      </c>
      <c r="AK328" s="53" t="str">
        <f>_xlfn.XLOOKUP(Tableau119[[#This Row],[Key(ID-date)]],'DATA BTO'!S:S,'DATA BTO'!N:N,FALSE)</f>
        <v>Anthony</v>
      </c>
      <c r="AL328" s="54">
        <f>VLOOKUP(Tableau119[[#This Row],[Key(POD -PFI- Usine)]],'DATA Consignee'!A:F,6,FALSE)</f>
        <v>2</v>
      </c>
      <c r="AM328" s="284"/>
      <c r="AN328" s="376" t="str">
        <f>IF(Tableau119[[#This Row],[Name PFI/CDD]]="","-",VLOOKUP(Tableau119[[#This Row],[Name PFI/CDD]],Plant_AILN!I:J,2,FALSE))</f>
        <v>-</v>
      </c>
      <c r="AO3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8" s="2">
        <f>VLOOKUP(Tableau119[[#This Row],[Key(POD -PFI- Usine)]],'DATA Consignee'!A:J,10,FALSE)</f>
        <v>0</v>
      </c>
      <c r="AR328" s="50">
        <f>VLOOKUP(Tableau119[[#This Row],[Key(POD -PFI- Usine)]],'DATA Consignee'!A:N,14,FALSE)</f>
        <v>2</v>
      </c>
      <c r="AS32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32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328" s="50">
        <f>Tableau119[[#This Row],[Transit time]]+Tableau119[[#This Row],[Time for security]]+Tableau119[[#This Row],[Time for security2 buffer]]</f>
        <v>66</v>
      </c>
      <c r="AV32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328" s="50">
        <f>Tableau119[[#This Row],[Leadtime SI2C]]+Tableau119[[#This Row],[First Receipt Days]]-Tableau119[[#This Row],[Day Customer Order]]+1</f>
        <v>106</v>
      </c>
      <c r="AX328" s="119">
        <f>IF(Tableau119[[#This Row],[Name ILN]]&lt;&gt;"SFK Freight Forwarder",Tableau119[[#This Row],[Cust. Leadtime]],Tableau119[[#This Row],[Leadtime SI2C]])</f>
        <v>106</v>
      </c>
      <c r="AY328" s="51" t="str">
        <f>_xlfn.XLOOKUP(Tableau119[[#This Row],[Key(ID-date)]],'DATA BTO'!S:S,'DATA BTO'!P:P,FALSE)</f>
        <v>Renault &gt; Horse BPH</v>
      </c>
      <c r="AZ328" s="338">
        <v>45473</v>
      </c>
      <c r="BA328" s="50"/>
    </row>
    <row r="329" spans="2:53">
      <c r="B329" s="446" t="str">
        <f>_xlfn.CONCAT(Tableau119[[#This Row],[Name ILN]],"-",Tableau119[[#This Row],[Name Shipper]],"-",Tableau119[[#This Row],[Name Site]])</f>
        <v>ILN Pune-ILN Pune-CORMECANICA</v>
      </c>
      <c r="C329" s="66" t="str">
        <f>_xlfn.CONCAT(Tableau119[[#This Row],[Compte ILN]],"-",Tableau119[[#This Row],[Compte Shipper]],"-",Tableau119[[#This Row],[POL]],"-",Tableau119[[#This Row],[Compte Consignee]])</f>
        <v>2533780535-2533780535-INNSA-90009500</v>
      </c>
      <c r="D329" s="66" t="str">
        <f>_xlfn.CONCAT(Tableau119[[#This Row],[Compte ILN]],"-",Tableau119[[#This Row],[Compte Shipper]],"-",Tableau119[[#This Row],[POL]])</f>
        <v>2533780535-2533780535-INNSA</v>
      </c>
      <c r="E329" s="130" t="str">
        <f>_xlfn.CONCAT(Tableau119[[#This Row],[POL]],"-",Tableau119[[#This Row],[Carrier]],"-",Tableau119[[#This Row],[POD]])</f>
        <v>INNSA-Maersk-CLVAP</v>
      </c>
      <c r="F329" s="66" t="str">
        <f>_xlfn.CONCAT(Tableau119[[#This Row],[ID]],"-","Actif")</f>
        <v>121-Actif</v>
      </c>
      <c r="G329" s="66" t="str">
        <f>_xlfn.CONCAT(Tableau119[[#This Row],[POD]],"-",Tableau119[[#This Row],[Code PFI]],"-",Tableau119[[#This Row],[Compte Consignee]])</f>
        <v>CLVAP---90009500</v>
      </c>
      <c r="H3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PuneINNSACORMECANICA</v>
      </c>
      <c r="I329" s="434" t="str">
        <f>_xlfn.CONCAT(Tableau119[[#This Row],[ID]],"-",Tableau119[[#This Row],[Expiration Date]])</f>
        <v>121-45412</v>
      </c>
      <c r="J3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Pune-ILN Pune-121-INNSA-Maersk-CLVAP--45412</v>
      </c>
      <c r="K329" s="119" t="str">
        <f ca="1">IF(COUNTIF(J:J,Tableau119[[#This Row],[Plant-ILN-shipper-POL-Carrier-POD-PFI]])=1,"Non","Oui")</f>
        <v>Non</v>
      </c>
      <c r="L329" s="128" t="str">
        <f>VLOOKUP(Tableau119[[#This Row],[Name Site]],Plant_AILN!A:D,4,FALSE)</f>
        <v>CHILE</v>
      </c>
      <c r="M329" s="411" t="s">
        <v>142</v>
      </c>
      <c r="N329" s="454">
        <f>VLOOKUP(Tableau119[[#This Row],[Name Site]],Plant_AILN!A:C,3,FALSE)</f>
        <v>90009500</v>
      </c>
      <c r="O329" s="55">
        <f>VLOOKUP(Tableau119[[#This Row],[Compte Consignee]],Order!C:D,2,FALSE)</f>
        <v>7</v>
      </c>
      <c r="P329" s="124" t="s">
        <v>150</v>
      </c>
      <c r="Q329" s="365">
        <f>VLOOKUP(Tableau119[[#This Row],[Name ILN]],Plant_AILN!F:G,2,FALSE)</f>
        <v>2533780535</v>
      </c>
      <c r="R329" s="50">
        <f>VLOOKUP(Tableau119[[#This Row],[Compte ILN]],'DATA ILN'!D:I,6,FALSE)</f>
        <v>9</v>
      </c>
      <c r="S329" s="50">
        <f>IFERROR(VLOOKUP(Tableau119[[#This Row],[Key(Compte ILN - shipper - POL - plant)]],'DATA ILN'!A:J,10,FALSE),VLOOKUP(Tableau119[[#This Row],[Key(Compte ILN - shipper - POL)]],'DATA ILN'!B:J,9,FALSE))</f>
        <v>14</v>
      </c>
      <c r="T329" s="50">
        <f>IFERROR(VLOOKUP(Tableau119[[#This Row],[Key(Compte ILN - shipper - POL - plant)]],'DATA ILN'!A:K,11,FALSE),VLOOKUP(Tableau119[[#This Row],[Key(Compte ILN - shipper - POL)]],'DATA ILN'!B:K,10,FALSE))</f>
        <v>5</v>
      </c>
      <c r="U329" s="50">
        <f>IFERROR(VLOOKUP(Tableau119[[#This Row],[Key(Compte ILN - shipper - POL - plant)]],'DATA ILN'!A:L,12,FALSE),VLOOKUP(Tableau119[[#This Row],[Key(Compte ILN - shipper - POL)]],'DATA ILN'!B:L,11,FALSE))</f>
        <v>7</v>
      </c>
      <c r="V329" s="50">
        <f>Tableau119[[#This Row],[Day ILN Order]]+Tableau119[[#This Row],[Delivery time to ILN/Shipper]]-1</f>
        <v>22</v>
      </c>
      <c r="W329" s="50">
        <f>IFERROR(VLOOKUP(Tableau119[[#This Row],[Key(Compte ILN - shipper - POL - plant)]],'DATA ILN'!A:N,14,FALSE),VLOOKUP(Tableau119[[#This Row],[Key(Compte ILN - shipper - POL)]],'DATA ILN'!B:N,13,FALSE))</f>
        <v>3</v>
      </c>
      <c r="X329" s="50">
        <f>IFERROR(VLOOKUP(Tableau119[[#This Row],[Key(Compte ILN - shipper - POL - plant)]],'DATA ILN'!A:P,16,FALSE),VLOOKUP(Tableau119[[#This Row],[Key(Compte ILN - shipper - POL)]],'DATA ILN'!B:P,15,FALSE))</f>
        <v>5</v>
      </c>
      <c r="Y329" s="284" t="s">
        <v>150</v>
      </c>
      <c r="Z329" s="430">
        <f>IFERROR(VLOOKUP(Tableau119[[#This Row],[Name Shipper]],Plant_AILN!L:M,2,FALSE),0)</f>
        <v>2533780535</v>
      </c>
      <c r="AA329" s="406">
        <v>121</v>
      </c>
      <c r="AB329" s="396" t="str">
        <f>_xlfn.XLOOKUP(Tableau119[[#This Row],[Key(ID-date)]],'DATA BTO'!S:S,'DATA BTO'!E:E,FALSE)</f>
        <v>INNSA</v>
      </c>
      <c r="AC329" s="3" t="str">
        <f>_xlfn.XLOOKUP(Tableau119[[#This Row],[Key(ID-date)]],'DATA BTO'!S:S,'DATA BTO'!F:F,FALSE)</f>
        <v>Maersk</v>
      </c>
      <c r="AD329" s="50">
        <f>_xlfn.XLOOKUP(Tableau119[[#This Row],[Key(ID-date)]],'DATA BTO'!S:S,'DATA BTO'!G:G,FALSE)</f>
        <v>3</v>
      </c>
      <c r="AE329" s="50">
        <f>_xlfn.XLOOKUP(Tableau119[[#This Row],[Key(ID-date)]],'DATA BTO'!S:S,'DATA BTO'!H:H,FALSE)</f>
        <v>5</v>
      </c>
      <c r="AF329" s="447">
        <f>IF(Tableau119[[#This Row],[First Day to POL]]&lt;=Tableau119[[#This Row],[Day Cut Off]],Tableau119[[#This Row],[Day ETD]],Tableau119[[#This Row],[Day ETD]]+7)</f>
        <v>12</v>
      </c>
      <c r="AG329" s="50">
        <f>_xlfn.XLOOKUP(Tableau119[[#This Row],[Key(ID-date)]],'DATA BTO'!S:S,'DATA BTO'!I:I,FALSE)</f>
        <v>54</v>
      </c>
      <c r="AH329" s="3" t="str">
        <f>_xlfn.XLOOKUP(Tableau119[[#This Row],[Key(ID-date)]],'DATA BTO'!S:S,'DATA BTO'!J:J,FALSE)</f>
        <v>CLVAP</v>
      </c>
      <c r="AI329" s="3">
        <f>_xlfn.XLOOKUP(Tableau119[[#This Row],[Key(ID-date)]],'DATA BTO'!S:S,'DATA BTO'!K:K,FALSE)</f>
        <v>3</v>
      </c>
      <c r="AJ329" s="50">
        <f>_xlfn.XLOOKUP(Tableau119[[#This Row],[Key(ID-date)]],'DATA BTO'!S:S,'DATA BTO'!L:L,FALSE)</f>
        <v>0</v>
      </c>
      <c r="AK329" s="53" t="str">
        <f>_xlfn.XLOOKUP(Tableau119[[#This Row],[Key(ID-date)]],'DATA BTO'!S:S,'DATA BTO'!N:N,FALSE)</f>
        <v>Anthony</v>
      </c>
      <c r="AL329" s="54">
        <f>VLOOKUP(Tableau119[[#This Row],[Key(POD -PFI- Usine)]],'DATA Consignee'!A:F,6,FALSE)</f>
        <v>2</v>
      </c>
      <c r="AM329" s="284"/>
      <c r="AN329" s="376" t="str">
        <f>IF(Tableau119[[#This Row],[Name PFI/CDD]]="","-",VLOOKUP(Tableau119[[#This Row],[Name PFI/CDD]],Plant_AILN!I:J,2,FALSE))</f>
        <v>-</v>
      </c>
      <c r="AO3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29" s="2">
        <f>VLOOKUP(Tableau119[[#This Row],[Key(POD -PFI- Usine)]],'DATA Consignee'!A:J,10,FALSE)</f>
        <v>0</v>
      </c>
      <c r="AR329" s="50">
        <f>VLOOKUP(Tableau119[[#This Row],[Key(POD -PFI- Usine)]],'DATA Consignee'!A:N,14,FALSE)</f>
        <v>2</v>
      </c>
      <c r="AS32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32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329" s="50">
        <f>Tableau119[[#This Row],[Transit time]]+Tableau119[[#This Row],[Time for security]]+Tableau119[[#This Row],[Time for security2 buffer]]</f>
        <v>57</v>
      </c>
      <c r="AV32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329" s="50">
        <f>Tableau119[[#This Row],[Leadtime SI2C]]+Tableau119[[#This Row],[First Receipt Days]]-Tableau119[[#This Row],[Day Customer Order]]+1</f>
        <v>99</v>
      </c>
      <c r="AX329" s="119">
        <f>IF(Tableau119[[#This Row],[Name ILN]]&lt;&gt;"SFK Freight Forwarder",Tableau119[[#This Row],[Cust. Leadtime]],Tableau119[[#This Row],[Leadtime SI2C]])</f>
        <v>99</v>
      </c>
      <c r="AY329" s="51" t="str">
        <f>_xlfn.XLOOKUP(Tableau119[[#This Row],[Key(ID-date)]],'DATA BTO'!S:S,'DATA BTO'!P:P,FALSE)</f>
        <v>Renault &gt; Horse BPH</v>
      </c>
      <c r="AZ329" s="338">
        <v>45412</v>
      </c>
      <c r="BA329" s="50"/>
    </row>
    <row r="330" spans="2:53">
      <c r="B330" s="66" t="str">
        <f>_xlfn.CONCAT(Tableau119[[#This Row],[Name ILN]],"-",Tableau119[[#This Row],[Name Shipper]],"-",Tableau119[[#This Row],[Name Site]])</f>
        <v>ILN Chennai-ILN Chennai-DFMIEC</v>
      </c>
      <c r="C330" s="66" t="str">
        <f>_xlfn.CONCAT(Tableau119[[#This Row],[Compte ILN]],"-",Tableau119[[#This Row],[Compte Shipper]],"-",Tableau119[[#This Row],[POL]],"-",Tableau119[[#This Row],[Compte Consignee]])</f>
        <v>2533780546-2533780546-FALSO-0</v>
      </c>
      <c r="D330" s="66" t="str">
        <f>_xlfn.CONCAT(Tableau119[[#This Row],[Compte ILN]],"-",Tableau119[[#This Row],[Compte Shipper]],"-",Tableau119[[#This Row],[POL]])</f>
        <v>2533780546-2533780546-FALSO</v>
      </c>
      <c r="E330" s="130" t="str">
        <f>_xlfn.CONCAT(Tableau119[[#This Row],[POL]],"-",Tableau119[[#This Row],[Carrier]],"-",Tableau119[[#This Row],[POD]])</f>
        <v>FALSO-FALSO-FALSO</v>
      </c>
      <c r="F330" s="66" t="str">
        <f>_xlfn.CONCAT(Tableau119[[#This Row],[ID]],"-","Actif")</f>
        <v>125-Actif</v>
      </c>
      <c r="G330" s="66" t="str">
        <f>_xlfn.CONCAT(Tableau119[[#This Row],[POD]],"-",Tableau119[[#This Row],[Code PFI]],"-",Tableau119[[#This Row],[Compte Consignee]])</f>
        <v>FALSO---0</v>
      </c>
      <c r="H3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330" s="434" t="str">
        <f>_xlfn.CONCAT(Tableau119[[#This Row],[ID]],"-",Tableau119[[#This Row],[Expiration Date]])</f>
        <v>125-46142</v>
      </c>
      <c r="J3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Chennai-125-FALSO-FALSO-FALSO--46142</v>
      </c>
      <c r="K330" s="119" t="str">
        <f ca="1">IF(COUNTIF(J:J,Tableau119[[#This Row],[Plant-ILN-shipper-POL-Carrier-POD-PFI]])=1,"Non","Oui")</f>
        <v>Non</v>
      </c>
      <c r="L330" s="436" t="str">
        <f>VLOOKUP(Tableau119[[#This Row],[Name Site]],Plant_AILN!A:D,4,FALSE)</f>
        <v>CHINA</v>
      </c>
      <c r="M330" s="485" t="s">
        <v>216</v>
      </c>
      <c r="N330" s="454">
        <f>VLOOKUP(Tableau119[[#This Row],[Name Site]],Plant_AILN!A:C,3,FALSE)</f>
        <v>0</v>
      </c>
      <c r="O330" s="55">
        <f>IF(Tableau119[[#This Row],[Name PFI/CDD]]="PFI VLL",2,VLOOKUP(Tableau119[[#This Row],[Compte Consignee]],Order!C:D,2,FALSE))</f>
        <v>7</v>
      </c>
      <c r="P330" s="124" t="s">
        <v>149</v>
      </c>
      <c r="Q330" s="365">
        <f>VLOOKUP(Tableau119[[#This Row],[Name ILN]],Plant_AILN!F:G,2,FALSE)</f>
        <v>2533780546</v>
      </c>
      <c r="R330" s="50">
        <f>VLOOKUP(Tableau119[[#This Row],[Compte ILN]],'DATA ILN'!D:I,6,FALSE)</f>
        <v>9</v>
      </c>
      <c r="S330" s="50" t="e">
        <f>IFERROR(VLOOKUP(Tableau119[[#This Row],[Key(Compte ILN - shipper - POL - plant)]],'DATA ILN'!A:J,10,FALSE),VLOOKUP(Tableau119[[#This Row],[Key(Compte ILN - shipper - POL)]],'DATA ILN'!B:J,9,FALSE))</f>
        <v>#N/A</v>
      </c>
      <c r="T330" s="50" t="e">
        <f>IFERROR(VLOOKUP(Tableau119[[#This Row],[Key(Compte ILN - shipper - POL - plant)]],'DATA ILN'!A:K,11,FALSE),VLOOKUP(Tableau119[[#This Row],[Key(Compte ILN - shipper - POL)]],'DATA ILN'!B:K,10,FALSE))</f>
        <v>#N/A</v>
      </c>
      <c r="U330" s="50" t="e">
        <f>IFERROR(VLOOKUP(Tableau119[[#This Row],[Key(Compte ILN - shipper - POL - plant)]],'DATA ILN'!A:L,12,FALSE),VLOOKUP(Tableau119[[#This Row],[Key(Compte ILN - shipper - POL)]],'DATA ILN'!B:L,11,FALSE))</f>
        <v>#N/A</v>
      </c>
      <c r="V330" s="50" t="e">
        <f>Tableau119[[#This Row],[Day ILN Order]]+Tableau119[[#This Row],[Delivery time to ILN/Shipper]]-1</f>
        <v>#N/A</v>
      </c>
      <c r="W330" s="50" t="e">
        <f>IFERROR(VLOOKUP(Tableau119[[#This Row],[Key(Compte ILN - shipper - POL - plant)]],'DATA ILN'!A:N,14,FALSE),VLOOKUP(Tableau119[[#This Row],[Key(Compte ILN - shipper - POL)]],'DATA ILN'!B:N,13,FALSE))</f>
        <v>#N/A</v>
      </c>
      <c r="X330" s="50" t="e">
        <f>IFERROR(VLOOKUP(Tableau119[[#This Row],[Key(Compte ILN - shipper - POL - plant)]],'DATA ILN'!A:P,16,FALSE),VLOOKUP(Tableau119[[#This Row],[Key(Compte ILN - shipper - POL)]],'DATA ILN'!B:P,15,FALSE))</f>
        <v>#N/A</v>
      </c>
      <c r="Y330" s="102" t="s">
        <v>149</v>
      </c>
      <c r="Z330" s="430">
        <f>IFERROR(VLOOKUP(Tableau119[[#This Row],[Name Shipper]],Plant_AILN!L:M,2,FALSE),0)</f>
        <v>2533780546</v>
      </c>
      <c r="AA330" s="416">
        <v>125</v>
      </c>
      <c r="AB330" s="396" t="b">
        <f>_xlfn.XLOOKUP(Tableau119[[#This Row],[Key(ID-date)]],'DATA BTO'!S:S,'DATA BTO'!E:E,FALSE)</f>
        <v>0</v>
      </c>
      <c r="AC330" s="3" t="b">
        <f>_xlfn.XLOOKUP(Tableau119[[#This Row],[Key(ID-date)]],'DATA BTO'!S:S,'DATA BTO'!F:F,FALSE)</f>
        <v>0</v>
      </c>
      <c r="AD330" s="50" t="b">
        <f>_xlfn.XLOOKUP(Tableau119[[#This Row],[Key(ID-date)]],'DATA BTO'!S:S,'DATA BTO'!G:G,FALSE)</f>
        <v>0</v>
      </c>
      <c r="AE330" s="50" t="b">
        <f>_xlfn.XLOOKUP(Tableau119[[#This Row],[Key(ID-date)]],'DATA BTO'!S:S,'DATA BTO'!H:H,FALSE)</f>
        <v>0</v>
      </c>
      <c r="AF330" s="447" t="e">
        <f>IF(Tableau119[[#This Row],[First Day to POL]]&lt;=Tableau119[[#This Row],[Day Cut Off]],Tableau119[[#This Row],[Day ETD]],Tableau119[[#This Row],[Day ETD]]+7)</f>
        <v>#N/A</v>
      </c>
      <c r="AG330" s="50" t="b">
        <f>_xlfn.XLOOKUP(Tableau119[[#This Row],[Key(ID-date)]],'DATA BTO'!S:S,'DATA BTO'!I:I,FALSE)</f>
        <v>0</v>
      </c>
      <c r="AH330" s="3" t="b">
        <f>_xlfn.XLOOKUP(Tableau119[[#This Row],[Key(ID-date)]],'DATA BTO'!S:S,'DATA BTO'!J:J,FALSE)</f>
        <v>0</v>
      </c>
      <c r="AI330" s="3" t="b">
        <f>_xlfn.XLOOKUP(Tableau119[[#This Row],[Key(ID-date)]],'DATA BTO'!S:S,'DATA BTO'!K:K,FALSE)</f>
        <v>0</v>
      </c>
      <c r="AJ330" s="50" t="b">
        <f>_xlfn.XLOOKUP(Tableau119[[#This Row],[Key(ID-date)]],'DATA BTO'!S:S,'DATA BTO'!L:L,FALSE)</f>
        <v>0</v>
      </c>
      <c r="AK330" s="53" t="b">
        <f>_xlfn.XLOOKUP(Tableau119[[#This Row],[Key(ID-date)]],'DATA BTO'!S:S,'DATA BTO'!N:N,FALSE)</f>
        <v>0</v>
      </c>
      <c r="AL330" s="54" t="e">
        <f>VLOOKUP(Tableau119[[#This Row],[Key(POD -PFI- Usine)]],'DATA Consignee'!A:F,6,FALSE)</f>
        <v>#N/A</v>
      </c>
      <c r="AM330" s="102"/>
      <c r="AN330" s="376" t="str">
        <f>IF(Tableau119[[#This Row],[Name PFI/CDD]]="","-",VLOOKUP(Tableau119[[#This Row],[Name PFI/CDD]],Plant_AILN!I:J,2,FALSE))</f>
        <v>-</v>
      </c>
      <c r="AO3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0" s="2" t="e">
        <f>VLOOKUP(Tableau119[[#This Row],[Key(POD -PFI- Usine)]],'DATA Consignee'!A:J,10,FALSE)</f>
        <v>#N/A</v>
      </c>
      <c r="AR330" s="50" t="e">
        <f>VLOOKUP(Tableau119[[#This Row],[Key(POD -PFI- Usine)]],'DATA Consignee'!A:N,14,FALSE)</f>
        <v>#N/A</v>
      </c>
      <c r="AS3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0" s="50">
        <f>Tableau119[[#This Row],[Transit time]]+Tableau119[[#This Row],[Time for security]]+Tableau119[[#This Row],[Time for security2 buffer]]</f>
        <v>0</v>
      </c>
      <c r="AV3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0" s="50" t="e">
        <f>Tableau119[[#This Row],[Leadtime SI2C]]+Tableau119[[#This Row],[First Receipt Days]]-Tableau119[[#This Row],[Day Customer Order]]+1</f>
        <v>#N/A</v>
      </c>
      <c r="AX330" s="119" t="e">
        <f>IF(Tableau119[[#This Row],[Name ILN]]&lt;&gt;"SFK Freight Forwarder",Tableau119[[#This Row],[Cust. Leadtime]],Tableau119[[#This Row],[Leadtime SI2C]])</f>
        <v>#N/A</v>
      </c>
      <c r="AY330" s="51" t="b">
        <f>_xlfn.XLOOKUP(Tableau119[[#This Row],[Key(ID-date)]],'DATA BTO'!S:S,'DATA BTO'!P:P,FALSE)</f>
        <v>0</v>
      </c>
      <c r="AZ330" s="388">
        <v>46142</v>
      </c>
      <c r="BA330" s="81"/>
    </row>
    <row r="331" spans="2:53">
      <c r="B331" s="446" t="str">
        <f>_xlfn.CONCAT(Tableau119[[#This Row],[Name ILN]],"-",Tableau119[[#This Row],[Name Shipper]],"-",Tableau119[[#This Row],[Name Site]])</f>
        <v>ILN Chennai-ILN Chennai-DFMIEC</v>
      </c>
      <c r="C331" s="66" t="str">
        <f>_xlfn.CONCAT(Tableau119[[#This Row],[Compte ILN]],"-",Tableau119[[#This Row],[Compte Shipper]],"-",Tableau119[[#This Row],[POL]],"-",Tableau119[[#This Row],[Compte Consignee]])</f>
        <v>2533780546-2533780546-FALSO-0</v>
      </c>
      <c r="D331" s="66" t="str">
        <f>_xlfn.CONCAT(Tableau119[[#This Row],[Compte ILN]],"-",Tableau119[[#This Row],[Compte Shipper]],"-",Tableau119[[#This Row],[POL]])</f>
        <v>2533780546-2533780546-FALSO</v>
      </c>
      <c r="E331" s="130" t="str">
        <f>_xlfn.CONCAT(Tableau119[[#This Row],[POL]],"-",Tableau119[[#This Row],[Carrier]],"-",Tableau119[[#This Row],[POD]])</f>
        <v>FALSO-FALSO-FALSO</v>
      </c>
      <c r="F331" s="66" t="str">
        <f>_xlfn.CONCAT(Tableau119[[#This Row],[ID]],"-","Actif")</f>
        <v>125-Actif</v>
      </c>
      <c r="G331" s="66" t="str">
        <f>_xlfn.CONCAT(Tableau119[[#This Row],[POD]],"-",Tableau119[[#This Row],[Code PFI]],"-",Tableau119[[#This Row],[Compte Consignee]])</f>
        <v>FALSO---0</v>
      </c>
      <c r="H3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331" s="434" t="str">
        <f>_xlfn.CONCAT(Tableau119[[#This Row],[ID]],"-",Tableau119[[#This Row],[Expiration Date]])</f>
        <v>125-45777</v>
      </c>
      <c r="J3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Chennai-125-FALSO-FALSO-FALSO--45777</v>
      </c>
      <c r="K331" s="119" t="str">
        <f ca="1">IF(COUNTIF(J:J,Tableau119[[#This Row],[Plant-ILN-shipper-POL-Carrier-POD-PFI]])=1,"Non","Oui")</f>
        <v>Non</v>
      </c>
      <c r="L331" s="128" t="str">
        <f>VLOOKUP(Tableau119[[#This Row],[Name Site]],Plant_AILN!A:D,4,FALSE)</f>
        <v>CHINA</v>
      </c>
      <c r="M331" s="415" t="s">
        <v>216</v>
      </c>
      <c r="N331" s="454">
        <f>VLOOKUP(Tableau119[[#This Row],[Name Site]],Plant_AILN!A:C,3,FALSE)</f>
        <v>0</v>
      </c>
      <c r="O331" s="55">
        <f>VLOOKUP(Tableau119[[#This Row],[Compte Consignee]],Order!C:D,2,FALSE)</f>
        <v>7</v>
      </c>
      <c r="P331" s="124" t="s">
        <v>149</v>
      </c>
      <c r="Q331" s="365">
        <f>VLOOKUP(Tableau119[[#This Row],[Name ILN]],Plant_AILN!F:G,2,FALSE)</f>
        <v>2533780546</v>
      </c>
      <c r="R331" s="50">
        <f>VLOOKUP(Tableau119[[#This Row],[Compte ILN]],'DATA ILN'!D:I,6,FALSE)</f>
        <v>9</v>
      </c>
      <c r="S331" s="50" t="e">
        <f>IFERROR(VLOOKUP(Tableau119[[#This Row],[Key(Compte ILN - shipper - POL - plant)]],'DATA ILN'!A:J,10,FALSE),VLOOKUP(Tableau119[[#This Row],[Key(Compte ILN - shipper - POL)]],'DATA ILN'!B:J,9,FALSE))</f>
        <v>#N/A</v>
      </c>
      <c r="T331" s="50" t="e">
        <f>IFERROR(VLOOKUP(Tableau119[[#This Row],[Key(Compte ILN - shipper - POL - plant)]],'DATA ILN'!A:K,11,FALSE),VLOOKUP(Tableau119[[#This Row],[Key(Compte ILN - shipper - POL)]],'DATA ILN'!B:K,10,FALSE))</f>
        <v>#N/A</v>
      </c>
      <c r="U331" s="50" t="e">
        <f>IFERROR(VLOOKUP(Tableau119[[#This Row],[Key(Compte ILN - shipper - POL - plant)]],'DATA ILN'!A:L,12,FALSE),VLOOKUP(Tableau119[[#This Row],[Key(Compte ILN - shipper - POL)]],'DATA ILN'!B:L,11,FALSE))</f>
        <v>#N/A</v>
      </c>
      <c r="V331" s="50" t="e">
        <f>Tableau119[[#This Row],[Day ILN Order]]+Tableau119[[#This Row],[Delivery time to ILN/Shipper]]-1</f>
        <v>#N/A</v>
      </c>
      <c r="W331" s="50" t="e">
        <f>IFERROR(VLOOKUP(Tableau119[[#This Row],[Key(Compte ILN - shipper - POL - plant)]],'DATA ILN'!A:N,14,FALSE),VLOOKUP(Tableau119[[#This Row],[Key(Compte ILN - shipper - POL)]],'DATA ILN'!B:N,13,FALSE))</f>
        <v>#N/A</v>
      </c>
      <c r="X331" s="50" t="e">
        <f>IFERROR(VLOOKUP(Tableau119[[#This Row],[Key(Compte ILN - shipper - POL - plant)]],'DATA ILN'!A:P,16,FALSE),VLOOKUP(Tableau119[[#This Row],[Key(Compte ILN - shipper - POL)]],'DATA ILN'!B:P,15,FALSE))</f>
        <v>#N/A</v>
      </c>
      <c r="Y331" s="102" t="s">
        <v>149</v>
      </c>
      <c r="Z331" s="430">
        <f>IFERROR(VLOOKUP(Tableau119[[#This Row],[Name Shipper]],Plant_AILN!L:M,2,FALSE),0)</f>
        <v>2533780546</v>
      </c>
      <c r="AA331" s="416">
        <v>125</v>
      </c>
      <c r="AB331" s="396" t="b">
        <f>_xlfn.XLOOKUP(Tableau119[[#This Row],[Key(ID-date)]],'DATA BTO'!S:S,'DATA BTO'!E:E,FALSE)</f>
        <v>0</v>
      </c>
      <c r="AC331" s="3" t="b">
        <f>_xlfn.XLOOKUP(Tableau119[[#This Row],[Key(ID-date)]],'DATA BTO'!S:S,'DATA BTO'!F:F,FALSE)</f>
        <v>0</v>
      </c>
      <c r="AD331" s="50" t="b">
        <f>_xlfn.XLOOKUP(Tableau119[[#This Row],[Key(ID-date)]],'DATA BTO'!S:S,'DATA BTO'!G:G,FALSE)</f>
        <v>0</v>
      </c>
      <c r="AE331" s="50" t="b">
        <f>_xlfn.XLOOKUP(Tableau119[[#This Row],[Key(ID-date)]],'DATA BTO'!S:S,'DATA BTO'!H:H,FALSE)</f>
        <v>0</v>
      </c>
      <c r="AF331" s="447" t="e">
        <f>IF(Tableau119[[#This Row],[First Day to POL]]&lt;=Tableau119[[#This Row],[Day Cut Off]],Tableau119[[#This Row],[Day ETD]],Tableau119[[#This Row],[Day ETD]]+7)</f>
        <v>#N/A</v>
      </c>
      <c r="AG331" s="50" t="b">
        <f>_xlfn.XLOOKUP(Tableau119[[#This Row],[Key(ID-date)]],'DATA BTO'!S:S,'DATA BTO'!I:I,FALSE)</f>
        <v>0</v>
      </c>
      <c r="AH331" s="3" t="b">
        <f>_xlfn.XLOOKUP(Tableau119[[#This Row],[Key(ID-date)]],'DATA BTO'!S:S,'DATA BTO'!J:J,FALSE)</f>
        <v>0</v>
      </c>
      <c r="AI331" s="3" t="b">
        <f>_xlfn.XLOOKUP(Tableau119[[#This Row],[Key(ID-date)]],'DATA BTO'!S:S,'DATA BTO'!K:K,FALSE)</f>
        <v>0</v>
      </c>
      <c r="AJ331" s="50" t="b">
        <f>_xlfn.XLOOKUP(Tableau119[[#This Row],[Key(ID-date)]],'DATA BTO'!S:S,'DATA BTO'!L:L,FALSE)</f>
        <v>0</v>
      </c>
      <c r="AK331" s="53" t="b">
        <f>_xlfn.XLOOKUP(Tableau119[[#This Row],[Key(ID-date)]],'DATA BTO'!S:S,'DATA BTO'!N:N,FALSE)</f>
        <v>0</v>
      </c>
      <c r="AL331" s="54" t="e">
        <f>VLOOKUP(Tableau119[[#This Row],[Key(POD -PFI- Usine)]],'DATA Consignee'!A:F,6,FALSE)</f>
        <v>#N/A</v>
      </c>
      <c r="AM331" s="102"/>
      <c r="AN331" s="376" t="str">
        <f>IF(Tableau119[[#This Row],[Name PFI/CDD]]="","-",VLOOKUP(Tableau119[[#This Row],[Name PFI/CDD]],Plant_AILN!I:J,2,FALSE))</f>
        <v>-</v>
      </c>
      <c r="AO3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1" s="2" t="e">
        <f>VLOOKUP(Tableau119[[#This Row],[Key(POD -PFI- Usine)]],'DATA Consignee'!A:J,10,FALSE)</f>
        <v>#N/A</v>
      </c>
      <c r="AR331" s="50" t="e">
        <f>VLOOKUP(Tableau119[[#This Row],[Key(POD -PFI- Usine)]],'DATA Consignee'!A:N,14,FALSE)</f>
        <v>#N/A</v>
      </c>
      <c r="AS3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1" s="50">
        <f>Tableau119[[#This Row],[Transit time]]+Tableau119[[#This Row],[Time for security]]+Tableau119[[#This Row],[Time for security2 buffer]]</f>
        <v>0</v>
      </c>
      <c r="AV3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1" s="50" t="e">
        <f>Tableau119[[#This Row],[Leadtime SI2C]]+Tableau119[[#This Row],[First Receipt Days]]-Tableau119[[#This Row],[Day Customer Order]]+1</f>
        <v>#N/A</v>
      </c>
      <c r="AX331" s="119" t="e">
        <f>IF(Tableau119[[#This Row],[Name ILN]]&lt;&gt;"SFK Freight Forwarder",Tableau119[[#This Row],[Cust. Leadtime]],Tableau119[[#This Row],[Leadtime SI2C]])</f>
        <v>#N/A</v>
      </c>
      <c r="AY331" s="51" t="b">
        <f>_xlfn.XLOOKUP(Tableau119[[#This Row],[Key(ID-date)]],'DATA BTO'!S:S,'DATA BTO'!P:P,FALSE)</f>
        <v>0</v>
      </c>
      <c r="AZ331" s="388">
        <v>45777</v>
      </c>
      <c r="BA331" s="81"/>
    </row>
    <row r="332" spans="2:53">
      <c r="B332" s="446" t="str">
        <f>_xlfn.CONCAT(Tableau119[[#This Row],[Name ILN]],"-",Tableau119[[#This Row],[Name Shipper]],"-",Tableau119[[#This Row],[Name Site]])</f>
        <v>ILN Chennai-ILN Chennai-DFMIEC</v>
      </c>
      <c r="C332" s="66" t="str">
        <f>_xlfn.CONCAT(Tableau119[[#This Row],[Compte ILN]],"-",Tableau119[[#This Row],[Compte Shipper]],"-",Tableau119[[#This Row],[POL]],"-",Tableau119[[#This Row],[Compte Consignee]])</f>
        <v>2533780546-2533780546-FALSO-0</v>
      </c>
      <c r="D332" s="66" t="str">
        <f>_xlfn.CONCAT(Tableau119[[#This Row],[Compte ILN]],"-",Tableau119[[#This Row],[Compte Shipper]],"-",Tableau119[[#This Row],[POL]])</f>
        <v>2533780546-2533780546-FALSO</v>
      </c>
      <c r="E332" s="130" t="str">
        <f>_xlfn.CONCAT(Tableau119[[#This Row],[POL]],"-",Tableau119[[#This Row],[Carrier]],"-",Tableau119[[#This Row],[POD]])</f>
        <v>FALSO-FALSO-FALSO</v>
      </c>
      <c r="F332" s="66" t="str">
        <f>_xlfn.CONCAT(Tableau119[[#This Row],[ID]],"-","Actif")</f>
        <v>125-Actif</v>
      </c>
      <c r="G332" s="66" t="str">
        <f>_xlfn.CONCAT(Tableau119[[#This Row],[POD]],"-",Tableau119[[#This Row],[Code PFI]],"-",Tableau119[[#This Row],[Compte Consignee]])</f>
        <v>FALSO---0</v>
      </c>
      <c r="H3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332" s="434" t="str">
        <f>_xlfn.CONCAT(Tableau119[[#This Row],[ID]],"-",Tableau119[[#This Row],[Expiration Date]])</f>
        <v>125-45412</v>
      </c>
      <c r="J3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Chennai-125-FALSO-FALSO-FALSO--45412</v>
      </c>
      <c r="K332" s="119" t="str">
        <f ca="1">IF(COUNTIF(J:J,Tableau119[[#This Row],[Plant-ILN-shipper-POL-Carrier-POD-PFI]])=1,"Non","Oui")</f>
        <v>Non</v>
      </c>
      <c r="L332" s="128" t="str">
        <f>VLOOKUP(Tableau119[[#This Row],[Name Site]],Plant_AILN!A:D,4,FALSE)</f>
        <v>CHINA</v>
      </c>
      <c r="M332" s="415" t="s">
        <v>216</v>
      </c>
      <c r="N332" s="454">
        <f>VLOOKUP(Tableau119[[#This Row],[Name Site]],Plant_AILN!A:C,3,FALSE)</f>
        <v>0</v>
      </c>
      <c r="O332" s="55">
        <f>VLOOKUP(Tableau119[[#This Row],[Compte Consignee]],Order!C:D,2,FALSE)</f>
        <v>7</v>
      </c>
      <c r="P332" s="124" t="s">
        <v>149</v>
      </c>
      <c r="Q332" s="365">
        <f>VLOOKUP(Tableau119[[#This Row],[Name ILN]],Plant_AILN!F:G,2,FALSE)</f>
        <v>2533780546</v>
      </c>
      <c r="R332" s="50">
        <f>VLOOKUP(Tableau119[[#This Row],[Compte ILN]],'DATA ILN'!D:I,6,FALSE)</f>
        <v>9</v>
      </c>
      <c r="S332" s="50" t="e">
        <f>IFERROR(VLOOKUP(Tableau119[[#This Row],[Key(Compte ILN - shipper - POL - plant)]],'DATA ILN'!A:J,10,FALSE),VLOOKUP(Tableau119[[#This Row],[Key(Compte ILN - shipper - POL)]],'DATA ILN'!B:J,9,FALSE))</f>
        <v>#N/A</v>
      </c>
      <c r="T332" s="50" t="e">
        <f>IFERROR(VLOOKUP(Tableau119[[#This Row],[Key(Compte ILN - shipper - POL - plant)]],'DATA ILN'!A:K,11,FALSE),VLOOKUP(Tableau119[[#This Row],[Key(Compte ILN - shipper - POL)]],'DATA ILN'!B:K,10,FALSE))</f>
        <v>#N/A</v>
      </c>
      <c r="U332" s="50" t="e">
        <f>IFERROR(VLOOKUP(Tableau119[[#This Row],[Key(Compte ILN - shipper - POL - plant)]],'DATA ILN'!A:L,12,FALSE),VLOOKUP(Tableau119[[#This Row],[Key(Compte ILN - shipper - POL)]],'DATA ILN'!B:L,11,FALSE))</f>
        <v>#N/A</v>
      </c>
      <c r="V332" s="50" t="e">
        <f>Tableau119[[#This Row],[Day ILN Order]]+Tableau119[[#This Row],[Delivery time to ILN/Shipper]]-1</f>
        <v>#N/A</v>
      </c>
      <c r="W332" s="50" t="e">
        <f>IFERROR(VLOOKUP(Tableau119[[#This Row],[Key(Compte ILN - shipper - POL - plant)]],'DATA ILN'!A:N,14,FALSE),VLOOKUP(Tableau119[[#This Row],[Key(Compte ILN - shipper - POL)]],'DATA ILN'!B:N,13,FALSE))</f>
        <v>#N/A</v>
      </c>
      <c r="X332" s="50" t="e">
        <f>IFERROR(VLOOKUP(Tableau119[[#This Row],[Key(Compte ILN - shipper - POL - plant)]],'DATA ILN'!A:P,16,FALSE),VLOOKUP(Tableau119[[#This Row],[Key(Compte ILN - shipper - POL)]],'DATA ILN'!B:P,15,FALSE))</f>
        <v>#N/A</v>
      </c>
      <c r="Y332" s="102" t="s">
        <v>149</v>
      </c>
      <c r="Z332" s="430">
        <f>IFERROR(VLOOKUP(Tableau119[[#This Row],[Name Shipper]],Plant_AILN!L:M,2,FALSE),0)</f>
        <v>2533780546</v>
      </c>
      <c r="AA332" s="416">
        <v>125</v>
      </c>
      <c r="AB332" s="396" t="b">
        <f>_xlfn.XLOOKUP(Tableau119[[#This Row],[Key(ID-date)]],'DATA BTO'!S:S,'DATA BTO'!E:E,FALSE)</f>
        <v>0</v>
      </c>
      <c r="AC332" s="3" t="b">
        <f>_xlfn.XLOOKUP(Tableau119[[#This Row],[Key(ID-date)]],'DATA BTO'!S:S,'DATA BTO'!F:F,FALSE)</f>
        <v>0</v>
      </c>
      <c r="AD332" s="50" t="b">
        <f>_xlfn.XLOOKUP(Tableau119[[#This Row],[Key(ID-date)]],'DATA BTO'!S:S,'DATA BTO'!G:G,FALSE)</f>
        <v>0</v>
      </c>
      <c r="AE332" s="50" t="b">
        <f>_xlfn.XLOOKUP(Tableau119[[#This Row],[Key(ID-date)]],'DATA BTO'!S:S,'DATA BTO'!H:H,FALSE)</f>
        <v>0</v>
      </c>
      <c r="AF332" s="447" t="e">
        <f>IF(Tableau119[[#This Row],[First Day to POL]]&lt;=Tableau119[[#This Row],[Day Cut Off]],Tableau119[[#This Row],[Day ETD]],Tableau119[[#This Row],[Day ETD]]+7)</f>
        <v>#N/A</v>
      </c>
      <c r="AG332" s="50" t="b">
        <f>_xlfn.XLOOKUP(Tableau119[[#This Row],[Key(ID-date)]],'DATA BTO'!S:S,'DATA BTO'!I:I,FALSE)</f>
        <v>0</v>
      </c>
      <c r="AH332" s="3" t="b">
        <f>_xlfn.XLOOKUP(Tableau119[[#This Row],[Key(ID-date)]],'DATA BTO'!S:S,'DATA BTO'!J:J,FALSE)</f>
        <v>0</v>
      </c>
      <c r="AI332" s="3" t="b">
        <f>_xlfn.XLOOKUP(Tableau119[[#This Row],[Key(ID-date)]],'DATA BTO'!S:S,'DATA BTO'!K:K,FALSE)</f>
        <v>0</v>
      </c>
      <c r="AJ332" s="50" t="b">
        <f>_xlfn.XLOOKUP(Tableau119[[#This Row],[Key(ID-date)]],'DATA BTO'!S:S,'DATA BTO'!L:L,FALSE)</f>
        <v>0</v>
      </c>
      <c r="AK332" s="53" t="b">
        <f>_xlfn.XLOOKUP(Tableau119[[#This Row],[Key(ID-date)]],'DATA BTO'!S:S,'DATA BTO'!N:N,FALSE)</f>
        <v>0</v>
      </c>
      <c r="AL332" s="54" t="e">
        <f>VLOOKUP(Tableau119[[#This Row],[Key(POD -PFI- Usine)]],'DATA Consignee'!A:F,6,FALSE)</f>
        <v>#N/A</v>
      </c>
      <c r="AM332" s="102"/>
      <c r="AN332" s="376" t="str">
        <f>IF(Tableau119[[#This Row],[Name PFI/CDD]]="","-",VLOOKUP(Tableau119[[#This Row],[Name PFI/CDD]],Plant_AILN!I:J,2,FALSE))</f>
        <v>-</v>
      </c>
      <c r="AO3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2" s="2" t="e">
        <f>VLOOKUP(Tableau119[[#This Row],[Key(POD -PFI- Usine)]],'DATA Consignee'!A:J,10,FALSE)</f>
        <v>#N/A</v>
      </c>
      <c r="AR332" s="50" t="e">
        <f>VLOOKUP(Tableau119[[#This Row],[Key(POD -PFI- Usine)]],'DATA Consignee'!A:N,14,FALSE)</f>
        <v>#N/A</v>
      </c>
      <c r="AS3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2" s="50">
        <f>Tableau119[[#This Row],[Transit time]]+Tableau119[[#This Row],[Time for security]]+Tableau119[[#This Row],[Time for security2 buffer]]</f>
        <v>0</v>
      </c>
      <c r="AV3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2" s="50" t="e">
        <f>Tableau119[[#This Row],[Leadtime SI2C]]+Tableau119[[#This Row],[First Receipt Days]]-Tableau119[[#This Row],[Day Customer Order]]+1</f>
        <v>#N/A</v>
      </c>
      <c r="AX332" s="119" t="e">
        <f>IF(Tableau119[[#This Row],[Name ILN]]&lt;&gt;"SFK Freight Forwarder",Tableau119[[#This Row],[Cust. Leadtime]],Tableau119[[#This Row],[Leadtime SI2C]])</f>
        <v>#N/A</v>
      </c>
      <c r="AY332" s="51" t="b">
        <f>_xlfn.XLOOKUP(Tableau119[[#This Row],[Key(ID-date)]],'DATA BTO'!S:S,'DATA BTO'!P:P,FALSE)</f>
        <v>0</v>
      </c>
      <c r="AZ332" s="388">
        <v>45412</v>
      </c>
      <c r="BA332" s="81"/>
    </row>
    <row r="333" spans="2:53">
      <c r="B333" s="66" t="str">
        <f>_xlfn.CONCAT(Tableau119[[#This Row],[Name ILN]],"-",Tableau119[[#This Row],[Name Shipper]],"-",Tableau119[[#This Row],[Name Site]])</f>
        <v>ILN Cordoba-ILN Cordoba-SOFASA</v>
      </c>
      <c r="C333" s="66" t="str">
        <f>_xlfn.CONCAT(Tableau119[[#This Row],[Compte ILN]],"-",Tableau119[[#This Row],[Compte Shipper]],"-",Tableau119[[#This Row],[POL]],"-",Tableau119[[#This Row],[Compte Consignee]])</f>
        <v>26376-26376-FALSO-9510600</v>
      </c>
      <c r="D333" s="66" t="str">
        <f>_xlfn.CONCAT(Tableau119[[#This Row],[Compte ILN]],"-",Tableau119[[#This Row],[Compte Shipper]],"-",Tableau119[[#This Row],[POL]])</f>
        <v>26376-26376-FALSO</v>
      </c>
      <c r="E333" s="130" t="str">
        <f>_xlfn.CONCAT(Tableau119[[#This Row],[POL]],"-",Tableau119[[#This Row],[Carrier]],"-",Tableau119[[#This Row],[POD]])</f>
        <v>FALSO-FALSO-FALSO</v>
      </c>
      <c r="F333" s="66" t="str">
        <f>_xlfn.CONCAT(Tableau119[[#This Row],[ID]],"-","Actif")</f>
        <v>128-Actif</v>
      </c>
      <c r="G333" s="66" t="str">
        <f>_xlfn.CONCAT(Tableau119[[#This Row],[POD]],"-",Tableau119[[#This Row],[Code PFI]],"-",Tableau119[[#This Row],[Compte Consignee]])</f>
        <v>FALSO---9510600</v>
      </c>
      <c r="H3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CordobaFALSOSOFASA</v>
      </c>
      <c r="I333" s="434" t="str">
        <f>_xlfn.CONCAT(Tableau119[[#This Row],[ID]],"-",Tableau119[[#This Row],[Expiration Date]])</f>
        <v>128-46142</v>
      </c>
      <c r="J3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Cordoba-ILN Cordoba-128-FALSO-FALSO-FALSO--46142</v>
      </c>
      <c r="K333" s="119" t="str">
        <f ca="1">IF(COUNTIF(J:J,Tableau119[[#This Row],[Plant-ILN-shipper-POL-Carrier-POD-PFI]])=1,"Non","Oui")</f>
        <v>Non</v>
      </c>
      <c r="L333" s="436" t="str">
        <f>VLOOKUP(Tableau119[[#This Row],[Name Site]],Plant_AILN!A:D,4,FALSE)</f>
        <v>COLOMBIA</v>
      </c>
      <c r="M333" s="285" t="s">
        <v>177</v>
      </c>
      <c r="N333" s="454">
        <f>VLOOKUP(Tableau119[[#This Row],[Name Site]],Plant_AILN!A:C,3,FALSE)</f>
        <v>9510600</v>
      </c>
      <c r="O333" s="55">
        <f>IF(Tableau119[[#This Row],[Name PFI/CDD]]="PFI VLL",2,VLOOKUP(Tableau119[[#This Row],[Compte Consignee]],Order!C:D,2,FALSE))</f>
        <v>7</v>
      </c>
      <c r="P333" s="124" t="s">
        <v>199</v>
      </c>
      <c r="Q333" s="365">
        <f>VLOOKUP(Tableau119[[#This Row],[Name ILN]],Plant_AILN!F:G,2,FALSE)</f>
        <v>26376</v>
      </c>
      <c r="R333" s="50">
        <f>VLOOKUP(Tableau119[[#This Row],[Compte ILN]],'DATA ILN'!D:I,6,FALSE)</f>
        <v>9</v>
      </c>
      <c r="S333" s="50" t="e">
        <f>IFERROR(VLOOKUP(Tableau119[[#This Row],[Key(Compte ILN - shipper - POL - plant)]],'DATA ILN'!A:J,10,FALSE),VLOOKUP(Tableau119[[#This Row],[Key(Compte ILN - shipper - POL)]],'DATA ILN'!B:J,9,FALSE))</f>
        <v>#N/A</v>
      </c>
      <c r="T333" s="50" t="e">
        <f>IFERROR(VLOOKUP(Tableau119[[#This Row],[Key(Compte ILN - shipper - POL - plant)]],'DATA ILN'!A:K,11,FALSE),VLOOKUP(Tableau119[[#This Row],[Key(Compte ILN - shipper - POL)]],'DATA ILN'!B:K,10,FALSE))</f>
        <v>#N/A</v>
      </c>
      <c r="U333" s="50" t="e">
        <f>IFERROR(VLOOKUP(Tableau119[[#This Row],[Key(Compte ILN - shipper - POL - plant)]],'DATA ILN'!A:L,12,FALSE),VLOOKUP(Tableau119[[#This Row],[Key(Compte ILN - shipper - POL)]],'DATA ILN'!B:L,11,FALSE))</f>
        <v>#N/A</v>
      </c>
      <c r="V333" s="50" t="e">
        <f>Tableau119[[#This Row],[Day ILN Order]]+Tableau119[[#This Row],[Delivery time to ILN/Shipper]]-1</f>
        <v>#N/A</v>
      </c>
      <c r="W333" s="50" t="e">
        <f>IFERROR(VLOOKUP(Tableau119[[#This Row],[Key(Compte ILN - shipper - POL - plant)]],'DATA ILN'!A:N,14,FALSE),VLOOKUP(Tableau119[[#This Row],[Key(Compte ILN - shipper - POL)]],'DATA ILN'!B:N,13,FALSE))</f>
        <v>#N/A</v>
      </c>
      <c r="X333" s="50" t="e">
        <f>IFERROR(VLOOKUP(Tableau119[[#This Row],[Key(Compte ILN - shipper - POL - plant)]],'DATA ILN'!A:P,16,FALSE),VLOOKUP(Tableau119[[#This Row],[Key(Compte ILN - shipper - POL)]],'DATA ILN'!B:P,15,FALSE))</f>
        <v>#N/A</v>
      </c>
      <c r="Y333" s="284" t="s">
        <v>199</v>
      </c>
      <c r="Z333" s="430">
        <f>IFERROR(VLOOKUP(Tableau119[[#This Row],[Name Shipper]],Plant_AILN!L:M,2,FALSE),0)</f>
        <v>26376</v>
      </c>
      <c r="AA333" s="406">
        <v>128</v>
      </c>
      <c r="AB333" s="396" t="b">
        <f>_xlfn.XLOOKUP(Tableau119[[#This Row],[Key(ID-date)]],'DATA BTO'!S:S,'DATA BTO'!E:E,FALSE)</f>
        <v>0</v>
      </c>
      <c r="AC333" s="3" t="b">
        <f>_xlfn.XLOOKUP(Tableau119[[#This Row],[Key(ID-date)]],'DATA BTO'!S:S,'DATA BTO'!F:F,FALSE)</f>
        <v>0</v>
      </c>
      <c r="AD333" s="50" t="b">
        <f>_xlfn.XLOOKUP(Tableau119[[#This Row],[Key(ID-date)]],'DATA BTO'!S:S,'DATA BTO'!G:G,FALSE)</f>
        <v>0</v>
      </c>
      <c r="AE333" s="50" t="b">
        <f>_xlfn.XLOOKUP(Tableau119[[#This Row],[Key(ID-date)]],'DATA BTO'!S:S,'DATA BTO'!H:H,FALSE)</f>
        <v>0</v>
      </c>
      <c r="AF333" s="447" t="e">
        <f>IF(Tableau119[[#This Row],[First Day to POL]]&lt;=Tableau119[[#This Row],[Day Cut Off]],Tableau119[[#This Row],[Day ETD]],Tableau119[[#This Row],[Day ETD]]+7)</f>
        <v>#N/A</v>
      </c>
      <c r="AG333" s="50" t="b">
        <f>_xlfn.XLOOKUP(Tableau119[[#This Row],[Key(ID-date)]],'DATA BTO'!S:S,'DATA BTO'!I:I,FALSE)</f>
        <v>0</v>
      </c>
      <c r="AH333" s="3" t="b">
        <f>_xlfn.XLOOKUP(Tableau119[[#This Row],[Key(ID-date)]],'DATA BTO'!S:S,'DATA BTO'!J:J,FALSE)</f>
        <v>0</v>
      </c>
      <c r="AI333" s="3" t="b">
        <f>_xlfn.XLOOKUP(Tableau119[[#This Row],[Key(ID-date)]],'DATA BTO'!S:S,'DATA BTO'!K:K,FALSE)</f>
        <v>0</v>
      </c>
      <c r="AJ333" s="50" t="b">
        <f>_xlfn.XLOOKUP(Tableau119[[#This Row],[Key(ID-date)]],'DATA BTO'!S:S,'DATA BTO'!L:L,FALSE)</f>
        <v>0</v>
      </c>
      <c r="AK333" s="53" t="b">
        <f>_xlfn.XLOOKUP(Tableau119[[#This Row],[Key(ID-date)]],'DATA BTO'!S:S,'DATA BTO'!N:N,FALSE)</f>
        <v>0</v>
      </c>
      <c r="AL333" s="54" t="e">
        <f>VLOOKUP(Tableau119[[#This Row],[Key(POD -PFI- Usine)]],'DATA Consignee'!A:F,6,FALSE)</f>
        <v>#N/A</v>
      </c>
      <c r="AM333" s="284"/>
      <c r="AN333" s="376" t="str">
        <f>IF(Tableau119[[#This Row],[Name PFI/CDD]]="","-",VLOOKUP(Tableau119[[#This Row],[Name PFI/CDD]],Plant_AILN!I:J,2,FALSE))</f>
        <v>-</v>
      </c>
      <c r="AO3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3" s="2" t="e">
        <f>VLOOKUP(Tableau119[[#This Row],[Key(POD -PFI- Usine)]],'DATA Consignee'!A:J,10,FALSE)</f>
        <v>#N/A</v>
      </c>
      <c r="AR333" s="50" t="e">
        <f>VLOOKUP(Tableau119[[#This Row],[Key(POD -PFI- Usine)]],'DATA Consignee'!A:N,14,FALSE)</f>
        <v>#N/A</v>
      </c>
      <c r="AS3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3" s="50">
        <f>Tableau119[[#This Row],[Transit time]]+Tableau119[[#This Row],[Time for security]]+Tableau119[[#This Row],[Time for security2 buffer]]</f>
        <v>0</v>
      </c>
      <c r="AV3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3" s="50" t="e">
        <f>Tableau119[[#This Row],[Leadtime SI2C]]+Tableau119[[#This Row],[First Receipt Days]]-Tableau119[[#This Row],[Day Customer Order]]+1</f>
        <v>#N/A</v>
      </c>
      <c r="AX333" s="119" t="e">
        <f>IF(Tableau119[[#This Row],[Name ILN]]&lt;&gt;"SFK Freight Forwarder",Tableau119[[#This Row],[Cust. Leadtime]],Tableau119[[#This Row],[Leadtime SI2C]])</f>
        <v>#N/A</v>
      </c>
      <c r="AY333" s="51" t="b">
        <f>_xlfn.XLOOKUP(Tableau119[[#This Row],[Key(ID-date)]],'DATA BTO'!S:S,'DATA BTO'!P:P,FALSE)</f>
        <v>0</v>
      </c>
      <c r="AZ333" s="338">
        <v>46142</v>
      </c>
      <c r="BA333" s="50"/>
    </row>
    <row r="334" spans="2:53">
      <c r="B334" s="446" t="str">
        <f>_xlfn.CONCAT(Tableau119[[#This Row],[Name ILN]],"-",Tableau119[[#This Row],[Name Shipper]],"-",Tableau119[[#This Row],[Name Site]])</f>
        <v>ILN Cordoba-ILN Cordoba-SOFASA</v>
      </c>
      <c r="C334" s="66" t="str">
        <f>_xlfn.CONCAT(Tableau119[[#This Row],[Compte ILN]],"-",Tableau119[[#This Row],[Compte Shipper]],"-",Tableau119[[#This Row],[POL]],"-",Tableau119[[#This Row],[Compte Consignee]])</f>
        <v>26376-26376-FALSO-9510600</v>
      </c>
      <c r="D334" s="66" t="str">
        <f>_xlfn.CONCAT(Tableau119[[#This Row],[Compte ILN]],"-",Tableau119[[#This Row],[Compte Shipper]],"-",Tableau119[[#This Row],[POL]])</f>
        <v>26376-26376-FALSO</v>
      </c>
      <c r="E334" s="130" t="str">
        <f>_xlfn.CONCAT(Tableau119[[#This Row],[POL]],"-",Tableau119[[#This Row],[Carrier]],"-",Tableau119[[#This Row],[POD]])</f>
        <v>FALSO-FALSO-FALSO</v>
      </c>
      <c r="F334" s="66" t="str">
        <f>_xlfn.CONCAT(Tableau119[[#This Row],[ID]],"-","Actif")</f>
        <v>128-Actif</v>
      </c>
      <c r="G334" s="66" t="str">
        <f>_xlfn.CONCAT(Tableau119[[#This Row],[POD]],"-",Tableau119[[#This Row],[Code PFI]],"-",Tableau119[[#This Row],[Compte Consignee]])</f>
        <v>FALSO---9510600</v>
      </c>
      <c r="H3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CordobaFALSOSOFASA</v>
      </c>
      <c r="I334" s="434" t="str">
        <f>_xlfn.CONCAT(Tableau119[[#This Row],[ID]],"-",Tableau119[[#This Row],[Expiration Date]])</f>
        <v>128-45777</v>
      </c>
      <c r="J3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Cordoba-ILN Cordoba-128-FALSO-FALSO-FALSO--45777</v>
      </c>
      <c r="K334" s="119" t="str">
        <f ca="1">IF(COUNTIF(J:J,Tableau119[[#This Row],[Plant-ILN-shipper-POL-Carrier-POD-PFI]])=1,"Non","Oui")</f>
        <v>Non</v>
      </c>
      <c r="L334" s="128" t="str">
        <f>VLOOKUP(Tableau119[[#This Row],[Name Site]],Plant_AILN!A:D,4,FALSE)</f>
        <v>COLOMBIA</v>
      </c>
      <c r="M334" s="411" t="s">
        <v>177</v>
      </c>
      <c r="N334" s="454">
        <f>VLOOKUP(Tableau119[[#This Row],[Name Site]],Plant_AILN!A:C,3,FALSE)</f>
        <v>9510600</v>
      </c>
      <c r="O334" s="55">
        <f>VLOOKUP(Tableau119[[#This Row],[Compte Consignee]],Order!C:D,2,FALSE)</f>
        <v>7</v>
      </c>
      <c r="P334" s="284" t="s">
        <v>199</v>
      </c>
      <c r="Q334" s="365">
        <f>VLOOKUP(Tableau119[[#This Row],[Name ILN]],Plant_AILN!F:G,2,FALSE)</f>
        <v>26376</v>
      </c>
      <c r="R334" s="50">
        <f>VLOOKUP(Tableau119[[#This Row],[Compte ILN]],'DATA ILN'!D:I,6,FALSE)</f>
        <v>9</v>
      </c>
      <c r="S334" s="50" t="e">
        <f>IFERROR(VLOOKUP(Tableau119[[#This Row],[Key(Compte ILN - shipper - POL - plant)]],'DATA ILN'!A:J,10,FALSE),VLOOKUP(Tableau119[[#This Row],[Key(Compte ILN - shipper - POL)]],'DATA ILN'!B:J,9,FALSE))</f>
        <v>#N/A</v>
      </c>
      <c r="T334" s="50" t="e">
        <f>IFERROR(VLOOKUP(Tableau119[[#This Row],[Key(Compte ILN - shipper - POL - plant)]],'DATA ILN'!A:K,11,FALSE),VLOOKUP(Tableau119[[#This Row],[Key(Compte ILN - shipper - POL)]],'DATA ILN'!B:K,10,FALSE))</f>
        <v>#N/A</v>
      </c>
      <c r="U334" s="50" t="e">
        <f>IFERROR(VLOOKUP(Tableau119[[#This Row],[Key(Compte ILN - shipper - POL - plant)]],'DATA ILN'!A:L,12,FALSE),VLOOKUP(Tableau119[[#This Row],[Key(Compte ILN - shipper - POL)]],'DATA ILN'!B:L,11,FALSE))</f>
        <v>#N/A</v>
      </c>
      <c r="V334" s="50" t="e">
        <f>Tableau119[[#This Row],[Day ILN Order]]+Tableau119[[#This Row],[Delivery time to ILN/Shipper]]-1</f>
        <v>#N/A</v>
      </c>
      <c r="W334" s="50" t="e">
        <f>IFERROR(VLOOKUP(Tableau119[[#This Row],[Key(Compte ILN - shipper - POL - plant)]],'DATA ILN'!A:N,14,FALSE),VLOOKUP(Tableau119[[#This Row],[Key(Compte ILN - shipper - POL)]],'DATA ILN'!B:N,13,FALSE))</f>
        <v>#N/A</v>
      </c>
      <c r="X334" s="50" t="e">
        <f>IFERROR(VLOOKUP(Tableau119[[#This Row],[Key(Compte ILN - shipper - POL - plant)]],'DATA ILN'!A:P,16,FALSE),VLOOKUP(Tableau119[[#This Row],[Key(Compte ILN - shipper - POL)]],'DATA ILN'!B:P,15,FALSE))</f>
        <v>#N/A</v>
      </c>
      <c r="Y334" s="284" t="s">
        <v>199</v>
      </c>
      <c r="Z334" s="430">
        <f>IFERROR(VLOOKUP(Tableau119[[#This Row],[Name Shipper]],Plant_AILN!L:M,2,FALSE),0)</f>
        <v>26376</v>
      </c>
      <c r="AA334" s="406">
        <v>128</v>
      </c>
      <c r="AB334" s="396" t="b">
        <f>_xlfn.XLOOKUP(Tableau119[[#This Row],[Key(ID-date)]],'DATA BTO'!S:S,'DATA BTO'!E:E,FALSE)</f>
        <v>0</v>
      </c>
      <c r="AC334" s="3" t="b">
        <f>_xlfn.XLOOKUP(Tableau119[[#This Row],[Key(ID-date)]],'DATA BTO'!S:S,'DATA BTO'!F:F,FALSE)</f>
        <v>0</v>
      </c>
      <c r="AD334" s="50" t="b">
        <f>_xlfn.XLOOKUP(Tableau119[[#This Row],[Key(ID-date)]],'DATA BTO'!S:S,'DATA BTO'!G:G,FALSE)</f>
        <v>0</v>
      </c>
      <c r="AE334" s="50" t="b">
        <f>_xlfn.XLOOKUP(Tableau119[[#This Row],[Key(ID-date)]],'DATA BTO'!S:S,'DATA BTO'!H:H,FALSE)</f>
        <v>0</v>
      </c>
      <c r="AF334" s="447" t="e">
        <f>IF(Tableau119[[#This Row],[First Day to POL]]&lt;=Tableau119[[#This Row],[Day Cut Off]],Tableau119[[#This Row],[Day ETD]],Tableau119[[#This Row],[Day ETD]]+7)</f>
        <v>#N/A</v>
      </c>
      <c r="AG334" s="50" t="b">
        <f>_xlfn.XLOOKUP(Tableau119[[#This Row],[Key(ID-date)]],'DATA BTO'!S:S,'DATA BTO'!I:I,FALSE)</f>
        <v>0</v>
      </c>
      <c r="AH334" s="3" t="b">
        <f>_xlfn.XLOOKUP(Tableau119[[#This Row],[Key(ID-date)]],'DATA BTO'!S:S,'DATA BTO'!J:J,FALSE)</f>
        <v>0</v>
      </c>
      <c r="AI334" s="3" t="b">
        <f>_xlfn.XLOOKUP(Tableau119[[#This Row],[Key(ID-date)]],'DATA BTO'!S:S,'DATA BTO'!K:K,FALSE)</f>
        <v>0</v>
      </c>
      <c r="AJ334" s="50" t="b">
        <f>_xlfn.XLOOKUP(Tableau119[[#This Row],[Key(ID-date)]],'DATA BTO'!S:S,'DATA BTO'!L:L,FALSE)</f>
        <v>0</v>
      </c>
      <c r="AK334" s="53" t="b">
        <f>_xlfn.XLOOKUP(Tableau119[[#This Row],[Key(ID-date)]],'DATA BTO'!S:S,'DATA BTO'!N:N,FALSE)</f>
        <v>0</v>
      </c>
      <c r="AL334" s="54" t="e">
        <f>VLOOKUP(Tableau119[[#This Row],[Key(POD -PFI- Usine)]],'DATA Consignee'!A:F,6,FALSE)</f>
        <v>#N/A</v>
      </c>
      <c r="AM334" s="284"/>
      <c r="AN334" s="376" t="str">
        <f>IF(Tableau119[[#This Row],[Name PFI/CDD]]="","-",VLOOKUP(Tableau119[[#This Row],[Name PFI/CDD]],Plant_AILN!I:J,2,FALSE))</f>
        <v>-</v>
      </c>
      <c r="AO3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4" s="2" t="e">
        <f>VLOOKUP(Tableau119[[#This Row],[Key(POD -PFI- Usine)]],'DATA Consignee'!A:J,10,FALSE)</f>
        <v>#N/A</v>
      </c>
      <c r="AR334" s="50" t="e">
        <f>VLOOKUP(Tableau119[[#This Row],[Key(POD -PFI- Usine)]],'DATA Consignee'!A:N,14,FALSE)</f>
        <v>#N/A</v>
      </c>
      <c r="AS3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4" s="50">
        <f>Tableau119[[#This Row],[Transit time]]+Tableau119[[#This Row],[Time for security]]+Tableau119[[#This Row],[Time for security2 buffer]]</f>
        <v>0</v>
      </c>
      <c r="AV3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4" s="50" t="e">
        <f>Tableau119[[#This Row],[Leadtime SI2C]]+Tableau119[[#This Row],[First Receipt Days]]-Tableau119[[#This Row],[Day Customer Order]]+1</f>
        <v>#N/A</v>
      </c>
      <c r="AX334" s="119" t="e">
        <f>IF(Tableau119[[#This Row],[Name ILN]]&lt;&gt;"SFK Freight Forwarder",Tableau119[[#This Row],[Cust. Leadtime]],Tableau119[[#This Row],[Leadtime SI2C]])</f>
        <v>#N/A</v>
      </c>
      <c r="AY334" s="51" t="b">
        <f>_xlfn.XLOOKUP(Tableau119[[#This Row],[Key(ID-date)]],'DATA BTO'!S:S,'DATA BTO'!P:P,FALSE)</f>
        <v>0</v>
      </c>
      <c r="AZ334" s="338">
        <v>45777</v>
      </c>
      <c r="BA334" s="50"/>
    </row>
    <row r="335" spans="2:53">
      <c r="B335" s="446" t="str">
        <f>_xlfn.CONCAT(Tableau119[[#This Row],[Name ILN]],"-",Tableau119[[#This Row],[Name Shipper]],"-",Tableau119[[#This Row],[Name Site]])</f>
        <v>ILN Cordoba-ILN Cordoba-SOFASA</v>
      </c>
      <c r="C335" s="66" t="str">
        <f>_xlfn.CONCAT(Tableau119[[#This Row],[Compte ILN]],"-",Tableau119[[#This Row],[Compte Shipper]],"-",Tableau119[[#This Row],[POL]],"-",Tableau119[[#This Row],[Compte Consignee]])</f>
        <v>26376-26376-FALSO-9510600</v>
      </c>
      <c r="D335" s="66" t="str">
        <f>_xlfn.CONCAT(Tableau119[[#This Row],[Compte ILN]],"-",Tableau119[[#This Row],[Compte Shipper]],"-",Tableau119[[#This Row],[POL]])</f>
        <v>26376-26376-FALSO</v>
      </c>
      <c r="E335" s="130" t="str">
        <f>_xlfn.CONCAT(Tableau119[[#This Row],[POL]],"-",Tableau119[[#This Row],[Carrier]],"-",Tableau119[[#This Row],[POD]])</f>
        <v>FALSO-FALSO-FALSO</v>
      </c>
      <c r="F335" s="66" t="str">
        <f>_xlfn.CONCAT(Tableau119[[#This Row],[ID]],"-","Actif")</f>
        <v>128-Actif</v>
      </c>
      <c r="G335" s="66" t="str">
        <f>_xlfn.CONCAT(Tableau119[[#This Row],[POD]],"-",Tableau119[[#This Row],[Code PFI]],"-",Tableau119[[#This Row],[Compte Consignee]])</f>
        <v>FALSO---9510600</v>
      </c>
      <c r="H3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CordobaFALSOSOFASA</v>
      </c>
      <c r="I335" s="434" t="str">
        <f>_xlfn.CONCAT(Tableau119[[#This Row],[ID]],"-",Tableau119[[#This Row],[Expiration Date]])</f>
        <v>128-45473</v>
      </c>
      <c r="J3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Cordoba-ILN Cordoba-128-FALSO-FALSO-FALSO--45473</v>
      </c>
      <c r="K335" s="119" t="str">
        <f ca="1">IF(COUNTIF(J:J,Tableau119[[#This Row],[Plant-ILN-shipper-POL-Carrier-POD-PFI]])=1,"Non","Oui")</f>
        <v>Non</v>
      </c>
      <c r="L335" s="128" t="str">
        <f>VLOOKUP(Tableau119[[#This Row],[Name Site]],Plant_AILN!A:D,4,FALSE)</f>
        <v>COLOMBIA</v>
      </c>
      <c r="M335" s="411" t="s">
        <v>177</v>
      </c>
      <c r="N335" s="454">
        <f>VLOOKUP(Tableau119[[#This Row],[Name Site]],Plant_AILN!A:C,3,FALSE)</f>
        <v>9510600</v>
      </c>
      <c r="O335" s="55">
        <f>VLOOKUP(Tableau119[[#This Row],[Compte Consignee]],Order!C:D,2,FALSE)</f>
        <v>7</v>
      </c>
      <c r="P335" s="284" t="s">
        <v>199</v>
      </c>
      <c r="Q335" s="365">
        <f>VLOOKUP(Tableau119[[#This Row],[Name ILN]],Plant_AILN!F:G,2,FALSE)</f>
        <v>26376</v>
      </c>
      <c r="R335" s="50">
        <f>VLOOKUP(Tableau119[[#This Row],[Compte ILN]],'DATA ILN'!D:I,6,FALSE)</f>
        <v>9</v>
      </c>
      <c r="S335" s="50" t="e">
        <f>IFERROR(VLOOKUP(Tableau119[[#This Row],[Key(Compte ILN - shipper - POL - plant)]],'DATA ILN'!A:J,10,FALSE),VLOOKUP(Tableau119[[#This Row],[Key(Compte ILN - shipper - POL)]],'DATA ILN'!B:J,9,FALSE))</f>
        <v>#N/A</v>
      </c>
      <c r="T335" s="50" t="e">
        <f>IFERROR(VLOOKUP(Tableau119[[#This Row],[Key(Compte ILN - shipper - POL - plant)]],'DATA ILN'!A:K,11,FALSE),VLOOKUP(Tableau119[[#This Row],[Key(Compte ILN - shipper - POL)]],'DATA ILN'!B:K,10,FALSE))</f>
        <v>#N/A</v>
      </c>
      <c r="U335" s="50" t="e">
        <f>IFERROR(VLOOKUP(Tableau119[[#This Row],[Key(Compte ILN - shipper - POL - plant)]],'DATA ILN'!A:L,12,FALSE),VLOOKUP(Tableau119[[#This Row],[Key(Compte ILN - shipper - POL)]],'DATA ILN'!B:L,11,FALSE))</f>
        <v>#N/A</v>
      </c>
      <c r="V335" s="50" t="e">
        <f>Tableau119[[#This Row],[Day ILN Order]]+Tableau119[[#This Row],[Delivery time to ILN/Shipper]]-1</f>
        <v>#N/A</v>
      </c>
      <c r="W335" s="50" t="e">
        <f>IFERROR(VLOOKUP(Tableau119[[#This Row],[Key(Compte ILN - shipper - POL - plant)]],'DATA ILN'!A:N,14,FALSE),VLOOKUP(Tableau119[[#This Row],[Key(Compte ILN - shipper - POL)]],'DATA ILN'!B:N,13,FALSE))</f>
        <v>#N/A</v>
      </c>
      <c r="X335" s="50" t="e">
        <f>IFERROR(VLOOKUP(Tableau119[[#This Row],[Key(Compte ILN - shipper - POL - plant)]],'DATA ILN'!A:P,16,FALSE),VLOOKUP(Tableau119[[#This Row],[Key(Compte ILN - shipper - POL)]],'DATA ILN'!B:P,15,FALSE))</f>
        <v>#N/A</v>
      </c>
      <c r="Y335" s="284" t="s">
        <v>199</v>
      </c>
      <c r="Z335" s="430">
        <f>IFERROR(VLOOKUP(Tableau119[[#This Row],[Name Shipper]],Plant_AILN!L:M,2,FALSE),0)</f>
        <v>26376</v>
      </c>
      <c r="AA335" s="406">
        <v>128</v>
      </c>
      <c r="AB335" s="396" t="b">
        <f>_xlfn.XLOOKUP(Tableau119[[#This Row],[Key(ID-date)]],'DATA BTO'!S:S,'DATA BTO'!E:E,FALSE)</f>
        <v>0</v>
      </c>
      <c r="AC335" s="3" t="b">
        <f>_xlfn.XLOOKUP(Tableau119[[#This Row],[Key(ID-date)]],'DATA BTO'!S:S,'DATA BTO'!F:F,FALSE)</f>
        <v>0</v>
      </c>
      <c r="AD335" s="50" t="b">
        <f>_xlfn.XLOOKUP(Tableau119[[#This Row],[Key(ID-date)]],'DATA BTO'!S:S,'DATA BTO'!G:G,FALSE)</f>
        <v>0</v>
      </c>
      <c r="AE335" s="50" t="b">
        <f>_xlfn.XLOOKUP(Tableau119[[#This Row],[Key(ID-date)]],'DATA BTO'!S:S,'DATA BTO'!H:H,FALSE)</f>
        <v>0</v>
      </c>
      <c r="AF335" s="447" t="e">
        <f>IF(Tableau119[[#This Row],[First Day to POL]]&lt;=Tableau119[[#This Row],[Day Cut Off]],Tableau119[[#This Row],[Day ETD]],Tableau119[[#This Row],[Day ETD]]+7)</f>
        <v>#N/A</v>
      </c>
      <c r="AG335" s="50" t="b">
        <f>_xlfn.XLOOKUP(Tableau119[[#This Row],[Key(ID-date)]],'DATA BTO'!S:S,'DATA BTO'!I:I,FALSE)</f>
        <v>0</v>
      </c>
      <c r="AH335" s="3" t="b">
        <f>_xlfn.XLOOKUP(Tableau119[[#This Row],[Key(ID-date)]],'DATA BTO'!S:S,'DATA BTO'!J:J,FALSE)</f>
        <v>0</v>
      </c>
      <c r="AI335" s="3" t="b">
        <f>_xlfn.XLOOKUP(Tableau119[[#This Row],[Key(ID-date)]],'DATA BTO'!S:S,'DATA BTO'!K:K,FALSE)</f>
        <v>0</v>
      </c>
      <c r="AJ335" s="50" t="b">
        <f>_xlfn.XLOOKUP(Tableau119[[#This Row],[Key(ID-date)]],'DATA BTO'!S:S,'DATA BTO'!L:L,FALSE)</f>
        <v>0</v>
      </c>
      <c r="AK335" s="53" t="b">
        <f>_xlfn.XLOOKUP(Tableau119[[#This Row],[Key(ID-date)]],'DATA BTO'!S:S,'DATA BTO'!N:N,FALSE)</f>
        <v>0</v>
      </c>
      <c r="AL335" s="54" t="e">
        <f>VLOOKUP(Tableau119[[#This Row],[Key(POD -PFI- Usine)]],'DATA Consignee'!A:F,6,FALSE)</f>
        <v>#N/A</v>
      </c>
      <c r="AM335" s="284"/>
      <c r="AN335" s="376" t="str">
        <f>IF(Tableau119[[#This Row],[Name PFI/CDD]]="","-",VLOOKUP(Tableau119[[#This Row],[Name PFI/CDD]],Plant_AILN!I:J,2,FALSE))</f>
        <v>-</v>
      </c>
      <c r="AO33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5" s="2" t="e">
        <f>VLOOKUP(Tableau119[[#This Row],[Key(POD -PFI- Usine)]],'DATA Consignee'!A:J,10,FALSE)</f>
        <v>#N/A</v>
      </c>
      <c r="AR335" s="50" t="e">
        <f>VLOOKUP(Tableau119[[#This Row],[Key(POD -PFI- Usine)]],'DATA Consignee'!A:N,14,FALSE)</f>
        <v>#N/A</v>
      </c>
      <c r="AS33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5" s="50">
        <f>Tableau119[[#This Row],[Transit time]]+Tableau119[[#This Row],[Time for security]]+Tableau119[[#This Row],[Time for security2 buffer]]</f>
        <v>0</v>
      </c>
      <c r="AV3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5" s="50" t="e">
        <f>Tableau119[[#This Row],[Leadtime SI2C]]+Tableau119[[#This Row],[First Receipt Days]]-Tableau119[[#This Row],[Day Customer Order]]+1</f>
        <v>#N/A</v>
      </c>
      <c r="AX335" s="119" t="e">
        <f>IF(Tableau119[[#This Row],[Name ILN]]&lt;&gt;"SFK Freight Forwarder",Tableau119[[#This Row],[Cust. Leadtime]],Tableau119[[#This Row],[Leadtime SI2C]])</f>
        <v>#N/A</v>
      </c>
      <c r="AY335" s="51" t="b">
        <f>_xlfn.XLOOKUP(Tableau119[[#This Row],[Key(ID-date)]],'DATA BTO'!S:S,'DATA BTO'!P:P,FALSE)</f>
        <v>0</v>
      </c>
      <c r="AZ335" s="338">
        <v>45473</v>
      </c>
      <c r="BA335" s="50"/>
    </row>
    <row r="336" spans="2:53">
      <c r="B336" s="446" t="str">
        <f>_xlfn.CONCAT(Tableau119[[#This Row],[Name ILN]],"-",Tableau119[[#This Row],[Name Shipper]],"-",Tableau119[[#This Row],[Name Site]])</f>
        <v>ILN Cordoba-ILN Cordoba-SOFASA</v>
      </c>
      <c r="C336" s="66" t="str">
        <f>_xlfn.CONCAT(Tableau119[[#This Row],[Compte ILN]],"-",Tableau119[[#This Row],[Compte Shipper]],"-",Tableau119[[#This Row],[POL]],"-",Tableau119[[#This Row],[Compte Consignee]])</f>
        <v>26376-26376-FALSO-9510600</v>
      </c>
      <c r="D336" s="66" t="str">
        <f>_xlfn.CONCAT(Tableau119[[#This Row],[Compte ILN]],"-",Tableau119[[#This Row],[Compte Shipper]],"-",Tableau119[[#This Row],[POL]])</f>
        <v>26376-26376-FALSO</v>
      </c>
      <c r="E336" s="130" t="str">
        <f>_xlfn.CONCAT(Tableau119[[#This Row],[POL]],"-",Tableau119[[#This Row],[Carrier]],"-",Tableau119[[#This Row],[POD]])</f>
        <v>FALSO-FALSO-FALSO</v>
      </c>
      <c r="F336" s="66" t="str">
        <f>_xlfn.CONCAT(Tableau119[[#This Row],[ID]],"-","Actif")</f>
        <v>128-Actif</v>
      </c>
      <c r="G336" s="66" t="str">
        <f>_xlfn.CONCAT(Tableau119[[#This Row],[POD]],"-",Tableau119[[#This Row],[Code PFI]],"-",Tableau119[[#This Row],[Compte Consignee]])</f>
        <v>FALSO---9510600</v>
      </c>
      <c r="H3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CordobaFALSOSOFASA</v>
      </c>
      <c r="I336" s="434" t="str">
        <f>_xlfn.CONCAT(Tableau119[[#This Row],[ID]],"-",Tableau119[[#This Row],[Expiration Date]])</f>
        <v>128-45412</v>
      </c>
      <c r="J3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Cordoba-ILN Cordoba-128-FALSO-FALSO-FALSO--45412</v>
      </c>
      <c r="K336" s="119" t="str">
        <f ca="1">IF(COUNTIF(J:J,Tableau119[[#This Row],[Plant-ILN-shipper-POL-Carrier-POD-PFI]])=1,"Non","Oui")</f>
        <v>Non</v>
      </c>
      <c r="L336" s="128" t="str">
        <f>VLOOKUP(Tableau119[[#This Row],[Name Site]],Plant_AILN!A:D,4,FALSE)</f>
        <v>COLOMBIA</v>
      </c>
      <c r="M336" s="411" t="s">
        <v>177</v>
      </c>
      <c r="N336" s="454">
        <f>VLOOKUP(Tableau119[[#This Row],[Name Site]],Plant_AILN!A:C,3,FALSE)</f>
        <v>9510600</v>
      </c>
      <c r="O336" s="55">
        <f>VLOOKUP(Tableau119[[#This Row],[Compte Consignee]],Order!C:D,2,FALSE)</f>
        <v>7</v>
      </c>
      <c r="P336" s="124" t="s">
        <v>199</v>
      </c>
      <c r="Q336" s="365">
        <f>VLOOKUP(Tableau119[[#This Row],[Name ILN]],Plant_AILN!F:G,2,FALSE)</f>
        <v>26376</v>
      </c>
      <c r="R336" s="50">
        <f>VLOOKUP(Tableau119[[#This Row],[Compte ILN]],'DATA ILN'!D:I,6,FALSE)</f>
        <v>9</v>
      </c>
      <c r="S336" s="50" t="e">
        <f>IFERROR(VLOOKUP(Tableau119[[#This Row],[Key(Compte ILN - shipper - POL - plant)]],'DATA ILN'!A:J,10,FALSE),VLOOKUP(Tableau119[[#This Row],[Key(Compte ILN - shipper - POL)]],'DATA ILN'!B:J,9,FALSE))</f>
        <v>#N/A</v>
      </c>
      <c r="T336" s="50" t="e">
        <f>IFERROR(VLOOKUP(Tableau119[[#This Row],[Key(Compte ILN - shipper - POL - plant)]],'DATA ILN'!A:K,11,FALSE),VLOOKUP(Tableau119[[#This Row],[Key(Compte ILN - shipper - POL)]],'DATA ILN'!B:K,10,FALSE))</f>
        <v>#N/A</v>
      </c>
      <c r="U336" s="50" t="e">
        <f>IFERROR(VLOOKUP(Tableau119[[#This Row],[Key(Compte ILN - shipper - POL - plant)]],'DATA ILN'!A:L,12,FALSE),VLOOKUP(Tableau119[[#This Row],[Key(Compte ILN - shipper - POL)]],'DATA ILN'!B:L,11,FALSE))</f>
        <v>#N/A</v>
      </c>
      <c r="V336" s="50" t="e">
        <f>Tableau119[[#This Row],[Day ILN Order]]+Tableau119[[#This Row],[Delivery time to ILN/Shipper]]-1</f>
        <v>#N/A</v>
      </c>
      <c r="W336" s="50" t="e">
        <f>IFERROR(VLOOKUP(Tableau119[[#This Row],[Key(Compte ILN - shipper - POL - plant)]],'DATA ILN'!A:N,14,FALSE),VLOOKUP(Tableau119[[#This Row],[Key(Compte ILN - shipper - POL)]],'DATA ILN'!B:N,13,FALSE))</f>
        <v>#N/A</v>
      </c>
      <c r="X336" s="50" t="e">
        <f>IFERROR(VLOOKUP(Tableau119[[#This Row],[Key(Compte ILN - shipper - POL - plant)]],'DATA ILN'!A:P,16,FALSE),VLOOKUP(Tableau119[[#This Row],[Key(Compte ILN - shipper - POL)]],'DATA ILN'!B:P,15,FALSE))</f>
        <v>#N/A</v>
      </c>
      <c r="Y336" s="284" t="s">
        <v>199</v>
      </c>
      <c r="Z336" s="430">
        <f>IFERROR(VLOOKUP(Tableau119[[#This Row],[Name Shipper]],Plant_AILN!L:M,2,FALSE),0)</f>
        <v>26376</v>
      </c>
      <c r="AA336" s="406">
        <v>128</v>
      </c>
      <c r="AB336" s="396" t="b">
        <f>_xlfn.XLOOKUP(Tableau119[[#This Row],[Key(ID-date)]],'DATA BTO'!S:S,'DATA BTO'!E:E,FALSE)</f>
        <v>0</v>
      </c>
      <c r="AC336" s="3" t="b">
        <f>_xlfn.XLOOKUP(Tableau119[[#This Row],[Key(ID-date)]],'DATA BTO'!S:S,'DATA BTO'!F:F,FALSE)</f>
        <v>0</v>
      </c>
      <c r="AD336" s="50" t="b">
        <f>_xlfn.XLOOKUP(Tableau119[[#This Row],[Key(ID-date)]],'DATA BTO'!S:S,'DATA BTO'!G:G,FALSE)</f>
        <v>0</v>
      </c>
      <c r="AE336" s="50" t="b">
        <f>_xlfn.XLOOKUP(Tableau119[[#This Row],[Key(ID-date)]],'DATA BTO'!S:S,'DATA BTO'!H:H,FALSE)</f>
        <v>0</v>
      </c>
      <c r="AF336" s="447" t="e">
        <f>IF(Tableau119[[#This Row],[First Day to POL]]&lt;=Tableau119[[#This Row],[Day Cut Off]],Tableau119[[#This Row],[Day ETD]],Tableau119[[#This Row],[Day ETD]]+7)</f>
        <v>#N/A</v>
      </c>
      <c r="AG336" s="50" t="b">
        <f>_xlfn.XLOOKUP(Tableau119[[#This Row],[Key(ID-date)]],'DATA BTO'!S:S,'DATA BTO'!I:I,FALSE)</f>
        <v>0</v>
      </c>
      <c r="AH336" s="3" t="b">
        <f>_xlfn.XLOOKUP(Tableau119[[#This Row],[Key(ID-date)]],'DATA BTO'!S:S,'DATA BTO'!J:J,FALSE)</f>
        <v>0</v>
      </c>
      <c r="AI336" s="3" t="b">
        <f>_xlfn.XLOOKUP(Tableau119[[#This Row],[Key(ID-date)]],'DATA BTO'!S:S,'DATA BTO'!K:K,FALSE)</f>
        <v>0</v>
      </c>
      <c r="AJ336" s="50" t="b">
        <f>_xlfn.XLOOKUP(Tableau119[[#This Row],[Key(ID-date)]],'DATA BTO'!S:S,'DATA BTO'!L:L,FALSE)</f>
        <v>0</v>
      </c>
      <c r="AK336" s="53" t="b">
        <f>_xlfn.XLOOKUP(Tableau119[[#This Row],[Key(ID-date)]],'DATA BTO'!S:S,'DATA BTO'!N:N,FALSE)</f>
        <v>0</v>
      </c>
      <c r="AL336" s="54" t="e">
        <f>VLOOKUP(Tableau119[[#This Row],[Key(POD -PFI- Usine)]],'DATA Consignee'!A:F,6,FALSE)</f>
        <v>#N/A</v>
      </c>
      <c r="AM336" s="284"/>
      <c r="AN336" s="376" t="str">
        <f>IF(Tableau119[[#This Row],[Name PFI/CDD]]="","-",VLOOKUP(Tableau119[[#This Row],[Name PFI/CDD]],Plant_AILN!I:J,2,FALSE))</f>
        <v>-</v>
      </c>
      <c r="AO33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6" s="2" t="e">
        <f>VLOOKUP(Tableau119[[#This Row],[Key(POD -PFI- Usine)]],'DATA Consignee'!A:J,10,FALSE)</f>
        <v>#N/A</v>
      </c>
      <c r="AR336" s="50" t="e">
        <f>VLOOKUP(Tableau119[[#This Row],[Key(POD -PFI- Usine)]],'DATA Consignee'!A:N,14,FALSE)</f>
        <v>#N/A</v>
      </c>
      <c r="AS33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6" s="50">
        <f>Tableau119[[#This Row],[Transit time]]+Tableau119[[#This Row],[Time for security]]+Tableau119[[#This Row],[Time for security2 buffer]]</f>
        <v>0</v>
      </c>
      <c r="AV3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6" s="50" t="e">
        <f>Tableau119[[#This Row],[Leadtime SI2C]]+Tableau119[[#This Row],[First Receipt Days]]-Tableau119[[#This Row],[Day Customer Order]]+1</f>
        <v>#N/A</v>
      </c>
      <c r="AX336" s="119" t="e">
        <f>IF(Tableau119[[#This Row],[Name ILN]]&lt;&gt;"SFK Freight Forwarder",Tableau119[[#This Row],[Cust. Leadtime]],Tableau119[[#This Row],[Leadtime SI2C]])</f>
        <v>#N/A</v>
      </c>
      <c r="AY336" s="51" t="b">
        <f>_xlfn.XLOOKUP(Tableau119[[#This Row],[Key(ID-date)]],'DATA BTO'!S:S,'DATA BTO'!P:P,FALSE)</f>
        <v>0</v>
      </c>
      <c r="AZ336" s="338">
        <v>45412</v>
      </c>
      <c r="BA336" s="50"/>
    </row>
    <row r="337" spans="2:53">
      <c r="B337" s="66" t="str">
        <f>_xlfn.CONCAT(Tableau119[[#This Row],[Name ILN]],"-",Tableau119[[#This Row],[Name Shipper]],"-",Tableau119[[#This Row],[Name Site]])</f>
        <v>ILN Curitiba-ILN Curitiba-SOFASA</v>
      </c>
      <c r="C337" s="66" t="str">
        <f>_xlfn.CONCAT(Tableau119[[#This Row],[Compte ILN]],"-",Tableau119[[#This Row],[Compte Shipper]],"-",Tableau119[[#This Row],[POL]],"-",Tableau119[[#This Row],[Compte Consignee]])</f>
        <v>95207-95207-FALSO-9510600</v>
      </c>
      <c r="D337" s="66" t="str">
        <f>_xlfn.CONCAT(Tableau119[[#This Row],[Compte ILN]],"-",Tableau119[[#This Row],[Compte Shipper]],"-",Tableau119[[#This Row],[POL]])</f>
        <v>95207-95207-FALSO</v>
      </c>
      <c r="E337" s="130" t="str">
        <f>_xlfn.CONCAT(Tableau119[[#This Row],[POL]],"-",Tableau119[[#This Row],[Carrier]],"-",Tableau119[[#This Row],[POD]])</f>
        <v>FALSO-FALSO-FALSO</v>
      </c>
      <c r="F337" s="66" t="str">
        <f>_xlfn.CONCAT(Tableau119[[#This Row],[ID]],"-","Actif")</f>
        <v>129-Actif</v>
      </c>
      <c r="G337" s="66" t="str">
        <f>_xlfn.CONCAT(Tableau119[[#This Row],[POD]],"-",Tableau119[[#This Row],[Code PFI]],"-",Tableau119[[#This Row],[Compte Consignee]])</f>
        <v>FALSO---9510600</v>
      </c>
      <c r="H3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CuritibaFALSOSOFASA</v>
      </c>
      <c r="I337" s="434" t="str">
        <f>_xlfn.CONCAT(Tableau119[[#This Row],[ID]],"-",Tableau119[[#This Row],[Expiration Date]])</f>
        <v>129-46142</v>
      </c>
      <c r="J3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Curitiba-ILN Curitiba-129-FALSO-FALSO-FALSO--46142</v>
      </c>
      <c r="K337" s="119" t="str">
        <f ca="1">IF(COUNTIF(J:J,Tableau119[[#This Row],[Plant-ILN-shipper-POL-Carrier-POD-PFI]])=1,"Non","Oui")</f>
        <v>Non</v>
      </c>
      <c r="L337" s="436" t="str">
        <f>VLOOKUP(Tableau119[[#This Row],[Name Site]],Plant_AILN!A:D,4,FALSE)</f>
        <v>COLOMBIA</v>
      </c>
      <c r="M337" s="285" t="s">
        <v>177</v>
      </c>
      <c r="N337" s="454">
        <f>VLOOKUP(Tableau119[[#This Row],[Name Site]],Plant_AILN!A:C,3,FALSE)</f>
        <v>9510600</v>
      </c>
      <c r="O337" s="55">
        <f>IF(Tableau119[[#This Row],[Name PFI/CDD]]="PFI VLL",2,VLOOKUP(Tableau119[[#This Row],[Compte Consignee]],Order!C:D,2,FALSE))</f>
        <v>7</v>
      </c>
      <c r="P337" s="124" t="s">
        <v>163</v>
      </c>
      <c r="Q337" s="365">
        <f>VLOOKUP(Tableau119[[#This Row],[Name ILN]],Plant_AILN!F:G,2,FALSE)</f>
        <v>95207</v>
      </c>
      <c r="R337" s="50">
        <f>VLOOKUP(Tableau119[[#This Row],[Compte ILN]],'DATA ILN'!D:I,6,FALSE)</f>
        <v>9</v>
      </c>
      <c r="S337" s="50" t="e">
        <f>IFERROR(VLOOKUP(Tableau119[[#This Row],[Key(Compte ILN - shipper - POL - plant)]],'DATA ILN'!A:J,10,FALSE),VLOOKUP(Tableau119[[#This Row],[Key(Compte ILN - shipper - POL)]],'DATA ILN'!B:J,9,FALSE))</f>
        <v>#N/A</v>
      </c>
      <c r="T337" s="50" t="e">
        <f>IFERROR(VLOOKUP(Tableau119[[#This Row],[Key(Compte ILN - shipper - POL - plant)]],'DATA ILN'!A:K,11,FALSE),VLOOKUP(Tableau119[[#This Row],[Key(Compte ILN - shipper - POL)]],'DATA ILN'!B:K,10,FALSE))</f>
        <v>#N/A</v>
      </c>
      <c r="U337" s="50" t="e">
        <f>IFERROR(VLOOKUP(Tableau119[[#This Row],[Key(Compte ILN - shipper - POL - plant)]],'DATA ILN'!A:L,12,FALSE),VLOOKUP(Tableau119[[#This Row],[Key(Compte ILN - shipper - POL)]],'DATA ILN'!B:L,11,FALSE))</f>
        <v>#N/A</v>
      </c>
      <c r="V337" s="50" t="e">
        <f>Tableau119[[#This Row],[Day ILN Order]]+Tableau119[[#This Row],[Delivery time to ILN/Shipper]]-1</f>
        <v>#N/A</v>
      </c>
      <c r="W337" s="50" t="e">
        <f>IFERROR(VLOOKUP(Tableau119[[#This Row],[Key(Compte ILN - shipper - POL - plant)]],'DATA ILN'!A:N,14,FALSE),VLOOKUP(Tableau119[[#This Row],[Key(Compte ILN - shipper - POL)]],'DATA ILN'!B:N,13,FALSE))</f>
        <v>#N/A</v>
      </c>
      <c r="X337" s="50" t="e">
        <f>IFERROR(VLOOKUP(Tableau119[[#This Row],[Key(Compte ILN - shipper - POL - plant)]],'DATA ILN'!A:P,16,FALSE),VLOOKUP(Tableau119[[#This Row],[Key(Compte ILN - shipper - POL)]],'DATA ILN'!B:P,15,FALSE))</f>
        <v>#N/A</v>
      </c>
      <c r="Y337" s="284" t="s">
        <v>163</v>
      </c>
      <c r="Z337" s="430">
        <f>IFERROR(VLOOKUP(Tableau119[[#This Row],[Name Shipper]],Plant_AILN!L:M,2,FALSE),0)</f>
        <v>95207</v>
      </c>
      <c r="AA337" s="406">
        <v>129</v>
      </c>
      <c r="AB337" s="396" t="b">
        <f>_xlfn.XLOOKUP(Tableau119[[#This Row],[Key(ID-date)]],'DATA BTO'!S:S,'DATA BTO'!E:E,FALSE)</f>
        <v>0</v>
      </c>
      <c r="AC337" s="3" t="b">
        <f>_xlfn.XLOOKUP(Tableau119[[#This Row],[Key(ID-date)]],'DATA BTO'!S:S,'DATA BTO'!F:F,FALSE)</f>
        <v>0</v>
      </c>
      <c r="AD337" s="50" t="b">
        <f>_xlfn.XLOOKUP(Tableau119[[#This Row],[Key(ID-date)]],'DATA BTO'!S:S,'DATA BTO'!G:G,FALSE)</f>
        <v>0</v>
      </c>
      <c r="AE337" s="50" t="b">
        <f>_xlfn.XLOOKUP(Tableau119[[#This Row],[Key(ID-date)]],'DATA BTO'!S:S,'DATA BTO'!H:H,FALSE)</f>
        <v>0</v>
      </c>
      <c r="AF337" s="447" t="e">
        <f>IF(Tableau119[[#This Row],[First Day to POL]]&lt;=Tableau119[[#This Row],[Day Cut Off]],Tableau119[[#This Row],[Day ETD]],Tableau119[[#This Row],[Day ETD]]+7)</f>
        <v>#N/A</v>
      </c>
      <c r="AG337" s="50" t="b">
        <f>_xlfn.XLOOKUP(Tableau119[[#This Row],[Key(ID-date)]],'DATA BTO'!S:S,'DATA BTO'!I:I,FALSE)</f>
        <v>0</v>
      </c>
      <c r="AH337" s="3" t="b">
        <f>_xlfn.XLOOKUP(Tableau119[[#This Row],[Key(ID-date)]],'DATA BTO'!S:S,'DATA BTO'!J:J,FALSE)</f>
        <v>0</v>
      </c>
      <c r="AI337" s="3" t="b">
        <f>_xlfn.XLOOKUP(Tableau119[[#This Row],[Key(ID-date)]],'DATA BTO'!S:S,'DATA BTO'!K:K,FALSE)</f>
        <v>0</v>
      </c>
      <c r="AJ337" s="50" t="b">
        <f>_xlfn.XLOOKUP(Tableau119[[#This Row],[Key(ID-date)]],'DATA BTO'!S:S,'DATA BTO'!L:L,FALSE)</f>
        <v>0</v>
      </c>
      <c r="AK337" s="53" t="b">
        <f>_xlfn.XLOOKUP(Tableau119[[#This Row],[Key(ID-date)]],'DATA BTO'!S:S,'DATA BTO'!N:N,FALSE)</f>
        <v>0</v>
      </c>
      <c r="AL337" s="54" t="e">
        <f>VLOOKUP(Tableau119[[#This Row],[Key(POD -PFI- Usine)]],'DATA Consignee'!A:F,6,FALSE)</f>
        <v>#N/A</v>
      </c>
      <c r="AM337" s="284"/>
      <c r="AN337" s="376" t="str">
        <f>IF(Tableau119[[#This Row],[Name PFI/CDD]]="","-",VLOOKUP(Tableau119[[#This Row],[Name PFI/CDD]],Plant_AILN!I:J,2,FALSE))</f>
        <v>-</v>
      </c>
      <c r="AO3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7" s="2" t="e">
        <f>VLOOKUP(Tableau119[[#This Row],[Key(POD -PFI- Usine)]],'DATA Consignee'!A:J,10,FALSE)</f>
        <v>#N/A</v>
      </c>
      <c r="AR337" s="50" t="e">
        <f>VLOOKUP(Tableau119[[#This Row],[Key(POD -PFI- Usine)]],'DATA Consignee'!A:N,14,FALSE)</f>
        <v>#N/A</v>
      </c>
      <c r="AS3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7" s="50">
        <f>Tableau119[[#This Row],[Transit time]]+Tableau119[[#This Row],[Time for security]]+Tableau119[[#This Row],[Time for security2 buffer]]</f>
        <v>0</v>
      </c>
      <c r="AV3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7" s="50" t="e">
        <f>Tableau119[[#This Row],[Leadtime SI2C]]+Tableau119[[#This Row],[First Receipt Days]]-Tableau119[[#This Row],[Day Customer Order]]+1</f>
        <v>#N/A</v>
      </c>
      <c r="AX337" s="119" t="e">
        <f>IF(Tableau119[[#This Row],[Name ILN]]&lt;&gt;"SFK Freight Forwarder",Tableau119[[#This Row],[Cust. Leadtime]],Tableau119[[#This Row],[Leadtime SI2C]])</f>
        <v>#N/A</v>
      </c>
      <c r="AY337" s="51" t="b">
        <f>_xlfn.XLOOKUP(Tableau119[[#This Row],[Key(ID-date)]],'DATA BTO'!S:S,'DATA BTO'!P:P,FALSE)</f>
        <v>0</v>
      </c>
      <c r="AZ337" s="338">
        <v>46142</v>
      </c>
      <c r="BA337" s="50"/>
    </row>
    <row r="338" spans="2:53">
      <c r="B338" s="446" t="str">
        <f>_xlfn.CONCAT(Tableau119[[#This Row],[Name ILN]],"-",Tableau119[[#This Row],[Name Shipper]],"-",Tableau119[[#This Row],[Name Site]])</f>
        <v>ILN Curitiba-ILN Curitiba-SOFASA</v>
      </c>
      <c r="C338" s="66" t="str">
        <f>_xlfn.CONCAT(Tableau119[[#This Row],[Compte ILN]],"-",Tableau119[[#This Row],[Compte Shipper]],"-",Tableau119[[#This Row],[POL]],"-",Tableau119[[#This Row],[Compte Consignee]])</f>
        <v>95207-95207-FALSO-9510600</v>
      </c>
      <c r="D338" s="66" t="str">
        <f>_xlfn.CONCAT(Tableau119[[#This Row],[Compte ILN]],"-",Tableau119[[#This Row],[Compte Shipper]],"-",Tableau119[[#This Row],[POL]])</f>
        <v>95207-95207-FALSO</v>
      </c>
      <c r="E338" s="130" t="str">
        <f>_xlfn.CONCAT(Tableau119[[#This Row],[POL]],"-",Tableau119[[#This Row],[Carrier]],"-",Tableau119[[#This Row],[POD]])</f>
        <v>FALSO-FALSO-FALSO</v>
      </c>
      <c r="F338" s="66" t="str">
        <f>_xlfn.CONCAT(Tableau119[[#This Row],[ID]],"-","Actif")</f>
        <v>129-Actif</v>
      </c>
      <c r="G338" s="66" t="str">
        <f>_xlfn.CONCAT(Tableau119[[#This Row],[POD]],"-",Tableau119[[#This Row],[Code PFI]],"-",Tableau119[[#This Row],[Compte Consignee]])</f>
        <v>FALSO---9510600</v>
      </c>
      <c r="H3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CuritibaFALSOSOFASA</v>
      </c>
      <c r="I338" s="434" t="str">
        <f>_xlfn.CONCAT(Tableau119[[#This Row],[ID]],"-",Tableau119[[#This Row],[Expiration Date]])</f>
        <v>129-45777</v>
      </c>
      <c r="J3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Curitiba-ILN Curitiba-129-FALSO-FALSO-FALSO--45777</v>
      </c>
      <c r="K338" s="119" t="str">
        <f ca="1">IF(COUNTIF(J:J,Tableau119[[#This Row],[Plant-ILN-shipper-POL-Carrier-POD-PFI]])=1,"Non","Oui")</f>
        <v>Non</v>
      </c>
      <c r="L338" s="128" t="str">
        <f>VLOOKUP(Tableau119[[#This Row],[Name Site]],Plant_AILN!A:D,4,FALSE)</f>
        <v>COLOMBIA</v>
      </c>
      <c r="M338" s="411" t="s">
        <v>177</v>
      </c>
      <c r="N338" s="454">
        <f>VLOOKUP(Tableau119[[#This Row],[Name Site]],Plant_AILN!A:C,3,FALSE)</f>
        <v>9510600</v>
      </c>
      <c r="O338" s="55">
        <f>VLOOKUP(Tableau119[[#This Row],[Compte Consignee]],Order!C:D,2,FALSE)</f>
        <v>7</v>
      </c>
      <c r="P338" s="124" t="s">
        <v>163</v>
      </c>
      <c r="Q338" s="365">
        <f>VLOOKUP(Tableau119[[#This Row],[Name ILN]],Plant_AILN!F:G,2,FALSE)</f>
        <v>95207</v>
      </c>
      <c r="R338" s="50">
        <f>VLOOKUP(Tableau119[[#This Row],[Compte ILN]],'DATA ILN'!D:I,6,FALSE)</f>
        <v>9</v>
      </c>
      <c r="S338" s="50" t="e">
        <f>IFERROR(VLOOKUP(Tableau119[[#This Row],[Key(Compte ILN - shipper - POL - plant)]],'DATA ILN'!A:J,10,FALSE),VLOOKUP(Tableau119[[#This Row],[Key(Compte ILN - shipper - POL)]],'DATA ILN'!B:J,9,FALSE))</f>
        <v>#N/A</v>
      </c>
      <c r="T338" s="50" t="e">
        <f>IFERROR(VLOOKUP(Tableau119[[#This Row],[Key(Compte ILN - shipper - POL - plant)]],'DATA ILN'!A:K,11,FALSE),VLOOKUP(Tableau119[[#This Row],[Key(Compte ILN - shipper - POL)]],'DATA ILN'!B:K,10,FALSE))</f>
        <v>#N/A</v>
      </c>
      <c r="U338" s="50" t="e">
        <f>IFERROR(VLOOKUP(Tableau119[[#This Row],[Key(Compte ILN - shipper - POL - plant)]],'DATA ILN'!A:L,12,FALSE),VLOOKUP(Tableau119[[#This Row],[Key(Compte ILN - shipper - POL)]],'DATA ILN'!B:L,11,FALSE))</f>
        <v>#N/A</v>
      </c>
      <c r="V338" s="50" t="e">
        <f>Tableau119[[#This Row],[Day ILN Order]]+Tableau119[[#This Row],[Delivery time to ILN/Shipper]]-1</f>
        <v>#N/A</v>
      </c>
      <c r="W338" s="50" t="e">
        <f>IFERROR(VLOOKUP(Tableau119[[#This Row],[Key(Compte ILN - shipper - POL - plant)]],'DATA ILN'!A:N,14,FALSE),VLOOKUP(Tableau119[[#This Row],[Key(Compte ILN - shipper - POL)]],'DATA ILN'!B:N,13,FALSE))</f>
        <v>#N/A</v>
      </c>
      <c r="X338" s="50" t="e">
        <f>IFERROR(VLOOKUP(Tableau119[[#This Row],[Key(Compte ILN - shipper - POL - plant)]],'DATA ILN'!A:P,16,FALSE),VLOOKUP(Tableau119[[#This Row],[Key(Compte ILN - shipper - POL)]],'DATA ILN'!B:P,15,FALSE))</f>
        <v>#N/A</v>
      </c>
      <c r="Y338" s="284" t="s">
        <v>163</v>
      </c>
      <c r="Z338" s="430">
        <f>IFERROR(VLOOKUP(Tableau119[[#This Row],[Name Shipper]],Plant_AILN!L:M,2,FALSE),0)</f>
        <v>95207</v>
      </c>
      <c r="AA338" s="406">
        <v>129</v>
      </c>
      <c r="AB338" s="396" t="b">
        <f>_xlfn.XLOOKUP(Tableau119[[#This Row],[Key(ID-date)]],'DATA BTO'!S:S,'DATA BTO'!E:E,FALSE)</f>
        <v>0</v>
      </c>
      <c r="AC338" s="3" t="b">
        <f>_xlfn.XLOOKUP(Tableau119[[#This Row],[Key(ID-date)]],'DATA BTO'!S:S,'DATA BTO'!F:F,FALSE)</f>
        <v>0</v>
      </c>
      <c r="AD338" s="50" t="b">
        <f>_xlfn.XLOOKUP(Tableau119[[#This Row],[Key(ID-date)]],'DATA BTO'!S:S,'DATA BTO'!G:G,FALSE)</f>
        <v>0</v>
      </c>
      <c r="AE338" s="50" t="b">
        <f>_xlfn.XLOOKUP(Tableau119[[#This Row],[Key(ID-date)]],'DATA BTO'!S:S,'DATA BTO'!H:H,FALSE)</f>
        <v>0</v>
      </c>
      <c r="AF338" s="447" t="e">
        <f>IF(Tableau119[[#This Row],[First Day to POL]]&lt;=Tableau119[[#This Row],[Day Cut Off]],Tableau119[[#This Row],[Day ETD]],Tableau119[[#This Row],[Day ETD]]+7)</f>
        <v>#N/A</v>
      </c>
      <c r="AG338" s="50" t="b">
        <f>_xlfn.XLOOKUP(Tableau119[[#This Row],[Key(ID-date)]],'DATA BTO'!S:S,'DATA BTO'!I:I,FALSE)</f>
        <v>0</v>
      </c>
      <c r="AH338" s="3" t="b">
        <f>_xlfn.XLOOKUP(Tableau119[[#This Row],[Key(ID-date)]],'DATA BTO'!S:S,'DATA BTO'!J:J,FALSE)</f>
        <v>0</v>
      </c>
      <c r="AI338" s="3" t="b">
        <f>_xlfn.XLOOKUP(Tableau119[[#This Row],[Key(ID-date)]],'DATA BTO'!S:S,'DATA BTO'!K:K,FALSE)</f>
        <v>0</v>
      </c>
      <c r="AJ338" s="50" t="b">
        <f>_xlfn.XLOOKUP(Tableau119[[#This Row],[Key(ID-date)]],'DATA BTO'!S:S,'DATA BTO'!L:L,FALSE)</f>
        <v>0</v>
      </c>
      <c r="AK338" s="53" t="b">
        <f>_xlfn.XLOOKUP(Tableau119[[#This Row],[Key(ID-date)]],'DATA BTO'!S:S,'DATA BTO'!N:N,FALSE)</f>
        <v>0</v>
      </c>
      <c r="AL338" s="54" t="e">
        <f>VLOOKUP(Tableau119[[#This Row],[Key(POD -PFI- Usine)]],'DATA Consignee'!A:F,6,FALSE)</f>
        <v>#N/A</v>
      </c>
      <c r="AM338" s="284"/>
      <c r="AN338" s="376" t="str">
        <f>IF(Tableau119[[#This Row],[Name PFI/CDD]]="","-",VLOOKUP(Tableau119[[#This Row],[Name PFI/CDD]],Plant_AILN!I:J,2,FALSE))</f>
        <v>-</v>
      </c>
      <c r="AO3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8" s="2" t="e">
        <f>VLOOKUP(Tableau119[[#This Row],[Key(POD -PFI- Usine)]],'DATA Consignee'!A:J,10,FALSE)</f>
        <v>#N/A</v>
      </c>
      <c r="AR338" s="50" t="e">
        <f>VLOOKUP(Tableau119[[#This Row],[Key(POD -PFI- Usine)]],'DATA Consignee'!A:N,14,FALSE)</f>
        <v>#N/A</v>
      </c>
      <c r="AS3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8" s="50">
        <f>Tableau119[[#This Row],[Transit time]]+Tableau119[[#This Row],[Time for security]]+Tableau119[[#This Row],[Time for security2 buffer]]</f>
        <v>0</v>
      </c>
      <c r="AV3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8" s="50" t="e">
        <f>Tableau119[[#This Row],[Leadtime SI2C]]+Tableau119[[#This Row],[First Receipt Days]]-Tableau119[[#This Row],[Day Customer Order]]+1</f>
        <v>#N/A</v>
      </c>
      <c r="AX338" s="119" t="e">
        <f>IF(Tableau119[[#This Row],[Name ILN]]&lt;&gt;"SFK Freight Forwarder",Tableau119[[#This Row],[Cust. Leadtime]],Tableau119[[#This Row],[Leadtime SI2C]])</f>
        <v>#N/A</v>
      </c>
      <c r="AY338" s="51" t="b">
        <f>_xlfn.XLOOKUP(Tableau119[[#This Row],[Key(ID-date)]],'DATA BTO'!S:S,'DATA BTO'!P:P,FALSE)</f>
        <v>0</v>
      </c>
      <c r="AZ338" s="338">
        <v>45777</v>
      </c>
      <c r="BA338" s="50"/>
    </row>
    <row r="339" spans="2:53">
      <c r="B339" s="66" t="str">
        <f>_xlfn.CONCAT(Tableau119[[#This Row],[Name ILN]],"-",Tableau119[[#This Row],[Name Shipper]],"-",Tableau119[[#This Row],[Name Site]])</f>
        <v>ILN Curitiba-NISSAN AILN LOGISTICA CRAGEA-SOFASA</v>
      </c>
      <c r="C339" s="66" t="str">
        <f>_xlfn.CONCAT(Tableau119[[#This Row],[Compte ILN]],"-",Tableau119[[#This Row],[Compte Shipper]],"-",Tableau119[[#This Row],[POL]],"-",Tableau119[[#This Row],[Compte Consignee]])</f>
        <v>95207-92007300-FALSO-9510600</v>
      </c>
      <c r="D339" s="66" t="str">
        <f>_xlfn.CONCAT(Tableau119[[#This Row],[Compte ILN]],"-",Tableau119[[#This Row],[Compte Shipper]],"-",Tableau119[[#This Row],[POL]])</f>
        <v>95207-92007300-FALSO</v>
      </c>
      <c r="E339" s="130" t="str">
        <f>_xlfn.CONCAT(Tableau119[[#This Row],[POL]],"-",Tableau119[[#This Row],[Carrier]],"-",Tableau119[[#This Row],[POD]])</f>
        <v>FALSO-FALSO-FALSO</v>
      </c>
      <c r="F339" s="66" t="str">
        <f>_xlfn.CONCAT(Tableau119[[#This Row],[ID]],"-","Actif")</f>
        <v>130-Actif</v>
      </c>
      <c r="G339" s="66" t="str">
        <f>_xlfn.CONCAT(Tableau119[[#This Row],[POD]],"-",Tableau119[[#This Row],[Code PFI]],"-",Tableau119[[#This Row],[Compte Consignee]])</f>
        <v>FALSO---9510600</v>
      </c>
      <c r="H3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92007300FALSOSOFASA</v>
      </c>
      <c r="I339" s="434" t="str">
        <f>_xlfn.CONCAT(Tableau119[[#This Row],[ID]],"-",Tableau119[[#This Row],[Expiration Date]])</f>
        <v>130-46142</v>
      </c>
      <c r="J3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Curitiba-NISSAN AILN LOGISTICA CRAGEA-130-FALSO-FALSO-FALSO--46142</v>
      </c>
      <c r="K339" s="119" t="str">
        <f ca="1">IF(COUNTIF(J:J,Tableau119[[#This Row],[Plant-ILN-shipper-POL-Carrier-POD-PFI]])=1,"Non","Oui")</f>
        <v>Non</v>
      </c>
      <c r="L339" s="436" t="str">
        <f>VLOOKUP(Tableau119[[#This Row],[Name Site]],Plant_AILN!A:D,4,FALSE)</f>
        <v>COLOMBIA</v>
      </c>
      <c r="M339" s="485" t="s">
        <v>177</v>
      </c>
      <c r="N339" s="454">
        <f>VLOOKUP(Tableau119[[#This Row],[Name Site]],Plant_AILN!A:C,3,FALSE)</f>
        <v>9510600</v>
      </c>
      <c r="O339" s="55">
        <f>IF(Tableau119[[#This Row],[Name PFI/CDD]]="PFI VLL",2,VLOOKUP(Tableau119[[#This Row],[Compte Consignee]],Order!C:D,2,FALSE))</f>
        <v>7</v>
      </c>
      <c r="P339" s="126" t="s">
        <v>163</v>
      </c>
      <c r="Q339" s="365">
        <f>VLOOKUP(Tableau119[[#This Row],[Name ILN]],Plant_AILN!F:G,2,FALSE)</f>
        <v>95207</v>
      </c>
      <c r="R339" s="50">
        <f>VLOOKUP(Tableau119[[#This Row],[Compte ILN]],'DATA ILN'!D:I,6,FALSE)</f>
        <v>9</v>
      </c>
      <c r="S339" s="50" t="e">
        <f>IFERROR(VLOOKUP(Tableau119[[#This Row],[Key(Compte ILN - shipper - POL - plant)]],'DATA ILN'!A:J,10,FALSE),VLOOKUP(Tableau119[[#This Row],[Key(Compte ILN - shipper - POL)]],'DATA ILN'!B:J,9,FALSE))</f>
        <v>#N/A</v>
      </c>
      <c r="T339" s="50" t="e">
        <f>IFERROR(VLOOKUP(Tableau119[[#This Row],[Key(Compte ILN - shipper - POL - plant)]],'DATA ILN'!A:K,11,FALSE),VLOOKUP(Tableau119[[#This Row],[Key(Compte ILN - shipper - POL)]],'DATA ILN'!B:K,10,FALSE))</f>
        <v>#N/A</v>
      </c>
      <c r="U339" s="50" t="e">
        <f>IFERROR(VLOOKUP(Tableau119[[#This Row],[Key(Compte ILN - shipper - POL - plant)]],'DATA ILN'!A:L,12,FALSE),VLOOKUP(Tableau119[[#This Row],[Key(Compte ILN - shipper - POL)]],'DATA ILN'!B:L,11,FALSE))</f>
        <v>#N/A</v>
      </c>
      <c r="V339" s="50" t="e">
        <f>Tableau119[[#This Row],[Day ILN Order]]+Tableau119[[#This Row],[Delivery time to ILN/Shipper]]-1</f>
        <v>#N/A</v>
      </c>
      <c r="W339" s="50" t="e">
        <f>IFERROR(VLOOKUP(Tableau119[[#This Row],[Key(Compte ILN - shipper - POL - plant)]],'DATA ILN'!A:N,14,FALSE),VLOOKUP(Tableau119[[#This Row],[Key(Compte ILN - shipper - POL)]],'DATA ILN'!B:N,13,FALSE))</f>
        <v>#N/A</v>
      </c>
      <c r="X339" s="50" t="e">
        <f>IFERROR(VLOOKUP(Tableau119[[#This Row],[Key(Compte ILN - shipper - POL - plant)]],'DATA ILN'!A:P,16,FALSE),VLOOKUP(Tableau119[[#This Row],[Key(Compte ILN - shipper - POL)]],'DATA ILN'!B:P,15,FALSE))</f>
        <v>#N/A</v>
      </c>
      <c r="Y339" s="284" t="s">
        <v>383</v>
      </c>
      <c r="Z339" s="430">
        <f>IFERROR(VLOOKUP(Tableau119[[#This Row],[Name Shipper]],Plant_AILN!L:M,2,FALSE),0)</f>
        <v>92007300</v>
      </c>
      <c r="AA339" s="416">
        <v>130</v>
      </c>
      <c r="AB339" s="396" t="b">
        <f>_xlfn.XLOOKUP(Tableau119[[#This Row],[Key(ID-date)]],'DATA BTO'!S:S,'DATA BTO'!E:E,FALSE)</f>
        <v>0</v>
      </c>
      <c r="AC339" s="3" t="b">
        <f>_xlfn.XLOOKUP(Tableau119[[#This Row],[Key(ID-date)]],'DATA BTO'!S:S,'DATA BTO'!F:F,FALSE)</f>
        <v>0</v>
      </c>
      <c r="AD339" s="50" t="b">
        <f>_xlfn.XLOOKUP(Tableau119[[#This Row],[Key(ID-date)]],'DATA BTO'!S:S,'DATA BTO'!G:G,FALSE)</f>
        <v>0</v>
      </c>
      <c r="AE339" s="50" t="b">
        <f>_xlfn.XLOOKUP(Tableau119[[#This Row],[Key(ID-date)]],'DATA BTO'!S:S,'DATA BTO'!H:H,FALSE)</f>
        <v>0</v>
      </c>
      <c r="AF339" s="447" t="e">
        <f>IF(Tableau119[[#This Row],[First Day to POL]]&lt;=Tableau119[[#This Row],[Day Cut Off]],Tableau119[[#This Row],[Day ETD]],Tableau119[[#This Row],[Day ETD]]+7)</f>
        <v>#N/A</v>
      </c>
      <c r="AG339" s="50" t="b">
        <f>_xlfn.XLOOKUP(Tableau119[[#This Row],[Key(ID-date)]],'DATA BTO'!S:S,'DATA BTO'!I:I,FALSE)</f>
        <v>0</v>
      </c>
      <c r="AH339" s="3" t="b">
        <f>_xlfn.XLOOKUP(Tableau119[[#This Row],[Key(ID-date)]],'DATA BTO'!S:S,'DATA BTO'!J:J,FALSE)</f>
        <v>0</v>
      </c>
      <c r="AI339" s="3" t="b">
        <f>_xlfn.XLOOKUP(Tableau119[[#This Row],[Key(ID-date)]],'DATA BTO'!S:S,'DATA BTO'!K:K,FALSE)</f>
        <v>0</v>
      </c>
      <c r="AJ339" s="50" t="b">
        <f>_xlfn.XLOOKUP(Tableau119[[#This Row],[Key(ID-date)]],'DATA BTO'!S:S,'DATA BTO'!L:L,FALSE)</f>
        <v>0</v>
      </c>
      <c r="AK339" s="53" t="b">
        <f>_xlfn.XLOOKUP(Tableau119[[#This Row],[Key(ID-date)]],'DATA BTO'!S:S,'DATA BTO'!N:N,FALSE)</f>
        <v>0</v>
      </c>
      <c r="AL339" s="54" t="e">
        <f>VLOOKUP(Tableau119[[#This Row],[Key(POD -PFI- Usine)]],'DATA Consignee'!A:F,6,FALSE)</f>
        <v>#N/A</v>
      </c>
      <c r="AM339" s="102"/>
      <c r="AN339" s="376" t="str">
        <f>IF(Tableau119[[#This Row],[Name PFI/CDD]]="","-",VLOOKUP(Tableau119[[#This Row],[Name PFI/CDD]],Plant_AILN!I:J,2,FALSE))</f>
        <v>-</v>
      </c>
      <c r="AO3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39" s="2" t="e">
        <f>VLOOKUP(Tableau119[[#This Row],[Key(POD -PFI- Usine)]],'DATA Consignee'!A:J,10,FALSE)</f>
        <v>#N/A</v>
      </c>
      <c r="AR339" s="50" t="e">
        <f>VLOOKUP(Tableau119[[#This Row],[Key(POD -PFI- Usine)]],'DATA Consignee'!A:N,14,FALSE)</f>
        <v>#N/A</v>
      </c>
      <c r="AS3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39" s="50">
        <f>Tableau119[[#This Row],[Transit time]]+Tableau119[[#This Row],[Time for security]]+Tableau119[[#This Row],[Time for security2 buffer]]</f>
        <v>0</v>
      </c>
      <c r="AV3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39" s="50" t="e">
        <f>Tableau119[[#This Row],[Leadtime SI2C]]+Tableau119[[#This Row],[First Receipt Days]]-Tableau119[[#This Row],[Day Customer Order]]+1</f>
        <v>#N/A</v>
      </c>
      <c r="AX339" s="119" t="e">
        <f>IF(Tableau119[[#This Row],[Name ILN]]&lt;&gt;"SFK Freight Forwarder",Tableau119[[#This Row],[Cust. Leadtime]],Tableau119[[#This Row],[Leadtime SI2C]])</f>
        <v>#N/A</v>
      </c>
      <c r="AY339" s="51" t="b">
        <f>_xlfn.XLOOKUP(Tableau119[[#This Row],[Key(ID-date)]],'DATA BTO'!S:S,'DATA BTO'!P:P,FALSE)</f>
        <v>0</v>
      </c>
      <c r="AZ339" s="388">
        <v>46142</v>
      </c>
      <c r="BA339" s="81"/>
    </row>
    <row r="340" spans="2:53">
      <c r="B340" s="446" t="str">
        <f>_xlfn.CONCAT(Tableau119[[#This Row],[Name ILN]],"-",Tableau119[[#This Row],[Name Shipper]],"-",Tableau119[[#This Row],[Name Site]])</f>
        <v>ILN Curitiba-NISSAN AILN LOGISTICA CRAGEA-SOFASA</v>
      </c>
      <c r="C340" s="66" t="str">
        <f>_xlfn.CONCAT(Tableau119[[#This Row],[Compte ILN]],"-",Tableau119[[#This Row],[Compte Shipper]],"-",Tableau119[[#This Row],[POL]],"-",Tableau119[[#This Row],[Compte Consignee]])</f>
        <v>95207-92007300-FALSO-9510600</v>
      </c>
      <c r="D340" s="66" t="str">
        <f>_xlfn.CONCAT(Tableau119[[#This Row],[Compte ILN]],"-",Tableau119[[#This Row],[Compte Shipper]],"-",Tableau119[[#This Row],[POL]])</f>
        <v>95207-92007300-FALSO</v>
      </c>
      <c r="E340" s="130" t="str">
        <f>_xlfn.CONCAT(Tableau119[[#This Row],[POL]],"-",Tableau119[[#This Row],[Carrier]],"-",Tableau119[[#This Row],[POD]])</f>
        <v>FALSO-FALSO-FALSO</v>
      </c>
      <c r="F340" s="66" t="str">
        <f>_xlfn.CONCAT(Tableau119[[#This Row],[ID]],"-","Actif")</f>
        <v>130-Actif</v>
      </c>
      <c r="G340" s="66" t="str">
        <f>_xlfn.CONCAT(Tableau119[[#This Row],[POD]],"-",Tableau119[[#This Row],[Code PFI]],"-",Tableau119[[#This Row],[Compte Consignee]])</f>
        <v>FALSO---9510600</v>
      </c>
      <c r="H3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92007300FALSOSOFASA</v>
      </c>
      <c r="I340" s="434" t="str">
        <f>_xlfn.CONCAT(Tableau119[[#This Row],[ID]],"-",Tableau119[[#This Row],[Expiration Date]])</f>
        <v>130-45777</v>
      </c>
      <c r="J3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Curitiba-NISSAN AILN LOGISTICA CRAGEA-130-FALSO-FALSO-FALSO--45777</v>
      </c>
      <c r="K340" s="119" t="str">
        <f ca="1">IF(COUNTIF(J:J,Tableau119[[#This Row],[Plant-ILN-shipper-POL-Carrier-POD-PFI]])=1,"Non","Oui")</f>
        <v>Non</v>
      </c>
      <c r="L340" s="128" t="str">
        <f>VLOOKUP(Tableau119[[#This Row],[Name Site]],Plant_AILN!A:D,4,FALSE)</f>
        <v>COLOMBIA</v>
      </c>
      <c r="M340" s="415" t="s">
        <v>177</v>
      </c>
      <c r="N340" s="454">
        <f>VLOOKUP(Tableau119[[#This Row],[Name Site]],Plant_AILN!A:C,3,FALSE)</f>
        <v>9510600</v>
      </c>
      <c r="O340" s="55">
        <f>VLOOKUP(Tableau119[[#This Row],[Compte Consignee]],Order!C:D,2,FALSE)</f>
        <v>7</v>
      </c>
      <c r="P340" s="124" t="s">
        <v>163</v>
      </c>
      <c r="Q340" s="365">
        <f>VLOOKUP(Tableau119[[#This Row],[Name ILN]],Plant_AILN!F:G,2,FALSE)</f>
        <v>95207</v>
      </c>
      <c r="R340" s="50">
        <f>VLOOKUP(Tableau119[[#This Row],[Compte ILN]],'DATA ILN'!D:I,6,FALSE)</f>
        <v>9</v>
      </c>
      <c r="S340" s="50" t="e">
        <f>IFERROR(VLOOKUP(Tableau119[[#This Row],[Key(Compte ILN - shipper - POL - plant)]],'DATA ILN'!A:J,10,FALSE),VLOOKUP(Tableau119[[#This Row],[Key(Compte ILN - shipper - POL)]],'DATA ILN'!B:J,9,FALSE))</f>
        <v>#N/A</v>
      </c>
      <c r="T340" s="50" t="e">
        <f>IFERROR(VLOOKUP(Tableau119[[#This Row],[Key(Compte ILN - shipper - POL - plant)]],'DATA ILN'!A:K,11,FALSE),VLOOKUP(Tableau119[[#This Row],[Key(Compte ILN - shipper - POL)]],'DATA ILN'!B:K,10,FALSE))</f>
        <v>#N/A</v>
      </c>
      <c r="U340" s="50" t="e">
        <f>IFERROR(VLOOKUP(Tableau119[[#This Row],[Key(Compte ILN - shipper - POL - plant)]],'DATA ILN'!A:L,12,FALSE),VLOOKUP(Tableau119[[#This Row],[Key(Compte ILN - shipper - POL)]],'DATA ILN'!B:L,11,FALSE))</f>
        <v>#N/A</v>
      </c>
      <c r="V340" s="50" t="e">
        <f>Tableau119[[#This Row],[Day ILN Order]]+Tableau119[[#This Row],[Delivery time to ILN/Shipper]]-1</f>
        <v>#N/A</v>
      </c>
      <c r="W340" s="50" t="e">
        <f>IFERROR(VLOOKUP(Tableau119[[#This Row],[Key(Compte ILN - shipper - POL - plant)]],'DATA ILN'!A:N,14,FALSE),VLOOKUP(Tableau119[[#This Row],[Key(Compte ILN - shipper - POL)]],'DATA ILN'!B:N,13,FALSE))</f>
        <v>#N/A</v>
      </c>
      <c r="X340" s="50" t="e">
        <f>IFERROR(VLOOKUP(Tableau119[[#This Row],[Key(Compte ILN - shipper - POL - plant)]],'DATA ILN'!A:P,16,FALSE),VLOOKUP(Tableau119[[#This Row],[Key(Compte ILN - shipper - POL)]],'DATA ILN'!B:P,15,FALSE))</f>
        <v>#N/A</v>
      </c>
      <c r="Y340" s="102" t="s">
        <v>383</v>
      </c>
      <c r="Z340" s="430">
        <f>IFERROR(VLOOKUP(Tableau119[[#This Row],[Name Shipper]],Plant_AILN!L:M,2,FALSE),0)</f>
        <v>92007300</v>
      </c>
      <c r="AA340" s="416">
        <v>130</v>
      </c>
      <c r="AB340" s="396" t="b">
        <f>_xlfn.XLOOKUP(Tableau119[[#This Row],[Key(ID-date)]],'DATA BTO'!S:S,'DATA BTO'!E:E,FALSE)</f>
        <v>0</v>
      </c>
      <c r="AC340" s="3" t="b">
        <f>_xlfn.XLOOKUP(Tableau119[[#This Row],[Key(ID-date)]],'DATA BTO'!S:S,'DATA BTO'!F:F,FALSE)</f>
        <v>0</v>
      </c>
      <c r="AD340" s="50" t="b">
        <f>_xlfn.XLOOKUP(Tableau119[[#This Row],[Key(ID-date)]],'DATA BTO'!S:S,'DATA BTO'!G:G,FALSE)</f>
        <v>0</v>
      </c>
      <c r="AE340" s="50" t="b">
        <f>_xlfn.XLOOKUP(Tableau119[[#This Row],[Key(ID-date)]],'DATA BTO'!S:S,'DATA BTO'!H:H,FALSE)</f>
        <v>0</v>
      </c>
      <c r="AF340" s="447" t="e">
        <f>IF(Tableau119[[#This Row],[First Day to POL]]&lt;=Tableau119[[#This Row],[Day Cut Off]],Tableau119[[#This Row],[Day ETD]],Tableau119[[#This Row],[Day ETD]]+7)</f>
        <v>#N/A</v>
      </c>
      <c r="AG340" s="50" t="b">
        <f>_xlfn.XLOOKUP(Tableau119[[#This Row],[Key(ID-date)]],'DATA BTO'!S:S,'DATA BTO'!I:I,FALSE)</f>
        <v>0</v>
      </c>
      <c r="AH340" s="3" t="b">
        <f>_xlfn.XLOOKUP(Tableau119[[#This Row],[Key(ID-date)]],'DATA BTO'!S:S,'DATA BTO'!J:J,FALSE)</f>
        <v>0</v>
      </c>
      <c r="AI340" s="3" t="b">
        <f>_xlfn.XLOOKUP(Tableau119[[#This Row],[Key(ID-date)]],'DATA BTO'!S:S,'DATA BTO'!K:K,FALSE)</f>
        <v>0</v>
      </c>
      <c r="AJ340" s="50" t="b">
        <f>_xlfn.XLOOKUP(Tableau119[[#This Row],[Key(ID-date)]],'DATA BTO'!S:S,'DATA BTO'!L:L,FALSE)</f>
        <v>0</v>
      </c>
      <c r="AK340" s="53" t="b">
        <f>_xlfn.XLOOKUP(Tableau119[[#This Row],[Key(ID-date)]],'DATA BTO'!S:S,'DATA BTO'!N:N,FALSE)</f>
        <v>0</v>
      </c>
      <c r="AL340" s="54" t="e">
        <f>VLOOKUP(Tableau119[[#This Row],[Key(POD -PFI- Usine)]],'DATA Consignee'!A:F,6,FALSE)</f>
        <v>#N/A</v>
      </c>
      <c r="AM340" s="102"/>
      <c r="AN340" s="376" t="str">
        <f>IF(Tableau119[[#This Row],[Name PFI/CDD]]="","-",VLOOKUP(Tableau119[[#This Row],[Name PFI/CDD]],Plant_AILN!I:J,2,FALSE))</f>
        <v>-</v>
      </c>
      <c r="AO3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0" s="2" t="e">
        <f>VLOOKUP(Tableau119[[#This Row],[Key(POD -PFI- Usine)]],'DATA Consignee'!A:J,10,FALSE)</f>
        <v>#N/A</v>
      </c>
      <c r="AR340" s="50" t="e">
        <f>VLOOKUP(Tableau119[[#This Row],[Key(POD -PFI- Usine)]],'DATA Consignee'!A:N,14,FALSE)</f>
        <v>#N/A</v>
      </c>
      <c r="AS3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0" s="50">
        <f>Tableau119[[#This Row],[Transit time]]+Tableau119[[#This Row],[Time for security]]+Tableau119[[#This Row],[Time for security2 buffer]]</f>
        <v>0</v>
      </c>
      <c r="AV3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0" s="50" t="e">
        <f>Tableau119[[#This Row],[Leadtime SI2C]]+Tableau119[[#This Row],[First Receipt Days]]-Tableau119[[#This Row],[Day Customer Order]]+1</f>
        <v>#N/A</v>
      </c>
      <c r="AX340" s="119" t="e">
        <f>IF(Tableau119[[#This Row],[Name ILN]]&lt;&gt;"SFK Freight Forwarder",Tableau119[[#This Row],[Cust. Leadtime]],Tableau119[[#This Row],[Leadtime SI2C]])</f>
        <v>#N/A</v>
      </c>
      <c r="AY340" s="51" t="b">
        <f>_xlfn.XLOOKUP(Tableau119[[#This Row],[Key(ID-date)]],'DATA BTO'!S:S,'DATA BTO'!P:P,FALSE)</f>
        <v>0</v>
      </c>
      <c r="AZ340" s="388">
        <v>45777</v>
      </c>
      <c r="BA340" s="81"/>
    </row>
    <row r="341" spans="2:53">
      <c r="B341" s="446" t="str">
        <f>_xlfn.CONCAT(Tableau119[[#This Row],[Name ILN]],"-",Tableau119[[#This Row],[Name Shipper]],"-",Tableau119[[#This Row],[Name Site]])</f>
        <v>ILN Curitiba-NISSAN AILN LOGISTICA CRAGEA-SOFASA</v>
      </c>
      <c r="C341" s="66" t="str">
        <f>_xlfn.CONCAT(Tableau119[[#This Row],[Compte ILN]],"-",Tableau119[[#This Row],[Compte Shipper]],"-",Tableau119[[#This Row],[POL]],"-",Tableau119[[#This Row],[Compte Consignee]])</f>
        <v>95207-92007300-FALSO-9510600</v>
      </c>
      <c r="D341" s="66" t="str">
        <f>_xlfn.CONCAT(Tableau119[[#This Row],[Compte ILN]],"-",Tableau119[[#This Row],[Compte Shipper]],"-",Tableau119[[#This Row],[POL]])</f>
        <v>95207-92007300-FALSO</v>
      </c>
      <c r="E341" s="130" t="str">
        <f>_xlfn.CONCAT(Tableau119[[#This Row],[POL]],"-",Tableau119[[#This Row],[Carrier]],"-",Tableau119[[#This Row],[POD]])</f>
        <v>FALSO-FALSO-FALSO</v>
      </c>
      <c r="F341" s="66" t="str">
        <f>_xlfn.CONCAT(Tableau119[[#This Row],[ID]],"-","Actif")</f>
        <v>130-Actif</v>
      </c>
      <c r="G341" s="66" t="str">
        <f>_xlfn.CONCAT(Tableau119[[#This Row],[POD]],"-",Tableau119[[#This Row],[Code PFI]],"-",Tableau119[[#This Row],[Compte Consignee]])</f>
        <v>FALSO---9510600</v>
      </c>
      <c r="H3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92007300FALSOSOFASA</v>
      </c>
      <c r="I341" s="434" t="str">
        <f>_xlfn.CONCAT(Tableau119[[#This Row],[ID]],"-",Tableau119[[#This Row],[Expiration Date]])</f>
        <v>130-45473</v>
      </c>
      <c r="J3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Curitiba-NISSAN AILN LOGISTICA CRAGEA-130-FALSO-FALSO-FALSO--45473</v>
      </c>
      <c r="K341" s="119" t="str">
        <f ca="1">IF(COUNTIF(J:J,Tableau119[[#This Row],[Plant-ILN-shipper-POL-Carrier-POD-PFI]])=1,"Non","Oui")</f>
        <v>Non</v>
      </c>
      <c r="L341" s="128" t="str">
        <f>VLOOKUP(Tableau119[[#This Row],[Name Site]],Plant_AILN!A:D,4,FALSE)</f>
        <v>COLOMBIA</v>
      </c>
      <c r="M341" s="415" t="s">
        <v>177</v>
      </c>
      <c r="N341" s="454">
        <f>VLOOKUP(Tableau119[[#This Row],[Name Site]],Plant_AILN!A:C,3,FALSE)</f>
        <v>9510600</v>
      </c>
      <c r="O341" s="55">
        <f>VLOOKUP(Tableau119[[#This Row],[Compte Consignee]],Order!C:D,2,FALSE)</f>
        <v>7</v>
      </c>
      <c r="P341" s="126" t="s">
        <v>163</v>
      </c>
      <c r="Q341" s="365">
        <f>VLOOKUP(Tableau119[[#This Row],[Name ILN]],Plant_AILN!F:G,2,FALSE)</f>
        <v>95207</v>
      </c>
      <c r="R341" s="50">
        <f>VLOOKUP(Tableau119[[#This Row],[Compte ILN]],'DATA ILN'!D:I,6,FALSE)</f>
        <v>9</v>
      </c>
      <c r="S341" s="50" t="e">
        <f>IFERROR(VLOOKUP(Tableau119[[#This Row],[Key(Compte ILN - shipper - POL - plant)]],'DATA ILN'!A:J,10,FALSE),VLOOKUP(Tableau119[[#This Row],[Key(Compte ILN - shipper - POL)]],'DATA ILN'!B:J,9,FALSE))</f>
        <v>#N/A</v>
      </c>
      <c r="T341" s="50" t="e">
        <f>IFERROR(VLOOKUP(Tableau119[[#This Row],[Key(Compte ILN - shipper - POL - plant)]],'DATA ILN'!A:K,11,FALSE),VLOOKUP(Tableau119[[#This Row],[Key(Compte ILN - shipper - POL)]],'DATA ILN'!B:K,10,FALSE))</f>
        <v>#N/A</v>
      </c>
      <c r="U341" s="50" t="e">
        <f>IFERROR(VLOOKUP(Tableau119[[#This Row],[Key(Compte ILN - shipper - POL - plant)]],'DATA ILN'!A:L,12,FALSE),VLOOKUP(Tableau119[[#This Row],[Key(Compte ILN - shipper - POL)]],'DATA ILN'!B:L,11,FALSE))</f>
        <v>#N/A</v>
      </c>
      <c r="V341" s="50" t="e">
        <f>Tableau119[[#This Row],[Day ILN Order]]+Tableau119[[#This Row],[Delivery time to ILN/Shipper]]-1</f>
        <v>#N/A</v>
      </c>
      <c r="W341" s="50" t="e">
        <f>IFERROR(VLOOKUP(Tableau119[[#This Row],[Key(Compte ILN - shipper - POL - plant)]],'DATA ILN'!A:N,14,FALSE),VLOOKUP(Tableau119[[#This Row],[Key(Compte ILN - shipper - POL)]],'DATA ILN'!B:N,13,FALSE))</f>
        <v>#N/A</v>
      </c>
      <c r="X341" s="50" t="e">
        <f>IFERROR(VLOOKUP(Tableau119[[#This Row],[Key(Compte ILN - shipper - POL - plant)]],'DATA ILN'!A:P,16,FALSE),VLOOKUP(Tableau119[[#This Row],[Key(Compte ILN - shipper - POL)]],'DATA ILN'!B:P,15,FALSE))</f>
        <v>#N/A</v>
      </c>
      <c r="Y341" s="284" t="s">
        <v>383</v>
      </c>
      <c r="Z341" s="430">
        <f>IFERROR(VLOOKUP(Tableau119[[#This Row],[Name Shipper]],Plant_AILN!L:M,2,FALSE),0)</f>
        <v>92007300</v>
      </c>
      <c r="AA341" s="416">
        <v>130</v>
      </c>
      <c r="AB341" s="396" t="b">
        <f>_xlfn.XLOOKUP(Tableau119[[#This Row],[Key(ID-date)]],'DATA BTO'!S:S,'DATA BTO'!E:E,FALSE)</f>
        <v>0</v>
      </c>
      <c r="AC341" s="3" t="b">
        <f>_xlfn.XLOOKUP(Tableau119[[#This Row],[Key(ID-date)]],'DATA BTO'!S:S,'DATA BTO'!F:F,FALSE)</f>
        <v>0</v>
      </c>
      <c r="AD341" s="50" t="b">
        <f>_xlfn.XLOOKUP(Tableau119[[#This Row],[Key(ID-date)]],'DATA BTO'!S:S,'DATA BTO'!G:G,FALSE)</f>
        <v>0</v>
      </c>
      <c r="AE341" s="50" t="b">
        <f>_xlfn.XLOOKUP(Tableau119[[#This Row],[Key(ID-date)]],'DATA BTO'!S:S,'DATA BTO'!H:H,FALSE)</f>
        <v>0</v>
      </c>
      <c r="AF341" s="447" t="e">
        <f>IF(Tableau119[[#This Row],[First Day to POL]]&lt;=Tableau119[[#This Row],[Day Cut Off]],Tableau119[[#This Row],[Day ETD]],Tableau119[[#This Row],[Day ETD]]+7)</f>
        <v>#N/A</v>
      </c>
      <c r="AG341" s="50" t="b">
        <f>_xlfn.XLOOKUP(Tableau119[[#This Row],[Key(ID-date)]],'DATA BTO'!S:S,'DATA BTO'!I:I,FALSE)</f>
        <v>0</v>
      </c>
      <c r="AH341" s="3" t="b">
        <f>_xlfn.XLOOKUP(Tableau119[[#This Row],[Key(ID-date)]],'DATA BTO'!S:S,'DATA BTO'!J:J,FALSE)</f>
        <v>0</v>
      </c>
      <c r="AI341" s="3" t="b">
        <f>_xlfn.XLOOKUP(Tableau119[[#This Row],[Key(ID-date)]],'DATA BTO'!S:S,'DATA BTO'!K:K,FALSE)</f>
        <v>0</v>
      </c>
      <c r="AJ341" s="50" t="b">
        <f>_xlfn.XLOOKUP(Tableau119[[#This Row],[Key(ID-date)]],'DATA BTO'!S:S,'DATA BTO'!L:L,FALSE)</f>
        <v>0</v>
      </c>
      <c r="AK341" s="53" t="b">
        <f>_xlfn.XLOOKUP(Tableau119[[#This Row],[Key(ID-date)]],'DATA BTO'!S:S,'DATA BTO'!N:N,FALSE)</f>
        <v>0</v>
      </c>
      <c r="AL341" s="54" t="e">
        <f>VLOOKUP(Tableau119[[#This Row],[Key(POD -PFI- Usine)]],'DATA Consignee'!A:F,6,FALSE)</f>
        <v>#N/A</v>
      </c>
      <c r="AM341" s="102"/>
      <c r="AN341" s="376" t="str">
        <f>IF(Tableau119[[#This Row],[Name PFI/CDD]]="","-",VLOOKUP(Tableau119[[#This Row],[Name PFI/CDD]],Plant_AILN!I:J,2,FALSE))</f>
        <v>-</v>
      </c>
      <c r="AO3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1" s="2" t="e">
        <f>VLOOKUP(Tableau119[[#This Row],[Key(POD -PFI- Usine)]],'DATA Consignee'!A:J,10,FALSE)</f>
        <v>#N/A</v>
      </c>
      <c r="AR341" s="50" t="e">
        <f>VLOOKUP(Tableau119[[#This Row],[Key(POD -PFI- Usine)]],'DATA Consignee'!A:N,14,FALSE)</f>
        <v>#N/A</v>
      </c>
      <c r="AS34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1" s="50">
        <f>Tableau119[[#This Row],[Transit time]]+Tableau119[[#This Row],[Time for security]]+Tableau119[[#This Row],[Time for security2 buffer]]</f>
        <v>0</v>
      </c>
      <c r="AV3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1" s="50" t="e">
        <f>Tableau119[[#This Row],[Leadtime SI2C]]+Tableau119[[#This Row],[First Receipt Days]]-Tableau119[[#This Row],[Day Customer Order]]+1</f>
        <v>#N/A</v>
      </c>
      <c r="AX341" s="119" t="e">
        <f>IF(Tableau119[[#This Row],[Name ILN]]&lt;&gt;"SFK Freight Forwarder",Tableau119[[#This Row],[Cust. Leadtime]],Tableau119[[#This Row],[Leadtime SI2C]])</f>
        <v>#N/A</v>
      </c>
      <c r="AY341" s="51" t="b">
        <f>_xlfn.XLOOKUP(Tableau119[[#This Row],[Key(ID-date)]],'DATA BTO'!S:S,'DATA BTO'!P:P,FALSE)</f>
        <v>0</v>
      </c>
      <c r="AZ341" s="388">
        <v>45473</v>
      </c>
      <c r="BA341" s="81"/>
    </row>
    <row r="342" spans="2:53">
      <c r="B342" s="446" t="str">
        <f>_xlfn.CONCAT(Tableau119[[#This Row],[Name ILN]],"-",Tableau119[[#This Row],[Name Shipper]],"-",Tableau119[[#This Row],[Name Site]])</f>
        <v>ILN Curitiba-NISSAN AILN LOGISTICA CRAGEA-SOFASA</v>
      </c>
      <c r="C342" s="66" t="str">
        <f>_xlfn.CONCAT(Tableau119[[#This Row],[Compte ILN]],"-",Tableau119[[#This Row],[Compte Shipper]],"-",Tableau119[[#This Row],[POL]],"-",Tableau119[[#This Row],[Compte Consignee]])</f>
        <v>95207-92007300-FALSO-9510600</v>
      </c>
      <c r="D342" s="66" t="str">
        <f>_xlfn.CONCAT(Tableau119[[#This Row],[Compte ILN]],"-",Tableau119[[#This Row],[Compte Shipper]],"-",Tableau119[[#This Row],[POL]])</f>
        <v>95207-92007300-FALSO</v>
      </c>
      <c r="E342" s="130" t="str">
        <f>_xlfn.CONCAT(Tableau119[[#This Row],[POL]],"-",Tableau119[[#This Row],[Carrier]],"-",Tableau119[[#This Row],[POD]])</f>
        <v>FALSO-FALSO-FALSO</v>
      </c>
      <c r="F342" s="66" t="str">
        <f>_xlfn.CONCAT(Tableau119[[#This Row],[ID]],"-","Actif")</f>
        <v>130-Actif</v>
      </c>
      <c r="G342" s="66" t="str">
        <f>_xlfn.CONCAT(Tableau119[[#This Row],[POD]],"-",Tableau119[[#This Row],[Code PFI]],"-",Tableau119[[#This Row],[Compte Consignee]])</f>
        <v>FALSO---9510600</v>
      </c>
      <c r="H3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92007300FALSOSOFASA</v>
      </c>
      <c r="I342" s="434" t="str">
        <f>_xlfn.CONCAT(Tableau119[[#This Row],[ID]],"-",Tableau119[[#This Row],[Expiration Date]])</f>
        <v>130-45412</v>
      </c>
      <c r="J3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Curitiba-NISSAN AILN LOGISTICA CRAGEA-130-FALSO-FALSO-FALSO--45412</v>
      </c>
      <c r="K342" s="119" t="str">
        <f ca="1">IF(COUNTIF(J:J,Tableau119[[#This Row],[Plant-ILN-shipper-POL-Carrier-POD-PFI]])=1,"Non","Oui")</f>
        <v>Non</v>
      </c>
      <c r="L342" s="128" t="str">
        <f>VLOOKUP(Tableau119[[#This Row],[Name Site]],Plant_AILN!A:D,4,FALSE)</f>
        <v>COLOMBIA</v>
      </c>
      <c r="M342" s="415" t="s">
        <v>177</v>
      </c>
      <c r="N342" s="454">
        <f>VLOOKUP(Tableau119[[#This Row],[Name Site]],Plant_AILN!A:C,3,FALSE)</f>
        <v>9510600</v>
      </c>
      <c r="O342" s="55">
        <f>VLOOKUP(Tableau119[[#This Row],[Compte Consignee]],Order!C:D,2,FALSE)</f>
        <v>7</v>
      </c>
      <c r="P342" s="126" t="s">
        <v>163</v>
      </c>
      <c r="Q342" s="365">
        <f>VLOOKUP(Tableau119[[#This Row],[Name ILN]],Plant_AILN!F:G,2,FALSE)</f>
        <v>95207</v>
      </c>
      <c r="R342" s="50">
        <f>VLOOKUP(Tableau119[[#This Row],[Compte ILN]],'DATA ILN'!D:I,6,FALSE)</f>
        <v>9</v>
      </c>
      <c r="S342" s="50" t="e">
        <f>IFERROR(VLOOKUP(Tableau119[[#This Row],[Key(Compte ILN - shipper - POL - plant)]],'DATA ILN'!A:J,10,FALSE),VLOOKUP(Tableau119[[#This Row],[Key(Compte ILN - shipper - POL)]],'DATA ILN'!B:J,9,FALSE))</f>
        <v>#N/A</v>
      </c>
      <c r="T342" s="50" t="e">
        <f>IFERROR(VLOOKUP(Tableau119[[#This Row],[Key(Compte ILN - shipper - POL - plant)]],'DATA ILN'!A:K,11,FALSE),VLOOKUP(Tableau119[[#This Row],[Key(Compte ILN - shipper - POL)]],'DATA ILN'!B:K,10,FALSE))</f>
        <v>#N/A</v>
      </c>
      <c r="U342" s="50" t="e">
        <f>IFERROR(VLOOKUP(Tableau119[[#This Row],[Key(Compte ILN - shipper - POL - plant)]],'DATA ILN'!A:L,12,FALSE),VLOOKUP(Tableau119[[#This Row],[Key(Compte ILN - shipper - POL)]],'DATA ILN'!B:L,11,FALSE))</f>
        <v>#N/A</v>
      </c>
      <c r="V342" s="50" t="e">
        <f>Tableau119[[#This Row],[Day ILN Order]]+Tableau119[[#This Row],[Delivery time to ILN/Shipper]]-1</f>
        <v>#N/A</v>
      </c>
      <c r="W342" s="50" t="e">
        <f>IFERROR(VLOOKUP(Tableau119[[#This Row],[Key(Compte ILN - shipper - POL - plant)]],'DATA ILN'!A:N,14,FALSE),VLOOKUP(Tableau119[[#This Row],[Key(Compte ILN - shipper - POL)]],'DATA ILN'!B:N,13,FALSE))</f>
        <v>#N/A</v>
      </c>
      <c r="X342" s="50" t="e">
        <f>IFERROR(VLOOKUP(Tableau119[[#This Row],[Key(Compte ILN - shipper - POL - plant)]],'DATA ILN'!A:P,16,FALSE),VLOOKUP(Tableau119[[#This Row],[Key(Compte ILN - shipper - POL)]],'DATA ILN'!B:P,15,FALSE))</f>
        <v>#N/A</v>
      </c>
      <c r="Y342" s="102" t="s">
        <v>383</v>
      </c>
      <c r="Z342" s="430">
        <f>IFERROR(VLOOKUP(Tableau119[[#This Row],[Name Shipper]],Plant_AILN!L:M,2,FALSE),0)</f>
        <v>92007300</v>
      </c>
      <c r="AA342" s="416">
        <v>130</v>
      </c>
      <c r="AB342" s="396" t="b">
        <f>_xlfn.XLOOKUP(Tableau119[[#This Row],[Key(ID-date)]],'DATA BTO'!S:S,'DATA BTO'!E:E,FALSE)</f>
        <v>0</v>
      </c>
      <c r="AC342" s="3" t="b">
        <f>_xlfn.XLOOKUP(Tableau119[[#This Row],[Key(ID-date)]],'DATA BTO'!S:S,'DATA BTO'!F:F,FALSE)</f>
        <v>0</v>
      </c>
      <c r="AD342" s="50" t="b">
        <f>_xlfn.XLOOKUP(Tableau119[[#This Row],[Key(ID-date)]],'DATA BTO'!S:S,'DATA BTO'!G:G,FALSE)</f>
        <v>0</v>
      </c>
      <c r="AE342" s="50" t="b">
        <f>_xlfn.XLOOKUP(Tableau119[[#This Row],[Key(ID-date)]],'DATA BTO'!S:S,'DATA BTO'!H:H,FALSE)</f>
        <v>0</v>
      </c>
      <c r="AF342" s="447" t="e">
        <f>IF(Tableau119[[#This Row],[First Day to POL]]&lt;=Tableau119[[#This Row],[Day Cut Off]],Tableau119[[#This Row],[Day ETD]],Tableau119[[#This Row],[Day ETD]]+7)</f>
        <v>#N/A</v>
      </c>
      <c r="AG342" s="50" t="b">
        <f>_xlfn.XLOOKUP(Tableau119[[#This Row],[Key(ID-date)]],'DATA BTO'!S:S,'DATA BTO'!I:I,FALSE)</f>
        <v>0</v>
      </c>
      <c r="AH342" s="3" t="b">
        <f>_xlfn.XLOOKUP(Tableau119[[#This Row],[Key(ID-date)]],'DATA BTO'!S:S,'DATA BTO'!J:J,FALSE)</f>
        <v>0</v>
      </c>
      <c r="AI342" s="3" t="b">
        <f>_xlfn.XLOOKUP(Tableau119[[#This Row],[Key(ID-date)]],'DATA BTO'!S:S,'DATA BTO'!K:K,FALSE)</f>
        <v>0</v>
      </c>
      <c r="AJ342" s="50" t="b">
        <f>_xlfn.XLOOKUP(Tableau119[[#This Row],[Key(ID-date)]],'DATA BTO'!S:S,'DATA BTO'!L:L,FALSE)</f>
        <v>0</v>
      </c>
      <c r="AK342" s="53" t="b">
        <f>_xlfn.XLOOKUP(Tableau119[[#This Row],[Key(ID-date)]],'DATA BTO'!S:S,'DATA BTO'!N:N,FALSE)</f>
        <v>0</v>
      </c>
      <c r="AL342" s="54" t="e">
        <f>VLOOKUP(Tableau119[[#This Row],[Key(POD -PFI- Usine)]],'DATA Consignee'!A:F,6,FALSE)</f>
        <v>#N/A</v>
      </c>
      <c r="AM342" s="102"/>
      <c r="AN342" s="376" t="str">
        <f>IF(Tableau119[[#This Row],[Name PFI/CDD]]="","-",VLOOKUP(Tableau119[[#This Row],[Name PFI/CDD]],Plant_AILN!I:J,2,FALSE))</f>
        <v>-</v>
      </c>
      <c r="AO3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2" s="2" t="e">
        <f>VLOOKUP(Tableau119[[#This Row],[Key(POD -PFI- Usine)]],'DATA Consignee'!A:J,10,FALSE)</f>
        <v>#N/A</v>
      </c>
      <c r="AR342" s="50" t="e">
        <f>VLOOKUP(Tableau119[[#This Row],[Key(POD -PFI- Usine)]],'DATA Consignee'!A:N,14,FALSE)</f>
        <v>#N/A</v>
      </c>
      <c r="AS3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2" s="50">
        <f>Tableau119[[#This Row],[Transit time]]+Tableau119[[#This Row],[Time for security]]+Tableau119[[#This Row],[Time for security2 buffer]]</f>
        <v>0</v>
      </c>
      <c r="AV3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2" s="50" t="e">
        <f>Tableau119[[#This Row],[Leadtime SI2C]]+Tableau119[[#This Row],[First Receipt Days]]-Tableau119[[#This Row],[Day Customer Order]]+1</f>
        <v>#N/A</v>
      </c>
      <c r="AX342" s="119" t="e">
        <f>IF(Tableau119[[#This Row],[Name ILN]]&lt;&gt;"SFK Freight Forwarder",Tableau119[[#This Row],[Cust. Leadtime]],Tableau119[[#This Row],[Leadtime SI2C]])</f>
        <v>#N/A</v>
      </c>
      <c r="AY342" s="51" t="b">
        <f>_xlfn.XLOOKUP(Tableau119[[#This Row],[Key(ID-date)]],'DATA BTO'!S:S,'DATA BTO'!P:P,FALSE)</f>
        <v>0</v>
      </c>
      <c r="AZ342" s="388">
        <v>45412</v>
      </c>
      <c r="BA342" s="81"/>
    </row>
    <row r="343" spans="2:53">
      <c r="B343" s="66" t="str">
        <f>_xlfn.CONCAT(Tableau119[[#This Row],[Name ILN]],"-",Tableau119[[#This Row],[Name Shipper]],"-",Tableau119[[#This Row],[Name Site]])</f>
        <v>KWE Shanghai-KWE Shanghai-SOFASA</v>
      </c>
      <c r="C343" s="66" t="str">
        <f>_xlfn.CONCAT(Tableau119[[#This Row],[Compte ILN]],"-",Tableau119[[#This Row],[Compte Shipper]],"-",Tableau119[[#This Row],[POL]],"-",Tableau119[[#This Row],[Compte Consignee]])</f>
        <v>26037000-26037000-FALSO-9510600</v>
      </c>
      <c r="D343" s="66" t="str">
        <f>_xlfn.CONCAT(Tableau119[[#This Row],[Compte ILN]],"-",Tableau119[[#This Row],[Compte Shipper]],"-",Tableau119[[#This Row],[POL]])</f>
        <v>26037000-26037000-FALSO</v>
      </c>
      <c r="E343" s="130" t="str">
        <f>_xlfn.CONCAT(Tableau119[[#This Row],[POL]],"-",Tableau119[[#This Row],[Carrier]],"-",Tableau119[[#This Row],[POD]])</f>
        <v>FALSO-FALSO-FALSO</v>
      </c>
      <c r="F343" s="66" t="str">
        <f>_xlfn.CONCAT(Tableau119[[#This Row],[ID]],"-","Actif")</f>
        <v>132-Actif</v>
      </c>
      <c r="G343" s="66" t="str">
        <f>_xlfn.CONCAT(Tableau119[[#This Row],[POD]],"-",Tableau119[[#This Row],[Code PFI]],"-",Tableau119[[#This Row],[Compte Consignee]])</f>
        <v>FALSO---9510600</v>
      </c>
      <c r="H3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ShanghaiFALSOSOFASA</v>
      </c>
      <c r="I343" s="434" t="str">
        <f>_xlfn.CONCAT(Tableau119[[#This Row],[ID]],"-",Tableau119[[#This Row],[Expiration Date]])</f>
        <v>132-46053</v>
      </c>
      <c r="J3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SOFASA-KWE Shanghai-KWE Shanghai-132-FALSO-FALSO-FALSO--46053</v>
      </c>
      <c r="K343" s="119" t="str">
        <f ca="1">IF(COUNTIF(J:J,Tableau119[[#This Row],[Plant-ILN-shipper-POL-Carrier-POD-PFI]])=1,"Non","Oui")</f>
        <v>Non</v>
      </c>
      <c r="L343" s="436" t="str">
        <f>VLOOKUP(Tableau119[[#This Row],[Name Site]],Plant_AILN!A:D,4,FALSE)</f>
        <v>COLOMBIA</v>
      </c>
      <c r="M343" s="485" t="s">
        <v>177</v>
      </c>
      <c r="N343" s="454">
        <f>VLOOKUP(Tableau119[[#This Row],[Name Site]],Plant_AILN!A:C,3,FALSE)</f>
        <v>9510600</v>
      </c>
      <c r="O343" s="55">
        <f>IF(Tableau119[[#This Row],[Name PFI/CDD]]="PFI VLL",2,VLOOKUP(Tableau119[[#This Row],[Compte Consignee]],Order!C:D,2,FALSE))</f>
        <v>7</v>
      </c>
      <c r="P343" s="126" t="s">
        <v>62</v>
      </c>
      <c r="Q343" s="365">
        <f>VLOOKUP(Tableau119[[#This Row],[Name ILN]],Plant_AILN!F:G,2,FALSE)</f>
        <v>26037000</v>
      </c>
      <c r="R343" s="50">
        <f>VLOOKUP(Tableau119[[#This Row],[Compte ILN]],'DATA ILN'!D:I,6,FALSE)</f>
        <v>9</v>
      </c>
      <c r="S343" s="50" t="e">
        <f>IFERROR(VLOOKUP(Tableau119[[#This Row],[Key(Compte ILN - shipper - POL - plant)]],'DATA ILN'!A:J,10,FALSE),VLOOKUP(Tableau119[[#This Row],[Key(Compte ILN - shipper - POL)]],'DATA ILN'!B:J,9,FALSE))</f>
        <v>#N/A</v>
      </c>
      <c r="T343" s="50" t="e">
        <f>IFERROR(VLOOKUP(Tableau119[[#This Row],[Key(Compte ILN - shipper - POL - plant)]],'DATA ILN'!A:K,11,FALSE),VLOOKUP(Tableau119[[#This Row],[Key(Compte ILN - shipper - POL)]],'DATA ILN'!B:K,10,FALSE))</f>
        <v>#N/A</v>
      </c>
      <c r="U343" s="50" t="e">
        <f>IFERROR(VLOOKUP(Tableau119[[#This Row],[Key(Compte ILN - shipper - POL - plant)]],'DATA ILN'!A:L,12,FALSE),VLOOKUP(Tableau119[[#This Row],[Key(Compte ILN - shipper - POL)]],'DATA ILN'!B:L,11,FALSE))</f>
        <v>#N/A</v>
      </c>
      <c r="V343" s="50" t="e">
        <f>Tableau119[[#This Row],[Day ILN Order]]+Tableau119[[#This Row],[Delivery time to ILN/Shipper]]-1</f>
        <v>#N/A</v>
      </c>
      <c r="W343" s="50" t="e">
        <f>IFERROR(VLOOKUP(Tableau119[[#This Row],[Key(Compte ILN - shipper - POL - plant)]],'DATA ILN'!A:N,14,FALSE),VLOOKUP(Tableau119[[#This Row],[Key(Compte ILN - shipper - POL)]],'DATA ILN'!B:N,13,FALSE))</f>
        <v>#N/A</v>
      </c>
      <c r="X343" s="50" t="e">
        <f>IFERROR(VLOOKUP(Tableau119[[#This Row],[Key(Compte ILN - shipper - POL - plant)]],'DATA ILN'!A:P,16,FALSE),VLOOKUP(Tableau119[[#This Row],[Key(Compte ILN - shipper - POL)]],'DATA ILN'!B:P,15,FALSE))</f>
        <v>#N/A</v>
      </c>
      <c r="Y343" s="102" t="s">
        <v>62</v>
      </c>
      <c r="Z343" s="430">
        <f>IFERROR(VLOOKUP(Tableau119[[#This Row],[Name Shipper]],Plant_AILN!L:M,2,FALSE),0)</f>
        <v>26037000</v>
      </c>
      <c r="AA343" s="416">
        <v>132</v>
      </c>
      <c r="AB343" s="396" t="b">
        <f>_xlfn.XLOOKUP(Tableau119[[#This Row],[Key(ID-date)]],'DATA BTO'!S:S,'DATA BTO'!E:E,FALSE)</f>
        <v>0</v>
      </c>
      <c r="AC343" s="3" t="b">
        <f>_xlfn.XLOOKUP(Tableau119[[#This Row],[Key(ID-date)]],'DATA BTO'!S:S,'DATA BTO'!F:F,FALSE)</f>
        <v>0</v>
      </c>
      <c r="AD343" s="50" t="b">
        <f>_xlfn.XLOOKUP(Tableau119[[#This Row],[Key(ID-date)]],'DATA BTO'!S:S,'DATA BTO'!G:G,FALSE)</f>
        <v>0</v>
      </c>
      <c r="AE343" s="50" t="b">
        <f>_xlfn.XLOOKUP(Tableau119[[#This Row],[Key(ID-date)]],'DATA BTO'!S:S,'DATA BTO'!H:H,FALSE)</f>
        <v>0</v>
      </c>
      <c r="AF343" s="447" t="e">
        <f>IF(Tableau119[[#This Row],[First Day to POL]]&lt;=Tableau119[[#This Row],[Day Cut Off]],Tableau119[[#This Row],[Day ETD]],Tableau119[[#This Row],[Day ETD]]+7)</f>
        <v>#N/A</v>
      </c>
      <c r="AG343" s="50" t="b">
        <f>_xlfn.XLOOKUP(Tableau119[[#This Row],[Key(ID-date)]],'DATA BTO'!S:S,'DATA BTO'!I:I,FALSE)</f>
        <v>0</v>
      </c>
      <c r="AH343" s="3" t="b">
        <f>_xlfn.XLOOKUP(Tableau119[[#This Row],[Key(ID-date)]],'DATA BTO'!S:S,'DATA BTO'!J:J,FALSE)</f>
        <v>0</v>
      </c>
      <c r="AI343" s="3" t="b">
        <f>_xlfn.XLOOKUP(Tableau119[[#This Row],[Key(ID-date)]],'DATA BTO'!S:S,'DATA BTO'!K:K,FALSE)</f>
        <v>0</v>
      </c>
      <c r="AJ343" s="50" t="b">
        <f>_xlfn.XLOOKUP(Tableau119[[#This Row],[Key(ID-date)]],'DATA BTO'!S:S,'DATA BTO'!L:L,FALSE)</f>
        <v>0</v>
      </c>
      <c r="AK343" s="53" t="b">
        <f>_xlfn.XLOOKUP(Tableau119[[#This Row],[Key(ID-date)]],'DATA BTO'!S:S,'DATA BTO'!N:N,FALSE)</f>
        <v>0</v>
      </c>
      <c r="AL343" s="54" t="e">
        <f>VLOOKUP(Tableau119[[#This Row],[Key(POD -PFI- Usine)]],'DATA Consignee'!A:F,6,FALSE)</f>
        <v>#N/A</v>
      </c>
      <c r="AM343" s="102"/>
      <c r="AN343" s="376" t="str">
        <f>IF(Tableau119[[#This Row],[Name PFI/CDD]]="","-",VLOOKUP(Tableau119[[#This Row],[Name PFI/CDD]],Plant_AILN!I:J,2,FALSE))</f>
        <v>-</v>
      </c>
      <c r="AO34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3" s="2" t="e">
        <f>VLOOKUP(Tableau119[[#This Row],[Key(POD -PFI- Usine)]],'DATA Consignee'!A:J,10,FALSE)</f>
        <v>#N/A</v>
      </c>
      <c r="AR343" s="50" t="e">
        <f>VLOOKUP(Tableau119[[#This Row],[Key(POD -PFI- Usine)]],'DATA Consignee'!A:N,14,FALSE)</f>
        <v>#N/A</v>
      </c>
      <c r="AS34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3" s="50">
        <f>Tableau119[[#This Row],[Transit time]]+Tableau119[[#This Row],[Time for security]]+Tableau119[[#This Row],[Time for security2 buffer]]</f>
        <v>0</v>
      </c>
      <c r="AV3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3" s="50" t="e">
        <f>Tableau119[[#This Row],[Leadtime SI2C]]+Tableau119[[#This Row],[First Receipt Days]]-Tableau119[[#This Row],[Day Customer Order]]+1</f>
        <v>#N/A</v>
      </c>
      <c r="AX343" s="119" t="e">
        <f>IF(Tableau119[[#This Row],[Name ILN]]&lt;&gt;"SFK Freight Forwarder",Tableau119[[#This Row],[Cust. Leadtime]],Tableau119[[#This Row],[Leadtime SI2C]])</f>
        <v>#N/A</v>
      </c>
      <c r="AY343" s="51" t="b">
        <f>_xlfn.XLOOKUP(Tableau119[[#This Row],[Key(ID-date)]],'DATA BTO'!S:S,'DATA BTO'!P:P,FALSE)</f>
        <v>0</v>
      </c>
      <c r="AZ343" s="388">
        <v>46053</v>
      </c>
      <c r="BA343" s="81"/>
    </row>
    <row r="344" spans="2:53">
      <c r="B344" s="446" t="str">
        <f>_xlfn.CONCAT(Tableau119[[#This Row],[Name ILN]],"-",Tableau119[[#This Row],[Name Shipper]],"-",Tableau119[[#This Row],[Name Site]])</f>
        <v>KWE Shanghai-KWE Shanghai-SOFASA</v>
      </c>
      <c r="C344" s="66" t="str">
        <f>_xlfn.CONCAT(Tableau119[[#This Row],[Compte ILN]],"-",Tableau119[[#This Row],[Compte Shipper]],"-",Tableau119[[#This Row],[POL]],"-",Tableau119[[#This Row],[Compte Consignee]])</f>
        <v>26037000-26037000-FALSO-9510600</v>
      </c>
      <c r="D344" s="66" t="str">
        <f>_xlfn.CONCAT(Tableau119[[#This Row],[Compte ILN]],"-",Tableau119[[#This Row],[Compte Shipper]],"-",Tableau119[[#This Row],[POL]])</f>
        <v>26037000-26037000-FALSO</v>
      </c>
      <c r="E344" s="130" t="str">
        <f>_xlfn.CONCAT(Tableau119[[#This Row],[POL]],"-",Tableau119[[#This Row],[Carrier]],"-",Tableau119[[#This Row],[POD]])</f>
        <v>FALSO-FALSO-FALSO</v>
      </c>
      <c r="F344" s="66" t="str">
        <f>_xlfn.CONCAT(Tableau119[[#This Row],[ID]],"-","Actif")</f>
        <v>132-Actif</v>
      </c>
      <c r="G344" s="66" t="str">
        <f>_xlfn.CONCAT(Tableau119[[#This Row],[POD]],"-",Tableau119[[#This Row],[Code PFI]],"-",Tableau119[[#This Row],[Compte Consignee]])</f>
        <v>FALSO---9510600</v>
      </c>
      <c r="H3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ShanghaiFALSOSOFASA</v>
      </c>
      <c r="I344" s="434" t="str">
        <f>_xlfn.CONCAT(Tableau119[[#This Row],[ID]],"-",Tableau119[[#This Row],[Expiration Date]])</f>
        <v>132-45777</v>
      </c>
      <c r="J3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SOFASA-KWE Shanghai-KWE Shanghai-132-FALSO-FALSO-FALSO--45777</v>
      </c>
      <c r="K344" s="119" t="str">
        <f ca="1">IF(COUNTIF(J:J,Tableau119[[#This Row],[Plant-ILN-shipper-POL-Carrier-POD-PFI]])=1,"Non","Oui")</f>
        <v>Non</v>
      </c>
      <c r="L344" s="128" t="str">
        <f>VLOOKUP(Tableau119[[#This Row],[Name Site]],Plant_AILN!A:D,4,FALSE)</f>
        <v>COLOMBIA</v>
      </c>
      <c r="M344" s="411" t="s">
        <v>177</v>
      </c>
      <c r="N344" s="454">
        <f>VLOOKUP(Tableau119[[#This Row],[Name Site]],Plant_AILN!A:C,3,FALSE)</f>
        <v>9510600</v>
      </c>
      <c r="O344" s="55">
        <f>VLOOKUP(Tableau119[[#This Row],[Compte Consignee]],Order!C:D,2,FALSE)</f>
        <v>7</v>
      </c>
      <c r="P344" s="124" t="s">
        <v>62</v>
      </c>
      <c r="Q344" s="365">
        <f>VLOOKUP(Tableau119[[#This Row],[Name ILN]],Plant_AILN!F:G,2,FALSE)</f>
        <v>26037000</v>
      </c>
      <c r="R344" s="50">
        <f>VLOOKUP(Tableau119[[#This Row],[Compte ILN]],'DATA ILN'!D:I,6,FALSE)</f>
        <v>9</v>
      </c>
      <c r="S344" s="50" t="e">
        <f>IFERROR(VLOOKUP(Tableau119[[#This Row],[Key(Compte ILN - shipper - POL - plant)]],'DATA ILN'!A:J,10,FALSE),VLOOKUP(Tableau119[[#This Row],[Key(Compte ILN - shipper - POL)]],'DATA ILN'!B:J,9,FALSE))</f>
        <v>#N/A</v>
      </c>
      <c r="T344" s="50" t="e">
        <f>IFERROR(VLOOKUP(Tableau119[[#This Row],[Key(Compte ILN - shipper - POL - plant)]],'DATA ILN'!A:K,11,FALSE),VLOOKUP(Tableau119[[#This Row],[Key(Compte ILN - shipper - POL)]],'DATA ILN'!B:K,10,FALSE))</f>
        <v>#N/A</v>
      </c>
      <c r="U344" s="50" t="e">
        <f>IFERROR(VLOOKUP(Tableau119[[#This Row],[Key(Compte ILN - shipper - POL - plant)]],'DATA ILN'!A:L,12,FALSE),VLOOKUP(Tableau119[[#This Row],[Key(Compte ILN - shipper - POL)]],'DATA ILN'!B:L,11,FALSE))</f>
        <v>#N/A</v>
      </c>
      <c r="V344" s="50" t="e">
        <f>Tableau119[[#This Row],[Day ILN Order]]+Tableau119[[#This Row],[Delivery time to ILN/Shipper]]-1</f>
        <v>#N/A</v>
      </c>
      <c r="W344" s="50" t="e">
        <f>IFERROR(VLOOKUP(Tableau119[[#This Row],[Key(Compte ILN - shipper - POL - plant)]],'DATA ILN'!A:N,14,FALSE),VLOOKUP(Tableau119[[#This Row],[Key(Compte ILN - shipper - POL)]],'DATA ILN'!B:N,13,FALSE))</f>
        <v>#N/A</v>
      </c>
      <c r="X344" s="50" t="e">
        <f>IFERROR(VLOOKUP(Tableau119[[#This Row],[Key(Compte ILN - shipper - POL - plant)]],'DATA ILN'!A:P,16,FALSE),VLOOKUP(Tableau119[[#This Row],[Key(Compte ILN - shipper - POL)]],'DATA ILN'!B:P,15,FALSE))</f>
        <v>#N/A</v>
      </c>
      <c r="Y344" s="284" t="s">
        <v>62</v>
      </c>
      <c r="Z344" s="430">
        <f>IFERROR(VLOOKUP(Tableau119[[#This Row],[Name Shipper]],Plant_AILN!L:M,2,FALSE),0)</f>
        <v>26037000</v>
      </c>
      <c r="AA344" s="406">
        <v>132</v>
      </c>
      <c r="AB344" s="396" t="b">
        <f>_xlfn.XLOOKUP(Tableau119[[#This Row],[Key(ID-date)]],'DATA BTO'!S:S,'DATA BTO'!E:E,FALSE)</f>
        <v>0</v>
      </c>
      <c r="AC344" s="3" t="b">
        <f>_xlfn.XLOOKUP(Tableau119[[#This Row],[Key(ID-date)]],'DATA BTO'!S:S,'DATA BTO'!F:F,FALSE)</f>
        <v>0</v>
      </c>
      <c r="AD344" s="50" t="b">
        <f>_xlfn.XLOOKUP(Tableau119[[#This Row],[Key(ID-date)]],'DATA BTO'!S:S,'DATA BTO'!G:G,FALSE)</f>
        <v>0</v>
      </c>
      <c r="AE344" s="50" t="b">
        <f>_xlfn.XLOOKUP(Tableau119[[#This Row],[Key(ID-date)]],'DATA BTO'!S:S,'DATA BTO'!H:H,FALSE)</f>
        <v>0</v>
      </c>
      <c r="AF344" s="447" t="e">
        <f>IF(Tableau119[[#This Row],[First Day to POL]]&lt;=Tableau119[[#This Row],[Day Cut Off]],Tableau119[[#This Row],[Day ETD]],Tableau119[[#This Row],[Day ETD]]+7)</f>
        <v>#N/A</v>
      </c>
      <c r="AG344" s="50" t="b">
        <f>_xlfn.XLOOKUP(Tableau119[[#This Row],[Key(ID-date)]],'DATA BTO'!S:S,'DATA BTO'!I:I,FALSE)</f>
        <v>0</v>
      </c>
      <c r="AH344" s="3" t="b">
        <f>_xlfn.XLOOKUP(Tableau119[[#This Row],[Key(ID-date)]],'DATA BTO'!S:S,'DATA BTO'!J:J,FALSE)</f>
        <v>0</v>
      </c>
      <c r="AI344" s="3" t="b">
        <f>_xlfn.XLOOKUP(Tableau119[[#This Row],[Key(ID-date)]],'DATA BTO'!S:S,'DATA BTO'!K:K,FALSE)</f>
        <v>0</v>
      </c>
      <c r="AJ344" s="50" t="b">
        <f>_xlfn.XLOOKUP(Tableau119[[#This Row],[Key(ID-date)]],'DATA BTO'!S:S,'DATA BTO'!L:L,FALSE)</f>
        <v>0</v>
      </c>
      <c r="AK344" s="53" t="b">
        <f>_xlfn.XLOOKUP(Tableau119[[#This Row],[Key(ID-date)]],'DATA BTO'!S:S,'DATA BTO'!N:N,FALSE)</f>
        <v>0</v>
      </c>
      <c r="AL344" s="54" t="e">
        <f>VLOOKUP(Tableau119[[#This Row],[Key(POD -PFI- Usine)]],'DATA Consignee'!A:F,6,FALSE)</f>
        <v>#N/A</v>
      </c>
      <c r="AM344" s="127"/>
      <c r="AN344" s="376" t="str">
        <f>IF(Tableau119[[#This Row],[Name PFI/CDD]]="","-",VLOOKUP(Tableau119[[#This Row],[Name PFI/CDD]],Plant_AILN!I:J,2,FALSE))</f>
        <v>-</v>
      </c>
      <c r="AO3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4" s="2" t="e">
        <f>VLOOKUP(Tableau119[[#This Row],[Key(POD -PFI- Usine)]],'DATA Consignee'!A:J,10,FALSE)</f>
        <v>#N/A</v>
      </c>
      <c r="AR344" s="50" t="e">
        <f>VLOOKUP(Tableau119[[#This Row],[Key(POD -PFI- Usine)]],'DATA Consignee'!A:N,14,FALSE)</f>
        <v>#N/A</v>
      </c>
      <c r="AS3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4" s="50">
        <f>Tableau119[[#This Row],[Transit time]]+Tableau119[[#This Row],[Time for security]]+Tableau119[[#This Row],[Time for security2 buffer]]</f>
        <v>0</v>
      </c>
      <c r="AV3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4" s="50" t="e">
        <f>Tableau119[[#This Row],[Leadtime SI2C]]+Tableau119[[#This Row],[First Receipt Days]]-Tableau119[[#This Row],[Day Customer Order]]+1</f>
        <v>#N/A</v>
      </c>
      <c r="AX344" s="119" t="e">
        <f>IF(Tableau119[[#This Row],[Name ILN]]&lt;&gt;"SFK Freight Forwarder",Tableau119[[#This Row],[Cust. Leadtime]],Tableau119[[#This Row],[Leadtime SI2C]])</f>
        <v>#N/A</v>
      </c>
      <c r="AY344" s="51" t="b">
        <f>_xlfn.XLOOKUP(Tableau119[[#This Row],[Key(ID-date)]],'DATA BTO'!S:S,'DATA BTO'!P:P,FALSE)</f>
        <v>0</v>
      </c>
      <c r="AZ344" s="338">
        <v>45777</v>
      </c>
      <c r="BA344" s="50"/>
    </row>
    <row r="345" spans="2:53">
      <c r="B345" s="66" t="str">
        <f>_xlfn.CONCAT(Tableau119[[#This Row],[Name ILN]],"-",Tableau119[[#This Row],[Name Shipper]],"-",Tableau119[[#This Row],[Name Site]])</f>
        <v>ILN Chennai-ILN Chennai-SOFASA</v>
      </c>
      <c r="C345" s="66" t="str">
        <f>_xlfn.CONCAT(Tableau119[[#This Row],[Compte ILN]],"-",Tableau119[[#This Row],[Compte Shipper]],"-",Tableau119[[#This Row],[POL]],"-",Tableau119[[#This Row],[Compte Consignee]])</f>
        <v>2533780546-2533780546-FALSO-9510600</v>
      </c>
      <c r="D345" s="66" t="str">
        <f>_xlfn.CONCAT(Tableau119[[#This Row],[Compte ILN]],"-",Tableau119[[#This Row],[Compte Shipper]],"-",Tableau119[[#This Row],[POL]])</f>
        <v>2533780546-2533780546-FALSO</v>
      </c>
      <c r="E345" s="130" t="str">
        <f>_xlfn.CONCAT(Tableau119[[#This Row],[POL]],"-",Tableau119[[#This Row],[Carrier]],"-",Tableau119[[#This Row],[POD]])</f>
        <v>FALSO-FALSO-FALSO</v>
      </c>
      <c r="F345" s="66" t="str">
        <f>_xlfn.CONCAT(Tableau119[[#This Row],[ID]],"-","Actif")</f>
        <v>134-Actif</v>
      </c>
      <c r="G345" s="66" t="str">
        <f>_xlfn.CONCAT(Tableau119[[#This Row],[POD]],"-",Tableau119[[#This Row],[Code PFI]],"-",Tableau119[[#This Row],[Compte Consignee]])</f>
        <v>FALSO---9510600</v>
      </c>
      <c r="H3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ChennaiFALSOSOFASA</v>
      </c>
      <c r="I345" s="434" t="str">
        <f>_xlfn.CONCAT(Tableau119[[#This Row],[ID]],"-",Tableau119[[#This Row],[Expiration Date]])</f>
        <v>134-46142</v>
      </c>
      <c r="J3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Chennai-ILN Chennai-134-FALSO-FALSO-FALSO--46142</v>
      </c>
      <c r="K345" s="119" t="str">
        <f ca="1">IF(COUNTIF(J:J,Tableau119[[#This Row],[Plant-ILN-shipper-POL-Carrier-POD-PFI]])=1,"Non","Oui")</f>
        <v>Non</v>
      </c>
      <c r="L345" s="436" t="str">
        <f>VLOOKUP(Tableau119[[#This Row],[Name Site]],Plant_AILN!A:D,4,FALSE)</f>
        <v>COLOMBIA</v>
      </c>
      <c r="M345" s="285" t="s">
        <v>177</v>
      </c>
      <c r="N345" s="454">
        <f>VLOOKUP(Tableau119[[#This Row],[Name Site]],Plant_AILN!A:C,3,FALSE)</f>
        <v>9510600</v>
      </c>
      <c r="O345" s="55">
        <f>IF(Tableau119[[#This Row],[Name PFI/CDD]]="PFI VLL",2,VLOOKUP(Tableau119[[#This Row],[Compte Consignee]],Order!C:D,2,FALSE))</f>
        <v>7</v>
      </c>
      <c r="P345" s="124" t="s">
        <v>149</v>
      </c>
      <c r="Q345" s="365">
        <f>VLOOKUP(Tableau119[[#This Row],[Name ILN]],Plant_AILN!F:G,2,FALSE)</f>
        <v>2533780546</v>
      </c>
      <c r="R345" s="50">
        <f>VLOOKUP(Tableau119[[#This Row],[Compte ILN]],'DATA ILN'!D:I,6,FALSE)</f>
        <v>9</v>
      </c>
      <c r="S345" s="50" t="e">
        <f>IFERROR(VLOOKUP(Tableau119[[#This Row],[Key(Compte ILN - shipper - POL - plant)]],'DATA ILN'!A:J,10,FALSE),VLOOKUP(Tableau119[[#This Row],[Key(Compte ILN - shipper - POL)]],'DATA ILN'!B:J,9,FALSE))</f>
        <v>#N/A</v>
      </c>
      <c r="T345" s="50" t="e">
        <f>IFERROR(VLOOKUP(Tableau119[[#This Row],[Key(Compte ILN - shipper - POL - plant)]],'DATA ILN'!A:K,11,FALSE),VLOOKUP(Tableau119[[#This Row],[Key(Compte ILN - shipper - POL)]],'DATA ILN'!B:K,10,FALSE))</f>
        <v>#N/A</v>
      </c>
      <c r="U345" s="50" t="e">
        <f>IFERROR(VLOOKUP(Tableau119[[#This Row],[Key(Compte ILN - shipper - POL - plant)]],'DATA ILN'!A:L,12,FALSE),VLOOKUP(Tableau119[[#This Row],[Key(Compte ILN - shipper - POL)]],'DATA ILN'!B:L,11,FALSE))</f>
        <v>#N/A</v>
      </c>
      <c r="V345" s="50" t="e">
        <f>Tableau119[[#This Row],[Day ILN Order]]+Tableau119[[#This Row],[Delivery time to ILN/Shipper]]-1</f>
        <v>#N/A</v>
      </c>
      <c r="W345" s="50" t="e">
        <f>IFERROR(VLOOKUP(Tableau119[[#This Row],[Key(Compte ILN - shipper - POL - plant)]],'DATA ILN'!A:N,14,FALSE),VLOOKUP(Tableau119[[#This Row],[Key(Compte ILN - shipper - POL)]],'DATA ILN'!B:N,13,FALSE))</f>
        <v>#N/A</v>
      </c>
      <c r="X345" s="50" t="e">
        <f>IFERROR(VLOOKUP(Tableau119[[#This Row],[Key(Compte ILN - shipper - POL - plant)]],'DATA ILN'!A:P,16,FALSE),VLOOKUP(Tableau119[[#This Row],[Key(Compte ILN - shipper - POL)]],'DATA ILN'!B:P,15,FALSE))</f>
        <v>#N/A</v>
      </c>
      <c r="Y345" s="284" t="s">
        <v>149</v>
      </c>
      <c r="Z345" s="430">
        <f>IFERROR(VLOOKUP(Tableau119[[#This Row],[Name Shipper]],Plant_AILN!L:M,2,FALSE),0)</f>
        <v>2533780546</v>
      </c>
      <c r="AA345" s="406">
        <v>134</v>
      </c>
      <c r="AB345" s="396" t="b">
        <f>_xlfn.XLOOKUP(Tableau119[[#This Row],[Key(ID-date)]],'DATA BTO'!S:S,'DATA BTO'!E:E,FALSE)</f>
        <v>0</v>
      </c>
      <c r="AC345" s="3" t="b">
        <f>_xlfn.XLOOKUP(Tableau119[[#This Row],[Key(ID-date)]],'DATA BTO'!S:S,'DATA BTO'!F:F,FALSE)</f>
        <v>0</v>
      </c>
      <c r="AD345" s="50" t="b">
        <f>_xlfn.XLOOKUP(Tableau119[[#This Row],[Key(ID-date)]],'DATA BTO'!S:S,'DATA BTO'!G:G,FALSE)</f>
        <v>0</v>
      </c>
      <c r="AE345" s="50" t="b">
        <f>_xlfn.XLOOKUP(Tableau119[[#This Row],[Key(ID-date)]],'DATA BTO'!S:S,'DATA BTO'!H:H,FALSE)</f>
        <v>0</v>
      </c>
      <c r="AF345" s="447" t="e">
        <f>IF(Tableau119[[#This Row],[First Day to POL]]&lt;=Tableau119[[#This Row],[Day Cut Off]],Tableau119[[#This Row],[Day ETD]],Tableau119[[#This Row],[Day ETD]]+7)</f>
        <v>#N/A</v>
      </c>
      <c r="AG345" s="50" t="b">
        <f>_xlfn.XLOOKUP(Tableau119[[#This Row],[Key(ID-date)]],'DATA BTO'!S:S,'DATA BTO'!I:I,FALSE)</f>
        <v>0</v>
      </c>
      <c r="AH345" s="3" t="b">
        <f>_xlfn.XLOOKUP(Tableau119[[#This Row],[Key(ID-date)]],'DATA BTO'!S:S,'DATA BTO'!J:J,FALSE)</f>
        <v>0</v>
      </c>
      <c r="AI345" s="3" t="b">
        <f>_xlfn.XLOOKUP(Tableau119[[#This Row],[Key(ID-date)]],'DATA BTO'!S:S,'DATA BTO'!K:K,FALSE)</f>
        <v>0</v>
      </c>
      <c r="AJ345" s="50" t="b">
        <f>_xlfn.XLOOKUP(Tableau119[[#This Row],[Key(ID-date)]],'DATA BTO'!S:S,'DATA BTO'!L:L,FALSE)</f>
        <v>0</v>
      </c>
      <c r="AK345" s="53" t="b">
        <f>_xlfn.XLOOKUP(Tableau119[[#This Row],[Key(ID-date)]],'DATA BTO'!S:S,'DATA BTO'!N:N,FALSE)</f>
        <v>0</v>
      </c>
      <c r="AL345" s="54" t="e">
        <f>VLOOKUP(Tableau119[[#This Row],[Key(POD -PFI- Usine)]],'DATA Consignee'!A:F,6,FALSE)</f>
        <v>#N/A</v>
      </c>
      <c r="AM345" s="127"/>
      <c r="AN345" s="376" t="str">
        <f>IF(Tableau119[[#This Row],[Name PFI/CDD]]="","-",VLOOKUP(Tableau119[[#This Row],[Name PFI/CDD]],Plant_AILN!I:J,2,FALSE))</f>
        <v>-</v>
      </c>
      <c r="AO3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5" s="2" t="e">
        <f>VLOOKUP(Tableau119[[#This Row],[Key(POD -PFI- Usine)]],'DATA Consignee'!A:J,10,FALSE)</f>
        <v>#N/A</v>
      </c>
      <c r="AR345" s="50" t="e">
        <f>VLOOKUP(Tableau119[[#This Row],[Key(POD -PFI- Usine)]],'DATA Consignee'!A:N,14,FALSE)</f>
        <v>#N/A</v>
      </c>
      <c r="AS3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5" s="50">
        <f>Tableau119[[#This Row],[Transit time]]+Tableau119[[#This Row],[Time for security]]+Tableau119[[#This Row],[Time for security2 buffer]]</f>
        <v>0</v>
      </c>
      <c r="AV3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5" s="50" t="e">
        <f>Tableau119[[#This Row],[Leadtime SI2C]]+Tableau119[[#This Row],[First Receipt Days]]-Tableau119[[#This Row],[Day Customer Order]]+1</f>
        <v>#N/A</v>
      </c>
      <c r="AX345" s="119" t="e">
        <f>IF(Tableau119[[#This Row],[Name ILN]]&lt;&gt;"SFK Freight Forwarder",Tableau119[[#This Row],[Cust. Leadtime]],Tableau119[[#This Row],[Leadtime SI2C]])</f>
        <v>#N/A</v>
      </c>
      <c r="AY345" s="51" t="b">
        <f>_xlfn.XLOOKUP(Tableau119[[#This Row],[Key(ID-date)]],'DATA BTO'!S:S,'DATA BTO'!P:P,FALSE)</f>
        <v>0</v>
      </c>
      <c r="AZ345" s="338">
        <v>46142</v>
      </c>
      <c r="BA345" s="50"/>
    </row>
    <row r="346" spans="2:53">
      <c r="B346" s="446" t="str">
        <f>_xlfn.CONCAT(Tableau119[[#This Row],[Name ILN]],"-",Tableau119[[#This Row],[Name Shipper]],"-",Tableau119[[#This Row],[Name Site]])</f>
        <v>ILN Chennai-ILN Chennai-SOFASA</v>
      </c>
      <c r="C346" s="66" t="str">
        <f>_xlfn.CONCAT(Tableau119[[#This Row],[Compte ILN]],"-",Tableau119[[#This Row],[Compte Shipper]],"-",Tableau119[[#This Row],[POL]],"-",Tableau119[[#This Row],[Compte Consignee]])</f>
        <v>2533780546-2533780546-FALSO-9510600</v>
      </c>
      <c r="D346" s="66" t="str">
        <f>_xlfn.CONCAT(Tableau119[[#This Row],[Compte ILN]],"-",Tableau119[[#This Row],[Compte Shipper]],"-",Tableau119[[#This Row],[POL]])</f>
        <v>2533780546-2533780546-FALSO</v>
      </c>
      <c r="E346" s="130" t="str">
        <f>_xlfn.CONCAT(Tableau119[[#This Row],[POL]],"-",Tableau119[[#This Row],[Carrier]],"-",Tableau119[[#This Row],[POD]])</f>
        <v>FALSO-FALSO-FALSO</v>
      </c>
      <c r="F346" s="66" t="str">
        <f>_xlfn.CONCAT(Tableau119[[#This Row],[ID]],"-","Actif")</f>
        <v>134-Actif</v>
      </c>
      <c r="G346" s="66" t="str">
        <f>_xlfn.CONCAT(Tableau119[[#This Row],[POD]],"-",Tableau119[[#This Row],[Code PFI]],"-",Tableau119[[#This Row],[Compte Consignee]])</f>
        <v>FALSO---9510600</v>
      </c>
      <c r="H3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ChennaiFALSOSOFASA</v>
      </c>
      <c r="I346" s="434" t="str">
        <f>_xlfn.CONCAT(Tableau119[[#This Row],[ID]],"-",Tableau119[[#This Row],[Expiration Date]])</f>
        <v>134-45991</v>
      </c>
      <c r="J3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Chennai-ILN Chennai-134-FALSO-FALSO-FALSO--45991</v>
      </c>
      <c r="K346" s="119" t="str">
        <f ca="1">IF(COUNTIF(J:J,Tableau119[[#This Row],[Plant-ILN-shipper-POL-Carrier-POD-PFI]])=1,"Non","Oui")</f>
        <v>Non</v>
      </c>
      <c r="L346" s="128" t="str">
        <f>VLOOKUP(Tableau119[[#This Row],[Name Site]],Plant_AILN!A:D,4,FALSE)</f>
        <v>COLOMBIA</v>
      </c>
      <c r="M346" s="411" t="s">
        <v>177</v>
      </c>
      <c r="N346" s="454">
        <f>VLOOKUP(Tableau119[[#This Row],[Name Site]],Plant_AILN!A:C,3,FALSE)</f>
        <v>9510600</v>
      </c>
      <c r="O346" s="55">
        <f>VLOOKUP(Tableau119[[#This Row],[Compte Consignee]],Order!C:D,2,FALSE)</f>
        <v>7</v>
      </c>
      <c r="P346" s="124" t="s">
        <v>149</v>
      </c>
      <c r="Q346" s="365">
        <f>VLOOKUP(Tableau119[[#This Row],[Name ILN]],Plant_AILN!F:G,2,FALSE)</f>
        <v>2533780546</v>
      </c>
      <c r="R346" s="50">
        <f>VLOOKUP(Tableau119[[#This Row],[Compte ILN]],'DATA ILN'!D:I,6,FALSE)</f>
        <v>9</v>
      </c>
      <c r="S346" s="50" t="e">
        <f>IFERROR(VLOOKUP(Tableau119[[#This Row],[Key(Compte ILN - shipper - POL - plant)]],'DATA ILN'!A:J,10,FALSE),VLOOKUP(Tableau119[[#This Row],[Key(Compte ILN - shipper - POL)]],'DATA ILN'!B:J,9,FALSE))</f>
        <v>#N/A</v>
      </c>
      <c r="T346" s="50" t="e">
        <f>IFERROR(VLOOKUP(Tableau119[[#This Row],[Key(Compte ILN - shipper - POL - plant)]],'DATA ILN'!A:K,11,FALSE),VLOOKUP(Tableau119[[#This Row],[Key(Compte ILN - shipper - POL)]],'DATA ILN'!B:K,10,FALSE))</f>
        <v>#N/A</v>
      </c>
      <c r="U346" s="50" t="e">
        <f>IFERROR(VLOOKUP(Tableau119[[#This Row],[Key(Compte ILN - shipper - POL - plant)]],'DATA ILN'!A:L,12,FALSE),VLOOKUP(Tableau119[[#This Row],[Key(Compte ILN - shipper - POL)]],'DATA ILN'!B:L,11,FALSE))</f>
        <v>#N/A</v>
      </c>
      <c r="V346" s="50" t="e">
        <f>Tableau119[[#This Row],[Day ILN Order]]+Tableau119[[#This Row],[Delivery time to ILN/Shipper]]-1</f>
        <v>#N/A</v>
      </c>
      <c r="W346" s="50" t="e">
        <f>IFERROR(VLOOKUP(Tableau119[[#This Row],[Key(Compte ILN - shipper - POL - plant)]],'DATA ILN'!A:N,14,FALSE),VLOOKUP(Tableau119[[#This Row],[Key(Compte ILN - shipper - POL)]],'DATA ILN'!B:N,13,FALSE))</f>
        <v>#N/A</v>
      </c>
      <c r="X346" s="50" t="e">
        <f>IFERROR(VLOOKUP(Tableau119[[#This Row],[Key(Compte ILN - shipper - POL - plant)]],'DATA ILN'!A:P,16,FALSE),VLOOKUP(Tableau119[[#This Row],[Key(Compte ILN - shipper - POL)]],'DATA ILN'!B:P,15,FALSE))</f>
        <v>#N/A</v>
      </c>
      <c r="Y346" s="284" t="s">
        <v>149</v>
      </c>
      <c r="Z346" s="430">
        <f>IFERROR(VLOOKUP(Tableau119[[#This Row],[Name Shipper]],Plant_AILN!L:M,2,FALSE),0)</f>
        <v>2533780546</v>
      </c>
      <c r="AA346" s="406">
        <v>134</v>
      </c>
      <c r="AB346" s="396" t="b">
        <f>_xlfn.XLOOKUP(Tableau119[[#This Row],[Key(ID-date)]],'DATA BTO'!S:S,'DATA BTO'!E:E,FALSE)</f>
        <v>0</v>
      </c>
      <c r="AC346" s="3" t="b">
        <f>_xlfn.XLOOKUP(Tableau119[[#This Row],[Key(ID-date)]],'DATA BTO'!S:S,'DATA BTO'!F:F,FALSE)</f>
        <v>0</v>
      </c>
      <c r="AD346" s="50" t="b">
        <f>_xlfn.XLOOKUP(Tableau119[[#This Row],[Key(ID-date)]],'DATA BTO'!S:S,'DATA BTO'!G:G,FALSE)</f>
        <v>0</v>
      </c>
      <c r="AE346" s="50" t="b">
        <f>_xlfn.XLOOKUP(Tableau119[[#This Row],[Key(ID-date)]],'DATA BTO'!S:S,'DATA BTO'!H:H,FALSE)</f>
        <v>0</v>
      </c>
      <c r="AF346" s="447" t="e">
        <f>IF(Tableau119[[#This Row],[First Day to POL]]&lt;=Tableau119[[#This Row],[Day Cut Off]],Tableau119[[#This Row],[Day ETD]],Tableau119[[#This Row],[Day ETD]]+7)</f>
        <v>#N/A</v>
      </c>
      <c r="AG346" s="50" t="b">
        <f>_xlfn.XLOOKUP(Tableau119[[#This Row],[Key(ID-date)]],'DATA BTO'!S:S,'DATA BTO'!I:I,FALSE)</f>
        <v>0</v>
      </c>
      <c r="AH346" s="3" t="b">
        <f>_xlfn.XLOOKUP(Tableau119[[#This Row],[Key(ID-date)]],'DATA BTO'!S:S,'DATA BTO'!J:J,FALSE)</f>
        <v>0</v>
      </c>
      <c r="AI346" s="3" t="b">
        <f>_xlfn.XLOOKUP(Tableau119[[#This Row],[Key(ID-date)]],'DATA BTO'!S:S,'DATA BTO'!K:K,FALSE)</f>
        <v>0</v>
      </c>
      <c r="AJ346" s="50" t="b">
        <f>_xlfn.XLOOKUP(Tableau119[[#This Row],[Key(ID-date)]],'DATA BTO'!S:S,'DATA BTO'!L:L,FALSE)</f>
        <v>0</v>
      </c>
      <c r="AK346" s="53" t="b">
        <f>_xlfn.XLOOKUP(Tableau119[[#This Row],[Key(ID-date)]],'DATA BTO'!S:S,'DATA BTO'!N:N,FALSE)</f>
        <v>0</v>
      </c>
      <c r="AL346" s="54" t="e">
        <f>VLOOKUP(Tableau119[[#This Row],[Key(POD -PFI- Usine)]],'DATA Consignee'!A:F,6,FALSE)</f>
        <v>#N/A</v>
      </c>
      <c r="AM346" s="127"/>
      <c r="AN346" s="376" t="str">
        <f>IF(Tableau119[[#This Row],[Name PFI/CDD]]="","-",VLOOKUP(Tableau119[[#This Row],[Name PFI/CDD]],Plant_AILN!I:J,2,FALSE))</f>
        <v>-</v>
      </c>
      <c r="AO3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6" s="2" t="e">
        <f>VLOOKUP(Tableau119[[#This Row],[Key(POD -PFI- Usine)]],'DATA Consignee'!A:J,10,FALSE)</f>
        <v>#N/A</v>
      </c>
      <c r="AR346" s="50" t="e">
        <f>VLOOKUP(Tableau119[[#This Row],[Key(POD -PFI- Usine)]],'DATA Consignee'!A:N,14,FALSE)</f>
        <v>#N/A</v>
      </c>
      <c r="AS3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6" s="50">
        <f>Tableau119[[#This Row],[Transit time]]+Tableau119[[#This Row],[Time for security]]+Tableau119[[#This Row],[Time for security2 buffer]]</f>
        <v>0</v>
      </c>
      <c r="AV3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6" s="50" t="e">
        <f>Tableau119[[#This Row],[Leadtime SI2C]]+Tableau119[[#This Row],[First Receipt Days]]-Tableau119[[#This Row],[Day Customer Order]]+1</f>
        <v>#N/A</v>
      </c>
      <c r="AX346" s="119" t="e">
        <f>IF(Tableau119[[#This Row],[Name ILN]]&lt;&gt;"SFK Freight Forwarder",Tableau119[[#This Row],[Cust. Leadtime]],Tableau119[[#This Row],[Leadtime SI2C]])</f>
        <v>#N/A</v>
      </c>
      <c r="AY346" s="51" t="b">
        <f>_xlfn.XLOOKUP(Tableau119[[#This Row],[Key(ID-date)]],'DATA BTO'!S:S,'DATA BTO'!P:P,FALSE)</f>
        <v>0</v>
      </c>
      <c r="AZ346" s="338">
        <v>45991</v>
      </c>
      <c r="BA346" s="50"/>
    </row>
    <row r="347" spans="2:53">
      <c r="B347" s="446" t="str">
        <f>_xlfn.CONCAT(Tableau119[[#This Row],[Name ILN]],"-",Tableau119[[#This Row],[Name Shipper]],"-",Tableau119[[#This Row],[Name Site]])</f>
        <v>ILN Chennai-ILN Chennai-SOFASA</v>
      </c>
      <c r="C347" s="66" t="str">
        <f>_xlfn.CONCAT(Tableau119[[#This Row],[Compte ILN]],"-",Tableau119[[#This Row],[Compte Shipper]],"-",Tableau119[[#This Row],[POL]],"-",Tableau119[[#This Row],[Compte Consignee]])</f>
        <v>2533780546-2533780546-FALSO-9510600</v>
      </c>
      <c r="D347" s="66" t="str">
        <f>_xlfn.CONCAT(Tableau119[[#This Row],[Compte ILN]],"-",Tableau119[[#This Row],[Compte Shipper]],"-",Tableau119[[#This Row],[POL]])</f>
        <v>2533780546-2533780546-FALSO</v>
      </c>
      <c r="E347" s="130" t="str">
        <f>_xlfn.CONCAT(Tableau119[[#This Row],[POL]],"-",Tableau119[[#This Row],[Carrier]],"-",Tableau119[[#This Row],[POD]])</f>
        <v>FALSO-FALSO-FALSO</v>
      </c>
      <c r="F347" s="66" t="str">
        <f>_xlfn.CONCAT(Tableau119[[#This Row],[ID]],"-","Actif")</f>
        <v>134-Actif</v>
      </c>
      <c r="G347" s="66" t="str">
        <f>_xlfn.CONCAT(Tableau119[[#This Row],[POD]],"-",Tableau119[[#This Row],[Code PFI]],"-",Tableau119[[#This Row],[Compte Consignee]])</f>
        <v>FALSO---9510600</v>
      </c>
      <c r="H3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ChennaiFALSOSOFASA</v>
      </c>
      <c r="I347" s="434" t="str">
        <f>_xlfn.CONCAT(Tableau119[[#This Row],[ID]],"-",Tableau119[[#This Row],[Expiration Date]])</f>
        <v>134-45777</v>
      </c>
      <c r="J3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Chennai-ILN Chennai-134-FALSO-FALSO-FALSO--45777</v>
      </c>
      <c r="K347" s="119" t="str">
        <f ca="1">IF(COUNTIF(J:J,Tableau119[[#This Row],[Plant-ILN-shipper-POL-Carrier-POD-PFI]])=1,"Non","Oui")</f>
        <v>Non</v>
      </c>
      <c r="L347" s="128" t="str">
        <f>VLOOKUP(Tableau119[[#This Row],[Name Site]],Plant_AILN!A:D,4,FALSE)</f>
        <v>COLOMBIA</v>
      </c>
      <c r="M347" s="411" t="s">
        <v>177</v>
      </c>
      <c r="N347" s="454">
        <f>VLOOKUP(Tableau119[[#This Row],[Name Site]],Plant_AILN!A:C,3,FALSE)</f>
        <v>9510600</v>
      </c>
      <c r="O347" s="55">
        <f>VLOOKUP(Tableau119[[#This Row],[Compte Consignee]],Order!C:D,2,FALSE)</f>
        <v>7</v>
      </c>
      <c r="P347" s="124" t="s">
        <v>149</v>
      </c>
      <c r="Q347" s="365">
        <f>VLOOKUP(Tableau119[[#This Row],[Name ILN]],Plant_AILN!F:G,2,FALSE)</f>
        <v>2533780546</v>
      </c>
      <c r="R347" s="50">
        <f>VLOOKUP(Tableau119[[#This Row],[Compte ILN]],'DATA ILN'!D:I,6,FALSE)</f>
        <v>9</v>
      </c>
      <c r="S347" s="50" t="e">
        <f>IFERROR(VLOOKUP(Tableau119[[#This Row],[Key(Compte ILN - shipper - POL - plant)]],'DATA ILN'!A:J,10,FALSE),VLOOKUP(Tableau119[[#This Row],[Key(Compte ILN - shipper - POL)]],'DATA ILN'!B:J,9,FALSE))</f>
        <v>#N/A</v>
      </c>
      <c r="T347" s="50" t="e">
        <f>IFERROR(VLOOKUP(Tableau119[[#This Row],[Key(Compte ILN - shipper - POL - plant)]],'DATA ILN'!A:K,11,FALSE),VLOOKUP(Tableau119[[#This Row],[Key(Compte ILN - shipper - POL)]],'DATA ILN'!B:K,10,FALSE))</f>
        <v>#N/A</v>
      </c>
      <c r="U347" s="50" t="e">
        <f>IFERROR(VLOOKUP(Tableau119[[#This Row],[Key(Compte ILN - shipper - POL - plant)]],'DATA ILN'!A:L,12,FALSE),VLOOKUP(Tableau119[[#This Row],[Key(Compte ILN - shipper - POL)]],'DATA ILN'!B:L,11,FALSE))</f>
        <v>#N/A</v>
      </c>
      <c r="V347" s="50" t="e">
        <f>Tableau119[[#This Row],[Day ILN Order]]+Tableau119[[#This Row],[Delivery time to ILN/Shipper]]-1</f>
        <v>#N/A</v>
      </c>
      <c r="W347" s="50" t="e">
        <f>IFERROR(VLOOKUP(Tableau119[[#This Row],[Key(Compte ILN - shipper - POL - plant)]],'DATA ILN'!A:N,14,FALSE),VLOOKUP(Tableau119[[#This Row],[Key(Compte ILN - shipper - POL)]],'DATA ILN'!B:N,13,FALSE))</f>
        <v>#N/A</v>
      </c>
      <c r="X347" s="50" t="e">
        <f>IFERROR(VLOOKUP(Tableau119[[#This Row],[Key(Compte ILN - shipper - POL - plant)]],'DATA ILN'!A:P,16,FALSE),VLOOKUP(Tableau119[[#This Row],[Key(Compte ILN - shipper - POL)]],'DATA ILN'!B:P,15,FALSE))</f>
        <v>#N/A</v>
      </c>
      <c r="Y347" s="284" t="s">
        <v>149</v>
      </c>
      <c r="Z347" s="430">
        <f>IFERROR(VLOOKUP(Tableau119[[#This Row],[Name Shipper]],Plant_AILN!L:M,2,FALSE),0)</f>
        <v>2533780546</v>
      </c>
      <c r="AA347" s="406">
        <v>134</v>
      </c>
      <c r="AB347" s="396" t="b">
        <f>_xlfn.XLOOKUP(Tableau119[[#This Row],[Key(ID-date)]],'DATA BTO'!S:S,'DATA BTO'!E:E,FALSE)</f>
        <v>0</v>
      </c>
      <c r="AC347" s="3" t="b">
        <f>_xlfn.XLOOKUP(Tableau119[[#This Row],[Key(ID-date)]],'DATA BTO'!S:S,'DATA BTO'!F:F,FALSE)</f>
        <v>0</v>
      </c>
      <c r="AD347" s="50" t="b">
        <f>_xlfn.XLOOKUP(Tableau119[[#This Row],[Key(ID-date)]],'DATA BTO'!S:S,'DATA BTO'!G:G,FALSE)</f>
        <v>0</v>
      </c>
      <c r="AE347" s="50" t="b">
        <f>_xlfn.XLOOKUP(Tableau119[[#This Row],[Key(ID-date)]],'DATA BTO'!S:S,'DATA BTO'!H:H,FALSE)</f>
        <v>0</v>
      </c>
      <c r="AF347" s="447" t="e">
        <f>IF(Tableau119[[#This Row],[First Day to POL]]&lt;=Tableau119[[#This Row],[Day Cut Off]],Tableau119[[#This Row],[Day ETD]],Tableau119[[#This Row],[Day ETD]]+7)</f>
        <v>#N/A</v>
      </c>
      <c r="AG347" s="50" t="b">
        <f>_xlfn.XLOOKUP(Tableau119[[#This Row],[Key(ID-date)]],'DATA BTO'!S:S,'DATA BTO'!I:I,FALSE)</f>
        <v>0</v>
      </c>
      <c r="AH347" s="3" t="b">
        <f>_xlfn.XLOOKUP(Tableau119[[#This Row],[Key(ID-date)]],'DATA BTO'!S:S,'DATA BTO'!J:J,FALSE)</f>
        <v>0</v>
      </c>
      <c r="AI347" s="3" t="b">
        <f>_xlfn.XLOOKUP(Tableau119[[#This Row],[Key(ID-date)]],'DATA BTO'!S:S,'DATA BTO'!K:K,FALSE)</f>
        <v>0</v>
      </c>
      <c r="AJ347" s="50" t="b">
        <f>_xlfn.XLOOKUP(Tableau119[[#This Row],[Key(ID-date)]],'DATA BTO'!S:S,'DATA BTO'!L:L,FALSE)</f>
        <v>0</v>
      </c>
      <c r="AK347" s="53" t="b">
        <f>_xlfn.XLOOKUP(Tableau119[[#This Row],[Key(ID-date)]],'DATA BTO'!S:S,'DATA BTO'!N:N,FALSE)</f>
        <v>0</v>
      </c>
      <c r="AL347" s="54" t="e">
        <f>VLOOKUP(Tableau119[[#This Row],[Key(POD -PFI- Usine)]],'DATA Consignee'!A:F,6,FALSE)</f>
        <v>#N/A</v>
      </c>
      <c r="AM347" s="127"/>
      <c r="AN347" s="376" t="str">
        <f>IF(Tableau119[[#This Row],[Name PFI/CDD]]="","-",VLOOKUP(Tableau119[[#This Row],[Name PFI/CDD]],Plant_AILN!I:J,2,FALSE))</f>
        <v>-</v>
      </c>
      <c r="AO3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7" s="2" t="e">
        <f>VLOOKUP(Tableau119[[#This Row],[Key(POD -PFI- Usine)]],'DATA Consignee'!A:J,10,FALSE)</f>
        <v>#N/A</v>
      </c>
      <c r="AR347" s="50" t="e">
        <f>VLOOKUP(Tableau119[[#This Row],[Key(POD -PFI- Usine)]],'DATA Consignee'!A:N,14,FALSE)</f>
        <v>#N/A</v>
      </c>
      <c r="AS3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7" s="50">
        <f>Tableau119[[#This Row],[Transit time]]+Tableau119[[#This Row],[Time for security]]+Tableau119[[#This Row],[Time for security2 buffer]]</f>
        <v>0</v>
      </c>
      <c r="AV3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7" s="50" t="e">
        <f>Tableau119[[#This Row],[Leadtime SI2C]]+Tableau119[[#This Row],[First Receipt Days]]-Tableau119[[#This Row],[Day Customer Order]]+1</f>
        <v>#N/A</v>
      </c>
      <c r="AX347" s="119" t="e">
        <f>IF(Tableau119[[#This Row],[Name ILN]]&lt;&gt;"SFK Freight Forwarder",Tableau119[[#This Row],[Cust. Leadtime]],Tableau119[[#This Row],[Leadtime SI2C]])</f>
        <v>#N/A</v>
      </c>
      <c r="AY347" s="51" t="b">
        <f>_xlfn.XLOOKUP(Tableau119[[#This Row],[Key(ID-date)]],'DATA BTO'!S:S,'DATA BTO'!P:P,FALSE)</f>
        <v>0</v>
      </c>
      <c r="AZ347" s="338">
        <v>45777</v>
      </c>
      <c r="BA347" s="50"/>
    </row>
    <row r="348" spans="2:53">
      <c r="B348" s="446" t="str">
        <f>_xlfn.CONCAT(Tableau119[[#This Row],[Name ILN]],"-",Tableau119[[#This Row],[Name Shipper]],"-",Tableau119[[#This Row],[Name Site]])</f>
        <v>ILN Chennai-ILN Chennai-SOFASA</v>
      </c>
      <c r="C348" s="66" t="str">
        <f>_xlfn.CONCAT(Tableau119[[#This Row],[Compte ILN]],"-",Tableau119[[#This Row],[Compte Shipper]],"-",Tableau119[[#This Row],[POL]],"-",Tableau119[[#This Row],[Compte Consignee]])</f>
        <v>2533780546-2533780546-FALSO-9510600</v>
      </c>
      <c r="D348" s="66" t="str">
        <f>_xlfn.CONCAT(Tableau119[[#This Row],[Compte ILN]],"-",Tableau119[[#This Row],[Compte Shipper]],"-",Tableau119[[#This Row],[POL]])</f>
        <v>2533780546-2533780546-FALSO</v>
      </c>
      <c r="E348" s="130" t="str">
        <f>_xlfn.CONCAT(Tableau119[[#This Row],[POL]],"-",Tableau119[[#This Row],[Carrier]],"-",Tableau119[[#This Row],[POD]])</f>
        <v>FALSO-FALSO-FALSO</v>
      </c>
      <c r="F348" s="66" t="str">
        <f>_xlfn.CONCAT(Tableau119[[#This Row],[ID]],"-","Actif")</f>
        <v>134-Actif</v>
      </c>
      <c r="G348" s="66" t="str">
        <f>_xlfn.CONCAT(Tableau119[[#This Row],[POD]],"-",Tableau119[[#This Row],[Code PFI]],"-",Tableau119[[#This Row],[Compte Consignee]])</f>
        <v>FALSO---9510600</v>
      </c>
      <c r="H3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ChennaiFALSOSOFASA</v>
      </c>
      <c r="I348" s="434" t="str">
        <f>_xlfn.CONCAT(Tableau119[[#This Row],[ID]],"-",Tableau119[[#This Row],[Expiration Date]])</f>
        <v>134-45473</v>
      </c>
      <c r="J3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Chennai-ILN Chennai-134-FALSO-FALSO-FALSO--45473</v>
      </c>
      <c r="K348" s="119" t="str">
        <f ca="1">IF(COUNTIF(J:J,Tableau119[[#This Row],[Plant-ILN-shipper-POL-Carrier-POD-PFI]])=1,"Non","Oui")</f>
        <v>Non</v>
      </c>
      <c r="L348" s="128" t="str">
        <f>VLOOKUP(Tableau119[[#This Row],[Name Site]],Plant_AILN!A:D,4,FALSE)</f>
        <v>COLOMBIA</v>
      </c>
      <c r="M348" s="411" t="s">
        <v>177</v>
      </c>
      <c r="N348" s="454">
        <f>VLOOKUP(Tableau119[[#This Row],[Name Site]],Plant_AILN!A:C,3,FALSE)</f>
        <v>9510600</v>
      </c>
      <c r="O348" s="55">
        <f>VLOOKUP(Tableau119[[#This Row],[Compte Consignee]],Order!C:D,2,FALSE)</f>
        <v>7</v>
      </c>
      <c r="P348" s="124" t="s">
        <v>149</v>
      </c>
      <c r="Q348" s="365">
        <f>VLOOKUP(Tableau119[[#This Row],[Name ILN]],Plant_AILN!F:G,2,FALSE)</f>
        <v>2533780546</v>
      </c>
      <c r="R348" s="50">
        <f>VLOOKUP(Tableau119[[#This Row],[Compte ILN]],'DATA ILN'!D:I,6,FALSE)</f>
        <v>9</v>
      </c>
      <c r="S348" s="50" t="e">
        <f>IFERROR(VLOOKUP(Tableau119[[#This Row],[Key(Compte ILN - shipper - POL - plant)]],'DATA ILN'!A:J,10,FALSE),VLOOKUP(Tableau119[[#This Row],[Key(Compte ILN - shipper - POL)]],'DATA ILN'!B:J,9,FALSE))</f>
        <v>#N/A</v>
      </c>
      <c r="T348" s="50" t="e">
        <f>IFERROR(VLOOKUP(Tableau119[[#This Row],[Key(Compte ILN - shipper - POL - plant)]],'DATA ILN'!A:K,11,FALSE),VLOOKUP(Tableau119[[#This Row],[Key(Compte ILN - shipper - POL)]],'DATA ILN'!B:K,10,FALSE))</f>
        <v>#N/A</v>
      </c>
      <c r="U348" s="50" t="e">
        <f>IFERROR(VLOOKUP(Tableau119[[#This Row],[Key(Compte ILN - shipper - POL - plant)]],'DATA ILN'!A:L,12,FALSE),VLOOKUP(Tableau119[[#This Row],[Key(Compte ILN - shipper - POL)]],'DATA ILN'!B:L,11,FALSE))</f>
        <v>#N/A</v>
      </c>
      <c r="V348" s="50" t="e">
        <f>Tableau119[[#This Row],[Day ILN Order]]+Tableau119[[#This Row],[Delivery time to ILN/Shipper]]-1</f>
        <v>#N/A</v>
      </c>
      <c r="W348" s="50" t="e">
        <f>IFERROR(VLOOKUP(Tableau119[[#This Row],[Key(Compte ILN - shipper - POL - plant)]],'DATA ILN'!A:N,14,FALSE),VLOOKUP(Tableau119[[#This Row],[Key(Compte ILN - shipper - POL)]],'DATA ILN'!B:N,13,FALSE))</f>
        <v>#N/A</v>
      </c>
      <c r="X348" s="50" t="e">
        <f>IFERROR(VLOOKUP(Tableau119[[#This Row],[Key(Compte ILN - shipper - POL - plant)]],'DATA ILN'!A:P,16,FALSE),VLOOKUP(Tableau119[[#This Row],[Key(Compte ILN - shipper - POL)]],'DATA ILN'!B:P,15,FALSE))</f>
        <v>#N/A</v>
      </c>
      <c r="Y348" s="284" t="s">
        <v>149</v>
      </c>
      <c r="Z348" s="430">
        <f>IFERROR(VLOOKUP(Tableau119[[#This Row],[Name Shipper]],Plant_AILN!L:M,2,FALSE),0)</f>
        <v>2533780546</v>
      </c>
      <c r="AA348" s="406">
        <v>134</v>
      </c>
      <c r="AB348" s="396" t="b">
        <f>_xlfn.XLOOKUP(Tableau119[[#This Row],[Key(ID-date)]],'DATA BTO'!S:S,'DATA BTO'!E:E,FALSE)</f>
        <v>0</v>
      </c>
      <c r="AC348" s="3" t="b">
        <f>_xlfn.XLOOKUP(Tableau119[[#This Row],[Key(ID-date)]],'DATA BTO'!S:S,'DATA BTO'!F:F,FALSE)</f>
        <v>0</v>
      </c>
      <c r="AD348" s="50" t="b">
        <f>_xlfn.XLOOKUP(Tableau119[[#This Row],[Key(ID-date)]],'DATA BTO'!S:S,'DATA BTO'!G:G,FALSE)</f>
        <v>0</v>
      </c>
      <c r="AE348" s="50" t="b">
        <f>_xlfn.XLOOKUP(Tableau119[[#This Row],[Key(ID-date)]],'DATA BTO'!S:S,'DATA BTO'!H:H,FALSE)</f>
        <v>0</v>
      </c>
      <c r="AF348" s="447" t="e">
        <f>IF(Tableau119[[#This Row],[First Day to POL]]&lt;=Tableau119[[#This Row],[Day Cut Off]],Tableau119[[#This Row],[Day ETD]],Tableau119[[#This Row],[Day ETD]]+7)</f>
        <v>#N/A</v>
      </c>
      <c r="AG348" s="50" t="b">
        <f>_xlfn.XLOOKUP(Tableau119[[#This Row],[Key(ID-date)]],'DATA BTO'!S:S,'DATA BTO'!I:I,FALSE)</f>
        <v>0</v>
      </c>
      <c r="AH348" s="3" t="b">
        <f>_xlfn.XLOOKUP(Tableau119[[#This Row],[Key(ID-date)]],'DATA BTO'!S:S,'DATA BTO'!J:J,FALSE)</f>
        <v>0</v>
      </c>
      <c r="AI348" s="3" t="b">
        <f>_xlfn.XLOOKUP(Tableau119[[#This Row],[Key(ID-date)]],'DATA BTO'!S:S,'DATA BTO'!K:K,FALSE)</f>
        <v>0</v>
      </c>
      <c r="AJ348" s="50" t="b">
        <f>_xlfn.XLOOKUP(Tableau119[[#This Row],[Key(ID-date)]],'DATA BTO'!S:S,'DATA BTO'!L:L,FALSE)</f>
        <v>0</v>
      </c>
      <c r="AK348" s="53" t="b">
        <f>_xlfn.XLOOKUP(Tableau119[[#This Row],[Key(ID-date)]],'DATA BTO'!S:S,'DATA BTO'!N:N,FALSE)</f>
        <v>0</v>
      </c>
      <c r="AL348" s="54" t="e">
        <f>VLOOKUP(Tableau119[[#This Row],[Key(POD -PFI- Usine)]],'DATA Consignee'!A:F,6,FALSE)</f>
        <v>#N/A</v>
      </c>
      <c r="AM348" s="127"/>
      <c r="AN348" s="376" t="str">
        <f>IF(Tableau119[[#This Row],[Name PFI/CDD]]="","-",VLOOKUP(Tableau119[[#This Row],[Name PFI/CDD]],Plant_AILN!I:J,2,FALSE))</f>
        <v>-</v>
      </c>
      <c r="AO3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8" s="2" t="e">
        <f>VLOOKUP(Tableau119[[#This Row],[Key(POD -PFI- Usine)]],'DATA Consignee'!A:J,10,FALSE)</f>
        <v>#N/A</v>
      </c>
      <c r="AR348" s="50" t="e">
        <f>VLOOKUP(Tableau119[[#This Row],[Key(POD -PFI- Usine)]],'DATA Consignee'!A:N,14,FALSE)</f>
        <v>#N/A</v>
      </c>
      <c r="AS3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8" s="50">
        <f>Tableau119[[#This Row],[Transit time]]+Tableau119[[#This Row],[Time for security]]+Tableau119[[#This Row],[Time for security2 buffer]]</f>
        <v>0</v>
      </c>
      <c r="AV3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8" s="50" t="e">
        <f>Tableau119[[#This Row],[Leadtime SI2C]]+Tableau119[[#This Row],[First Receipt Days]]-Tableau119[[#This Row],[Day Customer Order]]+1</f>
        <v>#N/A</v>
      </c>
      <c r="AX348" s="119" t="e">
        <f>IF(Tableau119[[#This Row],[Name ILN]]&lt;&gt;"SFK Freight Forwarder",Tableau119[[#This Row],[Cust. Leadtime]],Tableau119[[#This Row],[Leadtime SI2C]])</f>
        <v>#N/A</v>
      </c>
      <c r="AY348" s="51" t="b">
        <f>_xlfn.XLOOKUP(Tableau119[[#This Row],[Key(ID-date)]],'DATA BTO'!S:S,'DATA BTO'!P:P,FALSE)</f>
        <v>0</v>
      </c>
      <c r="AZ348" s="338">
        <v>45473</v>
      </c>
      <c r="BA348" s="50"/>
    </row>
    <row r="349" spans="2:53">
      <c r="B349" s="446" t="str">
        <f>_xlfn.CONCAT(Tableau119[[#This Row],[Name ILN]],"-",Tableau119[[#This Row],[Name Shipper]],"-",Tableau119[[#This Row],[Name Site]])</f>
        <v>ILN Chennai-ILN Chennai-SOFASA</v>
      </c>
      <c r="C349" s="66" t="str">
        <f>_xlfn.CONCAT(Tableau119[[#This Row],[Compte ILN]],"-",Tableau119[[#This Row],[Compte Shipper]],"-",Tableau119[[#This Row],[POL]],"-",Tableau119[[#This Row],[Compte Consignee]])</f>
        <v>2533780546-2533780546-FALSO-9510600</v>
      </c>
      <c r="D349" s="66" t="str">
        <f>_xlfn.CONCAT(Tableau119[[#This Row],[Compte ILN]],"-",Tableau119[[#This Row],[Compte Shipper]],"-",Tableau119[[#This Row],[POL]])</f>
        <v>2533780546-2533780546-FALSO</v>
      </c>
      <c r="E349" s="130" t="str">
        <f>_xlfn.CONCAT(Tableau119[[#This Row],[POL]],"-",Tableau119[[#This Row],[Carrier]],"-",Tableau119[[#This Row],[POD]])</f>
        <v>FALSO-FALSO-FALSO</v>
      </c>
      <c r="F349" s="66" t="str">
        <f>_xlfn.CONCAT(Tableau119[[#This Row],[ID]],"-","Actif")</f>
        <v>134-Actif</v>
      </c>
      <c r="G349" s="66" t="str">
        <f>_xlfn.CONCAT(Tableau119[[#This Row],[POD]],"-",Tableau119[[#This Row],[Code PFI]],"-",Tableau119[[#This Row],[Compte Consignee]])</f>
        <v>FALSO---9510600</v>
      </c>
      <c r="H3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ChennaiFALSOSOFASA</v>
      </c>
      <c r="I349" s="434" t="str">
        <f>_xlfn.CONCAT(Tableau119[[#This Row],[ID]],"-",Tableau119[[#This Row],[Expiration Date]])</f>
        <v>134-45412</v>
      </c>
      <c r="J3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Chennai-ILN Chennai-134-FALSO-FALSO-FALSO--45412</v>
      </c>
      <c r="K349" s="119" t="str">
        <f ca="1">IF(COUNTIF(J:J,Tableau119[[#This Row],[Plant-ILN-shipper-POL-Carrier-POD-PFI]])=1,"Non","Oui")</f>
        <v>Non</v>
      </c>
      <c r="L349" s="128" t="str">
        <f>VLOOKUP(Tableau119[[#This Row],[Name Site]],Plant_AILN!A:D,4,FALSE)</f>
        <v>COLOMBIA</v>
      </c>
      <c r="M349" s="415" t="s">
        <v>177</v>
      </c>
      <c r="N349" s="455">
        <f>VLOOKUP(Tableau119[[#This Row],[Name Site]],Plant_AILN!A:C,3,FALSE)</f>
        <v>9510600</v>
      </c>
      <c r="O349" s="104">
        <f>VLOOKUP(Tableau119[[#This Row],[Compte Consignee]],Order!C:D,2,FALSE)</f>
        <v>7</v>
      </c>
      <c r="P349" s="126" t="s">
        <v>149</v>
      </c>
      <c r="Q349" s="366">
        <f>VLOOKUP(Tableau119[[#This Row],[Name ILN]],Plant_AILN!F:G,2,FALSE)</f>
        <v>2533780546</v>
      </c>
      <c r="R349" s="81">
        <f>VLOOKUP(Tableau119[[#This Row],[Compte ILN]],'DATA ILN'!D:I,6,FALSE)</f>
        <v>9</v>
      </c>
      <c r="S349" s="81" t="e">
        <f>IFERROR(VLOOKUP(Tableau119[[#This Row],[Key(Compte ILN - shipper - POL - plant)]],'DATA ILN'!A:J,10,FALSE),VLOOKUP(Tableau119[[#This Row],[Key(Compte ILN - shipper - POL)]],'DATA ILN'!B:J,9,FALSE))</f>
        <v>#N/A</v>
      </c>
      <c r="T349" s="81" t="e">
        <f>IFERROR(VLOOKUP(Tableau119[[#This Row],[Key(Compte ILN - shipper - POL - plant)]],'DATA ILN'!A:K,11,FALSE),VLOOKUP(Tableau119[[#This Row],[Key(Compte ILN - shipper - POL)]],'DATA ILN'!B:K,10,FALSE))</f>
        <v>#N/A</v>
      </c>
      <c r="U349" s="81" t="e">
        <f>IFERROR(VLOOKUP(Tableau119[[#This Row],[Key(Compte ILN - shipper - POL - plant)]],'DATA ILN'!A:L,12,FALSE),VLOOKUP(Tableau119[[#This Row],[Key(Compte ILN - shipper - POL)]],'DATA ILN'!B:L,11,FALSE))</f>
        <v>#N/A</v>
      </c>
      <c r="V349" s="81" t="e">
        <f>Tableau119[[#This Row],[Day ILN Order]]+Tableau119[[#This Row],[Delivery time to ILN/Shipper]]-1</f>
        <v>#N/A</v>
      </c>
      <c r="W349" s="81" t="e">
        <f>IFERROR(VLOOKUP(Tableau119[[#This Row],[Key(Compte ILN - shipper - POL - plant)]],'DATA ILN'!A:N,14,FALSE),VLOOKUP(Tableau119[[#This Row],[Key(Compte ILN - shipper - POL)]],'DATA ILN'!B:N,13,FALSE))</f>
        <v>#N/A</v>
      </c>
      <c r="X349" s="81" t="e">
        <f>IFERROR(VLOOKUP(Tableau119[[#This Row],[Key(Compte ILN - shipper - POL - plant)]],'DATA ILN'!A:P,16,FALSE),VLOOKUP(Tableau119[[#This Row],[Key(Compte ILN - shipper - POL)]],'DATA ILN'!B:P,15,FALSE))</f>
        <v>#N/A</v>
      </c>
      <c r="Y349" s="102" t="s">
        <v>149</v>
      </c>
      <c r="Z349" s="417">
        <f>IFERROR(VLOOKUP(Tableau119[[#This Row],[Name Shipper]],Plant_AILN!L:M,2,FALSE),0)</f>
        <v>2533780546</v>
      </c>
      <c r="AA349" s="416">
        <v>134</v>
      </c>
      <c r="AB349" s="396" t="b">
        <f>_xlfn.XLOOKUP(Tableau119[[#This Row],[Key(ID-date)]],'DATA BTO'!S:S,'DATA BTO'!E:E,FALSE)</f>
        <v>0</v>
      </c>
      <c r="AC349" s="3" t="b">
        <f>_xlfn.XLOOKUP(Tableau119[[#This Row],[Key(ID-date)]],'DATA BTO'!S:S,'DATA BTO'!F:F,FALSE)</f>
        <v>0</v>
      </c>
      <c r="AD349" s="50" t="b">
        <f>_xlfn.XLOOKUP(Tableau119[[#This Row],[Key(ID-date)]],'DATA BTO'!S:S,'DATA BTO'!G:G,FALSE)</f>
        <v>0</v>
      </c>
      <c r="AE349" s="50" t="b">
        <f>_xlfn.XLOOKUP(Tableau119[[#This Row],[Key(ID-date)]],'DATA BTO'!S:S,'DATA BTO'!H:H,FALSE)</f>
        <v>0</v>
      </c>
      <c r="AF349" s="447" t="e">
        <f>IF(Tableau119[[#This Row],[First Day to POL]]&lt;=Tableau119[[#This Row],[Day Cut Off]],Tableau119[[#This Row],[Day ETD]],Tableau119[[#This Row],[Day ETD]]+7)</f>
        <v>#N/A</v>
      </c>
      <c r="AG349" s="50" t="b">
        <f>_xlfn.XLOOKUP(Tableau119[[#This Row],[Key(ID-date)]],'DATA BTO'!S:S,'DATA BTO'!I:I,FALSE)</f>
        <v>0</v>
      </c>
      <c r="AH349" s="3" t="b">
        <f>_xlfn.XLOOKUP(Tableau119[[#This Row],[Key(ID-date)]],'DATA BTO'!S:S,'DATA BTO'!J:J,FALSE)</f>
        <v>0</v>
      </c>
      <c r="AI349" s="3" t="b">
        <f>_xlfn.XLOOKUP(Tableau119[[#This Row],[Key(ID-date)]],'DATA BTO'!S:S,'DATA BTO'!K:K,FALSE)</f>
        <v>0</v>
      </c>
      <c r="AJ349" s="50" t="b">
        <f>_xlfn.XLOOKUP(Tableau119[[#This Row],[Key(ID-date)]],'DATA BTO'!S:S,'DATA BTO'!L:L,FALSE)</f>
        <v>0</v>
      </c>
      <c r="AK349" s="53" t="b">
        <f>_xlfn.XLOOKUP(Tableau119[[#This Row],[Key(ID-date)]],'DATA BTO'!S:S,'DATA BTO'!N:N,FALSE)</f>
        <v>0</v>
      </c>
      <c r="AL349" s="54" t="e">
        <f>VLOOKUP(Tableau119[[#This Row],[Key(POD -PFI- Usine)]],'DATA Consignee'!A:F,6,FALSE)</f>
        <v>#N/A</v>
      </c>
      <c r="AM349" s="127"/>
      <c r="AN349" s="375" t="str">
        <f>IF(Tableau119[[#This Row],[Name PFI/CDD]]="","-",VLOOKUP(Tableau119[[#This Row],[Name PFI/CDD]],Plant_AILN!I:J,2,FALSE))</f>
        <v>-</v>
      </c>
      <c r="AO34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4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49" s="110" t="e">
        <f>VLOOKUP(Tableau119[[#This Row],[Key(POD -PFI- Usine)]],'DATA Consignee'!A:J,10,FALSE)</f>
        <v>#N/A</v>
      </c>
      <c r="AR349" s="81" t="e">
        <f>VLOOKUP(Tableau119[[#This Row],[Key(POD -PFI- Usine)]],'DATA Consignee'!A:N,14,FALSE)</f>
        <v>#N/A</v>
      </c>
      <c r="AS34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4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49" s="81">
        <f>Tableau119[[#This Row],[Transit time]]+Tableau119[[#This Row],[Time for security]]+Tableau119[[#This Row],[Time for security2 buffer]]</f>
        <v>0</v>
      </c>
      <c r="AV3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49" s="50" t="e">
        <f>Tableau119[[#This Row],[Leadtime SI2C]]+Tableau119[[#This Row],[First Receipt Days]]-Tableau119[[#This Row],[Day Customer Order]]+1</f>
        <v>#N/A</v>
      </c>
      <c r="AX349" s="119" t="e">
        <f>IF(Tableau119[[#This Row],[Name ILN]]&lt;&gt;"SFK Freight Forwarder",Tableau119[[#This Row],[Cust. Leadtime]],Tableau119[[#This Row],[Leadtime SI2C]])</f>
        <v>#N/A</v>
      </c>
      <c r="AY349" s="51" t="b">
        <f>_xlfn.XLOOKUP(Tableau119[[#This Row],[Key(ID-date)]],'DATA BTO'!S:S,'DATA BTO'!P:P,FALSE)</f>
        <v>0</v>
      </c>
      <c r="AZ349" s="388">
        <v>45412</v>
      </c>
      <c r="BA349" s="81"/>
    </row>
    <row r="350" spans="2:53">
      <c r="B350" s="446" t="str">
        <f>_xlfn.CONCAT(Tableau119[[#This Row],[Name ILN]],"-",Tableau119[[#This Row],[Name Shipper]],"-",Tableau119[[#This Row],[Name Site]])</f>
        <v>SFK Freight Forwarder-HIGHLY MARELLI MALAYSIA SDN. BHD.-SOFASA</v>
      </c>
      <c r="C350" s="66" t="str">
        <f>_xlfn.CONCAT(Tableau119[[#This Row],[Compte ILN]],"-",Tableau119[[#This Row],[Compte Shipper]],"-",Tableau119[[#This Row],[POL]],"-",Tableau119[[#This Row],[Compte Consignee]])</f>
        <v>0-27002800-FALSO-9510600</v>
      </c>
      <c r="D350" s="66" t="str">
        <f>_xlfn.CONCAT(Tableau119[[#This Row],[Compte ILN]],"-",Tableau119[[#This Row],[Compte Shipper]],"-",Tableau119[[#This Row],[POL]])</f>
        <v>0-27002800-FALSO</v>
      </c>
      <c r="E350" s="130" t="str">
        <f>_xlfn.CONCAT(Tableau119[[#This Row],[POL]],"-",Tableau119[[#This Row],[Carrier]],"-",Tableau119[[#This Row],[POD]])</f>
        <v>FALSO-FALSO-FALSO</v>
      </c>
      <c r="F350" s="66" t="str">
        <f>_xlfn.CONCAT(Tableau119[[#This Row],[ID]],"-","Actif")</f>
        <v>135-Actif</v>
      </c>
      <c r="G350" s="66" t="str">
        <f>_xlfn.CONCAT(Tableau119[[#This Row],[POD]],"-",Tableau119[[#This Row],[Code PFI]],"-",Tableau119[[#This Row],[Compte Consignee]])</f>
        <v>FALSO---9510600</v>
      </c>
      <c r="H3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27002800FALSOSOFASA</v>
      </c>
      <c r="I350" s="434" t="str">
        <f>_xlfn.CONCAT(Tableau119[[#This Row],[ID]],"-",Tableau119[[#This Row],[Expiration Date]])</f>
        <v>135-46142</v>
      </c>
      <c r="J3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Forwarder-HIGHLY MARELLI MALAYSIA SDN. BHD.-135-FALSO-FALSO-FALSO--46142</v>
      </c>
      <c r="K350" s="119" t="str">
        <f ca="1">IF(COUNTIF(J:J,Tableau119[[#This Row],[Plant-ILN-shipper-POL-Carrier-POD-PFI]])=1,"Non","Oui")</f>
        <v>Non</v>
      </c>
      <c r="L350" s="128" t="str">
        <f>VLOOKUP(Tableau119[[#This Row],[Name Site]],Plant_AILN!A:D,4,FALSE)</f>
        <v>COLOMBIA</v>
      </c>
      <c r="M350" s="411" t="s">
        <v>177</v>
      </c>
      <c r="N350" s="454">
        <f>VLOOKUP(Tableau119[[#This Row],[Name Site]],Plant_AILN!A:C,3,FALSE)</f>
        <v>9510600</v>
      </c>
      <c r="O350" s="55">
        <f>IF(Tableau119[[#This Row],[Name PFI/CDD]]="PFI VLL",2,VLOOKUP(Tableau119[[#This Row],[Compte Consignee]],Order!C:D,2,FALSE))</f>
        <v>7</v>
      </c>
      <c r="P350" s="124" t="s">
        <v>146</v>
      </c>
      <c r="Q350" s="365">
        <f>VLOOKUP(Tableau119[[#This Row],[Name ILN]],Plant_AILN!F:G,2,FALSE)</f>
        <v>0</v>
      </c>
      <c r="R350" s="50">
        <f>VLOOKUP(Tableau119[[#This Row],[Compte ILN]],'DATA ILN'!D:I,6,FALSE)</f>
        <v>9</v>
      </c>
      <c r="S350" s="50" t="e">
        <f>IFERROR(VLOOKUP(Tableau119[[#This Row],[Key(Compte ILN - shipper - POL - plant)]],'DATA ILN'!A:J,10,FALSE),VLOOKUP(Tableau119[[#This Row],[Key(Compte ILN - shipper - POL)]],'DATA ILN'!B:J,9,FALSE))</f>
        <v>#N/A</v>
      </c>
      <c r="T350" s="50" t="e">
        <f>IFERROR(VLOOKUP(Tableau119[[#This Row],[Key(Compte ILN - shipper - POL - plant)]],'DATA ILN'!A:K,11,FALSE),VLOOKUP(Tableau119[[#This Row],[Key(Compte ILN - shipper - POL)]],'DATA ILN'!B:K,10,FALSE))</f>
        <v>#N/A</v>
      </c>
      <c r="U350" s="50" t="e">
        <f>IFERROR(VLOOKUP(Tableau119[[#This Row],[Key(Compte ILN - shipper - POL - plant)]],'DATA ILN'!A:L,12,FALSE),VLOOKUP(Tableau119[[#This Row],[Key(Compte ILN - shipper - POL)]],'DATA ILN'!B:L,11,FALSE))</f>
        <v>#N/A</v>
      </c>
      <c r="V350" s="50" t="e">
        <f>Tableau119[[#This Row],[Day ILN Order]]+Tableau119[[#This Row],[Delivery time to ILN/Shipper]]-1</f>
        <v>#N/A</v>
      </c>
      <c r="W350" s="50" t="e">
        <f>IFERROR(VLOOKUP(Tableau119[[#This Row],[Key(Compte ILN - shipper - POL - plant)]],'DATA ILN'!A:N,14,FALSE),VLOOKUP(Tableau119[[#This Row],[Key(Compte ILN - shipper - POL)]],'DATA ILN'!B:N,13,FALSE))</f>
        <v>#N/A</v>
      </c>
      <c r="X350" s="50" t="e">
        <f>IFERROR(VLOOKUP(Tableau119[[#This Row],[Key(Compte ILN - shipper - POL - plant)]],'DATA ILN'!A:P,16,FALSE),VLOOKUP(Tableau119[[#This Row],[Key(Compte ILN - shipper - POL)]],'DATA ILN'!B:P,15,FALSE))</f>
        <v>#N/A</v>
      </c>
      <c r="Y350" s="284" t="s">
        <v>322</v>
      </c>
      <c r="Z350" s="430">
        <f>IFERROR(VLOOKUP(Tableau119[[#This Row],[Name Shipper]],Plant_AILN!L:M,2,FALSE),0)</f>
        <v>27002800</v>
      </c>
      <c r="AA350" s="406">
        <v>135</v>
      </c>
      <c r="AB350" s="396" t="b">
        <f>_xlfn.XLOOKUP(Tableau119[[#This Row],[Key(ID-date)]],'DATA BTO'!S:S,'DATA BTO'!E:E,FALSE)</f>
        <v>0</v>
      </c>
      <c r="AC350" s="3" t="b">
        <f>_xlfn.XLOOKUP(Tableau119[[#This Row],[Key(ID-date)]],'DATA BTO'!S:S,'DATA BTO'!F:F,FALSE)</f>
        <v>0</v>
      </c>
      <c r="AD350" s="50" t="b">
        <f>_xlfn.XLOOKUP(Tableau119[[#This Row],[Key(ID-date)]],'DATA BTO'!S:S,'DATA BTO'!G:G,FALSE)</f>
        <v>0</v>
      </c>
      <c r="AE350" s="50" t="b">
        <f>_xlfn.XLOOKUP(Tableau119[[#This Row],[Key(ID-date)]],'DATA BTO'!S:S,'DATA BTO'!H:H,FALSE)</f>
        <v>0</v>
      </c>
      <c r="AF350" s="447" t="e">
        <f>IF(Tableau119[[#This Row],[First Day to POL]]&lt;=Tableau119[[#This Row],[Day Cut Off]],Tableau119[[#This Row],[Day ETD]],Tableau119[[#This Row],[Day ETD]]+7)</f>
        <v>#N/A</v>
      </c>
      <c r="AG350" s="50" t="b">
        <f>_xlfn.XLOOKUP(Tableau119[[#This Row],[Key(ID-date)]],'DATA BTO'!S:S,'DATA BTO'!I:I,FALSE)</f>
        <v>0</v>
      </c>
      <c r="AH350" s="3" t="b">
        <f>_xlfn.XLOOKUP(Tableau119[[#This Row],[Key(ID-date)]],'DATA BTO'!S:S,'DATA BTO'!J:J,FALSE)</f>
        <v>0</v>
      </c>
      <c r="AI350" s="3" t="b">
        <f>_xlfn.XLOOKUP(Tableau119[[#This Row],[Key(ID-date)]],'DATA BTO'!S:S,'DATA BTO'!K:K,FALSE)</f>
        <v>0</v>
      </c>
      <c r="AJ350" s="50" t="b">
        <f>_xlfn.XLOOKUP(Tableau119[[#This Row],[Key(ID-date)]],'DATA BTO'!S:S,'DATA BTO'!L:L,FALSE)</f>
        <v>0</v>
      </c>
      <c r="AK350" s="53" t="b">
        <f>_xlfn.XLOOKUP(Tableau119[[#This Row],[Key(ID-date)]],'DATA BTO'!S:S,'DATA BTO'!N:N,FALSE)</f>
        <v>0</v>
      </c>
      <c r="AL350" s="54" t="e">
        <f>VLOOKUP(Tableau119[[#This Row],[Key(POD -PFI- Usine)]],'DATA Consignee'!A:F,6,FALSE)</f>
        <v>#N/A</v>
      </c>
      <c r="AM350" s="284"/>
      <c r="AN350" s="376" t="str">
        <f>IF(Tableau119[[#This Row],[Name PFI/CDD]]="","-",VLOOKUP(Tableau119[[#This Row],[Name PFI/CDD]],Plant_AILN!I:J,2,FALSE))</f>
        <v>-</v>
      </c>
      <c r="AO3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0" s="2" t="e">
        <f>VLOOKUP(Tableau119[[#This Row],[Key(POD -PFI- Usine)]],'DATA Consignee'!A:J,10,FALSE)</f>
        <v>#N/A</v>
      </c>
      <c r="AR350" s="50" t="e">
        <f>VLOOKUP(Tableau119[[#This Row],[Key(POD -PFI- Usine)]],'DATA Consignee'!A:N,14,FALSE)</f>
        <v>#N/A</v>
      </c>
      <c r="AS3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0" s="50">
        <f>Tableau119[[#This Row],[Transit time]]+Tableau119[[#This Row],[Time for security]]+Tableau119[[#This Row],[Time for security2 buffer]]</f>
        <v>0</v>
      </c>
      <c r="AV3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0" s="50" t="e">
        <f>Tableau119[[#This Row],[Leadtime SI2C]]+Tableau119[[#This Row],[First Receipt Days]]-Tableau119[[#This Row],[Day Customer Order]]+1</f>
        <v>#N/A</v>
      </c>
      <c r="AX350" s="119" t="e">
        <f>IF(Tableau119[[#This Row],[Name ILN]]&lt;&gt;"SFK Freight Forwarder",Tableau119[[#This Row],[Cust. Leadtime]],Tableau119[[#This Row],[Leadtime SI2C]])</f>
        <v>#N/A</v>
      </c>
      <c r="AY350" s="51" t="b">
        <f>_xlfn.XLOOKUP(Tableau119[[#This Row],[Key(ID-date)]],'DATA BTO'!S:S,'DATA BTO'!P:P,FALSE)</f>
        <v>0</v>
      </c>
      <c r="AZ350" s="338">
        <v>46142</v>
      </c>
      <c r="BA350" s="50"/>
    </row>
    <row r="351" spans="2:53">
      <c r="B351" s="446" t="str">
        <f>_xlfn.CONCAT(Tableau119[[#This Row],[Name ILN]],"-",Tableau119[[#This Row],[Name Shipper]],"-",Tableau119[[#This Row],[Name Site]])</f>
        <v>SFK Freight Forwarder-HIGHLY MARELLI MALAYSIA SDN. BHD.-SOFASA</v>
      </c>
      <c r="C351" s="66" t="str">
        <f>_xlfn.CONCAT(Tableau119[[#This Row],[Compte ILN]],"-",Tableau119[[#This Row],[Compte Shipper]],"-",Tableau119[[#This Row],[POL]],"-",Tableau119[[#This Row],[Compte Consignee]])</f>
        <v>0-27002800-FALSO-9510600</v>
      </c>
      <c r="D351" s="66" t="str">
        <f>_xlfn.CONCAT(Tableau119[[#This Row],[Compte ILN]],"-",Tableau119[[#This Row],[Compte Shipper]],"-",Tableau119[[#This Row],[POL]])</f>
        <v>0-27002800-FALSO</v>
      </c>
      <c r="E351" s="130" t="str">
        <f>_xlfn.CONCAT(Tableau119[[#This Row],[POL]],"-",Tableau119[[#This Row],[Carrier]],"-",Tableau119[[#This Row],[POD]])</f>
        <v>FALSO-FALSO-FALSO</v>
      </c>
      <c r="F351" s="66" t="str">
        <f>_xlfn.CONCAT(Tableau119[[#This Row],[ID]],"-","Actif")</f>
        <v>135-Actif</v>
      </c>
      <c r="G351" s="66" t="str">
        <f>_xlfn.CONCAT(Tableau119[[#This Row],[POD]],"-",Tableau119[[#This Row],[Code PFI]],"-",Tableau119[[#This Row],[Compte Consignee]])</f>
        <v>FALSO---9510600</v>
      </c>
      <c r="H3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27002800FALSOSOFASA</v>
      </c>
      <c r="I351" s="434" t="str">
        <f>_xlfn.CONCAT(Tableau119[[#This Row],[ID]],"-",Tableau119[[#This Row],[Expiration Date]])</f>
        <v>135-46022</v>
      </c>
      <c r="J3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Forwarder-HIGHLY MARELLI MALAYSIA SDN. BHD.-135-FALSO-FALSO-FALSO--46022</v>
      </c>
      <c r="K351" s="119" t="str">
        <f ca="1">IF(COUNTIF(J:J,Tableau119[[#This Row],[Plant-ILN-shipper-POL-Carrier-POD-PFI]])=1,"Non","Oui")</f>
        <v>Non</v>
      </c>
      <c r="L351" s="128" t="str">
        <f>VLOOKUP(Tableau119[[#This Row],[Name Site]],Plant_AILN!A:D,4,FALSE)</f>
        <v>COLOMBIA</v>
      </c>
      <c r="M351" s="411" t="s">
        <v>177</v>
      </c>
      <c r="N351" s="454">
        <f>VLOOKUP(Tableau119[[#This Row],[Name Site]],Plant_AILN!A:C,3,FALSE)</f>
        <v>9510600</v>
      </c>
      <c r="O351" s="55">
        <f>VLOOKUP(Tableau119[[#This Row],[Compte Consignee]],Order!C:D,2,FALSE)</f>
        <v>7</v>
      </c>
      <c r="P351" s="124" t="s">
        <v>146</v>
      </c>
      <c r="Q351" s="365">
        <f>VLOOKUP(Tableau119[[#This Row],[Name ILN]],Plant_AILN!F:G,2,FALSE)</f>
        <v>0</v>
      </c>
      <c r="R351" s="50">
        <f>VLOOKUP(Tableau119[[#This Row],[Compte ILN]],'DATA ILN'!D:I,6,FALSE)</f>
        <v>9</v>
      </c>
      <c r="S351" s="50" t="e">
        <f>IFERROR(VLOOKUP(Tableau119[[#This Row],[Key(Compte ILN - shipper - POL - plant)]],'DATA ILN'!A:J,10,FALSE),VLOOKUP(Tableau119[[#This Row],[Key(Compte ILN - shipper - POL)]],'DATA ILN'!B:J,9,FALSE))</f>
        <v>#N/A</v>
      </c>
      <c r="T351" s="50" t="e">
        <f>IFERROR(VLOOKUP(Tableau119[[#This Row],[Key(Compte ILN - shipper - POL - plant)]],'DATA ILN'!A:K,11,FALSE),VLOOKUP(Tableau119[[#This Row],[Key(Compte ILN - shipper - POL)]],'DATA ILN'!B:K,10,FALSE))</f>
        <v>#N/A</v>
      </c>
      <c r="U351" s="50" t="e">
        <f>IFERROR(VLOOKUP(Tableau119[[#This Row],[Key(Compte ILN - shipper - POL - plant)]],'DATA ILN'!A:L,12,FALSE),VLOOKUP(Tableau119[[#This Row],[Key(Compte ILN - shipper - POL)]],'DATA ILN'!B:L,11,FALSE))</f>
        <v>#N/A</v>
      </c>
      <c r="V351" s="50" t="e">
        <f>Tableau119[[#This Row],[Day ILN Order]]+Tableau119[[#This Row],[Delivery time to ILN/Shipper]]-1</f>
        <v>#N/A</v>
      </c>
      <c r="W351" s="50" t="e">
        <f>IFERROR(VLOOKUP(Tableau119[[#This Row],[Key(Compte ILN - shipper - POL - plant)]],'DATA ILN'!A:N,14,FALSE),VLOOKUP(Tableau119[[#This Row],[Key(Compte ILN - shipper - POL)]],'DATA ILN'!B:N,13,FALSE))</f>
        <v>#N/A</v>
      </c>
      <c r="X351" s="50" t="e">
        <f>IFERROR(VLOOKUP(Tableau119[[#This Row],[Key(Compte ILN - shipper - POL - plant)]],'DATA ILN'!A:P,16,FALSE),VLOOKUP(Tableau119[[#This Row],[Key(Compte ILN - shipper - POL)]],'DATA ILN'!B:P,15,FALSE))</f>
        <v>#N/A</v>
      </c>
      <c r="Y351" s="284" t="s">
        <v>322</v>
      </c>
      <c r="Z351" s="430">
        <f>IFERROR(VLOOKUP(Tableau119[[#This Row],[Name Shipper]],Plant_AILN!L:M,2,FALSE),0)</f>
        <v>27002800</v>
      </c>
      <c r="AA351" s="406">
        <v>135</v>
      </c>
      <c r="AB351" s="396" t="b">
        <f>_xlfn.XLOOKUP(Tableau119[[#This Row],[Key(ID-date)]],'DATA BTO'!S:S,'DATA BTO'!E:E,FALSE)</f>
        <v>0</v>
      </c>
      <c r="AC351" s="3" t="b">
        <f>_xlfn.XLOOKUP(Tableau119[[#This Row],[Key(ID-date)]],'DATA BTO'!S:S,'DATA BTO'!F:F,FALSE)</f>
        <v>0</v>
      </c>
      <c r="AD351" s="50" t="b">
        <f>_xlfn.XLOOKUP(Tableau119[[#This Row],[Key(ID-date)]],'DATA BTO'!S:S,'DATA BTO'!G:G,FALSE)</f>
        <v>0</v>
      </c>
      <c r="AE351" s="50" t="b">
        <f>_xlfn.XLOOKUP(Tableau119[[#This Row],[Key(ID-date)]],'DATA BTO'!S:S,'DATA BTO'!H:H,FALSE)</f>
        <v>0</v>
      </c>
      <c r="AF351" s="447" t="e">
        <f>IF(Tableau119[[#This Row],[First Day to POL]]&lt;=Tableau119[[#This Row],[Day Cut Off]],Tableau119[[#This Row],[Day ETD]],Tableau119[[#This Row],[Day ETD]]+7)</f>
        <v>#N/A</v>
      </c>
      <c r="AG351" s="50" t="b">
        <f>_xlfn.XLOOKUP(Tableau119[[#This Row],[Key(ID-date)]],'DATA BTO'!S:S,'DATA BTO'!I:I,FALSE)</f>
        <v>0</v>
      </c>
      <c r="AH351" s="3" t="b">
        <f>_xlfn.XLOOKUP(Tableau119[[#This Row],[Key(ID-date)]],'DATA BTO'!S:S,'DATA BTO'!J:J,FALSE)</f>
        <v>0</v>
      </c>
      <c r="AI351" s="3" t="b">
        <f>_xlfn.XLOOKUP(Tableau119[[#This Row],[Key(ID-date)]],'DATA BTO'!S:S,'DATA BTO'!K:K,FALSE)</f>
        <v>0</v>
      </c>
      <c r="AJ351" s="50" t="b">
        <f>_xlfn.XLOOKUP(Tableau119[[#This Row],[Key(ID-date)]],'DATA BTO'!S:S,'DATA BTO'!L:L,FALSE)</f>
        <v>0</v>
      </c>
      <c r="AK351" s="53" t="b">
        <f>_xlfn.XLOOKUP(Tableau119[[#This Row],[Key(ID-date)]],'DATA BTO'!S:S,'DATA BTO'!N:N,FALSE)</f>
        <v>0</v>
      </c>
      <c r="AL351" s="54" t="e">
        <f>VLOOKUP(Tableau119[[#This Row],[Key(POD -PFI- Usine)]],'DATA Consignee'!A:F,6,FALSE)</f>
        <v>#N/A</v>
      </c>
      <c r="AM351" s="284"/>
      <c r="AN351" s="376" t="str">
        <f>IF(Tableau119[[#This Row],[Name PFI/CDD]]="","-",VLOOKUP(Tableau119[[#This Row],[Name PFI/CDD]],Plant_AILN!I:J,2,FALSE))</f>
        <v>-</v>
      </c>
      <c r="AO3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1" s="2" t="e">
        <f>VLOOKUP(Tableau119[[#This Row],[Key(POD -PFI- Usine)]],'DATA Consignee'!A:J,10,FALSE)</f>
        <v>#N/A</v>
      </c>
      <c r="AR351" s="50" t="e">
        <f>VLOOKUP(Tableau119[[#This Row],[Key(POD -PFI- Usine)]],'DATA Consignee'!A:N,14,FALSE)</f>
        <v>#N/A</v>
      </c>
      <c r="AS3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1" s="50">
        <f>Tableau119[[#This Row],[Transit time]]+Tableau119[[#This Row],[Time for security]]+Tableau119[[#This Row],[Time for security2 buffer]]</f>
        <v>0</v>
      </c>
      <c r="AV3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1" s="50" t="e">
        <f>Tableau119[[#This Row],[Leadtime SI2C]]+Tableau119[[#This Row],[First Receipt Days]]-Tableau119[[#This Row],[Day Customer Order]]+1</f>
        <v>#N/A</v>
      </c>
      <c r="AX351" s="119" t="e">
        <f>IF(Tableau119[[#This Row],[Name ILN]]&lt;&gt;"SFK Freight Forwarder",Tableau119[[#This Row],[Cust. Leadtime]],Tableau119[[#This Row],[Leadtime SI2C]])</f>
        <v>#N/A</v>
      </c>
      <c r="AY351" s="51" t="b">
        <f>_xlfn.XLOOKUP(Tableau119[[#This Row],[Key(ID-date)]],'DATA BTO'!S:S,'DATA BTO'!P:P,FALSE)</f>
        <v>0</v>
      </c>
      <c r="AZ351" s="338">
        <v>46022</v>
      </c>
      <c r="BA351" s="50"/>
    </row>
    <row r="352" spans="2:53">
      <c r="B352" s="446" t="str">
        <f>_xlfn.CONCAT(Tableau119[[#This Row],[Name ILN]],"-",Tableau119[[#This Row],[Name Shipper]],"-",Tableau119[[#This Row],[Name Site]])</f>
        <v>SFK Freight Forwarder-HIGHLY MARELLI MALAYSIA SDN. BHD.-SOFASA</v>
      </c>
      <c r="C352" s="66" t="str">
        <f>_xlfn.CONCAT(Tableau119[[#This Row],[Compte ILN]],"-",Tableau119[[#This Row],[Compte Shipper]],"-",Tableau119[[#This Row],[POL]],"-",Tableau119[[#This Row],[Compte Consignee]])</f>
        <v>0-27002800-FALSO-9510600</v>
      </c>
      <c r="D352" s="66" t="str">
        <f>_xlfn.CONCAT(Tableau119[[#This Row],[Compte ILN]],"-",Tableau119[[#This Row],[Compte Shipper]],"-",Tableau119[[#This Row],[POL]])</f>
        <v>0-27002800-FALSO</v>
      </c>
      <c r="E352" s="130" t="str">
        <f>_xlfn.CONCAT(Tableau119[[#This Row],[POL]],"-",Tableau119[[#This Row],[Carrier]],"-",Tableau119[[#This Row],[POD]])</f>
        <v>FALSO-FALSO-FALSO</v>
      </c>
      <c r="F352" s="66" t="str">
        <f>_xlfn.CONCAT(Tableau119[[#This Row],[ID]],"-","Actif")</f>
        <v>135-Actif</v>
      </c>
      <c r="G352" s="66" t="str">
        <f>_xlfn.CONCAT(Tableau119[[#This Row],[POD]],"-",Tableau119[[#This Row],[Code PFI]],"-",Tableau119[[#This Row],[Compte Consignee]])</f>
        <v>FALSO---9510600</v>
      </c>
      <c r="H3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27002800FALSOSOFASA</v>
      </c>
      <c r="I352" s="434" t="str">
        <f>_xlfn.CONCAT(Tableau119[[#This Row],[ID]],"-",Tableau119[[#This Row],[Expiration Date]])</f>
        <v>135-45822</v>
      </c>
      <c r="J3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Forwarder-HIGHLY MARELLI MALAYSIA SDN. BHD.-135-FALSO-FALSO-FALSO--45822</v>
      </c>
      <c r="K352" s="119" t="str">
        <f ca="1">IF(COUNTIF(J:J,Tableau119[[#This Row],[Plant-ILN-shipper-POL-Carrier-POD-PFI]])=1,"Non","Oui")</f>
        <v>Non</v>
      </c>
      <c r="L352" s="128" t="str">
        <f>VLOOKUP(Tableau119[[#This Row],[Name Site]],Plant_AILN!A:D,4,FALSE)</f>
        <v>COLOMBIA</v>
      </c>
      <c r="M352" s="411" t="s">
        <v>177</v>
      </c>
      <c r="N352" s="454">
        <f>VLOOKUP(Tableau119[[#This Row],[Name Site]],Plant_AILN!A:C,3,FALSE)</f>
        <v>9510600</v>
      </c>
      <c r="O352" s="55">
        <f>VLOOKUP(Tableau119[[#This Row],[Compte Consignee]],Order!C:D,2,FALSE)</f>
        <v>7</v>
      </c>
      <c r="P352" s="124" t="s">
        <v>146</v>
      </c>
      <c r="Q352" s="365">
        <f>VLOOKUP(Tableau119[[#This Row],[Name ILN]],Plant_AILN!F:G,2,FALSE)</f>
        <v>0</v>
      </c>
      <c r="R352" s="50">
        <f>VLOOKUP(Tableau119[[#This Row],[Compte ILN]],'DATA ILN'!D:I,6,FALSE)</f>
        <v>9</v>
      </c>
      <c r="S352" s="50" t="e">
        <f>IFERROR(VLOOKUP(Tableau119[[#This Row],[Key(Compte ILN - shipper - POL - plant)]],'DATA ILN'!A:J,10,FALSE),VLOOKUP(Tableau119[[#This Row],[Key(Compte ILN - shipper - POL)]],'DATA ILN'!B:J,9,FALSE))</f>
        <v>#N/A</v>
      </c>
      <c r="T352" s="50" t="e">
        <f>IFERROR(VLOOKUP(Tableau119[[#This Row],[Key(Compte ILN - shipper - POL - plant)]],'DATA ILN'!A:K,11,FALSE),VLOOKUP(Tableau119[[#This Row],[Key(Compte ILN - shipper - POL)]],'DATA ILN'!B:K,10,FALSE))</f>
        <v>#N/A</v>
      </c>
      <c r="U352" s="50" t="e">
        <f>IFERROR(VLOOKUP(Tableau119[[#This Row],[Key(Compte ILN - shipper - POL - plant)]],'DATA ILN'!A:L,12,FALSE),VLOOKUP(Tableau119[[#This Row],[Key(Compte ILN - shipper - POL)]],'DATA ILN'!B:L,11,FALSE))</f>
        <v>#N/A</v>
      </c>
      <c r="V352" s="50" t="e">
        <f>Tableau119[[#This Row],[Day ILN Order]]+Tableau119[[#This Row],[Delivery time to ILN/Shipper]]-1</f>
        <v>#N/A</v>
      </c>
      <c r="W352" s="50" t="e">
        <f>IFERROR(VLOOKUP(Tableau119[[#This Row],[Key(Compte ILN - shipper - POL - plant)]],'DATA ILN'!A:N,14,FALSE),VLOOKUP(Tableau119[[#This Row],[Key(Compte ILN - shipper - POL)]],'DATA ILN'!B:N,13,FALSE))</f>
        <v>#N/A</v>
      </c>
      <c r="X352" s="50" t="e">
        <f>IFERROR(VLOOKUP(Tableau119[[#This Row],[Key(Compte ILN - shipper - POL - plant)]],'DATA ILN'!A:P,16,FALSE),VLOOKUP(Tableau119[[#This Row],[Key(Compte ILN - shipper - POL)]],'DATA ILN'!B:P,15,FALSE))</f>
        <v>#N/A</v>
      </c>
      <c r="Y352" s="284" t="s">
        <v>322</v>
      </c>
      <c r="Z352" s="430">
        <f>IFERROR(VLOOKUP(Tableau119[[#This Row],[Name Shipper]],Plant_AILN!L:M,2,FALSE),0)</f>
        <v>27002800</v>
      </c>
      <c r="AA352" s="406">
        <v>135</v>
      </c>
      <c r="AB352" s="396" t="b">
        <f>_xlfn.XLOOKUP(Tableau119[[#This Row],[Key(ID-date)]],'DATA BTO'!S:S,'DATA BTO'!E:E,FALSE)</f>
        <v>0</v>
      </c>
      <c r="AC352" s="3" t="b">
        <f>_xlfn.XLOOKUP(Tableau119[[#This Row],[Key(ID-date)]],'DATA BTO'!S:S,'DATA BTO'!F:F,FALSE)</f>
        <v>0</v>
      </c>
      <c r="AD352" s="50" t="b">
        <f>_xlfn.XLOOKUP(Tableau119[[#This Row],[Key(ID-date)]],'DATA BTO'!S:S,'DATA BTO'!G:G,FALSE)</f>
        <v>0</v>
      </c>
      <c r="AE352" s="50" t="b">
        <f>_xlfn.XLOOKUP(Tableau119[[#This Row],[Key(ID-date)]],'DATA BTO'!S:S,'DATA BTO'!H:H,FALSE)</f>
        <v>0</v>
      </c>
      <c r="AF352" s="447" t="e">
        <f>IF(Tableau119[[#This Row],[First Day to POL]]&lt;=Tableau119[[#This Row],[Day Cut Off]],Tableau119[[#This Row],[Day ETD]],Tableau119[[#This Row],[Day ETD]]+7)</f>
        <v>#N/A</v>
      </c>
      <c r="AG352" s="50" t="b">
        <f>_xlfn.XLOOKUP(Tableau119[[#This Row],[Key(ID-date)]],'DATA BTO'!S:S,'DATA BTO'!I:I,FALSE)</f>
        <v>0</v>
      </c>
      <c r="AH352" s="3" t="b">
        <f>_xlfn.XLOOKUP(Tableau119[[#This Row],[Key(ID-date)]],'DATA BTO'!S:S,'DATA BTO'!J:J,FALSE)</f>
        <v>0</v>
      </c>
      <c r="AI352" s="3" t="b">
        <f>_xlfn.XLOOKUP(Tableau119[[#This Row],[Key(ID-date)]],'DATA BTO'!S:S,'DATA BTO'!K:K,FALSE)</f>
        <v>0</v>
      </c>
      <c r="AJ352" s="50" t="b">
        <f>_xlfn.XLOOKUP(Tableau119[[#This Row],[Key(ID-date)]],'DATA BTO'!S:S,'DATA BTO'!L:L,FALSE)</f>
        <v>0</v>
      </c>
      <c r="AK352" s="53" t="b">
        <f>_xlfn.XLOOKUP(Tableau119[[#This Row],[Key(ID-date)]],'DATA BTO'!S:S,'DATA BTO'!N:N,FALSE)</f>
        <v>0</v>
      </c>
      <c r="AL352" s="54" t="e">
        <f>VLOOKUP(Tableau119[[#This Row],[Key(POD -PFI- Usine)]],'DATA Consignee'!A:F,6,FALSE)</f>
        <v>#N/A</v>
      </c>
      <c r="AM352" s="284"/>
      <c r="AN352" s="376" t="str">
        <f>IF(Tableau119[[#This Row],[Name PFI/CDD]]="","-",VLOOKUP(Tableau119[[#This Row],[Name PFI/CDD]],Plant_AILN!I:J,2,FALSE))</f>
        <v>-</v>
      </c>
      <c r="AO3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2" s="2" t="e">
        <f>VLOOKUP(Tableau119[[#This Row],[Key(POD -PFI- Usine)]],'DATA Consignee'!A:J,10,FALSE)</f>
        <v>#N/A</v>
      </c>
      <c r="AR352" s="50" t="e">
        <f>VLOOKUP(Tableau119[[#This Row],[Key(POD -PFI- Usine)]],'DATA Consignee'!A:N,14,FALSE)</f>
        <v>#N/A</v>
      </c>
      <c r="AS3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2" s="50">
        <f>Tableau119[[#This Row],[Transit time]]+Tableau119[[#This Row],[Time for security]]+Tableau119[[#This Row],[Time for security2 buffer]]</f>
        <v>0</v>
      </c>
      <c r="AV3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2" s="50" t="e">
        <f>Tableau119[[#This Row],[Leadtime SI2C]]+Tableau119[[#This Row],[First Receipt Days]]-Tableau119[[#This Row],[Day Customer Order]]+1</f>
        <v>#N/A</v>
      </c>
      <c r="AX352" s="119" t="e">
        <f>IF(Tableau119[[#This Row],[Name ILN]]&lt;&gt;"SFK Freight Forwarder",Tableau119[[#This Row],[Cust. Leadtime]],Tableau119[[#This Row],[Leadtime SI2C]])</f>
        <v>#N/A</v>
      </c>
      <c r="AY352" s="51" t="b">
        <f>_xlfn.XLOOKUP(Tableau119[[#This Row],[Key(ID-date)]],'DATA BTO'!S:S,'DATA BTO'!P:P,FALSE)</f>
        <v>0</v>
      </c>
      <c r="AZ352" s="338">
        <v>45822</v>
      </c>
      <c r="BA352" s="50"/>
    </row>
    <row r="353" spans="2:53">
      <c r="B353" s="446" t="str">
        <f>_xlfn.CONCAT(Tableau119[[#This Row],[Name ILN]],"-",Tableau119[[#This Row],[Name Shipper]],"-",Tableau119[[#This Row],[Name Site]])</f>
        <v>SFK Freight Forwarder-HIGHLY MARELLI MALAYSIA SDN. BHD.-SOFASA</v>
      </c>
      <c r="C353" s="66" t="str">
        <f>_xlfn.CONCAT(Tableau119[[#This Row],[Compte ILN]],"-",Tableau119[[#This Row],[Compte Shipper]],"-",Tableau119[[#This Row],[POL]],"-",Tableau119[[#This Row],[Compte Consignee]])</f>
        <v>0-27002800-FALSO-9510600</v>
      </c>
      <c r="D353" s="66" t="str">
        <f>_xlfn.CONCAT(Tableau119[[#This Row],[Compte ILN]],"-",Tableau119[[#This Row],[Compte Shipper]],"-",Tableau119[[#This Row],[POL]])</f>
        <v>0-27002800-FALSO</v>
      </c>
      <c r="E353" s="130" t="str">
        <f>_xlfn.CONCAT(Tableau119[[#This Row],[POL]],"-",Tableau119[[#This Row],[Carrier]],"-",Tableau119[[#This Row],[POD]])</f>
        <v>FALSO-FALSO-FALSO</v>
      </c>
      <c r="F353" s="66" t="str">
        <f>_xlfn.CONCAT(Tableau119[[#This Row],[ID]],"-","Actif")</f>
        <v>135-Actif</v>
      </c>
      <c r="G353" s="66" t="str">
        <f>_xlfn.CONCAT(Tableau119[[#This Row],[POD]],"-",Tableau119[[#This Row],[Code PFI]],"-",Tableau119[[#This Row],[Compte Consignee]])</f>
        <v>FALSO---9510600</v>
      </c>
      <c r="H3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27002800FALSOSOFASA</v>
      </c>
      <c r="I353" s="434" t="str">
        <f>_xlfn.CONCAT(Tableau119[[#This Row],[ID]],"-",Tableau119[[#This Row],[Expiration Date]])</f>
        <v>135-45747</v>
      </c>
      <c r="J3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Forwarder-HIGHLY MARELLI MALAYSIA SDN. BHD.-135-FALSO-FALSO-FALSO--45747</v>
      </c>
      <c r="K353" s="119" t="str">
        <f ca="1">IF(COUNTIF(J:J,Tableau119[[#This Row],[Plant-ILN-shipper-POL-Carrier-POD-PFI]])=1,"Non","Oui")</f>
        <v>Non</v>
      </c>
      <c r="L353" s="128" t="str">
        <f>VLOOKUP(Tableau119[[#This Row],[Name Site]],Plant_AILN!A:D,4,FALSE)</f>
        <v>COLOMBIA</v>
      </c>
      <c r="M353" s="411" t="s">
        <v>177</v>
      </c>
      <c r="N353" s="454">
        <f>VLOOKUP(Tableau119[[#This Row],[Name Site]],Plant_AILN!A:C,3,FALSE)</f>
        <v>9510600</v>
      </c>
      <c r="O353" s="55">
        <f>VLOOKUP(Tableau119[[#This Row],[Compte Consignee]],Order!C:D,2,FALSE)</f>
        <v>7</v>
      </c>
      <c r="P353" s="124" t="s">
        <v>146</v>
      </c>
      <c r="Q353" s="365">
        <f>VLOOKUP(Tableau119[[#This Row],[Name ILN]],Plant_AILN!F:G,2,FALSE)</f>
        <v>0</v>
      </c>
      <c r="R353" s="50">
        <f>VLOOKUP(Tableau119[[#This Row],[Compte ILN]],'DATA ILN'!D:I,6,FALSE)</f>
        <v>9</v>
      </c>
      <c r="S353" s="50" t="e">
        <f>IFERROR(VLOOKUP(Tableau119[[#This Row],[Key(Compte ILN - shipper - POL - plant)]],'DATA ILN'!A:J,10,FALSE),VLOOKUP(Tableau119[[#This Row],[Key(Compte ILN - shipper - POL)]],'DATA ILN'!B:J,9,FALSE))</f>
        <v>#N/A</v>
      </c>
      <c r="T353" s="50" t="e">
        <f>IFERROR(VLOOKUP(Tableau119[[#This Row],[Key(Compte ILN - shipper - POL - plant)]],'DATA ILN'!A:K,11,FALSE),VLOOKUP(Tableau119[[#This Row],[Key(Compte ILN - shipper - POL)]],'DATA ILN'!B:K,10,FALSE))</f>
        <v>#N/A</v>
      </c>
      <c r="U353" s="50" t="e">
        <f>IFERROR(VLOOKUP(Tableau119[[#This Row],[Key(Compte ILN - shipper - POL - plant)]],'DATA ILN'!A:L,12,FALSE),VLOOKUP(Tableau119[[#This Row],[Key(Compte ILN - shipper - POL)]],'DATA ILN'!B:L,11,FALSE))</f>
        <v>#N/A</v>
      </c>
      <c r="V353" s="50" t="e">
        <f>Tableau119[[#This Row],[Day ILN Order]]+Tableau119[[#This Row],[Delivery time to ILN/Shipper]]-1</f>
        <v>#N/A</v>
      </c>
      <c r="W353" s="50" t="e">
        <f>IFERROR(VLOOKUP(Tableau119[[#This Row],[Key(Compte ILN - shipper - POL - plant)]],'DATA ILN'!A:N,14,FALSE),VLOOKUP(Tableau119[[#This Row],[Key(Compte ILN - shipper - POL)]],'DATA ILN'!B:N,13,FALSE))</f>
        <v>#N/A</v>
      </c>
      <c r="X353" s="50" t="e">
        <f>IFERROR(VLOOKUP(Tableau119[[#This Row],[Key(Compte ILN - shipper - POL - plant)]],'DATA ILN'!A:P,16,FALSE),VLOOKUP(Tableau119[[#This Row],[Key(Compte ILN - shipper - POL)]],'DATA ILN'!B:P,15,FALSE))</f>
        <v>#N/A</v>
      </c>
      <c r="Y353" s="284" t="s">
        <v>322</v>
      </c>
      <c r="Z353" s="430">
        <f>IFERROR(VLOOKUP(Tableau119[[#This Row],[Name Shipper]],Plant_AILN!L:M,2,FALSE),0)</f>
        <v>27002800</v>
      </c>
      <c r="AA353" s="406">
        <v>135</v>
      </c>
      <c r="AB353" s="396" t="b">
        <f>_xlfn.XLOOKUP(Tableau119[[#This Row],[Key(ID-date)]],'DATA BTO'!S:S,'DATA BTO'!E:E,FALSE)</f>
        <v>0</v>
      </c>
      <c r="AC353" s="3" t="b">
        <f>_xlfn.XLOOKUP(Tableau119[[#This Row],[Key(ID-date)]],'DATA BTO'!S:S,'DATA BTO'!F:F,FALSE)</f>
        <v>0</v>
      </c>
      <c r="AD353" s="50" t="b">
        <f>_xlfn.XLOOKUP(Tableau119[[#This Row],[Key(ID-date)]],'DATA BTO'!S:S,'DATA BTO'!G:G,FALSE)</f>
        <v>0</v>
      </c>
      <c r="AE353" s="50" t="b">
        <f>_xlfn.XLOOKUP(Tableau119[[#This Row],[Key(ID-date)]],'DATA BTO'!S:S,'DATA BTO'!H:H,FALSE)</f>
        <v>0</v>
      </c>
      <c r="AF353" s="447" t="e">
        <f>IF(Tableau119[[#This Row],[First Day to POL]]&lt;=Tableau119[[#This Row],[Day Cut Off]],Tableau119[[#This Row],[Day ETD]],Tableau119[[#This Row],[Day ETD]]+7)</f>
        <v>#N/A</v>
      </c>
      <c r="AG353" s="50" t="b">
        <f>_xlfn.XLOOKUP(Tableau119[[#This Row],[Key(ID-date)]],'DATA BTO'!S:S,'DATA BTO'!I:I,FALSE)</f>
        <v>0</v>
      </c>
      <c r="AH353" s="3" t="b">
        <f>_xlfn.XLOOKUP(Tableau119[[#This Row],[Key(ID-date)]],'DATA BTO'!S:S,'DATA BTO'!J:J,FALSE)</f>
        <v>0</v>
      </c>
      <c r="AI353" s="3" t="b">
        <f>_xlfn.XLOOKUP(Tableau119[[#This Row],[Key(ID-date)]],'DATA BTO'!S:S,'DATA BTO'!K:K,FALSE)</f>
        <v>0</v>
      </c>
      <c r="AJ353" s="50" t="b">
        <f>_xlfn.XLOOKUP(Tableau119[[#This Row],[Key(ID-date)]],'DATA BTO'!S:S,'DATA BTO'!L:L,FALSE)</f>
        <v>0</v>
      </c>
      <c r="AK353" s="53" t="b">
        <f>_xlfn.XLOOKUP(Tableau119[[#This Row],[Key(ID-date)]],'DATA BTO'!S:S,'DATA BTO'!N:N,FALSE)</f>
        <v>0</v>
      </c>
      <c r="AL353" s="54" t="e">
        <f>VLOOKUP(Tableau119[[#This Row],[Key(POD -PFI- Usine)]],'DATA Consignee'!A:F,6,FALSE)</f>
        <v>#N/A</v>
      </c>
      <c r="AM353" s="284"/>
      <c r="AN353" s="376" t="str">
        <f>IF(Tableau119[[#This Row],[Name PFI/CDD]]="","-",VLOOKUP(Tableau119[[#This Row],[Name PFI/CDD]],Plant_AILN!I:J,2,FALSE))</f>
        <v>-</v>
      </c>
      <c r="AO3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3" s="2" t="e">
        <f>VLOOKUP(Tableau119[[#This Row],[Key(POD -PFI- Usine)]],'DATA Consignee'!A:J,10,FALSE)</f>
        <v>#N/A</v>
      </c>
      <c r="AR353" s="50" t="e">
        <f>VLOOKUP(Tableau119[[#This Row],[Key(POD -PFI- Usine)]],'DATA Consignee'!A:N,14,FALSE)</f>
        <v>#N/A</v>
      </c>
      <c r="AS3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3" s="50">
        <f>Tableau119[[#This Row],[Transit time]]+Tableau119[[#This Row],[Time for security]]+Tableau119[[#This Row],[Time for security2 buffer]]</f>
        <v>0</v>
      </c>
      <c r="AV3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3" s="50" t="e">
        <f>Tableau119[[#This Row],[Leadtime SI2C]]+Tableau119[[#This Row],[First Receipt Days]]-Tableau119[[#This Row],[Day Customer Order]]+1</f>
        <v>#N/A</v>
      </c>
      <c r="AX353" s="119" t="e">
        <f>IF(Tableau119[[#This Row],[Name ILN]]&lt;&gt;"SFK Freight Forwarder",Tableau119[[#This Row],[Cust. Leadtime]],Tableau119[[#This Row],[Leadtime SI2C]])</f>
        <v>#N/A</v>
      </c>
      <c r="AY353" s="51" t="b">
        <f>_xlfn.XLOOKUP(Tableau119[[#This Row],[Key(ID-date)]],'DATA BTO'!S:S,'DATA BTO'!P:P,FALSE)</f>
        <v>0</v>
      </c>
      <c r="AZ353" s="338">
        <v>45747</v>
      </c>
      <c r="BA353" s="50"/>
    </row>
    <row r="354" spans="2:53">
      <c r="B354" s="446" t="str">
        <f>_xlfn.CONCAT(Tableau119[[#This Row],[Name ILN]],"-",Tableau119[[#This Row],[Name Shipper]],"-",Tableau119[[#This Row],[Name Site]])</f>
        <v>ILN Cordoba-ILN Cordoba-OYAK MONT</v>
      </c>
      <c r="C354" s="66" t="str">
        <f>_xlfn.CONCAT(Tableau119[[#This Row],[Compte ILN]],"-",Tableau119[[#This Row],[Compte Shipper]],"-",Tableau119[[#This Row],[POL]],"-",Tableau119[[#This Row],[Compte Consignee]])</f>
        <v>26376-26376-FALSO-90017000</v>
      </c>
      <c r="D354" s="66" t="str">
        <f>_xlfn.CONCAT(Tableau119[[#This Row],[Compte ILN]],"-",Tableau119[[#This Row],[Compte Shipper]],"-",Tableau119[[#This Row],[POL]])</f>
        <v>26376-26376-FALSO</v>
      </c>
      <c r="E354" s="130" t="str">
        <f>_xlfn.CONCAT(Tableau119[[#This Row],[POL]],"-",Tableau119[[#This Row],[Carrier]],"-",Tableau119[[#This Row],[POD]])</f>
        <v>FALSO-FALSO-FALSO</v>
      </c>
      <c r="F354" s="66" t="str">
        <f>_xlfn.CONCAT(Tableau119[[#This Row],[ID]],"-","Actif")</f>
        <v>140-Actif</v>
      </c>
      <c r="G354" s="66" t="str">
        <f>_xlfn.CONCAT(Tableau119[[#This Row],[POD]],"-",Tableau119[[#This Row],[Code PFI]],"-",Tableau119[[#This Row],[Compte Consignee]])</f>
        <v>FALSO---90017000</v>
      </c>
      <c r="H3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CordobaFALSOOYAK MONT</v>
      </c>
      <c r="I354" s="434" t="str">
        <f>_xlfn.CONCAT(Tableau119[[#This Row],[ID]],"-",Tableau119[[#This Row],[Expiration Date]])</f>
        <v>140-46142</v>
      </c>
      <c r="J3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Cordoba-ILN Cordoba-140-FALSO-FALSO-FALSO--46142</v>
      </c>
      <c r="K354" s="119" t="str">
        <f ca="1">IF(COUNTIF(J:J,Tableau119[[#This Row],[Plant-ILN-shipper-POL-Carrier-POD-PFI]])=1,"Non","Oui")</f>
        <v>Non</v>
      </c>
      <c r="L354" s="128" t="str">
        <f>VLOOKUP(Tableau119[[#This Row],[Name Site]],Plant_AILN!A:D,4,FALSE)</f>
        <v>TURKEY</v>
      </c>
      <c r="M354" s="411" t="s">
        <v>173</v>
      </c>
      <c r="N354" s="454">
        <f>VLOOKUP(Tableau119[[#This Row],[Name Site]],Plant_AILN!A:C,3,FALSE)</f>
        <v>90017000</v>
      </c>
      <c r="O354" s="55">
        <f>VLOOKUP(Tableau119[[#This Row],[Compte Consignee]],Order!C:D,2,FALSE)</f>
        <v>7</v>
      </c>
      <c r="P354" s="124" t="s">
        <v>199</v>
      </c>
      <c r="Q354" s="365">
        <f>VLOOKUP(Tableau119[[#This Row],[Name ILN]],Plant_AILN!F:G,2,FALSE)</f>
        <v>26376</v>
      </c>
      <c r="R354" s="50">
        <f>VLOOKUP(Tableau119[[#This Row],[Compte ILN]],'DATA ILN'!D:I,6,FALSE)</f>
        <v>9</v>
      </c>
      <c r="S354" s="50" t="e">
        <f>IFERROR(VLOOKUP(Tableau119[[#This Row],[Key(Compte ILN - shipper - POL - plant)]],'DATA ILN'!A:J,10,FALSE),VLOOKUP(Tableau119[[#This Row],[Key(Compte ILN - shipper - POL)]],'DATA ILN'!B:J,9,FALSE))</f>
        <v>#N/A</v>
      </c>
      <c r="T354" s="50" t="e">
        <f>IFERROR(VLOOKUP(Tableau119[[#This Row],[Key(Compte ILN - shipper - POL - plant)]],'DATA ILN'!A:K,11,FALSE),VLOOKUP(Tableau119[[#This Row],[Key(Compte ILN - shipper - POL)]],'DATA ILN'!B:K,10,FALSE))</f>
        <v>#N/A</v>
      </c>
      <c r="U354" s="50" t="e">
        <f>IFERROR(VLOOKUP(Tableau119[[#This Row],[Key(Compte ILN - shipper - POL - plant)]],'DATA ILN'!A:L,12,FALSE),VLOOKUP(Tableau119[[#This Row],[Key(Compte ILN - shipper - POL)]],'DATA ILN'!B:L,11,FALSE))</f>
        <v>#N/A</v>
      </c>
      <c r="V354" s="50" t="e">
        <f>Tableau119[[#This Row],[Day ILN Order]]+Tableau119[[#This Row],[Delivery time to ILN/Shipper]]-1</f>
        <v>#N/A</v>
      </c>
      <c r="W354" s="50" t="e">
        <f>IFERROR(VLOOKUP(Tableau119[[#This Row],[Key(Compte ILN - shipper - POL - plant)]],'DATA ILN'!A:N,14,FALSE),VLOOKUP(Tableau119[[#This Row],[Key(Compte ILN - shipper - POL)]],'DATA ILN'!B:N,13,FALSE))</f>
        <v>#N/A</v>
      </c>
      <c r="X354" s="50" t="e">
        <f>IFERROR(VLOOKUP(Tableau119[[#This Row],[Key(Compte ILN - shipper - POL - plant)]],'DATA ILN'!A:P,16,FALSE),VLOOKUP(Tableau119[[#This Row],[Key(Compte ILN - shipper - POL)]],'DATA ILN'!B:P,15,FALSE))</f>
        <v>#N/A</v>
      </c>
      <c r="Y354" s="284" t="s">
        <v>199</v>
      </c>
      <c r="Z354" s="430">
        <f>IFERROR(VLOOKUP(Tableau119[[#This Row],[Name Shipper]],Plant_AILN!L:M,2,FALSE),0)</f>
        <v>26376</v>
      </c>
      <c r="AA354" s="406">
        <v>140</v>
      </c>
      <c r="AB354" s="396" t="b">
        <f>_xlfn.XLOOKUP(Tableau119[[#This Row],[Key(ID-date)]],'DATA BTO'!S:S,'DATA BTO'!E:E,FALSE)</f>
        <v>0</v>
      </c>
      <c r="AC354" s="3" t="b">
        <f>_xlfn.XLOOKUP(Tableau119[[#This Row],[Key(ID-date)]],'DATA BTO'!S:S,'DATA BTO'!F:F,FALSE)</f>
        <v>0</v>
      </c>
      <c r="AD354" s="50" t="b">
        <f>_xlfn.XLOOKUP(Tableau119[[#This Row],[Key(ID-date)]],'DATA BTO'!S:S,'DATA BTO'!G:G,FALSE)</f>
        <v>0</v>
      </c>
      <c r="AE354" s="50" t="b">
        <f>_xlfn.XLOOKUP(Tableau119[[#This Row],[Key(ID-date)]],'DATA BTO'!S:S,'DATA BTO'!H:H,FALSE)</f>
        <v>0</v>
      </c>
      <c r="AF354" s="447" t="e">
        <f>IF(Tableau119[[#This Row],[First Day to POL]]&lt;=Tableau119[[#This Row],[Day Cut Off]],Tableau119[[#This Row],[Day ETD]],Tableau119[[#This Row],[Day ETD]]+7)</f>
        <v>#N/A</v>
      </c>
      <c r="AG354" s="50" t="b">
        <f>_xlfn.XLOOKUP(Tableau119[[#This Row],[Key(ID-date)]],'DATA BTO'!S:S,'DATA BTO'!I:I,FALSE)</f>
        <v>0</v>
      </c>
      <c r="AH354" s="3" t="b">
        <f>_xlfn.XLOOKUP(Tableau119[[#This Row],[Key(ID-date)]],'DATA BTO'!S:S,'DATA BTO'!J:J,FALSE)</f>
        <v>0</v>
      </c>
      <c r="AI354" s="3" t="b">
        <f>_xlfn.XLOOKUP(Tableau119[[#This Row],[Key(ID-date)]],'DATA BTO'!S:S,'DATA BTO'!K:K,FALSE)</f>
        <v>0</v>
      </c>
      <c r="AJ354" s="50" t="b">
        <f>_xlfn.XLOOKUP(Tableau119[[#This Row],[Key(ID-date)]],'DATA BTO'!S:S,'DATA BTO'!L:L,FALSE)</f>
        <v>0</v>
      </c>
      <c r="AK354" s="53" t="b">
        <f>_xlfn.XLOOKUP(Tableau119[[#This Row],[Key(ID-date)]],'DATA BTO'!S:S,'DATA BTO'!N:N,FALSE)</f>
        <v>0</v>
      </c>
      <c r="AL354" s="54" t="e">
        <f>VLOOKUP(Tableau119[[#This Row],[Key(POD -PFI- Usine)]],'DATA Consignee'!A:F,6,FALSE)</f>
        <v>#N/A</v>
      </c>
      <c r="AM354" s="284"/>
      <c r="AN354" s="376" t="str">
        <f>IF(Tableau119[[#This Row],[Name PFI/CDD]]="","-",VLOOKUP(Tableau119[[#This Row],[Name PFI/CDD]],Plant_AILN!I:J,2,FALSE))</f>
        <v>-</v>
      </c>
      <c r="AO3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54" s="2" t="e">
        <f>VLOOKUP(Tableau119[[#This Row],[Key(POD -PFI- Usine)]],'DATA Consignee'!A:J,10,FALSE)</f>
        <v>#N/A</v>
      </c>
      <c r="AR354" s="50" t="e">
        <f>VLOOKUP(Tableau119[[#This Row],[Key(POD -PFI- Usine)]],'DATA Consignee'!A:N,14,FALSE)</f>
        <v>#N/A</v>
      </c>
      <c r="AS3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4" s="50">
        <f>Tableau119[[#This Row],[Transit time]]+Tableau119[[#This Row],[Time for security]]+Tableau119[[#This Row],[Time for security2 buffer]]</f>
        <v>0</v>
      </c>
      <c r="AV3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4" s="50" t="e">
        <f>Tableau119[[#This Row],[Leadtime SI2C]]+Tableau119[[#This Row],[First Receipt Days]]-Tableau119[[#This Row],[Day Customer Order]]+1</f>
        <v>#N/A</v>
      </c>
      <c r="AX354" s="119" t="e">
        <f>IF(Tableau119[[#This Row],[Name ILN]]&lt;&gt;"SFK Freight Forwarder",Tableau119[[#This Row],[Cust. Leadtime]],Tableau119[[#This Row],[Leadtime SI2C]])</f>
        <v>#N/A</v>
      </c>
      <c r="AY354" s="51" t="b">
        <f>_xlfn.XLOOKUP(Tableau119[[#This Row],[Key(ID-date)]],'DATA BTO'!S:S,'DATA BTO'!P:P,FALSE)</f>
        <v>0</v>
      </c>
      <c r="AZ354" s="338">
        <v>46142</v>
      </c>
      <c r="BA354" s="50"/>
    </row>
    <row r="355" spans="2:53">
      <c r="B355" s="66" t="str">
        <f>_xlfn.CONCAT(Tableau119[[#This Row],[Name ILN]],"-",Tableau119[[#This Row],[Name Shipper]],"-",Tableau119[[#This Row],[Name Site]])</f>
        <v>KWE Shanghai-KWE Shanghai-ACI Le mans</v>
      </c>
      <c r="C355" s="66" t="str">
        <f>_xlfn.CONCAT(Tableau119[[#This Row],[Compte ILN]],"-",Tableau119[[#This Row],[Compte Shipper]],"-",Tableau119[[#This Row],[POL]],"-",Tableau119[[#This Row],[Compte Consignee]])</f>
        <v>26037000-26037000-FALSO-9624700</v>
      </c>
      <c r="D355" s="66" t="str">
        <f>_xlfn.CONCAT(Tableau119[[#This Row],[Compte ILN]],"-",Tableau119[[#This Row],[Compte Shipper]],"-",Tableau119[[#This Row],[POL]])</f>
        <v>26037000-26037000-FALSO</v>
      </c>
      <c r="E355" s="130" t="str">
        <f>_xlfn.CONCAT(Tableau119[[#This Row],[POL]],"-",Tableau119[[#This Row],[Carrier]],"-",Tableau119[[#This Row],[POD]])</f>
        <v>FALSO-FALSO-FALSO</v>
      </c>
      <c r="F355" s="66" t="str">
        <f>_xlfn.CONCAT(Tableau119[[#This Row],[ID]],"-","Actif")</f>
        <v>154-Actif</v>
      </c>
      <c r="G355" s="66" t="str">
        <f>_xlfn.CONCAT(Tableau119[[#This Row],[POD]],"-",Tableau119[[#This Row],[Code PFI]],"-",Tableau119[[#This Row],[Compte Consignee]])</f>
        <v>FALSO-91018400-9624700</v>
      </c>
      <c r="H3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ShanghaiFALSOACI Le mans</v>
      </c>
      <c r="I355" s="434" t="str">
        <f>_xlfn.CONCAT(Tableau119[[#This Row],[ID]],"-",Tableau119[[#This Row],[Expiration Date]])</f>
        <v>154-46053</v>
      </c>
      <c r="J3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mans-KWE Shanghai-KWE Shanghai-154-FALSO-FALSO-FALSO-PFI VLL-46053</v>
      </c>
      <c r="K355" s="119" t="str">
        <f ca="1">IF(COUNTIF(J:J,Tableau119[[#This Row],[Plant-ILN-shipper-POL-Carrier-POD-PFI]])=1,"Non","Oui")</f>
        <v>Non</v>
      </c>
      <c r="L355" s="440" t="str">
        <f>VLOOKUP(Tableau119[[#This Row],[Name Site]],Plant_AILN!A:D,4,FALSE)</f>
        <v>FRANCE</v>
      </c>
      <c r="M355" s="10" t="s">
        <v>218</v>
      </c>
      <c r="N355" s="454">
        <f>VLOOKUP(Tableau119[[#This Row],[Name Site]],Plant_AILN!A:C,3,FALSE)</f>
        <v>9624700</v>
      </c>
      <c r="O355" s="55">
        <f>IF(Tableau119[[#This Row],[Name PFI/CDD]]="PFI VLL",2,VLOOKUP(Tableau119[[#This Row],[Compte Consignee]],Order!C:D,2,FALSE))</f>
        <v>2</v>
      </c>
      <c r="P355" s="124" t="s">
        <v>62</v>
      </c>
      <c r="Q355" s="365">
        <f>VLOOKUP(Tableau119[[#This Row],[Name ILN]],Plant_AILN!F:G,2,FALSE)</f>
        <v>26037000</v>
      </c>
      <c r="R355" s="50">
        <f>VLOOKUP(Tableau119[[#This Row],[Compte ILN]],'DATA ILN'!D:I,6,FALSE)</f>
        <v>9</v>
      </c>
      <c r="S355" s="50" t="e">
        <f>IFERROR(VLOOKUP(Tableau119[[#This Row],[Key(Compte ILN - shipper - POL - plant)]],'DATA ILN'!A:J,10,FALSE),VLOOKUP(Tableau119[[#This Row],[Key(Compte ILN - shipper - POL)]],'DATA ILN'!B:J,9,FALSE))</f>
        <v>#N/A</v>
      </c>
      <c r="T355" s="50" t="e">
        <f>IFERROR(VLOOKUP(Tableau119[[#This Row],[Key(Compte ILN - shipper - POL - plant)]],'DATA ILN'!A:K,11,FALSE),VLOOKUP(Tableau119[[#This Row],[Key(Compte ILN - shipper - POL)]],'DATA ILN'!B:K,10,FALSE))</f>
        <v>#N/A</v>
      </c>
      <c r="U355" s="50" t="e">
        <f>IFERROR(VLOOKUP(Tableau119[[#This Row],[Key(Compte ILN - shipper - POL - plant)]],'DATA ILN'!A:L,12,FALSE),VLOOKUP(Tableau119[[#This Row],[Key(Compte ILN - shipper - POL)]],'DATA ILN'!B:L,11,FALSE))</f>
        <v>#N/A</v>
      </c>
      <c r="V355" s="50" t="e">
        <f>Tableau119[[#This Row],[Day ILN Order]]+Tableau119[[#This Row],[Delivery time to ILN/Shipper]]-1</f>
        <v>#N/A</v>
      </c>
      <c r="W355" s="50" t="e">
        <f>IFERROR(VLOOKUP(Tableau119[[#This Row],[Key(Compte ILN - shipper - POL - plant)]],'DATA ILN'!A:N,14,FALSE),VLOOKUP(Tableau119[[#This Row],[Key(Compte ILN - shipper - POL)]],'DATA ILN'!B:N,13,FALSE))</f>
        <v>#N/A</v>
      </c>
      <c r="X355" s="50" t="e">
        <f>IFERROR(VLOOKUP(Tableau119[[#This Row],[Key(Compte ILN - shipper - POL - plant)]],'DATA ILN'!A:P,16,FALSE),VLOOKUP(Tableau119[[#This Row],[Key(Compte ILN - shipper - POL)]],'DATA ILN'!B:P,15,FALSE))</f>
        <v>#N/A</v>
      </c>
      <c r="Y355" s="284" t="s">
        <v>62</v>
      </c>
      <c r="Z355" s="430">
        <f>IFERROR(VLOOKUP(Tableau119[[#This Row],[Name Shipper]],Plant_AILN!L:M,2,FALSE),0)</f>
        <v>26037000</v>
      </c>
      <c r="AA355" s="406">
        <v>154</v>
      </c>
      <c r="AB355" s="396" t="b">
        <f>_xlfn.XLOOKUP(Tableau119[[#This Row],[Key(ID-date)]],'DATA BTO'!S:S,'DATA BTO'!E:E,FALSE)</f>
        <v>0</v>
      </c>
      <c r="AC355" s="3" t="b">
        <f>_xlfn.XLOOKUP(Tableau119[[#This Row],[Key(ID-date)]],'DATA BTO'!S:S,'DATA BTO'!F:F,FALSE)</f>
        <v>0</v>
      </c>
      <c r="AD355" s="50" t="b">
        <f>_xlfn.XLOOKUP(Tableau119[[#This Row],[Key(ID-date)]],'DATA BTO'!S:S,'DATA BTO'!G:G,FALSE)</f>
        <v>0</v>
      </c>
      <c r="AE355" s="50" t="b">
        <f>_xlfn.XLOOKUP(Tableau119[[#This Row],[Key(ID-date)]],'DATA BTO'!S:S,'DATA BTO'!H:H,FALSE)</f>
        <v>0</v>
      </c>
      <c r="AF355" s="447" t="e">
        <f>IF(Tableau119[[#This Row],[First Day to POL]]&lt;=Tableau119[[#This Row],[Day Cut Off]],Tableau119[[#This Row],[Day ETD]],Tableau119[[#This Row],[Day ETD]]+7)</f>
        <v>#N/A</v>
      </c>
      <c r="AG355" s="50" t="b">
        <f>_xlfn.XLOOKUP(Tableau119[[#This Row],[Key(ID-date)]],'DATA BTO'!S:S,'DATA BTO'!I:I,FALSE)</f>
        <v>0</v>
      </c>
      <c r="AH355" s="3" t="b">
        <f>_xlfn.XLOOKUP(Tableau119[[#This Row],[Key(ID-date)]],'DATA BTO'!S:S,'DATA BTO'!J:J,FALSE)</f>
        <v>0</v>
      </c>
      <c r="AI355" s="3" t="b">
        <f>_xlfn.XLOOKUP(Tableau119[[#This Row],[Key(ID-date)]],'DATA BTO'!S:S,'DATA BTO'!K:K,FALSE)</f>
        <v>0</v>
      </c>
      <c r="AJ355" s="50" t="b">
        <f>_xlfn.XLOOKUP(Tableau119[[#This Row],[Key(ID-date)]],'DATA BTO'!S:S,'DATA BTO'!L:L,FALSE)</f>
        <v>0</v>
      </c>
      <c r="AK355" s="53" t="b">
        <f>_xlfn.XLOOKUP(Tableau119[[#This Row],[Key(ID-date)]],'DATA BTO'!S:S,'DATA BTO'!N:N,FALSE)</f>
        <v>0</v>
      </c>
      <c r="AL355" s="54" t="e">
        <f>VLOOKUP(Tableau119[[#This Row],[Key(POD -PFI- Usine)]],'DATA Consignee'!A:F,6,FALSE)</f>
        <v>#N/A</v>
      </c>
      <c r="AM355" s="284" t="s">
        <v>171</v>
      </c>
      <c r="AN355" s="376">
        <f>IF(Tableau119[[#This Row],[Name PFI/CDD]]="","-",VLOOKUP(Tableau119[[#This Row],[Name PFI/CDD]],Plant_AILN!I:J,2,FALSE))</f>
        <v>91018400</v>
      </c>
      <c r="AO35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5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55" s="2" t="e">
        <f>VLOOKUP(Tableau119[[#This Row],[Key(POD -PFI- Usine)]],'DATA Consignee'!A:J,10,FALSE)</f>
        <v>#N/A</v>
      </c>
      <c r="AR355" s="50" t="e">
        <f>VLOOKUP(Tableau119[[#This Row],[Key(POD -PFI- Usine)]],'DATA Consignee'!A:N,14,FALSE)</f>
        <v>#N/A</v>
      </c>
      <c r="AS3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5" s="50">
        <f>Tableau119[[#This Row],[Transit time]]+Tableau119[[#This Row],[Time for security]]+Tableau119[[#This Row],[Time for security2 buffer]]</f>
        <v>0</v>
      </c>
      <c r="AV3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5" s="50" t="e">
        <f>Tableau119[[#This Row],[Leadtime SI2C]]+Tableau119[[#This Row],[First Receipt Days]]-Tableau119[[#This Row],[Day Customer Order]]+1</f>
        <v>#N/A</v>
      </c>
      <c r="AX355" s="119" t="e">
        <f>IF(Tableau119[[#This Row],[Name ILN]]&lt;&gt;"SFK Freight Forwarder",Tableau119[[#This Row],[Cust. Leadtime]],Tableau119[[#This Row],[Leadtime SI2C]])</f>
        <v>#N/A</v>
      </c>
      <c r="AY355" s="51" t="b">
        <f>_xlfn.XLOOKUP(Tableau119[[#This Row],[Key(ID-date)]],'DATA BTO'!S:S,'DATA BTO'!P:P,FALSE)</f>
        <v>0</v>
      </c>
      <c r="AZ355" s="338">
        <v>46053</v>
      </c>
      <c r="BA355" s="50"/>
    </row>
    <row r="356" spans="2:53">
      <c r="B356" s="66" t="str">
        <f>_xlfn.CONCAT(Tableau119[[#This Row],[Name ILN]],"-",Tableau119[[#This Row],[Name Shipper]],"-",Tableau119[[#This Row],[Name Site]])</f>
        <v>KWE Shanghai-KWE Shanghai-ALPINE</v>
      </c>
      <c r="C356" s="66" t="str">
        <f>_xlfn.CONCAT(Tableau119[[#This Row],[Compte ILN]],"-",Tableau119[[#This Row],[Compte Shipper]],"-",Tableau119[[#This Row],[POL]],"-",Tableau119[[#This Row],[Compte Consignee]])</f>
        <v>26037000-26037000-FALSO-90018300</v>
      </c>
      <c r="D356" s="66" t="str">
        <f>_xlfn.CONCAT(Tableau119[[#This Row],[Compte ILN]],"-",Tableau119[[#This Row],[Compte Shipper]],"-",Tableau119[[#This Row],[POL]])</f>
        <v>26037000-26037000-FALSO</v>
      </c>
      <c r="E356" s="130" t="str">
        <f>_xlfn.CONCAT(Tableau119[[#This Row],[POL]],"-",Tableau119[[#This Row],[Carrier]],"-",Tableau119[[#This Row],[POD]])</f>
        <v>FALSO-FALSO-FALSO</v>
      </c>
      <c r="F356" s="66" t="str">
        <f>_xlfn.CONCAT(Tableau119[[#This Row],[ID]],"-","Actif")</f>
        <v>154-Actif</v>
      </c>
      <c r="G356" s="66" t="str">
        <f>_xlfn.CONCAT(Tableau119[[#This Row],[POD]],"-",Tableau119[[#This Row],[Code PFI]],"-",Tableau119[[#This Row],[Compte Consignee]])</f>
        <v>FALSO-91018400-90018300</v>
      </c>
      <c r="H3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ShanghaiFALSOALPINE</v>
      </c>
      <c r="I356" s="434" t="str">
        <f>_xlfn.CONCAT(Tableau119[[#This Row],[ID]],"-",Tableau119[[#This Row],[Expiration Date]])</f>
        <v>154-46053</v>
      </c>
      <c r="J3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ALPINE-KWE Shanghai-KWE Shanghai-154-FALSO-FALSO-FALSO-PFI VLL-46053</v>
      </c>
      <c r="K356" s="119" t="str">
        <f ca="1">IF(COUNTIF(J:J,Tableau119[[#This Row],[Plant-ILN-shipper-POL-Carrier-POD-PFI]])=1,"Non","Oui")</f>
        <v>Non</v>
      </c>
      <c r="L356" s="440" t="str">
        <f>VLOOKUP(Tableau119[[#This Row],[Name Site]],Plant_AILN!A:D,4,FALSE)</f>
        <v>FRANCE</v>
      </c>
      <c r="M356" s="10" t="s">
        <v>220</v>
      </c>
      <c r="N356" s="454">
        <f>VLOOKUP(Tableau119[[#This Row],[Name Site]],Plant_AILN!A:C,3,FALSE)</f>
        <v>90018300</v>
      </c>
      <c r="O356" s="55">
        <f>IF(Tableau119[[#This Row],[Name PFI/CDD]]="PFI VLL",2,VLOOKUP(Tableau119[[#This Row],[Compte Consignee]],Order!C:D,2,FALSE))</f>
        <v>2</v>
      </c>
      <c r="P356" s="124" t="s">
        <v>62</v>
      </c>
      <c r="Q356" s="365">
        <f>VLOOKUP(Tableau119[[#This Row],[Name ILN]],Plant_AILN!F:G,2,FALSE)</f>
        <v>26037000</v>
      </c>
      <c r="R356" s="50">
        <f>VLOOKUP(Tableau119[[#This Row],[Compte ILN]],'DATA ILN'!D:I,6,FALSE)</f>
        <v>9</v>
      </c>
      <c r="S356" s="50" t="e">
        <f>IFERROR(VLOOKUP(Tableau119[[#This Row],[Key(Compte ILN - shipper - POL - plant)]],'DATA ILN'!A:J,10,FALSE),VLOOKUP(Tableau119[[#This Row],[Key(Compte ILN - shipper - POL)]],'DATA ILN'!B:J,9,FALSE))</f>
        <v>#N/A</v>
      </c>
      <c r="T356" s="50" t="e">
        <f>IFERROR(VLOOKUP(Tableau119[[#This Row],[Key(Compte ILN - shipper - POL - plant)]],'DATA ILN'!A:K,11,FALSE),VLOOKUP(Tableau119[[#This Row],[Key(Compte ILN - shipper - POL)]],'DATA ILN'!B:K,10,FALSE))</f>
        <v>#N/A</v>
      </c>
      <c r="U356" s="50" t="e">
        <f>IFERROR(VLOOKUP(Tableau119[[#This Row],[Key(Compte ILN - shipper - POL - plant)]],'DATA ILN'!A:L,12,FALSE),VLOOKUP(Tableau119[[#This Row],[Key(Compte ILN - shipper - POL)]],'DATA ILN'!B:L,11,FALSE))</f>
        <v>#N/A</v>
      </c>
      <c r="V356" s="50" t="e">
        <f>Tableau119[[#This Row],[Day ILN Order]]+Tableau119[[#This Row],[Delivery time to ILN/Shipper]]-1</f>
        <v>#N/A</v>
      </c>
      <c r="W356" s="50" t="e">
        <f>IFERROR(VLOOKUP(Tableau119[[#This Row],[Key(Compte ILN - shipper - POL - plant)]],'DATA ILN'!A:N,14,FALSE),VLOOKUP(Tableau119[[#This Row],[Key(Compte ILN - shipper - POL)]],'DATA ILN'!B:N,13,FALSE))</f>
        <v>#N/A</v>
      </c>
      <c r="X356" s="50" t="e">
        <f>IFERROR(VLOOKUP(Tableau119[[#This Row],[Key(Compte ILN - shipper - POL - plant)]],'DATA ILN'!A:P,16,FALSE),VLOOKUP(Tableau119[[#This Row],[Key(Compte ILN - shipper - POL)]],'DATA ILN'!B:P,15,FALSE))</f>
        <v>#N/A</v>
      </c>
      <c r="Y356" s="284" t="s">
        <v>62</v>
      </c>
      <c r="Z356" s="430">
        <f>IFERROR(VLOOKUP(Tableau119[[#This Row],[Name Shipper]],Plant_AILN!L:M,2,FALSE),0)</f>
        <v>26037000</v>
      </c>
      <c r="AA356" s="406">
        <v>154</v>
      </c>
      <c r="AB356" s="396" t="b">
        <f>_xlfn.XLOOKUP(Tableau119[[#This Row],[Key(ID-date)]],'DATA BTO'!S:S,'DATA BTO'!E:E,FALSE)</f>
        <v>0</v>
      </c>
      <c r="AC356" s="3" t="b">
        <f>_xlfn.XLOOKUP(Tableau119[[#This Row],[Key(ID-date)]],'DATA BTO'!S:S,'DATA BTO'!F:F,FALSE)</f>
        <v>0</v>
      </c>
      <c r="AD356" s="50" t="b">
        <f>_xlfn.XLOOKUP(Tableau119[[#This Row],[Key(ID-date)]],'DATA BTO'!S:S,'DATA BTO'!G:G,FALSE)</f>
        <v>0</v>
      </c>
      <c r="AE356" s="50" t="b">
        <f>_xlfn.XLOOKUP(Tableau119[[#This Row],[Key(ID-date)]],'DATA BTO'!S:S,'DATA BTO'!H:H,FALSE)</f>
        <v>0</v>
      </c>
      <c r="AF356" s="447" t="e">
        <f>IF(Tableau119[[#This Row],[First Day to POL]]&lt;=Tableau119[[#This Row],[Day Cut Off]],Tableau119[[#This Row],[Day ETD]],Tableau119[[#This Row],[Day ETD]]+7)</f>
        <v>#N/A</v>
      </c>
      <c r="AG356" s="50" t="b">
        <f>_xlfn.XLOOKUP(Tableau119[[#This Row],[Key(ID-date)]],'DATA BTO'!S:S,'DATA BTO'!I:I,FALSE)</f>
        <v>0</v>
      </c>
      <c r="AH356" s="3" t="b">
        <f>_xlfn.XLOOKUP(Tableau119[[#This Row],[Key(ID-date)]],'DATA BTO'!S:S,'DATA BTO'!J:J,FALSE)</f>
        <v>0</v>
      </c>
      <c r="AI356" s="3" t="b">
        <f>_xlfn.XLOOKUP(Tableau119[[#This Row],[Key(ID-date)]],'DATA BTO'!S:S,'DATA BTO'!K:K,FALSE)</f>
        <v>0</v>
      </c>
      <c r="AJ356" s="50" t="b">
        <f>_xlfn.XLOOKUP(Tableau119[[#This Row],[Key(ID-date)]],'DATA BTO'!S:S,'DATA BTO'!L:L,FALSE)</f>
        <v>0</v>
      </c>
      <c r="AK356" s="53" t="b">
        <f>_xlfn.XLOOKUP(Tableau119[[#This Row],[Key(ID-date)]],'DATA BTO'!S:S,'DATA BTO'!N:N,FALSE)</f>
        <v>0</v>
      </c>
      <c r="AL356" s="54" t="e">
        <f>VLOOKUP(Tableau119[[#This Row],[Key(POD -PFI- Usine)]],'DATA Consignee'!A:F,6,FALSE)</f>
        <v>#N/A</v>
      </c>
      <c r="AM356" s="127" t="s">
        <v>171</v>
      </c>
      <c r="AN356" s="376">
        <f>IF(Tableau119[[#This Row],[Name PFI/CDD]]="","-",VLOOKUP(Tableau119[[#This Row],[Name PFI/CDD]],Plant_AILN!I:J,2,FALSE))</f>
        <v>91018400</v>
      </c>
      <c r="AO356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56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56" s="2" t="e">
        <f>VLOOKUP(Tableau119[[#This Row],[Key(POD -PFI- Usine)]],'DATA Consignee'!A:J,10,FALSE)</f>
        <v>#N/A</v>
      </c>
      <c r="AR356" s="50" t="e">
        <f>VLOOKUP(Tableau119[[#This Row],[Key(POD -PFI- Usine)]],'DATA Consignee'!A:N,14,FALSE)</f>
        <v>#N/A</v>
      </c>
      <c r="AS3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6" s="50">
        <f>Tableau119[[#This Row],[Transit time]]+Tableau119[[#This Row],[Time for security]]+Tableau119[[#This Row],[Time for security2 buffer]]</f>
        <v>0</v>
      </c>
      <c r="AV3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6" s="50" t="e">
        <f>Tableau119[[#This Row],[Leadtime SI2C]]+Tableau119[[#This Row],[First Receipt Days]]-Tableau119[[#This Row],[Day Customer Order]]+1</f>
        <v>#N/A</v>
      </c>
      <c r="AX356" s="119" t="e">
        <f>IF(Tableau119[[#This Row],[Name ILN]]&lt;&gt;"SFK Freight Forwarder",Tableau119[[#This Row],[Cust. Leadtime]],Tableau119[[#This Row],[Leadtime SI2C]])</f>
        <v>#N/A</v>
      </c>
      <c r="AY356" s="51" t="b">
        <f>_xlfn.XLOOKUP(Tableau119[[#This Row],[Key(ID-date)]],'DATA BTO'!S:S,'DATA BTO'!P:P,FALSE)</f>
        <v>0</v>
      </c>
      <c r="AZ356" s="338">
        <v>46053</v>
      </c>
      <c r="BA356" s="50"/>
    </row>
    <row r="357" spans="2:53">
      <c r="B357" s="66" t="str">
        <f>_xlfn.CONCAT(Tableau119[[#This Row],[Name ILN]],"-",Tableau119[[#This Row],[Name Shipper]],"-",Tableau119[[#This Row],[Name Site]])</f>
        <v>KWE Shanghai-KWE Shanghai-CARROCERIAS</v>
      </c>
      <c r="C357" s="66" t="str">
        <f>_xlfn.CONCAT(Tableau119[[#This Row],[Compte ILN]],"-",Tableau119[[#This Row],[Compte Shipper]],"-",Tableau119[[#This Row],[POL]],"-",Tableau119[[#This Row],[Compte Consignee]])</f>
        <v>26037000-26037000-FALSO-91017600</v>
      </c>
      <c r="D357" s="66" t="str">
        <f>_xlfn.CONCAT(Tableau119[[#This Row],[Compte ILN]],"-",Tableau119[[#This Row],[Compte Shipper]],"-",Tableau119[[#This Row],[POL]])</f>
        <v>26037000-26037000-FALSO</v>
      </c>
      <c r="E357" s="130" t="str">
        <f>_xlfn.CONCAT(Tableau119[[#This Row],[POL]],"-",Tableau119[[#This Row],[Carrier]],"-",Tableau119[[#This Row],[POD]])</f>
        <v>FALSO-FALSO-FALSO</v>
      </c>
      <c r="F357" s="66" t="str">
        <f>_xlfn.CONCAT(Tableau119[[#This Row],[ID]],"-","Actif")</f>
        <v>154-Actif</v>
      </c>
      <c r="G357" s="66" t="str">
        <f>_xlfn.CONCAT(Tableau119[[#This Row],[POD]],"-",Tableau119[[#This Row],[Code PFI]],"-",Tableau119[[#This Row],[Compte Consignee]])</f>
        <v>FALSO-91018400-91017600</v>
      </c>
      <c r="H3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ShanghaiFALSOCARROCERIAS</v>
      </c>
      <c r="I357" s="434" t="str">
        <f>_xlfn.CONCAT(Tableau119[[#This Row],[ID]],"-",Tableau119[[#This Row],[Expiration Date]])</f>
        <v>154-46053</v>
      </c>
      <c r="J3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CARROCERIAS-KWE Shanghai-KWE Shanghai-154-FALSO-FALSO-FALSO-PFI VLL-46053</v>
      </c>
      <c r="K357" s="119" t="str">
        <f ca="1">IF(COUNTIF(J:J,Tableau119[[#This Row],[Plant-ILN-shipper-POL-Carrier-POD-PFI]])=1,"Non","Oui")</f>
        <v>Non</v>
      </c>
      <c r="L357" s="440" t="str">
        <f>VLOOKUP(Tableau119[[#This Row],[Name Site]],Plant_AILN!A:D,4,FALSE)</f>
        <v>SPAIN</v>
      </c>
      <c r="M357" s="10" t="s">
        <v>211</v>
      </c>
      <c r="N357" s="454">
        <f>VLOOKUP(Tableau119[[#This Row],[Name Site]],Plant_AILN!A:C,3,FALSE)</f>
        <v>91017600</v>
      </c>
      <c r="O357" s="55">
        <f>IF(Tableau119[[#This Row],[Name PFI/CDD]]="PFI VLL",2,VLOOKUP(Tableau119[[#This Row],[Compte Consignee]],Order!C:D,2,FALSE))</f>
        <v>2</v>
      </c>
      <c r="P357" s="124" t="s">
        <v>62</v>
      </c>
      <c r="Q357" s="365">
        <f>VLOOKUP(Tableau119[[#This Row],[Name ILN]],Plant_AILN!F:G,2,FALSE)</f>
        <v>26037000</v>
      </c>
      <c r="R357" s="50">
        <f>VLOOKUP(Tableau119[[#This Row],[Compte ILN]],'DATA ILN'!D:I,6,FALSE)</f>
        <v>9</v>
      </c>
      <c r="S357" s="50" t="e">
        <f>IFERROR(VLOOKUP(Tableau119[[#This Row],[Key(Compte ILN - shipper - POL - plant)]],'DATA ILN'!A:J,10,FALSE),VLOOKUP(Tableau119[[#This Row],[Key(Compte ILN - shipper - POL)]],'DATA ILN'!B:J,9,FALSE))</f>
        <v>#N/A</v>
      </c>
      <c r="T357" s="50" t="e">
        <f>IFERROR(VLOOKUP(Tableau119[[#This Row],[Key(Compte ILN - shipper - POL - plant)]],'DATA ILN'!A:K,11,FALSE),VLOOKUP(Tableau119[[#This Row],[Key(Compte ILN - shipper - POL)]],'DATA ILN'!B:K,10,FALSE))</f>
        <v>#N/A</v>
      </c>
      <c r="U357" s="50" t="e">
        <f>IFERROR(VLOOKUP(Tableau119[[#This Row],[Key(Compte ILN - shipper - POL - plant)]],'DATA ILN'!A:L,12,FALSE),VLOOKUP(Tableau119[[#This Row],[Key(Compte ILN - shipper - POL)]],'DATA ILN'!B:L,11,FALSE))</f>
        <v>#N/A</v>
      </c>
      <c r="V357" s="50" t="e">
        <f>Tableau119[[#This Row],[Day ILN Order]]+Tableau119[[#This Row],[Delivery time to ILN/Shipper]]-1</f>
        <v>#N/A</v>
      </c>
      <c r="W357" s="50" t="e">
        <f>IFERROR(VLOOKUP(Tableau119[[#This Row],[Key(Compte ILN - shipper - POL - plant)]],'DATA ILN'!A:N,14,FALSE),VLOOKUP(Tableau119[[#This Row],[Key(Compte ILN - shipper - POL)]],'DATA ILN'!B:N,13,FALSE))</f>
        <v>#N/A</v>
      </c>
      <c r="X357" s="50" t="e">
        <f>IFERROR(VLOOKUP(Tableau119[[#This Row],[Key(Compte ILN - shipper - POL - plant)]],'DATA ILN'!A:P,16,FALSE),VLOOKUP(Tableau119[[#This Row],[Key(Compte ILN - shipper - POL)]],'DATA ILN'!B:P,15,FALSE))</f>
        <v>#N/A</v>
      </c>
      <c r="Y357" s="284" t="s">
        <v>62</v>
      </c>
      <c r="Z357" s="430">
        <f>IFERROR(VLOOKUP(Tableau119[[#This Row],[Name Shipper]],Plant_AILN!L:M,2,FALSE),0)</f>
        <v>26037000</v>
      </c>
      <c r="AA357" s="406">
        <v>154</v>
      </c>
      <c r="AB357" s="396" t="b">
        <f>_xlfn.XLOOKUP(Tableau119[[#This Row],[Key(ID-date)]],'DATA BTO'!S:S,'DATA BTO'!E:E,FALSE)</f>
        <v>0</v>
      </c>
      <c r="AC357" s="3" t="b">
        <f>_xlfn.XLOOKUP(Tableau119[[#This Row],[Key(ID-date)]],'DATA BTO'!S:S,'DATA BTO'!F:F,FALSE)</f>
        <v>0</v>
      </c>
      <c r="AD357" s="50" t="b">
        <f>_xlfn.XLOOKUP(Tableau119[[#This Row],[Key(ID-date)]],'DATA BTO'!S:S,'DATA BTO'!G:G,FALSE)</f>
        <v>0</v>
      </c>
      <c r="AE357" s="50" t="b">
        <f>_xlfn.XLOOKUP(Tableau119[[#This Row],[Key(ID-date)]],'DATA BTO'!S:S,'DATA BTO'!H:H,FALSE)</f>
        <v>0</v>
      </c>
      <c r="AF357" s="447" t="e">
        <f>IF(Tableau119[[#This Row],[First Day to POL]]&lt;=Tableau119[[#This Row],[Day Cut Off]],Tableau119[[#This Row],[Day ETD]],Tableau119[[#This Row],[Day ETD]]+7)</f>
        <v>#N/A</v>
      </c>
      <c r="AG357" s="50" t="b">
        <f>_xlfn.XLOOKUP(Tableau119[[#This Row],[Key(ID-date)]],'DATA BTO'!S:S,'DATA BTO'!I:I,FALSE)</f>
        <v>0</v>
      </c>
      <c r="AH357" s="3" t="b">
        <f>_xlfn.XLOOKUP(Tableau119[[#This Row],[Key(ID-date)]],'DATA BTO'!S:S,'DATA BTO'!J:J,FALSE)</f>
        <v>0</v>
      </c>
      <c r="AI357" s="3" t="b">
        <f>_xlfn.XLOOKUP(Tableau119[[#This Row],[Key(ID-date)]],'DATA BTO'!S:S,'DATA BTO'!K:K,FALSE)</f>
        <v>0</v>
      </c>
      <c r="AJ357" s="50" t="b">
        <f>_xlfn.XLOOKUP(Tableau119[[#This Row],[Key(ID-date)]],'DATA BTO'!S:S,'DATA BTO'!L:L,FALSE)</f>
        <v>0</v>
      </c>
      <c r="AK357" s="53" t="b">
        <f>_xlfn.XLOOKUP(Tableau119[[#This Row],[Key(ID-date)]],'DATA BTO'!S:S,'DATA BTO'!N:N,FALSE)</f>
        <v>0</v>
      </c>
      <c r="AL357" s="54" t="e">
        <f>VLOOKUP(Tableau119[[#This Row],[Key(POD -PFI- Usine)]],'DATA Consignee'!A:F,6,FALSE)</f>
        <v>#N/A</v>
      </c>
      <c r="AM357" s="127" t="s">
        <v>171</v>
      </c>
      <c r="AN357" s="376">
        <f>IF(Tableau119[[#This Row],[Name PFI/CDD]]="","-",VLOOKUP(Tableau119[[#This Row],[Name PFI/CDD]],Plant_AILN!I:J,2,FALSE))</f>
        <v>91018400</v>
      </c>
      <c r="AO35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5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57" s="2" t="e">
        <f>VLOOKUP(Tableau119[[#This Row],[Key(POD -PFI- Usine)]],'DATA Consignee'!A:J,10,FALSE)</f>
        <v>#N/A</v>
      </c>
      <c r="AR357" s="50" t="e">
        <f>VLOOKUP(Tableau119[[#This Row],[Key(POD -PFI- Usine)]],'DATA Consignee'!A:N,14,FALSE)</f>
        <v>#N/A</v>
      </c>
      <c r="AS3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7" s="50">
        <f>Tableau119[[#This Row],[Transit time]]+Tableau119[[#This Row],[Time for security]]+Tableau119[[#This Row],[Time for security2 buffer]]</f>
        <v>0</v>
      </c>
      <c r="AV3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7" s="50" t="e">
        <f>Tableau119[[#This Row],[Leadtime SI2C]]+Tableau119[[#This Row],[First Receipt Days]]-Tableau119[[#This Row],[Day Customer Order]]+1</f>
        <v>#N/A</v>
      </c>
      <c r="AX357" s="119" t="e">
        <f>IF(Tableau119[[#This Row],[Name ILN]]&lt;&gt;"SFK Freight Forwarder",Tableau119[[#This Row],[Cust. Leadtime]],Tableau119[[#This Row],[Leadtime SI2C]])</f>
        <v>#N/A</v>
      </c>
      <c r="AY357" s="51" t="b">
        <f>_xlfn.XLOOKUP(Tableau119[[#This Row],[Key(ID-date)]],'DATA BTO'!S:S,'DATA BTO'!P:P,FALSE)</f>
        <v>0</v>
      </c>
      <c r="AZ357" s="338">
        <v>46053</v>
      </c>
      <c r="BA357" s="50"/>
    </row>
    <row r="358" spans="2:53">
      <c r="B358" s="66" t="str">
        <f>_xlfn.CONCAT(Tableau119[[#This Row],[Name ILN]],"-",Tableau119[[#This Row],[Name Shipper]],"-",Tableau119[[#This Row],[Name Site]])</f>
        <v>KWE Shanghai-KWE Shanghai-CLEON</v>
      </c>
      <c r="C358" s="66" t="str">
        <f>_xlfn.CONCAT(Tableau119[[#This Row],[Compte ILN]],"-",Tableau119[[#This Row],[Compte Shipper]],"-",Tableau119[[#This Row],[POL]],"-",Tableau119[[#This Row],[Compte Consignee]])</f>
        <v>26037000-26037000-FALSO-92000100</v>
      </c>
      <c r="D358" s="66" t="str">
        <f>_xlfn.CONCAT(Tableau119[[#This Row],[Compte ILN]],"-",Tableau119[[#This Row],[Compte Shipper]],"-",Tableau119[[#This Row],[POL]])</f>
        <v>26037000-26037000-FALSO</v>
      </c>
      <c r="E358" s="130" t="str">
        <f>_xlfn.CONCAT(Tableau119[[#This Row],[POL]],"-",Tableau119[[#This Row],[Carrier]],"-",Tableau119[[#This Row],[POD]])</f>
        <v>FALSO-FALSO-FALSO</v>
      </c>
      <c r="F358" s="66" t="str">
        <f>_xlfn.CONCAT(Tableau119[[#This Row],[ID]],"-","Actif")</f>
        <v>154-Actif</v>
      </c>
      <c r="G358" s="66" t="str">
        <f>_xlfn.CONCAT(Tableau119[[#This Row],[POD]],"-",Tableau119[[#This Row],[Code PFI]],"-",Tableau119[[#This Row],[Compte Consignee]])</f>
        <v>FALSO-91018400-92000100</v>
      </c>
      <c r="H3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ShanghaiFALSOCLEON</v>
      </c>
      <c r="I358" s="434" t="str">
        <f>_xlfn.CONCAT(Tableau119[[#This Row],[ID]],"-",Tableau119[[#This Row],[Expiration Date]])</f>
        <v>154-46053</v>
      </c>
      <c r="J3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CLEON-KWE Shanghai-KWE Shanghai-154-FALSO-FALSO-FALSO-PFI VLL-46053</v>
      </c>
      <c r="K358" s="119" t="str">
        <f ca="1">IF(COUNTIF(J:J,Tableau119[[#This Row],[Plant-ILN-shipper-POL-Carrier-POD-PFI]])=1,"Non","Oui")</f>
        <v>Non</v>
      </c>
      <c r="L358" s="440" t="str">
        <f>VLOOKUP(Tableau119[[#This Row],[Name Site]],Plant_AILN!A:D,4,FALSE)</f>
        <v>FRANCE</v>
      </c>
      <c r="M358" s="10" t="s">
        <v>183</v>
      </c>
      <c r="N358" s="454">
        <f>VLOOKUP(Tableau119[[#This Row],[Name Site]],Plant_AILN!A:C,3,FALSE)</f>
        <v>92000100</v>
      </c>
      <c r="O358" s="55">
        <f>IF(Tableau119[[#This Row],[Name PFI/CDD]]="PFI VLL",2,VLOOKUP(Tableau119[[#This Row],[Compte Consignee]],Order!C:D,2,FALSE))</f>
        <v>2</v>
      </c>
      <c r="P358" s="124" t="s">
        <v>62</v>
      </c>
      <c r="Q358" s="365">
        <f>VLOOKUP(Tableau119[[#This Row],[Name ILN]],Plant_AILN!F:G,2,FALSE)</f>
        <v>26037000</v>
      </c>
      <c r="R358" s="50">
        <f>VLOOKUP(Tableau119[[#This Row],[Compte ILN]],'DATA ILN'!D:I,6,FALSE)</f>
        <v>9</v>
      </c>
      <c r="S358" s="50" t="e">
        <f>IFERROR(VLOOKUP(Tableau119[[#This Row],[Key(Compte ILN - shipper - POL - plant)]],'DATA ILN'!A:J,10,FALSE),VLOOKUP(Tableau119[[#This Row],[Key(Compte ILN - shipper - POL)]],'DATA ILN'!B:J,9,FALSE))</f>
        <v>#N/A</v>
      </c>
      <c r="T358" s="50" t="e">
        <f>IFERROR(VLOOKUP(Tableau119[[#This Row],[Key(Compte ILN - shipper - POL - plant)]],'DATA ILN'!A:K,11,FALSE),VLOOKUP(Tableau119[[#This Row],[Key(Compte ILN - shipper - POL)]],'DATA ILN'!B:K,10,FALSE))</f>
        <v>#N/A</v>
      </c>
      <c r="U358" s="50" t="e">
        <f>IFERROR(VLOOKUP(Tableau119[[#This Row],[Key(Compte ILN - shipper - POL - plant)]],'DATA ILN'!A:L,12,FALSE),VLOOKUP(Tableau119[[#This Row],[Key(Compte ILN - shipper - POL)]],'DATA ILN'!B:L,11,FALSE))</f>
        <v>#N/A</v>
      </c>
      <c r="V358" s="50" t="e">
        <f>Tableau119[[#This Row],[Day ILN Order]]+Tableau119[[#This Row],[Delivery time to ILN/Shipper]]-1</f>
        <v>#N/A</v>
      </c>
      <c r="W358" s="50" t="e">
        <f>IFERROR(VLOOKUP(Tableau119[[#This Row],[Key(Compte ILN - shipper - POL - plant)]],'DATA ILN'!A:N,14,FALSE),VLOOKUP(Tableau119[[#This Row],[Key(Compte ILN - shipper - POL)]],'DATA ILN'!B:N,13,FALSE))</f>
        <v>#N/A</v>
      </c>
      <c r="X358" s="50" t="e">
        <f>IFERROR(VLOOKUP(Tableau119[[#This Row],[Key(Compte ILN - shipper - POL - plant)]],'DATA ILN'!A:P,16,FALSE),VLOOKUP(Tableau119[[#This Row],[Key(Compte ILN - shipper - POL)]],'DATA ILN'!B:P,15,FALSE))</f>
        <v>#N/A</v>
      </c>
      <c r="Y358" s="284" t="s">
        <v>62</v>
      </c>
      <c r="Z358" s="430">
        <f>IFERROR(VLOOKUP(Tableau119[[#This Row],[Name Shipper]],Plant_AILN!L:M,2,FALSE),0)</f>
        <v>26037000</v>
      </c>
      <c r="AA358" s="406">
        <v>154</v>
      </c>
      <c r="AB358" s="396" t="b">
        <f>_xlfn.XLOOKUP(Tableau119[[#This Row],[Key(ID-date)]],'DATA BTO'!S:S,'DATA BTO'!E:E,FALSE)</f>
        <v>0</v>
      </c>
      <c r="AC358" s="3" t="b">
        <f>_xlfn.XLOOKUP(Tableau119[[#This Row],[Key(ID-date)]],'DATA BTO'!S:S,'DATA BTO'!F:F,FALSE)</f>
        <v>0</v>
      </c>
      <c r="AD358" s="50" t="b">
        <f>_xlfn.XLOOKUP(Tableau119[[#This Row],[Key(ID-date)]],'DATA BTO'!S:S,'DATA BTO'!G:G,FALSE)</f>
        <v>0</v>
      </c>
      <c r="AE358" s="50" t="b">
        <f>_xlfn.XLOOKUP(Tableau119[[#This Row],[Key(ID-date)]],'DATA BTO'!S:S,'DATA BTO'!H:H,FALSE)</f>
        <v>0</v>
      </c>
      <c r="AF358" s="447" t="e">
        <f>IF(Tableau119[[#This Row],[First Day to POL]]&lt;=Tableau119[[#This Row],[Day Cut Off]],Tableau119[[#This Row],[Day ETD]],Tableau119[[#This Row],[Day ETD]]+7)</f>
        <v>#N/A</v>
      </c>
      <c r="AG358" s="50" t="b">
        <f>_xlfn.XLOOKUP(Tableau119[[#This Row],[Key(ID-date)]],'DATA BTO'!S:S,'DATA BTO'!I:I,FALSE)</f>
        <v>0</v>
      </c>
      <c r="AH358" s="3" t="b">
        <f>_xlfn.XLOOKUP(Tableau119[[#This Row],[Key(ID-date)]],'DATA BTO'!S:S,'DATA BTO'!J:J,FALSE)</f>
        <v>0</v>
      </c>
      <c r="AI358" s="3" t="b">
        <f>_xlfn.XLOOKUP(Tableau119[[#This Row],[Key(ID-date)]],'DATA BTO'!S:S,'DATA BTO'!K:K,FALSE)</f>
        <v>0</v>
      </c>
      <c r="AJ358" s="50" t="b">
        <f>_xlfn.XLOOKUP(Tableau119[[#This Row],[Key(ID-date)]],'DATA BTO'!S:S,'DATA BTO'!L:L,FALSE)</f>
        <v>0</v>
      </c>
      <c r="AK358" s="53" t="b">
        <f>_xlfn.XLOOKUP(Tableau119[[#This Row],[Key(ID-date)]],'DATA BTO'!S:S,'DATA BTO'!N:N,FALSE)</f>
        <v>0</v>
      </c>
      <c r="AL358" s="54" t="e">
        <f>VLOOKUP(Tableau119[[#This Row],[Key(POD -PFI- Usine)]],'DATA Consignee'!A:F,6,FALSE)</f>
        <v>#N/A</v>
      </c>
      <c r="AM358" s="127" t="s">
        <v>171</v>
      </c>
      <c r="AN358" s="376">
        <f>IF(Tableau119[[#This Row],[Name PFI/CDD]]="","-",VLOOKUP(Tableau119[[#This Row],[Name PFI/CDD]],Plant_AILN!I:J,2,FALSE))</f>
        <v>91018400</v>
      </c>
      <c r="AO35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5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58" s="2" t="e">
        <f>VLOOKUP(Tableau119[[#This Row],[Key(POD -PFI- Usine)]],'DATA Consignee'!A:J,10,FALSE)</f>
        <v>#N/A</v>
      </c>
      <c r="AR358" s="50" t="e">
        <f>VLOOKUP(Tableau119[[#This Row],[Key(POD -PFI- Usine)]],'DATA Consignee'!A:N,14,FALSE)</f>
        <v>#N/A</v>
      </c>
      <c r="AS3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8" s="50">
        <f>Tableau119[[#This Row],[Transit time]]+Tableau119[[#This Row],[Time for security]]+Tableau119[[#This Row],[Time for security2 buffer]]</f>
        <v>0</v>
      </c>
      <c r="AV3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8" s="50" t="e">
        <f>Tableau119[[#This Row],[Leadtime SI2C]]+Tableau119[[#This Row],[First Receipt Days]]-Tableau119[[#This Row],[Day Customer Order]]+1</f>
        <v>#N/A</v>
      </c>
      <c r="AX358" s="119" t="e">
        <f>IF(Tableau119[[#This Row],[Name ILN]]&lt;&gt;"SFK Freight Forwarder",Tableau119[[#This Row],[Cust. Leadtime]],Tableau119[[#This Row],[Leadtime SI2C]])</f>
        <v>#N/A</v>
      </c>
      <c r="AY358" s="51" t="b">
        <f>_xlfn.XLOOKUP(Tableau119[[#This Row],[Key(ID-date)]],'DATA BTO'!S:S,'DATA BTO'!P:P,FALSE)</f>
        <v>0</v>
      </c>
      <c r="AZ358" s="338">
        <v>46053</v>
      </c>
      <c r="BA358" s="50"/>
    </row>
    <row r="359" spans="2:53">
      <c r="B359" s="446" t="str">
        <f>_xlfn.CONCAT(Tableau119[[#This Row],[Name ILN]],"-",Tableau119[[#This Row],[Name Shipper]],"-",Tableau119[[#This Row],[Name Site]])</f>
        <v>KWE Shanghai-KWE Shanghai-DOUAI</v>
      </c>
      <c r="C359" s="66" t="str">
        <f>_xlfn.CONCAT(Tableau119[[#This Row],[Compte ILN]],"-",Tableau119[[#This Row],[Compte Shipper]],"-",Tableau119[[#This Row],[POL]],"-",Tableau119[[#This Row],[Compte Consignee]])</f>
        <v>26037000-26037000-FALSO-90019100</v>
      </c>
      <c r="D359" s="66" t="str">
        <f>_xlfn.CONCAT(Tableau119[[#This Row],[Compte ILN]],"-",Tableau119[[#This Row],[Compte Shipper]],"-",Tableau119[[#This Row],[POL]])</f>
        <v>26037000-26037000-FALSO</v>
      </c>
      <c r="E359" s="130" t="str">
        <f>_xlfn.CONCAT(Tableau119[[#This Row],[POL]],"-",Tableau119[[#This Row],[Carrier]],"-",Tableau119[[#This Row],[POD]])</f>
        <v>FALSO-FALSO-FALSO</v>
      </c>
      <c r="F359" s="66" t="str">
        <f>_xlfn.CONCAT(Tableau119[[#This Row],[ID]],"-","Actif")</f>
        <v>154-Actif</v>
      </c>
      <c r="G359" s="66" t="str">
        <f>_xlfn.CONCAT(Tableau119[[#This Row],[POD]],"-",Tableau119[[#This Row],[Code PFI]],"-",Tableau119[[#This Row],[Compte Consignee]])</f>
        <v>FALSO-91018400-90019100</v>
      </c>
      <c r="H3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ShanghaiFALSODOUAI</v>
      </c>
      <c r="I359" s="434" t="str">
        <f>_xlfn.CONCAT(Tableau119[[#This Row],[ID]],"-",Tableau119[[#This Row],[Expiration Date]])</f>
        <v>154-46053</v>
      </c>
      <c r="J3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DOUAI-KWE Shanghai-KWE Shanghai-154-FALSO-FALSO-FALSO-PFI VLL-46053</v>
      </c>
      <c r="K359" s="119" t="str">
        <f ca="1">IF(COUNTIF(J:J,Tableau119[[#This Row],[Plant-ILN-shipper-POL-Carrier-POD-PFI]])=1,"Non","Oui")</f>
        <v>Non</v>
      </c>
      <c r="L359" s="128" t="str">
        <f>VLOOKUP(Tableau119[[#This Row],[Name Site]],Plant_AILN!A:D,4,FALSE)</f>
        <v>FRANCE</v>
      </c>
      <c r="M359" s="411" t="s">
        <v>188</v>
      </c>
      <c r="N359" s="454">
        <f>VLOOKUP(Tableau119[[#This Row],[Name Site]],Plant_AILN!A:C,3,FALSE)</f>
        <v>90019100</v>
      </c>
      <c r="O359" s="55">
        <f>IF(Tableau119[[#This Row],[Name PFI/CDD]]="PFI VLL",2,VLOOKUP(Tableau119[[#This Row],[Compte Consignee]],Order!C:D,2,FALSE))</f>
        <v>2</v>
      </c>
      <c r="P359" s="124" t="s">
        <v>62</v>
      </c>
      <c r="Q359" s="365">
        <f>VLOOKUP(Tableau119[[#This Row],[Name ILN]],Plant_AILN!F:G,2,FALSE)</f>
        <v>26037000</v>
      </c>
      <c r="R359" s="50">
        <f>VLOOKUP(Tableau119[[#This Row],[Compte ILN]],'DATA ILN'!D:I,6,FALSE)</f>
        <v>9</v>
      </c>
      <c r="S359" s="50" t="e">
        <f>IFERROR(VLOOKUP(Tableau119[[#This Row],[Key(Compte ILN - shipper - POL - plant)]],'DATA ILN'!A:J,10,FALSE),VLOOKUP(Tableau119[[#This Row],[Key(Compte ILN - shipper - POL)]],'DATA ILN'!B:J,9,FALSE))</f>
        <v>#N/A</v>
      </c>
      <c r="T359" s="50" t="e">
        <f>IFERROR(VLOOKUP(Tableau119[[#This Row],[Key(Compte ILN - shipper - POL - plant)]],'DATA ILN'!A:K,11,FALSE),VLOOKUP(Tableau119[[#This Row],[Key(Compte ILN - shipper - POL)]],'DATA ILN'!B:K,10,FALSE))</f>
        <v>#N/A</v>
      </c>
      <c r="U359" s="50" t="e">
        <f>IFERROR(VLOOKUP(Tableau119[[#This Row],[Key(Compte ILN - shipper - POL - plant)]],'DATA ILN'!A:L,12,FALSE),VLOOKUP(Tableau119[[#This Row],[Key(Compte ILN - shipper - POL)]],'DATA ILN'!B:L,11,FALSE))</f>
        <v>#N/A</v>
      </c>
      <c r="V359" s="50" t="e">
        <f>Tableau119[[#This Row],[Day ILN Order]]+Tableau119[[#This Row],[Delivery time to ILN/Shipper]]-1</f>
        <v>#N/A</v>
      </c>
      <c r="W359" s="50" t="e">
        <f>IFERROR(VLOOKUP(Tableau119[[#This Row],[Key(Compte ILN - shipper - POL - plant)]],'DATA ILN'!A:N,14,FALSE),VLOOKUP(Tableau119[[#This Row],[Key(Compte ILN - shipper - POL)]],'DATA ILN'!B:N,13,FALSE))</f>
        <v>#N/A</v>
      </c>
      <c r="X359" s="50" t="e">
        <f>IFERROR(VLOOKUP(Tableau119[[#This Row],[Key(Compte ILN - shipper - POL - plant)]],'DATA ILN'!A:P,16,FALSE),VLOOKUP(Tableau119[[#This Row],[Key(Compte ILN - shipper - POL)]],'DATA ILN'!B:P,15,FALSE))</f>
        <v>#N/A</v>
      </c>
      <c r="Y359" s="284" t="s">
        <v>62</v>
      </c>
      <c r="Z359" s="430">
        <f>IFERROR(VLOOKUP(Tableau119[[#This Row],[Name Shipper]],Plant_AILN!L:M,2,FALSE),0)</f>
        <v>26037000</v>
      </c>
      <c r="AA359" s="406">
        <v>154</v>
      </c>
      <c r="AB359" s="396" t="b">
        <f>_xlfn.XLOOKUP(Tableau119[[#This Row],[Key(ID-date)]],'DATA BTO'!S:S,'DATA BTO'!E:E,FALSE)</f>
        <v>0</v>
      </c>
      <c r="AC359" s="3" t="b">
        <f>_xlfn.XLOOKUP(Tableau119[[#This Row],[Key(ID-date)]],'DATA BTO'!S:S,'DATA BTO'!F:F,FALSE)</f>
        <v>0</v>
      </c>
      <c r="AD359" s="50" t="b">
        <f>_xlfn.XLOOKUP(Tableau119[[#This Row],[Key(ID-date)]],'DATA BTO'!S:S,'DATA BTO'!G:G,FALSE)</f>
        <v>0</v>
      </c>
      <c r="AE359" s="50" t="b">
        <f>_xlfn.XLOOKUP(Tableau119[[#This Row],[Key(ID-date)]],'DATA BTO'!S:S,'DATA BTO'!H:H,FALSE)</f>
        <v>0</v>
      </c>
      <c r="AF359" s="447" t="e">
        <f>IF(Tableau119[[#This Row],[First Day to POL]]&lt;=Tableau119[[#This Row],[Day Cut Off]],Tableau119[[#This Row],[Day ETD]],Tableau119[[#This Row],[Day ETD]]+7)</f>
        <v>#N/A</v>
      </c>
      <c r="AG359" s="50" t="b">
        <f>_xlfn.XLOOKUP(Tableau119[[#This Row],[Key(ID-date)]],'DATA BTO'!S:S,'DATA BTO'!I:I,FALSE)</f>
        <v>0</v>
      </c>
      <c r="AH359" s="3" t="b">
        <f>_xlfn.XLOOKUP(Tableau119[[#This Row],[Key(ID-date)]],'DATA BTO'!S:S,'DATA BTO'!J:J,FALSE)</f>
        <v>0</v>
      </c>
      <c r="AI359" s="3" t="b">
        <f>_xlfn.XLOOKUP(Tableau119[[#This Row],[Key(ID-date)]],'DATA BTO'!S:S,'DATA BTO'!K:K,FALSE)</f>
        <v>0</v>
      </c>
      <c r="AJ359" s="50" t="b">
        <f>_xlfn.XLOOKUP(Tableau119[[#This Row],[Key(ID-date)]],'DATA BTO'!S:S,'DATA BTO'!L:L,FALSE)</f>
        <v>0</v>
      </c>
      <c r="AK359" s="53" t="b">
        <f>_xlfn.XLOOKUP(Tableau119[[#This Row],[Key(ID-date)]],'DATA BTO'!S:S,'DATA BTO'!N:N,FALSE)</f>
        <v>0</v>
      </c>
      <c r="AL359" s="54" t="e">
        <f>VLOOKUP(Tableau119[[#This Row],[Key(POD -PFI- Usine)]],'DATA Consignee'!A:F,6,FALSE)</f>
        <v>#N/A</v>
      </c>
      <c r="AM359" s="127" t="s">
        <v>171</v>
      </c>
      <c r="AN359" s="376">
        <f>IF(Tableau119[[#This Row],[Name PFI/CDD]]="","-",VLOOKUP(Tableau119[[#This Row],[Name PFI/CDD]],Plant_AILN!I:J,2,FALSE))</f>
        <v>91018400</v>
      </c>
      <c r="AO35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5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59" s="2" t="e">
        <f>VLOOKUP(Tableau119[[#This Row],[Key(POD -PFI- Usine)]],'DATA Consignee'!A:J,10,FALSE)</f>
        <v>#N/A</v>
      </c>
      <c r="AR359" s="50" t="e">
        <f>VLOOKUP(Tableau119[[#This Row],[Key(POD -PFI- Usine)]],'DATA Consignee'!A:N,14,FALSE)</f>
        <v>#N/A</v>
      </c>
      <c r="AS3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59" s="50">
        <f>Tableau119[[#This Row],[Transit time]]+Tableau119[[#This Row],[Time for security]]+Tableau119[[#This Row],[Time for security2 buffer]]</f>
        <v>0</v>
      </c>
      <c r="AV3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59" s="50" t="e">
        <f>Tableau119[[#This Row],[Leadtime SI2C]]+Tableau119[[#This Row],[First Receipt Days]]-Tableau119[[#This Row],[Day Customer Order]]+1</f>
        <v>#N/A</v>
      </c>
      <c r="AX359" s="119" t="e">
        <f>IF(Tableau119[[#This Row],[Name ILN]]&lt;&gt;"SFK Freight Forwarder",Tableau119[[#This Row],[Cust. Leadtime]],Tableau119[[#This Row],[Leadtime SI2C]])</f>
        <v>#N/A</v>
      </c>
      <c r="AY359" s="51" t="b">
        <f>_xlfn.XLOOKUP(Tableau119[[#This Row],[Key(ID-date)]],'DATA BTO'!S:S,'DATA BTO'!P:P,FALSE)</f>
        <v>0</v>
      </c>
      <c r="AZ359" s="338">
        <v>46053</v>
      </c>
      <c r="BA359" s="50"/>
    </row>
    <row r="360" spans="2:53">
      <c r="B360" s="66" t="str">
        <f>_xlfn.CONCAT(Tableau119[[#This Row],[Name ILN]],"-",Tableau119[[#This Row],[Name Shipper]],"-",Tableau119[[#This Row],[Name Site]])</f>
        <v>KWE Shanghai-KWE Shanghai-FLINS</v>
      </c>
      <c r="C360" s="66" t="str">
        <f>_xlfn.CONCAT(Tableau119[[#This Row],[Compte ILN]],"-",Tableau119[[#This Row],[Compte Shipper]],"-",Tableau119[[#This Row],[POL]],"-",Tableau119[[#This Row],[Compte Consignee]])</f>
        <v>26037000-26037000-FALSO-90015100</v>
      </c>
      <c r="D360" s="66" t="str">
        <f>_xlfn.CONCAT(Tableau119[[#This Row],[Compte ILN]],"-",Tableau119[[#This Row],[Compte Shipper]],"-",Tableau119[[#This Row],[POL]])</f>
        <v>26037000-26037000-FALSO</v>
      </c>
      <c r="E360" s="130" t="str">
        <f>_xlfn.CONCAT(Tableau119[[#This Row],[POL]],"-",Tableau119[[#This Row],[Carrier]],"-",Tableau119[[#This Row],[POD]])</f>
        <v>FALSO-FALSO-FALSO</v>
      </c>
      <c r="F360" s="66" t="str">
        <f>_xlfn.CONCAT(Tableau119[[#This Row],[ID]],"-","Actif")</f>
        <v>154-Actif</v>
      </c>
      <c r="G360" s="66" t="str">
        <f>_xlfn.CONCAT(Tableau119[[#This Row],[POD]],"-",Tableau119[[#This Row],[Code PFI]],"-",Tableau119[[#This Row],[Compte Consignee]])</f>
        <v>FALSO-91018400-90015100</v>
      </c>
      <c r="H3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ShanghaiFALSOFLINS</v>
      </c>
      <c r="I360" s="434" t="str">
        <f>_xlfn.CONCAT(Tableau119[[#This Row],[ID]],"-",Tableau119[[#This Row],[Expiration Date]])</f>
        <v>154-46053</v>
      </c>
      <c r="J3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FLINS-KWE Shanghai-KWE Shanghai-154-FALSO-FALSO-FALSO-PFI VLL-46053</v>
      </c>
      <c r="K360" s="119" t="str">
        <f ca="1">IF(COUNTIF(J:J,Tableau119[[#This Row],[Plant-ILN-shipper-POL-Carrier-POD-PFI]])=1,"Non","Oui")</f>
        <v>Non</v>
      </c>
      <c r="L360" s="440" t="str">
        <f>VLOOKUP(Tableau119[[#This Row],[Name Site]],Plant_AILN!A:D,4,FALSE)</f>
        <v>FRANCE</v>
      </c>
      <c r="M360" s="10" t="s">
        <v>209</v>
      </c>
      <c r="N360" s="454">
        <f>VLOOKUP(Tableau119[[#This Row],[Name Site]],Plant_AILN!A:C,3,FALSE)</f>
        <v>90015100</v>
      </c>
      <c r="O360" s="55">
        <f>IF(Tableau119[[#This Row],[Name PFI/CDD]]="PFI VLL",2,VLOOKUP(Tableau119[[#This Row],[Compte Consignee]],Order!C:D,2,FALSE))</f>
        <v>2</v>
      </c>
      <c r="P360" s="124" t="s">
        <v>62</v>
      </c>
      <c r="Q360" s="365">
        <f>VLOOKUP(Tableau119[[#This Row],[Name ILN]],Plant_AILN!F:G,2,FALSE)</f>
        <v>26037000</v>
      </c>
      <c r="R360" s="50">
        <f>VLOOKUP(Tableau119[[#This Row],[Compte ILN]],'DATA ILN'!D:I,6,FALSE)</f>
        <v>9</v>
      </c>
      <c r="S360" s="50" t="e">
        <f>IFERROR(VLOOKUP(Tableau119[[#This Row],[Key(Compte ILN - shipper - POL - plant)]],'DATA ILN'!A:J,10,FALSE),VLOOKUP(Tableau119[[#This Row],[Key(Compte ILN - shipper - POL)]],'DATA ILN'!B:J,9,FALSE))</f>
        <v>#N/A</v>
      </c>
      <c r="T360" s="50" t="e">
        <f>IFERROR(VLOOKUP(Tableau119[[#This Row],[Key(Compte ILN - shipper - POL - plant)]],'DATA ILN'!A:K,11,FALSE),VLOOKUP(Tableau119[[#This Row],[Key(Compte ILN - shipper - POL)]],'DATA ILN'!B:K,10,FALSE))</f>
        <v>#N/A</v>
      </c>
      <c r="U360" s="50" t="e">
        <f>IFERROR(VLOOKUP(Tableau119[[#This Row],[Key(Compte ILN - shipper - POL - plant)]],'DATA ILN'!A:L,12,FALSE),VLOOKUP(Tableau119[[#This Row],[Key(Compte ILN - shipper - POL)]],'DATA ILN'!B:L,11,FALSE))</f>
        <v>#N/A</v>
      </c>
      <c r="V360" s="50" t="e">
        <f>Tableau119[[#This Row],[Day ILN Order]]+Tableau119[[#This Row],[Delivery time to ILN/Shipper]]-1</f>
        <v>#N/A</v>
      </c>
      <c r="W360" s="50" t="e">
        <f>IFERROR(VLOOKUP(Tableau119[[#This Row],[Key(Compte ILN - shipper - POL - plant)]],'DATA ILN'!A:N,14,FALSE),VLOOKUP(Tableau119[[#This Row],[Key(Compte ILN - shipper - POL)]],'DATA ILN'!B:N,13,FALSE))</f>
        <v>#N/A</v>
      </c>
      <c r="X360" s="50" t="e">
        <f>IFERROR(VLOOKUP(Tableau119[[#This Row],[Key(Compte ILN - shipper - POL - plant)]],'DATA ILN'!A:P,16,FALSE),VLOOKUP(Tableau119[[#This Row],[Key(Compte ILN - shipper - POL)]],'DATA ILN'!B:P,15,FALSE))</f>
        <v>#N/A</v>
      </c>
      <c r="Y360" s="284" t="s">
        <v>62</v>
      </c>
      <c r="Z360" s="430">
        <f>IFERROR(VLOOKUP(Tableau119[[#This Row],[Name Shipper]],Plant_AILN!L:M,2,FALSE),0)</f>
        <v>26037000</v>
      </c>
      <c r="AA360" s="406">
        <v>154</v>
      </c>
      <c r="AB360" s="396" t="b">
        <f>_xlfn.XLOOKUP(Tableau119[[#This Row],[Key(ID-date)]],'DATA BTO'!S:S,'DATA BTO'!E:E,FALSE)</f>
        <v>0</v>
      </c>
      <c r="AC360" s="3" t="b">
        <f>_xlfn.XLOOKUP(Tableau119[[#This Row],[Key(ID-date)]],'DATA BTO'!S:S,'DATA BTO'!F:F,FALSE)</f>
        <v>0</v>
      </c>
      <c r="AD360" s="50" t="b">
        <f>_xlfn.XLOOKUP(Tableau119[[#This Row],[Key(ID-date)]],'DATA BTO'!S:S,'DATA BTO'!G:G,FALSE)</f>
        <v>0</v>
      </c>
      <c r="AE360" s="50" t="b">
        <f>_xlfn.XLOOKUP(Tableau119[[#This Row],[Key(ID-date)]],'DATA BTO'!S:S,'DATA BTO'!H:H,FALSE)</f>
        <v>0</v>
      </c>
      <c r="AF360" s="447" t="e">
        <f>IF(Tableau119[[#This Row],[First Day to POL]]&lt;=Tableau119[[#This Row],[Day Cut Off]],Tableau119[[#This Row],[Day ETD]],Tableau119[[#This Row],[Day ETD]]+7)</f>
        <v>#N/A</v>
      </c>
      <c r="AG360" s="50" t="b">
        <f>_xlfn.XLOOKUP(Tableau119[[#This Row],[Key(ID-date)]],'DATA BTO'!S:S,'DATA BTO'!I:I,FALSE)</f>
        <v>0</v>
      </c>
      <c r="AH360" s="3" t="b">
        <f>_xlfn.XLOOKUP(Tableau119[[#This Row],[Key(ID-date)]],'DATA BTO'!S:S,'DATA BTO'!J:J,FALSE)</f>
        <v>0</v>
      </c>
      <c r="AI360" s="3" t="b">
        <f>_xlfn.XLOOKUP(Tableau119[[#This Row],[Key(ID-date)]],'DATA BTO'!S:S,'DATA BTO'!K:K,FALSE)</f>
        <v>0</v>
      </c>
      <c r="AJ360" s="50" t="b">
        <f>_xlfn.XLOOKUP(Tableau119[[#This Row],[Key(ID-date)]],'DATA BTO'!S:S,'DATA BTO'!L:L,FALSE)</f>
        <v>0</v>
      </c>
      <c r="AK360" s="53" t="b">
        <f>_xlfn.XLOOKUP(Tableau119[[#This Row],[Key(ID-date)]],'DATA BTO'!S:S,'DATA BTO'!N:N,FALSE)</f>
        <v>0</v>
      </c>
      <c r="AL360" s="54" t="e">
        <f>VLOOKUP(Tableau119[[#This Row],[Key(POD -PFI- Usine)]],'DATA Consignee'!A:F,6,FALSE)</f>
        <v>#N/A</v>
      </c>
      <c r="AM360" s="127" t="s">
        <v>171</v>
      </c>
      <c r="AN360" s="376">
        <f>IF(Tableau119[[#This Row],[Name PFI/CDD]]="","-",VLOOKUP(Tableau119[[#This Row],[Name PFI/CDD]],Plant_AILN!I:J,2,FALSE))</f>
        <v>91018400</v>
      </c>
      <c r="AO360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0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0" s="2" t="e">
        <f>VLOOKUP(Tableau119[[#This Row],[Key(POD -PFI- Usine)]],'DATA Consignee'!A:J,10,FALSE)</f>
        <v>#N/A</v>
      </c>
      <c r="AR360" s="50" t="e">
        <f>VLOOKUP(Tableau119[[#This Row],[Key(POD -PFI- Usine)]],'DATA Consignee'!A:N,14,FALSE)</f>
        <v>#N/A</v>
      </c>
      <c r="AS3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0" s="50">
        <f>Tableau119[[#This Row],[Transit time]]+Tableau119[[#This Row],[Time for security]]+Tableau119[[#This Row],[Time for security2 buffer]]</f>
        <v>0</v>
      </c>
      <c r="AV3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0" s="50" t="e">
        <f>Tableau119[[#This Row],[Leadtime SI2C]]+Tableau119[[#This Row],[First Receipt Days]]-Tableau119[[#This Row],[Day Customer Order]]+1</f>
        <v>#N/A</v>
      </c>
      <c r="AX360" s="119" t="e">
        <f>IF(Tableau119[[#This Row],[Name ILN]]&lt;&gt;"SFK Freight Forwarder",Tableau119[[#This Row],[Cust. Leadtime]],Tableau119[[#This Row],[Leadtime SI2C]])</f>
        <v>#N/A</v>
      </c>
      <c r="AY360" s="51" t="b">
        <f>_xlfn.XLOOKUP(Tableau119[[#This Row],[Key(ID-date)]],'DATA BTO'!S:S,'DATA BTO'!P:P,FALSE)</f>
        <v>0</v>
      </c>
      <c r="AZ360" s="338">
        <v>46053</v>
      </c>
      <c r="BA360" s="50"/>
    </row>
    <row r="361" spans="2:53">
      <c r="B361" s="66" t="str">
        <f>_xlfn.CONCAT(Tableau119[[#This Row],[Name ILN]],"-",Tableau119[[#This Row],[Name Shipper]],"-",Tableau119[[#This Row],[Name Site]])</f>
        <v>KWE Shanghai-KWE Shanghai-MAUBEUGE</v>
      </c>
      <c r="C361" s="66" t="str">
        <f>_xlfn.CONCAT(Tableau119[[#This Row],[Compte ILN]],"-",Tableau119[[#This Row],[Compte Shipper]],"-",Tableau119[[#This Row],[POL]],"-",Tableau119[[#This Row],[Compte Consignee]])</f>
        <v>26037000-26037000-FALSO-90016200</v>
      </c>
      <c r="D361" s="66" t="str">
        <f>_xlfn.CONCAT(Tableau119[[#This Row],[Compte ILN]],"-",Tableau119[[#This Row],[Compte Shipper]],"-",Tableau119[[#This Row],[POL]])</f>
        <v>26037000-26037000-FALSO</v>
      </c>
      <c r="E361" s="130" t="str">
        <f>_xlfn.CONCAT(Tableau119[[#This Row],[POL]],"-",Tableau119[[#This Row],[Carrier]],"-",Tableau119[[#This Row],[POD]])</f>
        <v>FALSO-FALSO-FALSO</v>
      </c>
      <c r="F361" s="66" t="str">
        <f>_xlfn.CONCAT(Tableau119[[#This Row],[ID]],"-","Actif")</f>
        <v>154-Actif</v>
      </c>
      <c r="G361" s="66" t="str">
        <f>_xlfn.CONCAT(Tableau119[[#This Row],[POD]],"-",Tableau119[[#This Row],[Code PFI]],"-",Tableau119[[#This Row],[Compte Consignee]])</f>
        <v>FALSO-91018400-90016200</v>
      </c>
      <c r="H3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ShanghaiFALSOMAUBEUGE</v>
      </c>
      <c r="I361" s="434" t="str">
        <f>_xlfn.CONCAT(Tableau119[[#This Row],[ID]],"-",Tableau119[[#This Row],[Expiration Date]])</f>
        <v>154-46053</v>
      </c>
      <c r="J3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MAUBEUGE-KWE Shanghai-KWE Shanghai-154-FALSO-FALSO-FALSO-PFI VLL-46053</v>
      </c>
      <c r="K361" s="119" t="str">
        <f ca="1">IF(COUNTIF(J:J,Tableau119[[#This Row],[Plant-ILN-shipper-POL-Carrier-POD-PFI]])=1,"Non","Oui")</f>
        <v>Non</v>
      </c>
      <c r="L361" s="440" t="str">
        <f>VLOOKUP(Tableau119[[#This Row],[Name Site]],Plant_AILN!A:D,4,FALSE)</f>
        <v>FRANCE</v>
      </c>
      <c r="M361" s="483" t="s">
        <v>210</v>
      </c>
      <c r="N361" s="455">
        <f>VLOOKUP(Tableau119[[#This Row],[Name Site]],Plant_AILN!A:C,3,FALSE)</f>
        <v>90016200</v>
      </c>
      <c r="O361" s="104">
        <f>IF(Tableau119[[#This Row],[Name PFI/CDD]]="PFI VLL",2,VLOOKUP(Tableau119[[#This Row],[Compte Consignee]],Order!C:D,2,FALSE))</f>
        <v>2</v>
      </c>
      <c r="P361" s="126" t="s">
        <v>62</v>
      </c>
      <c r="Q361" s="366">
        <f>VLOOKUP(Tableau119[[#This Row],[Name ILN]],Plant_AILN!F:G,2,FALSE)</f>
        <v>26037000</v>
      </c>
      <c r="R361" s="81">
        <f>VLOOKUP(Tableau119[[#This Row],[Compte ILN]],'DATA ILN'!D:I,6,FALSE)</f>
        <v>9</v>
      </c>
      <c r="S361" s="81" t="e">
        <f>IFERROR(VLOOKUP(Tableau119[[#This Row],[Key(Compte ILN - shipper - POL - plant)]],'DATA ILN'!A:J,10,FALSE),VLOOKUP(Tableau119[[#This Row],[Key(Compte ILN - shipper - POL)]],'DATA ILN'!B:J,9,FALSE))</f>
        <v>#N/A</v>
      </c>
      <c r="T361" s="81" t="e">
        <f>IFERROR(VLOOKUP(Tableau119[[#This Row],[Key(Compte ILN - shipper - POL - plant)]],'DATA ILN'!A:K,11,FALSE),VLOOKUP(Tableau119[[#This Row],[Key(Compte ILN - shipper - POL)]],'DATA ILN'!B:K,10,FALSE))</f>
        <v>#N/A</v>
      </c>
      <c r="U361" s="81" t="e">
        <f>IFERROR(VLOOKUP(Tableau119[[#This Row],[Key(Compte ILN - shipper - POL - plant)]],'DATA ILN'!A:L,12,FALSE),VLOOKUP(Tableau119[[#This Row],[Key(Compte ILN - shipper - POL)]],'DATA ILN'!B:L,11,FALSE))</f>
        <v>#N/A</v>
      </c>
      <c r="V361" s="81" t="e">
        <f>Tableau119[[#This Row],[Day ILN Order]]+Tableau119[[#This Row],[Delivery time to ILN/Shipper]]-1</f>
        <v>#N/A</v>
      </c>
      <c r="W361" s="81" t="e">
        <f>IFERROR(VLOOKUP(Tableau119[[#This Row],[Key(Compte ILN - shipper - POL - plant)]],'DATA ILN'!A:N,14,FALSE),VLOOKUP(Tableau119[[#This Row],[Key(Compte ILN - shipper - POL)]],'DATA ILN'!B:N,13,FALSE))</f>
        <v>#N/A</v>
      </c>
      <c r="X361" s="81" t="e">
        <f>IFERROR(VLOOKUP(Tableau119[[#This Row],[Key(Compte ILN - shipper - POL - plant)]],'DATA ILN'!A:P,16,FALSE),VLOOKUP(Tableau119[[#This Row],[Key(Compte ILN - shipper - POL)]],'DATA ILN'!B:P,15,FALSE))</f>
        <v>#N/A</v>
      </c>
      <c r="Y361" s="102" t="s">
        <v>62</v>
      </c>
      <c r="Z361" s="417">
        <f>IFERROR(VLOOKUP(Tableau119[[#This Row],[Name Shipper]],Plant_AILN!L:M,2,FALSE),0)</f>
        <v>26037000</v>
      </c>
      <c r="AA361" s="416">
        <v>154</v>
      </c>
      <c r="AB361" s="396" t="b">
        <f>_xlfn.XLOOKUP(Tableau119[[#This Row],[Key(ID-date)]],'DATA BTO'!S:S,'DATA BTO'!E:E,FALSE)</f>
        <v>0</v>
      </c>
      <c r="AC361" s="3" t="b">
        <f>_xlfn.XLOOKUP(Tableau119[[#This Row],[Key(ID-date)]],'DATA BTO'!S:S,'DATA BTO'!F:F,FALSE)</f>
        <v>0</v>
      </c>
      <c r="AD361" s="50" t="b">
        <f>_xlfn.XLOOKUP(Tableau119[[#This Row],[Key(ID-date)]],'DATA BTO'!S:S,'DATA BTO'!G:G,FALSE)</f>
        <v>0</v>
      </c>
      <c r="AE361" s="50" t="b">
        <f>_xlfn.XLOOKUP(Tableau119[[#This Row],[Key(ID-date)]],'DATA BTO'!S:S,'DATA BTO'!H:H,FALSE)</f>
        <v>0</v>
      </c>
      <c r="AF361" s="447" t="e">
        <f>IF(Tableau119[[#This Row],[First Day to POL]]&lt;=Tableau119[[#This Row],[Day Cut Off]],Tableau119[[#This Row],[Day ETD]],Tableau119[[#This Row],[Day ETD]]+7)</f>
        <v>#N/A</v>
      </c>
      <c r="AG361" s="50" t="b">
        <f>_xlfn.XLOOKUP(Tableau119[[#This Row],[Key(ID-date)]],'DATA BTO'!S:S,'DATA BTO'!I:I,FALSE)</f>
        <v>0</v>
      </c>
      <c r="AH361" s="3" t="b">
        <f>_xlfn.XLOOKUP(Tableau119[[#This Row],[Key(ID-date)]],'DATA BTO'!S:S,'DATA BTO'!J:J,FALSE)</f>
        <v>0</v>
      </c>
      <c r="AI361" s="3" t="b">
        <f>_xlfn.XLOOKUP(Tableau119[[#This Row],[Key(ID-date)]],'DATA BTO'!S:S,'DATA BTO'!K:K,FALSE)</f>
        <v>0</v>
      </c>
      <c r="AJ361" s="50" t="b">
        <f>_xlfn.XLOOKUP(Tableau119[[#This Row],[Key(ID-date)]],'DATA BTO'!S:S,'DATA BTO'!L:L,FALSE)</f>
        <v>0</v>
      </c>
      <c r="AK361" s="53" t="b">
        <f>_xlfn.XLOOKUP(Tableau119[[#This Row],[Key(ID-date)]],'DATA BTO'!S:S,'DATA BTO'!N:N,FALSE)</f>
        <v>0</v>
      </c>
      <c r="AL361" s="54" t="e">
        <f>VLOOKUP(Tableau119[[#This Row],[Key(POD -PFI- Usine)]],'DATA Consignee'!A:F,6,FALSE)</f>
        <v>#N/A</v>
      </c>
      <c r="AM361" s="127" t="s">
        <v>171</v>
      </c>
      <c r="AN361" s="375">
        <f>IF(Tableau119[[#This Row],[Name PFI/CDD]]="","-",VLOOKUP(Tableau119[[#This Row],[Name PFI/CDD]],Plant_AILN!I:J,2,FALSE))</f>
        <v>91018400</v>
      </c>
      <c r="AO361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1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1" s="110" t="e">
        <f>VLOOKUP(Tableau119[[#This Row],[Key(POD -PFI- Usine)]],'DATA Consignee'!A:J,10,FALSE)</f>
        <v>#N/A</v>
      </c>
      <c r="AR361" s="81" t="e">
        <f>VLOOKUP(Tableau119[[#This Row],[Key(POD -PFI- Usine)]],'DATA Consignee'!A:N,14,FALSE)</f>
        <v>#N/A</v>
      </c>
      <c r="AS36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1" s="81">
        <f>Tableau119[[#This Row],[Transit time]]+Tableau119[[#This Row],[Time for security]]+Tableau119[[#This Row],[Time for security2 buffer]]</f>
        <v>0</v>
      </c>
      <c r="AV3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1" s="50" t="e">
        <f>Tableau119[[#This Row],[Leadtime SI2C]]+Tableau119[[#This Row],[First Receipt Days]]-Tableau119[[#This Row],[Day Customer Order]]+1</f>
        <v>#N/A</v>
      </c>
      <c r="AX361" s="119" t="e">
        <f>IF(Tableau119[[#This Row],[Name ILN]]&lt;&gt;"SFK Freight Forwarder",Tableau119[[#This Row],[Cust. Leadtime]],Tableau119[[#This Row],[Leadtime SI2C]])</f>
        <v>#N/A</v>
      </c>
      <c r="AY361" s="51" t="b">
        <f>_xlfn.XLOOKUP(Tableau119[[#This Row],[Key(ID-date)]],'DATA BTO'!S:S,'DATA BTO'!P:P,FALSE)</f>
        <v>0</v>
      </c>
      <c r="AZ361" s="388">
        <v>46053</v>
      </c>
      <c r="BA361" s="81"/>
    </row>
    <row r="362" spans="2:53">
      <c r="B362" s="446" t="str">
        <f>_xlfn.CONCAT(Tableau119[[#This Row],[Name ILN]],"-",Tableau119[[#This Row],[Name Shipper]],"-",Tableau119[[#This Row],[Name Site]])</f>
        <v>KWE Shanghai-KWE Shanghai-PALENCIA</v>
      </c>
      <c r="C362" s="66" t="str">
        <f>_xlfn.CONCAT(Tableau119[[#This Row],[Compte ILN]],"-",Tableau119[[#This Row],[Compte Shipper]],"-",Tableau119[[#This Row],[POL]],"-",Tableau119[[#This Row],[Compte Consignee]])</f>
        <v>26037000-26037000-FALSO-91017200</v>
      </c>
      <c r="D362" s="66" t="str">
        <f>_xlfn.CONCAT(Tableau119[[#This Row],[Compte ILN]],"-",Tableau119[[#This Row],[Compte Shipper]],"-",Tableau119[[#This Row],[POL]])</f>
        <v>26037000-26037000-FALSO</v>
      </c>
      <c r="E362" s="130" t="str">
        <f>_xlfn.CONCAT(Tableau119[[#This Row],[POL]],"-",Tableau119[[#This Row],[Carrier]],"-",Tableau119[[#This Row],[POD]])</f>
        <v>FALSO-FALSO-FALSO</v>
      </c>
      <c r="F362" s="66" t="str">
        <f>_xlfn.CONCAT(Tableau119[[#This Row],[ID]],"-","Actif")</f>
        <v>154-Actif</v>
      </c>
      <c r="G362" s="66" t="str">
        <f>_xlfn.CONCAT(Tableau119[[#This Row],[POD]],"-",Tableau119[[#This Row],[Code PFI]],"-",Tableau119[[#This Row],[Compte Consignee]])</f>
        <v>FALSO-91018400-91017200</v>
      </c>
      <c r="H3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ShanghaiFALSOPALENCIA</v>
      </c>
      <c r="I362" s="434" t="str">
        <f>_xlfn.CONCAT(Tableau119[[#This Row],[ID]],"-",Tableau119[[#This Row],[Expiration Date]])</f>
        <v>154-46053</v>
      </c>
      <c r="J3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PALENCIA-KWE Shanghai-KWE Shanghai-154-FALSO-FALSO-FALSO-CDD VLL-46053</v>
      </c>
      <c r="K362" s="119" t="str">
        <f ca="1">IF(COUNTIF(J:J,Tableau119[[#This Row],[Plant-ILN-shipper-POL-Carrier-POD-PFI]])=1,"Non","Oui")</f>
        <v>Non</v>
      </c>
      <c r="L362" s="128" t="str">
        <f>VLOOKUP(Tableau119[[#This Row],[Name Site]],Plant_AILN!A:D,4,FALSE)</f>
        <v>SPAIN</v>
      </c>
      <c r="M362" s="411" t="s">
        <v>184</v>
      </c>
      <c r="N362" s="454">
        <f>VLOOKUP(Tableau119[[#This Row],[Name Site]],Plant_AILN!A:C,3,FALSE)</f>
        <v>91017200</v>
      </c>
      <c r="O362" s="55">
        <f>IF(Tableau119[[#This Row],[Name PFI/CDD]]="PFI VLL",2,VLOOKUP(Tableau119[[#This Row],[Compte Consignee]],Order!C:D,2,FALSE))</f>
        <v>7</v>
      </c>
      <c r="P362" s="124" t="s">
        <v>62</v>
      </c>
      <c r="Q362" s="365">
        <f>VLOOKUP(Tableau119[[#This Row],[Name ILN]],Plant_AILN!F:G,2,FALSE)</f>
        <v>26037000</v>
      </c>
      <c r="R362" s="50">
        <f>VLOOKUP(Tableau119[[#This Row],[Compte ILN]],'DATA ILN'!D:I,6,FALSE)</f>
        <v>9</v>
      </c>
      <c r="S362" s="50" t="e">
        <f>IFERROR(VLOOKUP(Tableau119[[#This Row],[Key(Compte ILN - shipper - POL - plant)]],'DATA ILN'!A:J,10,FALSE),VLOOKUP(Tableau119[[#This Row],[Key(Compte ILN - shipper - POL)]],'DATA ILN'!B:J,9,FALSE))</f>
        <v>#N/A</v>
      </c>
      <c r="T362" s="50" t="e">
        <f>IFERROR(VLOOKUP(Tableau119[[#This Row],[Key(Compte ILN - shipper - POL - plant)]],'DATA ILN'!A:K,11,FALSE),VLOOKUP(Tableau119[[#This Row],[Key(Compte ILN - shipper - POL)]],'DATA ILN'!B:K,10,FALSE))</f>
        <v>#N/A</v>
      </c>
      <c r="U362" s="50" t="e">
        <f>IFERROR(VLOOKUP(Tableau119[[#This Row],[Key(Compte ILN - shipper - POL - plant)]],'DATA ILN'!A:L,12,FALSE),VLOOKUP(Tableau119[[#This Row],[Key(Compte ILN - shipper - POL)]],'DATA ILN'!B:L,11,FALSE))</f>
        <v>#N/A</v>
      </c>
      <c r="V362" s="50" t="e">
        <f>Tableau119[[#This Row],[Day ILN Order]]+Tableau119[[#This Row],[Delivery time to ILN/Shipper]]-1</f>
        <v>#N/A</v>
      </c>
      <c r="W362" s="50" t="e">
        <f>IFERROR(VLOOKUP(Tableau119[[#This Row],[Key(Compte ILN - shipper - POL - plant)]],'DATA ILN'!A:N,14,FALSE),VLOOKUP(Tableau119[[#This Row],[Key(Compte ILN - shipper - POL)]],'DATA ILN'!B:N,13,FALSE))</f>
        <v>#N/A</v>
      </c>
      <c r="X362" s="50" t="e">
        <f>IFERROR(VLOOKUP(Tableau119[[#This Row],[Key(Compte ILN - shipper - POL - plant)]],'DATA ILN'!A:P,16,FALSE),VLOOKUP(Tableau119[[#This Row],[Key(Compte ILN - shipper - POL)]],'DATA ILN'!B:P,15,FALSE))</f>
        <v>#N/A</v>
      </c>
      <c r="Y362" s="284" t="s">
        <v>62</v>
      </c>
      <c r="Z362" s="430">
        <f>IFERROR(VLOOKUP(Tableau119[[#This Row],[Name Shipper]],Plant_AILN!L:M,2,FALSE),0)</f>
        <v>26037000</v>
      </c>
      <c r="AA362" s="406">
        <v>154</v>
      </c>
      <c r="AB362" s="396" t="b">
        <f>_xlfn.XLOOKUP(Tableau119[[#This Row],[Key(ID-date)]],'DATA BTO'!S:S,'DATA BTO'!E:E,FALSE)</f>
        <v>0</v>
      </c>
      <c r="AC362" s="3" t="b">
        <f>_xlfn.XLOOKUP(Tableau119[[#This Row],[Key(ID-date)]],'DATA BTO'!S:S,'DATA BTO'!F:F,FALSE)</f>
        <v>0</v>
      </c>
      <c r="AD362" s="50" t="b">
        <f>_xlfn.XLOOKUP(Tableau119[[#This Row],[Key(ID-date)]],'DATA BTO'!S:S,'DATA BTO'!G:G,FALSE)</f>
        <v>0</v>
      </c>
      <c r="AE362" s="50" t="b">
        <f>_xlfn.XLOOKUP(Tableau119[[#This Row],[Key(ID-date)]],'DATA BTO'!S:S,'DATA BTO'!H:H,FALSE)</f>
        <v>0</v>
      </c>
      <c r="AF362" s="447" t="e">
        <f>IF(Tableau119[[#This Row],[First Day to POL]]&lt;=Tableau119[[#This Row],[Day Cut Off]],Tableau119[[#This Row],[Day ETD]],Tableau119[[#This Row],[Day ETD]]+7)</f>
        <v>#N/A</v>
      </c>
      <c r="AG362" s="50" t="b">
        <f>_xlfn.XLOOKUP(Tableau119[[#This Row],[Key(ID-date)]],'DATA BTO'!S:S,'DATA BTO'!I:I,FALSE)</f>
        <v>0</v>
      </c>
      <c r="AH362" s="3" t="b">
        <f>_xlfn.XLOOKUP(Tableau119[[#This Row],[Key(ID-date)]],'DATA BTO'!S:S,'DATA BTO'!J:J,FALSE)</f>
        <v>0</v>
      </c>
      <c r="AI362" s="3" t="b">
        <f>_xlfn.XLOOKUP(Tableau119[[#This Row],[Key(ID-date)]],'DATA BTO'!S:S,'DATA BTO'!K:K,FALSE)</f>
        <v>0</v>
      </c>
      <c r="AJ362" s="50" t="b">
        <f>_xlfn.XLOOKUP(Tableau119[[#This Row],[Key(ID-date)]],'DATA BTO'!S:S,'DATA BTO'!L:L,FALSE)</f>
        <v>0</v>
      </c>
      <c r="AK362" s="53" t="b">
        <f>_xlfn.XLOOKUP(Tableau119[[#This Row],[Key(ID-date)]],'DATA BTO'!S:S,'DATA BTO'!N:N,FALSE)</f>
        <v>0</v>
      </c>
      <c r="AL362" s="54" t="e">
        <f>VLOOKUP(Tableau119[[#This Row],[Key(POD -PFI- Usine)]],'DATA Consignee'!A:F,6,FALSE)</f>
        <v>#N/A</v>
      </c>
      <c r="AM362" s="284" t="s">
        <v>169</v>
      </c>
      <c r="AN362" s="376">
        <f>IF(Tableau119[[#This Row],[Name PFI/CDD]]="","-",VLOOKUP(Tableau119[[#This Row],[Name PFI/CDD]],Plant_AILN!I:J,2,FALSE))</f>
        <v>91018400</v>
      </c>
      <c r="AO36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2" s="2" t="e">
        <f>VLOOKUP(Tableau119[[#This Row],[Key(POD -PFI- Usine)]],'DATA Consignee'!A:J,10,FALSE)</f>
        <v>#N/A</v>
      </c>
      <c r="AR362" s="50" t="e">
        <f>VLOOKUP(Tableau119[[#This Row],[Key(POD -PFI- Usine)]],'DATA Consignee'!A:N,14,FALSE)</f>
        <v>#N/A</v>
      </c>
      <c r="AS3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2" s="50">
        <f>Tableau119[[#This Row],[Transit time]]+Tableau119[[#This Row],[Time for security]]+Tableau119[[#This Row],[Time for security2 buffer]]</f>
        <v>0</v>
      </c>
      <c r="AV3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2" s="50" t="e">
        <f>Tableau119[[#This Row],[Leadtime SI2C]]+Tableau119[[#This Row],[First Receipt Days]]-Tableau119[[#This Row],[Day Customer Order]]+1</f>
        <v>#N/A</v>
      </c>
      <c r="AX362" s="119" t="e">
        <f>IF(Tableau119[[#This Row],[Name ILN]]&lt;&gt;"SFK Freight Forwarder",Tableau119[[#This Row],[Cust. Leadtime]],Tableau119[[#This Row],[Leadtime SI2C]])</f>
        <v>#N/A</v>
      </c>
      <c r="AY362" s="51" t="b">
        <f>_xlfn.XLOOKUP(Tableau119[[#This Row],[Key(ID-date)]],'DATA BTO'!S:S,'DATA BTO'!P:P,FALSE)</f>
        <v>0</v>
      </c>
      <c r="AZ362" s="338">
        <v>46053</v>
      </c>
      <c r="BA362" s="50"/>
    </row>
    <row r="363" spans="2:53">
      <c r="B363" s="66" t="str">
        <f>_xlfn.CONCAT(Tableau119[[#This Row],[Name ILN]],"-",Tableau119[[#This Row],[Name Shipper]],"-",Tableau119[[#This Row],[Name Site]])</f>
        <v>KWE Shanghai-KWE Shanghai-SANDOUVILLE</v>
      </c>
      <c r="C363" s="66" t="str">
        <f>_xlfn.CONCAT(Tableau119[[#This Row],[Compte ILN]],"-",Tableau119[[#This Row],[Compte Shipper]],"-",Tableau119[[#This Row],[POL]],"-",Tableau119[[#This Row],[Compte Consignee]])</f>
        <v>26037000-26037000-FALSO-90017100</v>
      </c>
      <c r="D363" s="66" t="str">
        <f>_xlfn.CONCAT(Tableau119[[#This Row],[Compte ILN]],"-",Tableau119[[#This Row],[Compte Shipper]],"-",Tableau119[[#This Row],[POL]])</f>
        <v>26037000-26037000-FALSO</v>
      </c>
      <c r="E363" s="130" t="str">
        <f>_xlfn.CONCAT(Tableau119[[#This Row],[POL]],"-",Tableau119[[#This Row],[Carrier]],"-",Tableau119[[#This Row],[POD]])</f>
        <v>FALSO-FALSO-FALSO</v>
      </c>
      <c r="F363" s="66" t="str">
        <f>_xlfn.CONCAT(Tableau119[[#This Row],[ID]],"-","Actif")</f>
        <v>154-Actif</v>
      </c>
      <c r="G363" s="66" t="str">
        <f>_xlfn.CONCAT(Tableau119[[#This Row],[POD]],"-",Tableau119[[#This Row],[Code PFI]],"-",Tableau119[[#This Row],[Compte Consignee]])</f>
        <v>FALSO-91018400-90017100</v>
      </c>
      <c r="H3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ShanghaiFALSOSANDOUVILLE</v>
      </c>
      <c r="I363" s="434" t="str">
        <f>_xlfn.CONCAT(Tableau119[[#This Row],[ID]],"-",Tableau119[[#This Row],[Expiration Date]])</f>
        <v>154-46053</v>
      </c>
      <c r="J3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SANDOUVILLE-KWE Shanghai-KWE Shanghai-154-FALSO-FALSO-FALSO-PFI VLL-46053</v>
      </c>
      <c r="K363" s="119" t="str">
        <f ca="1">IF(COUNTIF(J:J,Tableau119[[#This Row],[Plant-ILN-shipper-POL-Carrier-POD-PFI]])=1,"Non","Oui")</f>
        <v>Non</v>
      </c>
      <c r="L363" s="440" t="str">
        <f>VLOOKUP(Tableau119[[#This Row],[Name Site]],Plant_AILN!A:D,4,FALSE)</f>
        <v>FRANCE</v>
      </c>
      <c r="M363" s="10" t="s">
        <v>196</v>
      </c>
      <c r="N363" s="454">
        <f>VLOOKUP(Tableau119[[#This Row],[Name Site]],Plant_AILN!A:C,3,FALSE)</f>
        <v>90017100</v>
      </c>
      <c r="O363" s="55">
        <f>IF(Tableau119[[#This Row],[Name PFI/CDD]]="PFI VLL",2,VLOOKUP(Tableau119[[#This Row],[Compte Consignee]],Order!C:D,2,FALSE))</f>
        <v>2</v>
      </c>
      <c r="P363" s="124" t="s">
        <v>62</v>
      </c>
      <c r="Q363" s="365">
        <f>VLOOKUP(Tableau119[[#This Row],[Name ILN]],Plant_AILN!F:G,2,FALSE)</f>
        <v>26037000</v>
      </c>
      <c r="R363" s="50">
        <f>VLOOKUP(Tableau119[[#This Row],[Compte ILN]],'DATA ILN'!D:I,6,FALSE)</f>
        <v>9</v>
      </c>
      <c r="S363" s="50" t="e">
        <f>IFERROR(VLOOKUP(Tableau119[[#This Row],[Key(Compte ILN - shipper - POL - plant)]],'DATA ILN'!A:J,10,FALSE),VLOOKUP(Tableau119[[#This Row],[Key(Compte ILN - shipper - POL)]],'DATA ILN'!B:J,9,FALSE))</f>
        <v>#N/A</v>
      </c>
      <c r="T363" s="50" t="e">
        <f>IFERROR(VLOOKUP(Tableau119[[#This Row],[Key(Compte ILN - shipper - POL - plant)]],'DATA ILN'!A:K,11,FALSE),VLOOKUP(Tableau119[[#This Row],[Key(Compte ILN - shipper - POL)]],'DATA ILN'!B:K,10,FALSE))</f>
        <v>#N/A</v>
      </c>
      <c r="U363" s="50" t="e">
        <f>IFERROR(VLOOKUP(Tableau119[[#This Row],[Key(Compte ILN - shipper - POL - plant)]],'DATA ILN'!A:L,12,FALSE),VLOOKUP(Tableau119[[#This Row],[Key(Compte ILN - shipper - POL)]],'DATA ILN'!B:L,11,FALSE))</f>
        <v>#N/A</v>
      </c>
      <c r="V363" s="50" t="e">
        <f>Tableau119[[#This Row],[Day ILN Order]]+Tableau119[[#This Row],[Delivery time to ILN/Shipper]]-1</f>
        <v>#N/A</v>
      </c>
      <c r="W363" s="50" t="e">
        <f>IFERROR(VLOOKUP(Tableau119[[#This Row],[Key(Compte ILN - shipper - POL - plant)]],'DATA ILN'!A:N,14,FALSE),VLOOKUP(Tableau119[[#This Row],[Key(Compte ILN - shipper - POL)]],'DATA ILN'!B:N,13,FALSE))</f>
        <v>#N/A</v>
      </c>
      <c r="X363" s="50" t="e">
        <f>IFERROR(VLOOKUP(Tableau119[[#This Row],[Key(Compte ILN - shipper - POL - plant)]],'DATA ILN'!A:P,16,FALSE),VLOOKUP(Tableau119[[#This Row],[Key(Compte ILN - shipper - POL)]],'DATA ILN'!B:P,15,FALSE))</f>
        <v>#N/A</v>
      </c>
      <c r="Y363" s="284" t="s">
        <v>62</v>
      </c>
      <c r="Z363" s="430">
        <f>IFERROR(VLOOKUP(Tableau119[[#This Row],[Name Shipper]],Plant_AILN!L:M,2,FALSE),0)</f>
        <v>26037000</v>
      </c>
      <c r="AA363" s="406">
        <v>154</v>
      </c>
      <c r="AB363" s="396" t="b">
        <f>_xlfn.XLOOKUP(Tableau119[[#This Row],[Key(ID-date)]],'DATA BTO'!S:S,'DATA BTO'!E:E,FALSE)</f>
        <v>0</v>
      </c>
      <c r="AC363" s="3" t="b">
        <f>_xlfn.XLOOKUP(Tableau119[[#This Row],[Key(ID-date)]],'DATA BTO'!S:S,'DATA BTO'!F:F,FALSE)</f>
        <v>0</v>
      </c>
      <c r="AD363" s="50" t="b">
        <f>_xlfn.XLOOKUP(Tableau119[[#This Row],[Key(ID-date)]],'DATA BTO'!S:S,'DATA BTO'!G:G,FALSE)</f>
        <v>0</v>
      </c>
      <c r="AE363" s="50" t="b">
        <f>_xlfn.XLOOKUP(Tableau119[[#This Row],[Key(ID-date)]],'DATA BTO'!S:S,'DATA BTO'!H:H,FALSE)</f>
        <v>0</v>
      </c>
      <c r="AF363" s="447" t="e">
        <f>IF(Tableau119[[#This Row],[First Day to POL]]&lt;=Tableau119[[#This Row],[Day Cut Off]],Tableau119[[#This Row],[Day ETD]],Tableau119[[#This Row],[Day ETD]]+7)</f>
        <v>#N/A</v>
      </c>
      <c r="AG363" s="50" t="b">
        <f>_xlfn.XLOOKUP(Tableau119[[#This Row],[Key(ID-date)]],'DATA BTO'!S:S,'DATA BTO'!I:I,FALSE)</f>
        <v>0</v>
      </c>
      <c r="AH363" s="3" t="b">
        <f>_xlfn.XLOOKUP(Tableau119[[#This Row],[Key(ID-date)]],'DATA BTO'!S:S,'DATA BTO'!J:J,FALSE)</f>
        <v>0</v>
      </c>
      <c r="AI363" s="3" t="b">
        <f>_xlfn.XLOOKUP(Tableau119[[#This Row],[Key(ID-date)]],'DATA BTO'!S:S,'DATA BTO'!K:K,FALSE)</f>
        <v>0</v>
      </c>
      <c r="AJ363" s="50" t="b">
        <f>_xlfn.XLOOKUP(Tableau119[[#This Row],[Key(ID-date)]],'DATA BTO'!S:S,'DATA BTO'!L:L,FALSE)</f>
        <v>0</v>
      </c>
      <c r="AK363" s="53" t="b">
        <f>_xlfn.XLOOKUP(Tableau119[[#This Row],[Key(ID-date)]],'DATA BTO'!S:S,'DATA BTO'!N:N,FALSE)</f>
        <v>0</v>
      </c>
      <c r="AL363" s="54" t="e">
        <f>VLOOKUP(Tableau119[[#This Row],[Key(POD -PFI- Usine)]],'DATA Consignee'!A:F,6,FALSE)</f>
        <v>#N/A</v>
      </c>
      <c r="AM363" s="284" t="s">
        <v>171</v>
      </c>
      <c r="AN363" s="376">
        <f>IF(Tableau119[[#This Row],[Name PFI/CDD]]="","-",VLOOKUP(Tableau119[[#This Row],[Name PFI/CDD]],Plant_AILN!I:J,2,FALSE))</f>
        <v>91018400</v>
      </c>
      <c r="AO36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3" s="2" t="e">
        <f>VLOOKUP(Tableau119[[#This Row],[Key(POD -PFI- Usine)]],'DATA Consignee'!A:J,10,FALSE)</f>
        <v>#N/A</v>
      </c>
      <c r="AR363" s="50" t="e">
        <f>VLOOKUP(Tableau119[[#This Row],[Key(POD -PFI- Usine)]],'DATA Consignee'!A:N,14,FALSE)</f>
        <v>#N/A</v>
      </c>
      <c r="AS3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3" s="50">
        <f>Tableau119[[#This Row],[Transit time]]+Tableau119[[#This Row],[Time for security]]+Tableau119[[#This Row],[Time for security2 buffer]]</f>
        <v>0</v>
      </c>
      <c r="AV3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3" s="50" t="e">
        <f>Tableau119[[#This Row],[Leadtime SI2C]]+Tableau119[[#This Row],[First Receipt Days]]-Tableau119[[#This Row],[Day Customer Order]]+1</f>
        <v>#N/A</v>
      </c>
      <c r="AX363" s="119" t="e">
        <f>IF(Tableau119[[#This Row],[Name ILN]]&lt;&gt;"SFK Freight Forwarder",Tableau119[[#This Row],[Cust. Leadtime]],Tableau119[[#This Row],[Leadtime SI2C]])</f>
        <v>#N/A</v>
      </c>
      <c r="AY363" s="51" t="b">
        <f>_xlfn.XLOOKUP(Tableau119[[#This Row],[Key(ID-date)]],'DATA BTO'!S:S,'DATA BTO'!P:P,FALSE)</f>
        <v>0</v>
      </c>
      <c r="AZ363" s="338">
        <v>46053</v>
      </c>
      <c r="BA363" s="50"/>
    </row>
    <row r="364" spans="2:53">
      <c r="B364" s="66" t="str">
        <f>_xlfn.CONCAT(Tableau119[[#This Row],[Name ILN]],"-",Tableau119[[#This Row],[Name Shipper]],"-",Tableau119[[#This Row],[Name Site]])</f>
        <v>KWE Shanghai-KWE Shanghai-SEVILLA</v>
      </c>
      <c r="C364" s="66" t="str">
        <f>_xlfn.CONCAT(Tableau119[[#This Row],[Compte ILN]],"-",Tableau119[[#This Row],[Compte Shipper]],"-",Tableau119[[#This Row],[POL]],"-",Tableau119[[#This Row],[Compte Consignee]])</f>
        <v>26037000-26037000-FALSO-91017500</v>
      </c>
      <c r="D364" s="66" t="str">
        <f>_xlfn.CONCAT(Tableau119[[#This Row],[Compte ILN]],"-",Tableau119[[#This Row],[Compte Shipper]],"-",Tableau119[[#This Row],[POL]])</f>
        <v>26037000-26037000-FALSO</v>
      </c>
      <c r="E364" s="130" t="str">
        <f>_xlfn.CONCAT(Tableau119[[#This Row],[POL]],"-",Tableau119[[#This Row],[Carrier]],"-",Tableau119[[#This Row],[POD]])</f>
        <v>FALSO-FALSO-FALSO</v>
      </c>
      <c r="F364" s="66" t="str">
        <f>_xlfn.CONCAT(Tableau119[[#This Row],[ID]],"-","Actif")</f>
        <v>154-Actif</v>
      </c>
      <c r="G364" s="66" t="str">
        <f>_xlfn.CONCAT(Tableau119[[#This Row],[POD]],"-",Tableau119[[#This Row],[Code PFI]],"-",Tableau119[[#This Row],[Compte Consignee]])</f>
        <v>FALSO-91018400-91017500</v>
      </c>
      <c r="H3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ShanghaiFALSOSEVILLA</v>
      </c>
      <c r="I364" s="434" t="str">
        <f>_xlfn.CONCAT(Tableau119[[#This Row],[ID]],"-",Tableau119[[#This Row],[Expiration Date]])</f>
        <v>154-46053</v>
      </c>
      <c r="J3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SEVILLA-KWE Shanghai-KWE Shanghai-154-FALSO-FALSO-FALSO-PFI VLL-46053</v>
      </c>
      <c r="K364" s="119" t="str">
        <f ca="1">IF(COUNTIF(J:J,Tableau119[[#This Row],[Plant-ILN-shipper-POL-Carrier-POD-PFI]])=1,"Non","Oui")</f>
        <v>Non</v>
      </c>
      <c r="L364" s="440" t="str">
        <f>VLOOKUP(Tableau119[[#This Row],[Name Site]],Plant_AILN!A:D,4,FALSE)</f>
        <v>SPAIN</v>
      </c>
      <c r="M364" s="483" t="s">
        <v>172</v>
      </c>
      <c r="N364" s="455">
        <f>VLOOKUP(Tableau119[[#This Row],[Name Site]],Plant_AILN!A:C,3,FALSE)</f>
        <v>91017500</v>
      </c>
      <c r="O364" s="104">
        <f>IF(Tableau119[[#This Row],[Name PFI/CDD]]="PFI VLL",2,VLOOKUP(Tableau119[[#This Row],[Compte Consignee]],Order!C:D,2,FALSE))</f>
        <v>2</v>
      </c>
      <c r="P364" s="126" t="s">
        <v>62</v>
      </c>
      <c r="Q364" s="366">
        <f>VLOOKUP(Tableau119[[#This Row],[Name ILN]],Plant_AILN!F:G,2,FALSE)</f>
        <v>26037000</v>
      </c>
      <c r="R364" s="81">
        <f>VLOOKUP(Tableau119[[#This Row],[Compte ILN]],'DATA ILN'!D:I,6,FALSE)</f>
        <v>9</v>
      </c>
      <c r="S364" s="81" t="e">
        <f>IFERROR(VLOOKUP(Tableau119[[#This Row],[Key(Compte ILN - shipper - POL - plant)]],'DATA ILN'!A:J,10,FALSE),VLOOKUP(Tableau119[[#This Row],[Key(Compte ILN - shipper - POL)]],'DATA ILN'!B:J,9,FALSE))</f>
        <v>#N/A</v>
      </c>
      <c r="T364" s="81" t="e">
        <f>IFERROR(VLOOKUP(Tableau119[[#This Row],[Key(Compte ILN - shipper - POL - plant)]],'DATA ILN'!A:K,11,FALSE),VLOOKUP(Tableau119[[#This Row],[Key(Compte ILN - shipper - POL)]],'DATA ILN'!B:K,10,FALSE))</f>
        <v>#N/A</v>
      </c>
      <c r="U364" s="81" t="e">
        <f>IFERROR(VLOOKUP(Tableau119[[#This Row],[Key(Compte ILN - shipper - POL - plant)]],'DATA ILN'!A:L,12,FALSE),VLOOKUP(Tableau119[[#This Row],[Key(Compte ILN - shipper - POL)]],'DATA ILN'!B:L,11,FALSE))</f>
        <v>#N/A</v>
      </c>
      <c r="V364" s="81" t="e">
        <f>Tableau119[[#This Row],[Day ILN Order]]+Tableau119[[#This Row],[Delivery time to ILN/Shipper]]-1</f>
        <v>#N/A</v>
      </c>
      <c r="W364" s="81" t="e">
        <f>IFERROR(VLOOKUP(Tableau119[[#This Row],[Key(Compte ILN - shipper - POL - plant)]],'DATA ILN'!A:N,14,FALSE),VLOOKUP(Tableau119[[#This Row],[Key(Compte ILN - shipper - POL)]],'DATA ILN'!B:N,13,FALSE))</f>
        <v>#N/A</v>
      </c>
      <c r="X364" s="81" t="e">
        <f>IFERROR(VLOOKUP(Tableau119[[#This Row],[Key(Compte ILN - shipper - POL - plant)]],'DATA ILN'!A:P,16,FALSE),VLOOKUP(Tableau119[[#This Row],[Key(Compte ILN - shipper - POL)]],'DATA ILN'!B:P,15,FALSE))</f>
        <v>#N/A</v>
      </c>
      <c r="Y364" s="102" t="s">
        <v>62</v>
      </c>
      <c r="Z364" s="417">
        <f>IFERROR(VLOOKUP(Tableau119[[#This Row],[Name Shipper]],Plant_AILN!L:M,2,FALSE),0)</f>
        <v>26037000</v>
      </c>
      <c r="AA364" s="416">
        <v>154</v>
      </c>
      <c r="AB364" s="396" t="b">
        <f>_xlfn.XLOOKUP(Tableau119[[#This Row],[Key(ID-date)]],'DATA BTO'!S:S,'DATA BTO'!E:E,FALSE)</f>
        <v>0</v>
      </c>
      <c r="AC364" s="3" t="b">
        <f>_xlfn.XLOOKUP(Tableau119[[#This Row],[Key(ID-date)]],'DATA BTO'!S:S,'DATA BTO'!F:F,FALSE)</f>
        <v>0</v>
      </c>
      <c r="AD364" s="50" t="b">
        <f>_xlfn.XLOOKUP(Tableau119[[#This Row],[Key(ID-date)]],'DATA BTO'!S:S,'DATA BTO'!G:G,FALSE)</f>
        <v>0</v>
      </c>
      <c r="AE364" s="50" t="b">
        <f>_xlfn.XLOOKUP(Tableau119[[#This Row],[Key(ID-date)]],'DATA BTO'!S:S,'DATA BTO'!H:H,FALSE)</f>
        <v>0</v>
      </c>
      <c r="AF364" s="447" t="e">
        <f>IF(Tableau119[[#This Row],[First Day to POL]]&lt;=Tableau119[[#This Row],[Day Cut Off]],Tableau119[[#This Row],[Day ETD]],Tableau119[[#This Row],[Day ETD]]+7)</f>
        <v>#N/A</v>
      </c>
      <c r="AG364" s="50" t="b">
        <f>_xlfn.XLOOKUP(Tableau119[[#This Row],[Key(ID-date)]],'DATA BTO'!S:S,'DATA BTO'!I:I,FALSE)</f>
        <v>0</v>
      </c>
      <c r="AH364" s="3" t="b">
        <f>_xlfn.XLOOKUP(Tableau119[[#This Row],[Key(ID-date)]],'DATA BTO'!S:S,'DATA BTO'!J:J,FALSE)</f>
        <v>0</v>
      </c>
      <c r="AI364" s="3" t="b">
        <f>_xlfn.XLOOKUP(Tableau119[[#This Row],[Key(ID-date)]],'DATA BTO'!S:S,'DATA BTO'!K:K,FALSE)</f>
        <v>0</v>
      </c>
      <c r="AJ364" s="50" t="b">
        <f>_xlfn.XLOOKUP(Tableau119[[#This Row],[Key(ID-date)]],'DATA BTO'!S:S,'DATA BTO'!L:L,FALSE)</f>
        <v>0</v>
      </c>
      <c r="AK364" s="53" t="b">
        <f>_xlfn.XLOOKUP(Tableau119[[#This Row],[Key(ID-date)]],'DATA BTO'!S:S,'DATA BTO'!N:N,FALSE)</f>
        <v>0</v>
      </c>
      <c r="AL364" s="54" t="e">
        <f>VLOOKUP(Tableau119[[#This Row],[Key(POD -PFI- Usine)]],'DATA Consignee'!A:F,6,FALSE)</f>
        <v>#N/A</v>
      </c>
      <c r="AM364" s="102" t="s">
        <v>171</v>
      </c>
      <c r="AN364" s="375">
        <f>IF(Tableau119[[#This Row],[Name PFI/CDD]]="","-",VLOOKUP(Tableau119[[#This Row],[Name PFI/CDD]],Plant_AILN!I:J,2,FALSE))</f>
        <v>91018400</v>
      </c>
      <c r="AO364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4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4" s="110" t="e">
        <f>VLOOKUP(Tableau119[[#This Row],[Key(POD -PFI- Usine)]],'DATA Consignee'!A:J,10,FALSE)</f>
        <v>#N/A</v>
      </c>
      <c r="AR364" s="81" t="e">
        <f>VLOOKUP(Tableau119[[#This Row],[Key(POD -PFI- Usine)]],'DATA Consignee'!A:N,14,FALSE)</f>
        <v>#N/A</v>
      </c>
      <c r="AS36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4" s="81">
        <f>Tableau119[[#This Row],[Transit time]]+Tableau119[[#This Row],[Time for security]]+Tableau119[[#This Row],[Time for security2 buffer]]</f>
        <v>0</v>
      </c>
      <c r="AV3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4" s="50" t="e">
        <f>Tableau119[[#This Row],[Leadtime SI2C]]+Tableau119[[#This Row],[First Receipt Days]]-Tableau119[[#This Row],[Day Customer Order]]+1</f>
        <v>#N/A</v>
      </c>
      <c r="AX364" s="119" t="e">
        <f>IF(Tableau119[[#This Row],[Name ILN]]&lt;&gt;"SFK Freight Forwarder",Tableau119[[#This Row],[Cust. Leadtime]],Tableau119[[#This Row],[Leadtime SI2C]])</f>
        <v>#N/A</v>
      </c>
      <c r="AY364" s="51" t="b">
        <f>_xlfn.XLOOKUP(Tableau119[[#This Row],[Key(ID-date)]],'DATA BTO'!S:S,'DATA BTO'!P:P,FALSE)</f>
        <v>0</v>
      </c>
      <c r="AZ364" s="388">
        <v>46053</v>
      </c>
      <c r="BA364" s="81"/>
    </row>
    <row r="365" spans="2:53">
      <c r="B365" s="66" t="str">
        <f>_xlfn.CONCAT(Tableau119[[#This Row],[Name ILN]],"-",Tableau119[[#This Row],[Name Shipper]],"-",Tableau119[[#This Row],[Name Site]])</f>
        <v>KWE Shanghai-KWE Shanghai-SOVAB</v>
      </c>
      <c r="C365" s="66" t="str">
        <f>_xlfn.CONCAT(Tableau119[[#This Row],[Compte ILN]],"-",Tableau119[[#This Row],[Compte Shipper]],"-",Tableau119[[#This Row],[POL]],"-",Tableau119[[#This Row],[Compte Consignee]])</f>
        <v>26037000-26037000-FALSO-90016900</v>
      </c>
      <c r="D365" s="66" t="str">
        <f>_xlfn.CONCAT(Tableau119[[#This Row],[Compte ILN]],"-",Tableau119[[#This Row],[Compte Shipper]],"-",Tableau119[[#This Row],[POL]])</f>
        <v>26037000-26037000-FALSO</v>
      </c>
      <c r="E365" s="130" t="str">
        <f>_xlfn.CONCAT(Tableau119[[#This Row],[POL]],"-",Tableau119[[#This Row],[Carrier]],"-",Tableau119[[#This Row],[POD]])</f>
        <v>FALSO-FALSO-FALSO</v>
      </c>
      <c r="F365" s="66" t="str">
        <f>_xlfn.CONCAT(Tableau119[[#This Row],[ID]],"-","Actif")</f>
        <v>154-Actif</v>
      </c>
      <c r="G365" s="66" t="str">
        <f>_xlfn.CONCAT(Tableau119[[#This Row],[POD]],"-",Tableau119[[#This Row],[Code PFI]],"-",Tableau119[[#This Row],[Compte Consignee]])</f>
        <v>FALSO-91018400-90016900</v>
      </c>
      <c r="H3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ShanghaiFALSOSOVAB</v>
      </c>
      <c r="I365" s="434" t="str">
        <f>_xlfn.CONCAT(Tableau119[[#This Row],[ID]],"-",Tableau119[[#This Row],[Expiration Date]])</f>
        <v>154-46053</v>
      </c>
      <c r="J3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SOVAB-KWE Shanghai-KWE Shanghai-154-FALSO-FALSO-FALSO-PFI VLL-46053</v>
      </c>
      <c r="K365" s="119" t="str">
        <f ca="1">IF(COUNTIF(J:J,Tableau119[[#This Row],[Plant-ILN-shipper-POL-Carrier-POD-PFI]])=1,"Non","Oui")</f>
        <v>Non</v>
      </c>
      <c r="L365" s="440" t="str">
        <f>VLOOKUP(Tableau119[[#This Row],[Name Site]],Plant_AILN!A:D,4,FALSE)</f>
        <v>FRANCE</v>
      </c>
      <c r="M365" s="10" t="s">
        <v>154</v>
      </c>
      <c r="N365" s="454">
        <f>VLOOKUP(Tableau119[[#This Row],[Name Site]],Plant_AILN!A:C,3,FALSE)</f>
        <v>90016900</v>
      </c>
      <c r="O365" s="55">
        <f>IF(Tableau119[[#This Row],[Name PFI/CDD]]="PFI VLL",2,VLOOKUP(Tableau119[[#This Row],[Compte Consignee]],Order!C:D,2,FALSE))</f>
        <v>2</v>
      </c>
      <c r="P365" s="124" t="s">
        <v>62</v>
      </c>
      <c r="Q365" s="365">
        <f>VLOOKUP(Tableau119[[#This Row],[Name ILN]],Plant_AILN!F:G,2,FALSE)</f>
        <v>26037000</v>
      </c>
      <c r="R365" s="50">
        <f>VLOOKUP(Tableau119[[#This Row],[Compte ILN]],'DATA ILN'!D:I,6,FALSE)</f>
        <v>9</v>
      </c>
      <c r="S365" s="50" t="e">
        <f>IFERROR(VLOOKUP(Tableau119[[#This Row],[Key(Compte ILN - shipper - POL - plant)]],'DATA ILN'!A:J,10,FALSE),VLOOKUP(Tableau119[[#This Row],[Key(Compte ILN - shipper - POL)]],'DATA ILN'!B:J,9,FALSE))</f>
        <v>#N/A</v>
      </c>
      <c r="T365" s="50" t="e">
        <f>IFERROR(VLOOKUP(Tableau119[[#This Row],[Key(Compte ILN - shipper - POL - plant)]],'DATA ILN'!A:K,11,FALSE),VLOOKUP(Tableau119[[#This Row],[Key(Compte ILN - shipper - POL)]],'DATA ILN'!B:K,10,FALSE))</f>
        <v>#N/A</v>
      </c>
      <c r="U365" s="50" t="e">
        <f>IFERROR(VLOOKUP(Tableau119[[#This Row],[Key(Compte ILN - shipper - POL - plant)]],'DATA ILN'!A:L,12,FALSE),VLOOKUP(Tableau119[[#This Row],[Key(Compte ILN - shipper - POL)]],'DATA ILN'!B:L,11,FALSE))</f>
        <v>#N/A</v>
      </c>
      <c r="V365" s="50" t="e">
        <f>Tableau119[[#This Row],[Day ILN Order]]+Tableau119[[#This Row],[Delivery time to ILN/Shipper]]-1</f>
        <v>#N/A</v>
      </c>
      <c r="W365" s="50" t="e">
        <f>IFERROR(VLOOKUP(Tableau119[[#This Row],[Key(Compte ILN - shipper - POL - plant)]],'DATA ILN'!A:N,14,FALSE),VLOOKUP(Tableau119[[#This Row],[Key(Compte ILN - shipper - POL)]],'DATA ILN'!B:N,13,FALSE))</f>
        <v>#N/A</v>
      </c>
      <c r="X365" s="50" t="e">
        <f>IFERROR(VLOOKUP(Tableau119[[#This Row],[Key(Compte ILN - shipper - POL - plant)]],'DATA ILN'!A:P,16,FALSE),VLOOKUP(Tableau119[[#This Row],[Key(Compte ILN - shipper - POL)]],'DATA ILN'!B:P,15,FALSE))</f>
        <v>#N/A</v>
      </c>
      <c r="Y365" s="284" t="s">
        <v>62</v>
      </c>
      <c r="Z365" s="430">
        <f>IFERROR(VLOOKUP(Tableau119[[#This Row],[Name Shipper]],Plant_AILN!L:M,2,FALSE),0)</f>
        <v>26037000</v>
      </c>
      <c r="AA365" s="406">
        <v>154</v>
      </c>
      <c r="AB365" s="396" t="b">
        <f>_xlfn.XLOOKUP(Tableau119[[#This Row],[Key(ID-date)]],'DATA BTO'!S:S,'DATA BTO'!E:E,FALSE)</f>
        <v>0</v>
      </c>
      <c r="AC365" s="3" t="b">
        <f>_xlfn.XLOOKUP(Tableau119[[#This Row],[Key(ID-date)]],'DATA BTO'!S:S,'DATA BTO'!F:F,FALSE)</f>
        <v>0</v>
      </c>
      <c r="AD365" s="50" t="b">
        <f>_xlfn.XLOOKUP(Tableau119[[#This Row],[Key(ID-date)]],'DATA BTO'!S:S,'DATA BTO'!G:G,FALSE)</f>
        <v>0</v>
      </c>
      <c r="AE365" s="50" t="b">
        <f>_xlfn.XLOOKUP(Tableau119[[#This Row],[Key(ID-date)]],'DATA BTO'!S:S,'DATA BTO'!H:H,FALSE)</f>
        <v>0</v>
      </c>
      <c r="AF365" s="447" t="e">
        <f>IF(Tableau119[[#This Row],[First Day to POL]]&lt;=Tableau119[[#This Row],[Day Cut Off]],Tableau119[[#This Row],[Day ETD]],Tableau119[[#This Row],[Day ETD]]+7)</f>
        <v>#N/A</v>
      </c>
      <c r="AG365" s="50" t="b">
        <f>_xlfn.XLOOKUP(Tableau119[[#This Row],[Key(ID-date)]],'DATA BTO'!S:S,'DATA BTO'!I:I,FALSE)</f>
        <v>0</v>
      </c>
      <c r="AH365" s="3" t="b">
        <f>_xlfn.XLOOKUP(Tableau119[[#This Row],[Key(ID-date)]],'DATA BTO'!S:S,'DATA BTO'!J:J,FALSE)</f>
        <v>0</v>
      </c>
      <c r="AI365" s="3" t="b">
        <f>_xlfn.XLOOKUP(Tableau119[[#This Row],[Key(ID-date)]],'DATA BTO'!S:S,'DATA BTO'!K:K,FALSE)</f>
        <v>0</v>
      </c>
      <c r="AJ365" s="50" t="b">
        <f>_xlfn.XLOOKUP(Tableau119[[#This Row],[Key(ID-date)]],'DATA BTO'!S:S,'DATA BTO'!L:L,FALSE)</f>
        <v>0</v>
      </c>
      <c r="AK365" s="53" t="b">
        <f>_xlfn.XLOOKUP(Tableau119[[#This Row],[Key(ID-date)]],'DATA BTO'!S:S,'DATA BTO'!N:N,FALSE)</f>
        <v>0</v>
      </c>
      <c r="AL365" s="54" t="e">
        <f>VLOOKUP(Tableau119[[#This Row],[Key(POD -PFI- Usine)]],'DATA Consignee'!A:F,6,FALSE)</f>
        <v>#N/A</v>
      </c>
      <c r="AM365" s="284" t="s">
        <v>171</v>
      </c>
      <c r="AN365" s="376">
        <f>IF(Tableau119[[#This Row],[Name PFI/CDD]]="","-",VLOOKUP(Tableau119[[#This Row],[Name PFI/CDD]],Plant_AILN!I:J,2,FALSE))</f>
        <v>91018400</v>
      </c>
      <c r="AO36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5" s="2" t="e">
        <f>VLOOKUP(Tableau119[[#This Row],[Key(POD -PFI- Usine)]],'DATA Consignee'!A:J,10,FALSE)</f>
        <v>#N/A</v>
      </c>
      <c r="AR365" s="50" t="e">
        <f>VLOOKUP(Tableau119[[#This Row],[Key(POD -PFI- Usine)]],'DATA Consignee'!A:N,14,FALSE)</f>
        <v>#N/A</v>
      </c>
      <c r="AS3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5" s="50">
        <f>Tableau119[[#This Row],[Transit time]]+Tableau119[[#This Row],[Time for security]]+Tableau119[[#This Row],[Time for security2 buffer]]</f>
        <v>0</v>
      </c>
      <c r="AV3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5" s="50" t="e">
        <f>Tableau119[[#This Row],[Leadtime SI2C]]+Tableau119[[#This Row],[First Receipt Days]]-Tableau119[[#This Row],[Day Customer Order]]+1</f>
        <v>#N/A</v>
      </c>
      <c r="AX365" s="119" t="e">
        <f>IF(Tableau119[[#This Row],[Name ILN]]&lt;&gt;"SFK Freight Forwarder",Tableau119[[#This Row],[Cust. Leadtime]],Tableau119[[#This Row],[Leadtime SI2C]])</f>
        <v>#N/A</v>
      </c>
      <c r="AY365" s="51" t="b">
        <f>_xlfn.XLOOKUP(Tableau119[[#This Row],[Key(ID-date)]],'DATA BTO'!S:S,'DATA BTO'!P:P,FALSE)</f>
        <v>0</v>
      </c>
      <c r="AZ365" s="338">
        <v>46053</v>
      </c>
      <c r="BA365" s="50"/>
    </row>
    <row r="366" spans="2:53">
      <c r="B366" s="446" t="str">
        <f>_xlfn.CONCAT(Tableau119[[#This Row],[Name ILN]],"-",Tableau119[[#This Row],[Name Shipper]],"-",Tableau119[[#This Row],[Name Site]])</f>
        <v>KWE Shanghai-KWE Shanghai-STA</v>
      </c>
      <c r="C366" s="66" t="str">
        <f>_xlfn.CONCAT(Tableau119[[#This Row],[Compte ILN]],"-",Tableau119[[#This Row],[Compte Shipper]],"-",Tableau119[[#This Row],[POL]],"-",Tableau119[[#This Row],[Compte Consignee]])</f>
        <v>26037000-26037000-FALSO-90018400</v>
      </c>
      <c r="D366" s="66" t="str">
        <f>_xlfn.CONCAT(Tableau119[[#This Row],[Compte ILN]],"-",Tableau119[[#This Row],[Compte Shipper]],"-",Tableau119[[#This Row],[POL]])</f>
        <v>26037000-26037000-FALSO</v>
      </c>
      <c r="E366" s="130" t="str">
        <f>_xlfn.CONCAT(Tableau119[[#This Row],[POL]],"-",Tableau119[[#This Row],[Carrier]],"-",Tableau119[[#This Row],[POD]])</f>
        <v>FALSO-FALSO-FALSO</v>
      </c>
      <c r="F366" s="66" t="str">
        <f>_xlfn.CONCAT(Tableau119[[#This Row],[ID]],"-","Actif")</f>
        <v>154-Actif</v>
      </c>
      <c r="G366" s="66" t="str">
        <f>_xlfn.CONCAT(Tableau119[[#This Row],[POD]],"-",Tableau119[[#This Row],[Code PFI]],"-",Tableau119[[#This Row],[Compte Consignee]])</f>
        <v>FALSO-91018400-90018400</v>
      </c>
      <c r="H3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ShanghaiFALSOSTA</v>
      </c>
      <c r="I366" s="434" t="str">
        <f>_xlfn.CONCAT(Tableau119[[#This Row],[ID]],"-",Tableau119[[#This Row],[Expiration Date]])</f>
        <v>154-46053</v>
      </c>
      <c r="J3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STA-KWE Shanghai-KWE Shanghai-154-FALSO-FALSO-FALSO-PFI VLL-46053</v>
      </c>
      <c r="K366" s="119" t="str">
        <f ca="1">IF(COUNTIF(J:J,Tableau119[[#This Row],[Plant-ILN-shipper-POL-Carrier-POD-PFI]])=1,"Non","Oui")</f>
        <v>Non</v>
      </c>
      <c r="L366" s="128" t="str">
        <f>VLOOKUP(Tableau119[[#This Row],[Name Site]],Plant_AILN!A:D,4,FALSE)</f>
        <v>FRANCE</v>
      </c>
      <c r="M366" s="411" t="s">
        <v>219</v>
      </c>
      <c r="N366" s="454">
        <f>VLOOKUP(Tableau119[[#This Row],[Name Site]],Plant_AILN!A:C,3,FALSE)</f>
        <v>90018400</v>
      </c>
      <c r="O366" s="55">
        <f>IF(Tableau119[[#This Row],[Name PFI/CDD]]="PFI VLL",2,VLOOKUP(Tableau119[[#This Row],[Compte Consignee]],Order!C:D,2,FALSE))</f>
        <v>2</v>
      </c>
      <c r="P366" s="124" t="s">
        <v>62</v>
      </c>
      <c r="Q366" s="365">
        <f>VLOOKUP(Tableau119[[#This Row],[Name ILN]],Plant_AILN!F:G,2,FALSE)</f>
        <v>26037000</v>
      </c>
      <c r="R366" s="50">
        <f>VLOOKUP(Tableau119[[#This Row],[Compte ILN]],'DATA ILN'!D:I,6,FALSE)</f>
        <v>9</v>
      </c>
      <c r="S366" s="50" t="e">
        <f>IFERROR(VLOOKUP(Tableau119[[#This Row],[Key(Compte ILN - shipper - POL - plant)]],'DATA ILN'!A:J,10,FALSE),VLOOKUP(Tableau119[[#This Row],[Key(Compte ILN - shipper - POL)]],'DATA ILN'!B:J,9,FALSE))</f>
        <v>#N/A</v>
      </c>
      <c r="T366" s="50" t="e">
        <f>IFERROR(VLOOKUP(Tableau119[[#This Row],[Key(Compte ILN - shipper - POL - plant)]],'DATA ILN'!A:K,11,FALSE),VLOOKUP(Tableau119[[#This Row],[Key(Compte ILN - shipper - POL)]],'DATA ILN'!B:K,10,FALSE))</f>
        <v>#N/A</v>
      </c>
      <c r="U366" s="50" t="e">
        <f>IFERROR(VLOOKUP(Tableau119[[#This Row],[Key(Compte ILN - shipper - POL - plant)]],'DATA ILN'!A:L,12,FALSE),VLOOKUP(Tableau119[[#This Row],[Key(Compte ILN - shipper - POL)]],'DATA ILN'!B:L,11,FALSE))</f>
        <v>#N/A</v>
      </c>
      <c r="V366" s="50" t="e">
        <f>Tableau119[[#This Row],[Day ILN Order]]+Tableau119[[#This Row],[Delivery time to ILN/Shipper]]-1</f>
        <v>#N/A</v>
      </c>
      <c r="W366" s="50" t="e">
        <f>IFERROR(VLOOKUP(Tableau119[[#This Row],[Key(Compte ILN - shipper - POL - plant)]],'DATA ILN'!A:N,14,FALSE),VLOOKUP(Tableau119[[#This Row],[Key(Compte ILN - shipper - POL)]],'DATA ILN'!B:N,13,FALSE))</f>
        <v>#N/A</v>
      </c>
      <c r="X366" s="50" t="e">
        <f>IFERROR(VLOOKUP(Tableau119[[#This Row],[Key(Compte ILN - shipper - POL - plant)]],'DATA ILN'!A:P,16,FALSE),VLOOKUP(Tableau119[[#This Row],[Key(Compte ILN - shipper - POL)]],'DATA ILN'!B:P,15,FALSE))</f>
        <v>#N/A</v>
      </c>
      <c r="Y366" s="284" t="s">
        <v>62</v>
      </c>
      <c r="Z366" s="430">
        <f>IFERROR(VLOOKUP(Tableau119[[#This Row],[Name Shipper]],Plant_AILN!L:M,2,FALSE),0)</f>
        <v>26037000</v>
      </c>
      <c r="AA366" s="406">
        <v>154</v>
      </c>
      <c r="AB366" s="396" t="b">
        <f>_xlfn.XLOOKUP(Tableau119[[#This Row],[Key(ID-date)]],'DATA BTO'!S:S,'DATA BTO'!E:E,FALSE)</f>
        <v>0</v>
      </c>
      <c r="AC366" s="3" t="b">
        <f>_xlfn.XLOOKUP(Tableau119[[#This Row],[Key(ID-date)]],'DATA BTO'!S:S,'DATA BTO'!F:F,FALSE)</f>
        <v>0</v>
      </c>
      <c r="AD366" s="50" t="b">
        <f>_xlfn.XLOOKUP(Tableau119[[#This Row],[Key(ID-date)]],'DATA BTO'!S:S,'DATA BTO'!G:G,FALSE)</f>
        <v>0</v>
      </c>
      <c r="AE366" s="50" t="b">
        <f>_xlfn.XLOOKUP(Tableau119[[#This Row],[Key(ID-date)]],'DATA BTO'!S:S,'DATA BTO'!H:H,FALSE)</f>
        <v>0</v>
      </c>
      <c r="AF366" s="447" t="e">
        <f>IF(Tableau119[[#This Row],[First Day to POL]]&lt;=Tableau119[[#This Row],[Day Cut Off]],Tableau119[[#This Row],[Day ETD]],Tableau119[[#This Row],[Day ETD]]+7)</f>
        <v>#N/A</v>
      </c>
      <c r="AG366" s="50" t="b">
        <f>_xlfn.XLOOKUP(Tableau119[[#This Row],[Key(ID-date)]],'DATA BTO'!S:S,'DATA BTO'!I:I,FALSE)</f>
        <v>0</v>
      </c>
      <c r="AH366" s="3" t="b">
        <f>_xlfn.XLOOKUP(Tableau119[[#This Row],[Key(ID-date)]],'DATA BTO'!S:S,'DATA BTO'!J:J,FALSE)</f>
        <v>0</v>
      </c>
      <c r="AI366" s="3" t="b">
        <f>_xlfn.XLOOKUP(Tableau119[[#This Row],[Key(ID-date)]],'DATA BTO'!S:S,'DATA BTO'!K:K,FALSE)</f>
        <v>0</v>
      </c>
      <c r="AJ366" s="50" t="b">
        <f>_xlfn.XLOOKUP(Tableau119[[#This Row],[Key(ID-date)]],'DATA BTO'!S:S,'DATA BTO'!L:L,FALSE)</f>
        <v>0</v>
      </c>
      <c r="AK366" s="53" t="b">
        <f>_xlfn.XLOOKUP(Tableau119[[#This Row],[Key(ID-date)]],'DATA BTO'!S:S,'DATA BTO'!N:N,FALSE)</f>
        <v>0</v>
      </c>
      <c r="AL366" s="54" t="e">
        <f>VLOOKUP(Tableau119[[#This Row],[Key(POD -PFI- Usine)]],'DATA Consignee'!A:F,6,FALSE)</f>
        <v>#N/A</v>
      </c>
      <c r="AM366" s="284" t="s">
        <v>171</v>
      </c>
      <c r="AN366" s="376">
        <f>IF(Tableau119[[#This Row],[Name PFI/CDD]]="","-",VLOOKUP(Tableau119[[#This Row],[Name PFI/CDD]],Plant_AILN!I:J,2,FALSE))</f>
        <v>91018400</v>
      </c>
      <c r="AO366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6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6" s="2" t="e">
        <f>VLOOKUP(Tableau119[[#This Row],[Key(POD -PFI- Usine)]],'DATA Consignee'!A:J,10,FALSE)</f>
        <v>#N/A</v>
      </c>
      <c r="AR366" s="50" t="e">
        <f>VLOOKUP(Tableau119[[#This Row],[Key(POD -PFI- Usine)]],'DATA Consignee'!A:N,14,FALSE)</f>
        <v>#N/A</v>
      </c>
      <c r="AS3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6" s="50">
        <f>Tableau119[[#This Row],[Transit time]]+Tableau119[[#This Row],[Time for security]]+Tableau119[[#This Row],[Time for security2 buffer]]</f>
        <v>0</v>
      </c>
      <c r="AV3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6" s="50" t="e">
        <f>Tableau119[[#This Row],[Leadtime SI2C]]+Tableau119[[#This Row],[First Receipt Days]]-Tableau119[[#This Row],[Day Customer Order]]+1</f>
        <v>#N/A</v>
      </c>
      <c r="AX366" s="119" t="e">
        <f>IF(Tableau119[[#This Row],[Name ILN]]&lt;&gt;"SFK Freight Forwarder",Tableau119[[#This Row],[Cust. Leadtime]],Tableau119[[#This Row],[Leadtime SI2C]])</f>
        <v>#N/A</v>
      </c>
      <c r="AY366" s="51" t="b">
        <f>_xlfn.XLOOKUP(Tableau119[[#This Row],[Key(ID-date)]],'DATA BTO'!S:S,'DATA BTO'!P:P,FALSE)</f>
        <v>0</v>
      </c>
      <c r="AZ366" s="338">
        <v>46053</v>
      </c>
      <c r="BA366" s="50"/>
    </row>
    <row r="367" spans="2:53">
      <c r="B367" s="66" t="str">
        <f>_xlfn.CONCAT(Tableau119[[#This Row],[Name ILN]],"-",Tableau119[[#This Row],[Name Shipper]],"-",Tableau119[[#This Row],[Name Site]])</f>
        <v>KWE Shanghai-KWE Shanghai-VALL MONTAGE</v>
      </c>
      <c r="C367" s="66" t="str">
        <f>_xlfn.CONCAT(Tableau119[[#This Row],[Compte ILN]],"-",Tableau119[[#This Row],[Compte Shipper]],"-",Tableau119[[#This Row],[POL]],"-",Tableau119[[#This Row],[Compte Consignee]])</f>
        <v>26037000-26037000-FALSO-91017300</v>
      </c>
      <c r="D367" s="66" t="str">
        <f>_xlfn.CONCAT(Tableau119[[#This Row],[Compte ILN]],"-",Tableau119[[#This Row],[Compte Shipper]],"-",Tableau119[[#This Row],[POL]])</f>
        <v>26037000-26037000-FALSO</v>
      </c>
      <c r="E367" s="130" t="str">
        <f>_xlfn.CONCAT(Tableau119[[#This Row],[POL]],"-",Tableau119[[#This Row],[Carrier]],"-",Tableau119[[#This Row],[POD]])</f>
        <v>FALSO-FALSO-FALSO</v>
      </c>
      <c r="F367" s="66" t="str">
        <f>_xlfn.CONCAT(Tableau119[[#This Row],[ID]],"-","Actif")</f>
        <v>154-Actif</v>
      </c>
      <c r="G367" s="66" t="str">
        <f>_xlfn.CONCAT(Tableau119[[#This Row],[POD]],"-",Tableau119[[#This Row],[Code PFI]],"-",Tableau119[[#This Row],[Compte Consignee]])</f>
        <v>FALSO-91018400-91017300</v>
      </c>
      <c r="H3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ShanghaiFALSOVALL MONTAGE</v>
      </c>
      <c r="I367" s="434" t="str">
        <f>_xlfn.CONCAT(Tableau119[[#This Row],[ID]],"-",Tableau119[[#This Row],[Expiration Date]])</f>
        <v>154-46053</v>
      </c>
      <c r="J3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Shanghai-154-FALSO-FALSO-FALSO-CDD VLL-46053</v>
      </c>
      <c r="K367" s="119" t="str">
        <f ca="1">IF(COUNTIF(J:J,Tableau119[[#This Row],[Plant-ILN-shipper-POL-Carrier-POD-PFI]])=1,"Non","Oui")</f>
        <v>Non</v>
      </c>
      <c r="L367" s="436" t="str">
        <f>VLOOKUP(Tableau119[[#This Row],[Name Site]],Plant_AILN!A:D,4,FALSE)</f>
        <v>SPAIN</v>
      </c>
      <c r="M367" s="485" t="s">
        <v>175</v>
      </c>
      <c r="N367" s="455">
        <f>VLOOKUP(Tableau119[[#This Row],[Name Site]],Plant_AILN!A:C,3,FALSE)</f>
        <v>91017300</v>
      </c>
      <c r="O367" s="104">
        <f>IF(Tableau119[[#This Row],[Name PFI/CDD]]="PFI VLL",2,VLOOKUP(Tableau119[[#This Row],[Compte Consignee]],Order!C:D,2,FALSE))</f>
        <v>7</v>
      </c>
      <c r="P367" s="126" t="s">
        <v>62</v>
      </c>
      <c r="Q367" s="366">
        <f>VLOOKUP(Tableau119[[#This Row],[Name ILN]],Plant_AILN!F:G,2,FALSE)</f>
        <v>26037000</v>
      </c>
      <c r="R367" s="81">
        <f>VLOOKUP(Tableau119[[#This Row],[Compte ILN]],'DATA ILN'!D:I,6,FALSE)</f>
        <v>9</v>
      </c>
      <c r="S367" s="81" t="e">
        <f>IFERROR(VLOOKUP(Tableau119[[#This Row],[Key(Compte ILN - shipper - POL - plant)]],'DATA ILN'!A:J,10,FALSE),VLOOKUP(Tableau119[[#This Row],[Key(Compte ILN - shipper - POL)]],'DATA ILN'!B:J,9,FALSE))</f>
        <v>#N/A</v>
      </c>
      <c r="T367" s="81" t="e">
        <f>IFERROR(VLOOKUP(Tableau119[[#This Row],[Key(Compte ILN - shipper - POL - plant)]],'DATA ILN'!A:K,11,FALSE),VLOOKUP(Tableau119[[#This Row],[Key(Compte ILN - shipper - POL)]],'DATA ILN'!B:K,10,FALSE))</f>
        <v>#N/A</v>
      </c>
      <c r="U367" s="81" t="e">
        <f>IFERROR(VLOOKUP(Tableau119[[#This Row],[Key(Compte ILN - shipper - POL - plant)]],'DATA ILN'!A:L,12,FALSE),VLOOKUP(Tableau119[[#This Row],[Key(Compte ILN - shipper - POL)]],'DATA ILN'!B:L,11,FALSE))</f>
        <v>#N/A</v>
      </c>
      <c r="V367" s="81" t="e">
        <f>Tableau119[[#This Row],[Day ILN Order]]+Tableau119[[#This Row],[Delivery time to ILN/Shipper]]-1</f>
        <v>#N/A</v>
      </c>
      <c r="W367" s="81" t="e">
        <f>IFERROR(VLOOKUP(Tableau119[[#This Row],[Key(Compte ILN - shipper - POL - plant)]],'DATA ILN'!A:N,14,FALSE),VLOOKUP(Tableau119[[#This Row],[Key(Compte ILN - shipper - POL)]],'DATA ILN'!B:N,13,FALSE))</f>
        <v>#N/A</v>
      </c>
      <c r="X367" s="81" t="e">
        <f>IFERROR(VLOOKUP(Tableau119[[#This Row],[Key(Compte ILN - shipper - POL - plant)]],'DATA ILN'!A:P,16,FALSE),VLOOKUP(Tableau119[[#This Row],[Key(Compte ILN - shipper - POL)]],'DATA ILN'!B:P,15,FALSE))</f>
        <v>#N/A</v>
      </c>
      <c r="Y367" s="102" t="s">
        <v>62</v>
      </c>
      <c r="Z367" s="417">
        <f>IFERROR(VLOOKUP(Tableau119[[#This Row],[Name Shipper]],Plant_AILN!L:M,2,FALSE),0)</f>
        <v>26037000</v>
      </c>
      <c r="AA367" s="416">
        <v>154</v>
      </c>
      <c r="AB367" s="396" t="b">
        <f>_xlfn.XLOOKUP(Tableau119[[#This Row],[Key(ID-date)]],'DATA BTO'!S:S,'DATA BTO'!E:E,FALSE)</f>
        <v>0</v>
      </c>
      <c r="AC367" s="3" t="b">
        <f>_xlfn.XLOOKUP(Tableau119[[#This Row],[Key(ID-date)]],'DATA BTO'!S:S,'DATA BTO'!F:F,FALSE)</f>
        <v>0</v>
      </c>
      <c r="AD367" s="50" t="b">
        <f>_xlfn.XLOOKUP(Tableau119[[#This Row],[Key(ID-date)]],'DATA BTO'!S:S,'DATA BTO'!G:G,FALSE)</f>
        <v>0</v>
      </c>
      <c r="AE367" s="50" t="b">
        <f>_xlfn.XLOOKUP(Tableau119[[#This Row],[Key(ID-date)]],'DATA BTO'!S:S,'DATA BTO'!H:H,FALSE)</f>
        <v>0</v>
      </c>
      <c r="AF367" s="447" t="e">
        <f>IF(Tableau119[[#This Row],[First Day to POL]]&lt;=Tableau119[[#This Row],[Day Cut Off]],Tableau119[[#This Row],[Day ETD]],Tableau119[[#This Row],[Day ETD]]+7)</f>
        <v>#N/A</v>
      </c>
      <c r="AG367" s="50" t="b">
        <f>_xlfn.XLOOKUP(Tableau119[[#This Row],[Key(ID-date)]],'DATA BTO'!S:S,'DATA BTO'!I:I,FALSE)</f>
        <v>0</v>
      </c>
      <c r="AH367" s="3" t="b">
        <f>_xlfn.XLOOKUP(Tableau119[[#This Row],[Key(ID-date)]],'DATA BTO'!S:S,'DATA BTO'!J:J,FALSE)</f>
        <v>0</v>
      </c>
      <c r="AI367" s="3" t="b">
        <f>_xlfn.XLOOKUP(Tableau119[[#This Row],[Key(ID-date)]],'DATA BTO'!S:S,'DATA BTO'!K:K,FALSE)</f>
        <v>0</v>
      </c>
      <c r="AJ367" s="50" t="b">
        <f>_xlfn.XLOOKUP(Tableau119[[#This Row],[Key(ID-date)]],'DATA BTO'!S:S,'DATA BTO'!L:L,FALSE)</f>
        <v>0</v>
      </c>
      <c r="AK367" s="53" t="b">
        <f>_xlfn.XLOOKUP(Tableau119[[#This Row],[Key(ID-date)]],'DATA BTO'!S:S,'DATA BTO'!N:N,FALSE)</f>
        <v>0</v>
      </c>
      <c r="AL367" s="54" t="e">
        <f>VLOOKUP(Tableau119[[#This Row],[Key(POD -PFI- Usine)]],'DATA Consignee'!A:F,6,FALSE)</f>
        <v>#N/A</v>
      </c>
      <c r="AM367" s="102" t="s">
        <v>169</v>
      </c>
      <c r="AN367" s="375">
        <f>IF(Tableau119[[#This Row],[Name PFI/CDD]]="","-",VLOOKUP(Tableau119[[#This Row],[Name PFI/CDD]],Plant_AILN!I:J,2,FALSE))</f>
        <v>91018400</v>
      </c>
      <c r="AO367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7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7" s="110" t="e">
        <f>VLOOKUP(Tableau119[[#This Row],[Key(POD -PFI- Usine)]],'DATA Consignee'!A:J,10,FALSE)</f>
        <v>#N/A</v>
      </c>
      <c r="AR367" s="81" t="e">
        <f>VLOOKUP(Tableau119[[#This Row],[Key(POD -PFI- Usine)]],'DATA Consignee'!A:N,14,FALSE)</f>
        <v>#N/A</v>
      </c>
      <c r="AS36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7" s="81">
        <f>Tableau119[[#This Row],[Transit time]]+Tableau119[[#This Row],[Time for security]]+Tableau119[[#This Row],[Time for security2 buffer]]</f>
        <v>0</v>
      </c>
      <c r="AV3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7" s="50" t="e">
        <f>Tableau119[[#This Row],[Leadtime SI2C]]+Tableau119[[#This Row],[First Receipt Days]]-Tableau119[[#This Row],[Day Customer Order]]+1</f>
        <v>#N/A</v>
      </c>
      <c r="AX367" s="119" t="e">
        <f>IF(Tableau119[[#This Row],[Name ILN]]&lt;&gt;"SFK Freight Forwarder",Tableau119[[#This Row],[Cust. Leadtime]],Tableau119[[#This Row],[Leadtime SI2C]])</f>
        <v>#N/A</v>
      </c>
      <c r="AY367" s="51" t="b">
        <f>_xlfn.XLOOKUP(Tableau119[[#This Row],[Key(ID-date)]],'DATA BTO'!S:S,'DATA BTO'!P:P,FALSE)</f>
        <v>0</v>
      </c>
      <c r="AZ367" s="388">
        <v>46053</v>
      </c>
      <c r="BA367" s="81"/>
    </row>
    <row r="368" spans="2:53">
      <c r="B368" s="446" t="str">
        <f>_xlfn.CONCAT(Tableau119[[#This Row],[Name ILN]],"-",Tableau119[[#This Row],[Name Shipper]],"-",Tableau119[[#This Row],[Name Site]])</f>
        <v>KWE Shanghai-KWE Shanghai-FLINS</v>
      </c>
      <c r="C368" s="66" t="str">
        <f>_xlfn.CONCAT(Tableau119[[#This Row],[Compte ILN]],"-",Tableau119[[#This Row],[Compte Shipper]],"-",Tableau119[[#This Row],[POL]],"-",Tableau119[[#This Row],[Compte Consignee]])</f>
        <v>26037000-26037000-FALSO-90015100</v>
      </c>
      <c r="D368" s="66" t="str">
        <f>_xlfn.CONCAT(Tableau119[[#This Row],[Compte ILN]],"-",Tableau119[[#This Row],[Compte Shipper]],"-",Tableau119[[#This Row],[POL]])</f>
        <v>26037000-26037000-FALSO</v>
      </c>
      <c r="E368" s="130" t="str">
        <f>_xlfn.CONCAT(Tableau119[[#This Row],[POL]],"-",Tableau119[[#This Row],[Carrier]],"-",Tableau119[[#This Row],[POD]])</f>
        <v>FALSO-FALSO-FALSO</v>
      </c>
      <c r="F368" s="66" t="str">
        <f>_xlfn.CONCAT(Tableau119[[#This Row],[ID]],"-","Actif")</f>
        <v>154-Actif</v>
      </c>
      <c r="G368" s="66" t="str">
        <f>_xlfn.CONCAT(Tableau119[[#This Row],[POD]],"-",Tableau119[[#This Row],[Code PFI]],"-",Tableau119[[#This Row],[Compte Consignee]])</f>
        <v>FALSO-91018400-90015100</v>
      </c>
      <c r="H3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ShanghaiFALSOFLINS</v>
      </c>
      <c r="I368" s="434" t="str">
        <f>_xlfn.CONCAT(Tableau119[[#This Row],[ID]],"-",Tableau119[[#This Row],[Expiration Date]])</f>
        <v>154-45777</v>
      </c>
      <c r="J3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FLINS-KWE Shanghai-KWE Shanghai-154-FALSO-FALSO-FALSO-PFI VLL-45777</v>
      </c>
      <c r="K368" s="119" t="str">
        <f ca="1">IF(COUNTIF(J:J,Tableau119[[#This Row],[Plant-ILN-shipper-POL-Carrier-POD-PFI]])=1,"Non","Oui")</f>
        <v>Non</v>
      </c>
      <c r="L368" s="128" t="str">
        <f>VLOOKUP(Tableau119[[#This Row],[Name Site]],Plant_AILN!A:D,4,FALSE)</f>
        <v>FRANCE</v>
      </c>
      <c r="M368" s="411" t="s">
        <v>209</v>
      </c>
      <c r="N368" s="454">
        <f>VLOOKUP(Tableau119[[#This Row],[Name Site]],Plant_AILN!A:C,3,FALSE)</f>
        <v>90015100</v>
      </c>
      <c r="O368" s="55">
        <f>VLOOKUP(Tableau119[[#This Row],[Compte Consignee]],Order!C:D,2,FALSE)</f>
        <v>7</v>
      </c>
      <c r="P368" s="124" t="s">
        <v>62</v>
      </c>
      <c r="Q368" s="365">
        <f>VLOOKUP(Tableau119[[#This Row],[Name ILN]],Plant_AILN!F:G,2,FALSE)</f>
        <v>26037000</v>
      </c>
      <c r="R368" s="50">
        <f>VLOOKUP(Tableau119[[#This Row],[Compte ILN]],'DATA ILN'!D:I,6,FALSE)</f>
        <v>9</v>
      </c>
      <c r="S368" s="50" t="e">
        <f>IFERROR(VLOOKUP(Tableau119[[#This Row],[Key(Compte ILN - shipper - POL - plant)]],'DATA ILN'!A:J,10,FALSE),VLOOKUP(Tableau119[[#This Row],[Key(Compte ILN - shipper - POL)]],'DATA ILN'!B:J,9,FALSE))</f>
        <v>#N/A</v>
      </c>
      <c r="T368" s="50" t="e">
        <f>IFERROR(VLOOKUP(Tableau119[[#This Row],[Key(Compte ILN - shipper - POL - plant)]],'DATA ILN'!A:K,11,FALSE),VLOOKUP(Tableau119[[#This Row],[Key(Compte ILN - shipper - POL)]],'DATA ILN'!B:K,10,FALSE))</f>
        <v>#N/A</v>
      </c>
      <c r="U368" s="50" t="e">
        <f>IFERROR(VLOOKUP(Tableau119[[#This Row],[Key(Compte ILN - shipper - POL - plant)]],'DATA ILN'!A:L,12,FALSE),VLOOKUP(Tableau119[[#This Row],[Key(Compte ILN - shipper - POL)]],'DATA ILN'!B:L,11,FALSE))</f>
        <v>#N/A</v>
      </c>
      <c r="V368" s="50" t="e">
        <f>Tableau119[[#This Row],[Day ILN Order]]+Tableau119[[#This Row],[Delivery time to ILN/Shipper]]-1</f>
        <v>#N/A</v>
      </c>
      <c r="W368" s="50" t="e">
        <f>IFERROR(VLOOKUP(Tableau119[[#This Row],[Key(Compte ILN - shipper - POL - plant)]],'DATA ILN'!A:N,14,FALSE),VLOOKUP(Tableau119[[#This Row],[Key(Compte ILN - shipper - POL)]],'DATA ILN'!B:N,13,FALSE))</f>
        <v>#N/A</v>
      </c>
      <c r="X368" s="50" t="e">
        <f>IFERROR(VLOOKUP(Tableau119[[#This Row],[Key(Compte ILN - shipper - POL - plant)]],'DATA ILN'!A:P,16,FALSE),VLOOKUP(Tableau119[[#This Row],[Key(Compte ILN - shipper - POL)]],'DATA ILN'!B:P,15,FALSE))</f>
        <v>#N/A</v>
      </c>
      <c r="Y368" s="284" t="s">
        <v>62</v>
      </c>
      <c r="Z368" s="430">
        <f>IFERROR(VLOOKUP(Tableau119[[#This Row],[Name Shipper]],Plant_AILN!L:M,2,FALSE),0)</f>
        <v>26037000</v>
      </c>
      <c r="AA368" s="406">
        <v>154</v>
      </c>
      <c r="AB368" s="396" t="b">
        <f>_xlfn.XLOOKUP(Tableau119[[#This Row],[Key(ID-date)]],'DATA BTO'!S:S,'DATA BTO'!E:E,FALSE)</f>
        <v>0</v>
      </c>
      <c r="AC368" s="3" t="b">
        <f>_xlfn.XLOOKUP(Tableau119[[#This Row],[Key(ID-date)]],'DATA BTO'!S:S,'DATA BTO'!F:F,FALSE)</f>
        <v>0</v>
      </c>
      <c r="AD368" s="50" t="b">
        <f>_xlfn.XLOOKUP(Tableau119[[#This Row],[Key(ID-date)]],'DATA BTO'!S:S,'DATA BTO'!G:G,FALSE)</f>
        <v>0</v>
      </c>
      <c r="AE368" s="50" t="b">
        <f>_xlfn.XLOOKUP(Tableau119[[#This Row],[Key(ID-date)]],'DATA BTO'!S:S,'DATA BTO'!H:H,FALSE)</f>
        <v>0</v>
      </c>
      <c r="AF368" s="447" t="e">
        <f>IF(Tableau119[[#This Row],[First Day to POL]]&lt;=Tableau119[[#This Row],[Day Cut Off]],Tableau119[[#This Row],[Day ETD]],Tableau119[[#This Row],[Day ETD]]+7)</f>
        <v>#N/A</v>
      </c>
      <c r="AG368" s="50" t="b">
        <f>_xlfn.XLOOKUP(Tableau119[[#This Row],[Key(ID-date)]],'DATA BTO'!S:S,'DATA BTO'!I:I,FALSE)</f>
        <v>0</v>
      </c>
      <c r="AH368" s="3" t="b">
        <f>_xlfn.XLOOKUP(Tableau119[[#This Row],[Key(ID-date)]],'DATA BTO'!S:S,'DATA BTO'!J:J,FALSE)</f>
        <v>0</v>
      </c>
      <c r="AI368" s="3" t="b">
        <f>_xlfn.XLOOKUP(Tableau119[[#This Row],[Key(ID-date)]],'DATA BTO'!S:S,'DATA BTO'!K:K,FALSE)</f>
        <v>0</v>
      </c>
      <c r="AJ368" s="50" t="b">
        <f>_xlfn.XLOOKUP(Tableau119[[#This Row],[Key(ID-date)]],'DATA BTO'!S:S,'DATA BTO'!L:L,FALSE)</f>
        <v>0</v>
      </c>
      <c r="AK368" s="53" t="b">
        <f>_xlfn.XLOOKUP(Tableau119[[#This Row],[Key(ID-date)]],'DATA BTO'!S:S,'DATA BTO'!N:N,FALSE)</f>
        <v>0</v>
      </c>
      <c r="AL368" s="54" t="e">
        <f>VLOOKUP(Tableau119[[#This Row],[Key(POD -PFI- Usine)]],'DATA Consignee'!A:F,6,FALSE)</f>
        <v>#N/A</v>
      </c>
      <c r="AM368" s="284" t="s">
        <v>171</v>
      </c>
      <c r="AN368" s="376">
        <f>IF(Tableau119[[#This Row],[Name PFI/CDD]]="","-",VLOOKUP(Tableau119[[#This Row],[Name PFI/CDD]],Plant_AILN!I:J,2,FALSE))</f>
        <v>91018400</v>
      </c>
      <c r="AO36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8" s="2" t="e">
        <f>VLOOKUP(Tableau119[[#This Row],[Key(POD -PFI- Usine)]],'DATA Consignee'!A:J,10,FALSE)</f>
        <v>#N/A</v>
      </c>
      <c r="AR368" s="50" t="e">
        <f>VLOOKUP(Tableau119[[#This Row],[Key(POD -PFI- Usine)]],'DATA Consignee'!A:N,14,FALSE)</f>
        <v>#N/A</v>
      </c>
      <c r="AS3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8" s="50">
        <f>Tableau119[[#This Row],[Transit time]]+Tableau119[[#This Row],[Time for security]]+Tableau119[[#This Row],[Time for security2 buffer]]</f>
        <v>0</v>
      </c>
      <c r="AV3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8" s="50" t="e">
        <f>Tableau119[[#This Row],[Leadtime SI2C]]+Tableau119[[#This Row],[First Receipt Days]]-Tableau119[[#This Row],[Day Customer Order]]+1</f>
        <v>#N/A</v>
      </c>
      <c r="AX368" s="119" t="e">
        <f>IF(Tableau119[[#This Row],[Name ILN]]&lt;&gt;"SFK Freight Forwarder",Tableau119[[#This Row],[Cust. Leadtime]],Tableau119[[#This Row],[Leadtime SI2C]])</f>
        <v>#N/A</v>
      </c>
      <c r="AY368" s="51" t="b">
        <f>_xlfn.XLOOKUP(Tableau119[[#This Row],[Key(ID-date)]],'DATA BTO'!S:S,'DATA BTO'!P:P,FALSE)</f>
        <v>0</v>
      </c>
      <c r="AZ368" s="338">
        <v>45777</v>
      </c>
      <c r="BA368" s="50"/>
    </row>
    <row r="369" spans="2:53">
      <c r="B369" s="446" t="str">
        <f>_xlfn.CONCAT(Tableau119[[#This Row],[Name ILN]],"-",Tableau119[[#This Row],[Name Shipper]],"-",Tableau119[[#This Row],[Name Site]])</f>
        <v>KWE Shanghai-KWE Shanghai-MAUBEUGE</v>
      </c>
      <c r="C369" s="66" t="str">
        <f>_xlfn.CONCAT(Tableau119[[#This Row],[Compte ILN]],"-",Tableau119[[#This Row],[Compte Shipper]],"-",Tableau119[[#This Row],[POL]],"-",Tableau119[[#This Row],[Compte Consignee]])</f>
        <v>26037000-26037000-FALSO-90016200</v>
      </c>
      <c r="D369" s="66" t="str">
        <f>_xlfn.CONCAT(Tableau119[[#This Row],[Compte ILN]],"-",Tableau119[[#This Row],[Compte Shipper]],"-",Tableau119[[#This Row],[POL]])</f>
        <v>26037000-26037000-FALSO</v>
      </c>
      <c r="E369" s="130" t="str">
        <f>_xlfn.CONCAT(Tableau119[[#This Row],[POL]],"-",Tableau119[[#This Row],[Carrier]],"-",Tableau119[[#This Row],[POD]])</f>
        <v>FALSO-FALSO-FALSO</v>
      </c>
      <c r="F369" s="66" t="str">
        <f>_xlfn.CONCAT(Tableau119[[#This Row],[ID]],"-","Actif")</f>
        <v>154-Actif</v>
      </c>
      <c r="G369" s="66" t="str">
        <f>_xlfn.CONCAT(Tableau119[[#This Row],[POD]],"-",Tableau119[[#This Row],[Code PFI]],"-",Tableau119[[#This Row],[Compte Consignee]])</f>
        <v>FALSO-91018400-90016200</v>
      </c>
      <c r="H3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ShanghaiFALSOMAUBEUGE</v>
      </c>
      <c r="I369" s="434" t="str">
        <f>_xlfn.CONCAT(Tableau119[[#This Row],[ID]],"-",Tableau119[[#This Row],[Expiration Date]])</f>
        <v>154-45777</v>
      </c>
      <c r="J3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MAUBEUGE-KWE Shanghai-KWE Shanghai-154-FALSO-FALSO-FALSO-PFI VLL-45777</v>
      </c>
      <c r="K369" s="119" t="str">
        <f ca="1">IF(COUNTIF(J:J,Tableau119[[#This Row],[Plant-ILN-shipper-POL-Carrier-POD-PFI]])=1,"Non","Oui")</f>
        <v>Non</v>
      </c>
      <c r="L369" s="128" t="str">
        <f>VLOOKUP(Tableau119[[#This Row],[Name Site]],Plant_AILN!A:D,4,FALSE)</f>
        <v>FRANCE</v>
      </c>
      <c r="M369" s="411" t="s">
        <v>210</v>
      </c>
      <c r="N369" s="454">
        <f>VLOOKUP(Tableau119[[#This Row],[Name Site]],Plant_AILN!A:C,3,FALSE)</f>
        <v>90016200</v>
      </c>
      <c r="O369" s="55">
        <f>VLOOKUP(Tableau119[[#This Row],[Compte Consignee]],Order!C:D,2,FALSE)</f>
        <v>7</v>
      </c>
      <c r="P369" s="124" t="s">
        <v>62</v>
      </c>
      <c r="Q369" s="365">
        <f>VLOOKUP(Tableau119[[#This Row],[Name ILN]],Plant_AILN!F:G,2,FALSE)</f>
        <v>26037000</v>
      </c>
      <c r="R369" s="50">
        <f>VLOOKUP(Tableau119[[#This Row],[Compte ILN]],'DATA ILN'!D:I,6,FALSE)</f>
        <v>9</v>
      </c>
      <c r="S369" s="50" t="e">
        <f>IFERROR(VLOOKUP(Tableau119[[#This Row],[Key(Compte ILN - shipper - POL - plant)]],'DATA ILN'!A:J,10,FALSE),VLOOKUP(Tableau119[[#This Row],[Key(Compte ILN - shipper - POL)]],'DATA ILN'!B:J,9,FALSE))</f>
        <v>#N/A</v>
      </c>
      <c r="T369" s="50" t="e">
        <f>IFERROR(VLOOKUP(Tableau119[[#This Row],[Key(Compte ILN - shipper - POL - plant)]],'DATA ILN'!A:K,11,FALSE),VLOOKUP(Tableau119[[#This Row],[Key(Compte ILN - shipper - POL)]],'DATA ILN'!B:K,10,FALSE))</f>
        <v>#N/A</v>
      </c>
      <c r="U369" s="50" t="e">
        <f>IFERROR(VLOOKUP(Tableau119[[#This Row],[Key(Compte ILN - shipper - POL - plant)]],'DATA ILN'!A:L,12,FALSE),VLOOKUP(Tableau119[[#This Row],[Key(Compte ILN - shipper - POL)]],'DATA ILN'!B:L,11,FALSE))</f>
        <v>#N/A</v>
      </c>
      <c r="V369" s="50" t="e">
        <f>Tableau119[[#This Row],[Day ILN Order]]+Tableau119[[#This Row],[Delivery time to ILN/Shipper]]-1</f>
        <v>#N/A</v>
      </c>
      <c r="W369" s="50" t="e">
        <f>IFERROR(VLOOKUP(Tableau119[[#This Row],[Key(Compte ILN - shipper - POL - plant)]],'DATA ILN'!A:N,14,FALSE),VLOOKUP(Tableau119[[#This Row],[Key(Compte ILN - shipper - POL)]],'DATA ILN'!B:N,13,FALSE))</f>
        <v>#N/A</v>
      </c>
      <c r="X369" s="50" t="e">
        <f>IFERROR(VLOOKUP(Tableau119[[#This Row],[Key(Compte ILN - shipper - POL - plant)]],'DATA ILN'!A:P,16,FALSE),VLOOKUP(Tableau119[[#This Row],[Key(Compte ILN - shipper - POL)]],'DATA ILN'!B:P,15,FALSE))</f>
        <v>#N/A</v>
      </c>
      <c r="Y369" s="284" t="s">
        <v>62</v>
      </c>
      <c r="Z369" s="430">
        <f>IFERROR(VLOOKUP(Tableau119[[#This Row],[Name Shipper]],Plant_AILN!L:M,2,FALSE),0)</f>
        <v>26037000</v>
      </c>
      <c r="AA369" s="406">
        <v>154</v>
      </c>
      <c r="AB369" s="396" t="b">
        <f>_xlfn.XLOOKUP(Tableau119[[#This Row],[Key(ID-date)]],'DATA BTO'!S:S,'DATA BTO'!E:E,FALSE)</f>
        <v>0</v>
      </c>
      <c r="AC369" s="3" t="b">
        <f>_xlfn.XLOOKUP(Tableau119[[#This Row],[Key(ID-date)]],'DATA BTO'!S:S,'DATA BTO'!F:F,FALSE)</f>
        <v>0</v>
      </c>
      <c r="AD369" s="50" t="b">
        <f>_xlfn.XLOOKUP(Tableau119[[#This Row],[Key(ID-date)]],'DATA BTO'!S:S,'DATA BTO'!G:G,FALSE)</f>
        <v>0</v>
      </c>
      <c r="AE369" s="50" t="b">
        <f>_xlfn.XLOOKUP(Tableau119[[#This Row],[Key(ID-date)]],'DATA BTO'!S:S,'DATA BTO'!H:H,FALSE)</f>
        <v>0</v>
      </c>
      <c r="AF369" s="447" t="e">
        <f>IF(Tableau119[[#This Row],[First Day to POL]]&lt;=Tableau119[[#This Row],[Day Cut Off]],Tableau119[[#This Row],[Day ETD]],Tableau119[[#This Row],[Day ETD]]+7)</f>
        <v>#N/A</v>
      </c>
      <c r="AG369" s="50" t="b">
        <f>_xlfn.XLOOKUP(Tableau119[[#This Row],[Key(ID-date)]],'DATA BTO'!S:S,'DATA BTO'!I:I,FALSE)</f>
        <v>0</v>
      </c>
      <c r="AH369" s="3" t="b">
        <f>_xlfn.XLOOKUP(Tableau119[[#This Row],[Key(ID-date)]],'DATA BTO'!S:S,'DATA BTO'!J:J,FALSE)</f>
        <v>0</v>
      </c>
      <c r="AI369" s="3" t="b">
        <f>_xlfn.XLOOKUP(Tableau119[[#This Row],[Key(ID-date)]],'DATA BTO'!S:S,'DATA BTO'!K:K,FALSE)</f>
        <v>0</v>
      </c>
      <c r="AJ369" s="50" t="b">
        <f>_xlfn.XLOOKUP(Tableau119[[#This Row],[Key(ID-date)]],'DATA BTO'!S:S,'DATA BTO'!L:L,FALSE)</f>
        <v>0</v>
      </c>
      <c r="AK369" s="53" t="b">
        <f>_xlfn.XLOOKUP(Tableau119[[#This Row],[Key(ID-date)]],'DATA BTO'!S:S,'DATA BTO'!N:N,FALSE)</f>
        <v>0</v>
      </c>
      <c r="AL369" s="54" t="e">
        <f>VLOOKUP(Tableau119[[#This Row],[Key(POD -PFI- Usine)]],'DATA Consignee'!A:F,6,FALSE)</f>
        <v>#N/A</v>
      </c>
      <c r="AM369" s="284" t="s">
        <v>171</v>
      </c>
      <c r="AN369" s="376">
        <f>IF(Tableau119[[#This Row],[Name PFI/CDD]]="","-",VLOOKUP(Tableau119[[#This Row],[Name PFI/CDD]],Plant_AILN!I:J,2,FALSE))</f>
        <v>91018400</v>
      </c>
      <c r="AO36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6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69" s="2" t="e">
        <f>VLOOKUP(Tableau119[[#This Row],[Key(POD -PFI- Usine)]],'DATA Consignee'!A:J,10,FALSE)</f>
        <v>#N/A</v>
      </c>
      <c r="AR369" s="50" t="e">
        <f>VLOOKUP(Tableau119[[#This Row],[Key(POD -PFI- Usine)]],'DATA Consignee'!A:N,14,FALSE)</f>
        <v>#N/A</v>
      </c>
      <c r="AS3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69" s="50">
        <f>Tableau119[[#This Row],[Transit time]]+Tableau119[[#This Row],[Time for security]]+Tableau119[[#This Row],[Time for security2 buffer]]</f>
        <v>0</v>
      </c>
      <c r="AV3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69" s="50" t="e">
        <f>Tableau119[[#This Row],[Leadtime SI2C]]+Tableau119[[#This Row],[First Receipt Days]]-Tableau119[[#This Row],[Day Customer Order]]+1</f>
        <v>#N/A</v>
      </c>
      <c r="AX369" s="119" t="e">
        <f>IF(Tableau119[[#This Row],[Name ILN]]&lt;&gt;"SFK Freight Forwarder",Tableau119[[#This Row],[Cust. Leadtime]],Tableau119[[#This Row],[Leadtime SI2C]])</f>
        <v>#N/A</v>
      </c>
      <c r="AY369" s="51" t="b">
        <f>_xlfn.XLOOKUP(Tableau119[[#This Row],[Key(ID-date)]],'DATA BTO'!S:S,'DATA BTO'!P:P,FALSE)</f>
        <v>0</v>
      </c>
      <c r="AZ369" s="338">
        <v>45777</v>
      </c>
      <c r="BA369" s="50"/>
    </row>
    <row r="370" spans="2:53">
      <c r="B370" s="446" t="str">
        <f>_xlfn.CONCAT(Tableau119[[#This Row],[Name ILN]],"-",Tableau119[[#This Row],[Name Shipper]],"-",Tableau119[[#This Row],[Name Site]])</f>
        <v>KWE Shanghai-KWE Shanghai-SOVAB</v>
      </c>
      <c r="C370" s="66" t="str">
        <f>_xlfn.CONCAT(Tableau119[[#This Row],[Compte ILN]],"-",Tableau119[[#This Row],[Compte Shipper]],"-",Tableau119[[#This Row],[POL]],"-",Tableau119[[#This Row],[Compte Consignee]])</f>
        <v>26037000-26037000-FALSO-90016900</v>
      </c>
      <c r="D370" s="66" t="str">
        <f>_xlfn.CONCAT(Tableau119[[#This Row],[Compte ILN]],"-",Tableau119[[#This Row],[Compte Shipper]],"-",Tableau119[[#This Row],[POL]])</f>
        <v>26037000-26037000-FALSO</v>
      </c>
      <c r="E370" s="130" t="str">
        <f>_xlfn.CONCAT(Tableau119[[#This Row],[POL]],"-",Tableau119[[#This Row],[Carrier]],"-",Tableau119[[#This Row],[POD]])</f>
        <v>FALSO-FALSO-FALSO</v>
      </c>
      <c r="F370" s="66" t="str">
        <f>_xlfn.CONCAT(Tableau119[[#This Row],[ID]],"-","Actif")</f>
        <v>154-Actif</v>
      </c>
      <c r="G370" s="66" t="str">
        <f>_xlfn.CONCAT(Tableau119[[#This Row],[POD]],"-",Tableau119[[#This Row],[Code PFI]],"-",Tableau119[[#This Row],[Compte Consignee]])</f>
        <v>FALSO-91018400-90016900</v>
      </c>
      <c r="H3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ShanghaiFALSOSOVAB</v>
      </c>
      <c r="I370" s="434" t="str">
        <f>_xlfn.CONCAT(Tableau119[[#This Row],[ID]],"-",Tableau119[[#This Row],[Expiration Date]])</f>
        <v>154-45777</v>
      </c>
      <c r="J3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SOVAB-KWE Shanghai-KWE Shanghai-154-FALSO-FALSO-FALSO-PFI VLL-45777</v>
      </c>
      <c r="K370" s="119" t="str">
        <f ca="1">IF(COUNTIF(J:J,Tableau119[[#This Row],[Plant-ILN-shipper-POL-Carrier-POD-PFI]])=1,"Non","Oui")</f>
        <v>Non</v>
      </c>
      <c r="L370" s="128" t="str">
        <f>VLOOKUP(Tableau119[[#This Row],[Name Site]],Plant_AILN!A:D,4,FALSE)</f>
        <v>FRANCE</v>
      </c>
      <c r="M370" s="415" t="s">
        <v>154</v>
      </c>
      <c r="N370" s="455">
        <f>VLOOKUP(Tableau119[[#This Row],[Name Site]],Plant_AILN!A:C,3,FALSE)</f>
        <v>90016900</v>
      </c>
      <c r="O370" s="104">
        <f>VLOOKUP(Tableau119[[#This Row],[Compte Consignee]],Order!C:D,2,FALSE)</f>
        <v>7</v>
      </c>
      <c r="P370" s="126" t="s">
        <v>62</v>
      </c>
      <c r="Q370" s="366">
        <f>VLOOKUP(Tableau119[[#This Row],[Name ILN]],Plant_AILN!F:G,2,FALSE)</f>
        <v>26037000</v>
      </c>
      <c r="R370" s="81">
        <f>VLOOKUP(Tableau119[[#This Row],[Compte ILN]],'DATA ILN'!D:I,6,FALSE)</f>
        <v>9</v>
      </c>
      <c r="S370" s="81" t="e">
        <f>IFERROR(VLOOKUP(Tableau119[[#This Row],[Key(Compte ILN - shipper - POL - plant)]],'DATA ILN'!A:J,10,FALSE),VLOOKUP(Tableau119[[#This Row],[Key(Compte ILN - shipper - POL)]],'DATA ILN'!B:J,9,FALSE))</f>
        <v>#N/A</v>
      </c>
      <c r="T370" s="81" t="e">
        <f>IFERROR(VLOOKUP(Tableau119[[#This Row],[Key(Compte ILN - shipper - POL - plant)]],'DATA ILN'!A:K,11,FALSE),VLOOKUP(Tableau119[[#This Row],[Key(Compte ILN - shipper - POL)]],'DATA ILN'!B:K,10,FALSE))</f>
        <v>#N/A</v>
      </c>
      <c r="U370" s="81" t="e">
        <f>IFERROR(VLOOKUP(Tableau119[[#This Row],[Key(Compte ILN - shipper - POL - plant)]],'DATA ILN'!A:L,12,FALSE),VLOOKUP(Tableau119[[#This Row],[Key(Compte ILN - shipper - POL)]],'DATA ILN'!B:L,11,FALSE))</f>
        <v>#N/A</v>
      </c>
      <c r="V370" s="81" t="e">
        <f>Tableau119[[#This Row],[Day ILN Order]]+Tableau119[[#This Row],[Delivery time to ILN/Shipper]]-1</f>
        <v>#N/A</v>
      </c>
      <c r="W370" s="81" t="e">
        <f>IFERROR(VLOOKUP(Tableau119[[#This Row],[Key(Compte ILN - shipper - POL - plant)]],'DATA ILN'!A:N,14,FALSE),VLOOKUP(Tableau119[[#This Row],[Key(Compte ILN - shipper - POL)]],'DATA ILN'!B:N,13,FALSE))</f>
        <v>#N/A</v>
      </c>
      <c r="X370" s="81" t="e">
        <f>IFERROR(VLOOKUP(Tableau119[[#This Row],[Key(Compte ILN - shipper - POL - plant)]],'DATA ILN'!A:P,16,FALSE),VLOOKUP(Tableau119[[#This Row],[Key(Compte ILN - shipper - POL)]],'DATA ILN'!B:P,15,FALSE))</f>
        <v>#N/A</v>
      </c>
      <c r="Y370" s="102" t="s">
        <v>62</v>
      </c>
      <c r="Z370" s="417">
        <f>IFERROR(VLOOKUP(Tableau119[[#This Row],[Name Shipper]],Plant_AILN!L:M,2,FALSE),0)</f>
        <v>26037000</v>
      </c>
      <c r="AA370" s="416">
        <v>154</v>
      </c>
      <c r="AB370" s="396" t="b">
        <f>_xlfn.XLOOKUP(Tableau119[[#This Row],[Key(ID-date)]],'DATA BTO'!S:S,'DATA BTO'!E:E,FALSE)</f>
        <v>0</v>
      </c>
      <c r="AC370" s="3" t="b">
        <f>_xlfn.XLOOKUP(Tableau119[[#This Row],[Key(ID-date)]],'DATA BTO'!S:S,'DATA BTO'!F:F,FALSE)</f>
        <v>0</v>
      </c>
      <c r="AD370" s="50" t="b">
        <f>_xlfn.XLOOKUP(Tableau119[[#This Row],[Key(ID-date)]],'DATA BTO'!S:S,'DATA BTO'!G:G,FALSE)</f>
        <v>0</v>
      </c>
      <c r="AE370" s="50" t="b">
        <f>_xlfn.XLOOKUP(Tableau119[[#This Row],[Key(ID-date)]],'DATA BTO'!S:S,'DATA BTO'!H:H,FALSE)</f>
        <v>0</v>
      </c>
      <c r="AF370" s="447" t="e">
        <f>IF(Tableau119[[#This Row],[First Day to POL]]&lt;=Tableau119[[#This Row],[Day Cut Off]],Tableau119[[#This Row],[Day ETD]],Tableau119[[#This Row],[Day ETD]]+7)</f>
        <v>#N/A</v>
      </c>
      <c r="AG370" s="50" t="b">
        <f>_xlfn.XLOOKUP(Tableau119[[#This Row],[Key(ID-date)]],'DATA BTO'!S:S,'DATA BTO'!I:I,FALSE)</f>
        <v>0</v>
      </c>
      <c r="AH370" s="3" t="b">
        <f>_xlfn.XLOOKUP(Tableau119[[#This Row],[Key(ID-date)]],'DATA BTO'!S:S,'DATA BTO'!J:J,FALSE)</f>
        <v>0</v>
      </c>
      <c r="AI370" s="3" t="b">
        <f>_xlfn.XLOOKUP(Tableau119[[#This Row],[Key(ID-date)]],'DATA BTO'!S:S,'DATA BTO'!K:K,FALSE)</f>
        <v>0</v>
      </c>
      <c r="AJ370" s="50" t="b">
        <f>_xlfn.XLOOKUP(Tableau119[[#This Row],[Key(ID-date)]],'DATA BTO'!S:S,'DATA BTO'!L:L,FALSE)</f>
        <v>0</v>
      </c>
      <c r="AK370" s="53" t="b">
        <f>_xlfn.XLOOKUP(Tableau119[[#This Row],[Key(ID-date)]],'DATA BTO'!S:S,'DATA BTO'!N:N,FALSE)</f>
        <v>0</v>
      </c>
      <c r="AL370" s="54" t="e">
        <f>VLOOKUP(Tableau119[[#This Row],[Key(POD -PFI- Usine)]],'DATA Consignee'!A:F,6,FALSE)</f>
        <v>#N/A</v>
      </c>
      <c r="AM370" s="102" t="s">
        <v>171</v>
      </c>
      <c r="AN370" s="375">
        <f>IF(Tableau119[[#This Row],[Name PFI/CDD]]="","-",VLOOKUP(Tableau119[[#This Row],[Name PFI/CDD]],Plant_AILN!I:J,2,FALSE))</f>
        <v>91018400</v>
      </c>
      <c r="AO370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0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0" s="110" t="e">
        <f>VLOOKUP(Tableau119[[#This Row],[Key(POD -PFI- Usine)]],'DATA Consignee'!A:J,10,FALSE)</f>
        <v>#N/A</v>
      </c>
      <c r="AR370" s="81" t="e">
        <f>VLOOKUP(Tableau119[[#This Row],[Key(POD -PFI- Usine)]],'DATA Consignee'!A:N,14,FALSE)</f>
        <v>#N/A</v>
      </c>
      <c r="AS37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0" s="81">
        <f>Tableau119[[#This Row],[Transit time]]+Tableau119[[#This Row],[Time for security]]+Tableau119[[#This Row],[Time for security2 buffer]]</f>
        <v>0</v>
      </c>
      <c r="AV3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0" s="50" t="e">
        <f>Tableau119[[#This Row],[Leadtime SI2C]]+Tableau119[[#This Row],[First Receipt Days]]-Tableau119[[#This Row],[Day Customer Order]]+1</f>
        <v>#N/A</v>
      </c>
      <c r="AX370" s="119" t="e">
        <f>IF(Tableau119[[#This Row],[Name ILN]]&lt;&gt;"SFK Freight Forwarder",Tableau119[[#This Row],[Cust. Leadtime]],Tableau119[[#This Row],[Leadtime SI2C]])</f>
        <v>#N/A</v>
      </c>
      <c r="AY370" s="51" t="b">
        <f>_xlfn.XLOOKUP(Tableau119[[#This Row],[Key(ID-date)]],'DATA BTO'!S:S,'DATA BTO'!P:P,FALSE)</f>
        <v>0</v>
      </c>
      <c r="AZ370" s="388">
        <v>45777</v>
      </c>
      <c r="BA370" s="81"/>
    </row>
    <row r="371" spans="2:53">
      <c r="B371" s="446" t="str">
        <f>_xlfn.CONCAT(Tableau119[[#This Row],[Name ILN]],"-",Tableau119[[#This Row],[Name Shipper]],"-",Tableau119[[#This Row],[Name Site]])</f>
        <v>KWE Shanghai-KWE Shanghai-SANDOUVILLE</v>
      </c>
      <c r="C371" s="66" t="str">
        <f>_xlfn.CONCAT(Tableau119[[#This Row],[Compte ILN]],"-",Tableau119[[#This Row],[Compte Shipper]],"-",Tableau119[[#This Row],[POL]],"-",Tableau119[[#This Row],[Compte Consignee]])</f>
        <v>26037000-26037000-FALSO-90017100</v>
      </c>
      <c r="D371" s="66" t="str">
        <f>_xlfn.CONCAT(Tableau119[[#This Row],[Compte ILN]],"-",Tableau119[[#This Row],[Compte Shipper]],"-",Tableau119[[#This Row],[POL]])</f>
        <v>26037000-26037000-FALSO</v>
      </c>
      <c r="E371" s="130" t="str">
        <f>_xlfn.CONCAT(Tableau119[[#This Row],[POL]],"-",Tableau119[[#This Row],[Carrier]],"-",Tableau119[[#This Row],[POD]])</f>
        <v>FALSO-FALSO-FALSO</v>
      </c>
      <c r="F371" s="66" t="str">
        <f>_xlfn.CONCAT(Tableau119[[#This Row],[ID]],"-","Actif")</f>
        <v>154-Actif</v>
      </c>
      <c r="G371" s="66" t="str">
        <f>_xlfn.CONCAT(Tableau119[[#This Row],[POD]],"-",Tableau119[[#This Row],[Code PFI]],"-",Tableau119[[#This Row],[Compte Consignee]])</f>
        <v>FALSO-91018400-90017100</v>
      </c>
      <c r="H3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ShanghaiFALSOSANDOUVILLE</v>
      </c>
      <c r="I371" s="434" t="str">
        <f>_xlfn.CONCAT(Tableau119[[#This Row],[ID]],"-",Tableau119[[#This Row],[Expiration Date]])</f>
        <v>154-45777</v>
      </c>
      <c r="J3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SANDOUVILLE-KWE Shanghai-KWE Shanghai-154-FALSO-FALSO-FALSO-PFI VLL-45777</v>
      </c>
      <c r="K371" s="119" t="str">
        <f ca="1">IF(COUNTIF(J:J,Tableau119[[#This Row],[Plant-ILN-shipper-POL-Carrier-POD-PFI]])=1,"Non","Oui")</f>
        <v>Non</v>
      </c>
      <c r="L371" s="128" t="str">
        <f>VLOOKUP(Tableau119[[#This Row],[Name Site]],Plant_AILN!A:D,4,FALSE)</f>
        <v>FRANCE</v>
      </c>
      <c r="M371" s="411" t="s">
        <v>196</v>
      </c>
      <c r="N371" s="454">
        <f>VLOOKUP(Tableau119[[#This Row],[Name Site]],Plant_AILN!A:C,3,FALSE)</f>
        <v>90017100</v>
      </c>
      <c r="O371" s="55">
        <f>VLOOKUP(Tableau119[[#This Row],[Compte Consignee]],Order!C:D,2,FALSE)</f>
        <v>7</v>
      </c>
      <c r="P371" s="124" t="s">
        <v>62</v>
      </c>
      <c r="Q371" s="365">
        <f>VLOOKUP(Tableau119[[#This Row],[Name ILN]],Plant_AILN!F:G,2,FALSE)</f>
        <v>26037000</v>
      </c>
      <c r="R371" s="50">
        <f>VLOOKUP(Tableau119[[#This Row],[Compte ILN]],'DATA ILN'!D:I,6,FALSE)</f>
        <v>9</v>
      </c>
      <c r="S371" s="50" t="e">
        <f>IFERROR(VLOOKUP(Tableau119[[#This Row],[Key(Compte ILN - shipper - POL - plant)]],'DATA ILN'!A:J,10,FALSE),VLOOKUP(Tableau119[[#This Row],[Key(Compte ILN - shipper - POL)]],'DATA ILN'!B:J,9,FALSE))</f>
        <v>#N/A</v>
      </c>
      <c r="T371" s="50" t="e">
        <f>IFERROR(VLOOKUP(Tableau119[[#This Row],[Key(Compte ILN - shipper - POL - plant)]],'DATA ILN'!A:K,11,FALSE),VLOOKUP(Tableau119[[#This Row],[Key(Compte ILN - shipper - POL)]],'DATA ILN'!B:K,10,FALSE))</f>
        <v>#N/A</v>
      </c>
      <c r="U371" s="50" t="e">
        <f>IFERROR(VLOOKUP(Tableau119[[#This Row],[Key(Compte ILN - shipper - POL - plant)]],'DATA ILN'!A:L,12,FALSE),VLOOKUP(Tableau119[[#This Row],[Key(Compte ILN - shipper - POL)]],'DATA ILN'!B:L,11,FALSE))</f>
        <v>#N/A</v>
      </c>
      <c r="V371" s="50" t="e">
        <f>Tableau119[[#This Row],[Day ILN Order]]+Tableau119[[#This Row],[Delivery time to ILN/Shipper]]-1</f>
        <v>#N/A</v>
      </c>
      <c r="W371" s="50" t="e">
        <f>IFERROR(VLOOKUP(Tableau119[[#This Row],[Key(Compte ILN - shipper - POL - plant)]],'DATA ILN'!A:N,14,FALSE),VLOOKUP(Tableau119[[#This Row],[Key(Compte ILN - shipper - POL)]],'DATA ILN'!B:N,13,FALSE))</f>
        <v>#N/A</v>
      </c>
      <c r="X371" s="50" t="e">
        <f>IFERROR(VLOOKUP(Tableau119[[#This Row],[Key(Compte ILN - shipper - POL - plant)]],'DATA ILN'!A:P,16,FALSE),VLOOKUP(Tableau119[[#This Row],[Key(Compte ILN - shipper - POL)]],'DATA ILN'!B:P,15,FALSE))</f>
        <v>#N/A</v>
      </c>
      <c r="Y371" s="284" t="s">
        <v>62</v>
      </c>
      <c r="Z371" s="430">
        <f>IFERROR(VLOOKUP(Tableau119[[#This Row],[Name Shipper]],Plant_AILN!L:M,2,FALSE),0)</f>
        <v>26037000</v>
      </c>
      <c r="AA371" s="406">
        <v>154</v>
      </c>
      <c r="AB371" s="396" t="b">
        <f>_xlfn.XLOOKUP(Tableau119[[#This Row],[Key(ID-date)]],'DATA BTO'!S:S,'DATA BTO'!E:E,FALSE)</f>
        <v>0</v>
      </c>
      <c r="AC371" s="3" t="b">
        <f>_xlfn.XLOOKUP(Tableau119[[#This Row],[Key(ID-date)]],'DATA BTO'!S:S,'DATA BTO'!F:F,FALSE)</f>
        <v>0</v>
      </c>
      <c r="AD371" s="50" t="b">
        <f>_xlfn.XLOOKUP(Tableau119[[#This Row],[Key(ID-date)]],'DATA BTO'!S:S,'DATA BTO'!G:G,FALSE)</f>
        <v>0</v>
      </c>
      <c r="AE371" s="50" t="b">
        <f>_xlfn.XLOOKUP(Tableau119[[#This Row],[Key(ID-date)]],'DATA BTO'!S:S,'DATA BTO'!H:H,FALSE)</f>
        <v>0</v>
      </c>
      <c r="AF371" s="447" t="e">
        <f>IF(Tableau119[[#This Row],[First Day to POL]]&lt;=Tableau119[[#This Row],[Day Cut Off]],Tableau119[[#This Row],[Day ETD]],Tableau119[[#This Row],[Day ETD]]+7)</f>
        <v>#N/A</v>
      </c>
      <c r="AG371" s="50" t="b">
        <f>_xlfn.XLOOKUP(Tableau119[[#This Row],[Key(ID-date)]],'DATA BTO'!S:S,'DATA BTO'!I:I,FALSE)</f>
        <v>0</v>
      </c>
      <c r="AH371" s="3" t="b">
        <f>_xlfn.XLOOKUP(Tableau119[[#This Row],[Key(ID-date)]],'DATA BTO'!S:S,'DATA BTO'!J:J,FALSE)</f>
        <v>0</v>
      </c>
      <c r="AI371" s="3" t="b">
        <f>_xlfn.XLOOKUP(Tableau119[[#This Row],[Key(ID-date)]],'DATA BTO'!S:S,'DATA BTO'!K:K,FALSE)</f>
        <v>0</v>
      </c>
      <c r="AJ371" s="50" t="b">
        <f>_xlfn.XLOOKUP(Tableau119[[#This Row],[Key(ID-date)]],'DATA BTO'!S:S,'DATA BTO'!L:L,FALSE)</f>
        <v>0</v>
      </c>
      <c r="AK371" s="53" t="b">
        <f>_xlfn.XLOOKUP(Tableau119[[#This Row],[Key(ID-date)]],'DATA BTO'!S:S,'DATA BTO'!N:N,FALSE)</f>
        <v>0</v>
      </c>
      <c r="AL371" s="54" t="e">
        <f>VLOOKUP(Tableau119[[#This Row],[Key(POD -PFI- Usine)]],'DATA Consignee'!A:F,6,FALSE)</f>
        <v>#N/A</v>
      </c>
      <c r="AM371" s="284" t="s">
        <v>171</v>
      </c>
      <c r="AN371" s="376">
        <f>IF(Tableau119[[#This Row],[Name PFI/CDD]]="","-",VLOOKUP(Tableau119[[#This Row],[Name PFI/CDD]],Plant_AILN!I:J,2,FALSE))</f>
        <v>91018400</v>
      </c>
      <c r="AO371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1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1" s="2" t="e">
        <f>VLOOKUP(Tableau119[[#This Row],[Key(POD -PFI- Usine)]],'DATA Consignee'!A:J,10,FALSE)</f>
        <v>#N/A</v>
      </c>
      <c r="AR371" s="50" t="e">
        <f>VLOOKUP(Tableau119[[#This Row],[Key(POD -PFI- Usine)]],'DATA Consignee'!A:N,14,FALSE)</f>
        <v>#N/A</v>
      </c>
      <c r="AS3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1" s="50">
        <f>Tableau119[[#This Row],[Transit time]]+Tableau119[[#This Row],[Time for security]]+Tableau119[[#This Row],[Time for security2 buffer]]</f>
        <v>0</v>
      </c>
      <c r="AV3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1" s="50" t="e">
        <f>Tableau119[[#This Row],[Leadtime SI2C]]+Tableau119[[#This Row],[First Receipt Days]]-Tableau119[[#This Row],[Day Customer Order]]+1</f>
        <v>#N/A</v>
      </c>
      <c r="AX371" s="119" t="e">
        <f>IF(Tableau119[[#This Row],[Name ILN]]&lt;&gt;"SFK Freight Forwarder",Tableau119[[#This Row],[Cust. Leadtime]],Tableau119[[#This Row],[Leadtime SI2C]])</f>
        <v>#N/A</v>
      </c>
      <c r="AY371" s="51" t="b">
        <f>_xlfn.XLOOKUP(Tableau119[[#This Row],[Key(ID-date)]],'DATA BTO'!S:S,'DATA BTO'!P:P,FALSE)</f>
        <v>0</v>
      </c>
      <c r="AZ371" s="338">
        <v>45777</v>
      </c>
      <c r="BA371" s="50"/>
    </row>
    <row r="372" spans="2:53">
      <c r="B372" s="446" t="str">
        <f>_xlfn.CONCAT(Tableau119[[#This Row],[Name ILN]],"-",Tableau119[[#This Row],[Name Shipper]],"-",Tableau119[[#This Row],[Name Site]])</f>
        <v>KWE Shanghai-KWE Shanghai-ALPINE</v>
      </c>
      <c r="C372" s="66" t="str">
        <f>_xlfn.CONCAT(Tableau119[[#This Row],[Compte ILN]],"-",Tableau119[[#This Row],[Compte Shipper]],"-",Tableau119[[#This Row],[POL]],"-",Tableau119[[#This Row],[Compte Consignee]])</f>
        <v>26037000-26037000-FALSO-90018300</v>
      </c>
      <c r="D372" s="66" t="str">
        <f>_xlfn.CONCAT(Tableau119[[#This Row],[Compte ILN]],"-",Tableau119[[#This Row],[Compte Shipper]],"-",Tableau119[[#This Row],[POL]])</f>
        <v>26037000-26037000-FALSO</v>
      </c>
      <c r="E372" s="130" t="str">
        <f>_xlfn.CONCAT(Tableau119[[#This Row],[POL]],"-",Tableau119[[#This Row],[Carrier]],"-",Tableau119[[#This Row],[POD]])</f>
        <v>FALSO-FALSO-FALSO</v>
      </c>
      <c r="F372" s="66" t="str">
        <f>_xlfn.CONCAT(Tableau119[[#This Row],[ID]],"-","Actif")</f>
        <v>154-Actif</v>
      </c>
      <c r="G372" s="66" t="str">
        <f>_xlfn.CONCAT(Tableau119[[#This Row],[POD]],"-",Tableau119[[#This Row],[Code PFI]],"-",Tableau119[[#This Row],[Compte Consignee]])</f>
        <v>FALSO-91018400-90018300</v>
      </c>
      <c r="H3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ShanghaiFALSOALPINE</v>
      </c>
      <c r="I372" s="434" t="str">
        <f>_xlfn.CONCAT(Tableau119[[#This Row],[ID]],"-",Tableau119[[#This Row],[Expiration Date]])</f>
        <v>154-45777</v>
      </c>
      <c r="J3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ALPINE-KWE Shanghai-KWE Shanghai-154-FALSO-FALSO-FALSO-PFI VLL-45777</v>
      </c>
      <c r="K372" s="119" t="str">
        <f ca="1">IF(COUNTIF(J:J,Tableau119[[#This Row],[Plant-ILN-shipper-POL-Carrier-POD-PFI]])=1,"Non","Oui")</f>
        <v>Non</v>
      </c>
      <c r="L372" s="128" t="str">
        <f>VLOOKUP(Tableau119[[#This Row],[Name Site]],Plant_AILN!A:D,4,FALSE)</f>
        <v>FRANCE</v>
      </c>
      <c r="M372" s="415" t="s">
        <v>220</v>
      </c>
      <c r="N372" s="455">
        <f>VLOOKUP(Tableau119[[#This Row],[Name Site]],Plant_AILN!A:C,3,FALSE)</f>
        <v>90018300</v>
      </c>
      <c r="O372" s="104">
        <f>VLOOKUP(Tableau119[[#This Row],[Compte Consignee]],Order!C:D,2,FALSE)</f>
        <v>7</v>
      </c>
      <c r="P372" s="126" t="s">
        <v>62</v>
      </c>
      <c r="Q372" s="366">
        <f>VLOOKUP(Tableau119[[#This Row],[Name ILN]],Plant_AILN!F:G,2,FALSE)</f>
        <v>26037000</v>
      </c>
      <c r="R372" s="81">
        <f>VLOOKUP(Tableau119[[#This Row],[Compte ILN]],'DATA ILN'!D:I,6,FALSE)</f>
        <v>9</v>
      </c>
      <c r="S372" s="81" t="e">
        <f>IFERROR(VLOOKUP(Tableau119[[#This Row],[Key(Compte ILN - shipper - POL - plant)]],'DATA ILN'!A:J,10,FALSE),VLOOKUP(Tableau119[[#This Row],[Key(Compte ILN - shipper - POL)]],'DATA ILN'!B:J,9,FALSE))</f>
        <v>#N/A</v>
      </c>
      <c r="T372" s="81" t="e">
        <f>IFERROR(VLOOKUP(Tableau119[[#This Row],[Key(Compte ILN - shipper - POL - plant)]],'DATA ILN'!A:K,11,FALSE),VLOOKUP(Tableau119[[#This Row],[Key(Compte ILN - shipper - POL)]],'DATA ILN'!B:K,10,FALSE))</f>
        <v>#N/A</v>
      </c>
      <c r="U372" s="81" t="e">
        <f>IFERROR(VLOOKUP(Tableau119[[#This Row],[Key(Compte ILN - shipper - POL - plant)]],'DATA ILN'!A:L,12,FALSE),VLOOKUP(Tableau119[[#This Row],[Key(Compte ILN - shipper - POL)]],'DATA ILN'!B:L,11,FALSE))</f>
        <v>#N/A</v>
      </c>
      <c r="V372" s="81" t="e">
        <f>Tableau119[[#This Row],[Day ILN Order]]+Tableau119[[#This Row],[Delivery time to ILN/Shipper]]-1</f>
        <v>#N/A</v>
      </c>
      <c r="W372" s="81" t="e">
        <f>IFERROR(VLOOKUP(Tableau119[[#This Row],[Key(Compte ILN - shipper - POL - plant)]],'DATA ILN'!A:N,14,FALSE),VLOOKUP(Tableau119[[#This Row],[Key(Compte ILN - shipper - POL)]],'DATA ILN'!B:N,13,FALSE))</f>
        <v>#N/A</v>
      </c>
      <c r="X372" s="81" t="e">
        <f>IFERROR(VLOOKUP(Tableau119[[#This Row],[Key(Compte ILN - shipper - POL - plant)]],'DATA ILN'!A:P,16,FALSE),VLOOKUP(Tableau119[[#This Row],[Key(Compte ILN - shipper - POL)]],'DATA ILN'!B:P,15,FALSE))</f>
        <v>#N/A</v>
      </c>
      <c r="Y372" s="102" t="s">
        <v>62</v>
      </c>
      <c r="Z372" s="417">
        <f>IFERROR(VLOOKUP(Tableau119[[#This Row],[Name Shipper]],Plant_AILN!L:M,2,FALSE),0)</f>
        <v>26037000</v>
      </c>
      <c r="AA372" s="416">
        <v>154</v>
      </c>
      <c r="AB372" s="396" t="b">
        <f>_xlfn.XLOOKUP(Tableau119[[#This Row],[Key(ID-date)]],'DATA BTO'!S:S,'DATA BTO'!E:E,FALSE)</f>
        <v>0</v>
      </c>
      <c r="AC372" s="3" t="b">
        <f>_xlfn.XLOOKUP(Tableau119[[#This Row],[Key(ID-date)]],'DATA BTO'!S:S,'DATA BTO'!F:F,FALSE)</f>
        <v>0</v>
      </c>
      <c r="AD372" s="50" t="b">
        <f>_xlfn.XLOOKUP(Tableau119[[#This Row],[Key(ID-date)]],'DATA BTO'!S:S,'DATA BTO'!G:G,FALSE)</f>
        <v>0</v>
      </c>
      <c r="AE372" s="50" t="b">
        <f>_xlfn.XLOOKUP(Tableau119[[#This Row],[Key(ID-date)]],'DATA BTO'!S:S,'DATA BTO'!H:H,FALSE)</f>
        <v>0</v>
      </c>
      <c r="AF372" s="447" t="e">
        <f>IF(Tableau119[[#This Row],[First Day to POL]]&lt;=Tableau119[[#This Row],[Day Cut Off]],Tableau119[[#This Row],[Day ETD]],Tableau119[[#This Row],[Day ETD]]+7)</f>
        <v>#N/A</v>
      </c>
      <c r="AG372" s="50" t="b">
        <f>_xlfn.XLOOKUP(Tableau119[[#This Row],[Key(ID-date)]],'DATA BTO'!S:S,'DATA BTO'!I:I,FALSE)</f>
        <v>0</v>
      </c>
      <c r="AH372" s="3" t="b">
        <f>_xlfn.XLOOKUP(Tableau119[[#This Row],[Key(ID-date)]],'DATA BTO'!S:S,'DATA BTO'!J:J,FALSE)</f>
        <v>0</v>
      </c>
      <c r="AI372" s="3" t="b">
        <f>_xlfn.XLOOKUP(Tableau119[[#This Row],[Key(ID-date)]],'DATA BTO'!S:S,'DATA BTO'!K:K,FALSE)</f>
        <v>0</v>
      </c>
      <c r="AJ372" s="50" t="b">
        <f>_xlfn.XLOOKUP(Tableau119[[#This Row],[Key(ID-date)]],'DATA BTO'!S:S,'DATA BTO'!L:L,FALSE)</f>
        <v>0</v>
      </c>
      <c r="AK372" s="53" t="b">
        <f>_xlfn.XLOOKUP(Tableau119[[#This Row],[Key(ID-date)]],'DATA BTO'!S:S,'DATA BTO'!N:N,FALSE)</f>
        <v>0</v>
      </c>
      <c r="AL372" s="54" t="e">
        <f>VLOOKUP(Tableau119[[#This Row],[Key(POD -PFI- Usine)]],'DATA Consignee'!A:F,6,FALSE)</f>
        <v>#N/A</v>
      </c>
      <c r="AM372" s="102" t="s">
        <v>171</v>
      </c>
      <c r="AN372" s="375">
        <f>IF(Tableau119[[#This Row],[Name PFI/CDD]]="","-",VLOOKUP(Tableau119[[#This Row],[Name PFI/CDD]],Plant_AILN!I:J,2,FALSE))</f>
        <v>91018400</v>
      </c>
      <c r="AO372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2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2" s="110" t="e">
        <f>VLOOKUP(Tableau119[[#This Row],[Key(POD -PFI- Usine)]],'DATA Consignee'!A:J,10,FALSE)</f>
        <v>#N/A</v>
      </c>
      <c r="AR372" s="81" t="e">
        <f>VLOOKUP(Tableau119[[#This Row],[Key(POD -PFI- Usine)]],'DATA Consignee'!A:N,14,FALSE)</f>
        <v>#N/A</v>
      </c>
      <c r="AS37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2" s="81">
        <f>Tableau119[[#This Row],[Transit time]]+Tableau119[[#This Row],[Time for security]]+Tableau119[[#This Row],[Time for security2 buffer]]</f>
        <v>0</v>
      </c>
      <c r="AV3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2" s="50" t="e">
        <f>Tableau119[[#This Row],[Leadtime SI2C]]+Tableau119[[#This Row],[First Receipt Days]]-Tableau119[[#This Row],[Day Customer Order]]+1</f>
        <v>#N/A</v>
      </c>
      <c r="AX372" s="119" t="e">
        <f>IF(Tableau119[[#This Row],[Name ILN]]&lt;&gt;"SFK Freight Forwarder",Tableau119[[#This Row],[Cust. Leadtime]],Tableau119[[#This Row],[Leadtime SI2C]])</f>
        <v>#N/A</v>
      </c>
      <c r="AY372" s="51" t="b">
        <f>_xlfn.XLOOKUP(Tableau119[[#This Row],[Key(ID-date)]],'DATA BTO'!S:S,'DATA BTO'!P:P,FALSE)</f>
        <v>0</v>
      </c>
      <c r="AZ372" s="388">
        <v>45777</v>
      </c>
      <c r="BA372" s="81"/>
    </row>
    <row r="373" spans="2:53">
      <c r="B373" s="446" t="str">
        <f>_xlfn.CONCAT(Tableau119[[#This Row],[Name ILN]],"-",Tableau119[[#This Row],[Name Shipper]],"-",Tableau119[[#This Row],[Name Site]])</f>
        <v>KWE Shanghai-KWE Shanghai-STA</v>
      </c>
      <c r="C373" s="66" t="str">
        <f>_xlfn.CONCAT(Tableau119[[#This Row],[Compte ILN]],"-",Tableau119[[#This Row],[Compte Shipper]],"-",Tableau119[[#This Row],[POL]],"-",Tableau119[[#This Row],[Compte Consignee]])</f>
        <v>26037000-26037000-FALSO-90018400</v>
      </c>
      <c r="D373" s="66" t="str">
        <f>_xlfn.CONCAT(Tableau119[[#This Row],[Compte ILN]],"-",Tableau119[[#This Row],[Compte Shipper]],"-",Tableau119[[#This Row],[POL]])</f>
        <v>26037000-26037000-FALSO</v>
      </c>
      <c r="E373" s="130" t="str">
        <f>_xlfn.CONCAT(Tableau119[[#This Row],[POL]],"-",Tableau119[[#This Row],[Carrier]],"-",Tableau119[[#This Row],[POD]])</f>
        <v>FALSO-FALSO-FALSO</v>
      </c>
      <c r="F373" s="66" t="str">
        <f>_xlfn.CONCAT(Tableau119[[#This Row],[ID]],"-","Actif")</f>
        <v>154-Actif</v>
      </c>
      <c r="G373" s="66" t="str">
        <f>_xlfn.CONCAT(Tableau119[[#This Row],[POD]],"-",Tableau119[[#This Row],[Code PFI]],"-",Tableau119[[#This Row],[Compte Consignee]])</f>
        <v>FALSO-91018400-90018400</v>
      </c>
      <c r="H3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ShanghaiFALSOSTA</v>
      </c>
      <c r="I373" s="434" t="str">
        <f>_xlfn.CONCAT(Tableau119[[#This Row],[ID]],"-",Tableau119[[#This Row],[Expiration Date]])</f>
        <v>154-45777</v>
      </c>
      <c r="J3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STA-KWE Shanghai-KWE Shanghai-154-FALSO-FALSO-FALSO-PFI VLL-45777</v>
      </c>
      <c r="K373" s="119" t="str">
        <f ca="1">IF(COUNTIF(J:J,Tableau119[[#This Row],[Plant-ILN-shipper-POL-Carrier-POD-PFI]])=1,"Non","Oui")</f>
        <v>Non</v>
      </c>
      <c r="L373" s="128" t="str">
        <f>VLOOKUP(Tableau119[[#This Row],[Name Site]],Plant_AILN!A:D,4,FALSE)</f>
        <v>FRANCE</v>
      </c>
      <c r="M373" s="411" t="s">
        <v>219</v>
      </c>
      <c r="N373" s="454">
        <f>VLOOKUP(Tableau119[[#This Row],[Name Site]],Plant_AILN!A:C,3,FALSE)</f>
        <v>90018400</v>
      </c>
      <c r="O373" s="55">
        <f>VLOOKUP(Tableau119[[#This Row],[Compte Consignee]],Order!C:D,2,FALSE)</f>
        <v>7</v>
      </c>
      <c r="P373" s="124" t="s">
        <v>62</v>
      </c>
      <c r="Q373" s="365">
        <f>VLOOKUP(Tableau119[[#This Row],[Name ILN]],Plant_AILN!F:G,2,FALSE)</f>
        <v>26037000</v>
      </c>
      <c r="R373" s="50">
        <f>VLOOKUP(Tableau119[[#This Row],[Compte ILN]],'DATA ILN'!D:I,6,FALSE)</f>
        <v>9</v>
      </c>
      <c r="S373" s="50" t="e">
        <f>IFERROR(VLOOKUP(Tableau119[[#This Row],[Key(Compte ILN - shipper - POL - plant)]],'DATA ILN'!A:J,10,FALSE),VLOOKUP(Tableau119[[#This Row],[Key(Compte ILN - shipper - POL)]],'DATA ILN'!B:J,9,FALSE))</f>
        <v>#N/A</v>
      </c>
      <c r="T373" s="50" t="e">
        <f>IFERROR(VLOOKUP(Tableau119[[#This Row],[Key(Compte ILN - shipper - POL - plant)]],'DATA ILN'!A:K,11,FALSE),VLOOKUP(Tableau119[[#This Row],[Key(Compte ILN - shipper - POL)]],'DATA ILN'!B:K,10,FALSE))</f>
        <v>#N/A</v>
      </c>
      <c r="U373" s="50" t="e">
        <f>IFERROR(VLOOKUP(Tableau119[[#This Row],[Key(Compte ILN - shipper - POL - plant)]],'DATA ILN'!A:L,12,FALSE),VLOOKUP(Tableau119[[#This Row],[Key(Compte ILN - shipper - POL)]],'DATA ILN'!B:L,11,FALSE))</f>
        <v>#N/A</v>
      </c>
      <c r="V373" s="50" t="e">
        <f>Tableau119[[#This Row],[Day ILN Order]]+Tableau119[[#This Row],[Delivery time to ILN/Shipper]]-1</f>
        <v>#N/A</v>
      </c>
      <c r="W373" s="50" t="e">
        <f>IFERROR(VLOOKUP(Tableau119[[#This Row],[Key(Compte ILN - shipper - POL - plant)]],'DATA ILN'!A:N,14,FALSE),VLOOKUP(Tableau119[[#This Row],[Key(Compte ILN - shipper - POL)]],'DATA ILN'!B:N,13,FALSE))</f>
        <v>#N/A</v>
      </c>
      <c r="X373" s="50" t="e">
        <f>IFERROR(VLOOKUP(Tableau119[[#This Row],[Key(Compte ILN - shipper - POL - plant)]],'DATA ILN'!A:P,16,FALSE),VLOOKUP(Tableau119[[#This Row],[Key(Compte ILN - shipper - POL)]],'DATA ILN'!B:P,15,FALSE))</f>
        <v>#N/A</v>
      </c>
      <c r="Y373" s="284" t="s">
        <v>62</v>
      </c>
      <c r="Z373" s="430">
        <f>IFERROR(VLOOKUP(Tableau119[[#This Row],[Name Shipper]],Plant_AILN!L:M,2,FALSE),0)</f>
        <v>26037000</v>
      </c>
      <c r="AA373" s="406">
        <v>154</v>
      </c>
      <c r="AB373" s="396" t="b">
        <f>_xlfn.XLOOKUP(Tableau119[[#This Row],[Key(ID-date)]],'DATA BTO'!S:S,'DATA BTO'!E:E,FALSE)</f>
        <v>0</v>
      </c>
      <c r="AC373" s="3" t="b">
        <f>_xlfn.XLOOKUP(Tableau119[[#This Row],[Key(ID-date)]],'DATA BTO'!S:S,'DATA BTO'!F:F,FALSE)</f>
        <v>0</v>
      </c>
      <c r="AD373" s="50" t="b">
        <f>_xlfn.XLOOKUP(Tableau119[[#This Row],[Key(ID-date)]],'DATA BTO'!S:S,'DATA BTO'!G:G,FALSE)</f>
        <v>0</v>
      </c>
      <c r="AE373" s="50" t="b">
        <f>_xlfn.XLOOKUP(Tableau119[[#This Row],[Key(ID-date)]],'DATA BTO'!S:S,'DATA BTO'!H:H,FALSE)</f>
        <v>0</v>
      </c>
      <c r="AF373" s="447" t="e">
        <f>IF(Tableau119[[#This Row],[First Day to POL]]&lt;=Tableau119[[#This Row],[Day Cut Off]],Tableau119[[#This Row],[Day ETD]],Tableau119[[#This Row],[Day ETD]]+7)</f>
        <v>#N/A</v>
      </c>
      <c r="AG373" s="50" t="b">
        <f>_xlfn.XLOOKUP(Tableau119[[#This Row],[Key(ID-date)]],'DATA BTO'!S:S,'DATA BTO'!I:I,FALSE)</f>
        <v>0</v>
      </c>
      <c r="AH373" s="3" t="b">
        <f>_xlfn.XLOOKUP(Tableau119[[#This Row],[Key(ID-date)]],'DATA BTO'!S:S,'DATA BTO'!J:J,FALSE)</f>
        <v>0</v>
      </c>
      <c r="AI373" s="3" t="b">
        <f>_xlfn.XLOOKUP(Tableau119[[#This Row],[Key(ID-date)]],'DATA BTO'!S:S,'DATA BTO'!K:K,FALSE)</f>
        <v>0</v>
      </c>
      <c r="AJ373" s="50" t="b">
        <f>_xlfn.XLOOKUP(Tableau119[[#This Row],[Key(ID-date)]],'DATA BTO'!S:S,'DATA BTO'!L:L,FALSE)</f>
        <v>0</v>
      </c>
      <c r="AK373" s="53" t="b">
        <f>_xlfn.XLOOKUP(Tableau119[[#This Row],[Key(ID-date)]],'DATA BTO'!S:S,'DATA BTO'!N:N,FALSE)</f>
        <v>0</v>
      </c>
      <c r="AL373" s="54" t="e">
        <f>VLOOKUP(Tableau119[[#This Row],[Key(POD -PFI- Usine)]],'DATA Consignee'!A:F,6,FALSE)</f>
        <v>#N/A</v>
      </c>
      <c r="AM373" s="284" t="s">
        <v>171</v>
      </c>
      <c r="AN373" s="376">
        <f>IF(Tableau119[[#This Row],[Name PFI/CDD]]="","-",VLOOKUP(Tableau119[[#This Row],[Name PFI/CDD]],Plant_AILN!I:J,2,FALSE))</f>
        <v>91018400</v>
      </c>
      <c r="AO37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3" s="2" t="e">
        <f>VLOOKUP(Tableau119[[#This Row],[Key(POD -PFI- Usine)]],'DATA Consignee'!A:J,10,FALSE)</f>
        <v>#N/A</v>
      </c>
      <c r="AR373" s="50" t="e">
        <f>VLOOKUP(Tableau119[[#This Row],[Key(POD -PFI- Usine)]],'DATA Consignee'!A:N,14,FALSE)</f>
        <v>#N/A</v>
      </c>
      <c r="AS3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3" s="50">
        <f>Tableau119[[#This Row],[Transit time]]+Tableau119[[#This Row],[Time for security]]+Tableau119[[#This Row],[Time for security2 buffer]]</f>
        <v>0</v>
      </c>
      <c r="AV3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3" s="50" t="e">
        <f>Tableau119[[#This Row],[Leadtime SI2C]]+Tableau119[[#This Row],[First Receipt Days]]-Tableau119[[#This Row],[Day Customer Order]]+1</f>
        <v>#N/A</v>
      </c>
      <c r="AX373" s="119" t="e">
        <f>IF(Tableau119[[#This Row],[Name ILN]]&lt;&gt;"SFK Freight Forwarder",Tableau119[[#This Row],[Cust. Leadtime]],Tableau119[[#This Row],[Leadtime SI2C]])</f>
        <v>#N/A</v>
      </c>
      <c r="AY373" s="51" t="b">
        <f>_xlfn.XLOOKUP(Tableau119[[#This Row],[Key(ID-date)]],'DATA BTO'!S:S,'DATA BTO'!P:P,FALSE)</f>
        <v>0</v>
      </c>
      <c r="AZ373" s="338">
        <v>45777</v>
      </c>
      <c r="BA373" s="50"/>
    </row>
    <row r="374" spans="2:53">
      <c r="B374" s="446" t="str">
        <f>_xlfn.CONCAT(Tableau119[[#This Row],[Name ILN]],"-",Tableau119[[#This Row],[Name Shipper]],"-",Tableau119[[#This Row],[Name Site]])</f>
        <v>KWE Shanghai-KWE Shanghai-DOUAI</v>
      </c>
      <c r="C374" s="66" t="str">
        <f>_xlfn.CONCAT(Tableau119[[#This Row],[Compte ILN]],"-",Tableau119[[#This Row],[Compte Shipper]],"-",Tableau119[[#This Row],[POL]],"-",Tableau119[[#This Row],[Compte Consignee]])</f>
        <v>26037000-26037000-FALSO-90019100</v>
      </c>
      <c r="D374" s="66" t="str">
        <f>_xlfn.CONCAT(Tableau119[[#This Row],[Compte ILN]],"-",Tableau119[[#This Row],[Compte Shipper]],"-",Tableau119[[#This Row],[POL]])</f>
        <v>26037000-26037000-FALSO</v>
      </c>
      <c r="E374" s="130" t="str">
        <f>_xlfn.CONCAT(Tableau119[[#This Row],[POL]],"-",Tableau119[[#This Row],[Carrier]],"-",Tableau119[[#This Row],[POD]])</f>
        <v>FALSO-FALSO-FALSO</v>
      </c>
      <c r="F374" s="66" t="str">
        <f>_xlfn.CONCAT(Tableau119[[#This Row],[ID]],"-","Actif")</f>
        <v>154-Actif</v>
      </c>
      <c r="G374" s="66" t="str">
        <f>_xlfn.CONCAT(Tableau119[[#This Row],[POD]],"-",Tableau119[[#This Row],[Code PFI]],"-",Tableau119[[#This Row],[Compte Consignee]])</f>
        <v>FALSO-91018400-90019100</v>
      </c>
      <c r="H3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ShanghaiFALSODOUAI</v>
      </c>
      <c r="I374" s="434" t="str">
        <f>_xlfn.CONCAT(Tableau119[[#This Row],[ID]],"-",Tableau119[[#This Row],[Expiration Date]])</f>
        <v>154-45777</v>
      </c>
      <c r="J3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DOUAI-KWE Shanghai-KWE Shanghai-154-FALSO-FALSO-FALSO-PFI VLL-45777</v>
      </c>
      <c r="K374" s="119" t="str">
        <f ca="1">IF(COUNTIF(J:J,Tableau119[[#This Row],[Plant-ILN-shipper-POL-Carrier-POD-PFI]])=1,"Non","Oui")</f>
        <v>Non</v>
      </c>
      <c r="L374" s="128" t="str">
        <f>VLOOKUP(Tableau119[[#This Row],[Name Site]],Plant_AILN!A:D,4,FALSE)</f>
        <v>FRANCE</v>
      </c>
      <c r="M374" s="411" t="s">
        <v>188</v>
      </c>
      <c r="N374" s="454">
        <f>VLOOKUP(Tableau119[[#This Row],[Name Site]],Plant_AILN!A:C,3,FALSE)</f>
        <v>90019100</v>
      </c>
      <c r="O374" s="55">
        <f>VLOOKUP(Tableau119[[#This Row],[Compte Consignee]],Order!C:D,2,FALSE)</f>
        <v>7</v>
      </c>
      <c r="P374" s="124" t="s">
        <v>62</v>
      </c>
      <c r="Q374" s="365">
        <f>VLOOKUP(Tableau119[[#This Row],[Name ILN]],Plant_AILN!F:G,2,FALSE)</f>
        <v>26037000</v>
      </c>
      <c r="R374" s="50">
        <f>VLOOKUP(Tableau119[[#This Row],[Compte ILN]],'DATA ILN'!D:I,6,FALSE)</f>
        <v>9</v>
      </c>
      <c r="S374" s="50" t="e">
        <f>IFERROR(VLOOKUP(Tableau119[[#This Row],[Key(Compte ILN - shipper - POL - plant)]],'DATA ILN'!A:J,10,FALSE),VLOOKUP(Tableau119[[#This Row],[Key(Compte ILN - shipper - POL)]],'DATA ILN'!B:J,9,FALSE))</f>
        <v>#N/A</v>
      </c>
      <c r="T374" s="50" t="e">
        <f>IFERROR(VLOOKUP(Tableau119[[#This Row],[Key(Compte ILN - shipper - POL - plant)]],'DATA ILN'!A:K,11,FALSE),VLOOKUP(Tableau119[[#This Row],[Key(Compte ILN - shipper - POL)]],'DATA ILN'!B:K,10,FALSE))</f>
        <v>#N/A</v>
      </c>
      <c r="U374" s="50" t="e">
        <f>IFERROR(VLOOKUP(Tableau119[[#This Row],[Key(Compte ILN - shipper - POL - plant)]],'DATA ILN'!A:L,12,FALSE),VLOOKUP(Tableau119[[#This Row],[Key(Compte ILN - shipper - POL)]],'DATA ILN'!B:L,11,FALSE))</f>
        <v>#N/A</v>
      </c>
      <c r="V374" s="50" t="e">
        <f>Tableau119[[#This Row],[Day ILN Order]]+Tableau119[[#This Row],[Delivery time to ILN/Shipper]]-1</f>
        <v>#N/A</v>
      </c>
      <c r="W374" s="50" t="e">
        <f>IFERROR(VLOOKUP(Tableau119[[#This Row],[Key(Compte ILN - shipper - POL - plant)]],'DATA ILN'!A:N,14,FALSE),VLOOKUP(Tableau119[[#This Row],[Key(Compte ILN - shipper - POL)]],'DATA ILN'!B:N,13,FALSE))</f>
        <v>#N/A</v>
      </c>
      <c r="X374" s="50" t="e">
        <f>IFERROR(VLOOKUP(Tableau119[[#This Row],[Key(Compte ILN - shipper - POL - plant)]],'DATA ILN'!A:P,16,FALSE),VLOOKUP(Tableau119[[#This Row],[Key(Compte ILN - shipper - POL)]],'DATA ILN'!B:P,15,FALSE))</f>
        <v>#N/A</v>
      </c>
      <c r="Y374" s="284" t="s">
        <v>62</v>
      </c>
      <c r="Z374" s="430">
        <f>IFERROR(VLOOKUP(Tableau119[[#This Row],[Name Shipper]],Plant_AILN!L:M,2,FALSE),0)</f>
        <v>26037000</v>
      </c>
      <c r="AA374" s="406">
        <v>154</v>
      </c>
      <c r="AB374" s="396" t="b">
        <f>_xlfn.XLOOKUP(Tableau119[[#This Row],[Key(ID-date)]],'DATA BTO'!S:S,'DATA BTO'!E:E,FALSE)</f>
        <v>0</v>
      </c>
      <c r="AC374" s="3" t="b">
        <f>_xlfn.XLOOKUP(Tableau119[[#This Row],[Key(ID-date)]],'DATA BTO'!S:S,'DATA BTO'!F:F,FALSE)</f>
        <v>0</v>
      </c>
      <c r="AD374" s="50" t="b">
        <f>_xlfn.XLOOKUP(Tableau119[[#This Row],[Key(ID-date)]],'DATA BTO'!S:S,'DATA BTO'!G:G,FALSE)</f>
        <v>0</v>
      </c>
      <c r="AE374" s="50" t="b">
        <f>_xlfn.XLOOKUP(Tableau119[[#This Row],[Key(ID-date)]],'DATA BTO'!S:S,'DATA BTO'!H:H,FALSE)</f>
        <v>0</v>
      </c>
      <c r="AF374" s="447" t="e">
        <f>IF(Tableau119[[#This Row],[First Day to POL]]&lt;=Tableau119[[#This Row],[Day Cut Off]],Tableau119[[#This Row],[Day ETD]],Tableau119[[#This Row],[Day ETD]]+7)</f>
        <v>#N/A</v>
      </c>
      <c r="AG374" s="50" t="b">
        <f>_xlfn.XLOOKUP(Tableau119[[#This Row],[Key(ID-date)]],'DATA BTO'!S:S,'DATA BTO'!I:I,FALSE)</f>
        <v>0</v>
      </c>
      <c r="AH374" s="3" t="b">
        <f>_xlfn.XLOOKUP(Tableau119[[#This Row],[Key(ID-date)]],'DATA BTO'!S:S,'DATA BTO'!J:J,FALSE)</f>
        <v>0</v>
      </c>
      <c r="AI374" s="3" t="b">
        <f>_xlfn.XLOOKUP(Tableau119[[#This Row],[Key(ID-date)]],'DATA BTO'!S:S,'DATA BTO'!K:K,FALSE)</f>
        <v>0</v>
      </c>
      <c r="AJ374" s="50" t="b">
        <f>_xlfn.XLOOKUP(Tableau119[[#This Row],[Key(ID-date)]],'DATA BTO'!S:S,'DATA BTO'!L:L,FALSE)</f>
        <v>0</v>
      </c>
      <c r="AK374" s="53" t="b">
        <f>_xlfn.XLOOKUP(Tableau119[[#This Row],[Key(ID-date)]],'DATA BTO'!S:S,'DATA BTO'!N:N,FALSE)</f>
        <v>0</v>
      </c>
      <c r="AL374" s="54" t="e">
        <f>VLOOKUP(Tableau119[[#This Row],[Key(POD -PFI- Usine)]],'DATA Consignee'!A:F,6,FALSE)</f>
        <v>#N/A</v>
      </c>
      <c r="AM374" s="284" t="s">
        <v>171</v>
      </c>
      <c r="AN374" s="376">
        <f>IF(Tableau119[[#This Row],[Name PFI/CDD]]="","-",VLOOKUP(Tableau119[[#This Row],[Name PFI/CDD]],Plant_AILN!I:J,2,FALSE))</f>
        <v>91018400</v>
      </c>
      <c r="AO374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4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4" s="2" t="e">
        <f>VLOOKUP(Tableau119[[#This Row],[Key(POD -PFI- Usine)]],'DATA Consignee'!A:J,10,FALSE)</f>
        <v>#N/A</v>
      </c>
      <c r="AR374" s="50" t="e">
        <f>VLOOKUP(Tableau119[[#This Row],[Key(POD -PFI- Usine)]],'DATA Consignee'!A:N,14,FALSE)</f>
        <v>#N/A</v>
      </c>
      <c r="AS3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4" s="50">
        <f>Tableau119[[#This Row],[Transit time]]+Tableau119[[#This Row],[Time for security]]+Tableau119[[#This Row],[Time for security2 buffer]]</f>
        <v>0</v>
      </c>
      <c r="AV3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4" s="50" t="e">
        <f>Tableau119[[#This Row],[Leadtime SI2C]]+Tableau119[[#This Row],[First Receipt Days]]-Tableau119[[#This Row],[Day Customer Order]]+1</f>
        <v>#N/A</v>
      </c>
      <c r="AX374" s="119" t="e">
        <f>IF(Tableau119[[#This Row],[Name ILN]]&lt;&gt;"SFK Freight Forwarder",Tableau119[[#This Row],[Cust. Leadtime]],Tableau119[[#This Row],[Leadtime SI2C]])</f>
        <v>#N/A</v>
      </c>
      <c r="AY374" s="51" t="b">
        <f>_xlfn.XLOOKUP(Tableau119[[#This Row],[Key(ID-date)]],'DATA BTO'!S:S,'DATA BTO'!P:P,FALSE)</f>
        <v>0</v>
      </c>
      <c r="AZ374" s="338">
        <v>45777</v>
      </c>
      <c r="BA374" s="50"/>
    </row>
    <row r="375" spans="2:53">
      <c r="B375" s="446" t="str">
        <f>_xlfn.CONCAT(Tableau119[[#This Row],[Name ILN]],"-",Tableau119[[#This Row],[Name Shipper]],"-",Tableau119[[#This Row],[Name Site]])</f>
        <v>KWE Shanghai-KWE Shanghai-PALENCIA</v>
      </c>
      <c r="C375" s="66" t="str">
        <f>_xlfn.CONCAT(Tableau119[[#This Row],[Compte ILN]],"-",Tableau119[[#This Row],[Compte Shipper]],"-",Tableau119[[#This Row],[POL]],"-",Tableau119[[#This Row],[Compte Consignee]])</f>
        <v>26037000-26037000-FALSO-91017200</v>
      </c>
      <c r="D375" s="66" t="str">
        <f>_xlfn.CONCAT(Tableau119[[#This Row],[Compte ILN]],"-",Tableau119[[#This Row],[Compte Shipper]],"-",Tableau119[[#This Row],[POL]])</f>
        <v>26037000-26037000-FALSO</v>
      </c>
      <c r="E375" s="130" t="str">
        <f>_xlfn.CONCAT(Tableau119[[#This Row],[POL]],"-",Tableau119[[#This Row],[Carrier]],"-",Tableau119[[#This Row],[POD]])</f>
        <v>FALSO-FALSO-FALSO</v>
      </c>
      <c r="F375" s="66" t="str">
        <f>_xlfn.CONCAT(Tableau119[[#This Row],[ID]],"-","Actif")</f>
        <v>154-Actif</v>
      </c>
      <c r="G375" s="66" t="str">
        <f>_xlfn.CONCAT(Tableau119[[#This Row],[POD]],"-",Tableau119[[#This Row],[Code PFI]],"-",Tableau119[[#This Row],[Compte Consignee]])</f>
        <v>FALSO-91018400-91017200</v>
      </c>
      <c r="H3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ShanghaiFALSOPALENCIA</v>
      </c>
      <c r="I375" s="434" t="str">
        <f>_xlfn.CONCAT(Tableau119[[#This Row],[ID]],"-",Tableau119[[#This Row],[Expiration Date]])</f>
        <v>154-45777</v>
      </c>
      <c r="J3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PALENCIA-KWE Shanghai-KWE Shanghai-154-FALSO-FALSO-FALSO-CDD VLL-45777</v>
      </c>
      <c r="K375" s="119" t="str">
        <f ca="1">IF(COUNTIF(J:J,Tableau119[[#This Row],[Plant-ILN-shipper-POL-Carrier-POD-PFI]])=1,"Non","Oui")</f>
        <v>Non</v>
      </c>
      <c r="L375" s="128" t="str">
        <f>VLOOKUP(Tableau119[[#This Row],[Name Site]],Plant_AILN!A:D,4,FALSE)</f>
        <v>SPAIN</v>
      </c>
      <c r="M375" s="415" t="s">
        <v>184</v>
      </c>
      <c r="N375" s="455">
        <f>VLOOKUP(Tableau119[[#This Row],[Name Site]],Plant_AILN!A:C,3,FALSE)</f>
        <v>91017200</v>
      </c>
      <c r="O375" s="104">
        <f>VLOOKUP(Tableau119[[#This Row],[Compte Consignee]],Order!C:D,2,FALSE)</f>
        <v>7</v>
      </c>
      <c r="P375" s="126" t="s">
        <v>62</v>
      </c>
      <c r="Q375" s="366">
        <f>VLOOKUP(Tableau119[[#This Row],[Name ILN]],Plant_AILN!F:G,2,FALSE)</f>
        <v>26037000</v>
      </c>
      <c r="R375" s="81">
        <f>VLOOKUP(Tableau119[[#This Row],[Compte ILN]],'DATA ILN'!D:I,6,FALSE)</f>
        <v>9</v>
      </c>
      <c r="S375" s="81" t="e">
        <f>IFERROR(VLOOKUP(Tableau119[[#This Row],[Key(Compte ILN - shipper - POL - plant)]],'DATA ILN'!A:J,10,FALSE),VLOOKUP(Tableau119[[#This Row],[Key(Compte ILN - shipper - POL)]],'DATA ILN'!B:J,9,FALSE))</f>
        <v>#N/A</v>
      </c>
      <c r="T375" s="81" t="e">
        <f>IFERROR(VLOOKUP(Tableau119[[#This Row],[Key(Compte ILN - shipper - POL - plant)]],'DATA ILN'!A:K,11,FALSE),VLOOKUP(Tableau119[[#This Row],[Key(Compte ILN - shipper - POL)]],'DATA ILN'!B:K,10,FALSE))</f>
        <v>#N/A</v>
      </c>
      <c r="U375" s="81" t="e">
        <f>IFERROR(VLOOKUP(Tableau119[[#This Row],[Key(Compte ILN - shipper - POL - plant)]],'DATA ILN'!A:L,12,FALSE),VLOOKUP(Tableau119[[#This Row],[Key(Compte ILN - shipper - POL)]],'DATA ILN'!B:L,11,FALSE))</f>
        <v>#N/A</v>
      </c>
      <c r="V375" s="81" t="e">
        <f>Tableau119[[#This Row],[Day ILN Order]]+Tableau119[[#This Row],[Delivery time to ILN/Shipper]]-1</f>
        <v>#N/A</v>
      </c>
      <c r="W375" s="81" t="e">
        <f>IFERROR(VLOOKUP(Tableau119[[#This Row],[Key(Compte ILN - shipper - POL - plant)]],'DATA ILN'!A:N,14,FALSE),VLOOKUP(Tableau119[[#This Row],[Key(Compte ILN - shipper - POL)]],'DATA ILN'!B:N,13,FALSE))</f>
        <v>#N/A</v>
      </c>
      <c r="X375" s="81" t="e">
        <f>IFERROR(VLOOKUP(Tableau119[[#This Row],[Key(Compte ILN - shipper - POL - plant)]],'DATA ILN'!A:P,16,FALSE),VLOOKUP(Tableau119[[#This Row],[Key(Compte ILN - shipper - POL)]],'DATA ILN'!B:P,15,FALSE))</f>
        <v>#N/A</v>
      </c>
      <c r="Y375" s="102" t="s">
        <v>62</v>
      </c>
      <c r="Z375" s="417">
        <f>IFERROR(VLOOKUP(Tableau119[[#This Row],[Name Shipper]],Plant_AILN!L:M,2,FALSE),0)</f>
        <v>26037000</v>
      </c>
      <c r="AA375" s="416">
        <v>154</v>
      </c>
      <c r="AB375" s="396" t="b">
        <f>_xlfn.XLOOKUP(Tableau119[[#This Row],[Key(ID-date)]],'DATA BTO'!S:S,'DATA BTO'!E:E,FALSE)</f>
        <v>0</v>
      </c>
      <c r="AC375" s="3" t="b">
        <f>_xlfn.XLOOKUP(Tableau119[[#This Row],[Key(ID-date)]],'DATA BTO'!S:S,'DATA BTO'!F:F,FALSE)</f>
        <v>0</v>
      </c>
      <c r="AD375" s="50" t="b">
        <f>_xlfn.XLOOKUP(Tableau119[[#This Row],[Key(ID-date)]],'DATA BTO'!S:S,'DATA BTO'!G:G,FALSE)</f>
        <v>0</v>
      </c>
      <c r="AE375" s="50" t="b">
        <f>_xlfn.XLOOKUP(Tableau119[[#This Row],[Key(ID-date)]],'DATA BTO'!S:S,'DATA BTO'!H:H,FALSE)</f>
        <v>0</v>
      </c>
      <c r="AF375" s="447" t="e">
        <f>IF(Tableau119[[#This Row],[First Day to POL]]&lt;=Tableau119[[#This Row],[Day Cut Off]],Tableau119[[#This Row],[Day ETD]],Tableau119[[#This Row],[Day ETD]]+7)</f>
        <v>#N/A</v>
      </c>
      <c r="AG375" s="50" t="b">
        <f>_xlfn.XLOOKUP(Tableau119[[#This Row],[Key(ID-date)]],'DATA BTO'!S:S,'DATA BTO'!I:I,FALSE)</f>
        <v>0</v>
      </c>
      <c r="AH375" s="3" t="b">
        <f>_xlfn.XLOOKUP(Tableau119[[#This Row],[Key(ID-date)]],'DATA BTO'!S:S,'DATA BTO'!J:J,FALSE)</f>
        <v>0</v>
      </c>
      <c r="AI375" s="3" t="b">
        <f>_xlfn.XLOOKUP(Tableau119[[#This Row],[Key(ID-date)]],'DATA BTO'!S:S,'DATA BTO'!K:K,FALSE)</f>
        <v>0</v>
      </c>
      <c r="AJ375" s="50" t="b">
        <f>_xlfn.XLOOKUP(Tableau119[[#This Row],[Key(ID-date)]],'DATA BTO'!S:S,'DATA BTO'!L:L,FALSE)</f>
        <v>0</v>
      </c>
      <c r="AK375" s="53" t="b">
        <f>_xlfn.XLOOKUP(Tableau119[[#This Row],[Key(ID-date)]],'DATA BTO'!S:S,'DATA BTO'!N:N,FALSE)</f>
        <v>0</v>
      </c>
      <c r="AL375" s="54" t="e">
        <f>VLOOKUP(Tableau119[[#This Row],[Key(POD -PFI- Usine)]],'DATA Consignee'!A:F,6,FALSE)</f>
        <v>#N/A</v>
      </c>
      <c r="AM375" s="102" t="s">
        <v>169</v>
      </c>
      <c r="AN375" s="375">
        <f>IF(Tableau119[[#This Row],[Name PFI/CDD]]="","-",VLOOKUP(Tableau119[[#This Row],[Name PFI/CDD]],Plant_AILN!I:J,2,FALSE))</f>
        <v>91018400</v>
      </c>
      <c r="AO375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5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5" s="110" t="e">
        <f>VLOOKUP(Tableau119[[#This Row],[Key(POD -PFI- Usine)]],'DATA Consignee'!A:J,10,FALSE)</f>
        <v>#N/A</v>
      </c>
      <c r="AR375" s="81" t="e">
        <f>VLOOKUP(Tableau119[[#This Row],[Key(POD -PFI- Usine)]],'DATA Consignee'!A:N,14,FALSE)</f>
        <v>#N/A</v>
      </c>
      <c r="AS37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5" s="81">
        <f>Tableau119[[#This Row],[Transit time]]+Tableau119[[#This Row],[Time for security]]+Tableau119[[#This Row],[Time for security2 buffer]]</f>
        <v>0</v>
      </c>
      <c r="AV3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5" s="50" t="e">
        <f>Tableau119[[#This Row],[Leadtime SI2C]]+Tableau119[[#This Row],[First Receipt Days]]-Tableau119[[#This Row],[Day Customer Order]]+1</f>
        <v>#N/A</v>
      </c>
      <c r="AX375" s="119" t="e">
        <f>IF(Tableau119[[#This Row],[Name ILN]]&lt;&gt;"SFK Freight Forwarder",Tableau119[[#This Row],[Cust. Leadtime]],Tableau119[[#This Row],[Leadtime SI2C]])</f>
        <v>#N/A</v>
      </c>
      <c r="AY375" s="51" t="b">
        <f>_xlfn.XLOOKUP(Tableau119[[#This Row],[Key(ID-date)]],'DATA BTO'!S:S,'DATA BTO'!P:P,FALSE)</f>
        <v>0</v>
      </c>
      <c r="AZ375" s="388">
        <v>45777</v>
      </c>
      <c r="BA375" s="81"/>
    </row>
    <row r="376" spans="2:53">
      <c r="B376" s="446" t="str">
        <f>_xlfn.CONCAT(Tableau119[[#This Row],[Name ILN]],"-",Tableau119[[#This Row],[Name Shipper]],"-",Tableau119[[#This Row],[Name Site]])</f>
        <v>KWE Shanghai-KWE Shanghai-VALL MONTAGE</v>
      </c>
      <c r="C376" s="66" t="str">
        <f>_xlfn.CONCAT(Tableau119[[#This Row],[Compte ILN]],"-",Tableau119[[#This Row],[Compte Shipper]],"-",Tableau119[[#This Row],[POL]],"-",Tableau119[[#This Row],[Compte Consignee]])</f>
        <v>26037000-26037000-FALSO-91017300</v>
      </c>
      <c r="D376" s="66" t="str">
        <f>_xlfn.CONCAT(Tableau119[[#This Row],[Compte ILN]],"-",Tableau119[[#This Row],[Compte Shipper]],"-",Tableau119[[#This Row],[POL]])</f>
        <v>26037000-26037000-FALSO</v>
      </c>
      <c r="E376" s="130" t="str">
        <f>_xlfn.CONCAT(Tableau119[[#This Row],[POL]],"-",Tableau119[[#This Row],[Carrier]],"-",Tableau119[[#This Row],[POD]])</f>
        <v>FALSO-FALSO-FALSO</v>
      </c>
      <c r="F376" s="66" t="str">
        <f>_xlfn.CONCAT(Tableau119[[#This Row],[ID]],"-","Actif")</f>
        <v>154-Actif</v>
      </c>
      <c r="G376" s="66" t="str">
        <f>_xlfn.CONCAT(Tableau119[[#This Row],[POD]],"-",Tableau119[[#This Row],[Code PFI]],"-",Tableau119[[#This Row],[Compte Consignee]])</f>
        <v>FALSO-91018400-91017300</v>
      </c>
      <c r="H3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ShanghaiFALSOVALL MONTAGE</v>
      </c>
      <c r="I376" s="434" t="str">
        <f>_xlfn.CONCAT(Tableau119[[#This Row],[ID]],"-",Tableau119[[#This Row],[Expiration Date]])</f>
        <v>154-45777</v>
      </c>
      <c r="J3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Shanghai-154-FALSO-FALSO-FALSO-CDD VLL-45777</v>
      </c>
      <c r="K376" s="119" t="str">
        <f ca="1">IF(COUNTIF(J:J,Tableau119[[#This Row],[Plant-ILN-shipper-POL-Carrier-POD-PFI]])=1,"Non","Oui")</f>
        <v>Non</v>
      </c>
      <c r="L376" s="128" t="str">
        <f>VLOOKUP(Tableau119[[#This Row],[Name Site]],Plant_AILN!A:D,4,FALSE)</f>
        <v>SPAIN</v>
      </c>
      <c r="M376" s="411" t="s">
        <v>175</v>
      </c>
      <c r="N376" s="454">
        <f>VLOOKUP(Tableau119[[#This Row],[Name Site]],Plant_AILN!A:C,3,FALSE)</f>
        <v>91017300</v>
      </c>
      <c r="O376" s="55">
        <f>VLOOKUP(Tableau119[[#This Row],[Compte Consignee]],Order!C:D,2,FALSE)</f>
        <v>7</v>
      </c>
      <c r="P376" s="124" t="s">
        <v>62</v>
      </c>
      <c r="Q376" s="365">
        <f>VLOOKUP(Tableau119[[#This Row],[Name ILN]],Plant_AILN!F:G,2,FALSE)</f>
        <v>26037000</v>
      </c>
      <c r="R376" s="50">
        <f>VLOOKUP(Tableau119[[#This Row],[Compte ILN]],'DATA ILN'!D:I,6,FALSE)</f>
        <v>9</v>
      </c>
      <c r="S376" s="50" t="e">
        <f>IFERROR(VLOOKUP(Tableau119[[#This Row],[Key(Compte ILN - shipper - POL - plant)]],'DATA ILN'!A:J,10,FALSE),VLOOKUP(Tableau119[[#This Row],[Key(Compte ILN - shipper - POL)]],'DATA ILN'!B:J,9,FALSE))</f>
        <v>#N/A</v>
      </c>
      <c r="T376" s="50" t="e">
        <f>IFERROR(VLOOKUP(Tableau119[[#This Row],[Key(Compte ILN - shipper - POL - plant)]],'DATA ILN'!A:K,11,FALSE),VLOOKUP(Tableau119[[#This Row],[Key(Compte ILN - shipper - POL)]],'DATA ILN'!B:K,10,FALSE))</f>
        <v>#N/A</v>
      </c>
      <c r="U376" s="50" t="e">
        <f>IFERROR(VLOOKUP(Tableau119[[#This Row],[Key(Compte ILN - shipper - POL - plant)]],'DATA ILN'!A:L,12,FALSE),VLOOKUP(Tableau119[[#This Row],[Key(Compte ILN - shipper - POL)]],'DATA ILN'!B:L,11,FALSE))</f>
        <v>#N/A</v>
      </c>
      <c r="V376" s="50" t="e">
        <f>Tableau119[[#This Row],[Day ILN Order]]+Tableau119[[#This Row],[Delivery time to ILN/Shipper]]-1</f>
        <v>#N/A</v>
      </c>
      <c r="W376" s="50" t="e">
        <f>IFERROR(VLOOKUP(Tableau119[[#This Row],[Key(Compte ILN - shipper - POL - plant)]],'DATA ILN'!A:N,14,FALSE),VLOOKUP(Tableau119[[#This Row],[Key(Compte ILN - shipper - POL)]],'DATA ILN'!B:N,13,FALSE))</f>
        <v>#N/A</v>
      </c>
      <c r="X376" s="50" t="e">
        <f>IFERROR(VLOOKUP(Tableau119[[#This Row],[Key(Compte ILN - shipper - POL - plant)]],'DATA ILN'!A:P,16,FALSE),VLOOKUP(Tableau119[[#This Row],[Key(Compte ILN - shipper - POL)]],'DATA ILN'!B:P,15,FALSE))</f>
        <v>#N/A</v>
      </c>
      <c r="Y376" s="284" t="s">
        <v>62</v>
      </c>
      <c r="Z376" s="430">
        <f>IFERROR(VLOOKUP(Tableau119[[#This Row],[Name Shipper]],Plant_AILN!L:M,2,FALSE),0)</f>
        <v>26037000</v>
      </c>
      <c r="AA376" s="406">
        <v>154</v>
      </c>
      <c r="AB376" s="396" t="b">
        <f>_xlfn.XLOOKUP(Tableau119[[#This Row],[Key(ID-date)]],'DATA BTO'!S:S,'DATA BTO'!E:E,FALSE)</f>
        <v>0</v>
      </c>
      <c r="AC376" s="3" t="b">
        <f>_xlfn.XLOOKUP(Tableau119[[#This Row],[Key(ID-date)]],'DATA BTO'!S:S,'DATA BTO'!F:F,FALSE)</f>
        <v>0</v>
      </c>
      <c r="AD376" s="50" t="b">
        <f>_xlfn.XLOOKUP(Tableau119[[#This Row],[Key(ID-date)]],'DATA BTO'!S:S,'DATA BTO'!G:G,FALSE)</f>
        <v>0</v>
      </c>
      <c r="AE376" s="50" t="b">
        <f>_xlfn.XLOOKUP(Tableau119[[#This Row],[Key(ID-date)]],'DATA BTO'!S:S,'DATA BTO'!H:H,FALSE)</f>
        <v>0</v>
      </c>
      <c r="AF376" s="447" t="e">
        <f>IF(Tableau119[[#This Row],[First Day to POL]]&lt;=Tableau119[[#This Row],[Day Cut Off]],Tableau119[[#This Row],[Day ETD]],Tableau119[[#This Row],[Day ETD]]+7)</f>
        <v>#N/A</v>
      </c>
      <c r="AG376" s="50" t="b">
        <f>_xlfn.XLOOKUP(Tableau119[[#This Row],[Key(ID-date)]],'DATA BTO'!S:S,'DATA BTO'!I:I,FALSE)</f>
        <v>0</v>
      </c>
      <c r="AH376" s="3" t="b">
        <f>_xlfn.XLOOKUP(Tableau119[[#This Row],[Key(ID-date)]],'DATA BTO'!S:S,'DATA BTO'!J:J,FALSE)</f>
        <v>0</v>
      </c>
      <c r="AI376" s="3" t="b">
        <f>_xlfn.XLOOKUP(Tableau119[[#This Row],[Key(ID-date)]],'DATA BTO'!S:S,'DATA BTO'!K:K,FALSE)</f>
        <v>0</v>
      </c>
      <c r="AJ376" s="50" t="b">
        <f>_xlfn.XLOOKUP(Tableau119[[#This Row],[Key(ID-date)]],'DATA BTO'!S:S,'DATA BTO'!L:L,FALSE)</f>
        <v>0</v>
      </c>
      <c r="AK376" s="53" t="b">
        <f>_xlfn.XLOOKUP(Tableau119[[#This Row],[Key(ID-date)]],'DATA BTO'!S:S,'DATA BTO'!N:N,FALSE)</f>
        <v>0</v>
      </c>
      <c r="AL376" s="54" t="e">
        <f>VLOOKUP(Tableau119[[#This Row],[Key(POD -PFI- Usine)]],'DATA Consignee'!A:F,6,FALSE)</f>
        <v>#N/A</v>
      </c>
      <c r="AM376" s="284" t="s">
        <v>169</v>
      </c>
      <c r="AN376" s="376">
        <f>IF(Tableau119[[#This Row],[Name PFI/CDD]]="","-",VLOOKUP(Tableau119[[#This Row],[Name PFI/CDD]],Plant_AILN!I:J,2,FALSE))</f>
        <v>91018400</v>
      </c>
      <c r="AO376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6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6" s="2" t="e">
        <f>VLOOKUP(Tableau119[[#This Row],[Key(POD -PFI- Usine)]],'DATA Consignee'!A:J,10,FALSE)</f>
        <v>#N/A</v>
      </c>
      <c r="AR376" s="50" t="e">
        <f>VLOOKUP(Tableau119[[#This Row],[Key(POD -PFI- Usine)]],'DATA Consignee'!A:N,14,FALSE)</f>
        <v>#N/A</v>
      </c>
      <c r="AS3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6" s="50">
        <f>Tableau119[[#This Row],[Transit time]]+Tableau119[[#This Row],[Time for security]]+Tableau119[[#This Row],[Time for security2 buffer]]</f>
        <v>0</v>
      </c>
      <c r="AV3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6" s="50" t="e">
        <f>Tableau119[[#This Row],[Leadtime SI2C]]+Tableau119[[#This Row],[First Receipt Days]]-Tableau119[[#This Row],[Day Customer Order]]+1</f>
        <v>#N/A</v>
      </c>
      <c r="AX376" s="119" t="e">
        <f>IF(Tableau119[[#This Row],[Name ILN]]&lt;&gt;"SFK Freight Forwarder",Tableau119[[#This Row],[Cust. Leadtime]],Tableau119[[#This Row],[Leadtime SI2C]])</f>
        <v>#N/A</v>
      </c>
      <c r="AY376" s="51" t="b">
        <f>_xlfn.XLOOKUP(Tableau119[[#This Row],[Key(ID-date)]],'DATA BTO'!S:S,'DATA BTO'!P:P,FALSE)</f>
        <v>0</v>
      </c>
      <c r="AZ376" s="338">
        <v>45777</v>
      </c>
      <c r="BA376" s="50"/>
    </row>
    <row r="377" spans="2:53">
      <c r="B377" s="446" t="str">
        <f>_xlfn.CONCAT(Tableau119[[#This Row],[Name ILN]],"-",Tableau119[[#This Row],[Name Shipper]],"-",Tableau119[[#This Row],[Name Site]])</f>
        <v>KWE Shanghai-KWE Shanghai-SEVILLA</v>
      </c>
      <c r="C377" s="66" t="str">
        <f>_xlfn.CONCAT(Tableau119[[#This Row],[Compte ILN]],"-",Tableau119[[#This Row],[Compte Shipper]],"-",Tableau119[[#This Row],[POL]],"-",Tableau119[[#This Row],[Compte Consignee]])</f>
        <v>26037000-26037000-FALSO-91017500</v>
      </c>
      <c r="D377" s="66" t="str">
        <f>_xlfn.CONCAT(Tableau119[[#This Row],[Compte ILN]],"-",Tableau119[[#This Row],[Compte Shipper]],"-",Tableau119[[#This Row],[POL]])</f>
        <v>26037000-26037000-FALSO</v>
      </c>
      <c r="E377" s="130" t="str">
        <f>_xlfn.CONCAT(Tableau119[[#This Row],[POL]],"-",Tableau119[[#This Row],[Carrier]],"-",Tableau119[[#This Row],[POD]])</f>
        <v>FALSO-FALSO-FALSO</v>
      </c>
      <c r="F377" s="66" t="str">
        <f>_xlfn.CONCAT(Tableau119[[#This Row],[ID]],"-","Actif")</f>
        <v>154-Actif</v>
      </c>
      <c r="G377" s="66" t="str">
        <f>_xlfn.CONCAT(Tableau119[[#This Row],[POD]],"-",Tableau119[[#This Row],[Code PFI]],"-",Tableau119[[#This Row],[Compte Consignee]])</f>
        <v>FALSO-91018400-91017500</v>
      </c>
      <c r="H3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ShanghaiFALSOSEVILLA</v>
      </c>
      <c r="I377" s="434" t="str">
        <f>_xlfn.CONCAT(Tableau119[[#This Row],[ID]],"-",Tableau119[[#This Row],[Expiration Date]])</f>
        <v>154-45777</v>
      </c>
      <c r="J3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SEVILLA-KWE Shanghai-KWE Shanghai-154-FALSO-FALSO-FALSO-PFI VLL-45777</v>
      </c>
      <c r="K377" s="119" t="str">
        <f ca="1">IF(COUNTIF(J:J,Tableau119[[#This Row],[Plant-ILN-shipper-POL-Carrier-POD-PFI]])=1,"Non","Oui")</f>
        <v>Non</v>
      </c>
      <c r="L377" s="128" t="str">
        <f>VLOOKUP(Tableau119[[#This Row],[Name Site]],Plant_AILN!A:D,4,FALSE)</f>
        <v>SPAIN</v>
      </c>
      <c r="M377" s="411" t="s">
        <v>172</v>
      </c>
      <c r="N377" s="454">
        <f>VLOOKUP(Tableau119[[#This Row],[Name Site]],Plant_AILN!A:C,3,FALSE)</f>
        <v>91017500</v>
      </c>
      <c r="O377" s="55">
        <f>VLOOKUP(Tableau119[[#This Row],[Compte Consignee]],Order!C:D,2,FALSE)</f>
        <v>7</v>
      </c>
      <c r="P377" s="124" t="s">
        <v>62</v>
      </c>
      <c r="Q377" s="365">
        <f>VLOOKUP(Tableau119[[#This Row],[Name ILN]],Plant_AILN!F:G,2,FALSE)</f>
        <v>26037000</v>
      </c>
      <c r="R377" s="50">
        <f>VLOOKUP(Tableau119[[#This Row],[Compte ILN]],'DATA ILN'!D:I,6,FALSE)</f>
        <v>9</v>
      </c>
      <c r="S377" s="50" t="e">
        <f>IFERROR(VLOOKUP(Tableau119[[#This Row],[Key(Compte ILN - shipper - POL - plant)]],'DATA ILN'!A:J,10,FALSE),VLOOKUP(Tableau119[[#This Row],[Key(Compte ILN - shipper - POL)]],'DATA ILN'!B:J,9,FALSE))</f>
        <v>#N/A</v>
      </c>
      <c r="T377" s="50" t="e">
        <f>IFERROR(VLOOKUP(Tableau119[[#This Row],[Key(Compte ILN - shipper - POL - plant)]],'DATA ILN'!A:K,11,FALSE),VLOOKUP(Tableau119[[#This Row],[Key(Compte ILN - shipper - POL)]],'DATA ILN'!B:K,10,FALSE))</f>
        <v>#N/A</v>
      </c>
      <c r="U377" s="50" t="e">
        <f>IFERROR(VLOOKUP(Tableau119[[#This Row],[Key(Compte ILN - shipper - POL - plant)]],'DATA ILN'!A:L,12,FALSE),VLOOKUP(Tableau119[[#This Row],[Key(Compte ILN - shipper - POL)]],'DATA ILN'!B:L,11,FALSE))</f>
        <v>#N/A</v>
      </c>
      <c r="V377" s="50" t="e">
        <f>Tableau119[[#This Row],[Day ILN Order]]+Tableau119[[#This Row],[Delivery time to ILN/Shipper]]-1</f>
        <v>#N/A</v>
      </c>
      <c r="W377" s="50" t="e">
        <f>IFERROR(VLOOKUP(Tableau119[[#This Row],[Key(Compte ILN - shipper - POL - plant)]],'DATA ILN'!A:N,14,FALSE),VLOOKUP(Tableau119[[#This Row],[Key(Compte ILN - shipper - POL)]],'DATA ILN'!B:N,13,FALSE))</f>
        <v>#N/A</v>
      </c>
      <c r="X377" s="50" t="e">
        <f>IFERROR(VLOOKUP(Tableau119[[#This Row],[Key(Compte ILN - shipper - POL - plant)]],'DATA ILN'!A:P,16,FALSE),VLOOKUP(Tableau119[[#This Row],[Key(Compte ILN - shipper - POL)]],'DATA ILN'!B:P,15,FALSE))</f>
        <v>#N/A</v>
      </c>
      <c r="Y377" s="284" t="s">
        <v>62</v>
      </c>
      <c r="Z377" s="430">
        <f>IFERROR(VLOOKUP(Tableau119[[#This Row],[Name Shipper]],Plant_AILN!L:M,2,FALSE),0)</f>
        <v>26037000</v>
      </c>
      <c r="AA377" s="406">
        <v>154</v>
      </c>
      <c r="AB377" s="396" t="b">
        <f>_xlfn.XLOOKUP(Tableau119[[#This Row],[Key(ID-date)]],'DATA BTO'!S:S,'DATA BTO'!E:E,FALSE)</f>
        <v>0</v>
      </c>
      <c r="AC377" s="3" t="b">
        <f>_xlfn.XLOOKUP(Tableau119[[#This Row],[Key(ID-date)]],'DATA BTO'!S:S,'DATA BTO'!F:F,FALSE)</f>
        <v>0</v>
      </c>
      <c r="AD377" s="50" t="b">
        <f>_xlfn.XLOOKUP(Tableau119[[#This Row],[Key(ID-date)]],'DATA BTO'!S:S,'DATA BTO'!G:G,FALSE)</f>
        <v>0</v>
      </c>
      <c r="AE377" s="50" t="b">
        <f>_xlfn.XLOOKUP(Tableau119[[#This Row],[Key(ID-date)]],'DATA BTO'!S:S,'DATA BTO'!H:H,FALSE)</f>
        <v>0</v>
      </c>
      <c r="AF377" s="447" t="e">
        <f>IF(Tableau119[[#This Row],[First Day to POL]]&lt;=Tableau119[[#This Row],[Day Cut Off]],Tableau119[[#This Row],[Day ETD]],Tableau119[[#This Row],[Day ETD]]+7)</f>
        <v>#N/A</v>
      </c>
      <c r="AG377" s="50" t="b">
        <f>_xlfn.XLOOKUP(Tableau119[[#This Row],[Key(ID-date)]],'DATA BTO'!S:S,'DATA BTO'!I:I,FALSE)</f>
        <v>0</v>
      </c>
      <c r="AH377" s="3" t="b">
        <f>_xlfn.XLOOKUP(Tableau119[[#This Row],[Key(ID-date)]],'DATA BTO'!S:S,'DATA BTO'!J:J,FALSE)</f>
        <v>0</v>
      </c>
      <c r="AI377" s="3" t="b">
        <f>_xlfn.XLOOKUP(Tableau119[[#This Row],[Key(ID-date)]],'DATA BTO'!S:S,'DATA BTO'!K:K,FALSE)</f>
        <v>0</v>
      </c>
      <c r="AJ377" s="50" t="b">
        <f>_xlfn.XLOOKUP(Tableau119[[#This Row],[Key(ID-date)]],'DATA BTO'!S:S,'DATA BTO'!L:L,FALSE)</f>
        <v>0</v>
      </c>
      <c r="AK377" s="53" t="b">
        <f>_xlfn.XLOOKUP(Tableau119[[#This Row],[Key(ID-date)]],'DATA BTO'!S:S,'DATA BTO'!N:N,FALSE)</f>
        <v>0</v>
      </c>
      <c r="AL377" s="54" t="e">
        <f>VLOOKUP(Tableau119[[#This Row],[Key(POD -PFI- Usine)]],'DATA Consignee'!A:F,6,FALSE)</f>
        <v>#N/A</v>
      </c>
      <c r="AM377" s="284" t="s">
        <v>171</v>
      </c>
      <c r="AN377" s="376">
        <f>IF(Tableau119[[#This Row],[Name PFI/CDD]]="","-",VLOOKUP(Tableau119[[#This Row],[Name PFI/CDD]],Plant_AILN!I:J,2,FALSE))</f>
        <v>91018400</v>
      </c>
      <c r="AO37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7" s="2" t="e">
        <f>VLOOKUP(Tableau119[[#This Row],[Key(POD -PFI- Usine)]],'DATA Consignee'!A:J,10,FALSE)</f>
        <v>#N/A</v>
      </c>
      <c r="AR377" s="50" t="e">
        <f>VLOOKUP(Tableau119[[#This Row],[Key(POD -PFI- Usine)]],'DATA Consignee'!A:N,14,FALSE)</f>
        <v>#N/A</v>
      </c>
      <c r="AS3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7" s="50">
        <f>Tableau119[[#This Row],[Transit time]]+Tableau119[[#This Row],[Time for security]]+Tableau119[[#This Row],[Time for security2 buffer]]</f>
        <v>0</v>
      </c>
      <c r="AV3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7" s="50" t="e">
        <f>Tableau119[[#This Row],[Leadtime SI2C]]+Tableau119[[#This Row],[First Receipt Days]]-Tableau119[[#This Row],[Day Customer Order]]+1</f>
        <v>#N/A</v>
      </c>
      <c r="AX377" s="119" t="e">
        <f>IF(Tableau119[[#This Row],[Name ILN]]&lt;&gt;"SFK Freight Forwarder",Tableau119[[#This Row],[Cust. Leadtime]],Tableau119[[#This Row],[Leadtime SI2C]])</f>
        <v>#N/A</v>
      </c>
      <c r="AY377" s="51" t="b">
        <f>_xlfn.XLOOKUP(Tableau119[[#This Row],[Key(ID-date)]],'DATA BTO'!S:S,'DATA BTO'!P:P,FALSE)</f>
        <v>0</v>
      </c>
      <c r="AZ377" s="338">
        <v>45777</v>
      </c>
      <c r="BA377" s="50"/>
    </row>
    <row r="378" spans="2:53">
      <c r="B378" s="446" t="str">
        <f>_xlfn.CONCAT(Tableau119[[#This Row],[Name ILN]],"-",Tableau119[[#This Row],[Name Shipper]],"-",Tableau119[[#This Row],[Name Site]])</f>
        <v>KWE Shanghai-KWE Shanghai-CARROCERIAS</v>
      </c>
      <c r="C378" s="66" t="str">
        <f>_xlfn.CONCAT(Tableau119[[#This Row],[Compte ILN]],"-",Tableau119[[#This Row],[Compte Shipper]],"-",Tableau119[[#This Row],[POL]],"-",Tableau119[[#This Row],[Compte Consignee]])</f>
        <v>26037000-26037000-FALSO-91017600</v>
      </c>
      <c r="D378" s="66" t="str">
        <f>_xlfn.CONCAT(Tableau119[[#This Row],[Compte ILN]],"-",Tableau119[[#This Row],[Compte Shipper]],"-",Tableau119[[#This Row],[POL]])</f>
        <v>26037000-26037000-FALSO</v>
      </c>
      <c r="E378" s="130" t="str">
        <f>_xlfn.CONCAT(Tableau119[[#This Row],[POL]],"-",Tableau119[[#This Row],[Carrier]],"-",Tableau119[[#This Row],[POD]])</f>
        <v>FALSO-FALSO-FALSO</v>
      </c>
      <c r="F378" s="66" t="str">
        <f>_xlfn.CONCAT(Tableau119[[#This Row],[ID]],"-","Actif")</f>
        <v>154-Actif</v>
      </c>
      <c r="G378" s="66" t="str">
        <f>_xlfn.CONCAT(Tableau119[[#This Row],[POD]],"-",Tableau119[[#This Row],[Code PFI]],"-",Tableau119[[#This Row],[Compte Consignee]])</f>
        <v>FALSO-91018400-91017600</v>
      </c>
      <c r="H3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ShanghaiFALSOCARROCERIAS</v>
      </c>
      <c r="I378" s="434" t="str">
        <f>_xlfn.CONCAT(Tableau119[[#This Row],[ID]],"-",Tableau119[[#This Row],[Expiration Date]])</f>
        <v>154-45777</v>
      </c>
      <c r="J3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CARROCERIAS-KWE Shanghai-KWE Shanghai-154-FALSO-FALSO-FALSO-PFI VLL-45777</v>
      </c>
      <c r="K378" s="119" t="str">
        <f ca="1">IF(COUNTIF(J:J,Tableau119[[#This Row],[Plant-ILN-shipper-POL-Carrier-POD-PFI]])=1,"Non","Oui")</f>
        <v>Non</v>
      </c>
      <c r="L378" s="128" t="str">
        <f>VLOOKUP(Tableau119[[#This Row],[Name Site]],Plant_AILN!A:D,4,FALSE)</f>
        <v>SPAIN</v>
      </c>
      <c r="M378" s="415" t="s">
        <v>211</v>
      </c>
      <c r="N378" s="455">
        <f>VLOOKUP(Tableau119[[#This Row],[Name Site]],Plant_AILN!A:C,3,FALSE)</f>
        <v>91017600</v>
      </c>
      <c r="O378" s="104">
        <f>VLOOKUP(Tableau119[[#This Row],[Compte Consignee]],Order!C:D,2,FALSE)</f>
        <v>7</v>
      </c>
      <c r="P378" s="126" t="s">
        <v>62</v>
      </c>
      <c r="Q378" s="366">
        <f>VLOOKUP(Tableau119[[#This Row],[Name ILN]],Plant_AILN!F:G,2,FALSE)</f>
        <v>26037000</v>
      </c>
      <c r="R378" s="81">
        <f>VLOOKUP(Tableau119[[#This Row],[Compte ILN]],'DATA ILN'!D:I,6,FALSE)</f>
        <v>9</v>
      </c>
      <c r="S378" s="81" t="e">
        <f>IFERROR(VLOOKUP(Tableau119[[#This Row],[Key(Compte ILN - shipper - POL - plant)]],'DATA ILN'!A:J,10,FALSE),VLOOKUP(Tableau119[[#This Row],[Key(Compte ILN - shipper - POL)]],'DATA ILN'!B:J,9,FALSE))</f>
        <v>#N/A</v>
      </c>
      <c r="T378" s="81" t="e">
        <f>IFERROR(VLOOKUP(Tableau119[[#This Row],[Key(Compte ILN - shipper - POL - plant)]],'DATA ILN'!A:K,11,FALSE),VLOOKUP(Tableau119[[#This Row],[Key(Compte ILN - shipper - POL)]],'DATA ILN'!B:K,10,FALSE))</f>
        <v>#N/A</v>
      </c>
      <c r="U378" s="81" t="e">
        <f>IFERROR(VLOOKUP(Tableau119[[#This Row],[Key(Compte ILN - shipper - POL - plant)]],'DATA ILN'!A:L,12,FALSE),VLOOKUP(Tableau119[[#This Row],[Key(Compte ILN - shipper - POL)]],'DATA ILN'!B:L,11,FALSE))</f>
        <v>#N/A</v>
      </c>
      <c r="V378" s="81" t="e">
        <f>Tableau119[[#This Row],[Day ILN Order]]+Tableau119[[#This Row],[Delivery time to ILN/Shipper]]-1</f>
        <v>#N/A</v>
      </c>
      <c r="W378" s="81" t="e">
        <f>IFERROR(VLOOKUP(Tableau119[[#This Row],[Key(Compte ILN - shipper - POL - plant)]],'DATA ILN'!A:N,14,FALSE),VLOOKUP(Tableau119[[#This Row],[Key(Compte ILN - shipper - POL)]],'DATA ILN'!B:N,13,FALSE))</f>
        <v>#N/A</v>
      </c>
      <c r="X378" s="81" t="e">
        <f>IFERROR(VLOOKUP(Tableau119[[#This Row],[Key(Compte ILN - shipper - POL - plant)]],'DATA ILN'!A:P,16,FALSE),VLOOKUP(Tableau119[[#This Row],[Key(Compte ILN - shipper - POL)]],'DATA ILN'!B:P,15,FALSE))</f>
        <v>#N/A</v>
      </c>
      <c r="Y378" s="102" t="s">
        <v>62</v>
      </c>
      <c r="Z378" s="417">
        <f>IFERROR(VLOOKUP(Tableau119[[#This Row],[Name Shipper]],Plant_AILN!L:M,2,FALSE),0)</f>
        <v>26037000</v>
      </c>
      <c r="AA378" s="416">
        <v>154</v>
      </c>
      <c r="AB378" s="396" t="b">
        <f>_xlfn.XLOOKUP(Tableau119[[#This Row],[Key(ID-date)]],'DATA BTO'!S:S,'DATA BTO'!E:E,FALSE)</f>
        <v>0</v>
      </c>
      <c r="AC378" s="3" t="b">
        <f>_xlfn.XLOOKUP(Tableau119[[#This Row],[Key(ID-date)]],'DATA BTO'!S:S,'DATA BTO'!F:F,FALSE)</f>
        <v>0</v>
      </c>
      <c r="AD378" s="50" t="b">
        <f>_xlfn.XLOOKUP(Tableau119[[#This Row],[Key(ID-date)]],'DATA BTO'!S:S,'DATA BTO'!G:G,FALSE)</f>
        <v>0</v>
      </c>
      <c r="AE378" s="50" t="b">
        <f>_xlfn.XLOOKUP(Tableau119[[#This Row],[Key(ID-date)]],'DATA BTO'!S:S,'DATA BTO'!H:H,FALSE)</f>
        <v>0</v>
      </c>
      <c r="AF378" s="447" t="e">
        <f>IF(Tableau119[[#This Row],[First Day to POL]]&lt;=Tableau119[[#This Row],[Day Cut Off]],Tableau119[[#This Row],[Day ETD]],Tableau119[[#This Row],[Day ETD]]+7)</f>
        <v>#N/A</v>
      </c>
      <c r="AG378" s="50" t="b">
        <f>_xlfn.XLOOKUP(Tableau119[[#This Row],[Key(ID-date)]],'DATA BTO'!S:S,'DATA BTO'!I:I,FALSE)</f>
        <v>0</v>
      </c>
      <c r="AH378" s="3" t="b">
        <f>_xlfn.XLOOKUP(Tableau119[[#This Row],[Key(ID-date)]],'DATA BTO'!S:S,'DATA BTO'!J:J,FALSE)</f>
        <v>0</v>
      </c>
      <c r="AI378" s="3" t="b">
        <f>_xlfn.XLOOKUP(Tableau119[[#This Row],[Key(ID-date)]],'DATA BTO'!S:S,'DATA BTO'!K:K,FALSE)</f>
        <v>0</v>
      </c>
      <c r="AJ378" s="50" t="b">
        <f>_xlfn.XLOOKUP(Tableau119[[#This Row],[Key(ID-date)]],'DATA BTO'!S:S,'DATA BTO'!L:L,FALSE)</f>
        <v>0</v>
      </c>
      <c r="AK378" s="53" t="b">
        <f>_xlfn.XLOOKUP(Tableau119[[#This Row],[Key(ID-date)]],'DATA BTO'!S:S,'DATA BTO'!N:N,FALSE)</f>
        <v>0</v>
      </c>
      <c r="AL378" s="54" t="e">
        <f>VLOOKUP(Tableau119[[#This Row],[Key(POD -PFI- Usine)]],'DATA Consignee'!A:F,6,FALSE)</f>
        <v>#N/A</v>
      </c>
      <c r="AM378" s="102" t="s">
        <v>171</v>
      </c>
      <c r="AN378" s="375">
        <f>IF(Tableau119[[#This Row],[Name PFI/CDD]]="","-",VLOOKUP(Tableau119[[#This Row],[Name PFI/CDD]],Plant_AILN!I:J,2,FALSE))</f>
        <v>91018400</v>
      </c>
      <c r="AO378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8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8" s="110" t="e">
        <f>VLOOKUP(Tableau119[[#This Row],[Key(POD -PFI- Usine)]],'DATA Consignee'!A:J,10,FALSE)</f>
        <v>#N/A</v>
      </c>
      <c r="AR378" s="81" t="e">
        <f>VLOOKUP(Tableau119[[#This Row],[Key(POD -PFI- Usine)]],'DATA Consignee'!A:N,14,FALSE)</f>
        <v>#N/A</v>
      </c>
      <c r="AS37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8" s="81">
        <f>Tableau119[[#This Row],[Transit time]]+Tableau119[[#This Row],[Time for security]]+Tableau119[[#This Row],[Time for security2 buffer]]</f>
        <v>0</v>
      </c>
      <c r="AV3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8" s="50" t="e">
        <f>Tableau119[[#This Row],[Leadtime SI2C]]+Tableau119[[#This Row],[First Receipt Days]]-Tableau119[[#This Row],[Day Customer Order]]+1</f>
        <v>#N/A</v>
      </c>
      <c r="AX378" s="119" t="e">
        <f>IF(Tableau119[[#This Row],[Name ILN]]&lt;&gt;"SFK Freight Forwarder",Tableau119[[#This Row],[Cust. Leadtime]],Tableau119[[#This Row],[Leadtime SI2C]])</f>
        <v>#N/A</v>
      </c>
      <c r="AY378" s="51" t="b">
        <f>_xlfn.XLOOKUP(Tableau119[[#This Row],[Key(ID-date)]],'DATA BTO'!S:S,'DATA BTO'!P:P,FALSE)</f>
        <v>0</v>
      </c>
      <c r="AZ378" s="388">
        <v>45777</v>
      </c>
      <c r="BA378" s="81"/>
    </row>
    <row r="379" spans="2:53">
      <c r="B379" s="446" t="str">
        <f>_xlfn.CONCAT(Tableau119[[#This Row],[Name ILN]],"-",Tableau119[[#This Row],[Name Shipper]],"-",Tableau119[[#This Row],[Name Site]])</f>
        <v>KWE Shanghai-KWE Shanghai-CLEON</v>
      </c>
      <c r="C379" s="66" t="str">
        <f>_xlfn.CONCAT(Tableau119[[#This Row],[Compte ILN]],"-",Tableau119[[#This Row],[Compte Shipper]],"-",Tableau119[[#This Row],[POL]],"-",Tableau119[[#This Row],[Compte Consignee]])</f>
        <v>26037000-26037000-FALSO-92000100</v>
      </c>
      <c r="D379" s="66" t="str">
        <f>_xlfn.CONCAT(Tableau119[[#This Row],[Compte ILN]],"-",Tableau119[[#This Row],[Compte Shipper]],"-",Tableau119[[#This Row],[POL]])</f>
        <v>26037000-26037000-FALSO</v>
      </c>
      <c r="E379" s="130" t="str">
        <f>_xlfn.CONCAT(Tableau119[[#This Row],[POL]],"-",Tableau119[[#This Row],[Carrier]],"-",Tableau119[[#This Row],[POD]])</f>
        <v>FALSO-FALSO-FALSO</v>
      </c>
      <c r="F379" s="66" t="str">
        <f>_xlfn.CONCAT(Tableau119[[#This Row],[ID]],"-","Actif")</f>
        <v>154-Actif</v>
      </c>
      <c r="G379" s="66" t="str">
        <f>_xlfn.CONCAT(Tableau119[[#This Row],[POD]],"-",Tableau119[[#This Row],[Code PFI]],"-",Tableau119[[#This Row],[Compte Consignee]])</f>
        <v>FALSO-91018400-92000100</v>
      </c>
      <c r="H3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ShanghaiFALSOCLEON</v>
      </c>
      <c r="I379" s="434" t="str">
        <f>_xlfn.CONCAT(Tableau119[[#This Row],[ID]],"-",Tableau119[[#This Row],[Expiration Date]])</f>
        <v>154-45777</v>
      </c>
      <c r="J3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CLEON-KWE Shanghai-KWE Shanghai-154-FALSO-FALSO-FALSO-PFI VLL-45777</v>
      </c>
      <c r="K379" s="119" t="str">
        <f ca="1">IF(COUNTIF(J:J,Tableau119[[#This Row],[Plant-ILN-shipper-POL-Carrier-POD-PFI]])=1,"Non","Oui")</f>
        <v>Non</v>
      </c>
      <c r="L379" s="128" t="str">
        <f>VLOOKUP(Tableau119[[#This Row],[Name Site]],Plant_AILN!A:D,4,FALSE)</f>
        <v>FRANCE</v>
      </c>
      <c r="M379" s="411" t="s">
        <v>183</v>
      </c>
      <c r="N379" s="454">
        <f>VLOOKUP(Tableau119[[#This Row],[Name Site]],Plant_AILN!A:C,3,FALSE)</f>
        <v>92000100</v>
      </c>
      <c r="O379" s="55">
        <f>VLOOKUP(Tableau119[[#This Row],[Compte Consignee]],Order!C:D,2,FALSE)</f>
        <v>7</v>
      </c>
      <c r="P379" s="124" t="s">
        <v>62</v>
      </c>
      <c r="Q379" s="365">
        <f>VLOOKUP(Tableau119[[#This Row],[Name ILN]],Plant_AILN!F:G,2,FALSE)</f>
        <v>26037000</v>
      </c>
      <c r="R379" s="50">
        <f>VLOOKUP(Tableau119[[#This Row],[Compte ILN]],'DATA ILN'!D:I,6,FALSE)</f>
        <v>9</v>
      </c>
      <c r="S379" s="50" t="e">
        <f>IFERROR(VLOOKUP(Tableau119[[#This Row],[Key(Compte ILN - shipper - POL - plant)]],'DATA ILN'!A:J,10,FALSE),VLOOKUP(Tableau119[[#This Row],[Key(Compte ILN - shipper - POL)]],'DATA ILN'!B:J,9,FALSE))</f>
        <v>#N/A</v>
      </c>
      <c r="T379" s="50" t="e">
        <f>IFERROR(VLOOKUP(Tableau119[[#This Row],[Key(Compte ILN - shipper - POL - plant)]],'DATA ILN'!A:K,11,FALSE),VLOOKUP(Tableau119[[#This Row],[Key(Compte ILN - shipper - POL)]],'DATA ILN'!B:K,10,FALSE))</f>
        <v>#N/A</v>
      </c>
      <c r="U379" s="50" t="e">
        <f>IFERROR(VLOOKUP(Tableau119[[#This Row],[Key(Compte ILN - shipper - POL - plant)]],'DATA ILN'!A:L,12,FALSE),VLOOKUP(Tableau119[[#This Row],[Key(Compte ILN - shipper - POL)]],'DATA ILN'!B:L,11,FALSE))</f>
        <v>#N/A</v>
      </c>
      <c r="V379" s="50" t="e">
        <f>Tableau119[[#This Row],[Day ILN Order]]+Tableau119[[#This Row],[Delivery time to ILN/Shipper]]-1</f>
        <v>#N/A</v>
      </c>
      <c r="W379" s="50" t="e">
        <f>IFERROR(VLOOKUP(Tableau119[[#This Row],[Key(Compte ILN - shipper - POL - plant)]],'DATA ILN'!A:N,14,FALSE),VLOOKUP(Tableau119[[#This Row],[Key(Compte ILN - shipper - POL)]],'DATA ILN'!B:N,13,FALSE))</f>
        <v>#N/A</v>
      </c>
      <c r="X379" s="50" t="e">
        <f>IFERROR(VLOOKUP(Tableau119[[#This Row],[Key(Compte ILN - shipper - POL - plant)]],'DATA ILN'!A:P,16,FALSE),VLOOKUP(Tableau119[[#This Row],[Key(Compte ILN - shipper - POL)]],'DATA ILN'!B:P,15,FALSE))</f>
        <v>#N/A</v>
      </c>
      <c r="Y379" s="284" t="s">
        <v>62</v>
      </c>
      <c r="Z379" s="430">
        <f>IFERROR(VLOOKUP(Tableau119[[#This Row],[Name Shipper]],Plant_AILN!L:M,2,FALSE),0)</f>
        <v>26037000</v>
      </c>
      <c r="AA379" s="406">
        <v>154</v>
      </c>
      <c r="AB379" s="396" t="b">
        <f>_xlfn.XLOOKUP(Tableau119[[#This Row],[Key(ID-date)]],'DATA BTO'!S:S,'DATA BTO'!E:E,FALSE)</f>
        <v>0</v>
      </c>
      <c r="AC379" s="3" t="b">
        <f>_xlfn.XLOOKUP(Tableau119[[#This Row],[Key(ID-date)]],'DATA BTO'!S:S,'DATA BTO'!F:F,FALSE)</f>
        <v>0</v>
      </c>
      <c r="AD379" s="50" t="b">
        <f>_xlfn.XLOOKUP(Tableau119[[#This Row],[Key(ID-date)]],'DATA BTO'!S:S,'DATA BTO'!G:G,FALSE)</f>
        <v>0</v>
      </c>
      <c r="AE379" s="50" t="b">
        <f>_xlfn.XLOOKUP(Tableau119[[#This Row],[Key(ID-date)]],'DATA BTO'!S:S,'DATA BTO'!H:H,FALSE)</f>
        <v>0</v>
      </c>
      <c r="AF379" s="447" t="e">
        <f>IF(Tableau119[[#This Row],[First Day to POL]]&lt;=Tableau119[[#This Row],[Day Cut Off]],Tableau119[[#This Row],[Day ETD]],Tableau119[[#This Row],[Day ETD]]+7)</f>
        <v>#N/A</v>
      </c>
      <c r="AG379" s="50" t="b">
        <f>_xlfn.XLOOKUP(Tableau119[[#This Row],[Key(ID-date)]],'DATA BTO'!S:S,'DATA BTO'!I:I,FALSE)</f>
        <v>0</v>
      </c>
      <c r="AH379" s="3" t="b">
        <f>_xlfn.XLOOKUP(Tableau119[[#This Row],[Key(ID-date)]],'DATA BTO'!S:S,'DATA BTO'!J:J,FALSE)</f>
        <v>0</v>
      </c>
      <c r="AI379" s="3" t="b">
        <f>_xlfn.XLOOKUP(Tableau119[[#This Row],[Key(ID-date)]],'DATA BTO'!S:S,'DATA BTO'!K:K,FALSE)</f>
        <v>0</v>
      </c>
      <c r="AJ379" s="50" t="b">
        <f>_xlfn.XLOOKUP(Tableau119[[#This Row],[Key(ID-date)]],'DATA BTO'!S:S,'DATA BTO'!L:L,FALSE)</f>
        <v>0</v>
      </c>
      <c r="AK379" s="53" t="b">
        <f>_xlfn.XLOOKUP(Tableau119[[#This Row],[Key(ID-date)]],'DATA BTO'!S:S,'DATA BTO'!N:N,FALSE)</f>
        <v>0</v>
      </c>
      <c r="AL379" s="54" t="e">
        <f>VLOOKUP(Tableau119[[#This Row],[Key(POD -PFI- Usine)]],'DATA Consignee'!A:F,6,FALSE)</f>
        <v>#N/A</v>
      </c>
      <c r="AM379" s="284" t="s">
        <v>171</v>
      </c>
      <c r="AN379" s="376">
        <f>IF(Tableau119[[#This Row],[Name PFI/CDD]]="","-",VLOOKUP(Tableau119[[#This Row],[Name PFI/CDD]],Plant_AILN!I:J,2,FALSE))</f>
        <v>91018400</v>
      </c>
      <c r="AO37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7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79" s="2" t="e">
        <f>VLOOKUP(Tableau119[[#This Row],[Key(POD -PFI- Usine)]],'DATA Consignee'!A:J,10,FALSE)</f>
        <v>#N/A</v>
      </c>
      <c r="AR379" s="50" t="e">
        <f>VLOOKUP(Tableau119[[#This Row],[Key(POD -PFI- Usine)]],'DATA Consignee'!A:N,14,FALSE)</f>
        <v>#N/A</v>
      </c>
      <c r="AS3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79" s="50">
        <f>Tableau119[[#This Row],[Transit time]]+Tableau119[[#This Row],[Time for security]]+Tableau119[[#This Row],[Time for security2 buffer]]</f>
        <v>0</v>
      </c>
      <c r="AV3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79" s="50" t="e">
        <f>Tableau119[[#This Row],[Leadtime SI2C]]+Tableau119[[#This Row],[First Receipt Days]]-Tableau119[[#This Row],[Day Customer Order]]+1</f>
        <v>#N/A</v>
      </c>
      <c r="AX379" s="119" t="e">
        <f>IF(Tableau119[[#This Row],[Name ILN]]&lt;&gt;"SFK Freight Forwarder",Tableau119[[#This Row],[Cust. Leadtime]],Tableau119[[#This Row],[Leadtime SI2C]])</f>
        <v>#N/A</v>
      </c>
      <c r="AY379" s="51" t="b">
        <f>_xlfn.XLOOKUP(Tableau119[[#This Row],[Key(ID-date)]],'DATA BTO'!S:S,'DATA BTO'!P:P,FALSE)</f>
        <v>0</v>
      </c>
      <c r="AZ379" s="338">
        <v>45777</v>
      </c>
      <c r="BA379" s="50"/>
    </row>
    <row r="380" spans="2:53">
      <c r="B380" s="446" t="str">
        <f>_xlfn.CONCAT(Tableau119[[#This Row],[Name ILN]],"-",Tableau119[[#This Row],[Name Shipper]],"-",Tableau119[[#This Row],[Name Site]])</f>
        <v>KWE Shanghai-KWE Shanghai-ACI Le mans</v>
      </c>
      <c r="C380" s="66" t="str">
        <f>_xlfn.CONCAT(Tableau119[[#This Row],[Compte ILN]],"-",Tableau119[[#This Row],[Compte Shipper]],"-",Tableau119[[#This Row],[POL]],"-",Tableau119[[#This Row],[Compte Consignee]])</f>
        <v>26037000-26037000-FALSO-9624700</v>
      </c>
      <c r="D380" s="66" t="str">
        <f>_xlfn.CONCAT(Tableau119[[#This Row],[Compte ILN]],"-",Tableau119[[#This Row],[Compte Shipper]],"-",Tableau119[[#This Row],[POL]])</f>
        <v>26037000-26037000-FALSO</v>
      </c>
      <c r="E380" s="130" t="str">
        <f>_xlfn.CONCAT(Tableau119[[#This Row],[POL]],"-",Tableau119[[#This Row],[Carrier]],"-",Tableau119[[#This Row],[POD]])</f>
        <v>FALSO-FALSO-FALSO</v>
      </c>
      <c r="F380" s="66" t="str">
        <f>_xlfn.CONCAT(Tableau119[[#This Row],[ID]],"-","Actif")</f>
        <v>154-Actif</v>
      </c>
      <c r="G380" s="66" t="str">
        <f>_xlfn.CONCAT(Tableau119[[#This Row],[POD]],"-",Tableau119[[#This Row],[Code PFI]],"-",Tableau119[[#This Row],[Compte Consignee]])</f>
        <v>FALSO-91018400-9624700</v>
      </c>
      <c r="H3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ShanghaiFALSOACI Le mans</v>
      </c>
      <c r="I380" s="434" t="str">
        <f>_xlfn.CONCAT(Tableau119[[#This Row],[ID]],"-",Tableau119[[#This Row],[Expiration Date]])</f>
        <v>154-45777</v>
      </c>
      <c r="J3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mans-KWE Shanghai-KWE Shanghai-154-FALSO-FALSO-FALSO-PFI VLL-45777</v>
      </c>
      <c r="K380" s="119" t="str">
        <f ca="1">IF(COUNTIF(J:J,Tableau119[[#This Row],[Plant-ILN-shipper-POL-Carrier-POD-PFI]])=1,"Non","Oui")</f>
        <v>Non</v>
      </c>
      <c r="L380" s="128" t="str">
        <f>VLOOKUP(Tableau119[[#This Row],[Name Site]],Plant_AILN!A:D,4,FALSE)</f>
        <v>FRANCE</v>
      </c>
      <c r="M380" s="411" t="s">
        <v>218</v>
      </c>
      <c r="N380" s="454">
        <f>VLOOKUP(Tableau119[[#This Row],[Name Site]],Plant_AILN!A:C,3,FALSE)</f>
        <v>9624700</v>
      </c>
      <c r="O380" s="55">
        <f>VLOOKUP(Tableau119[[#This Row],[Compte Consignee]],Order!C:D,2,FALSE)</f>
        <v>7</v>
      </c>
      <c r="P380" s="124" t="s">
        <v>62</v>
      </c>
      <c r="Q380" s="365">
        <f>VLOOKUP(Tableau119[[#This Row],[Name ILN]],Plant_AILN!F:G,2,FALSE)</f>
        <v>26037000</v>
      </c>
      <c r="R380" s="50">
        <f>VLOOKUP(Tableau119[[#This Row],[Compte ILN]],'DATA ILN'!D:I,6,FALSE)</f>
        <v>9</v>
      </c>
      <c r="S380" s="50" t="e">
        <f>IFERROR(VLOOKUP(Tableau119[[#This Row],[Key(Compte ILN - shipper - POL - plant)]],'DATA ILN'!A:J,10,FALSE),VLOOKUP(Tableau119[[#This Row],[Key(Compte ILN - shipper - POL)]],'DATA ILN'!B:J,9,FALSE))</f>
        <v>#N/A</v>
      </c>
      <c r="T380" s="50" t="e">
        <f>IFERROR(VLOOKUP(Tableau119[[#This Row],[Key(Compte ILN - shipper - POL - plant)]],'DATA ILN'!A:K,11,FALSE),VLOOKUP(Tableau119[[#This Row],[Key(Compte ILN - shipper - POL)]],'DATA ILN'!B:K,10,FALSE))</f>
        <v>#N/A</v>
      </c>
      <c r="U380" s="50" t="e">
        <f>IFERROR(VLOOKUP(Tableau119[[#This Row],[Key(Compte ILN - shipper - POL - plant)]],'DATA ILN'!A:L,12,FALSE),VLOOKUP(Tableau119[[#This Row],[Key(Compte ILN - shipper - POL)]],'DATA ILN'!B:L,11,FALSE))</f>
        <v>#N/A</v>
      </c>
      <c r="V380" s="50" t="e">
        <f>Tableau119[[#This Row],[Day ILN Order]]+Tableau119[[#This Row],[Delivery time to ILN/Shipper]]-1</f>
        <v>#N/A</v>
      </c>
      <c r="W380" s="50" t="e">
        <f>IFERROR(VLOOKUP(Tableau119[[#This Row],[Key(Compte ILN - shipper - POL - plant)]],'DATA ILN'!A:N,14,FALSE),VLOOKUP(Tableau119[[#This Row],[Key(Compte ILN - shipper - POL)]],'DATA ILN'!B:N,13,FALSE))</f>
        <v>#N/A</v>
      </c>
      <c r="X380" s="50" t="e">
        <f>IFERROR(VLOOKUP(Tableau119[[#This Row],[Key(Compte ILN - shipper - POL - plant)]],'DATA ILN'!A:P,16,FALSE),VLOOKUP(Tableau119[[#This Row],[Key(Compte ILN - shipper - POL)]],'DATA ILN'!B:P,15,FALSE))</f>
        <v>#N/A</v>
      </c>
      <c r="Y380" s="284" t="s">
        <v>62</v>
      </c>
      <c r="Z380" s="430">
        <f>IFERROR(VLOOKUP(Tableau119[[#This Row],[Name Shipper]],Plant_AILN!L:M,2,FALSE),0)</f>
        <v>26037000</v>
      </c>
      <c r="AA380" s="406">
        <v>154</v>
      </c>
      <c r="AB380" s="396" t="b">
        <f>_xlfn.XLOOKUP(Tableau119[[#This Row],[Key(ID-date)]],'DATA BTO'!S:S,'DATA BTO'!E:E,FALSE)</f>
        <v>0</v>
      </c>
      <c r="AC380" s="3" t="b">
        <f>_xlfn.XLOOKUP(Tableau119[[#This Row],[Key(ID-date)]],'DATA BTO'!S:S,'DATA BTO'!F:F,FALSE)</f>
        <v>0</v>
      </c>
      <c r="AD380" s="50" t="b">
        <f>_xlfn.XLOOKUP(Tableau119[[#This Row],[Key(ID-date)]],'DATA BTO'!S:S,'DATA BTO'!G:G,FALSE)</f>
        <v>0</v>
      </c>
      <c r="AE380" s="50" t="b">
        <f>_xlfn.XLOOKUP(Tableau119[[#This Row],[Key(ID-date)]],'DATA BTO'!S:S,'DATA BTO'!H:H,FALSE)</f>
        <v>0</v>
      </c>
      <c r="AF380" s="447" t="e">
        <f>IF(Tableau119[[#This Row],[First Day to POL]]&lt;=Tableau119[[#This Row],[Day Cut Off]],Tableau119[[#This Row],[Day ETD]],Tableau119[[#This Row],[Day ETD]]+7)</f>
        <v>#N/A</v>
      </c>
      <c r="AG380" s="50" t="b">
        <f>_xlfn.XLOOKUP(Tableau119[[#This Row],[Key(ID-date)]],'DATA BTO'!S:S,'DATA BTO'!I:I,FALSE)</f>
        <v>0</v>
      </c>
      <c r="AH380" s="3" t="b">
        <f>_xlfn.XLOOKUP(Tableau119[[#This Row],[Key(ID-date)]],'DATA BTO'!S:S,'DATA BTO'!J:J,FALSE)</f>
        <v>0</v>
      </c>
      <c r="AI380" s="3" t="b">
        <f>_xlfn.XLOOKUP(Tableau119[[#This Row],[Key(ID-date)]],'DATA BTO'!S:S,'DATA BTO'!K:K,FALSE)</f>
        <v>0</v>
      </c>
      <c r="AJ380" s="50" t="b">
        <f>_xlfn.XLOOKUP(Tableau119[[#This Row],[Key(ID-date)]],'DATA BTO'!S:S,'DATA BTO'!L:L,FALSE)</f>
        <v>0</v>
      </c>
      <c r="AK380" s="53" t="b">
        <f>_xlfn.XLOOKUP(Tableau119[[#This Row],[Key(ID-date)]],'DATA BTO'!S:S,'DATA BTO'!N:N,FALSE)</f>
        <v>0</v>
      </c>
      <c r="AL380" s="54" t="e">
        <f>VLOOKUP(Tableau119[[#This Row],[Key(POD -PFI- Usine)]],'DATA Consignee'!A:F,6,FALSE)</f>
        <v>#N/A</v>
      </c>
      <c r="AM380" s="284" t="s">
        <v>171</v>
      </c>
      <c r="AN380" s="376">
        <f>IF(Tableau119[[#This Row],[Name PFI/CDD]]="","-",VLOOKUP(Tableau119[[#This Row],[Name PFI/CDD]],Plant_AILN!I:J,2,FALSE))</f>
        <v>91018400</v>
      </c>
      <c r="AO380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0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0" s="2" t="e">
        <f>VLOOKUP(Tableau119[[#This Row],[Key(POD -PFI- Usine)]],'DATA Consignee'!A:J,10,FALSE)</f>
        <v>#N/A</v>
      </c>
      <c r="AR380" s="50" t="e">
        <f>VLOOKUP(Tableau119[[#This Row],[Key(POD -PFI- Usine)]],'DATA Consignee'!A:N,14,FALSE)</f>
        <v>#N/A</v>
      </c>
      <c r="AS38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0" s="50">
        <f>Tableau119[[#This Row],[Transit time]]+Tableau119[[#This Row],[Time for security]]+Tableau119[[#This Row],[Time for security2 buffer]]</f>
        <v>0</v>
      </c>
      <c r="AV3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0" s="50" t="e">
        <f>Tableau119[[#This Row],[Leadtime SI2C]]+Tableau119[[#This Row],[First Receipt Days]]-Tableau119[[#This Row],[Day Customer Order]]+1</f>
        <v>#N/A</v>
      </c>
      <c r="AX380" s="119" t="e">
        <f>IF(Tableau119[[#This Row],[Name ILN]]&lt;&gt;"SFK Freight Forwarder",Tableau119[[#This Row],[Cust. Leadtime]],Tableau119[[#This Row],[Leadtime SI2C]])</f>
        <v>#N/A</v>
      </c>
      <c r="AY380" s="51" t="b">
        <f>_xlfn.XLOOKUP(Tableau119[[#This Row],[Key(ID-date)]],'DATA BTO'!S:S,'DATA BTO'!P:P,FALSE)</f>
        <v>0</v>
      </c>
      <c r="AZ380" s="338">
        <v>45777</v>
      </c>
      <c r="BA380" s="50"/>
    </row>
    <row r="381" spans="2:53">
      <c r="B381" s="446" t="str">
        <f>_xlfn.CONCAT(Tableau119[[#This Row],[Name ILN]],"-",Tableau119[[#This Row],[Name Shipper]],"-",Tableau119[[#This Row],[Name Site]])</f>
        <v>KWE Shanghai-KWE Shanghai-FLINS</v>
      </c>
      <c r="C381" s="66" t="str">
        <f>_xlfn.CONCAT(Tableau119[[#This Row],[Compte ILN]],"-",Tableau119[[#This Row],[Compte Shipper]],"-",Tableau119[[#This Row],[POL]],"-",Tableau119[[#This Row],[Compte Consignee]])</f>
        <v>26037000-26037000-FALSO-90015100</v>
      </c>
      <c r="D381" s="66" t="str">
        <f>_xlfn.CONCAT(Tableau119[[#This Row],[Compte ILN]],"-",Tableau119[[#This Row],[Compte Shipper]],"-",Tableau119[[#This Row],[POL]])</f>
        <v>26037000-26037000-FALSO</v>
      </c>
      <c r="E381" s="130" t="str">
        <f>_xlfn.CONCAT(Tableau119[[#This Row],[POL]],"-",Tableau119[[#This Row],[Carrier]],"-",Tableau119[[#This Row],[POD]])</f>
        <v>FALSO-FALSO-FALSO</v>
      </c>
      <c r="F381" s="66" t="str">
        <f>_xlfn.CONCAT(Tableau119[[#This Row],[ID]],"-","Actif")</f>
        <v>154-Actif</v>
      </c>
      <c r="G381" s="66" t="str">
        <f>_xlfn.CONCAT(Tableau119[[#This Row],[POD]],"-",Tableau119[[#This Row],[Code PFI]],"-",Tableau119[[#This Row],[Compte Consignee]])</f>
        <v>FALSO-91018400-90015100</v>
      </c>
      <c r="H3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ShanghaiFALSOFLINS</v>
      </c>
      <c r="I381" s="434" t="str">
        <f>_xlfn.CONCAT(Tableau119[[#This Row],[ID]],"-",Tableau119[[#This Row],[Expiration Date]])</f>
        <v>154-45475</v>
      </c>
      <c r="J3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FLINS-KWE Shanghai-KWE Shanghai-154-FALSO-FALSO-FALSO-PFI VLL-45475</v>
      </c>
      <c r="K381" s="119" t="str">
        <f ca="1">IF(COUNTIF(J:J,Tableau119[[#This Row],[Plant-ILN-shipper-POL-Carrier-POD-PFI]])=1,"Non","Oui")</f>
        <v>Non</v>
      </c>
      <c r="L381" s="128" t="str">
        <f>VLOOKUP(Tableau119[[#This Row],[Name Site]],Plant_AILN!A:D,4,FALSE)</f>
        <v>FRANCE</v>
      </c>
      <c r="M381" s="415" t="s">
        <v>209</v>
      </c>
      <c r="N381" s="455">
        <f>VLOOKUP(Tableau119[[#This Row],[Name Site]],Plant_AILN!A:C,3,FALSE)</f>
        <v>90015100</v>
      </c>
      <c r="O381" s="104">
        <f>VLOOKUP(Tableau119[[#This Row],[Compte Consignee]],Order!C:D,2,FALSE)</f>
        <v>7</v>
      </c>
      <c r="P381" s="126" t="s">
        <v>62</v>
      </c>
      <c r="Q381" s="366">
        <f>VLOOKUP(Tableau119[[#This Row],[Name ILN]],Plant_AILN!F:G,2,FALSE)</f>
        <v>26037000</v>
      </c>
      <c r="R381" s="81">
        <f>VLOOKUP(Tableau119[[#This Row],[Compte ILN]],'DATA ILN'!D:I,6,FALSE)</f>
        <v>9</v>
      </c>
      <c r="S381" s="81" t="e">
        <f>IFERROR(VLOOKUP(Tableau119[[#This Row],[Key(Compte ILN - shipper - POL - plant)]],'DATA ILN'!A:J,10,FALSE),VLOOKUP(Tableau119[[#This Row],[Key(Compte ILN - shipper - POL)]],'DATA ILN'!B:J,9,FALSE))</f>
        <v>#N/A</v>
      </c>
      <c r="T381" s="81" t="e">
        <f>IFERROR(VLOOKUP(Tableau119[[#This Row],[Key(Compte ILN - shipper - POL - plant)]],'DATA ILN'!A:K,11,FALSE),VLOOKUP(Tableau119[[#This Row],[Key(Compte ILN - shipper - POL)]],'DATA ILN'!B:K,10,FALSE))</f>
        <v>#N/A</v>
      </c>
      <c r="U381" s="81" t="e">
        <f>IFERROR(VLOOKUP(Tableau119[[#This Row],[Key(Compte ILN - shipper - POL - plant)]],'DATA ILN'!A:L,12,FALSE),VLOOKUP(Tableau119[[#This Row],[Key(Compte ILN - shipper - POL)]],'DATA ILN'!B:L,11,FALSE))</f>
        <v>#N/A</v>
      </c>
      <c r="V381" s="81" t="e">
        <f>Tableau119[[#This Row],[Day ILN Order]]+Tableau119[[#This Row],[Delivery time to ILN/Shipper]]-1</f>
        <v>#N/A</v>
      </c>
      <c r="W381" s="81" t="e">
        <f>IFERROR(VLOOKUP(Tableau119[[#This Row],[Key(Compte ILN - shipper - POL - plant)]],'DATA ILN'!A:N,14,FALSE),VLOOKUP(Tableau119[[#This Row],[Key(Compte ILN - shipper - POL)]],'DATA ILN'!B:N,13,FALSE))</f>
        <v>#N/A</v>
      </c>
      <c r="X381" s="81" t="e">
        <f>IFERROR(VLOOKUP(Tableau119[[#This Row],[Key(Compte ILN - shipper - POL - plant)]],'DATA ILN'!A:P,16,FALSE),VLOOKUP(Tableau119[[#This Row],[Key(Compte ILN - shipper - POL)]],'DATA ILN'!B:P,15,FALSE))</f>
        <v>#N/A</v>
      </c>
      <c r="Y381" s="102" t="s">
        <v>62</v>
      </c>
      <c r="Z381" s="417">
        <f>IFERROR(VLOOKUP(Tableau119[[#This Row],[Name Shipper]],Plant_AILN!L:M,2,FALSE),0)</f>
        <v>26037000</v>
      </c>
      <c r="AA381" s="416">
        <v>154</v>
      </c>
      <c r="AB381" s="396" t="b">
        <f>_xlfn.XLOOKUP(Tableau119[[#This Row],[Key(ID-date)]],'DATA BTO'!S:S,'DATA BTO'!E:E,FALSE)</f>
        <v>0</v>
      </c>
      <c r="AC381" s="3" t="b">
        <f>_xlfn.XLOOKUP(Tableau119[[#This Row],[Key(ID-date)]],'DATA BTO'!S:S,'DATA BTO'!F:F,FALSE)</f>
        <v>0</v>
      </c>
      <c r="AD381" s="50" t="b">
        <f>_xlfn.XLOOKUP(Tableau119[[#This Row],[Key(ID-date)]],'DATA BTO'!S:S,'DATA BTO'!G:G,FALSE)</f>
        <v>0</v>
      </c>
      <c r="AE381" s="50" t="b">
        <f>_xlfn.XLOOKUP(Tableau119[[#This Row],[Key(ID-date)]],'DATA BTO'!S:S,'DATA BTO'!H:H,FALSE)</f>
        <v>0</v>
      </c>
      <c r="AF381" s="447" t="e">
        <f>IF(Tableau119[[#This Row],[First Day to POL]]&lt;=Tableau119[[#This Row],[Day Cut Off]],Tableau119[[#This Row],[Day ETD]],Tableau119[[#This Row],[Day ETD]]+7)</f>
        <v>#N/A</v>
      </c>
      <c r="AG381" s="50" t="b">
        <f>_xlfn.XLOOKUP(Tableau119[[#This Row],[Key(ID-date)]],'DATA BTO'!S:S,'DATA BTO'!I:I,FALSE)</f>
        <v>0</v>
      </c>
      <c r="AH381" s="3" t="b">
        <f>_xlfn.XLOOKUP(Tableau119[[#This Row],[Key(ID-date)]],'DATA BTO'!S:S,'DATA BTO'!J:J,FALSE)</f>
        <v>0</v>
      </c>
      <c r="AI381" s="3" t="b">
        <f>_xlfn.XLOOKUP(Tableau119[[#This Row],[Key(ID-date)]],'DATA BTO'!S:S,'DATA BTO'!K:K,FALSE)</f>
        <v>0</v>
      </c>
      <c r="AJ381" s="50" t="b">
        <f>_xlfn.XLOOKUP(Tableau119[[#This Row],[Key(ID-date)]],'DATA BTO'!S:S,'DATA BTO'!L:L,FALSE)</f>
        <v>0</v>
      </c>
      <c r="AK381" s="53" t="b">
        <f>_xlfn.XLOOKUP(Tableau119[[#This Row],[Key(ID-date)]],'DATA BTO'!S:S,'DATA BTO'!N:N,FALSE)</f>
        <v>0</v>
      </c>
      <c r="AL381" s="54" t="e">
        <f>VLOOKUP(Tableau119[[#This Row],[Key(POD -PFI- Usine)]],'DATA Consignee'!A:F,6,FALSE)</f>
        <v>#N/A</v>
      </c>
      <c r="AM381" s="102" t="s">
        <v>171</v>
      </c>
      <c r="AN381" s="375">
        <f>IF(Tableau119[[#This Row],[Name PFI/CDD]]="","-",VLOOKUP(Tableau119[[#This Row],[Name PFI/CDD]],Plant_AILN!I:J,2,FALSE))</f>
        <v>91018400</v>
      </c>
      <c r="AO381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1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1" s="110" t="e">
        <f>VLOOKUP(Tableau119[[#This Row],[Key(POD -PFI- Usine)]],'DATA Consignee'!A:J,10,FALSE)</f>
        <v>#N/A</v>
      </c>
      <c r="AR381" s="81" t="e">
        <f>VLOOKUP(Tableau119[[#This Row],[Key(POD -PFI- Usine)]],'DATA Consignee'!A:N,14,FALSE)</f>
        <v>#N/A</v>
      </c>
      <c r="AS38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1" s="81">
        <f>Tableau119[[#This Row],[Transit time]]+Tableau119[[#This Row],[Time for security]]+Tableau119[[#This Row],[Time for security2 buffer]]</f>
        <v>0</v>
      </c>
      <c r="AV3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1" s="50" t="e">
        <f>Tableau119[[#This Row],[Leadtime SI2C]]+Tableau119[[#This Row],[First Receipt Days]]-Tableau119[[#This Row],[Day Customer Order]]+1</f>
        <v>#N/A</v>
      </c>
      <c r="AX381" s="119" t="e">
        <f>IF(Tableau119[[#This Row],[Name ILN]]&lt;&gt;"SFK Freight Forwarder",Tableau119[[#This Row],[Cust. Leadtime]],Tableau119[[#This Row],[Leadtime SI2C]])</f>
        <v>#N/A</v>
      </c>
      <c r="AY381" s="51" t="b">
        <f>_xlfn.XLOOKUP(Tableau119[[#This Row],[Key(ID-date)]],'DATA BTO'!S:S,'DATA BTO'!P:P,FALSE)</f>
        <v>0</v>
      </c>
      <c r="AZ381" s="388">
        <v>45475</v>
      </c>
      <c r="BA381" s="81"/>
    </row>
    <row r="382" spans="2:53">
      <c r="B382" s="446" t="str">
        <f>_xlfn.CONCAT(Tableau119[[#This Row],[Name ILN]],"-",Tableau119[[#This Row],[Name Shipper]],"-",Tableau119[[#This Row],[Name Site]])</f>
        <v>KWE Shanghai-KWE Shanghai-MAUBEUGE</v>
      </c>
      <c r="C382" s="66" t="str">
        <f>_xlfn.CONCAT(Tableau119[[#This Row],[Compte ILN]],"-",Tableau119[[#This Row],[Compte Shipper]],"-",Tableau119[[#This Row],[POL]],"-",Tableau119[[#This Row],[Compte Consignee]])</f>
        <v>26037000-26037000-FALSO-90016200</v>
      </c>
      <c r="D382" s="66" t="str">
        <f>_xlfn.CONCAT(Tableau119[[#This Row],[Compte ILN]],"-",Tableau119[[#This Row],[Compte Shipper]],"-",Tableau119[[#This Row],[POL]])</f>
        <v>26037000-26037000-FALSO</v>
      </c>
      <c r="E382" s="130" t="str">
        <f>_xlfn.CONCAT(Tableau119[[#This Row],[POL]],"-",Tableau119[[#This Row],[Carrier]],"-",Tableau119[[#This Row],[POD]])</f>
        <v>FALSO-FALSO-FALSO</v>
      </c>
      <c r="F382" s="66" t="str">
        <f>_xlfn.CONCAT(Tableau119[[#This Row],[ID]],"-","Actif")</f>
        <v>154-Actif</v>
      </c>
      <c r="G382" s="66" t="str">
        <f>_xlfn.CONCAT(Tableau119[[#This Row],[POD]],"-",Tableau119[[#This Row],[Code PFI]],"-",Tableau119[[#This Row],[Compte Consignee]])</f>
        <v>FALSO-91018400-90016200</v>
      </c>
      <c r="H3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ShanghaiFALSOMAUBEUGE</v>
      </c>
      <c r="I382" s="434" t="str">
        <f>_xlfn.CONCAT(Tableau119[[#This Row],[ID]],"-",Tableau119[[#This Row],[Expiration Date]])</f>
        <v>154-45475</v>
      </c>
      <c r="J3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MAUBEUGE-KWE Shanghai-KWE Shanghai-154-FALSO-FALSO-FALSO-PFI VLL-45475</v>
      </c>
      <c r="K382" s="119" t="str">
        <f ca="1">IF(COUNTIF(J:J,Tableau119[[#This Row],[Plant-ILN-shipper-POL-Carrier-POD-PFI]])=1,"Non","Oui")</f>
        <v>Non</v>
      </c>
      <c r="L382" s="128" t="str">
        <f>VLOOKUP(Tableau119[[#This Row],[Name Site]],Plant_AILN!A:D,4,FALSE)</f>
        <v>FRANCE</v>
      </c>
      <c r="M382" s="411" t="s">
        <v>210</v>
      </c>
      <c r="N382" s="454">
        <f>VLOOKUP(Tableau119[[#This Row],[Name Site]],Plant_AILN!A:C,3,FALSE)</f>
        <v>90016200</v>
      </c>
      <c r="O382" s="55">
        <f>VLOOKUP(Tableau119[[#This Row],[Compte Consignee]],Order!C:D,2,FALSE)</f>
        <v>7</v>
      </c>
      <c r="P382" s="124" t="s">
        <v>62</v>
      </c>
      <c r="Q382" s="365">
        <f>VLOOKUP(Tableau119[[#This Row],[Name ILN]],Plant_AILN!F:G,2,FALSE)</f>
        <v>26037000</v>
      </c>
      <c r="R382" s="50">
        <f>VLOOKUP(Tableau119[[#This Row],[Compte ILN]],'DATA ILN'!D:I,6,FALSE)</f>
        <v>9</v>
      </c>
      <c r="S382" s="50" t="e">
        <f>IFERROR(VLOOKUP(Tableau119[[#This Row],[Key(Compte ILN - shipper - POL - plant)]],'DATA ILN'!A:J,10,FALSE),VLOOKUP(Tableau119[[#This Row],[Key(Compte ILN - shipper - POL)]],'DATA ILN'!B:J,9,FALSE))</f>
        <v>#N/A</v>
      </c>
      <c r="T382" s="50" t="e">
        <f>IFERROR(VLOOKUP(Tableau119[[#This Row],[Key(Compte ILN - shipper - POL - plant)]],'DATA ILN'!A:K,11,FALSE),VLOOKUP(Tableau119[[#This Row],[Key(Compte ILN - shipper - POL)]],'DATA ILN'!B:K,10,FALSE))</f>
        <v>#N/A</v>
      </c>
      <c r="U382" s="50" t="e">
        <f>IFERROR(VLOOKUP(Tableau119[[#This Row],[Key(Compte ILN - shipper - POL - plant)]],'DATA ILN'!A:L,12,FALSE),VLOOKUP(Tableau119[[#This Row],[Key(Compte ILN - shipper - POL)]],'DATA ILN'!B:L,11,FALSE))</f>
        <v>#N/A</v>
      </c>
      <c r="V382" s="50" t="e">
        <f>Tableau119[[#This Row],[Day ILN Order]]+Tableau119[[#This Row],[Delivery time to ILN/Shipper]]-1</f>
        <v>#N/A</v>
      </c>
      <c r="W382" s="50" t="e">
        <f>IFERROR(VLOOKUP(Tableau119[[#This Row],[Key(Compte ILN - shipper - POL - plant)]],'DATA ILN'!A:N,14,FALSE),VLOOKUP(Tableau119[[#This Row],[Key(Compte ILN - shipper - POL)]],'DATA ILN'!B:N,13,FALSE))</f>
        <v>#N/A</v>
      </c>
      <c r="X382" s="50" t="e">
        <f>IFERROR(VLOOKUP(Tableau119[[#This Row],[Key(Compte ILN - shipper - POL - plant)]],'DATA ILN'!A:P,16,FALSE),VLOOKUP(Tableau119[[#This Row],[Key(Compte ILN - shipper - POL)]],'DATA ILN'!B:P,15,FALSE))</f>
        <v>#N/A</v>
      </c>
      <c r="Y382" s="284" t="s">
        <v>62</v>
      </c>
      <c r="Z382" s="430">
        <f>IFERROR(VLOOKUP(Tableau119[[#This Row],[Name Shipper]],Plant_AILN!L:M,2,FALSE),0)</f>
        <v>26037000</v>
      </c>
      <c r="AA382" s="406">
        <v>154</v>
      </c>
      <c r="AB382" s="396" t="b">
        <f>_xlfn.XLOOKUP(Tableau119[[#This Row],[Key(ID-date)]],'DATA BTO'!S:S,'DATA BTO'!E:E,FALSE)</f>
        <v>0</v>
      </c>
      <c r="AC382" s="3" t="b">
        <f>_xlfn.XLOOKUP(Tableau119[[#This Row],[Key(ID-date)]],'DATA BTO'!S:S,'DATA BTO'!F:F,FALSE)</f>
        <v>0</v>
      </c>
      <c r="AD382" s="50" t="b">
        <f>_xlfn.XLOOKUP(Tableau119[[#This Row],[Key(ID-date)]],'DATA BTO'!S:S,'DATA BTO'!G:G,FALSE)</f>
        <v>0</v>
      </c>
      <c r="AE382" s="50" t="b">
        <f>_xlfn.XLOOKUP(Tableau119[[#This Row],[Key(ID-date)]],'DATA BTO'!S:S,'DATA BTO'!H:H,FALSE)</f>
        <v>0</v>
      </c>
      <c r="AF382" s="447" t="e">
        <f>IF(Tableau119[[#This Row],[First Day to POL]]&lt;=Tableau119[[#This Row],[Day Cut Off]],Tableau119[[#This Row],[Day ETD]],Tableau119[[#This Row],[Day ETD]]+7)</f>
        <v>#N/A</v>
      </c>
      <c r="AG382" s="50" t="b">
        <f>_xlfn.XLOOKUP(Tableau119[[#This Row],[Key(ID-date)]],'DATA BTO'!S:S,'DATA BTO'!I:I,FALSE)</f>
        <v>0</v>
      </c>
      <c r="AH382" s="3" t="b">
        <f>_xlfn.XLOOKUP(Tableau119[[#This Row],[Key(ID-date)]],'DATA BTO'!S:S,'DATA BTO'!J:J,FALSE)</f>
        <v>0</v>
      </c>
      <c r="AI382" s="3" t="b">
        <f>_xlfn.XLOOKUP(Tableau119[[#This Row],[Key(ID-date)]],'DATA BTO'!S:S,'DATA BTO'!K:K,FALSE)</f>
        <v>0</v>
      </c>
      <c r="AJ382" s="50" t="b">
        <f>_xlfn.XLOOKUP(Tableau119[[#This Row],[Key(ID-date)]],'DATA BTO'!S:S,'DATA BTO'!L:L,FALSE)</f>
        <v>0</v>
      </c>
      <c r="AK382" s="53" t="b">
        <f>_xlfn.XLOOKUP(Tableau119[[#This Row],[Key(ID-date)]],'DATA BTO'!S:S,'DATA BTO'!N:N,FALSE)</f>
        <v>0</v>
      </c>
      <c r="AL382" s="54" t="e">
        <f>VLOOKUP(Tableau119[[#This Row],[Key(POD -PFI- Usine)]],'DATA Consignee'!A:F,6,FALSE)</f>
        <v>#N/A</v>
      </c>
      <c r="AM382" s="284" t="s">
        <v>171</v>
      </c>
      <c r="AN382" s="376">
        <f>IF(Tableau119[[#This Row],[Name PFI/CDD]]="","-",VLOOKUP(Tableau119[[#This Row],[Name PFI/CDD]],Plant_AILN!I:J,2,FALSE))</f>
        <v>91018400</v>
      </c>
      <c r="AO38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2" s="2" t="e">
        <f>VLOOKUP(Tableau119[[#This Row],[Key(POD -PFI- Usine)]],'DATA Consignee'!A:J,10,FALSE)</f>
        <v>#N/A</v>
      </c>
      <c r="AR382" s="50" t="e">
        <f>VLOOKUP(Tableau119[[#This Row],[Key(POD -PFI- Usine)]],'DATA Consignee'!A:N,14,FALSE)</f>
        <v>#N/A</v>
      </c>
      <c r="AS38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2" s="50">
        <f>Tableau119[[#This Row],[Transit time]]+Tableau119[[#This Row],[Time for security]]+Tableau119[[#This Row],[Time for security2 buffer]]</f>
        <v>0</v>
      </c>
      <c r="AV3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2" s="50" t="e">
        <f>Tableau119[[#This Row],[Leadtime SI2C]]+Tableau119[[#This Row],[First Receipt Days]]-Tableau119[[#This Row],[Day Customer Order]]+1</f>
        <v>#N/A</v>
      </c>
      <c r="AX382" s="119" t="e">
        <f>IF(Tableau119[[#This Row],[Name ILN]]&lt;&gt;"SFK Freight Forwarder",Tableau119[[#This Row],[Cust. Leadtime]],Tableau119[[#This Row],[Leadtime SI2C]])</f>
        <v>#N/A</v>
      </c>
      <c r="AY382" s="51" t="b">
        <f>_xlfn.XLOOKUP(Tableau119[[#This Row],[Key(ID-date)]],'DATA BTO'!S:S,'DATA BTO'!P:P,FALSE)</f>
        <v>0</v>
      </c>
      <c r="AZ382" s="338">
        <v>45475</v>
      </c>
      <c r="BA382" s="50"/>
    </row>
    <row r="383" spans="2:53">
      <c r="B383" s="446" t="str">
        <f>_xlfn.CONCAT(Tableau119[[#This Row],[Name ILN]],"-",Tableau119[[#This Row],[Name Shipper]],"-",Tableau119[[#This Row],[Name Site]])</f>
        <v>KWE Shanghai-KWE Shanghai-SOVAB</v>
      </c>
      <c r="C383" s="66" t="str">
        <f>_xlfn.CONCAT(Tableau119[[#This Row],[Compte ILN]],"-",Tableau119[[#This Row],[Compte Shipper]],"-",Tableau119[[#This Row],[POL]],"-",Tableau119[[#This Row],[Compte Consignee]])</f>
        <v>26037000-26037000-FALSO-90016900</v>
      </c>
      <c r="D383" s="66" t="str">
        <f>_xlfn.CONCAT(Tableau119[[#This Row],[Compte ILN]],"-",Tableau119[[#This Row],[Compte Shipper]],"-",Tableau119[[#This Row],[POL]])</f>
        <v>26037000-26037000-FALSO</v>
      </c>
      <c r="E383" s="130" t="str">
        <f>_xlfn.CONCAT(Tableau119[[#This Row],[POL]],"-",Tableau119[[#This Row],[Carrier]],"-",Tableau119[[#This Row],[POD]])</f>
        <v>FALSO-FALSO-FALSO</v>
      </c>
      <c r="F383" s="66" t="str">
        <f>_xlfn.CONCAT(Tableau119[[#This Row],[ID]],"-","Actif")</f>
        <v>154-Actif</v>
      </c>
      <c r="G383" s="66" t="str">
        <f>_xlfn.CONCAT(Tableau119[[#This Row],[POD]],"-",Tableau119[[#This Row],[Code PFI]],"-",Tableau119[[#This Row],[Compte Consignee]])</f>
        <v>FALSO-91018400-90016900</v>
      </c>
      <c r="H3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ShanghaiFALSOSOVAB</v>
      </c>
      <c r="I383" s="434" t="str">
        <f>_xlfn.CONCAT(Tableau119[[#This Row],[ID]],"-",Tableau119[[#This Row],[Expiration Date]])</f>
        <v>154-45475</v>
      </c>
      <c r="J3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SOVAB-KWE Shanghai-KWE Shanghai-154-FALSO-FALSO-FALSO-PFI VLL-45475</v>
      </c>
      <c r="K383" s="119" t="str">
        <f ca="1">IF(COUNTIF(J:J,Tableau119[[#This Row],[Plant-ILN-shipper-POL-Carrier-POD-PFI]])=1,"Non","Oui")</f>
        <v>Non</v>
      </c>
      <c r="L383" s="128" t="str">
        <f>VLOOKUP(Tableau119[[#This Row],[Name Site]],Plant_AILN!A:D,4,FALSE)</f>
        <v>FRANCE</v>
      </c>
      <c r="M383" s="411" t="s">
        <v>154</v>
      </c>
      <c r="N383" s="454">
        <f>VLOOKUP(Tableau119[[#This Row],[Name Site]],Plant_AILN!A:C,3,FALSE)</f>
        <v>90016900</v>
      </c>
      <c r="O383" s="55">
        <f>VLOOKUP(Tableau119[[#This Row],[Compte Consignee]],Order!C:D,2,FALSE)</f>
        <v>7</v>
      </c>
      <c r="P383" s="124" t="s">
        <v>62</v>
      </c>
      <c r="Q383" s="365">
        <f>VLOOKUP(Tableau119[[#This Row],[Name ILN]],Plant_AILN!F:G,2,FALSE)</f>
        <v>26037000</v>
      </c>
      <c r="R383" s="50">
        <f>VLOOKUP(Tableau119[[#This Row],[Compte ILN]],'DATA ILN'!D:I,6,FALSE)</f>
        <v>9</v>
      </c>
      <c r="S383" s="50" t="e">
        <f>IFERROR(VLOOKUP(Tableau119[[#This Row],[Key(Compte ILN - shipper - POL - plant)]],'DATA ILN'!A:J,10,FALSE),VLOOKUP(Tableau119[[#This Row],[Key(Compte ILN - shipper - POL)]],'DATA ILN'!B:J,9,FALSE))</f>
        <v>#N/A</v>
      </c>
      <c r="T383" s="50" t="e">
        <f>IFERROR(VLOOKUP(Tableau119[[#This Row],[Key(Compte ILN - shipper - POL - plant)]],'DATA ILN'!A:K,11,FALSE),VLOOKUP(Tableau119[[#This Row],[Key(Compte ILN - shipper - POL)]],'DATA ILN'!B:K,10,FALSE))</f>
        <v>#N/A</v>
      </c>
      <c r="U383" s="50" t="e">
        <f>IFERROR(VLOOKUP(Tableau119[[#This Row],[Key(Compte ILN - shipper - POL - plant)]],'DATA ILN'!A:L,12,FALSE),VLOOKUP(Tableau119[[#This Row],[Key(Compte ILN - shipper - POL)]],'DATA ILN'!B:L,11,FALSE))</f>
        <v>#N/A</v>
      </c>
      <c r="V383" s="50" t="e">
        <f>Tableau119[[#This Row],[Day ILN Order]]+Tableau119[[#This Row],[Delivery time to ILN/Shipper]]-1</f>
        <v>#N/A</v>
      </c>
      <c r="W383" s="50" t="e">
        <f>IFERROR(VLOOKUP(Tableau119[[#This Row],[Key(Compte ILN - shipper - POL - plant)]],'DATA ILN'!A:N,14,FALSE),VLOOKUP(Tableau119[[#This Row],[Key(Compte ILN - shipper - POL)]],'DATA ILN'!B:N,13,FALSE))</f>
        <v>#N/A</v>
      </c>
      <c r="X383" s="50" t="e">
        <f>IFERROR(VLOOKUP(Tableau119[[#This Row],[Key(Compte ILN - shipper - POL - plant)]],'DATA ILN'!A:P,16,FALSE),VLOOKUP(Tableau119[[#This Row],[Key(Compte ILN - shipper - POL)]],'DATA ILN'!B:P,15,FALSE))</f>
        <v>#N/A</v>
      </c>
      <c r="Y383" s="284" t="s">
        <v>62</v>
      </c>
      <c r="Z383" s="430">
        <f>IFERROR(VLOOKUP(Tableau119[[#This Row],[Name Shipper]],Plant_AILN!L:M,2,FALSE),0)</f>
        <v>26037000</v>
      </c>
      <c r="AA383" s="406">
        <v>154</v>
      </c>
      <c r="AB383" s="396" t="b">
        <f>_xlfn.XLOOKUP(Tableau119[[#This Row],[Key(ID-date)]],'DATA BTO'!S:S,'DATA BTO'!E:E,FALSE)</f>
        <v>0</v>
      </c>
      <c r="AC383" s="3" t="b">
        <f>_xlfn.XLOOKUP(Tableau119[[#This Row],[Key(ID-date)]],'DATA BTO'!S:S,'DATA BTO'!F:F,FALSE)</f>
        <v>0</v>
      </c>
      <c r="AD383" s="50" t="b">
        <f>_xlfn.XLOOKUP(Tableau119[[#This Row],[Key(ID-date)]],'DATA BTO'!S:S,'DATA BTO'!G:G,FALSE)</f>
        <v>0</v>
      </c>
      <c r="AE383" s="50" t="b">
        <f>_xlfn.XLOOKUP(Tableau119[[#This Row],[Key(ID-date)]],'DATA BTO'!S:S,'DATA BTO'!H:H,FALSE)</f>
        <v>0</v>
      </c>
      <c r="AF383" s="447" t="e">
        <f>IF(Tableau119[[#This Row],[First Day to POL]]&lt;=Tableau119[[#This Row],[Day Cut Off]],Tableau119[[#This Row],[Day ETD]],Tableau119[[#This Row],[Day ETD]]+7)</f>
        <v>#N/A</v>
      </c>
      <c r="AG383" s="50" t="b">
        <f>_xlfn.XLOOKUP(Tableau119[[#This Row],[Key(ID-date)]],'DATA BTO'!S:S,'DATA BTO'!I:I,FALSE)</f>
        <v>0</v>
      </c>
      <c r="AH383" s="3" t="b">
        <f>_xlfn.XLOOKUP(Tableau119[[#This Row],[Key(ID-date)]],'DATA BTO'!S:S,'DATA BTO'!J:J,FALSE)</f>
        <v>0</v>
      </c>
      <c r="AI383" s="3" t="b">
        <f>_xlfn.XLOOKUP(Tableau119[[#This Row],[Key(ID-date)]],'DATA BTO'!S:S,'DATA BTO'!K:K,FALSE)</f>
        <v>0</v>
      </c>
      <c r="AJ383" s="50" t="b">
        <f>_xlfn.XLOOKUP(Tableau119[[#This Row],[Key(ID-date)]],'DATA BTO'!S:S,'DATA BTO'!L:L,FALSE)</f>
        <v>0</v>
      </c>
      <c r="AK383" s="53" t="b">
        <f>_xlfn.XLOOKUP(Tableau119[[#This Row],[Key(ID-date)]],'DATA BTO'!S:S,'DATA BTO'!N:N,FALSE)</f>
        <v>0</v>
      </c>
      <c r="AL383" s="54" t="e">
        <f>VLOOKUP(Tableau119[[#This Row],[Key(POD -PFI- Usine)]],'DATA Consignee'!A:F,6,FALSE)</f>
        <v>#N/A</v>
      </c>
      <c r="AM383" s="284" t="s">
        <v>171</v>
      </c>
      <c r="AN383" s="376">
        <f>IF(Tableau119[[#This Row],[Name PFI/CDD]]="","-",VLOOKUP(Tableau119[[#This Row],[Name PFI/CDD]],Plant_AILN!I:J,2,FALSE))</f>
        <v>91018400</v>
      </c>
      <c r="AO38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3" s="2" t="e">
        <f>VLOOKUP(Tableau119[[#This Row],[Key(POD -PFI- Usine)]],'DATA Consignee'!A:J,10,FALSE)</f>
        <v>#N/A</v>
      </c>
      <c r="AR383" s="50" t="e">
        <f>VLOOKUP(Tableau119[[#This Row],[Key(POD -PFI- Usine)]],'DATA Consignee'!A:N,14,FALSE)</f>
        <v>#N/A</v>
      </c>
      <c r="AS3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3" s="50">
        <f>Tableau119[[#This Row],[Transit time]]+Tableau119[[#This Row],[Time for security]]+Tableau119[[#This Row],[Time for security2 buffer]]</f>
        <v>0</v>
      </c>
      <c r="AV3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3" s="50" t="e">
        <f>Tableau119[[#This Row],[Leadtime SI2C]]+Tableau119[[#This Row],[First Receipt Days]]-Tableau119[[#This Row],[Day Customer Order]]+1</f>
        <v>#N/A</v>
      </c>
      <c r="AX383" s="119" t="e">
        <f>IF(Tableau119[[#This Row],[Name ILN]]&lt;&gt;"SFK Freight Forwarder",Tableau119[[#This Row],[Cust. Leadtime]],Tableau119[[#This Row],[Leadtime SI2C]])</f>
        <v>#N/A</v>
      </c>
      <c r="AY383" s="51" t="b">
        <f>_xlfn.XLOOKUP(Tableau119[[#This Row],[Key(ID-date)]],'DATA BTO'!S:S,'DATA BTO'!P:P,FALSE)</f>
        <v>0</v>
      </c>
      <c r="AZ383" s="338">
        <v>45475</v>
      </c>
      <c r="BA383" s="50"/>
    </row>
    <row r="384" spans="2:53">
      <c r="B384" s="446" t="str">
        <f>_xlfn.CONCAT(Tableau119[[#This Row],[Name ILN]],"-",Tableau119[[#This Row],[Name Shipper]],"-",Tableau119[[#This Row],[Name Site]])</f>
        <v>KWE Shanghai-KWE Shanghai-SANDOUVILLE</v>
      </c>
      <c r="C384" s="66" t="str">
        <f>_xlfn.CONCAT(Tableau119[[#This Row],[Compte ILN]],"-",Tableau119[[#This Row],[Compte Shipper]],"-",Tableau119[[#This Row],[POL]],"-",Tableau119[[#This Row],[Compte Consignee]])</f>
        <v>26037000-26037000-FALSO-90017100</v>
      </c>
      <c r="D384" s="66" t="str">
        <f>_xlfn.CONCAT(Tableau119[[#This Row],[Compte ILN]],"-",Tableau119[[#This Row],[Compte Shipper]],"-",Tableau119[[#This Row],[POL]])</f>
        <v>26037000-26037000-FALSO</v>
      </c>
      <c r="E384" s="130" t="str">
        <f>_xlfn.CONCAT(Tableau119[[#This Row],[POL]],"-",Tableau119[[#This Row],[Carrier]],"-",Tableau119[[#This Row],[POD]])</f>
        <v>FALSO-FALSO-FALSO</v>
      </c>
      <c r="F384" s="66" t="str">
        <f>_xlfn.CONCAT(Tableau119[[#This Row],[ID]],"-","Actif")</f>
        <v>154-Actif</v>
      </c>
      <c r="G384" s="66" t="str">
        <f>_xlfn.CONCAT(Tableau119[[#This Row],[POD]],"-",Tableau119[[#This Row],[Code PFI]],"-",Tableau119[[#This Row],[Compte Consignee]])</f>
        <v>FALSO-91018400-90017100</v>
      </c>
      <c r="H3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ShanghaiFALSOSANDOUVILLE</v>
      </c>
      <c r="I384" s="434" t="str">
        <f>_xlfn.CONCAT(Tableau119[[#This Row],[ID]],"-",Tableau119[[#This Row],[Expiration Date]])</f>
        <v>154-45475</v>
      </c>
      <c r="J3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SANDOUVILLE-KWE Shanghai-KWE Shanghai-154-FALSO-FALSO-FALSO-PFI VLL-45475</v>
      </c>
      <c r="K384" s="119" t="str">
        <f ca="1">IF(COUNTIF(J:J,Tableau119[[#This Row],[Plant-ILN-shipper-POL-Carrier-POD-PFI]])=1,"Non","Oui")</f>
        <v>Non</v>
      </c>
      <c r="L384" s="128" t="str">
        <f>VLOOKUP(Tableau119[[#This Row],[Name Site]],Plant_AILN!A:D,4,FALSE)</f>
        <v>FRANCE</v>
      </c>
      <c r="M384" s="415" t="s">
        <v>196</v>
      </c>
      <c r="N384" s="455">
        <f>VLOOKUP(Tableau119[[#This Row],[Name Site]],Plant_AILN!A:C,3,FALSE)</f>
        <v>90017100</v>
      </c>
      <c r="O384" s="104">
        <f>VLOOKUP(Tableau119[[#This Row],[Compte Consignee]],Order!C:D,2,FALSE)</f>
        <v>7</v>
      </c>
      <c r="P384" s="126" t="s">
        <v>62</v>
      </c>
      <c r="Q384" s="366">
        <f>VLOOKUP(Tableau119[[#This Row],[Name ILN]],Plant_AILN!F:G,2,FALSE)</f>
        <v>26037000</v>
      </c>
      <c r="R384" s="81">
        <f>VLOOKUP(Tableau119[[#This Row],[Compte ILN]],'DATA ILN'!D:I,6,FALSE)</f>
        <v>9</v>
      </c>
      <c r="S384" s="81" t="e">
        <f>IFERROR(VLOOKUP(Tableau119[[#This Row],[Key(Compte ILN - shipper - POL - plant)]],'DATA ILN'!A:J,10,FALSE),VLOOKUP(Tableau119[[#This Row],[Key(Compte ILN - shipper - POL)]],'DATA ILN'!B:J,9,FALSE))</f>
        <v>#N/A</v>
      </c>
      <c r="T384" s="81" t="e">
        <f>IFERROR(VLOOKUP(Tableau119[[#This Row],[Key(Compte ILN - shipper - POL - plant)]],'DATA ILN'!A:K,11,FALSE),VLOOKUP(Tableau119[[#This Row],[Key(Compte ILN - shipper - POL)]],'DATA ILN'!B:K,10,FALSE))</f>
        <v>#N/A</v>
      </c>
      <c r="U384" s="81" t="e">
        <f>IFERROR(VLOOKUP(Tableau119[[#This Row],[Key(Compte ILN - shipper - POL - plant)]],'DATA ILN'!A:L,12,FALSE),VLOOKUP(Tableau119[[#This Row],[Key(Compte ILN - shipper - POL)]],'DATA ILN'!B:L,11,FALSE))</f>
        <v>#N/A</v>
      </c>
      <c r="V384" s="81" t="e">
        <f>Tableau119[[#This Row],[Day ILN Order]]+Tableau119[[#This Row],[Delivery time to ILN/Shipper]]-1</f>
        <v>#N/A</v>
      </c>
      <c r="W384" s="81" t="e">
        <f>IFERROR(VLOOKUP(Tableau119[[#This Row],[Key(Compte ILN - shipper - POL - plant)]],'DATA ILN'!A:N,14,FALSE),VLOOKUP(Tableau119[[#This Row],[Key(Compte ILN - shipper - POL)]],'DATA ILN'!B:N,13,FALSE))</f>
        <v>#N/A</v>
      </c>
      <c r="X384" s="81" t="e">
        <f>IFERROR(VLOOKUP(Tableau119[[#This Row],[Key(Compte ILN - shipper - POL - plant)]],'DATA ILN'!A:P,16,FALSE),VLOOKUP(Tableau119[[#This Row],[Key(Compte ILN - shipper - POL)]],'DATA ILN'!B:P,15,FALSE))</f>
        <v>#N/A</v>
      </c>
      <c r="Y384" s="102" t="s">
        <v>62</v>
      </c>
      <c r="Z384" s="417">
        <f>IFERROR(VLOOKUP(Tableau119[[#This Row],[Name Shipper]],Plant_AILN!L:M,2,FALSE),0)</f>
        <v>26037000</v>
      </c>
      <c r="AA384" s="416">
        <v>154</v>
      </c>
      <c r="AB384" s="396" t="b">
        <f>_xlfn.XLOOKUP(Tableau119[[#This Row],[Key(ID-date)]],'DATA BTO'!S:S,'DATA BTO'!E:E,FALSE)</f>
        <v>0</v>
      </c>
      <c r="AC384" s="3" t="b">
        <f>_xlfn.XLOOKUP(Tableau119[[#This Row],[Key(ID-date)]],'DATA BTO'!S:S,'DATA BTO'!F:F,FALSE)</f>
        <v>0</v>
      </c>
      <c r="AD384" s="50" t="b">
        <f>_xlfn.XLOOKUP(Tableau119[[#This Row],[Key(ID-date)]],'DATA BTO'!S:S,'DATA BTO'!G:G,FALSE)</f>
        <v>0</v>
      </c>
      <c r="AE384" s="50" t="b">
        <f>_xlfn.XLOOKUP(Tableau119[[#This Row],[Key(ID-date)]],'DATA BTO'!S:S,'DATA BTO'!H:H,FALSE)</f>
        <v>0</v>
      </c>
      <c r="AF384" s="447" t="e">
        <f>IF(Tableau119[[#This Row],[First Day to POL]]&lt;=Tableau119[[#This Row],[Day Cut Off]],Tableau119[[#This Row],[Day ETD]],Tableau119[[#This Row],[Day ETD]]+7)</f>
        <v>#N/A</v>
      </c>
      <c r="AG384" s="50" t="b">
        <f>_xlfn.XLOOKUP(Tableau119[[#This Row],[Key(ID-date)]],'DATA BTO'!S:S,'DATA BTO'!I:I,FALSE)</f>
        <v>0</v>
      </c>
      <c r="AH384" s="3" t="b">
        <f>_xlfn.XLOOKUP(Tableau119[[#This Row],[Key(ID-date)]],'DATA BTO'!S:S,'DATA BTO'!J:J,FALSE)</f>
        <v>0</v>
      </c>
      <c r="AI384" s="3" t="b">
        <f>_xlfn.XLOOKUP(Tableau119[[#This Row],[Key(ID-date)]],'DATA BTO'!S:S,'DATA BTO'!K:K,FALSE)</f>
        <v>0</v>
      </c>
      <c r="AJ384" s="50" t="b">
        <f>_xlfn.XLOOKUP(Tableau119[[#This Row],[Key(ID-date)]],'DATA BTO'!S:S,'DATA BTO'!L:L,FALSE)</f>
        <v>0</v>
      </c>
      <c r="AK384" s="53" t="b">
        <f>_xlfn.XLOOKUP(Tableau119[[#This Row],[Key(ID-date)]],'DATA BTO'!S:S,'DATA BTO'!N:N,FALSE)</f>
        <v>0</v>
      </c>
      <c r="AL384" s="54" t="e">
        <f>VLOOKUP(Tableau119[[#This Row],[Key(POD -PFI- Usine)]],'DATA Consignee'!A:F,6,FALSE)</f>
        <v>#N/A</v>
      </c>
      <c r="AM384" s="102" t="s">
        <v>171</v>
      </c>
      <c r="AN384" s="375">
        <f>IF(Tableau119[[#This Row],[Name PFI/CDD]]="","-",VLOOKUP(Tableau119[[#This Row],[Name PFI/CDD]],Plant_AILN!I:J,2,FALSE))</f>
        <v>91018400</v>
      </c>
      <c r="AO384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4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4" s="110" t="e">
        <f>VLOOKUP(Tableau119[[#This Row],[Key(POD -PFI- Usine)]],'DATA Consignee'!A:J,10,FALSE)</f>
        <v>#N/A</v>
      </c>
      <c r="AR384" s="81" t="e">
        <f>VLOOKUP(Tableau119[[#This Row],[Key(POD -PFI- Usine)]],'DATA Consignee'!A:N,14,FALSE)</f>
        <v>#N/A</v>
      </c>
      <c r="AS38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4" s="81">
        <f>Tableau119[[#This Row],[Transit time]]+Tableau119[[#This Row],[Time for security]]+Tableau119[[#This Row],[Time for security2 buffer]]</f>
        <v>0</v>
      </c>
      <c r="AV3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4" s="50" t="e">
        <f>Tableau119[[#This Row],[Leadtime SI2C]]+Tableau119[[#This Row],[First Receipt Days]]-Tableau119[[#This Row],[Day Customer Order]]+1</f>
        <v>#N/A</v>
      </c>
      <c r="AX384" s="119" t="e">
        <f>IF(Tableau119[[#This Row],[Name ILN]]&lt;&gt;"SFK Freight Forwarder",Tableau119[[#This Row],[Cust. Leadtime]],Tableau119[[#This Row],[Leadtime SI2C]])</f>
        <v>#N/A</v>
      </c>
      <c r="AY384" s="51" t="b">
        <f>_xlfn.XLOOKUP(Tableau119[[#This Row],[Key(ID-date)]],'DATA BTO'!S:S,'DATA BTO'!P:P,FALSE)</f>
        <v>0</v>
      </c>
      <c r="AZ384" s="388">
        <v>45475</v>
      </c>
      <c r="BA384" s="81"/>
    </row>
    <row r="385" spans="2:53">
      <c r="B385" s="446" t="str">
        <f>_xlfn.CONCAT(Tableau119[[#This Row],[Name ILN]],"-",Tableau119[[#This Row],[Name Shipper]],"-",Tableau119[[#This Row],[Name Site]])</f>
        <v>KWE Shanghai-KWE Shanghai-ALPINE</v>
      </c>
      <c r="C385" s="66" t="str">
        <f>_xlfn.CONCAT(Tableau119[[#This Row],[Compte ILN]],"-",Tableau119[[#This Row],[Compte Shipper]],"-",Tableau119[[#This Row],[POL]],"-",Tableau119[[#This Row],[Compte Consignee]])</f>
        <v>26037000-26037000-FALSO-90018300</v>
      </c>
      <c r="D385" s="66" t="str">
        <f>_xlfn.CONCAT(Tableau119[[#This Row],[Compte ILN]],"-",Tableau119[[#This Row],[Compte Shipper]],"-",Tableau119[[#This Row],[POL]])</f>
        <v>26037000-26037000-FALSO</v>
      </c>
      <c r="E385" s="130" t="str">
        <f>_xlfn.CONCAT(Tableau119[[#This Row],[POL]],"-",Tableau119[[#This Row],[Carrier]],"-",Tableau119[[#This Row],[POD]])</f>
        <v>FALSO-FALSO-FALSO</v>
      </c>
      <c r="F385" s="66" t="str">
        <f>_xlfn.CONCAT(Tableau119[[#This Row],[ID]],"-","Actif")</f>
        <v>154-Actif</v>
      </c>
      <c r="G385" s="66" t="str">
        <f>_xlfn.CONCAT(Tableau119[[#This Row],[POD]],"-",Tableau119[[#This Row],[Code PFI]],"-",Tableau119[[#This Row],[Compte Consignee]])</f>
        <v>FALSO-91018400-90018300</v>
      </c>
      <c r="H3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ShanghaiFALSOALPINE</v>
      </c>
      <c r="I385" s="434" t="str">
        <f>_xlfn.CONCAT(Tableau119[[#This Row],[ID]],"-",Tableau119[[#This Row],[Expiration Date]])</f>
        <v>154-45475</v>
      </c>
      <c r="J3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ALPINE-KWE Shanghai-KWE Shanghai-154-FALSO-FALSO-FALSO-PFI VLL-45475</v>
      </c>
      <c r="K385" s="119" t="str">
        <f ca="1">IF(COUNTIF(J:J,Tableau119[[#This Row],[Plant-ILN-shipper-POL-Carrier-POD-PFI]])=1,"Non","Oui")</f>
        <v>Non</v>
      </c>
      <c r="L385" s="128" t="str">
        <f>VLOOKUP(Tableau119[[#This Row],[Name Site]],Plant_AILN!A:D,4,FALSE)</f>
        <v>FRANCE</v>
      </c>
      <c r="M385" s="411" t="s">
        <v>220</v>
      </c>
      <c r="N385" s="454">
        <f>VLOOKUP(Tableau119[[#This Row],[Name Site]],Plant_AILN!A:C,3,FALSE)</f>
        <v>90018300</v>
      </c>
      <c r="O385" s="55">
        <f>VLOOKUP(Tableau119[[#This Row],[Compte Consignee]],Order!C:D,2,FALSE)</f>
        <v>7</v>
      </c>
      <c r="P385" s="124" t="s">
        <v>62</v>
      </c>
      <c r="Q385" s="365">
        <f>VLOOKUP(Tableau119[[#This Row],[Name ILN]],Plant_AILN!F:G,2,FALSE)</f>
        <v>26037000</v>
      </c>
      <c r="R385" s="50">
        <f>VLOOKUP(Tableau119[[#This Row],[Compte ILN]],'DATA ILN'!D:I,6,FALSE)</f>
        <v>9</v>
      </c>
      <c r="S385" s="50" t="e">
        <f>IFERROR(VLOOKUP(Tableau119[[#This Row],[Key(Compte ILN - shipper - POL - plant)]],'DATA ILN'!A:J,10,FALSE),VLOOKUP(Tableau119[[#This Row],[Key(Compte ILN - shipper - POL)]],'DATA ILN'!B:J,9,FALSE))</f>
        <v>#N/A</v>
      </c>
      <c r="T385" s="50" t="e">
        <f>IFERROR(VLOOKUP(Tableau119[[#This Row],[Key(Compte ILN - shipper - POL - plant)]],'DATA ILN'!A:K,11,FALSE),VLOOKUP(Tableau119[[#This Row],[Key(Compte ILN - shipper - POL)]],'DATA ILN'!B:K,10,FALSE))</f>
        <v>#N/A</v>
      </c>
      <c r="U385" s="50" t="e">
        <f>IFERROR(VLOOKUP(Tableau119[[#This Row],[Key(Compte ILN - shipper - POL - plant)]],'DATA ILN'!A:L,12,FALSE),VLOOKUP(Tableau119[[#This Row],[Key(Compte ILN - shipper - POL)]],'DATA ILN'!B:L,11,FALSE))</f>
        <v>#N/A</v>
      </c>
      <c r="V385" s="50" t="e">
        <f>Tableau119[[#This Row],[Day ILN Order]]+Tableau119[[#This Row],[Delivery time to ILN/Shipper]]-1</f>
        <v>#N/A</v>
      </c>
      <c r="W385" s="50" t="e">
        <f>IFERROR(VLOOKUP(Tableau119[[#This Row],[Key(Compte ILN - shipper - POL - plant)]],'DATA ILN'!A:N,14,FALSE),VLOOKUP(Tableau119[[#This Row],[Key(Compte ILN - shipper - POL)]],'DATA ILN'!B:N,13,FALSE))</f>
        <v>#N/A</v>
      </c>
      <c r="X385" s="50" t="e">
        <f>IFERROR(VLOOKUP(Tableau119[[#This Row],[Key(Compte ILN - shipper - POL - plant)]],'DATA ILN'!A:P,16,FALSE),VLOOKUP(Tableau119[[#This Row],[Key(Compte ILN - shipper - POL)]],'DATA ILN'!B:P,15,FALSE))</f>
        <v>#N/A</v>
      </c>
      <c r="Y385" s="284" t="s">
        <v>62</v>
      </c>
      <c r="Z385" s="430">
        <f>IFERROR(VLOOKUP(Tableau119[[#This Row],[Name Shipper]],Plant_AILN!L:M,2,FALSE),0)</f>
        <v>26037000</v>
      </c>
      <c r="AA385" s="406">
        <v>154</v>
      </c>
      <c r="AB385" s="396" t="b">
        <f>_xlfn.XLOOKUP(Tableau119[[#This Row],[Key(ID-date)]],'DATA BTO'!S:S,'DATA BTO'!E:E,FALSE)</f>
        <v>0</v>
      </c>
      <c r="AC385" s="3" t="b">
        <f>_xlfn.XLOOKUP(Tableau119[[#This Row],[Key(ID-date)]],'DATA BTO'!S:S,'DATA BTO'!F:F,FALSE)</f>
        <v>0</v>
      </c>
      <c r="AD385" s="50" t="b">
        <f>_xlfn.XLOOKUP(Tableau119[[#This Row],[Key(ID-date)]],'DATA BTO'!S:S,'DATA BTO'!G:G,FALSE)</f>
        <v>0</v>
      </c>
      <c r="AE385" s="50" t="b">
        <f>_xlfn.XLOOKUP(Tableau119[[#This Row],[Key(ID-date)]],'DATA BTO'!S:S,'DATA BTO'!H:H,FALSE)</f>
        <v>0</v>
      </c>
      <c r="AF385" s="447" t="e">
        <f>IF(Tableau119[[#This Row],[First Day to POL]]&lt;=Tableau119[[#This Row],[Day Cut Off]],Tableau119[[#This Row],[Day ETD]],Tableau119[[#This Row],[Day ETD]]+7)</f>
        <v>#N/A</v>
      </c>
      <c r="AG385" s="50" t="b">
        <f>_xlfn.XLOOKUP(Tableau119[[#This Row],[Key(ID-date)]],'DATA BTO'!S:S,'DATA BTO'!I:I,FALSE)</f>
        <v>0</v>
      </c>
      <c r="AH385" s="3" t="b">
        <f>_xlfn.XLOOKUP(Tableau119[[#This Row],[Key(ID-date)]],'DATA BTO'!S:S,'DATA BTO'!J:J,FALSE)</f>
        <v>0</v>
      </c>
      <c r="AI385" s="3" t="b">
        <f>_xlfn.XLOOKUP(Tableau119[[#This Row],[Key(ID-date)]],'DATA BTO'!S:S,'DATA BTO'!K:K,FALSE)</f>
        <v>0</v>
      </c>
      <c r="AJ385" s="50" t="b">
        <f>_xlfn.XLOOKUP(Tableau119[[#This Row],[Key(ID-date)]],'DATA BTO'!S:S,'DATA BTO'!L:L,FALSE)</f>
        <v>0</v>
      </c>
      <c r="AK385" s="53" t="b">
        <f>_xlfn.XLOOKUP(Tableau119[[#This Row],[Key(ID-date)]],'DATA BTO'!S:S,'DATA BTO'!N:N,FALSE)</f>
        <v>0</v>
      </c>
      <c r="AL385" s="54" t="e">
        <f>VLOOKUP(Tableau119[[#This Row],[Key(POD -PFI- Usine)]],'DATA Consignee'!A:F,6,FALSE)</f>
        <v>#N/A</v>
      </c>
      <c r="AM385" s="284" t="s">
        <v>171</v>
      </c>
      <c r="AN385" s="376">
        <f>IF(Tableau119[[#This Row],[Name PFI/CDD]]="","-",VLOOKUP(Tableau119[[#This Row],[Name PFI/CDD]],Plant_AILN!I:J,2,FALSE))</f>
        <v>91018400</v>
      </c>
      <c r="AO38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5" s="2" t="e">
        <f>VLOOKUP(Tableau119[[#This Row],[Key(POD -PFI- Usine)]],'DATA Consignee'!A:J,10,FALSE)</f>
        <v>#N/A</v>
      </c>
      <c r="AR385" s="50" t="e">
        <f>VLOOKUP(Tableau119[[#This Row],[Key(POD -PFI- Usine)]],'DATA Consignee'!A:N,14,FALSE)</f>
        <v>#N/A</v>
      </c>
      <c r="AS3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5" s="50">
        <f>Tableau119[[#This Row],[Transit time]]+Tableau119[[#This Row],[Time for security]]+Tableau119[[#This Row],[Time for security2 buffer]]</f>
        <v>0</v>
      </c>
      <c r="AV3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5" s="50" t="e">
        <f>Tableau119[[#This Row],[Leadtime SI2C]]+Tableau119[[#This Row],[First Receipt Days]]-Tableau119[[#This Row],[Day Customer Order]]+1</f>
        <v>#N/A</v>
      </c>
      <c r="AX385" s="119" t="e">
        <f>IF(Tableau119[[#This Row],[Name ILN]]&lt;&gt;"SFK Freight Forwarder",Tableau119[[#This Row],[Cust. Leadtime]],Tableau119[[#This Row],[Leadtime SI2C]])</f>
        <v>#N/A</v>
      </c>
      <c r="AY385" s="51" t="b">
        <f>_xlfn.XLOOKUP(Tableau119[[#This Row],[Key(ID-date)]],'DATA BTO'!S:S,'DATA BTO'!P:P,FALSE)</f>
        <v>0</v>
      </c>
      <c r="AZ385" s="338">
        <v>45475</v>
      </c>
      <c r="BA385" s="50"/>
    </row>
    <row r="386" spans="2:53">
      <c r="B386" s="446" t="str">
        <f>_xlfn.CONCAT(Tableau119[[#This Row],[Name ILN]],"-",Tableau119[[#This Row],[Name Shipper]],"-",Tableau119[[#This Row],[Name Site]])</f>
        <v>KWE Shanghai-KWE Shanghai-STA</v>
      </c>
      <c r="C386" s="66" t="str">
        <f>_xlfn.CONCAT(Tableau119[[#This Row],[Compte ILN]],"-",Tableau119[[#This Row],[Compte Shipper]],"-",Tableau119[[#This Row],[POL]],"-",Tableau119[[#This Row],[Compte Consignee]])</f>
        <v>26037000-26037000-FALSO-90018400</v>
      </c>
      <c r="D386" s="66" t="str">
        <f>_xlfn.CONCAT(Tableau119[[#This Row],[Compte ILN]],"-",Tableau119[[#This Row],[Compte Shipper]],"-",Tableau119[[#This Row],[POL]])</f>
        <v>26037000-26037000-FALSO</v>
      </c>
      <c r="E386" s="130" t="str">
        <f>_xlfn.CONCAT(Tableau119[[#This Row],[POL]],"-",Tableau119[[#This Row],[Carrier]],"-",Tableau119[[#This Row],[POD]])</f>
        <v>FALSO-FALSO-FALSO</v>
      </c>
      <c r="F386" s="66" t="str">
        <f>_xlfn.CONCAT(Tableau119[[#This Row],[ID]],"-","Actif")</f>
        <v>154-Actif</v>
      </c>
      <c r="G386" s="66" t="str">
        <f>_xlfn.CONCAT(Tableau119[[#This Row],[POD]],"-",Tableau119[[#This Row],[Code PFI]],"-",Tableau119[[#This Row],[Compte Consignee]])</f>
        <v>FALSO-91018400-90018400</v>
      </c>
      <c r="H3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ShanghaiFALSOSTA</v>
      </c>
      <c r="I386" s="434" t="str">
        <f>_xlfn.CONCAT(Tableau119[[#This Row],[ID]],"-",Tableau119[[#This Row],[Expiration Date]])</f>
        <v>154-45475</v>
      </c>
      <c r="J3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STA-KWE Shanghai-KWE Shanghai-154-FALSO-FALSO-FALSO-PFI VLL-45475</v>
      </c>
      <c r="K386" s="119" t="str">
        <f ca="1">IF(COUNTIF(J:J,Tableau119[[#This Row],[Plant-ILN-shipper-POL-Carrier-POD-PFI]])=1,"Non","Oui")</f>
        <v>Non</v>
      </c>
      <c r="L386" s="128" t="str">
        <f>VLOOKUP(Tableau119[[#This Row],[Name Site]],Plant_AILN!A:D,4,FALSE)</f>
        <v>FRANCE</v>
      </c>
      <c r="M386" s="415" t="s">
        <v>219</v>
      </c>
      <c r="N386" s="455">
        <f>VLOOKUP(Tableau119[[#This Row],[Name Site]],Plant_AILN!A:C,3,FALSE)</f>
        <v>90018400</v>
      </c>
      <c r="O386" s="104">
        <f>VLOOKUP(Tableau119[[#This Row],[Compte Consignee]],Order!C:D,2,FALSE)</f>
        <v>7</v>
      </c>
      <c r="P386" s="126" t="s">
        <v>62</v>
      </c>
      <c r="Q386" s="366">
        <f>VLOOKUP(Tableau119[[#This Row],[Name ILN]],Plant_AILN!F:G,2,FALSE)</f>
        <v>26037000</v>
      </c>
      <c r="R386" s="81">
        <f>VLOOKUP(Tableau119[[#This Row],[Compte ILN]],'DATA ILN'!D:I,6,FALSE)</f>
        <v>9</v>
      </c>
      <c r="S386" s="81" t="e">
        <f>IFERROR(VLOOKUP(Tableau119[[#This Row],[Key(Compte ILN - shipper - POL - plant)]],'DATA ILN'!A:J,10,FALSE),VLOOKUP(Tableau119[[#This Row],[Key(Compte ILN - shipper - POL)]],'DATA ILN'!B:J,9,FALSE))</f>
        <v>#N/A</v>
      </c>
      <c r="T386" s="81" t="e">
        <f>IFERROR(VLOOKUP(Tableau119[[#This Row],[Key(Compte ILN - shipper - POL - plant)]],'DATA ILN'!A:K,11,FALSE),VLOOKUP(Tableau119[[#This Row],[Key(Compte ILN - shipper - POL)]],'DATA ILN'!B:K,10,FALSE))</f>
        <v>#N/A</v>
      </c>
      <c r="U386" s="81" t="e">
        <f>IFERROR(VLOOKUP(Tableau119[[#This Row],[Key(Compte ILN - shipper - POL - plant)]],'DATA ILN'!A:L,12,FALSE),VLOOKUP(Tableau119[[#This Row],[Key(Compte ILN - shipper - POL)]],'DATA ILN'!B:L,11,FALSE))</f>
        <v>#N/A</v>
      </c>
      <c r="V386" s="81" t="e">
        <f>Tableau119[[#This Row],[Day ILN Order]]+Tableau119[[#This Row],[Delivery time to ILN/Shipper]]-1</f>
        <v>#N/A</v>
      </c>
      <c r="W386" s="81" t="e">
        <f>IFERROR(VLOOKUP(Tableau119[[#This Row],[Key(Compte ILN - shipper - POL - plant)]],'DATA ILN'!A:N,14,FALSE),VLOOKUP(Tableau119[[#This Row],[Key(Compte ILN - shipper - POL)]],'DATA ILN'!B:N,13,FALSE))</f>
        <v>#N/A</v>
      </c>
      <c r="X386" s="81" t="e">
        <f>IFERROR(VLOOKUP(Tableau119[[#This Row],[Key(Compte ILN - shipper - POL - plant)]],'DATA ILN'!A:P,16,FALSE),VLOOKUP(Tableau119[[#This Row],[Key(Compte ILN - shipper - POL)]],'DATA ILN'!B:P,15,FALSE))</f>
        <v>#N/A</v>
      </c>
      <c r="Y386" s="102" t="s">
        <v>62</v>
      </c>
      <c r="Z386" s="417">
        <f>IFERROR(VLOOKUP(Tableau119[[#This Row],[Name Shipper]],Plant_AILN!L:M,2,FALSE),0)</f>
        <v>26037000</v>
      </c>
      <c r="AA386" s="416">
        <v>154</v>
      </c>
      <c r="AB386" s="396" t="b">
        <f>_xlfn.XLOOKUP(Tableau119[[#This Row],[Key(ID-date)]],'DATA BTO'!S:S,'DATA BTO'!E:E,FALSE)</f>
        <v>0</v>
      </c>
      <c r="AC386" s="3" t="b">
        <f>_xlfn.XLOOKUP(Tableau119[[#This Row],[Key(ID-date)]],'DATA BTO'!S:S,'DATA BTO'!F:F,FALSE)</f>
        <v>0</v>
      </c>
      <c r="AD386" s="50" t="b">
        <f>_xlfn.XLOOKUP(Tableau119[[#This Row],[Key(ID-date)]],'DATA BTO'!S:S,'DATA BTO'!G:G,FALSE)</f>
        <v>0</v>
      </c>
      <c r="AE386" s="50" t="b">
        <f>_xlfn.XLOOKUP(Tableau119[[#This Row],[Key(ID-date)]],'DATA BTO'!S:S,'DATA BTO'!H:H,FALSE)</f>
        <v>0</v>
      </c>
      <c r="AF386" s="447" t="e">
        <f>IF(Tableau119[[#This Row],[First Day to POL]]&lt;=Tableau119[[#This Row],[Day Cut Off]],Tableau119[[#This Row],[Day ETD]],Tableau119[[#This Row],[Day ETD]]+7)</f>
        <v>#N/A</v>
      </c>
      <c r="AG386" s="50" t="b">
        <f>_xlfn.XLOOKUP(Tableau119[[#This Row],[Key(ID-date)]],'DATA BTO'!S:S,'DATA BTO'!I:I,FALSE)</f>
        <v>0</v>
      </c>
      <c r="AH386" s="3" t="b">
        <f>_xlfn.XLOOKUP(Tableau119[[#This Row],[Key(ID-date)]],'DATA BTO'!S:S,'DATA BTO'!J:J,FALSE)</f>
        <v>0</v>
      </c>
      <c r="AI386" s="3" t="b">
        <f>_xlfn.XLOOKUP(Tableau119[[#This Row],[Key(ID-date)]],'DATA BTO'!S:S,'DATA BTO'!K:K,FALSE)</f>
        <v>0</v>
      </c>
      <c r="AJ386" s="50" t="b">
        <f>_xlfn.XLOOKUP(Tableau119[[#This Row],[Key(ID-date)]],'DATA BTO'!S:S,'DATA BTO'!L:L,FALSE)</f>
        <v>0</v>
      </c>
      <c r="AK386" s="53" t="b">
        <f>_xlfn.XLOOKUP(Tableau119[[#This Row],[Key(ID-date)]],'DATA BTO'!S:S,'DATA BTO'!N:N,FALSE)</f>
        <v>0</v>
      </c>
      <c r="AL386" s="54" t="e">
        <f>VLOOKUP(Tableau119[[#This Row],[Key(POD -PFI- Usine)]],'DATA Consignee'!A:F,6,FALSE)</f>
        <v>#N/A</v>
      </c>
      <c r="AM386" s="102" t="s">
        <v>171</v>
      </c>
      <c r="AN386" s="375">
        <f>IF(Tableau119[[#This Row],[Name PFI/CDD]]="","-",VLOOKUP(Tableau119[[#This Row],[Name PFI/CDD]],Plant_AILN!I:J,2,FALSE))</f>
        <v>91018400</v>
      </c>
      <c r="AO386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6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6" s="110" t="e">
        <f>VLOOKUP(Tableau119[[#This Row],[Key(POD -PFI- Usine)]],'DATA Consignee'!A:J,10,FALSE)</f>
        <v>#N/A</v>
      </c>
      <c r="AR386" s="81" t="e">
        <f>VLOOKUP(Tableau119[[#This Row],[Key(POD -PFI- Usine)]],'DATA Consignee'!A:N,14,FALSE)</f>
        <v>#N/A</v>
      </c>
      <c r="AS38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6" s="81">
        <f>Tableau119[[#This Row],[Transit time]]+Tableau119[[#This Row],[Time for security]]+Tableau119[[#This Row],[Time for security2 buffer]]</f>
        <v>0</v>
      </c>
      <c r="AV3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6" s="50" t="e">
        <f>Tableau119[[#This Row],[Leadtime SI2C]]+Tableau119[[#This Row],[First Receipt Days]]-Tableau119[[#This Row],[Day Customer Order]]+1</f>
        <v>#N/A</v>
      </c>
      <c r="AX386" s="119" t="e">
        <f>IF(Tableau119[[#This Row],[Name ILN]]&lt;&gt;"SFK Freight Forwarder",Tableau119[[#This Row],[Cust. Leadtime]],Tableau119[[#This Row],[Leadtime SI2C]])</f>
        <v>#N/A</v>
      </c>
      <c r="AY386" s="51" t="b">
        <f>_xlfn.XLOOKUP(Tableau119[[#This Row],[Key(ID-date)]],'DATA BTO'!S:S,'DATA BTO'!P:P,FALSE)</f>
        <v>0</v>
      </c>
      <c r="AZ386" s="388">
        <v>45475</v>
      </c>
      <c r="BA386" s="81"/>
    </row>
    <row r="387" spans="2:53">
      <c r="B387" s="446" t="str">
        <f>_xlfn.CONCAT(Tableau119[[#This Row],[Name ILN]],"-",Tableau119[[#This Row],[Name Shipper]],"-",Tableau119[[#This Row],[Name Site]])</f>
        <v>KWE Shanghai-KWE Shanghai-DOUAI</v>
      </c>
      <c r="C387" s="66" t="str">
        <f>_xlfn.CONCAT(Tableau119[[#This Row],[Compte ILN]],"-",Tableau119[[#This Row],[Compte Shipper]],"-",Tableau119[[#This Row],[POL]],"-",Tableau119[[#This Row],[Compte Consignee]])</f>
        <v>26037000-26037000-FALSO-90019100</v>
      </c>
      <c r="D387" s="66" t="str">
        <f>_xlfn.CONCAT(Tableau119[[#This Row],[Compte ILN]],"-",Tableau119[[#This Row],[Compte Shipper]],"-",Tableau119[[#This Row],[POL]])</f>
        <v>26037000-26037000-FALSO</v>
      </c>
      <c r="E387" s="130" t="str">
        <f>_xlfn.CONCAT(Tableau119[[#This Row],[POL]],"-",Tableau119[[#This Row],[Carrier]],"-",Tableau119[[#This Row],[POD]])</f>
        <v>FALSO-FALSO-FALSO</v>
      </c>
      <c r="F387" s="66" t="str">
        <f>_xlfn.CONCAT(Tableau119[[#This Row],[ID]],"-","Actif")</f>
        <v>154-Actif</v>
      </c>
      <c r="G387" s="66" t="str">
        <f>_xlfn.CONCAT(Tableau119[[#This Row],[POD]],"-",Tableau119[[#This Row],[Code PFI]],"-",Tableau119[[#This Row],[Compte Consignee]])</f>
        <v>FALSO-91018400-90019100</v>
      </c>
      <c r="H3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ShanghaiFALSODOUAI</v>
      </c>
      <c r="I387" s="434" t="str">
        <f>_xlfn.CONCAT(Tableau119[[#This Row],[ID]],"-",Tableau119[[#This Row],[Expiration Date]])</f>
        <v>154-45475</v>
      </c>
      <c r="J3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DOUAI-KWE Shanghai-KWE Shanghai-154-FALSO-FALSO-FALSO-PFI VLL-45475</v>
      </c>
      <c r="K387" s="119" t="str">
        <f ca="1">IF(COUNTIF(J:J,Tableau119[[#This Row],[Plant-ILN-shipper-POL-Carrier-POD-PFI]])=1,"Non","Oui")</f>
        <v>Non</v>
      </c>
      <c r="L387" s="128" t="str">
        <f>VLOOKUP(Tableau119[[#This Row],[Name Site]],Plant_AILN!A:D,4,FALSE)</f>
        <v>FRANCE</v>
      </c>
      <c r="M387" s="411" t="s">
        <v>188</v>
      </c>
      <c r="N387" s="454">
        <f>VLOOKUP(Tableau119[[#This Row],[Name Site]],Plant_AILN!A:C,3,FALSE)</f>
        <v>90019100</v>
      </c>
      <c r="O387" s="55">
        <f>VLOOKUP(Tableau119[[#This Row],[Compte Consignee]],Order!C:D,2,FALSE)</f>
        <v>7</v>
      </c>
      <c r="P387" s="124" t="s">
        <v>62</v>
      </c>
      <c r="Q387" s="365">
        <f>VLOOKUP(Tableau119[[#This Row],[Name ILN]],Plant_AILN!F:G,2,FALSE)</f>
        <v>26037000</v>
      </c>
      <c r="R387" s="50">
        <f>VLOOKUP(Tableau119[[#This Row],[Compte ILN]],'DATA ILN'!D:I,6,FALSE)</f>
        <v>9</v>
      </c>
      <c r="S387" s="50" t="e">
        <f>IFERROR(VLOOKUP(Tableau119[[#This Row],[Key(Compte ILN - shipper - POL - plant)]],'DATA ILN'!A:J,10,FALSE),VLOOKUP(Tableau119[[#This Row],[Key(Compte ILN - shipper - POL)]],'DATA ILN'!B:J,9,FALSE))</f>
        <v>#N/A</v>
      </c>
      <c r="T387" s="50" t="e">
        <f>IFERROR(VLOOKUP(Tableau119[[#This Row],[Key(Compte ILN - shipper - POL - plant)]],'DATA ILN'!A:K,11,FALSE),VLOOKUP(Tableau119[[#This Row],[Key(Compte ILN - shipper - POL)]],'DATA ILN'!B:K,10,FALSE))</f>
        <v>#N/A</v>
      </c>
      <c r="U387" s="50" t="e">
        <f>IFERROR(VLOOKUP(Tableau119[[#This Row],[Key(Compte ILN - shipper - POL - plant)]],'DATA ILN'!A:L,12,FALSE),VLOOKUP(Tableau119[[#This Row],[Key(Compte ILN - shipper - POL)]],'DATA ILN'!B:L,11,FALSE))</f>
        <v>#N/A</v>
      </c>
      <c r="V387" s="50" t="e">
        <f>Tableau119[[#This Row],[Day ILN Order]]+Tableau119[[#This Row],[Delivery time to ILN/Shipper]]-1</f>
        <v>#N/A</v>
      </c>
      <c r="W387" s="50" t="e">
        <f>IFERROR(VLOOKUP(Tableau119[[#This Row],[Key(Compte ILN - shipper - POL - plant)]],'DATA ILN'!A:N,14,FALSE),VLOOKUP(Tableau119[[#This Row],[Key(Compte ILN - shipper - POL)]],'DATA ILN'!B:N,13,FALSE))</f>
        <v>#N/A</v>
      </c>
      <c r="X387" s="50" t="e">
        <f>IFERROR(VLOOKUP(Tableau119[[#This Row],[Key(Compte ILN - shipper - POL - plant)]],'DATA ILN'!A:P,16,FALSE),VLOOKUP(Tableau119[[#This Row],[Key(Compte ILN - shipper - POL)]],'DATA ILN'!B:P,15,FALSE))</f>
        <v>#N/A</v>
      </c>
      <c r="Y387" s="284" t="s">
        <v>62</v>
      </c>
      <c r="Z387" s="430">
        <f>IFERROR(VLOOKUP(Tableau119[[#This Row],[Name Shipper]],Plant_AILN!L:M,2,FALSE),0)</f>
        <v>26037000</v>
      </c>
      <c r="AA387" s="406">
        <v>154</v>
      </c>
      <c r="AB387" s="396" t="b">
        <f>_xlfn.XLOOKUP(Tableau119[[#This Row],[Key(ID-date)]],'DATA BTO'!S:S,'DATA BTO'!E:E,FALSE)</f>
        <v>0</v>
      </c>
      <c r="AC387" s="3" t="b">
        <f>_xlfn.XLOOKUP(Tableau119[[#This Row],[Key(ID-date)]],'DATA BTO'!S:S,'DATA BTO'!F:F,FALSE)</f>
        <v>0</v>
      </c>
      <c r="AD387" s="50" t="b">
        <f>_xlfn.XLOOKUP(Tableau119[[#This Row],[Key(ID-date)]],'DATA BTO'!S:S,'DATA BTO'!G:G,FALSE)</f>
        <v>0</v>
      </c>
      <c r="AE387" s="50" t="b">
        <f>_xlfn.XLOOKUP(Tableau119[[#This Row],[Key(ID-date)]],'DATA BTO'!S:S,'DATA BTO'!H:H,FALSE)</f>
        <v>0</v>
      </c>
      <c r="AF387" s="447" t="e">
        <f>IF(Tableau119[[#This Row],[First Day to POL]]&lt;=Tableau119[[#This Row],[Day Cut Off]],Tableau119[[#This Row],[Day ETD]],Tableau119[[#This Row],[Day ETD]]+7)</f>
        <v>#N/A</v>
      </c>
      <c r="AG387" s="50" t="b">
        <f>_xlfn.XLOOKUP(Tableau119[[#This Row],[Key(ID-date)]],'DATA BTO'!S:S,'DATA BTO'!I:I,FALSE)</f>
        <v>0</v>
      </c>
      <c r="AH387" s="3" t="b">
        <f>_xlfn.XLOOKUP(Tableau119[[#This Row],[Key(ID-date)]],'DATA BTO'!S:S,'DATA BTO'!J:J,FALSE)</f>
        <v>0</v>
      </c>
      <c r="AI387" s="3" t="b">
        <f>_xlfn.XLOOKUP(Tableau119[[#This Row],[Key(ID-date)]],'DATA BTO'!S:S,'DATA BTO'!K:K,FALSE)</f>
        <v>0</v>
      </c>
      <c r="AJ387" s="50" t="b">
        <f>_xlfn.XLOOKUP(Tableau119[[#This Row],[Key(ID-date)]],'DATA BTO'!S:S,'DATA BTO'!L:L,FALSE)</f>
        <v>0</v>
      </c>
      <c r="AK387" s="53" t="b">
        <f>_xlfn.XLOOKUP(Tableau119[[#This Row],[Key(ID-date)]],'DATA BTO'!S:S,'DATA BTO'!N:N,FALSE)</f>
        <v>0</v>
      </c>
      <c r="AL387" s="54" t="e">
        <f>VLOOKUP(Tableau119[[#This Row],[Key(POD -PFI- Usine)]],'DATA Consignee'!A:F,6,FALSE)</f>
        <v>#N/A</v>
      </c>
      <c r="AM387" s="284" t="s">
        <v>171</v>
      </c>
      <c r="AN387" s="376">
        <f>IF(Tableau119[[#This Row],[Name PFI/CDD]]="","-",VLOOKUP(Tableau119[[#This Row],[Name PFI/CDD]],Plant_AILN!I:J,2,FALSE))</f>
        <v>91018400</v>
      </c>
      <c r="AO38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7" s="2" t="e">
        <f>VLOOKUP(Tableau119[[#This Row],[Key(POD -PFI- Usine)]],'DATA Consignee'!A:J,10,FALSE)</f>
        <v>#N/A</v>
      </c>
      <c r="AR387" s="50" t="e">
        <f>VLOOKUP(Tableau119[[#This Row],[Key(POD -PFI- Usine)]],'DATA Consignee'!A:N,14,FALSE)</f>
        <v>#N/A</v>
      </c>
      <c r="AS3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7" s="50">
        <f>Tableau119[[#This Row],[Transit time]]+Tableau119[[#This Row],[Time for security]]+Tableau119[[#This Row],[Time for security2 buffer]]</f>
        <v>0</v>
      </c>
      <c r="AV3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7" s="50" t="e">
        <f>Tableau119[[#This Row],[Leadtime SI2C]]+Tableau119[[#This Row],[First Receipt Days]]-Tableau119[[#This Row],[Day Customer Order]]+1</f>
        <v>#N/A</v>
      </c>
      <c r="AX387" s="119" t="e">
        <f>IF(Tableau119[[#This Row],[Name ILN]]&lt;&gt;"SFK Freight Forwarder",Tableau119[[#This Row],[Cust. Leadtime]],Tableau119[[#This Row],[Leadtime SI2C]])</f>
        <v>#N/A</v>
      </c>
      <c r="AY387" s="51" t="b">
        <f>_xlfn.XLOOKUP(Tableau119[[#This Row],[Key(ID-date)]],'DATA BTO'!S:S,'DATA BTO'!P:P,FALSE)</f>
        <v>0</v>
      </c>
      <c r="AZ387" s="338">
        <v>45475</v>
      </c>
      <c r="BA387" s="50"/>
    </row>
    <row r="388" spans="2:53">
      <c r="B388" s="446" t="str">
        <f>_xlfn.CONCAT(Tableau119[[#This Row],[Name ILN]],"-",Tableau119[[#This Row],[Name Shipper]],"-",Tableau119[[#This Row],[Name Site]])</f>
        <v>KWE Shanghai-KWE Shanghai-PALENCIA</v>
      </c>
      <c r="C388" s="66" t="str">
        <f>_xlfn.CONCAT(Tableau119[[#This Row],[Compte ILN]],"-",Tableau119[[#This Row],[Compte Shipper]],"-",Tableau119[[#This Row],[POL]],"-",Tableau119[[#This Row],[Compte Consignee]])</f>
        <v>26037000-26037000-FALSO-91017200</v>
      </c>
      <c r="D388" s="66" t="str">
        <f>_xlfn.CONCAT(Tableau119[[#This Row],[Compte ILN]],"-",Tableau119[[#This Row],[Compte Shipper]],"-",Tableau119[[#This Row],[POL]])</f>
        <v>26037000-26037000-FALSO</v>
      </c>
      <c r="E388" s="130" t="str">
        <f>_xlfn.CONCAT(Tableau119[[#This Row],[POL]],"-",Tableau119[[#This Row],[Carrier]],"-",Tableau119[[#This Row],[POD]])</f>
        <v>FALSO-FALSO-FALSO</v>
      </c>
      <c r="F388" s="66" t="str">
        <f>_xlfn.CONCAT(Tableau119[[#This Row],[ID]],"-","Actif")</f>
        <v>154-Actif</v>
      </c>
      <c r="G388" s="66" t="str">
        <f>_xlfn.CONCAT(Tableau119[[#This Row],[POD]],"-",Tableau119[[#This Row],[Code PFI]],"-",Tableau119[[#This Row],[Compte Consignee]])</f>
        <v>FALSO-91018400-91017200</v>
      </c>
      <c r="H3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ShanghaiFALSOPALENCIA</v>
      </c>
      <c r="I388" s="434" t="str">
        <f>_xlfn.CONCAT(Tableau119[[#This Row],[ID]],"-",Tableau119[[#This Row],[Expiration Date]])</f>
        <v>154-45475</v>
      </c>
      <c r="J3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PALENCIA-KWE Shanghai-KWE Shanghai-154-FALSO-FALSO-FALSO-CDD VLL-45475</v>
      </c>
      <c r="K388" s="119" t="str">
        <f ca="1">IF(COUNTIF(J:J,Tableau119[[#This Row],[Plant-ILN-shipper-POL-Carrier-POD-PFI]])=1,"Non","Oui")</f>
        <v>Non</v>
      </c>
      <c r="L388" s="128" t="str">
        <f>VLOOKUP(Tableau119[[#This Row],[Name Site]],Plant_AILN!A:D,4,FALSE)</f>
        <v>SPAIN</v>
      </c>
      <c r="M388" s="415" t="s">
        <v>184</v>
      </c>
      <c r="N388" s="455">
        <f>VLOOKUP(Tableau119[[#This Row],[Name Site]],Plant_AILN!A:C,3,FALSE)</f>
        <v>91017200</v>
      </c>
      <c r="O388" s="104">
        <f>VLOOKUP(Tableau119[[#This Row],[Compte Consignee]],Order!C:D,2,FALSE)</f>
        <v>7</v>
      </c>
      <c r="P388" s="126" t="s">
        <v>62</v>
      </c>
      <c r="Q388" s="366">
        <f>VLOOKUP(Tableau119[[#This Row],[Name ILN]],Plant_AILN!F:G,2,FALSE)</f>
        <v>26037000</v>
      </c>
      <c r="R388" s="81">
        <f>VLOOKUP(Tableau119[[#This Row],[Compte ILN]],'DATA ILN'!D:I,6,FALSE)</f>
        <v>9</v>
      </c>
      <c r="S388" s="81" t="e">
        <f>IFERROR(VLOOKUP(Tableau119[[#This Row],[Key(Compte ILN - shipper - POL - plant)]],'DATA ILN'!A:J,10,FALSE),VLOOKUP(Tableau119[[#This Row],[Key(Compte ILN - shipper - POL)]],'DATA ILN'!B:J,9,FALSE))</f>
        <v>#N/A</v>
      </c>
      <c r="T388" s="81" t="e">
        <f>IFERROR(VLOOKUP(Tableau119[[#This Row],[Key(Compte ILN - shipper - POL - plant)]],'DATA ILN'!A:K,11,FALSE),VLOOKUP(Tableau119[[#This Row],[Key(Compte ILN - shipper - POL)]],'DATA ILN'!B:K,10,FALSE))</f>
        <v>#N/A</v>
      </c>
      <c r="U388" s="81" t="e">
        <f>IFERROR(VLOOKUP(Tableau119[[#This Row],[Key(Compte ILN - shipper - POL - plant)]],'DATA ILN'!A:L,12,FALSE),VLOOKUP(Tableau119[[#This Row],[Key(Compte ILN - shipper - POL)]],'DATA ILN'!B:L,11,FALSE))</f>
        <v>#N/A</v>
      </c>
      <c r="V388" s="81" t="e">
        <f>Tableau119[[#This Row],[Day ILN Order]]+Tableau119[[#This Row],[Delivery time to ILN/Shipper]]-1</f>
        <v>#N/A</v>
      </c>
      <c r="W388" s="81" t="e">
        <f>IFERROR(VLOOKUP(Tableau119[[#This Row],[Key(Compte ILN - shipper - POL - plant)]],'DATA ILN'!A:N,14,FALSE),VLOOKUP(Tableau119[[#This Row],[Key(Compte ILN - shipper - POL)]],'DATA ILN'!B:N,13,FALSE))</f>
        <v>#N/A</v>
      </c>
      <c r="X388" s="81" t="e">
        <f>IFERROR(VLOOKUP(Tableau119[[#This Row],[Key(Compte ILN - shipper - POL - plant)]],'DATA ILN'!A:P,16,FALSE),VLOOKUP(Tableau119[[#This Row],[Key(Compte ILN - shipper - POL)]],'DATA ILN'!B:P,15,FALSE))</f>
        <v>#N/A</v>
      </c>
      <c r="Y388" s="102" t="s">
        <v>62</v>
      </c>
      <c r="Z388" s="417">
        <f>IFERROR(VLOOKUP(Tableau119[[#This Row],[Name Shipper]],Plant_AILN!L:M,2,FALSE),0)</f>
        <v>26037000</v>
      </c>
      <c r="AA388" s="416">
        <v>154</v>
      </c>
      <c r="AB388" s="396" t="b">
        <f>_xlfn.XLOOKUP(Tableau119[[#This Row],[Key(ID-date)]],'DATA BTO'!S:S,'DATA BTO'!E:E,FALSE)</f>
        <v>0</v>
      </c>
      <c r="AC388" s="3" t="b">
        <f>_xlfn.XLOOKUP(Tableau119[[#This Row],[Key(ID-date)]],'DATA BTO'!S:S,'DATA BTO'!F:F,FALSE)</f>
        <v>0</v>
      </c>
      <c r="AD388" s="50" t="b">
        <f>_xlfn.XLOOKUP(Tableau119[[#This Row],[Key(ID-date)]],'DATA BTO'!S:S,'DATA BTO'!G:G,FALSE)</f>
        <v>0</v>
      </c>
      <c r="AE388" s="50" t="b">
        <f>_xlfn.XLOOKUP(Tableau119[[#This Row],[Key(ID-date)]],'DATA BTO'!S:S,'DATA BTO'!H:H,FALSE)</f>
        <v>0</v>
      </c>
      <c r="AF388" s="447" t="e">
        <f>IF(Tableau119[[#This Row],[First Day to POL]]&lt;=Tableau119[[#This Row],[Day Cut Off]],Tableau119[[#This Row],[Day ETD]],Tableau119[[#This Row],[Day ETD]]+7)</f>
        <v>#N/A</v>
      </c>
      <c r="AG388" s="50" t="b">
        <f>_xlfn.XLOOKUP(Tableau119[[#This Row],[Key(ID-date)]],'DATA BTO'!S:S,'DATA BTO'!I:I,FALSE)</f>
        <v>0</v>
      </c>
      <c r="AH388" s="3" t="b">
        <f>_xlfn.XLOOKUP(Tableau119[[#This Row],[Key(ID-date)]],'DATA BTO'!S:S,'DATA BTO'!J:J,FALSE)</f>
        <v>0</v>
      </c>
      <c r="AI388" s="3" t="b">
        <f>_xlfn.XLOOKUP(Tableau119[[#This Row],[Key(ID-date)]],'DATA BTO'!S:S,'DATA BTO'!K:K,FALSE)</f>
        <v>0</v>
      </c>
      <c r="AJ388" s="50" t="b">
        <f>_xlfn.XLOOKUP(Tableau119[[#This Row],[Key(ID-date)]],'DATA BTO'!S:S,'DATA BTO'!L:L,FALSE)</f>
        <v>0</v>
      </c>
      <c r="AK388" s="53" t="b">
        <f>_xlfn.XLOOKUP(Tableau119[[#This Row],[Key(ID-date)]],'DATA BTO'!S:S,'DATA BTO'!N:N,FALSE)</f>
        <v>0</v>
      </c>
      <c r="AL388" s="54" t="e">
        <f>VLOOKUP(Tableau119[[#This Row],[Key(POD -PFI- Usine)]],'DATA Consignee'!A:F,6,FALSE)</f>
        <v>#N/A</v>
      </c>
      <c r="AM388" s="102" t="s">
        <v>169</v>
      </c>
      <c r="AN388" s="375">
        <f>IF(Tableau119[[#This Row],[Name PFI/CDD]]="","-",VLOOKUP(Tableau119[[#This Row],[Name PFI/CDD]],Plant_AILN!I:J,2,FALSE))</f>
        <v>91018400</v>
      </c>
      <c r="AO388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8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8" s="110" t="e">
        <f>VLOOKUP(Tableau119[[#This Row],[Key(POD -PFI- Usine)]],'DATA Consignee'!A:J,10,FALSE)</f>
        <v>#N/A</v>
      </c>
      <c r="AR388" s="81" t="e">
        <f>VLOOKUP(Tableau119[[#This Row],[Key(POD -PFI- Usine)]],'DATA Consignee'!A:N,14,FALSE)</f>
        <v>#N/A</v>
      </c>
      <c r="AS38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8" s="81">
        <f>Tableau119[[#This Row],[Transit time]]+Tableau119[[#This Row],[Time for security]]+Tableau119[[#This Row],[Time for security2 buffer]]</f>
        <v>0</v>
      </c>
      <c r="AV3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8" s="50" t="e">
        <f>Tableau119[[#This Row],[Leadtime SI2C]]+Tableau119[[#This Row],[First Receipt Days]]-Tableau119[[#This Row],[Day Customer Order]]+1</f>
        <v>#N/A</v>
      </c>
      <c r="AX388" s="119" t="e">
        <f>IF(Tableau119[[#This Row],[Name ILN]]&lt;&gt;"SFK Freight Forwarder",Tableau119[[#This Row],[Cust. Leadtime]],Tableau119[[#This Row],[Leadtime SI2C]])</f>
        <v>#N/A</v>
      </c>
      <c r="AY388" s="51" t="b">
        <f>_xlfn.XLOOKUP(Tableau119[[#This Row],[Key(ID-date)]],'DATA BTO'!S:S,'DATA BTO'!P:P,FALSE)</f>
        <v>0</v>
      </c>
      <c r="AZ388" s="388">
        <v>45475</v>
      </c>
      <c r="BA388" s="81"/>
    </row>
    <row r="389" spans="2:53">
      <c r="B389" s="446" t="str">
        <f>_xlfn.CONCAT(Tableau119[[#This Row],[Name ILN]],"-",Tableau119[[#This Row],[Name Shipper]],"-",Tableau119[[#This Row],[Name Site]])</f>
        <v>KWE Shanghai-KWE Shanghai-VALL MONTAGE</v>
      </c>
      <c r="C389" s="66" t="str">
        <f>_xlfn.CONCAT(Tableau119[[#This Row],[Compte ILN]],"-",Tableau119[[#This Row],[Compte Shipper]],"-",Tableau119[[#This Row],[POL]],"-",Tableau119[[#This Row],[Compte Consignee]])</f>
        <v>26037000-26037000-FALSO-91017300</v>
      </c>
      <c r="D389" s="66" t="str">
        <f>_xlfn.CONCAT(Tableau119[[#This Row],[Compte ILN]],"-",Tableau119[[#This Row],[Compte Shipper]],"-",Tableau119[[#This Row],[POL]])</f>
        <v>26037000-26037000-FALSO</v>
      </c>
      <c r="E389" s="130" t="str">
        <f>_xlfn.CONCAT(Tableau119[[#This Row],[POL]],"-",Tableau119[[#This Row],[Carrier]],"-",Tableau119[[#This Row],[POD]])</f>
        <v>FALSO-FALSO-FALSO</v>
      </c>
      <c r="F389" s="66" t="str">
        <f>_xlfn.CONCAT(Tableau119[[#This Row],[ID]],"-","Actif")</f>
        <v>154-Actif</v>
      </c>
      <c r="G389" s="66" t="str">
        <f>_xlfn.CONCAT(Tableau119[[#This Row],[POD]],"-",Tableau119[[#This Row],[Code PFI]],"-",Tableau119[[#This Row],[Compte Consignee]])</f>
        <v>FALSO-91018400-91017300</v>
      </c>
      <c r="H3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ShanghaiFALSOVALL MONTAGE</v>
      </c>
      <c r="I389" s="434" t="str">
        <f>_xlfn.CONCAT(Tableau119[[#This Row],[ID]],"-",Tableau119[[#This Row],[Expiration Date]])</f>
        <v>154-45475</v>
      </c>
      <c r="J3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Shanghai-154-FALSO-FALSO-FALSO-CDD VLL-45475</v>
      </c>
      <c r="K389" s="119" t="str">
        <f ca="1">IF(COUNTIF(J:J,Tableau119[[#This Row],[Plant-ILN-shipper-POL-Carrier-POD-PFI]])=1,"Non","Oui")</f>
        <v>Non</v>
      </c>
      <c r="L389" s="128" t="str">
        <f>VLOOKUP(Tableau119[[#This Row],[Name Site]],Plant_AILN!A:D,4,FALSE)</f>
        <v>SPAIN</v>
      </c>
      <c r="M389" s="411" t="s">
        <v>175</v>
      </c>
      <c r="N389" s="454">
        <f>VLOOKUP(Tableau119[[#This Row],[Name Site]],Plant_AILN!A:C,3,FALSE)</f>
        <v>91017300</v>
      </c>
      <c r="O389" s="55">
        <f>VLOOKUP(Tableau119[[#This Row],[Compte Consignee]],Order!C:D,2,FALSE)</f>
        <v>7</v>
      </c>
      <c r="P389" s="124" t="s">
        <v>62</v>
      </c>
      <c r="Q389" s="365">
        <f>VLOOKUP(Tableau119[[#This Row],[Name ILN]],Plant_AILN!F:G,2,FALSE)</f>
        <v>26037000</v>
      </c>
      <c r="R389" s="50">
        <f>VLOOKUP(Tableau119[[#This Row],[Compte ILN]],'DATA ILN'!D:I,6,FALSE)</f>
        <v>9</v>
      </c>
      <c r="S389" s="50" t="e">
        <f>IFERROR(VLOOKUP(Tableau119[[#This Row],[Key(Compte ILN - shipper - POL - plant)]],'DATA ILN'!A:J,10,FALSE),VLOOKUP(Tableau119[[#This Row],[Key(Compte ILN - shipper - POL)]],'DATA ILN'!B:J,9,FALSE))</f>
        <v>#N/A</v>
      </c>
      <c r="T389" s="50" t="e">
        <f>IFERROR(VLOOKUP(Tableau119[[#This Row],[Key(Compte ILN - shipper - POL - plant)]],'DATA ILN'!A:K,11,FALSE),VLOOKUP(Tableau119[[#This Row],[Key(Compte ILN - shipper - POL)]],'DATA ILN'!B:K,10,FALSE))</f>
        <v>#N/A</v>
      </c>
      <c r="U389" s="50" t="e">
        <f>IFERROR(VLOOKUP(Tableau119[[#This Row],[Key(Compte ILN - shipper - POL - plant)]],'DATA ILN'!A:L,12,FALSE),VLOOKUP(Tableau119[[#This Row],[Key(Compte ILN - shipper - POL)]],'DATA ILN'!B:L,11,FALSE))</f>
        <v>#N/A</v>
      </c>
      <c r="V389" s="50" t="e">
        <f>Tableau119[[#This Row],[Day ILN Order]]+Tableau119[[#This Row],[Delivery time to ILN/Shipper]]-1</f>
        <v>#N/A</v>
      </c>
      <c r="W389" s="50" t="e">
        <f>IFERROR(VLOOKUP(Tableau119[[#This Row],[Key(Compte ILN - shipper - POL - plant)]],'DATA ILN'!A:N,14,FALSE),VLOOKUP(Tableau119[[#This Row],[Key(Compte ILN - shipper - POL)]],'DATA ILN'!B:N,13,FALSE))</f>
        <v>#N/A</v>
      </c>
      <c r="X389" s="50" t="e">
        <f>IFERROR(VLOOKUP(Tableau119[[#This Row],[Key(Compte ILN - shipper - POL - plant)]],'DATA ILN'!A:P,16,FALSE),VLOOKUP(Tableau119[[#This Row],[Key(Compte ILN - shipper - POL)]],'DATA ILN'!B:P,15,FALSE))</f>
        <v>#N/A</v>
      </c>
      <c r="Y389" s="284" t="s">
        <v>62</v>
      </c>
      <c r="Z389" s="430">
        <f>IFERROR(VLOOKUP(Tableau119[[#This Row],[Name Shipper]],Plant_AILN!L:M,2,FALSE),0)</f>
        <v>26037000</v>
      </c>
      <c r="AA389" s="406">
        <v>154</v>
      </c>
      <c r="AB389" s="396" t="b">
        <f>_xlfn.XLOOKUP(Tableau119[[#This Row],[Key(ID-date)]],'DATA BTO'!S:S,'DATA BTO'!E:E,FALSE)</f>
        <v>0</v>
      </c>
      <c r="AC389" s="3" t="b">
        <f>_xlfn.XLOOKUP(Tableau119[[#This Row],[Key(ID-date)]],'DATA BTO'!S:S,'DATA BTO'!F:F,FALSE)</f>
        <v>0</v>
      </c>
      <c r="AD389" s="50" t="b">
        <f>_xlfn.XLOOKUP(Tableau119[[#This Row],[Key(ID-date)]],'DATA BTO'!S:S,'DATA BTO'!G:G,FALSE)</f>
        <v>0</v>
      </c>
      <c r="AE389" s="50" t="b">
        <f>_xlfn.XLOOKUP(Tableau119[[#This Row],[Key(ID-date)]],'DATA BTO'!S:S,'DATA BTO'!H:H,FALSE)</f>
        <v>0</v>
      </c>
      <c r="AF389" s="447" t="e">
        <f>IF(Tableau119[[#This Row],[First Day to POL]]&lt;=Tableau119[[#This Row],[Day Cut Off]],Tableau119[[#This Row],[Day ETD]],Tableau119[[#This Row],[Day ETD]]+7)</f>
        <v>#N/A</v>
      </c>
      <c r="AG389" s="50" t="b">
        <f>_xlfn.XLOOKUP(Tableau119[[#This Row],[Key(ID-date)]],'DATA BTO'!S:S,'DATA BTO'!I:I,FALSE)</f>
        <v>0</v>
      </c>
      <c r="AH389" s="3" t="b">
        <f>_xlfn.XLOOKUP(Tableau119[[#This Row],[Key(ID-date)]],'DATA BTO'!S:S,'DATA BTO'!J:J,FALSE)</f>
        <v>0</v>
      </c>
      <c r="AI389" s="3" t="b">
        <f>_xlfn.XLOOKUP(Tableau119[[#This Row],[Key(ID-date)]],'DATA BTO'!S:S,'DATA BTO'!K:K,FALSE)</f>
        <v>0</v>
      </c>
      <c r="AJ389" s="50" t="b">
        <f>_xlfn.XLOOKUP(Tableau119[[#This Row],[Key(ID-date)]],'DATA BTO'!S:S,'DATA BTO'!L:L,FALSE)</f>
        <v>0</v>
      </c>
      <c r="AK389" s="53" t="b">
        <f>_xlfn.XLOOKUP(Tableau119[[#This Row],[Key(ID-date)]],'DATA BTO'!S:S,'DATA BTO'!N:N,FALSE)</f>
        <v>0</v>
      </c>
      <c r="AL389" s="54" t="e">
        <f>VLOOKUP(Tableau119[[#This Row],[Key(POD -PFI- Usine)]],'DATA Consignee'!A:F,6,FALSE)</f>
        <v>#N/A</v>
      </c>
      <c r="AM389" s="127" t="s">
        <v>169</v>
      </c>
      <c r="AN389" s="376">
        <f>IF(Tableau119[[#This Row],[Name PFI/CDD]]="","-",VLOOKUP(Tableau119[[#This Row],[Name PFI/CDD]],Plant_AILN!I:J,2,FALSE))</f>
        <v>91018400</v>
      </c>
      <c r="AO38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8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89" s="2" t="e">
        <f>VLOOKUP(Tableau119[[#This Row],[Key(POD -PFI- Usine)]],'DATA Consignee'!A:J,10,FALSE)</f>
        <v>#N/A</v>
      </c>
      <c r="AR389" s="50" t="e">
        <f>VLOOKUP(Tableau119[[#This Row],[Key(POD -PFI- Usine)]],'DATA Consignee'!A:N,14,FALSE)</f>
        <v>#N/A</v>
      </c>
      <c r="AS3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89" s="50">
        <f>Tableau119[[#This Row],[Transit time]]+Tableau119[[#This Row],[Time for security]]+Tableau119[[#This Row],[Time for security2 buffer]]</f>
        <v>0</v>
      </c>
      <c r="AV3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89" s="50" t="e">
        <f>Tableau119[[#This Row],[Leadtime SI2C]]+Tableau119[[#This Row],[First Receipt Days]]-Tableau119[[#This Row],[Day Customer Order]]+1</f>
        <v>#N/A</v>
      </c>
      <c r="AX389" s="119" t="e">
        <f>IF(Tableau119[[#This Row],[Name ILN]]&lt;&gt;"SFK Freight Forwarder",Tableau119[[#This Row],[Cust. Leadtime]],Tableau119[[#This Row],[Leadtime SI2C]])</f>
        <v>#N/A</v>
      </c>
      <c r="AY389" s="51" t="b">
        <f>_xlfn.XLOOKUP(Tableau119[[#This Row],[Key(ID-date)]],'DATA BTO'!S:S,'DATA BTO'!P:P,FALSE)</f>
        <v>0</v>
      </c>
      <c r="AZ389" s="338">
        <v>45475</v>
      </c>
      <c r="BA389" s="50"/>
    </row>
    <row r="390" spans="2:53">
      <c r="B390" s="446" t="str">
        <f>_xlfn.CONCAT(Tableau119[[#This Row],[Name ILN]],"-",Tableau119[[#This Row],[Name Shipper]],"-",Tableau119[[#This Row],[Name Site]])</f>
        <v>KWE Shanghai-KWE Shanghai-SEVILLA</v>
      </c>
      <c r="C390" s="66" t="str">
        <f>_xlfn.CONCAT(Tableau119[[#This Row],[Compte ILN]],"-",Tableau119[[#This Row],[Compte Shipper]],"-",Tableau119[[#This Row],[POL]],"-",Tableau119[[#This Row],[Compte Consignee]])</f>
        <v>26037000-26037000-FALSO-91017500</v>
      </c>
      <c r="D390" s="66" t="str">
        <f>_xlfn.CONCAT(Tableau119[[#This Row],[Compte ILN]],"-",Tableau119[[#This Row],[Compte Shipper]],"-",Tableau119[[#This Row],[POL]])</f>
        <v>26037000-26037000-FALSO</v>
      </c>
      <c r="E390" s="130" t="str">
        <f>_xlfn.CONCAT(Tableau119[[#This Row],[POL]],"-",Tableau119[[#This Row],[Carrier]],"-",Tableau119[[#This Row],[POD]])</f>
        <v>FALSO-FALSO-FALSO</v>
      </c>
      <c r="F390" s="66" t="str">
        <f>_xlfn.CONCAT(Tableau119[[#This Row],[ID]],"-","Actif")</f>
        <v>154-Actif</v>
      </c>
      <c r="G390" s="66" t="str">
        <f>_xlfn.CONCAT(Tableau119[[#This Row],[POD]],"-",Tableau119[[#This Row],[Code PFI]],"-",Tableau119[[#This Row],[Compte Consignee]])</f>
        <v>FALSO-91018400-91017500</v>
      </c>
      <c r="H3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ShanghaiFALSOSEVILLA</v>
      </c>
      <c r="I390" s="434" t="str">
        <f>_xlfn.CONCAT(Tableau119[[#This Row],[ID]],"-",Tableau119[[#This Row],[Expiration Date]])</f>
        <v>154-45475</v>
      </c>
      <c r="J3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SEVILLA-KWE Shanghai-KWE Shanghai-154-FALSO-FALSO-FALSO-PFI VLL-45475</v>
      </c>
      <c r="K390" s="119" t="str">
        <f ca="1">IF(COUNTIF(J:J,Tableau119[[#This Row],[Plant-ILN-shipper-POL-Carrier-POD-PFI]])=1,"Non","Oui")</f>
        <v>Non</v>
      </c>
      <c r="L390" s="128" t="str">
        <f>VLOOKUP(Tableau119[[#This Row],[Name Site]],Plant_AILN!A:D,4,FALSE)</f>
        <v>SPAIN</v>
      </c>
      <c r="M390" s="415" t="s">
        <v>172</v>
      </c>
      <c r="N390" s="455">
        <f>VLOOKUP(Tableau119[[#This Row],[Name Site]],Plant_AILN!A:C,3,FALSE)</f>
        <v>91017500</v>
      </c>
      <c r="O390" s="104">
        <f>VLOOKUP(Tableau119[[#This Row],[Compte Consignee]],Order!C:D,2,FALSE)</f>
        <v>7</v>
      </c>
      <c r="P390" s="126" t="s">
        <v>62</v>
      </c>
      <c r="Q390" s="366">
        <f>VLOOKUP(Tableau119[[#This Row],[Name ILN]],Plant_AILN!F:G,2,FALSE)</f>
        <v>26037000</v>
      </c>
      <c r="R390" s="81">
        <f>VLOOKUP(Tableau119[[#This Row],[Compte ILN]],'DATA ILN'!D:I,6,FALSE)</f>
        <v>9</v>
      </c>
      <c r="S390" s="81" t="e">
        <f>IFERROR(VLOOKUP(Tableau119[[#This Row],[Key(Compte ILN - shipper - POL - plant)]],'DATA ILN'!A:J,10,FALSE),VLOOKUP(Tableau119[[#This Row],[Key(Compte ILN - shipper - POL)]],'DATA ILN'!B:J,9,FALSE))</f>
        <v>#N/A</v>
      </c>
      <c r="T390" s="81" t="e">
        <f>IFERROR(VLOOKUP(Tableau119[[#This Row],[Key(Compte ILN - shipper - POL - plant)]],'DATA ILN'!A:K,11,FALSE),VLOOKUP(Tableau119[[#This Row],[Key(Compte ILN - shipper - POL)]],'DATA ILN'!B:K,10,FALSE))</f>
        <v>#N/A</v>
      </c>
      <c r="U390" s="81" t="e">
        <f>IFERROR(VLOOKUP(Tableau119[[#This Row],[Key(Compte ILN - shipper - POL - plant)]],'DATA ILN'!A:L,12,FALSE),VLOOKUP(Tableau119[[#This Row],[Key(Compte ILN - shipper - POL)]],'DATA ILN'!B:L,11,FALSE))</f>
        <v>#N/A</v>
      </c>
      <c r="V390" s="81" t="e">
        <f>Tableau119[[#This Row],[Day ILN Order]]+Tableau119[[#This Row],[Delivery time to ILN/Shipper]]-1</f>
        <v>#N/A</v>
      </c>
      <c r="W390" s="81" t="e">
        <f>IFERROR(VLOOKUP(Tableau119[[#This Row],[Key(Compte ILN - shipper - POL - plant)]],'DATA ILN'!A:N,14,FALSE),VLOOKUP(Tableau119[[#This Row],[Key(Compte ILN - shipper - POL)]],'DATA ILN'!B:N,13,FALSE))</f>
        <v>#N/A</v>
      </c>
      <c r="X390" s="81" t="e">
        <f>IFERROR(VLOOKUP(Tableau119[[#This Row],[Key(Compte ILN - shipper - POL - plant)]],'DATA ILN'!A:P,16,FALSE),VLOOKUP(Tableau119[[#This Row],[Key(Compte ILN - shipper - POL)]],'DATA ILN'!B:P,15,FALSE))</f>
        <v>#N/A</v>
      </c>
      <c r="Y390" s="102" t="s">
        <v>62</v>
      </c>
      <c r="Z390" s="417">
        <f>IFERROR(VLOOKUP(Tableau119[[#This Row],[Name Shipper]],Plant_AILN!L:M,2,FALSE),0)</f>
        <v>26037000</v>
      </c>
      <c r="AA390" s="416">
        <v>154</v>
      </c>
      <c r="AB390" s="396" t="b">
        <f>_xlfn.XLOOKUP(Tableau119[[#This Row],[Key(ID-date)]],'DATA BTO'!S:S,'DATA BTO'!E:E,FALSE)</f>
        <v>0</v>
      </c>
      <c r="AC390" s="3" t="b">
        <f>_xlfn.XLOOKUP(Tableau119[[#This Row],[Key(ID-date)]],'DATA BTO'!S:S,'DATA BTO'!F:F,FALSE)</f>
        <v>0</v>
      </c>
      <c r="AD390" s="50" t="b">
        <f>_xlfn.XLOOKUP(Tableau119[[#This Row],[Key(ID-date)]],'DATA BTO'!S:S,'DATA BTO'!G:G,FALSE)</f>
        <v>0</v>
      </c>
      <c r="AE390" s="50" t="b">
        <f>_xlfn.XLOOKUP(Tableau119[[#This Row],[Key(ID-date)]],'DATA BTO'!S:S,'DATA BTO'!H:H,FALSE)</f>
        <v>0</v>
      </c>
      <c r="AF390" s="447" t="e">
        <f>IF(Tableau119[[#This Row],[First Day to POL]]&lt;=Tableau119[[#This Row],[Day Cut Off]],Tableau119[[#This Row],[Day ETD]],Tableau119[[#This Row],[Day ETD]]+7)</f>
        <v>#N/A</v>
      </c>
      <c r="AG390" s="50" t="b">
        <f>_xlfn.XLOOKUP(Tableau119[[#This Row],[Key(ID-date)]],'DATA BTO'!S:S,'DATA BTO'!I:I,FALSE)</f>
        <v>0</v>
      </c>
      <c r="AH390" s="3" t="b">
        <f>_xlfn.XLOOKUP(Tableau119[[#This Row],[Key(ID-date)]],'DATA BTO'!S:S,'DATA BTO'!J:J,FALSE)</f>
        <v>0</v>
      </c>
      <c r="AI390" s="3" t="b">
        <f>_xlfn.XLOOKUP(Tableau119[[#This Row],[Key(ID-date)]],'DATA BTO'!S:S,'DATA BTO'!K:K,FALSE)</f>
        <v>0</v>
      </c>
      <c r="AJ390" s="50" t="b">
        <f>_xlfn.XLOOKUP(Tableau119[[#This Row],[Key(ID-date)]],'DATA BTO'!S:S,'DATA BTO'!L:L,FALSE)</f>
        <v>0</v>
      </c>
      <c r="AK390" s="53" t="b">
        <f>_xlfn.XLOOKUP(Tableau119[[#This Row],[Key(ID-date)]],'DATA BTO'!S:S,'DATA BTO'!N:N,FALSE)</f>
        <v>0</v>
      </c>
      <c r="AL390" s="54" t="e">
        <f>VLOOKUP(Tableau119[[#This Row],[Key(POD -PFI- Usine)]],'DATA Consignee'!A:F,6,FALSE)</f>
        <v>#N/A</v>
      </c>
      <c r="AM390" s="127" t="s">
        <v>171</v>
      </c>
      <c r="AN390" s="375">
        <f>IF(Tableau119[[#This Row],[Name PFI/CDD]]="","-",VLOOKUP(Tableau119[[#This Row],[Name PFI/CDD]],Plant_AILN!I:J,2,FALSE))</f>
        <v>91018400</v>
      </c>
      <c r="AO390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0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0" s="110" t="e">
        <f>VLOOKUP(Tableau119[[#This Row],[Key(POD -PFI- Usine)]],'DATA Consignee'!A:J,10,FALSE)</f>
        <v>#N/A</v>
      </c>
      <c r="AR390" s="81" t="e">
        <f>VLOOKUP(Tableau119[[#This Row],[Key(POD -PFI- Usine)]],'DATA Consignee'!A:N,14,FALSE)</f>
        <v>#N/A</v>
      </c>
      <c r="AS39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0" s="81">
        <f>Tableau119[[#This Row],[Transit time]]+Tableau119[[#This Row],[Time for security]]+Tableau119[[#This Row],[Time for security2 buffer]]</f>
        <v>0</v>
      </c>
      <c r="AV3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0" s="50" t="e">
        <f>Tableau119[[#This Row],[Leadtime SI2C]]+Tableau119[[#This Row],[First Receipt Days]]-Tableau119[[#This Row],[Day Customer Order]]+1</f>
        <v>#N/A</v>
      </c>
      <c r="AX390" s="119" t="e">
        <f>IF(Tableau119[[#This Row],[Name ILN]]&lt;&gt;"SFK Freight Forwarder",Tableau119[[#This Row],[Cust. Leadtime]],Tableau119[[#This Row],[Leadtime SI2C]])</f>
        <v>#N/A</v>
      </c>
      <c r="AY390" s="51" t="b">
        <f>_xlfn.XLOOKUP(Tableau119[[#This Row],[Key(ID-date)]],'DATA BTO'!S:S,'DATA BTO'!P:P,FALSE)</f>
        <v>0</v>
      </c>
      <c r="AZ390" s="388">
        <v>45475</v>
      </c>
      <c r="BA390" s="81"/>
    </row>
    <row r="391" spans="2:53">
      <c r="B391" s="446" t="str">
        <f>_xlfn.CONCAT(Tableau119[[#This Row],[Name ILN]],"-",Tableau119[[#This Row],[Name Shipper]],"-",Tableau119[[#This Row],[Name Site]])</f>
        <v>KWE Shanghai-KWE Shanghai-CARROCERIAS</v>
      </c>
      <c r="C391" s="66" t="str">
        <f>_xlfn.CONCAT(Tableau119[[#This Row],[Compte ILN]],"-",Tableau119[[#This Row],[Compte Shipper]],"-",Tableau119[[#This Row],[POL]],"-",Tableau119[[#This Row],[Compte Consignee]])</f>
        <v>26037000-26037000-FALSO-91017600</v>
      </c>
      <c r="D391" s="66" t="str">
        <f>_xlfn.CONCAT(Tableau119[[#This Row],[Compte ILN]],"-",Tableau119[[#This Row],[Compte Shipper]],"-",Tableau119[[#This Row],[POL]])</f>
        <v>26037000-26037000-FALSO</v>
      </c>
      <c r="E391" s="130" t="str">
        <f>_xlfn.CONCAT(Tableau119[[#This Row],[POL]],"-",Tableau119[[#This Row],[Carrier]],"-",Tableau119[[#This Row],[POD]])</f>
        <v>FALSO-FALSO-FALSO</v>
      </c>
      <c r="F391" s="66" t="str">
        <f>_xlfn.CONCAT(Tableau119[[#This Row],[ID]],"-","Actif")</f>
        <v>154-Actif</v>
      </c>
      <c r="G391" s="66" t="str">
        <f>_xlfn.CONCAT(Tableau119[[#This Row],[POD]],"-",Tableau119[[#This Row],[Code PFI]],"-",Tableau119[[#This Row],[Compte Consignee]])</f>
        <v>FALSO-91018400-91017600</v>
      </c>
      <c r="H3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ShanghaiFALSOCARROCERIAS</v>
      </c>
      <c r="I391" s="434" t="str">
        <f>_xlfn.CONCAT(Tableau119[[#This Row],[ID]],"-",Tableau119[[#This Row],[Expiration Date]])</f>
        <v>154-45475</v>
      </c>
      <c r="J3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CARROCERIAS-KWE Shanghai-KWE Shanghai-154-FALSO-FALSO-FALSO-PFI VLL-45475</v>
      </c>
      <c r="K391" s="119" t="str">
        <f ca="1">IF(COUNTIF(J:J,Tableau119[[#This Row],[Plant-ILN-shipper-POL-Carrier-POD-PFI]])=1,"Non","Oui")</f>
        <v>Non</v>
      </c>
      <c r="L391" s="128" t="str">
        <f>VLOOKUP(Tableau119[[#This Row],[Name Site]],Plant_AILN!A:D,4,FALSE)</f>
        <v>SPAIN</v>
      </c>
      <c r="M391" s="411" t="s">
        <v>211</v>
      </c>
      <c r="N391" s="454">
        <f>VLOOKUP(Tableau119[[#This Row],[Name Site]],Plant_AILN!A:C,3,FALSE)</f>
        <v>91017600</v>
      </c>
      <c r="O391" s="55">
        <f>VLOOKUP(Tableau119[[#This Row],[Compte Consignee]],Order!C:D,2,FALSE)</f>
        <v>7</v>
      </c>
      <c r="P391" s="124" t="s">
        <v>62</v>
      </c>
      <c r="Q391" s="365">
        <f>VLOOKUP(Tableau119[[#This Row],[Name ILN]],Plant_AILN!F:G,2,FALSE)</f>
        <v>26037000</v>
      </c>
      <c r="R391" s="50">
        <f>VLOOKUP(Tableau119[[#This Row],[Compte ILN]],'DATA ILN'!D:I,6,FALSE)</f>
        <v>9</v>
      </c>
      <c r="S391" s="50" t="e">
        <f>IFERROR(VLOOKUP(Tableau119[[#This Row],[Key(Compte ILN - shipper - POL - plant)]],'DATA ILN'!A:J,10,FALSE),VLOOKUP(Tableau119[[#This Row],[Key(Compte ILN - shipper - POL)]],'DATA ILN'!B:J,9,FALSE))</f>
        <v>#N/A</v>
      </c>
      <c r="T391" s="50" t="e">
        <f>IFERROR(VLOOKUP(Tableau119[[#This Row],[Key(Compte ILN - shipper - POL - plant)]],'DATA ILN'!A:K,11,FALSE),VLOOKUP(Tableau119[[#This Row],[Key(Compte ILN - shipper - POL)]],'DATA ILN'!B:K,10,FALSE))</f>
        <v>#N/A</v>
      </c>
      <c r="U391" s="50" t="e">
        <f>IFERROR(VLOOKUP(Tableau119[[#This Row],[Key(Compte ILN - shipper - POL - plant)]],'DATA ILN'!A:L,12,FALSE),VLOOKUP(Tableau119[[#This Row],[Key(Compte ILN - shipper - POL)]],'DATA ILN'!B:L,11,FALSE))</f>
        <v>#N/A</v>
      </c>
      <c r="V391" s="50" t="e">
        <f>Tableau119[[#This Row],[Day ILN Order]]+Tableau119[[#This Row],[Delivery time to ILN/Shipper]]-1</f>
        <v>#N/A</v>
      </c>
      <c r="W391" s="50" t="e">
        <f>IFERROR(VLOOKUP(Tableau119[[#This Row],[Key(Compte ILN - shipper - POL - plant)]],'DATA ILN'!A:N,14,FALSE),VLOOKUP(Tableau119[[#This Row],[Key(Compte ILN - shipper - POL)]],'DATA ILN'!B:N,13,FALSE))</f>
        <v>#N/A</v>
      </c>
      <c r="X391" s="50" t="e">
        <f>IFERROR(VLOOKUP(Tableau119[[#This Row],[Key(Compte ILN - shipper - POL - plant)]],'DATA ILN'!A:P,16,FALSE),VLOOKUP(Tableau119[[#This Row],[Key(Compte ILN - shipper - POL)]],'DATA ILN'!B:P,15,FALSE))</f>
        <v>#N/A</v>
      </c>
      <c r="Y391" s="284" t="s">
        <v>62</v>
      </c>
      <c r="Z391" s="430">
        <f>IFERROR(VLOOKUP(Tableau119[[#This Row],[Name Shipper]],Plant_AILN!L:M,2,FALSE),0)</f>
        <v>26037000</v>
      </c>
      <c r="AA391" s="406">
        <v>154</v>
      </c>
      <c r="AB391" s="396" t="b">
        <f>_xlfn.XLOOKUP(Tableau119[[#This Row],[Key(ID-date)]],'DATA BTO'!S:S,'DATA BTO'!E:E,FALSE)</f>
        <v>0</v>
      </c>
      <c r="AC391" s="3" t="b">
        <f>_xlfn.XLOOKUP(Tableau119[[#This Row],[Key(ID-date)]],'DATA BTO'!S:S,'DATA BTO'!F:F,FALSE)</f>
        <v>0</v>
      </c>
      <c r="AD391" s="50" t="b">
        <f>_xlfn.XLOOKUP(Tableau119[[#This Row],[Key(ID-date)]],'DATA BTO'!S:S,'DATA BTO'!G:G,FALSE)</f>
        <v>0</v>
      </c>
      <c r="AE391" s="50" t="b">
        <f>_xlfn.XLOOKUP(Tableau119[[#This Row],[Key(ID-date)]],'DATA BTO'!S:S,'DATA BTO'!H:H,FALSE)</f>
        <v>0</v>
      </c>
      <c r="AF391" s="447" t="e">
        <f>IF(Tableau119[[#This Row],[First Day to POL]]&lt;=Tableau119[[#This Row],[Day Cut Off]],Tableau119[[#This Row],[Day ETD]],Tableau119[[#This Row],[Day ETD]]+7)</f>
        <v>#N/A</v>
      </c>
      <c r="AG391" s="50" t="b">
        <f>_xlfn.XLOOKUP(Tableau119[[#This Row],[Key(ID-date)]],'DATA BTO'!S:S,'DATA BTO'!I:I,FALSE)</f>
        <v>0</v>
      </c>
      <c r="AH391" s="3" t="b">
        <f>_xlfn.XLOOKUP(Tableau119[[#This Row],[Key(ID-date)]],'DATA BTO'!S:S,'DATA BTO'!J:J,FALSE)</f>
        <v>0</v>
      </c>
      <c r="AI391" s="3" t="b">
        <f>_xlfn.XLOOKUP(Tableau119[[#This Row],[Key(ID-date)]],'DATA BTO'!S:S,'DATA BTO'!K:K,FALSE)</f>
        <v>0</v>
      </c>
      <c r="AJ391" s="50" t="b">
        <f>_xlfn.XLOOKUP(Tableau119[[#This Row],[Key(ID-date)]],'DATA BTO'!S:S,'DATA BTO'!L:L,FALSE)</f>
        <v>0</v>
      </c>
      <c r="AK391" s="53" t="b">
        <f>_xlfn.XLOOKUP(Tableau119[[#This Row],[Key(ID-date)]],'DATA BTO'!S:S,'DATA BTO'!N:N,FALSE)</f>
        <v>0</v>
      </c>
      <c r="AL391" s="54" t="e">
        <f>VLOOKUP(Tableau119[[#This Row],[Key(POD -PFI- Usine)]],'DATA Consignee'!A:F,6,FALSE)</f>
        <v>#N/A</v>
      </c>
      <c r="AM391" s="127" t="s">
        <v>171</v>
      </c>
      <c r="AN391" s="376">
        <f>IF(Tableau119[[#This Row],[Name PFI/CDD]]="","-",VLOOKUP(Tableau119[[#This Row],[Name PFI/CDD]],Plant_AILN!I:J,2,FALSE))</f>
        <v>91018400</v>
      </c>
      <c r="AO391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1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1" s="2" t="e">
        <f>VLOOKUP(Tableau119[[#This Row],[Key(POD -PFI- Usine)]],'DATA Consignee'!A:J,10,FALSE)</f>
        <v>#N/A</v>
      </c>
      <c r="AR391" s="50" t="e">
        <f>VLOOKUP(Tableau119[[#This Row],[Key(POD -PFI- Usine)]],'DATA Consignee'!A:N,14,FALSE)</f>
        <v>#N/A</v>
      </c>
      <c r="AS3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1" s="50">
        <f>Tableau119[[#This Row],[Transit time]]+Tableau119[[#This Row],[Time for security]]+Tableau119[[#This Row],[Time for security2 buffer]]</f>
        <v>0</v>
      </c>
      <c r="AV3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1" s="50" t="e">
        <f>Tableau119[[#This Row],[Leadtime SI2C]]+Tableau119[[#This Row],[First Receipt Days]]-Tableau119[[#This Row],[Day Customer Order]]+1</f>
        <v>#N/A</v>
      </c>
      <c r="AX391" s="119" t="e">
        <f>IF(Tableau119[[#This Row],[Name ILN]]&lt;&gt;"SFK Freight Forwarder",Tableau119[[#This Row],[Cust. Leadtime]],Tableau119[[#This Row],[Leadtime SI2C]])</f>
        <v>#N/A</v>
      </c>
      <c r="AY391" s="51" t="b">
        <f>_xlfn.XLOOKUP(Tableau119[[#This Row],[Key(ID-date)]],'DATA BTO'!S:S,'DATA BTO'!P:P,FALSE)</f>
        <v>0</v>
      </c>
      <c r="AZ391" s="338">
        <v>45475</v>
      </c>
      <c r="BA391" s="50"/>
    </row>
    <row r="392" spans="2:53">
      <c r="B392" s="446" t="str">
        <f>_xlfn.CONCAT(Tableau119[[#This Row],[Name ILN]],"-",Tableau119[[#This Row],[Name Shipper]],"-",Tableau119[[#This Row],[Name Site]])</f>
        <v>KWE Shanghai-KWE Shanghai-CLEON</v>
      </c>
      <c r="C392" s="66" t="str">
        <f>_xlfn.CONCAT(Tableau119[[#This Row],[Compte ILN]],"-",Tableau119[[#This Row],[Compte Shipper]],"-",Tableau119[[#This Row],[POL]],"-",Tableau119[[#This Row],[Compte Consignee]])</f>
        <v>26037000-26037000-FALSO-92000100</v>
      </c>
      <c r="D392" s="66" t="str">
        <f>_xlfn.CONCAT(Tableau119[[#This Row],[Compte ILN]],"-",Tableau119[[#This Row],[Compte Shipper]],"-",Tableau119[[#This Row],[POL]])</f>
        <v>26037000-26037000-FALSO</v>
      </c>
      <c r="E392" s="130" t="str">
        <f>_xlfn.CONCAT(Tableau119[[#This Row],[POL]],"-",Tableau119[[#This Row],[Carrier]],"-",Tableau119[[#This Row],[POD]])</f>
        <v>FALSO-FALSO-FALSO</v>
      </c>
      <c r="F392" s="66" t="str">
        <f>_xlfn.CONCAT(Tableau119[[#This Row],[ID]],"-","Actif")</f>
        <v>154-Actif</v>
      </c>
      <c r="G392" s="66" t="str">
        <f>_xlfn.CONCAT(Tableau119[[#This Row],[POD]],"-",Tableau119[[#This Row],[Code PFI]],"-",Tableau119[[#This Row],[Compte Consignee]])</f>
        <v>FALSO-91018400-92000100</v>
      </c>
      <c r="H3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ShanghaiFALSOCLEON</v>
      </c>
      <c r="I392" s="434" t="str">
        <f>_xlfn.CONCAT(Tableau119[[#This Row],[ID]],"-",Tableau119[[#This Row],[Expiration Date]])</f>
        <v>154-45475</v>
      </c>
      <c r="J3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CLEON-KWE Shanghai-KWE Shanghai-154-FALSO-FALSO-FALSO-PFI VLL-45475</v>
      </c>
      <c r="K392" s="119" t="str">
        <f ca="1">IF(COUNTIF(J:J,Tableau119[[#This Row],[Plant-ILN-shipper-POL-Carrier-POD-PFI]])=1,"Non","Oui")</f>
        <v>Non</v>
      </c>
      <c r="L392" s="128" t="str">
        <f>VLOOKUP(Tableau119[[#This Row],[Name Site]],Plant_AILN!A:D,4,FALSE)</f>
        <v>FRANCE</v>
      </c>
      <c r="M392" s="415" t="s">
        <v>183</v>
      </c>
      <c r="N392" s="455">
        <f>VLOOKUP(Tableau119[[#This Row],[Name Site]],Plant_AILN!A:C,3,FALSE)</f>
        <v>92000100</v>
      </c>
      <c r="O392" s="104">
        <f>VLOOKUP(Tableau119[[#This Row],[Compte Consignee]],Order!C:D,2,FALSE)</f>
        <v>7</v>
      </c>
      <c r="P392" s="126" t="s">
        <v>62</v>
      </c>
      <c r="Q392" s="366">
        <f>VLOOKUP(Tableau119[[#This Row],[Name ILN]],Plant_AILN!F:G,2,FALSE)</f>
        <v>26037000</v>
      </c>
      <c r="R392" s="81">
        <f>VLOOKUP(Tableau119[[#This Row],[Compte ILN]],'DATA ILN'!D:I,6,FALSE)</f>
        <v>9</v>
      </c>
      <c r="S392" s="81" t="e">
        <f>IFERROR(VLOOKUP(Tableau119[[#This Row],[Key(Compte ILN - shipper - POL - plant)]],'DATA ILN'!A:J,10,FALSE),VLOOKUP(Tableau119[[#This Row],[Key(Compte ILN - shipper - POL)]],'DATA ILN'!B:J,9,FALSE))</f>
        <v>#N/A</v>
      </c>
      <c r="T392" s="81" t="e">
        <f>IFERROR(VLOOKUP(Tableau119[[#This Row],[Key(Compte ILN - shipper - POL - plant)]],'DATA ILN'!A:K,11,FALSE),VLOOKUP(Tableau119[[#This Row],[Key(Compte ILN - shipper - POL)]],'DATA ILN'!B:K,10,FALSE))</f>
        <v>#N/A</v>
      </c>
      <c r="U392" s="81" t="e">
        <f>IFERROR(VLOOKUP(Tableau119[[#This Row],[Key(Compte ILN - shipper - POL - plant)]],'DATA ILN'!A:L,12,FALSE),VLOOKUP(Tableau119[[#This Row],[Key(Compte ILN - shipper - POL)]],'DATA ILN'!B:L,11,FALSE))</f>
        <v>#N/A</v>
      </c>
      <c r="V392" s="81" t="e">
        <f>Tableau119[[#This Row],[Day ILN Order]]+Tableau119[[#This Row],[Delivery time to ILN/Shipper]]-1</f>
        <v>#N/A</v>
      </c>
      <c r="W392" s="81" t="e">
        <f>IFERROR(VLOOKUP(Tableau119[[#This Row],[Key(Compte ILN - shipper - POL - plant)]],'DATA ILN'!A:N,14,FALSE),VLOOKUP(Tableau119[[#This Row],[Key(Compte ILN - shipper - POL)]],'DATA ILN'!B:N,13,FALSE))</f>
        <v>#N/A</v>
      </c>
      <c r="X392" s="81" t="e">
        <f>IFERROR(VLOOKUP(Tableau119[[#This Row],[Key(Compte ILN - shipper - POL - plant)]],'DATA ILN'!A:P,16,FALSE),VLOOKUP(Tableau119[[#This Row],[Key(Compte ILN - shipper - POL)]],'DATA ILN'!B:P,15,FALSE))</f>
        <v>#N/A</v>
      </c>
      <c r="Y392" s="102" t="s">
        <v>62</v>
      </c>
      <c r="Z392" s="417">
        <f>IFERROR(VLOOKUP(Tableau119[[#This Row],[Name Shipper]],Plant_AILN!L:M,2,FALSE),0)</f>
        <v>26037000</v>
      </c>
      <c r="AA392" s="416">
        <v>154</v>
      </c>
      <c r="AB392" s="396" t="b">
        <f>_xlfn.XLOOKUP(Tableau119[[#This Row],[Key(ID-date)]],'DATA BTO'!S:S,'DATA BTO'!E:E,FALSE)</f>
        <v>0</v>
      </c>
      <c r="AC392" s="3" t="b">
        <f>_xlfn.XLOOKUP(Tableau119[[#This Row],[Key(ID-date)]],'DATA BTO'!S:S,'DATA BTO'!F:F,FALSE)</f>
        <v>0</v>
      </c>
      <c r="AD392" s="50" t="b">
        <f>_xlfn.XLOOKUP(Tableau119[[#This Row],[Key(ID-date)]],'DATA BTO'!S:S,'DATA BTO'!G:G,FALSE)</f>
        <v>0</v>
      </c>
      <c r="AE392" s="50" t="b">
        <f>_xlfn.XLOOKUP(Tableau119[[#This Row],[Key(ID-date)]],'DATA BTO'!S:S,'DATA BTO'!H:H,FALSE)</f>
        <v>0</v>
      </c>
      <c r="AF392" s="447" t="e">
        <f>IF(Tableau119[[#This Row],[First Day to POL]]&lt;=Tableau119[[#This Row],[Day Cut Off]],Tableau119[[#This Row],[Day ETD]],Tableau119[[#This Row],[Day ETD]]+7)</f>
        <v>#N/A</v>
      </c>
      <c r="AG392" s="50" t="b">
        <f>_xlfn.XLOOKUP(Tableau119[[#This Row],[Key(ID-date)]],'DATA BTO'!S:S,'DATA BTO'!I:I,FALSE)</f>
        <v>0</v>
      </c>
      <c r="AH392" s="3" t="b">
        <f>_xlfn.XLOOKUP(Tableau119[[#This Row],[Key(ID-date)]],'DATA BTO'!S:S,'DATA BTO'!J:J,FALSE)</f>
        <v>0</v>
      </c>
      <c r="AI392" s="3" t="b">
        <f>_xlfn.XLOOKUP(Tableau119[[#This Row],[Key(ID-date)]],'DATA BTO'!S:S,'DATA BTO'!K:K,FALSE)</f>
        <v>0</v>
      </c>
      <c r="AJ392" s="50" t="b">
        <f>_xlfn.XLOOKUP(Tableau119[[#This Row],[Key(ID-date)]],'DATA BTO'!S:S,'DATA BTO'!L:L,FALSE)</f>
        <v>0</v>
      </c>
      <c r="AK392" s="53" t="b">
        <f>_xlfn.XLOOKUP(Tableau119[[#This Row],[Key(ID-date)]],'DATA BTO'!S:S,'DATA BTO'!N:N,FALSE)</f>
        <v>0</v>
      </c>
      <c r="AL392" s="54" t="e">
        <f>VLOOKUP(Tableau119[[#This Row],[Key(POD -PFI- Usine)]],'DATA Consignee'!A:F,6,FALSE)</f>
        <v>#N/A</v>
      </c>
      <c r="AM392" s="127" t="s">
        <v>171</v>
      </c>
      <c r="AN392" s="375">
        <f>IF(Tableau119[[#This Row],[Name PFI/CDD]]="","-",VLOOKUP(Tableau119[[#This Row],[Name PFI/CDD]],Plant_AILN!I:J,2,FALSE))</f>
        <v>91018400</v>
      </c>
      <c r="AO392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2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2" s="110" t="e">
        <f>VLOOKUP(Tableau119[[#This Row],[Key(POD -PFI- Usine)]],'DATA Consignee'!A:J,10,FALSE)</f>
        <v>#N/A</v>
      </c>
      <c r="AR392" s="81" t="e">
        <f>VLOOKUP(Tableau119[[#This Row],[Key(POD -PFI- Usine)]],'DATA Consignee'!A:N,14,FALSE)</f>
        <v>#N/A</v>
      </c>
      <c r="AS39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2" s="81">
        <f>Tableau119[[#This Row],[Transit time]]+Tableau119[[#This Row],[Time for security]]+Tableau119[[#This Row],[Time for security2 buffer]]</f>
        <v>0</v>
      </c>
      <c r="AV3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2" s="50" t="e">
        <f>Tableau119[[#This Row],[Leadtime SI2C]]+Tableau119[[#This Row],[First Receipt Days]]-Tableau119[[#This Row],[Day Customer Order]]+1</f>
        <v>#N/A</v>
      </c>
      <c r="AX392" s="119" t="e">
        <f>IF(Tableau119[[#This Row],[Name ILN]]&lt;&gt;"SFK Freight Forwarder",Tableau119[[#This Row],[Cust. Leadtime]],Tableau119[[#This Row],[Leadtime SI2C]])</f>
        <v>#N/A</v>
      </c>
      <c r="AY392" s="51" t="b">
        <f>_xlfn.XLOOKUP(Tableau119[[#This Row],[Key(ID-date)]],'DATA BTO'!S:S,'DATA BTO'!P:P,FALSE)</f>
        <v>0</v>
      </c>
      <c r="AZ392" s="388">
        <v>45475</v>
      </c>
      <c r="BA392" s="81"/>
    </row>
    <row r="393" spans="2:53">
      <c r="B393" s="446" t="str">
        <f>_xlfn.CONCAT(Tableau119[[#This Row],[Name ILN]],"-",Tableau119[[#This Row],[Name Shipper]],"-",Tableau119[[#This Row],[Name Site]])</f>
        <v>KWE Shanghai-KWE Shanghai-ACI Le mans</v>
      </c>
      <c r="C393" s="66" t="str">
        <f>_xlfn.CONCAT(Tableau119[[#This Row],[Compte ILN]],"-",Tableau119[[#This Row],[Compte Shipper]],"-",Tableau119[[#This Row],[POL]],"-",Tableau119[[#This Row],[Compte Consignee]])</f>
        <v>26037000-26037000-FALSO-9624700</v>
      </c>
      <c r="D393" s="66" t="str">
        <f>_xlfn.CONCAT(Tableau119[[#This Row],[Compte ILN]],"-",Tableau119[[#This Row],[Compte Shipper]],"-",Tableau119[[#This Row],[POL]])</f>
        <v>26037000-26037000-FALSO</v>
      </c>
      <c r="E393" s="130" t="str">
        <f>_xlfn.CONCAT(Tableau119[[#This Row],[POL]],"-",Tableau119[[#This Row],[Carrier]],"-",Tableau119[[#This Row],[POD]])</f>
        <v>FALSO-FALSO-FALSO</v>
      </c>
      <c r="F393" s="66" t="str">
        <f>_xlfn.CONCAT(Tableau119[[#This Row],[ID]],"-","Actif")</f>
        <v>154-Actif</v>
      </c>
      <c r="G393" s="66" t="str">
        <f>_xlfn.CONCAT(Tableau119[[#This Row],[POD]],"-",Tableau119[[#This Row],[Code PFI]],"-",Tableau119[[#This Row],[Compte Consignee]])</f>
        <v>FALSO-91018400-9624700</v>
      </c>
      <c r="H3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ShanghaiFALSOACI Le mans</v>
      </c>
      <c r="I393" s="434" t="str">
        <f>_xlfn.CONCAT(Tableau119[[#This Row],[ID]],"-",Tableau119[[#This Row],[Expiration Date]])</f>
        <v>154-45475</v>
      </c>
      <c r="J3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mans-KWE Shanghai-KWE Shanghai-154-FALSO-FALSO-FALSO-PFI VLL-45475</v>
      </c>
      <c r="K393" s="119" t="str">
        <f ca="1">IF(COUNTIF(J:J,Tableau119[[#This Row],[Plant-ILN-shipper-POL-Carrier-POD-PFI]])=1,"Non","Oui")</f>
        <v>Non</v>
      </c>
      <c r="L393" s="128" t="str">
        <f>VLOOKUP(Tableau119[[#This Row],[Name Site]],Plant_AILN!A:D,4,FALSE)</f>
        <v>FRANCE</v>
      </c>
      <c r="M393" s="411" t="s">
        <v>218</v>
      </c>
      <c r="N393" s="454">
        <f>VLOOKUP(Tableau119[[#This Row],[Name Site]],Plant_AILN!A:C,3,FALSE)</f>
        <v>9624700</v>
      </c>
      <c r="O393" s="55">
        <f>VLOOKUP(Tableau119[[#This Row],[Compte Consignee]],Order!C:D,2,FALSE)</f>
        <v>7</v>
      </c>
      <c r="P393" s="124" t="s">
        <v>62</v>
      </c>
      <c r="Q393" s="365">
        <f>VLOOKUP(Tableau119[[#This Row],[Name ILN]],Plant_AILN!F:G,2,FALSE)</f>
        <v>26037000</v>
      </c>
      <c r="R393" s="50">
        <f>VLOOKUP(Tableau119[[#This Row],[Compte ILN]],'DATA ILN'!D:I,6,FALSE)</f>
        <v>9</v>
      </c>
      <c r="S393" s="50" t="e">
        <f>IFERROR(VLOOKUP(Tableau119[[#This Row],[Key(Compte ILN - shipper - POL - plant)]],'DATA ILN'!A:J,10,FALSE),VLOOKUP(Tableau119[[#This Row],[Key(Compte ILN - shipper - POL)]],'DATA ILN'!B:J,9,FALSE))</f>
        <v>#N/A</v>
      </c>
      <c r="T393" s="50" t="e">
        <f>IFERROR(VLOOKUP(Tableau119[[#This Row],[Key(Compte ILN - shipper - POL - plant)]],'DATA ILN'!A:K,11,FALSE),VLOOKUP(Tableau119[[#This Row],[Key(Compte ILN - shipper - POL)]],'DATA ILN'!B:K,10,FALSE))</f>
        <v>#N/A</v>
      </c>
      <c r="U393" s="50" t="e">
        <f>IFERROR(VLOOKUP(Tableau119[[#This Row],[Key(Compte ILN - shipper - POL - plant)]],'DATA ILN'!A:L,12,FALSE),VLOOKUP(Tableau119[[#This Row],[Key(Compte ILN - shipper - POL)]],'DATA ILN'!B:L,11,FALSE))</f>
        <v>#N/A</v>
      </c>
      <c r="V393" s="50" t="e">
        <f>Tableau119[[#This Row],[Day ILN Order]]+Tableau119[[#This Row],[Delivery time to ILN/Shipper]]-1</f>
        <v>#N/A</v>
      </c>
      <c r="W393" s="50" t="e">
        <f>IFERROR(VLOOKUP(Tableau119[[#This Row],[Key(Compte ILN - shipper - POL - plant)]],'DATA ILN'!A:N,14,FALSE),VLOOKUP(Tableau119[[#This Row],[Key(Compte ILN - shipper - POL)]],'DATA ILN'!B:N,13,FALSE))</f>
        <v>#N/A</v>
      </c>
      <c r="X393" s="50" t="e">
        <f>IFERROR(VLOOKUP(Tableau119[[#This Row],[Key(Compte ILN - shipper - POL - plant)]],'DATA ILN'!A:P,16,FALSE),VLOOKUP(Tableau119[[#This Row],[Key(Compte ILN - shipper - POL)]],'DATA ILN'!B:P,15,FALSE))</f>
        <v>#N/A</v>
      </c>
      <c r="Y393" s="284" t="s">
        <v>62</v>
      </c>
      <c r="Z393" s="430">
        <f>IFERROR(VLOOKUP(Tableau119[[#This Row],[Name Shipper]],Plant_AILN!L:M,2,FALSE),0)</f>
        <v>26037000</v>
      </c>
      <c r="AA393" s="406">
        <v>154</v>
      </c>
      <c r="AB393" s="396" t="b">
        <f>_xlfn.XLOOKUP(Tableau119[[#This Row],[Key(ID-date)]],'DATA BTO'!S:S,'DATA BTO'!E:E,FALSE)</f>
        <v>0</v>
      </c>
      <c r="AC393" s="3" t="b">
        <f>_xlfn.XLOOKUP(Tableau119[[#This Row],[Key(ID-date)]],'DATA BTO'!S:S,'DATA BTO'!F:F,FALSE)</f>
        <v>0</v>
      </c>
      <c r="AD393" s="50" t="b">
        <f>_xlfn.XLOOKUP(Tableau119[[#This Row],[Key(ID-date)]],'DATA BTO'!S:S,'DATA BTO'!G:G,FALSE)</f>
        <v>0</v>
      </c>
      <c r="AE393" s="50" t="b">
        <f>_xlfn.XLOOKUP(Tableau119[[#This Row],[Key(ID-date)]],'DATA BTO'!S:S,'DATA BTO'!H:H,FALSE)</f>
        <v>0</v>
      </c>
      <c r="AF393" s="447" t="e">
        <f>IF(Tableau119[[#This Row],[First Day to POL]]&lt;=Tableau119[[#This Row],[Day Cut Off]],Tableau119[[#This Row],[Day ETD]],Tableau119[[#This Row],[Day ETD]]+7)</f>
        <v>#N/A</v>
      </c>
      <c r="AG393" s="50" t="b">
        <f>_xlfn.XLOOKUP(Tableau119[[#This Row],[Key(ID-date)]],'DATA BTO'!S:S,'DATA BTO'!I:I,FALSE)</f>
        <v>0</v>
      </c>
      <c r="AH393" s="3" t="b">
        <f>_xlfn.XLOOKUP(Tableau119[[#This Row],[Key(ID-date)]],'DATA BTO'!S:S,'DATA BTO'!J:J,FALSE)</f>
        <v>0</v>
      </c>
      <c r="AI393" s="3" t="b">
        <f>_xlfn.XLOOKUP(Tableau119[[#This Row],[Key(ID-date)]],'DATA BTO'!S:S,'DATA BTO'!K:K,FALSE)</f>
        <v>0</v>
      </c>
      <c r="AJ393" s="50" t="b">
        <f>_xlfn.XLOOKUP(Tableau119[[#This Row],[Key(ID-date)]],'DATA BTO'!S:S,'DATA BTO'!L:L,FALSE)</f>
        <v>0</v>
      </c>
      <c r="AK393" s="53" t="b">
        <f>_xlfn.XLOOKUP(Tableau119[[#This Row],[Key(ID-date)]],'DATA BTO'!S:S,'DATA BTO'!N:N,FALSE)</f>
        <v>0</v>
      </c>
      <c r="AL393" s="54" t="e">
        <f>VLOOKUP(Tableau119[[#This Row],[Key(POD -PFI- Usine)]],'DATA Consignee'!A:F,6,FALSE)</f>
        <v>#N/A</v>
      </c>
      <c r="AM393" s="127" t="s">
        <v>171</v>
      </c>
      <c r="AN393" s="376">
        <f>IF(Tableau119[[#This Row],[Name PFI/CDD]]="","-",VLOOKUP(Tableau119[[#This Row],[Name PFI/CDD]],Plant_AILN!I:J,2,FALSE))</f>
        <v>91018400</v>
      </c>
      <c r="AO39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3" s="2" t="e">
        <f>VLOOKUP(Tableau119[[#This Row],[Key(POD -PFI- Usine)]],'DATA Consignee'!A:J,10,FALSE)</f>
        <v>#N/A</v>
      </c>
      <c r="AR393" s="50" t="e">
        <f>VLOOKUP(Tableau119[[#This Row],[Key(POD -PFI- Usine)]],'DATA Consignee'!A:N,14,FALSE)</f>
        <v>#N/A</v>
      </c>
      <c r="AS3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3" s="50">
        <f>Tableau119[[#This Row],[Transit time]]+Tableau119[[#This Row],[Time for security]]+Tableau119[[#This Row],[Time for security2 buffer]]</f>
        <v>0</v>
      </c>
      <c r="AV3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3" s="50" t="e">
        <f>Tableau119[[#This Row],[Leadtime SI2C]]+Tableau119[[#This Row],[First Receipt Days]]-Tableau119[[#This Row],[Day Customer Order]]+1</f>
        <v>#N/A</v>
      </c>
      <c r="AX393" s="119" t="e">
        <f>IF(Tableau119[[#This Row],[Name ILN]]&lt;&gt;"SFK Freight Forwarder",Tableau119[[#This Row],[Cust. Leadtime]],Tableau119[[#This Row],[Leadtime SI2C]])</f>
        <v>#N/A</v>
      </c>
      <c r="AY393" s="51" t="b">
        <f>_xlfn.XLOOKUP(Tableau119[[#This Row],[Key(ID-date)]],'DATA BTO'!S:S,'DATA BTO'!P:P,FALSE)</f>
        <v>0</v>
      </c>
      <c r="AZ393" s="338">
        <v>45475</v>
      </c>
      <c r="BA393" s="50"/>
    </row>
    <row r="394" spans="2:53">
      <c r="B394" s="66" t="str">
        <f>_xlfn.CONCAT(Tableau119[[#This Row],[Name ILN]],"-",Tableau119[[#This Row],[Name Shipper]],"-",Tableau119[[#This Row],[Name Site]])</f>
        <v>SFK Freight Forwarder-Valeo CN-PALENCIA</v>
      </c>
      <c r="C394" s="66" t="str">
        <f>_xlfn.CONCAT(Tableau119[[#This Row],[Compte ILN]],"-",Tableau119[[#This Row],[Compte Shipper]],"-",Tableau119[[#This Row],[POL]],"-",Tableau119[[#This Row],[Compte Consignee]])</f>
        <v>0-27084300-FALSO-91017200</v>
      </c>
      <c r="D394" s="66" t="str">
        <f>_xlfn.CONCAT(Tableau119[[#This Row],[Compte ILN]],"-",Tableau119[[#This Row],[Compte Shipper]],"-",Tableau119[[#This Row],[POL]])</f>
        <v>0-27084300-FALSO</v>
      </c>
      <c r="E394" s="130" t="str">
        <f>_xlfn.CONCAT(Tableau119[[#This Row],[POL]],"-",Tableau119[[#This Row],[Carrier]],"-",Tableau119[[#This Row],[POD]])</f>
        <v>FALSO-FALSO-FALSO</v>
      </c>
      <c r="F394" s="66" t="str">
        <f>_xlfn.CONCAT(Tableau119[[#This Row],[ID]],"-","Actif")</f>
        <v>155-Actif</v>
      </c>
      <c r="G394" s="66" t="str">
        <f>_xlfn.CONCAT(Tableau119[[#This Row],[POD]],"-",Tableau119[[#This Row],[Code PFI]],"-",Tableau119[[#This Row],[Compte Consignee]])</f>
        <v>FALSO-91018400-91017200</v>
      </c>
      <c r="H3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27084300FALSOPALENCIA</v>
      </c>
      <c r="I394" s="434" t="str">
        <f>_xlfn.CONCAT(Tableau119[[#This Row],[ID]],"-",Tableau119[[#This Row],[Expiration Date]])</f>
        <v>155-46142</v>
      </c>
      <c r="J3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Forwarder-Valeo CN-155-FALSO-FALSO-FALSO-CDD VLL-46142</v>
      </c>
      <c r="K394" s="119" t="str">
        <f ca="1">IF(COUNTIF(J:J,Tableau119[[#This Row],[Plant-ILN-shipper-POL-Carrier-POD-PFI]])=1,"Non","Oui")</f>
        <v>Non</v>
      </c>
      <c r="L394" s="436" t="str">
        <f>VLOOKUP(Tableau119[[#This Row],[Name Site]],Plant_AILN!A:D,4,FALSE)</f>
        <v>SPAIN</v>
      </c>
      <c r="M394" s="483" t="s">
        <v>184</v>
      </c>
      <c r="N394" s="455">
        <f>VLOOKUP(Tableau119[[#This Row],[Name Site]],Plant_AILN!A:C,3,FALSE)</f>
        <v>91017200</v>
      </c>
      <c r="O394" s="104">
        <f>IF(Tableau119[[#This Row],[Name PFI/CDD]]="PFI VLL",2,VLOOKUP(Tableau119[[#This Row],[Compte Consignee]],Order!C:D,2,FALSE))</f>
        <v>7</v>
      </c>
      <c r="P394" s="126" t="s">
        <v>146</v>
      </c>
      <c r="Q394" s="366">
        <f>VLOOKUP(Tableau119[[#This Row],[Name ILN]],Plant_AILN!F:G,2,FALSE)</f>
        <v>0</v>
      </c>
      <c r="R394" s="81">
        <f>VLOOKUP(Tableau119[[#This Row],[Compte ILN]],'DATA ILN'!D:I,6,FALSE)</f>
        <v>9</v>
      </c>
      <c r="S394" s="81" t="e">
        <f>IFERROR(VLOOKUP(Tableau119[[#This Row],[Key(Compte ILN - shipper - POL - plant)]],'DATA ILN'!A:J,10,FALSE),VLOOKUP(Tableau119[[#This Row],[Key(Compte ILN - shipper - POL)]],'DATA ILN'!B:J,9,FALSE))</f>
        <v>#N/A</v>
      </c>
      <c r="T394" s="81" t="e">
        <f>IFERROR(VLOOKUP(Tableau119[[#This Row],[Key(Compte ILN - shipper - POL - plant)]],'DATA ILN'!A:K,11,FALSE),VLOOKUP(Tableau119[[#This Row],[Key(Compte ILN - shipper - POL)]],'DATA ILN'!B:K,10,FALSE))</f>
        <v>#N/A</v>
      </c>
      <c r="U394" s="81" t="e">
        <f>IFERROR(VLOOKUP(Tableau119[[#This Row],[Key(Compte ILN - shipper - POL - plant)]],'DATA ILN'!A:L,12,FALSE),VLOOKUP(Tableau119[[#This Row],[Key(Compte ILN - shipper - POL)]],'DATA ILN'!B:L,11,FALSE))</f>
        <v>#N/A</v>
      </c>
      <c r="V394" s="81" t="e">
        <f>Tableau119[[#This Row],[Day ILN Order]]+Tableau119[[#This Row],[Delivery time to ILN/Shipper]]-1</f>
        <v>#N/A</v>
      </c>
      <c r="W394" s="81" t="e">
        <f>IFERROR(VLOOKUP(Tableau119[[#This Row],[Key(Compte ILN - shipper - POL - plant)]],'DATA ILN'!A:N,14,FALSE),VLOOKUP(Tableau119[[#This Row],[Key(Compte ILN - shipper - POL)]],'DATA ILN'!B:N,13,FALSE))</f>
        <v>#N/A</v>
      </c>
      <c r="X394" s="81" t="e">
        <f>IFERROR(VLOOKUP(Tableau119[[#This Row],[Key(Compte ILN - shipper - POL - plant)]],'DATA ILN'!A:P,16,FALSE),VLOOKUP(Tableau119[[#This Row],[Key(Compte ILN - shipper - POL)]],'DATA ILN'!B:P,15,FALSE))</f>
        <v>#N/A</v>
      </c>
      <c r="Y394" s="102" t="s">
        <v>428</v>
      </c>
      <c r="Z394" s="508">
        <f>IFERROR(VLOOKUP(Tableau119[[#This Row],[Name Shipper]],Plant_AILN!L:M,2,FALSE),0)</f>
        <v>27084300</v>
      </c>
      <c r="AA394" s="416">
        <v>155</v>
      </c>
      <c r="AB394" s="396" t="b">
        <f>_xlfn.XLOOKUP(Tableau119[[#This Row],[Key(ID-date)]],'DATA BTO'!S:S,'DATA BTO'!E:E,FALSE)</f>
        <v>0</v>
      </c>
      <c r="AC394" s="3" t="b">
        <f>_xlfn.XLOOKUP(Tableau119[[#This Row],[Key(ID-date)]],'DATA BTO'!S:S,'DATA BTO'!F:F,FALSE)</f>
        <v>0</v>
      </c>
      <c r="AD394" s="50" t="b">
        <f>_xlfn.XLOOKUP(Tableau119[[#This Row],[Key(ID-date)]],'DATA BTO'!S:S,'DATA BTO'!G:G,FALSE)</f>
        <v>0</v>
      </c>
      <c r="AE394" s="50" t="b">
        <f>_xlfn.XLOOKUP(Tableau119[[#This Row],[Key(ID-date)]],'DATA BTO'!S:S,'DATA BTO'!H:H,FALSE)</f>
        <v>0</v>
      </c>
      <c r="AF394" s="447" t="e">
        <f>IF(Tableau119[[#This Row],[First Day to POL]]&lt;=Tableau119[[#This Row],[Day Cut Off]],Tableau119[[#This Row],[Day ETD]],Tableau119[[#This Row],[Day ETD]]+7)</f>
        <v>#N/A</v>
      </c>
      <c r="AG394" s="50" t="b">
        <f>_xlfn.XLOOKUP(Tableau119[[#This Row],[Key(ID-date)]],'DATA BTO'!S:S,'DATA BTO'!I:I,FALSE)</f>
        <v>0</v>
      </c>
      <c r="AH394" s="3" t="b">
        <f>_xlfn.XLOOKUP(Tableau119[[#This Row],[Key(ID-date)]],'DATA BTO'!S:S,'DATA BTO'!J:J,FALSE)</f>
        <v>0</v>
      </c>
      <c r="AI394" s="3" t="b">
        <f>_xlfn.XLOOKUP(Tableau119[[#This Row],[Key(ID-date)]],'DATA BTO'!S:S,'DATA BTO'!K:K,FALSE)</f>
        <v>0</v>
      </c>
      <c r="AJ394" s="50" t="b">
        <f>_xlfn.XLOOKUP(Tableau119[[#This Row],[Key(ID-date)]],'DATA BTO'!S:S,'DATA BTO'!L:L,FALSE)</f>
        <v>0</v>
      </c>
      <c r="AK394" s="53" t="b">
        <f>_xlfn.XLOOKUP(Tableau119[[#This Row],[Key(ID-date)]],'DATA BTO'!S:S,'DATA BTO'!N:N,FALSE)</f>
        <v>0</v>
      </c>
      <c r="AL394" s="54" t="e">
        <f>VLOOKUP(Tableau119[[#This Row],[Key(POD -PFI- Usine)]],'DATA Consignee'!A:F,6,FALSE)</f>
        <v>#N/A</v>
      </c>
      <c r="AM394" s="127" t="s">
        <v>169</v>
      </c>
      <c r="AN394" s="375">
        <f>IF(Tableau119[[#This Row],[Name PFI/CDD]]="","-",VLOOKUP(Tableau119[[#This Row],[Name PFI/CDD]],Plant_AILN!I:J,2,FALSE))</f>
        <v>91018400</v>
      </c>
      <c r="AO394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4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4" s="110" t="e">
        <f>VLOOKUP(Tableau119[[#This Row],[Key(POD -PFI- Usine)]],'DATA Consignee'!A:J,10,FALSE)</f>
        <v>#N/A</v>
      </c>
      <c r="AR394" s="81" t="e">
        <f>VLOOKUP(Tableau119[[#This Row],[Key(POD -PFI- Usine)]],'DATA Consignee'!A:N,14,FALSE)</f>
        <v>#N/A</v>
      </c>
      <c r="AS39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4" s="81">
        <f>Tableau119[[#This Row],[Transit time]]+Tableau119[[#This Row],[Time for security]]+Tableau119[[#This Row],[Time for security2 buffer]]</f>
        <v>0</v>
      </c>
      <c r="AV3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4" s="50" t="e">
        <f>Tableau119[[#This Row],[Leadtime SI2C]]+Tableau119[[#This Row],[First Receipt Days]]-Tableau119[[#This Row],[Day Customer Order]]+1</f>
        <v>#N/A</v>
      </c>
      <c r="AX394" s="119" t="e">
        <f>IF(Tableau119[[#This Row],[Name ILN]]&lt;&gt;"SFK Freight Forwarder",Tableau119[[#This Row],[Cust. Leadtime]],Tableau119[[#This Row],[Leadtime SI2C]])</f>
        <v>#N/A</v>
      </c>
      <c r="AY394" s="51" t="b">
        <f>_xlfn.XLOOKUP(Tableau119[[#This Row],[Key(ID-date)]],'DATA BTO'!S:S,'DATA BTO'!P:P,FALSE)</f>
        <v>0</v>
      </c>
      <c r="AZ394" s="388">
        <v>46142</v>
      </c>
      <c r="BA394" s="9" t="s">
        <v>761</v>
      </c>
    </row>
    <row r="395" spans="2:53">
      <c r="B395" s="446" t="str">
        <f>_xlfn.CONCAT(Tableau119[[#This Row],[Name ILN]],"-",Tableau119[[#This Row],[Name Shipper]],"-",Tableau119[[#This Row],[Name Site]])</f>
        <v>SFK Freight Forwarder-Valeo CN-VALL MONTAGE</v>
      </c>
      <c r="C395" s="66" t="str">
        <f>_xlfn.CONCAT(Tableau119[[#This Row],[Compte ILN]],"-",Tableau119[[#This Row],[Compte Shipper]],"-",Tableau119[[#This Row],[POL]],"-",Tableau119[[#This Row],[Compte Consignee]])</f>
        <v>0-27084300-FALSO-91017300</v>
      </c>
      <c r="D395" s="66" t="str">
        <f>_xlfn.CONCAT(Tableau119[[#This Row],[Compte ILN]],"-",Tableau119[[#This Row],[Compte Shipper]],"-",Tableau119[[#This Row],[POL]])</f>
        <v>0-27084300-FALSO</v>
      </c>
      <c r="E395" s="130" t="str">
        <f>_xlfn.CONCAT(Tableau119[[#This Row],[POL]],"-",Tableau119[[#This Row],[Carrier]],"-",Tableau119[[#This Row],[POD]])</f>
        <v>FALSO-FALSO-FALSO</v>
      </c>
      <c r="F395" s="66" t="str">
        <f>_xlfn.CONCAT(Tableau119[[#This Row],[ID]],"-","Actif")</f>
        <v>155-Actif</v>
      </c>
      <c r="G395" s="66" t="str">
        <f>_xlfn.CONCAT(Tableau119[[#This Row],[POD]],"-",Tableau119[[#This Row],[Code PFI]],"-",Tableau119[[#This Row],[Compte Consignee]])</f>
        <v>FALSO-91018400-91017300</v>
      </c>
      <c r="H3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27084300FALSOVALL MONTAGE</v>
      </c>
      <c r="I395" s="434" t="str">
        <f>_xlfn.CONCAT(Tableau119[[#This Row],[ID]],"-",Tableau119[[#This Row],[Expiration Date]])</f>
        <v>155-46142</v>
      </c>
      <c r="J3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Forwarder-Valeo CN-155-FALSO-FALSO-FALSO-CDD VLL-46142</v>
      </c>
      <c r="K395" s="119" t="str">
        <f ca="1">IF(COUNTIF(J:J,Tableau119[[#This Row],[Plant-ILN-shipper-POL-Carrier-POD-PFI]])=1,"Non","Oui")</f>
        <v>Non</v>
      </c>
      <c r="L395" s="128" t="str">
        <f>VLOOKUP(Tableau119[[#This Row],[Name Site]],Plant_AILN!A:D,4,FALSE)</f>
        <v>SPAIN</v>
      </c>
      <c r="M395" s="411" t="s">
        <v>175</v>
      </c>
      <c r="N395" s="454">
        <f>VLOOKUP(Tableau119[[#This Row],[Name Site]],Plant_AILN!A:C,3,FALSE)</f>
        <v>91017300</v>
      </c>
      <c r="O395" s="55">
        <f>IF(Tableau119[[#This Row],[Name PFI/CDD]]="PFI VLL",2,VLOOKUP(Tableau119[[#This Row],[Compte Consignee]],Order!C:D,2,FALSE))</f>
        <v>7</v>
      </c>
      <c r="P395" s="124" t="s">
        <v>146</v>
      </c>
      <c r="Q395" s="365">
        <f>VLOOKUP(Tableau119[[#This Row],[Name ILN]],Plant_AILN!F:G,2,FALSE)</f>
        <v>0</v>
      </c>
      <c r="R395" s="50">
        <f>VLOOKUP(Tableau119[[#This Row],[Compte ILN]],'DATA ILN'!D:I,6,FALSE)</f>
        <v>9</v>
      </c>
      <c r="S395" s="50" t="e">
        <f>IFERROR(VLOOKUP(Tableau119[[#This Row],[Key(Compte ILN - shipper - POL - plant)]],'DATA ILN'!A:J,10,FALSE),VLOOKUP(Tableau119[[#This Row],[Key(Compte ILN - shipper - POL)]],'DATA ILN'!B:J,9,FALSE))</f>
        <v>#N/A</v>
      </c>
      <c r="T395" s="50" t="e">
        <f>IFERROR(VLOOKUP(Tableau119[[#This Row],[Key(Compte ILN - shipper - POL - plant)]],'DATA ILN'!A:K,11,FALSE),VLOOKUP(Tableau119[[#This Row],[Key(Compte ILN - shipper - POL)]],'DATA ILN'!B:K,10,FALSE))</f>
        <v>#N/A</v>
      </c>
      <c r="U395" s="50" t="e">
        <f>IFERROR(VLOOKUP(Tableau119[[#This Row],[Key(Compte ILN - shipper - POL - plant)]],'DATA ILN'!A:L,12,FALSE),VLOOKUP(Tableau119[[#This Row],[Key(Compte ILN - shipper - POL)]],'DATA ILN'!B:L,11,FALSE))</f>
        <v>#N/A</v>
      </c>
      <c r="V395" s="50" t="e">
        <f>Tableau119[[#This Row],[Day ILN Order]]+Tableau119[[#This Row],[Delivery time to ILN/Shipper]]-1</f>
        <v>#N/A</v>
      </c>
      <c r="W395" s="50" t="e">
        <f>IFERROR(VLOOKUP(Tableau119[[#This Row],[Key(Compte ILN - shipper - POL - plant)]],'DATA ILN'!A:N,14,FALSE),VLOOKUP(Tableau119[[#This Row],[Key(Compte ILN - shipper - POL)]],'DATA ILN'!B:N,13,FALSE))</f>
        <v>#N/A</v>
      </c>
      <c r="X395" s="50" t="e">
        <f>IFERROR(VLOOKUP(Tableau119[[#This Row],[Key(Compte ILN - shipper - POL - plant)]],'DATA ILN'!A:P,16,FALSE),VLOOKUP(Tableau119[[#This Row],[Key(Compte ILN - shipper - POL)]],'DATA ILN'!B:P,15,FALSE))</f>
        <v>#N/A</v>
      </c>
      <c r="Y395" s="284" t="s">
        <v>428</v>
      </c>
      <c r="Z395" s="430">
        <f>IFERROR(VLOOKUP(Tableau119[[#This Row],[Name Shipper]],Plant_AILN!L:M,2,FALSE),0)</f>
        <v>27084300</v>
      </c>
      <c r="AA395" s="406">
        <v>155</v>
      </c>
      <c r="AB395" s="396" t="b">
        <f>_xlfn.XLOOKUP(Tableau119[[#This Row],[Key(ID-date)]],'DATA BTO'!S:S,'DATA BTO'!E:E,FALSE)</f>
        <v>0</v>
      </c>
      <c r="AC395" s="3" t="b">
        <f>_xlfn.XLOOKUP(Tableau119[[#This Row],[Key(ID-date)]],'DATA BTO'!S:S,'DATA BTO'!F:F,FALSE)</f>
        <v>0</v>
      </c>
      <c r="AD395" s="50" t="b">
        <f>_xlfn.XLOOKUP(Tableau119[[#This Row],[Key(ID-date)]],'DATA BTO'!S:S,'DATA BTO'!G:G,FALSE)</f>
        <v>0</v>
      </c>
      <c r="AE395" s="50" t="b">
        <f>_xlfn.XLOOKUP(Tableau119[[#This Row],[Key(ID-date)]],'DATA BTO'!S:S,'DATA BTO'!H:H,FALSE)</f>
        <v>0</v>
      </c>
      <c r="AF395" s="447" t="e">
        <f>IF(Tableau119[[#This Row],[First Day to POL]]&lt;=Tableau119[[#This Row],[Day Cut Off]],Tableau119[[#This Row],[Day ETD]],Tableau119[[#This Row],[Day ETD]]+7)</f>
        <v>#N/A</v>
      </c>
      <c r="AG395" s="50" t="b">
        <f>_xlfn.XLOOKUP(Tableau119[[#This Row],[Key(ID-date)]],'DATA BTO'!S:S,'DATA BTO'!I:I,FALSE)</f>
        <v>0</v>
      </c>
      <c r="AH395" s="3" t="b">
        <f>_xlfn.XLOOKUP(Tableau119[[#This Row],[Key(ID-date)]],'DATA BTO'!S:S,'DATA BTO'!J:J,FALSE)</f>
        <v>0</v>
      </c>
      <c r="AI395" s="3" t="b">
        <f>_xlfn.XLOOKUP(Tableau119[[#This Row],[Key(ID-date)]],'DATA BTO'!S:S,'DATA BTO'!K:K,FALSE)</f>
        <v>0</v>
      </c>
      <c r="AJ395" s="50" t="b">
        <f>_xlfn.XLOOKUP(Tableau119[[#This Row],[Key(ID-date)]],'DATA BTO'!S:S,'DATA BTO'!L:L,FALSE)</f>
        <v>0</v>
      </c>
      <c r="AK395" s="53" t="b">
        <f>_xlfn.XLOOKUP(Tableau119[[#This Row],[Key(ID-date)]],'DATA BTO'!S:S,'DATA BTO'!N:N,FALSE)</f>
        <v>0</v>
      </c>
      <c r="AL395" s="54" t="e">
        <f>VLOOKUP(Tableau119[[#This Row],[Key(POD -PFI- Usine)]],'DATA Consignee'!A:F,6,FALSE)</f>
        <v>#N/A</v>
      </c>
      <c r="AM395" s="284" t="s">
        <v>169</v>
      </c>
      <c r="AN395" s="376">
        <f>IF(Tableau119[[#This Row],[Name PFI/CDD]]="","-",VLOOKUP(Tableau119[[#This Row],[Name PFI/CDD]],Plant_AILN!I:J,2,FALSE))</f>
        <v>91018400</v>
      </c>
      <c r="AO39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39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395" s="2" t="e">
        <f>VLOOKUP(Tableau119[[#This Row],[Key(POD -PFI- Usine)]],'DATA Consignee'!A:J,10,FALSE)</f>
        <v>#N/A</v>
      </c>
      <c r="AR395" s="50" t="e">
        <f>VLOOKUP(Tableau119[[#This Row],[Key(POD -PFI- Usine)]],'DATA Consignee'!A:N,14,FALSE)</f>
        <v>#N/A</v>
      </c>
      <c r="AS39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5" s="50">
        <f>Tableau119[[#This Row],[Transit time]]+Tableau119[[#This Row],[Time for security]]+Tableau119[[#This Row],[Time for security2 buffer]]</f>
        <v>0</v>
      </c>
      <c r="AV3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5" s="50" t="e">
        <f>Tableau119[[#This Row],[Leadtime SI2C]]+Tableau119[[#This Row],[First Receipt Days]]-Tableau119[[#This Row],[Day Customer Order]]+1</f>
        <v>#N/A</v>
      </c>
      <c r="AX395" s="119" t="e">
        <f>IF(Tableau119[[#This Row],[Name ILN]]&lt;&gt;"SFK Freight Forwarder",Tableau119[[#This Row],[Cust. Leadtime]],Tableau119[[#This Row],[Leadtime SI2C]])</f>
        <v>#N/A</v>
      </c>
      <c r="AY395" s="51" t="b">
        <f>_xlfn.XLOOKUP(Tableau119[[#This Row],[Key(ID-date)]],'DATA BTO'!S:S,'DATA BTO'!P:P,FALSE)</f>
        <v>0</v>
      </c>
      <c r="AZ395" s="338">
        <v>46142</v>
      </c>
      <c r="BA395" s="50"/>
    </row>
    <row r="396" spans="2:53">
      <c r="B396" s="446" t="str">
        <f>_xlfn.CONCAT(Tableau119[[#This Row],[Name ILN]],"-",Tableau119[[#This Row],[Name Shipper]],"-",Tableau119[[#This Row],[Name Site]])</f>
        <v>SFK Freight Forwarder-Valeo CN-PALENCIA</v>
      </c>
      <c r="C396" s="66" t="str">
        <f>_xlfn.CONCAT(Tableau119[[#This Row],[Compte ILN]],"-",Tableau119[[#This Row],[Compte Shipper]],"-",Tableau119[[#This Row],[POL]],"-",Tableau119[[#This Row],[Compte Consignee]])</f>
        <v>0-27084300-FALSO-91017200</v>
      </c>
      <c r="D396" s="66" t="str">
        <f>_xlfn.CONCAT(Tableau119[[#This Row],[Compte ILN]],"-",Tableau119[[#This Row],[Compte Shipper]],"-",Tableau119[[#This Row],[POL]])</f>
        <v>0-27084300-FALSO</v>
      </c>
      <c r="E396" s="130" t="str">
        <f>_xlfn.CONCAT(Tableau119[[#This Row],[POL]],"-",Tableau119[[#This Row],[Carrier]],"-",Tableau119[[#This Row],[POD]])</f>
        <v>FALSO-FALSO-FALSO</v>
      </c>
      <c r="F396" s="66" t="str">
        <f>_xlfn.CONCAT(Tableau119[[#This Row],[ID]],"-","Actif")</f>
        <v>155-Actif</v>
      </c>
      <c r="G396" s="66" t="str">
        <f>_xlfn.CONCAT(Tableau119[[#This Row],[POD]],"-",Tableau119[[#This Row],[Code PFI]],"-",Tableau119[[#This Row],[Compte Consignee]])</f>
        <v>FALSO---91017200</v>
      </c>
      <c r="H3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27084300FALSOPALENCIA</v>
      </c>
      <c r="I396" s="434" t="str">
        <f>_xlfn.CONCAT(Tableau119[[#This Row],[ID]],"-",Tableau119[[#This Row],[Expiration Date]])</f>
        <v>155-46022</v>
      </c>
      <c r="J3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Forwarder-Valeo CN-155-FALSO-FALSO-FALSO--46022</v>
      </c>
      <c r="K396" s="119" t="str">
        <f ca="1">IF(COUNTIF(J:J,Tableau119[[#This Row],[Plant-ILN-shipper-POL-Carrier-POD-PFI]])=1,"Non","Oui")</f>
        <v>Non</v>
      </c>
      <c r="L396" s="128" t="str">
        <f>VLOOKUP(Tableau119[[#This Row],[Name Site]],Plant_AILN!A:D,4,FALSE)</f>
        <v>SPAIN</v>
      </c>
      <c r="M396" s="411" t="s">
        <v>184</v>
      </c>
      <c r="N396" s="454">
        <f>VLOOKUP(Tableau119[[#This Row],[Name Site]],Plant_AILN!A:C,3,FALSE)</f>
        <v>91017200</v>
      </c>
      <c r="O396" s="55">
        <f>VLOOKUP(Tableau119[[#This Row],[Compte Consignee]],Order!C:D,2,FALSE)</f>
        <v>7</v>
      </c>
      <c r="P396" s="124" t="s">
        <v>146</v>
      </c>
      <c r="Q396" s="365">
        <f>VLOOKUP(Tableau119[[#This Row],[Name ILN]],Plant_AILN!F:G,2,FALSE)</f>
        <v>0</v>
      </c>
      <c r="R396" s="50">
        <f>VLOOKUP(Tableau119[[#This Row],[Compte ILN]],'DATA ILN'!D:I,6,FALSE)</f>
        <v>9</v>
      </c>
      <c r="S396" s="50" t="e">
        <f>IFERROR(VLOOKUP(Tableau119[[#This Row],[Key(Compte ILN - shipper - POL - plant)]],'DATA ILN'!A:J,10,FALSE),VLOOKUP(Tableau119[[#This Row],[Key(Compte ILN - shipper - POL)]],'DATA ILN'!B:J,9,FALSE))</f>
        <v>#N/A</v>
      </c>
      <c r="T396" s="50" t="e">
        <f>IFERROR(VLOOKUP(Tableau119[[#This Row],[Key(Compte ILN - shipper - POL - plant)]],'DATA ILN'!A:K,11,FALSE),VLOOKUP(Tableau119[[#This Row],[Key(Compte ILN - shipper - POL)]],'DATA ILN'!B:K,10,FALSE))</f>
        <v>#N/A</v>
      </c>
      <c r="U396" s="50" t="e">
        <f>IFERROR(VLOOKUP(Tableau119[[#This Row],[Key(Compte ILN - shipper - POL - plant)]],'DATA ILN'!A:L,12,FALSE),VLOOKUP(Tableau119[[#This Row],[Key(Compte ILN - shipper - POL)]],'DATA ILN'!B:L,11,FALSE))</f>
        <v>#N/A</v>
      </c>
      <c r="V396" s="50" t="e">
        <f>Tableau119[[#This Row],[Day ILN Order]]+Tableau119[[#This Row],[Delivery time to ILN/Shipper]]-1</f>
        <v>#N/A</v>
      </c>
      <c r="W396" s="50" t="e">
        <f>IFERROR(VLOOKUP(Tableau119[[#This Row],[Key(Compte ILN - shipper - POL - plant)]],'DATA ILN'!A:N,14,FALSE),VLOOKUP(Tableau119[[#This Row],[Key(Compte ILN - shipper - POL)]],'DATA ILN'!B:N,13,FALSE))</f>
        <v>#N/A</v>
      </c>
      <c r="X396" s="50" t="e">
        <f>IFERROR(VLOOKUP(Tableau119[[#This Row],[Key(Compte ILN - shipper - POL - plant)]],'DATA ILN'!A:P,16,FALSE),VLOOKUP(Tableau119[[#This Row],[Key(Compte ILN - shipper - POL)]],'DATA ILN'!B:P,15,FALSE))</f>
        <v>#N/A</v>
      </c>
      <c r="Y396" s="284" t="s">
        <v>428</v>
      </c>
      <c r="Z396" s="430">
        <f>IFERROR(VLOOKUP(Tableau119[[#This Row],[Name Shipper]],Plant_AILN!L:M,2,FALSE),0)</f>
        <v>27084300</v>
      </c>
      <c r="AA396" s="406">
        <v>155</v>
      </c>
      <c r="AB396" s="396" t="b">
        <f>_xlfn.XLOOKUP(Tableau119[[#This Row],[Key(ID-date)]],'DATA BTO'!S:S,'DATA BTO'!E:E,FALSE)</f>
        <v>0</v>
      </c>
      <c r="AC396" s="3" t="b">
        <f>_xlfn.XLOOKUP(Tableau119[[#This Row],[Key(ID-date)]],'DATA BTO'!S:S,'DATA BTO'!F:F,FALSE)</f>
        <v>0</v>
      </c>
      <c r="AD396" s="50" t="b">
        <f>_xlfn.XLOOKUP(Tableau119[[#This Row],[Key(ID-date)]],'DATA BTO'!S:S,'DATA BTO'!G:G,FALSE)</f>
        <v>0</v>
      </c>
      <c r="AE396" s="50" t="b">
        <f>_xlfn.XLOOKUP(Tableau119[[#This Row],[Key(ID-date)]],'DATA BTO'!S:S,'DATA BTO'!H:H,FALSE)</f>
        <v>0</v>
      </c>
      <c r="AF396" s="447" t="e">
        <f>IF(Tableau119[[#This Row],[First Day to POL]]&lt;=Tableau119[[#This Row],[Day Cut Off]],Tableau119[[#This Row],[Day ETD]],Tableau119[[#This Row],[Day ETD]]+7)</f>
        <v>#N/A</v>
      </c>
      <c r="AG396" s="50" t="b">
        <f>_xlfn.XLOOKUP(Tableau119[[#This Row],[Key(ID-date)]],'DATA BTO'!S:S,'DATA BTO'!I:I,FALSE)</f>
        <v>0</v>
      </c>
      <c r="AH396" s="3" t="b">
        <f>_xlfn.XLOOKUP(Tableau119[[#This Row],[Key(ID-date)]],'DATA BTO'!S:S,'DATA BTO'!J:J,FALSE)</f>
        <v>0</v>
      </c>
      <c r="AI396" s="3" t="b">
        <f>_xlfn.XLOOKUP(Tableau119[[#This Row],[Key(ID-date)]],'DATA BTO'!S:S,'DATA BTO'!K:K,FALSE)</f>
        <v>0</v>
      </c>
      <c r="AJ396" s="50" t="b">
        <f>_xlfn.XLOOKUP(Tableau119[[#This Row],[Key(ID-date)]],'DATA BTO'!S:S,'DATA BTO'!L:L,FALSE)</f>
        <v>0</v>
      </c>
      <c r="AK396" s="53" t="b">
        <f>_xlfn.XLOOKUP(Tableau119[[#This Row],[Key(ID-date)]],'DATA BTO'!S:S,'DATA BTO'!N:N,FALSE)</f>
        <v>0</v>
      </c>
      <c r="AL396" s="54" t="e">
        <f>VLOOKUP(Tableau119[[#This Row],[Key(POD -PFI- Usine)]],'DATA Consignee'!A:F,6,FALSE)</f>
        <v>#N/A</v>
      </c>
      <c r="AM396" s="284"/>
      <c r="AN396" s="376" t="str">
        <f>IF(Tableau119[[#This Row],[Name PFI/CDD]]="","-",VLOOKUP(Tableau119[[#This Row],[Name PFI/CDD]],Plant_AILN!I:J,2,FALSE))</f>
        <v>-</v>
      </c>
      <c r="AO3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96" s="2" t="e">
        <f>VLOOKUP(Tableau119[[#This Row],[Key(POD -PFI- Usine)]],'DATA Consignee'!A:J,10,FALSE)</f>
        <v>#N/A</v>
      </c>
      <c r="AR396" s="50" t="e">
        <f>VLOOKUP(Tableau119[[#This Row],[Key(POD -PFI- Usine)]],'DATA Consignee'!A:N,14,FALSE)</f>
        <v>#N/A</v>
      </c>
      <c r="AS39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6" s="50">
        <f>Tableau119[[#This Row],[Transit time]]+Tableau119[[#This Row],[Time for security]]+Tableau119[[#This Row],[Time for security2 buffer]]</f>
        <v>0</v>
      </c>
      <c r="AV3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6" s="50" t="e">
        <f>Tableau119[[#This Row],[Leadtime SI2C]]+Tableau119[[#This Row],[First Receipt Days]]-Tableau119[[#This Row],[Day Customer Order]]+1</f>
        <v>#N/A</v>
      </c>
      <c r="AX396" s="119" t="e">
        <f>IF(Tableau119[[#This Row],[Name ILN]]&lt;&gt;"SFK Freight Forwarder",Tableau119[[#This Row],[Cust. Leadtime]],Tableau119[[#This Row],[Leadtime SI2C]])</f>
        <v>#N/A</v>
      </c>
      <c r="AY396" s="51" t="b">
        <f>_xlfn.XLOOKUP(Tableau119[[#This Row],[Key(ID-date)]],'DATA BTO'!S:S,'DATA BTO'!P:P,FALSE)</f>
        <v>0</v>
      </c>
      <c r="AZ396" s="338">
        <v>46022</v>
      </c>
      <c r="BA396" s="50"/>
    </row>
    <row r="397" spans="2:53">
      <c r="B397" s="446" t="str">
        <f>_xlfn.CONCAT(Tableau119[[#This Row],[Name ILN]],"-",Tableau119[[#This Row],[Name Shipper]],"-",Tableau119[[#This Row],[Name Site]])</f>
        <v>SFK Freight Forwarder-Valeo CN-VALL MONTAGE</v>
      </c>
      <c r="C397" s="66" t="str">
        <f>_xlfn.CONCAT(Tableau119[[#This Row],[Compte ILN]],"-",Tableau119[[#This Row],[Compte Shipper]],"-",Tableau119[[#This Row],[POL]],"-",Tableau119[[#This Row],[Compte Consignee]])</f>
        <v>0-27084300-FALSO-91017300</v>
      </c>
      <c r="D397" s="66" t="str">
        <f>_xlfn.CONCAT(Tableau119[[#This Row],[Compte ILN]],"-",Tableau119[[#This Row],[Compte Shipper]],"-",Tableau119[[#This Row],[POL]])</f>
        <v>0-27084300-FALSO</v>
      </c>
      <c r="E397" s="130" t="str">
        <f>_xlfn.CONCAT(Tableau119[[#This Row],[POL]],"-",Tableau119[[#This Row],[Carrier]],"-",Tableau119[[#This Row],[POD]])</f>
        <v>FALSO-FALSO-FALSO</v>
      </c>
      <c r="F397" s="66" t="str">
        <f>_xlfn.CONCAT(Tableau119[[#This Row],[ID]],"-","Actif")</f>
        <v>155-Actif</v>
      </c>
      <c r="G397" s="66" t="str">
        <f>_xlfn.CONCAT(Tableau119[[#This Row],[POD]],"-",Tableau119[[#This Row],[Code PFI]],"-",Tableau119[[#This Row],[Compte Consignee]])</f>
        <v>FALSO---91017300</v>
      </c>
      <c r="H3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27084300FALSOVALL MONTAGE</v>
      </c>
      <c r="I397" s="434" t="str">
        <f>_xlfn.CONCAT(Tableau119[[#This Row],[ID]],"-",Tableau119[[#This Row],[Expiration Date]])</f>
        <v>155-46022</v>
      </c>
      <c r="J3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Forwarder-Valeo CN-155-FALSO-FALSO-FALSO--46022</v>
      </c>
      <c r="K397" s="119" t="str">
        <f ca="1">IF(COUNTIF(J:J,Tableau119[[#This Row],[Plant-ILN-shipper-POL-Carrier-POD-PFI]])=1,"Non","Oui")</f>
        <v>Non</v>
      </c>
      <c r="L397" s="128" t="str">
        <f>VLOOKUP(Tableau119[[#This Row],[Name Site]],Plant_AILN!A:D,4,FALSE)</f>
        <v>SPAIN</v>
      </c>
      <c r="M397" s="415" t="s">
        <v>175</v>
      </c>
      <c r="N397" s="455">
        <f>VLOOKUP(Tableau119[[#This Row],[Name Site]],Plant_AILN!A:C,3,FALSE)</f>
        <v>91017300</v>
      </c>
      <c r="O397" s="104">
        <f>VLOOKUP(Tableau119[[#This Row],[Compte Consignee]],Order!C:D,2,FALSE)</f>
        <v>7</v>
      </c>
      <c r="P397" s="126" t="s">
        <v>146</v>
      </c>
      <c r="Q397" s="366">
        <f>VLOOKUP(Tableau119[[#This Row],[Name ILN]],Plant_AILN!F:G,2,FALSE)</f>
        <v>0</v>
      </c>
      <c r="R397" s="81">
        <f>VLOOKUP(Tableau119[[#This Row],[Compte ILN]],'DATA ILN'!D:I,6,FALSE)</f>
        <v>9</v>
      </c>
      <c r="S397" s="81" t="e">
        <f>IFERROR(VLOOKUP(Tableau119[[#This Row],[Key(Compte ILN - shipper - POL - plant)]],'DATA ILN'!A:J,10,FALSE),VLOOKUP(Tableau119[[#This Row],[Key(Compte ILN - shipper - POL)]],'DATA ILN'!B:J,9,FALSE))</f>
        <v>#N/A</v>
      </c>
      <c r="T397" s="81" t="e">
        <f>IFERROR(VLOOKUP(Tableau119[[#This Row],[Key(Compte ILN - shipper - POL - plant)]],'DATA ILN'!A:K,11,FALSE),VLOOKUP(Tableau119[[#This Row],[Key(Compte ILN - shipper - POL)]],'DATA ILN'!B:K,10,FALSE))</f>
        <v>#N/A</v>
      </c>
      <c r="U397" s="81" t="e">
        <f>IFERROR(VLOOKUP(Tableau119[[#This Row],[Key(Compte ILN - shipper - POL - plant)]],'DATA ILN'!A:L,12,FALSE),VLOOKUP(Tableau119[[#This Row],[Key(Compte ILN - shipper - POL)]],'DATA ILN'!B:L,11,FALSE))</f>
        <v>#N/A</v>
      </c>
      <c r="V397" s="81" t="e">
        <f>Tableau119[[#This Row],[Day ILN Order]]+Tableau119[[#This Row],[Delivery time to ILN/Shipper]]-1</f>
        <v>#N/A</v>
      </c>
      <c r="W397" s="81" t="e">
        <f>IFERROR(VLOOKUP(Tableau119[[#This Row],[Key(Compte ILN - shipper - POL - plant)]],'DATA ILN'!A:N,14,FALSE),VLOOKUP(Tableau119[[#This Row],[Key(Compte ILN - shipper - POL)]],'DATA ILN'!B:N,13,FALSE))</f>
        <v>#N/A</v>
      </c>
      <c r="X397" s="81" t="e">
        <f>IFERROR(VLOOKUP(Tableau119[[#This Row],[Key(Compte ILN - shipper - POL - plant)]],'DATA ILN'!A:P,16,FALSE),VLOOKUP(Tableau119[[#This Row],[Key(Compte ILN - shipper - POL)]],'DATA ILN'!B:P,15,FALSE))</f>
        <v>#N/A</v>
      </c>
      <c r="Y397" s="102" t="s">
        <v>428</v>
      </c>
      <c r="Z397" s="417">
        <f>IFERROR(VLOOKUP(Tableau119[[#This Row],[Name Shipper]],Plant_AILN!L:M,2,FALSE),0)</f>
        <v>27084300</v>
      </c>
      <c r="AA397" s="416">
        <v>155</v>
      </c>
      <c r="AB397" s="396" t="b">
        <f>_xlfn.XLOOKUP(Tableau119[[#This Row],[Key(ID-date)]],'DATA BTO'!S:S,'DATA BTO'!E:E,FALSE)</f>
        <v>0</v>
      </c>
      <c r="AC397" s="3" t="b">
        <f>_xlfn.XLOOKUP(Tableau119[[#This Row],[Key(ID-date)]],'DATA BTO'!S:S,'DATA BTO'!F:F,FALSE)</f>
        <v>0</v>
      </c>
      <c r="AD397" s="50" t="b">
        <f>_xlfn.XLOOKUP(Tableau119[[#This Row],[Key(ID-date)]],'DATA BTO'!S:S,'DATA BTO'!G:G,FALSE)</f>
        <v>0</v>
      </c>
      <c r="AE397" s="50" t="b">
        <f>_xlfn.XLOOKUP(Tableau119[[#This Row],[Key(ID-date)]],'DATA BTO'!S:S,'DATA BTO'!H:H,FALSE)</f>
        <v>0</v>
      </c>
      <c r="AF397" s="447" t="e">
        <f>IF(Tableau119[[#This Row],[First Day to POL]]&lt;=Tableau119[[#This Row],[Day Cut Off]],Tableau119[[#This Row],[Day ETD]],Tableau119[[#This Row],[Day ETD]]+7)</f>
        <v>#N/A</v>
      </c>
      <c r="AG397" s="50" t="b">
        <f>_xlfn.XLOOKUP(Tableau119[[#This Row],[Key(ID-date)]],'DATA BTO'!S:S,'DATA BTO'!I:I,FALSE)</f>
        <v>0</v>
      </c>
      <c r="AH397" s="3" t="b">
        <f>_xlfn.XLOOKUP(Tableau119[[#This Row],[Key(ID-date)]],'DATA BTO'!S:S,'DATA BTO'!J:J,FALSE)</f>
        <v>0</v>
      </c>
      <c r="AI397" s="3" t="b">
        <f>_xlfn.XLOOKUP(Tableau119[[#This Row],[Key(ID-date)]],'DATA BTO'!S:S,'DATA BTO'!K:K,FALSE)</f>
        <v>0</v>
      </c>
      <c r="AJ397" s="50" t="b">
        <f>_xlfn.XLOOKUP(Tableau119[[#This Row],[Key(ID-date)]],'DATA BTO'!S:S,'DATA BTO'!L:L,FALSE)</f>
        <v>0</v>
      </c>
      <c r="AK397" s="53" t="b">
        <f>_xlfn.XLOOKUP(Tableau119[[#This Row],[Key(ID-date)]],'DATA BTO'!S:S,'DATA BTO'!N:N,FALSE)</f>
        <v>0</v>
      </c>
      <c r="AL397" s="54" t="e">
        <f>VLOOKUP(Tableau119[[#This Row],[Key(POD -PFI- Usine)]],'DATA Consignee'!A:F,6,FALSE)</f>
        <v>#N/A</v>
      </c>
      <c r="AM397" s="102"/>
      <c r="AN397" s="375" t="str">
        <f>IF(Tableau119[[#This Row],[Name PFI/CDD]]="","-",VLOOKUP(Tableau119[[#This Row],[Name PFI/CDD]],Plant_AILN!I:J,2,FALSE))</f>
        <v>-</v>
      </c>
      <c r="AO39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9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97" s="110" t="e">
        <f>VLOOKUP(Tableau119[[#This Row],[Key(POD -PFI- Usine)]],'DATA Consignee'!A:J,10,FALSE)</f>
        <v>#N/A</v>
      </c>
      <c r="AR397" s="81" t="e">
        <f>VLOOKUP(Tableau119[[#This Row],[Key(POD -PFI- Usine)]],'DATA Consignee'!A:N,14,FALSE)</f>
        <v>#N/A</v>
      </c>
      <c r="AS39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7" s="81">
        <f>Tableau119[[#This Row],[Transit time]]+Tableau119[[#This Row],[Time for security]]+Tableau119[[#This Row],[Time for security2 buffer]]</f>
        <v>0</v>
      </c>
      <c r="AV3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7" s="50" t="e">
        <f>Tableau119[[#This Row],[Leadtime SI2C]]+Tableau119[[#This Row],[First Receipt Days]]-Tableau119[[#This Row],[Day Customer Order]]+1</f>
        <v>#N/A</v>
      </c>
      <c r="AX397" s="119" t="e">
        <f>IF(Tableau119[[#This Row],[Name ILN]]&lt;&gt;"SFK Freight Forwarder",Tableau119[[#This Row],[Cust. Leadtime]],Tableau119[[#This Row],[Leadtime SI2C]])</f>
        <v>#N/A</v>
      </c>
      <c r="AY397" s="51" t="b">
        <f>_xlfn.XLOOKUP(Tableau119[[#This Row],[Key(ID-date)]],'DATA BTO'!S:S,'DATA BTO'!P:P,FALSE)</f>
        <v>0</v>
      </c>
      <c r="AZ397" s="388">
        <v>46022</v>
      </c>
      <c r="BA397" s="81"/>
    </row>
    <row r="398" spans="2:53">
      <c r="B398" s="446" t="str">
        <f>_xlfn.CONCAT(Tableau119[[#This Row],[Name ILN]],"-",Tableau119[[#This Row],[Name Shipper]],"-",Tableau119[[#This Row],[Name Site]])</f>
        <v>SFK Freight Forwarder-Valeo CN-PALENCIA</v>
      </c>
      <c r="C398" s="66" t="str">
        <f>_xlfn.CONCAT(Tableau119[[#This Row],[Compte ILN]],"-",Tableau119[[#This Row],[Compte Shipper]],"-",Tableau119[[#This Row],[POL]],"-",Tableau119[[#This Row],[Compte Consignee]])</f>
        <v>0-27084300-FALSO-91017200</v>
      </c>
      <c r="D398" s="66" t="str">
        <f>_xlfn.CONCAT(Tableau119[[#This Row],[Compte ILN]],"-",Tableau119[[#This Row],[Compte Shipper]],"-",Tableau119[[#This Row],[POL]])</f>
        <v>0-27084300-FALSO</v>
      </c>
      <c r="E398" s="130" t="str">
        <f>_xlfn.CONCAT(Tableau119[[#This Row],[POL]],"-",Tableau119[[#This Row],[Carrier]],"-",Tableau119[[#This Row],[POD]])</f>
        <v>FALSO-FALSO-FALSO</v>
      </c>
      <c r="F398" s="66" t="str">
        <f>_xlfn.CONCAT(Tableau119[[#This Row],[ID]],"-","Actif")</f>
        <v>155-Actif</v>
      </c>
      <c r="G398" s="66" t="str">
        <f>_xlfn.CONCAT(Tableau119[[#This Row],[POD]],"-",Tableau119[[#This Row],[Code PFI]],"-",Tableau119[[#This Row],[Compte Consignee]])</f>
        <v>FALSO---91017200</v>
      </c>
      <c r="H3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27084300FALSOPALENCIA</v>
      </c>
      <c r="I398" s="434" t="str">
        <f>_xlfn.CONCAT(Tableau119[[#This Row],[ID]],"-",Tableau119[[#This Row],[Expiration Date]])</f>
        <v>155-45777</v>
      </c>
      <c r="J3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Forwarder-Valeo CN-155-FALSO-FALSO-FALSO--45777</v>
      </c>
      <c r="K398" s="119" t="str">
        <f ca="1">IF(COUNTIF(J:J,Tableau119[[#This Row],[Plant-ILN-shipper-POL-Carrier-POD-PFI]])=1,"Non","Oui")</f>
        <v>Non</v>
      </c>
      <c r="L398" s="128" t="str">
        <f>VLOOKUP(Tableau119[[#This Row],[Name Site]],Plant_AILN!A:D,4,FALSE)</f>
        <v>SPAIN</v>
      </c>
      <c r="M398" s="411" t="s">
        <v>184</v>
      </c>
      <c r="N398" s="454">
        <f>VLOOKUP(Tableau119[[#This Row],[Name Site]],Plant_AILN!A:C,3,FALSE)</f>
        <v>91017200</v>
      </c>
      <c r="O398" s="55">
        <f>VLOOKUP(Tableau119[[#This Row],[Compte Consignee]],Order!C:D,2,FALSE)</f>
        <v>7</v>
      </c>
      <c r="P398" s="124" t="s">
        <v>146</v>
      </c>
      <c r="Q398" s="365">
        <f>VLOOKUP(Tableau119[[#This Row],[Name ILN]],Plant_AILN!F:G,2,FALSE)</f>
        <v>0</v>
      </c>
      <c r="R398" s="50">
        <f>VLOOKUP(Tableau119[[#This Row],[Compte ILN]],'DATA ILN'!D:I,6,FALSE)</f>
        <v>9</v>
      </c>
      <c r="S398" s="50" t="e">
        <f>IFERROR(VLOOKUP(Tableau119[[#This Row],[Key(Compte ILN - shipper - POL - plant)]],'DATA ILN'!A:J,10,FALSE),VLOOKUP(Tableau119[[#This Row],[Key(Compte ILN - shipper - POL)]],'DATA ILN'!B:J,9,FALSE))</f>
        <v>#N/A</v>
      </c>
      <c r="T398" s="50" t="e">
        <f>IFERROR(VLOOKUP(Tableau119[[#This Row],[Key(Compte ILN - shipper - POL - plant)]],'DATA ILN'!A:K,11,FALSE),VLOOKUP(Tableau119[[#This Row],[Key(Compte ILN - shipper - POL)]],'DATA ILN'!B:K,10,FALSE))</f>
        <v>#N/A</v>
      </c>
      <c r="U398" s="50" t="e">
        <f>IFERROR(VLOOKUP(Tableau119[[#This Row],[Key(Compte ILN - shipper - POL - plant)]],'DATA ILN'!A:L,12,FALSE),VLOOKUP(Tableau119[[#This Row],[Key(Compte ILN - shipper - POL)]],'DATA ILN'!B:L,11,FALSE))</f>
        <v>#N/A</v>
      </c>
      <c r="V398" s="50" t="e">
        <f>Tableau119[[#This Row],[Day ILN Order]]+Tableau119[[#This Row],[Delivery time to ILN/Shipper]]-1</f>
        <v>#N/A</v>
      </c>
      <c r="W398" s="50" t="e">
        <f>IFERROR(VLOOKUP(Tableau119[[#This Row],[Key(Compte ILN - shipper - POL - plant)]],'DATA ILN'!A:N,14,FALSE),VLOOKUP(Tableau119[[#This Row],[Key(Compte ILN - shipper - POL)]],'DATA ILN'!B:N,13,FALSE))</f>
        <v>#N/A</v>
      </c>
      <c r="X398" s="50" t="e">
        <f>IFERROR(VLOOKUP(Tableau119[[#This Row],[Key(Compte ILN - shipper - POL - plant)]],'DATA ILN'!A:P,16,FALSE),VLOOKUP(Tableau119[[#This Row],[Key(Compte ILN - shipper - POL)]],'DATA ILN'!B:P,15,FALSE))</f>
        <v>#N/A</v>
      </c>
      <c r="Y398" s="284" t="s">
        <v>428</v>
      </c>
      <c r="Z398" s="430">
        <f>IFERROR(VLOOKUP(Tableau119[[#This Row],[Name Shipper]],Plant_AILN!L:M,2,FALSE),0)</f>
        <v>27084300</v>
      </c>
      <c r="AA398" s="406">
        <v>155</v>
      </c>
      <c r="AB398" s="396" t="b">
        <f>_xlfn.XLOOKUP(Tableau119[[#This Row],[Key(ID-date)]],'DATA BTO'!S:S,'DATA BTO'!E:E,FALSE)</f>
        <v>0</v>
      </c>
      <c r="AC398" s="3" t="b">
        <f>_xlfn.XLOOKUP(Tableau119[[#This Row],[Key(ID-date)]],'DATA BTO'!S:S,'DATA BTO'!F:F,FALSE)</f>
        <v>0</v>
      </c>
      <c r="AD398" s="50" t="b">
        <f>_xlfn.XLOOKUP(Tableau119[[#This Row],[Key(ID-date)]],'DATA BTO'!S:S,'DATA BTO'!G:G,FALSE)</f>
        <v>0</v>
      </c>
      <c r="AE398" s="50" t="b">
        <f>_xlfn.XLOOKUP(Tableau119[[#This Row],[Key(ID-date)]],'DATA BTO'!S:S,'DATA BTO'!H:H,FALSE)</f>
        <v>0</v>
      </c>
      <c r="AF398" s="447" t="e">
        <f>IF(Tableau119[[#This Row],[First Day to POL]]&lt;=Tableau119[[#This Row],[Day Cut Off]],Tableau119[[#This Row],[Day ETD]],Tableau119[[#This Row],[Day ETD]]+7)</f>
        <v>#N/A</v>
      </c>
      <c r="AG398" s="50" t="b">
        <f>_xlfn.XLOOKUP(Tableau119[[#This Row],[Key(ID-date)]],'DATA BTO'!S:S,'DATA BTO'!I:I,FALSE)</f>
        <v>0</v>
      </c>
      <c r="AH398" s="3" t="b">
        <f>_xlfn.XLOOKUP(Tableau119[[#This Row],[Key(ID-date)]],'DATA BTO'!S:S,'DATA BTO'!J:J,FALSE)</f>
        <v>0</v>
      </c>
      <c r="AI398" s="3" t="b">
        <f>_xlfn.XLOOKUP(Tableau119[[#This Row],[Key(ID-date)]],'DATA BTO'!S:S,'DATA BTO'!K:K,FALSE)</f>
        <v>0</v>
      </c>
      <c r="AJ398" s="50" t="b">
        <f>_xlfn.XLOOKUP(Tableau119[[#This Row],[Key(ID-date)]],'DATA BTO'!S:S,'DATA BTO'!L:L,FALSE)</f>
        <v>0</v>
      </c>
      <c r="AK398" s="53" t="b">
        <f>_xlfn.XLOOKUP(Tableau119[[#This Row],[Key(ID-date)]],'DATA BTO'!S:S,'DATA BTO'!N:N,FALSE)</f>
        <v>0</v>
      </c>
      <c r="AL398" s="54" t="e">
        <f>VLOOKUP(Tableau119[[#This Row],[Key(POD -PFI- Usine)]],'DATA Consignee'!A:F,6,FALSE)</f>
        <v>#N/A</v>
      </c>
      <c r="AM398" s="284"/>
      <c r="AN398" s="376" t="str">
        <f>IF(Tableau119[[#This Row],[Name PFI/CDD]]="","-",VLOOKUP(Tableau119[[#This Row],[Name PFI/CDD]],Plant_AILN!I:J,2,FALSE))</f>
        <v>-</v>
      </c>
      <c r="AO39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9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98" s="2" t="e">
        <f>VLOOKUP(Tableau119[[#This Row],[Key(POD -PFI- Usine)]],'DATA Consignee'!A:J,10,FALSE)</f>
        <v>#N/A</v>
      </c>
      <c r="AR398" s="50" t="e">
        <f>VLOOKUP(Tableau119[[#This Row],[Key(POD -PFI- Usine)]],'DATA Consignee'!A:N,14,FALSE)</f>
        <v>#N/A</v>
      </c>
      <c r="AS39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8" s="50">
        <f>Tableau119[[#This Row],[Transit time]]+Tableau119[[#This Row],[Time for security]]+Tableau119[[#This Row],[Time for security2 buffer]]</f>
        <v>0</v>
      </c>
      <c r="AV3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8" s="50" t="e">
        <f>Tableau119[[#This Row],[Leadtime SI2C]]+Tableau119[[#This Row],[First Receipt Days]]-Tableau119[[#This Row],[Day Customer Order]]+1</f>
        <v>#N/A</v>
      </c>
      <c r="AX398" s="119" t="e">
        <f>IF(Tableau119[[#This Row],[Name ILN]]&lt;&gt;"SFK Freight Forwarder",Tableau119[[#This Row],[Cust. Leadtime]],Tableau119[[#This Row],[Leadtime SI2C]])</f>
        <v>#N/A</v>
      </c>
      <c r="AY398" s="51" t="b">
        <f>_xlfn.XLOOKUP(Tableau119[[#This Row],[Key(ID-date)]],'DATA BTO'!S:S,'DATA BTO'!P:P,FALSE)</f>
        <v>0</v>
      </c>
      <c r="AZ398" s="338">
        <v>45777</v>
      </c>
      <c r="BA398" s="50"/>
    </row>
    <row r="399" spans="2:53">
      <c r="B399" s="446" t="str">
        <f>_xlfn.CONCAT(Tableau119[[#This Row],[Name ILN]],"-",Tableau119[[#This Row],[Name Shipper]],"-",Tableau119[[#This Row],[Name Site]])</f>
        <v>SFK Freight Forwarder-Valeo CN-VALL MONTAGE</v>
      </c>
      <c r="C399" s="66" t="str">
        <f>_xlfn.CONCAT(Tableau119[[#This Row],[Compte ILN]],"-",Tableau119[[#This Row],[Compte Shipper]],"-",Tableau119[[#This Row],[POL]],"-",Tableau119[[#This Row],[Compte Consignee]])</f>
        <v>0-27084300-FALSO-91017300</v>
      </c>
      <c r="D399" s="66" t="str">
        <f>_xlfn.CONCAT(Tableau119[[#This Row],[Compte ILN]],"-",Tableau119[[#This Row],[Compte Shipper]],"-",Tableau119[[#This Row],[POL]])</f>
        <v>0-27084300-FALSO</v>
      </c>
      <c r="E399" s="130" t="str">
        <f>_xlfn.CONCAT(Tableau119[[#This Row],[POL]],"-",Tableau119[[#This Row],[Carrier]],"-",Tableau119[[#This Row],[POD]])</f>
        <v>FALSO-FALSO-FALSO</v>
      </c>
      <c r="F399" s="66" t="str">
        <f>_xlfn.CONCAT(Tableau119[[#This Row],[ID]],"-","Actif")</f>
        <v>155-Actif</v>
      </c>
      <c r="G399" s="66" t="str">
        <f>_xlfn.CONCAT(Tableau119[[#This Row],[POD]],"-",Tableau119[[#This Row],[Code PFI]],"-",Tableau119[[#This Row],[Compte Consignee]])</f>
        <v>FALSO---91017300</v>
      </c>
      <c r="H3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27084300FALSOVALL MONTAGE</v>
      </c>
      <c r="I399" s="434" t="str">
        <f>_xlfn.CONCAT(Tableau119[[#This Row],[ID]],"-",Tableau119[[#This Row],[Expiration Date]])</f>
        <v>155-45777</v>
      </c>
      <c r="J3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Forwarder-Valeo CN-155-FALSO-FALSO-FALSO--45777</v>
      </c>
      <c r="K399" s="119" t="str">
        <f ca="1">IF(COUNTIF(J:J,Tableau119[[#This Row],[Plant-ILN-shipper-POL-Carrier-POD-PFI]])=1,"Non","Oui")</f>
        <v>Non</v>
      </c>
      <c r="L399" s="128" t="str">
        <f>VLOOKUP(Tableau119[[#This Row],[Name Site]],Plant_AILN!A:D,4,FALSE)</f>
        <v>SPAIN</v>
      </c>
      <c r="M399" s="411" t="s">
        <v>175</v>
      </c>
      <c r="N399" s="454">
        <f>VLOOKUP(Tableau119[[#This Row],[Name Site]],Plant_AILN!A:C,3,FALSE)</f>
        <v>91017300</v>
      </c>
      <c r="O399" s="55">
        <f>VLOOKUP(Tableau119[[#This Row],[Compte Consignee]],Order!C:D,2,FALSE)</f>
        <v>7</v>
      </c>
      <c r="P399" s="124" t="s">
        <v>146</v>
      </c>
      <c r="Q399" s="365">
        <f>VLOOKUP(Tableau119[[#This Row],[Name ILN]],Plant_AILN!F:G,2,FALSE)</f>
        <v>0</v>
      </c>
      <c r="R399" s="50">
        <f>VLOOKUP(Tableau119[[#This Row],[Compte ILN]],'DATA ILN'!D:I,6,FALSE)</f>
        <v>9</v>
      </c>
      <c r="S399" s="50" t="e">
        <f>IFERROR(VLOOKUP(Tableau119[[#This Row],[Key(Compte ILN - shipper - POL - plant)]],'DATA ILN'!A:J,10,FALSE),VLOOKUP(Tableau119[[#This Row],[Key(Compte ILN - shipper - POL)]],'DATA ILN'!B:J,9,FALSE))</f>
        <v>#N/A</v>
      </c>
      <c r="T399" s="50" t="e">
        <f>IFERROR(VLOOKUP(Tableau119[[#This Row],[Key(Compte ILN - shipper - POL - plant)]],'DATA ILN'!A:K,11,FALSE),VLOOKUP(Tableau119[[#This Row],[Key(Compte ILN - shipper - POL)]],'DATA ILN'!B:K,10,FALSE))</f>
        <v>#N/A</v>
      </c>
      <c r="U399" s="50" t="e">
        <f>IFERROR(VLOOKUP(Tableau119[[#This Row],[Key(Compte ILN - shipper - POL - plant)]],'DATA ILN'!A:L,12,FALSE),VLOOKUP(Tableau119[[#This Row],[Key(Compte ILN - shipper - POL)]],'DATA ILN'!B:L,11,FALSE))</f>
        <v>#N/A</v>
      </c>
      <c r="V399" s="50" t="e">
        <f>Tableau119[[#This Row],[Day ILN Order]]+Tableau119[[#This Row],[Delivery time to ILN/Shipper]]-1</f>
        <v>#N/A</v>
      </c>
      <c r="W399" s="50" t="e">
        <f>IFERROR(VLOOKUP(Tableau119[[#This Row],[Key(Compte ILN - shipper - POL - plant)]],'DATA ILN'!A:N,14,FALSE),VLOOKUP(Tableau119[[#This Row],[Key(Compte ILN - shipper - POL)]],'DATA ILN'!B:N,13,FALSE))</f>
        <v>#N/A</v>
      </c>
      <c r="X399" s="50" t="e">
        <f>IFERROR(VLOOKUP(Tableau119[[#This Row],[Key(Compte ILN - shipper - POL - plant)]],'DATA ILN'!A:P,16,FALSE),VLOOKUP(Tableau119[[#This Row],[Key(Compte ILN - shipper - POL)]],'DATA ILN'!B:P,15,FALSE))</f>
        <v>#N/A</v>
      </c>
      <c r="Y399" s="284" t="s">
        <v>428</v>
      </c>
      <c r="Z399" s="430">
        <f>IFERROR(VLOOKUP(Tableau119[[#This Row],[Name Shipper]],Plant_AILN!L:M,2,FALSE),0)</f>
        <v>27084300</v>
      </c>
      <c r="AA399" s="406">
        <v>155</v>
      </c>
      <c r="AB399" s="396" t="b">
        <f>_xlfn.XLOOKUP(Tableau119[[#This Row],[Key(ID-date)]],'DATA BTO'!S:S,'DATA BTO'!E:E,FALSE)</f>
        <v>0</v>
      </c>
      <c r="AC399" s="3" t="b">
        <f>_xlfn.XLOOKUP(Tableau119[[#This Row],[Key(ID-date)]],'DATA BTO'!S:S,'DATA BTO'!F:F,FALSE)</f>
        <v>0</v>
      </c>
      <c r="AD399" s="50" t="b">
        <f>_xlfn.XLOOKUP(Tableau119[[#This Row],[Key(ID-date)]],'DATA BTO'!S:S,'DATA BTO'!G:G,FALSE)</f>
        <v>0</v>
      </c>
      <c r="AE399" s="50" t="b">
        <f>_xlfn.XLOOKUP(Tableau119[[#This Row],[Key(ID-date)]],'DATA BTO'!S:S,'DATA BTO'!H:H,FALSE)</f>
        <v>0</v>
      </c>
      <c r="AF399" s="447" t="e">
        <f>IF(Tableau119[[#This Row],[First Day to POL]]&lt;=Tableau119[[#This Row],[Day Cut Off]],Tableau119[[#This Row],[Day ETD]],Tableau119[[#This Row],[Day ETD]]+7)</f>
        <v>#N/A</v>
      </c>
      <c r="AG399" s="50" t="b">
        <f>_xlfn.XLOOKUP(Tableau119[[#This Row],[Key(ID-date)]],'DATA BTO'!S:S,'DATA BTO'!I:I,FALSE)</f>
        <v>0</v>
      </c>
      <c r="AH399" s="3" t="b">
        <f>_xlfn.XLOOKUP(Tableau119[[#This Row],[Key(ID-date)]],'DATA BTO'!S:S,'DATA BTO'!J:J,FALSE)</f>
        <v>0</v>
      </c>
      <c r="AI399" s="3" t="b">
        <f>_xlfn.XLOOKUP(Tableau119[[#This Row],[Key(ID-date)]],'DATA BTO'!S:S,'DATA BTO'!K:K,FALSE)</f>
        <v>0</v>
      </c>
      <c r="AJ399" s="50" t="b">
        <f>_xlfn.XLOOKUP(Tableau119[[#This Row],[Key(ID-date)]],'DATA BTO'!S:S,'DATA BTO'!L:L,FALSE)</f>
        <v>0</v>
      </c>
      <c r="AK399" s="53" t="b">
        <f>_xlfn.XLOOKUP(Tableau119[[#This Row],[Key(ID-date)]],'DATA BTO'!S:S,'DATA BTO'!N:N,FALSE)</f>
        <v>0</v>
      </c>
      <c r="AL399" s="54" t="e">
        <f>VLOOKUP(Tableau119[[#This Row],[Key(POD -PFI- Usine)]],'DATA Consignee'!A:F,6,FALSE)</f>
        <v>#N/A</v>
      </c>
      <c r="AM399" s="284"/>
      <c r="AN399" s="376" t="str">
        <f>IF(Tableau119[[#This Row],[Name PFI/CDD]]="","-",VLOOKUP(Tableau119[[#This Row],[Name PFI/CDD]],Plant_AILN!I:J,2,FALSE))</f>
        <v>-</v>
      </c>
      <c r="AO3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3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399" s="2" t="e">
        <f>VLOOKUP(Tableau119[[#This Row],[Key(POD -PFI- Usine)]],'DATA Consignee'!A:J,10,FALSE)</f>
        <v>#N/A</v>
      </c>
      <c r="AR399" s="50" t="e">
        <f>VLOOKUP(Tableau119[[#This Row],[Key(POD -PFI- Usine)]],'DATA Consignee'!A:N,14,FALSE)</f>
        <v>#N/A</v>
      </c>
      <c r="AS39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39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399" s="50">
        <f>Tableau119[[#This Row],[Transit time]]+Tableau119[[#This Row],[Time for security]]+Tableau119[[#This Row],[Time for security2 buffer]]</f>
        <v>0</v>
      </c>
      <c r="AV39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399" s="50" t="e">
        <f>Tableau119[[#This Row],[Leadtime SI2C]]+Tableau119[[#This Row],[First Receipt Days]]-Tableau119[[#This Row],[Day Customer Order]]+1</f>
        <v>#N/A</v>
      </c>
      <c r="AX399" s="119" t="e">
        <f>IF(Tableau119[[#This Row],[Name ILN]]&lt;&gt;"SFK Freight Forwarder",Tableau119[[#This Row],[Cust. Leadtime]],Tableau119[[#This Row],[Leadtime SI2C]])</f>
        <v>#N/A</v>
      </c>
      <c r="AY399" s="51" t="b">
        <f>_xlfn.XLOOKUP(Tableau119[[#This Row],[Key(ID-date)]],'DATA BTO'!S:S,'DATA BTO'!P:P,FALSE)</f>
        <v>0</v>
      </c>
      <c r="AZ399" s="338">
        <v>45777</v>
      </c>
      <c r="BA399" s="50"/>
    </row>
    <row r="400" spans="2:53">
      <c r="B400" s="66" t="str">
        <f>_xlfn.CONCAT(Tableau119[[#This Row],[Name ILN]],"-",Tableau119[[#This Row],[Name Shipper]],"-",Tableau119[[#This Row],[Name Site]])</f>
        <v>ILN Chennai-ILN Chennai-PALENCIA</v>
      </c>
      <c r="C400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00" s="66" t="str">
        <f>_xlfn.CONCAT(Tableau119[[#This Row],[Compte ILN]],"-",Tableau119[[#This Row],[Compte Shipper]],"-",Tableau119[[#This Row],[POL]])</f>
        <v>2533780546-2533780546-FALSO</v>
      </c>
      <c r="E400" s="130" t="str">
        <f>_xlfn.CONCAT(Tableau119[[#This Row],[POL]],"-",Tableau119[[#This Row],[Carrier]],"-",Tableau119[[#This Row],[POD]])</f>
        <v>FALSO-FALSO-FALSO</v>
      </c>
      <c r="F400" s="66" t="str">
        <f>_xlfn.CONCAT(Tableau119[[#This Row],[ID]],"-","Actif")</f>
        <v>156-Actif</v>
      </c>
      <c r="G400" s="66" t="str">
        <f>_xlfn.CONCAT(Tableau119[[#This Row],[POD]],"-",Tableau119[[#This Row],[Code PFI]],"-",Tableau119[[#This Row],[Compte Consignee]])</f>
        <v>FALSO-91018400-91017200</v>
      </c>
      <c r="H4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00" s="434" t="str">
        <f>_xlfn.CONCAT(Tableau119[[#This Row],[ID]],"-",Tableau119[[#This Row],[Expiration Date]])</f>
        <v>156-46142</v>
      </c>
      <c r="J4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VLL-46142</v>
      </c>
      <c r="K400" s="119" t="str">
        <f ca="1">IF(COUNTIF(J:J,Tableau119[[#This Row],[Plant-ILN-shipper-POL-Carrier-POD-PFI]])=1,"Non","Oui")</f>
        <v>Non</v>
      </c>
      <c r="L400" s="440" t="str">
        <f>VLOOKUP(Tableau119[[#This Row],[Name Site]],Plant_AILN!A:D,4,FALSE)</f>
        <v>SPAIN</v>
      </c>
      <c r="M400" s="483" t="s">
        <v>184</v>
      </c>
      <c r="N400" s="455">
        <f>VLOOKUP(Tableau119[[#This Row],[Name Site]],Plant_AILN!A:C,3,FALSE)</f>
        <v>91017200</v>
      </c>
      <c r="O400" s="104">
        <v>7</v>
      </c>
      <c r="P400" s="126" t="s">
        <v>149</v>
      </c>
      <c r="Q400" s="366">
        <f>VLOOKUP(Tableau119[[#This Row],[Name ILN]],Plant_AILN!F:G,2,FALSE)</f>
        <v>2533780546</v>
      </c>
      <c r="R400" s="81">
        <f>VLOOKUP(Tableau119[[#This Row],[Compte ILN]],'DATA ILN'!D:I,6,FALSE)</f>
        <v>9</v>
      </c>
      <c r="S400" s="81" t="e">
        <f>IFERROR(VLOOKUP(Tableau119[[#This Row],[Key(Compte ILN - shipper - POL - plant)]],'DATA ILN'!A:J,10,FALSE),VLOOKUP(Tableau119[[#This Row],[Key(Compte ILN - shipper - POL)]],'DATA ILN'!B:J,9,FALSE))</f>
        <v>#N/A</v>
      </c>
      <c r="T400" s="81" t="e">
        <f>IFERROR(VLOOKUP(Tableau119[[#This Row],[Key(Compte ILN - shipper - POL - plant)]],'DATA ILN'!A:K,11,FALSE),VLOOKUP(Tableau119[[#This Row],[Key(Compte ILN - shipper - POL)]],'DATA ILN'!B:K,10,FALSE))</f>
        <v>#N/A</v>
      </c>
      <c r="U400" s="81" t="e">
        <f>IFERROR(VLOOKUP(Tableau119[[#This Row],[Key(Compte ILN - shipper - POL - plant)]],'DATA ILN'!A:L,12,FALSE),VLOOKUP(Tableau119[[#This Row],[Key(Compte ILN - shipper - POL)]],'DATA ILN'!B:L,11,FALSE))</f>
        <v>#N/A</v>
      </c>
      <c r="V400" s="81" t="e">
        <f>Tableau119[[#This Row],[Day ILN Order]]+Tableau119[[#This Row],[Delivery time to ILN/Shipper]]-1</f>
        <v>#N/A</v>
      </c>
      <c r="W400" s="81" t="e">
        <f>IFERROR(VLOOKUP(Tableau119[[#This Row],[Key(Compte ILN - shipper - POL - plant)]],'DATA ILN'!A:N,14,FALSE),VLOOKUP(Tableau119[[#This Row],[Key(Compte ILN - shipper - POL)]],'DATA ILN'!B:N,13,FALSE))</f>
        <v>#N/A</v>
      </c>
      <c r="X400" s="81" t="e">
        <f>IFERROR(VLOOKUP(Tableau119[[#This Row],[Key(Compte ILN - shipper - POL - plant)]],'DATA ILN'!A:P,16,FALSE),VLOOKUP(Tableau119[[#This Row],[Key(Compte ILN - shipper - POL)]],'DATA ILN'!B:P,15,FALSE))</f>
        <v>#N/A</v>
      </c>
      <c r="Y400" s="102" t="s">
        <v>149</v>
      </c>
      <c r="Z400" s="417">
        <f>IFERROR(VLOOKUP(Tableau119[[#This Row],[Name Shipper]],Plant_AILN!L:M,2,FALSE),0)</f>
        <v>2533780546</v>
      </c>
      <c r="AA400" s="416">
        <v>156</v>
      </c>
      <c r="AB400" s="396" t="b">
        <f>_xlfn.XLOOKUP(Tableau119[[#This Row],[Key(ID-date)]],'DATA BTO'!S:S,'DATA BTO'!E:E,FALSE)</f>
        <v>0</v>
      </c>
      <c r="AC400" s="3" t="b">
        <f>_xlfn.XLOOKUP(Tableau119[[#This Row],[Key(ID-date)]],'DATA BTO'!S:S,'DATA BTO'!F:F,FALSE)</f>
        <v>0</v>
      </c>
      <c r="AD400" s="50" t="b">
        <f>_xlfn.XLOOKUP(Tableau119[[#This Row],[Key(ID-date)]],'DATA BTO'!S:S,'DATA BTO'!G:G,FALSE)</f>
        <v>0</v>
      </c>
      <c r="AE400" s="50" t="b">
        <f>_xlfn.XLOOKUP(Tableau119[[#This Row],[Key(ID-date)]],'DATA BTO'!S:S,'DATA BTO'!H:H,FALSE)</f>
        <v>0</v>
      </c>
      <c r="AF400" s="447" t="e">
        <f>IF(Tableau119[[#This Row],[First Day to POL]]&lt;=Tableau119[[#This Row],[Day Cut Off]],Tableau119[[#This Row],[Day ETD]],Tableau119[[#This Row],[Day ETD]]+7)</f>
        <v>#N/A</v>
      </c>
      <c r="AG400" s="50" t="b">
        <f>_xlfn.XLOOKUP(Tableau119[[#This Row],[Key(ID-date)]],'DATA BTO'!S:S,'DATA BTO'!I:I,FALSE)</f>
        <v>0</v>
      </c>
      <c r="AH400" s="3" t="b">
        <f>_xlfn.XLOOKUP(Tableau119[[#This Row],[Key(ID-date)]],'DATA BTO'!S:S,'DATA BTO'!J:J,FALSE)</f>
        <v>0</v>
      </c>
      <c r="AI400" s="3" t="b">
        <f>_xlfn.XLOOKUP(Tableau119[[#This Row],[Key(ID-date)]],'DATA BTO'!S:S,'DATA BTO'!K:K,FALSE)</f>
        <v>0</v>
      </c>
      <c r="AJ400" s="50" t="b">
        <f>_xlfn.XLOOKUP(Tableau119[[#This Row],[Key(ID-date)]],'DATA BTO'!S:S,'DATA BTO'!L:L,FALSE)</f>
        <v>0</v>
      </c>
      <c r="AK400" s="53" t="b">
        <f>_xlfn.XLOOKUP(Tableau119[[#This Row],[Key(ID-date)]],'DATA BTO'!S:S,'DATA BTO'!N:N,FALSE)</f>
        <v>0</v>
      </c>
      <c r="AL400" s="54" t="e">
        <f>VLOOKUP(Tableau119[[#This Row],[Key(POD -PFI- Usine)]],'DATA Consignee'!A:F,6,FALSE)</f>
        <v>#N/A</v>
      </c>
      <c r="AM400" s="102" t="s">
        <v>171</v>
      </c>
      <c r="AN400" s="375">
        <f>IF(Tableau119[[#This Row],[Name PFI/CDD]]="","-",VLOOKUP(Tableau119[[#This Row],[Name PFI/CDD]],Plant_AILN!I:J,2,FALSE))</f>
        <v>91018400</v>
      </c>
      <c r="AO400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0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0" s="110" t="e">
        <f>VLOOKUP(Tableau119[[#This Row],[Key(POD -PFI- Usine)]],'DATA Consignee'!A:J,10,FALSE)</f>
        <v>#N/A</v>
      </c>
      <c r="AR400" s="81" t="e">
        <f>VLOOKUP(Tableau119[[#This Row],[Key(POD -PFI- Usine)]],'DATA Consignee'!A:N,14,FALSE)</f>
        <v>#N/A</v>
      </c>
      <c r="AS40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0" s="81">
        <f>Tableau119[[#This Row],[Transit time]]+Tableau119[[#This Row],[Time for security]]+Tableau119[[#This Row],[Time for security2 buffer]]</f>
        <v>0</v>
      </c>
      <c r="AV40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0" s="50" t="e">
        <f>Tableau119[[#This Row],[Leadtime SI2C]]+Tableau119[[#This Row],[First Receipt Days]]-Tableau119[[#This Row],[Day Customer Order]]+1</f>
        <v>#N/A</v>
      </c>
      <c r="AX400" s="119" t="e">
        <f>IF(Tableau119[[#This Row],[Name ILN]]&lt;&gt;"SFK Freight Forwarder",Tableau119[[#This Row],[Cust. Leadtime]],Tableau119[[#This Row],[Leadtime SI2C]])</f>
        <v>#N/A</v>
      </c>
      <c r="AY400" s="51" t="b">
        <f>_xlfn.XLOOKUP(Tableau119[[#This Row],[Key(ID-date)]],'DATA BTO'!S:S,'DATA BTO'!P:P,FALSE)</f>
        <v>0</v>
      </c>
      <c r="AZ400" s="388">
        <v>46142</v>
      </c>
      <c r="BA400" s="81"/>
    </row>
    <row r="401" spans="2:53">
      <c r="B401" s="66" t="str">
        <f>_xlfn.CONCAT(Tableau119[[#This Row],[Name ILN]],"-",Tableau119[[#This Row],[Name Shipper]],"-",Tableau119[[#This Row],[Name Site]])</f>
        <v>ILN Chennai-ILN Chennai-CACIA</v>
      </c>
      <c r="C401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01" s="66" t="str">
        <f>_xlfn.CONCAT(Tableau119[[#This Row],[Compte ILN]],"-",Tableau119[[#This Row],[Compte Shipper]],"-",Tableau119[[#This Row],[POL]])</f>
        <v>2533780546-2533780546-FALSO</v>
      </c>
      <c r="E401" s="130" t="str">
        <f>_xlfn.CONCAT(Tableau119[[#This Row],[POL]],"-",Tableau119[[#This Row],[Carrier]],"-",Tableau119[[#This Row],[POD]])</f>
        <v>FALSO-FALSO-FALSO</v>
      </c>
      <c r="F401" s="66" t="str">
        <f>_xlfn.CONCAT(Tableau119[[#This Row],[ID]],"-","Actif")</f>
        <v>156-Actif</v>
      </c>
      <c r="G401" s="66" t="str">
        <f>_xlfn.CONCAT(Tableau119[[#This Row],[POD]],"-",Tableau119[[#This Row],[Code PFI]],"-",Tableau119[[#This Row],[Compte Consignee]])</f>
        <v>FALSO-91018400-90016500</v>
      </c>
      <c r="H4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01" s="434" t="str">
        <f>_xlfn.CONCAT(Tableau119[[#This Row],[ID]],"-",Tableau119[[#This Row],[Expiration Date]])</f>
        <v>156-46142</v>
      </c>
      <c r="J4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VLL-46142</v>
      </c>
      <c r="K401" s="119" t="str">
        <f ca="1">IF(COUNTIF(J:J,Tableau119[[#This Row],[Plant-ILN-shipper-POL-Carrier-POD-PFI]])=1,"Non","Oui")</f>
        <v>Non</v>
      </c>
      <c r="L401" s="440" t="str">
        <f>VLOOKUP(Tableau119[[#This Row],[Name Site]],Plant_AILN!A:D,4,FALSE)</f>
        <v>PORTUGAL</v>
      </c>
      <c r="M401" s="10" t="s">
        <v>170</v>
      </c>
      <c r="N401" s="454">
        <f>VLOOKUP(Tableau119[[#This Row],[Name Site]],Plant_AILN!A:C,3,FALSE)</f>
        <v>90016500</v>
      </c>
      <c r="O401" s="55">
        <f>IF(Tableau119[[#This Row],[Name PFI/CDD]]="PFI VLL",2,VLOOKUP(Tableau119[[#This Row],[Compte Consignee]],Order!C:D,2,FALSE))</f>
        <v>2</v>
      </c>
      <c r="P401" s="124" t="s">
        <v>149</v>
      </c>
      <c r="Q401" s="365">
        <f>VLOOKUP(Tableau119[[#This Row],[Name ILN]],Plant_AILN!F:G,2,FALSE)</f>
        <v>2533780546</v>
      </c>
      <c r="R401" s="50">
        <f>VLOOKUP(Tableau119[[#This Row],[Compte ILN]],'DATA ILN'!D:I,6,FALSE)</f>
        <v>9</v>
      </c>
      <c r="S401" s="50" t="e">
        <f>IFERROR(VLOOKUP(Tableau119[[#This Row],[Key(Compte ILN - shipper - POL - plant)]],'DATA ILN'!A:J,10,FALSE),VLOOKUP(Tableau119[[#This Row],[Key(Compte ILN - shipper - POL)]],'DATA ILN'!B:J,9,FALSE))</f>
        <v>#N/A</v>
      </c>
      <c r="T401" s="50" t="e">
        <f>IFERROR(VLOOKUP(Tableau119[[#This Row],[Key(Compte ILN - shipper - POL - plant)]],'DATA ILN'!A:K,11,FALSE),VLOOKUP(Tableau119[[#This Row],[Key(Compte ILN - shipper - POL)]],'DATA ILN'!B:K,10,FALSE))</f>
        <v>#N/A</v>
      </c>
      <c r="U401" s="50" t="e">
        <f>IFERROR(VLOOKUP(Tableau119[[#This Row],[Key(Compte ILN - shipper - POL - plant)]],'DATA ILN'!A:L,12,FALSE),VLOOKUP(Tableau119[[#This Row],[Key(Compte ILN - shipper - POL)]],'DATA ILN'!B:L,11,FALSE))</f>
        <v>#N/A</v>
      </c>
      <c r="V401" s="50" t="e">
        <f>Tableau119[[#This Row],[Day ILN Order]]+Tableau119[[#This Row],[Delivery time to ILN/Shipper]]-1</f>
        <v>#N/A</v>
      </c>
      <c r="W401" s="50" t="e">
        <f>IFERROR(VLOOKUP(Tableau119[[#This Row],[Key(Compte ILN - shipper - POL - plant)]],'DATA ILN'!A:N,14,FALSE),VLOOKUP(Tableau119[[#This Row],[Key(Compte ILN - shipper - POL)]],'DATA ILN'!B:N,13,FALSE))</f>
        <v>#N/A</v>
      </c>
      <c r="X401" s="50" t="e">
        <f>IFERROR(VLOOKUP(Tableau119[[#This Row],[Key(Compte ILN - shipper - POL - plant)]],'DATA ILN'!A:P,16,FALSE),VLOOKUP(Tableau119[[#This Row],[Key(Compte ILN - shipper - POL)]],'DATA ILN'!B:P,15,FALSE))</f>
        <v>#N/A</v>
      </c>
      <c r="Y401" s="284" t="s">
        <v>149</v>
      </c>
      <c r="Z401" s="430">
        <f>IFERROR(VLOOKUP(Tableau119[[#This Row],[Name Shipper]],Plant_AILN!L:M,2,FALSE),0)</f>
        <v>2533780546</v>
      </c>
      <c r="AA401" s="406">
        <v>156</v>
      </c>
      <c r="AB401" s="396" t="b">
        <f>_xlfn.XLOOKUP(Tableau119[[#This Row],[Key(ID-date)]],'DATA BTO'!S:S,'DATA BTO'!E:E,FALSE)</f>
        <v>0</v>
      </c>
      <c r="AC401" s="3" t="b">
        <f>_xlfn.XLOOKUP(Tableau119[[#This Row],[Key(ID-date)]],'DATA BTO'!S:S,'DATA BTO'!F:F,FALSE)</f>
        <v>0</v>
      </c>
      <c r="AD401" s="50" t="b">
        <f>_xlfn.XLOOKUP(Tableau119[[#This Row],[Key(ID-date)]],'DATA BTO'!S:S,'DATA BTO'!G:G,FALSE)</f>
        <v>0</v>
      </c>
      <c r="AE401" s="50" t="b">
        <f>_xlfn.XLOOKUP(Tableau119[[#This Row],[Key(ID-date)]],'DATA BTO'!S:S,'DATA BTO'!H:H,FALSE)</f>
        <v>0</v>
      </c>
      <c r="AF401" s="447" t="e">
        <f>IF(Tableau119[[#This Row],[First Day to POL]]&lt;=Tableau119[[#This Row],[Day Cut Off]],Tableau119[[#This Row],[Day ETD]],Tableau119[[#This Row],[Day ETD]]+7)</f>
        <v>#N/A</v>
      </c>
      <c r="AG401" s="50" t="b">
        <f>_xlfn.XLOOKUP(Tableau119[[#This Row],[Key(ID-date)]],'DATA BTO'!S:S,'DATA BTO'!I:I,FALSE)</f>
        <v>0</v>
      </c>
      <c r="AH401" s="3" t="b">
        <f>_xlfn.XLOOKUP(Tableau119[[#This Row],[Key(ID-date)]],'DATA BTO'!S:S,'DATA BTO'!J:J,FALSE)</f>
        <v>0</v>
      </c>
      <c r="AI401" s="3" t="b">
        <f>_xlfn.XLOOKUP(Tableau119[[#This Row],[Key(ID-date)]],'DATA BTO'!S:S,'DATA BTO'!K:K,FALSE)</f>
        <v>0</v>
      </c>
      <c r="AJ401" s="50" t="b">
        <f>_xlfn.XLOOKUP(Tableau119[[#This Row],[Key(ID-date)]],'DATA BTO'!S:S,'DATA BTO'!L:L,FALSE)</f>
        <v>0</v>
      </c>
      <c r="AK401" s="53" t="b">
        <f>_xlfn.XLOOKUP(Tableau119[[#This Row],[Key(ID-date)]],'DATA BTO'!S:S,'DATA BTO'!N:N,FALSE)</f>
        <v>0</v>
      </c>
      <c r="AL401" s="54" t="e">
        <f>VLOOKUP(Tableau119[[#This Row],[Key(POD -PFI- Usine)]],'DATA Consignee'!A:F,6,FALSE)</f>
        <v>#N/A</v>
      </c>
      <c r="AM401" s="284" t="s">
        <v>171</v>
      </c>
      <c r="AN401" s="376">
        <f>IF(Tableau119[[#This Row],[Name PFI/CDD]]="","-",VLOOKUP(Tableau119[[#This Row],[Name PFI/CDD]],Plant_AILN!I:J,2,FALSE))</f>
        <v>91018400</v>
      </c>
      <c r="AO401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1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1" s="2" t="e">
        <f>VLOOKUP(Tableau119[[#This Row],[Key(POD -PFI- Usine)]],'DATA Consignee'!A:J,10,FALSE)</f>
        <v>#N/A</v>
      </c>
      <c r="AR401" s="50" t="e">
        <f>VLOOKUP(Tableau119[[#This Row],[Key(POD -PFI- Usine)]],'DATA Consignee'!A:N,14,FALSE)</f>
        <v>#N/A</v>
      </c>
      <c r="AS40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1" s="50">
        <f>Tableau119[[#This Row],[Transit time]]+Tableau119[[#This Row],[Time for security]]+Tableau119[[#This Row],[Time for security2 buffer]]</f>
        <v>0</v>
      </c>
      <c r="AV4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1" s="50" t="e">
        <f>Tableau119[[#This Row],[Leadtime SI2C]]+Tableau119[[#This Row],[First Receipt Days]]-Tableau119[[#This Row],[Day Customer Order]]+1</f>
        <v>#N/A</v>
      </c>
      <c r="AX401" s="119" t="e">
        <f>IF(Tableau119[[#This Row],[Name ILN]]&lt;&gt;"SFK Freight Forwarder",Tableau119[[#This Row],[Cust. Leadtime]],Tableau119[[#This Row],[Leadtime SI2C]])</f>
        <v>#N/A</v>
      </c>
      <c r="AY401" s="51" t="b">
        <f>_xlfn.XLOOKUP(Tableau119[[#This Row],[Key(ID-date)]],'DATA BTO'!S:S,'DATA BTO'!P:P,FALSE)</f>
        <v>0</v>
      </c>
      <c r="AZ401" s="338">
        <v>46142</v>
      </c>
      <c r="BA401" s="50"/>
    </row>
    <row r="402" spans="2:53">
      <c r="B402" s="66" t="str">
        <f>_xlfn.CONCAT(Tableau119[[#This Row],[Name ILN]],"-",Tableau119[[#This Row],[Name Shipper]],"-",Tableau119[[#This Row],[Name Site]])</f>
        <v>ILN Chennai-ILN Chennai-SEVILLA</v>
      </c>
      <c r="C402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02" s="66" t="str">
        <f>_xlfn.CONCAT(Tableau119[[#This Row],[Compte ILN]],"-",Tableau119[[#This Row],[Compte Shipper]],"-",Tableau119[[#This Row],[POL]])</f>
        <v>2533780546-2533780546-FALSO</v>
      </c>
      <c r="E402" s="130" t="str">
        <f>_xlfn.CONCAT(Tableau119[[#This Row],[POL]],"-",Tableau119[[#This Row],[Carrier]],"-",Tableau119[[#This Row],[POD]])</f>
        <v>FALSO-FALSO-FALSO</v>
      </c>
      <c r="F402" s="66" t="str">
        <f>_xlfn.CONCAT(Tableau119[[#This Row],[ID]],"-","Actif")</f>
        <v>156-Actif</v>
      </c>
      <c r="G402" s="66" t="str">
        <f>_xlfn.CONCAT(Tableau119[[#This Row],[POD]],"-",Tableau119[[#This Row],[Code PFI]],"-",Tableau119[[#This Row],[Compte Consignee]])</f>
        <v>FALSO-91018400-91017500</v>
      </c>
      <c r="H4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02" s="434" t="str">
        <f>_xlfn.CONCAT(Tableau119[[#This Row],[ID]],"-",Tableau119[[#This Row],[Expiration Date]])</f>
        <v>156-46142</v>
      </c>
      <c r="J4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VLL-46142</v>
      </c>
      <c r="K402" s="119" t="str">
        <f ca="1">IF(COUNTIF(J:J,Tableau119[[#This Row],[Plant-ILN-shipper-POL-Carrier-POD-PFI]])=1,"Non","Oui")</f>
        <v>Non</v>
      </c>
      <c r="L402" s="440" t="str">
        <f>VLOOKUP(Tableau119[[#This Row],[Name Site]],Plant_AILN!A:D,4,FALSE)</f>
        <v>SPAIN</v>
      </c>
      <c r="M402" s="10" t="s">
        <v>172</v>
      </c>
      <c r="N402" s="454">
        <f>VLOOKUP(Tableau119[[#This Row],[Name Site]],Plant_AILN!A:C,3,FALSE)</f>
        <v>91017500</v>
      </c>
      <c r="O402" s="55">
        <f>IF(Tableau119[[#This Row],[Name PFI/CDD]]="PFI VLL",2,VLOOKUP(Tableau119[[#This Row],[Compte Consignee]],Order!C:D,2,FALSE))</f>
        <v>2</v>
      </c>
      <c r="P402" s="124" t="s">
        <v>149</v>
      </c>
      <c r="Q402" s="365">
        <f>VLOOKUP(Tableau119[[#This Row],[Name ILN]],Plant_AILN!F:G,2,FALSE)</f>
        <v>2533780546</v>
      </c>
      <c r="R402" s="50">
        <f>VLOOKUP(Tableau119[[#This Row],[Compte ILN]],'DATA ILN'!D:I,6,FALSE)</f>
        <v>9</v>
      </c>
      <c r="S402" s="50" t="e">
        <f>IFERROR(VLOOKUP(Tableau119[[#This Row],[Key(Compte ILN - shipper - POL - plant)]],'DATA ILN'!A:J,10,FALSE),VLOOKUP(Tableau119[[#This Row],[Key(Compte ILN - shipper - POL)]],'DATA ILN'!B:J,9,FALSE))</f>
        <v>#N/A</v>
      </c>
      <c r="T402" s="50" t="e">
        <f>IFERROR(VLOOKUP(Tableau119[[#This Row],[Key(Compte ILN - shipper - POL - plant)]],'DATA ILN'!A:K,11,FALSE),VLOOKUP(Tableau119[[#This Row],[Key(Compte ILN - shipper - POL)]],'DATA ILN'!B:K,10,FALSE))</f>
        <v>#N/A</v>
      </c>
      <c r="U402" s="50" t="e">
        <f>IFERROR(VLOOKUP(Tableau119[[#This Row],[Key(Compte ILN - shipper - POL - plant)]],'DATA ILN'!A:L,12,FALSE),VLOOKUP(Tableau119[[#This Row],[Key(Compte ILN - shipper - POL)]],'DATA ILN'!B:L,11,FALSE))</f>
        <v>#N/A</v>
      </c>
      <c r="V402" s="50" t="e">
        <f>Tableau119[[#This Row],[Day ILN Order]]+Tableau119[[#This Row],[Delivery time to ILN/Shipper]]-1</f>
        <v>#N/A</v>
      </c>
      <c r="W402" s="50" t="e">
        <f>IFERROR(VLOOKUP(Tableau119[[#This Row],[Key(Compte ILN - shipper - POL - plant)]],'DATA ILN'!A:N,14,FALSE),VLOOKUP(Tableau119[[#This Row],[Key(Compte ILN - shipper - POL)]],'DATA ILN'!B:N,13,FALSE))</f>
        <v>#N/A</v>
      </c>
      <c r="X402" s="50" t="e">
        <f>IFERROR(VLOOKUP(Tableau119[[#This Row],[Key(Compte ILN - shipper - POL - plant)]],'DATA ILN'!A:P,16,FALSE),VLOOKUP(Tableau119[[#This Row],[Key(Compte ILN - shipper - POL)]],'DATA ILN'!B:P,15,FALSE))</f>
        <v>#N/A</v>
      </c>
      <c r="Y402" s="284" t="s">
        <v>149</v>
      </c>
      <c r="Z402" s="430">
        <f>IFERROR(VLOOKUP(Tableau119[[#This Row],[Name Shipper]],Plant_AILN!L:M,2,FALSE),0)</f>
        <v>2533780546</v>
      </c>
      <c r="AA402" s="406">
        <v>156</v>
      </c>
      <c r="AB402" s="396" t="b">
        <f>_xlfn.XLOOKUP(Tableau119[[#This Row],[Key(ID-date)]],'DATA BTO'!S:S,'DATA BTO'!E:E,FALSE)</f>
        <v>0</v>
      </c>
      <c r="AC402" s="3" t="b">
        <f>_xlfn.XLOOKUP(Tableau119[[#This Row],[Key(ID-date)]],'DATA BTO'!S:S,'DATA BTO'!F:F,FALSE)</f>
        <v>0</v>
      </c>
      <c r="AD402" s="50" t="b">
        <f>_xlfn.XLOOKUP(Tableau119[[#This Row],[Key(ID-date)]],'DATA BTO'!S:S,'DATA BTO'!G:G,FALSE)</f>
        <v>0</v>
      </c>
      <c r="AE402" s="50" t="b">
        <f>_xlfn.XLOOKUP(Tableau119[[#This Row],[Key(ID-date)]],'DATA BTO'!S:S,'DATA BTO'!H:H,FALSE)</f>
        <v>0</v>
      </c>
      <c r="AF402" s="447" t="e">
        <f>IF(Tableau119[[#This Row],[First Day to POL]]&lt;=Tableau119[[#This Row],[Day Cut Off]],Tableau119[[#This Row],[Day ETD]],Tableau119[[#This Row],[Day ETD]]+7)</f>
        <v>#N/A</v>
      </c>
      <c r="AG402" s="50" t="b">
        <f>_xlfn.XLOOKUP(Tableau119[[#This Row],[Key(ID-date)]],'DATA BTO'!S:S,'DATA BTO'!I:I,FALSE)</f>
        <v>0</v>
      </c>
      <c r="AH402" s="3" t="b">
        <f>_xlfn.XLOOKUP(Tableau119[[#This Row],[Key(ID-date)]],'DATA BTO'!S:S,'DATA BTO'!J:J,FALSE)</f>
        <v>0</v>
      </c>
      <c r="AI402" s="3" t="b">
        <f>_xlfn.XLOOKUP(Tableau119[[#This Row],[Key(ID-date)]],'DATA BTO'!S:S,'DATA BTO'!K:K,FALSE)</f>
        <v>0</v>
      </c>
      <c r="AJ402" s="50" t="b">
        <f>_xlfn.XLOOKUP(Tableau119[[#This Row],[Key(ID-date)]],'DATA BTO'!S:S,'DATA BTO'!L:L,FALSE)</f>
        <v>0</v>
      </c>
      <c r="AK402" s="53" t="b">
        <f>_xlfn.XLOOKUP(Tableau119[[#This Row],[Key(ID-date)]],'DATA BTO'!S:S,'DATA BTO'!N:N,FALSE)</f>
        <v>0</v>
      </c>
      <c r="AL402" s="54" t="e">
        <f>VLOOKUP(Tableau119[[#This Row],[Key(POD -PFI- Usine)]],'DATA Consignee'!A:F,6,FALSE)</f>
        <v>#N/A</v>
      </c>
      <c r="AM402" s="284" t="s">
        <v>171</v>
      </c>
      <c r="AN402" s="376">
        <f>IF(Tableau119[[#This Row],[Name PFI/CDD]]="","-",VLOOKUP(Tableau119[[#This Row],[Name PFI/CDD]],Plant_AILN!I:J,2,FALSE))</f>
        <v>91018400</v>
      </c>
      <c r="AO40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2" s="2" t="e">
        <f>VLOOKUP(Tableau119[[#This Row],[Key(POD -PFI- Usine)]],'DATA Consignee'!A:J,10,FALSE)</f>
        <v>#N/A</v>
      </c>
      <c r="AR402" s="50" t="e">
        <f>VLOOKUP(Tableau119[[#This Row],[Key(POD -PFI- Usine)]],'DATA Consignee'!A:N,14,FALSE)</f>
        <v>#N/A</v>
      </c>
      <c r="AS40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2" s="50">
        <f>Tableau119[[#This Row],[Transit time]]+Tableau119[[#This Row],[Time for security]]+Tableau119[[#This Row],[Time for security2 buffer]]</f>
        <v>0</v>
      </c>
      <c r="AV4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2" s="50" t="e">
        <f>Tableau119[[#This Row],[Leadtime SI2C]]+Tableau119[[#This Row],[First Receipt Days]]-Tableau119[[#This Row],[Day Customer Order]]+1</f>
        <v>#N/A</v>
      </c>
      <c r="AX402" s="119" t="e">
        <f>IF(Tableau119[[#This Row],[Name ILN]]&lt;&gt;"SFK Freight Forwarder",Tableau119[[#This Row],[Cust. Leadtime]],Tableau119[[#This Row],[Leadtime SI2C]])</f>
        <v>#N/A</v>
      </c>
      <c r="AY402" s="51" t="b">
        <f>_xlfn.XLOOKUP(Tableau119[[#This Row],[Key(ID-date)]],'DATA BTO'!S:S,'DATA BTO'!P:P,FALSE)</f>
        <v>0</v>
      </c>
      <c r="AZ402" s="338">
        <v>46142</v>
      </c>
      <c r="BA402" s="50"/>
    </row>
    <row r="403" spans="2:53">
      <c r="B403" s="66" t="str">
        <f>_xlfn.CONCAT(Tableau119[[#This Row],[Name ILN]],"-",Tableau119[[#This Row],[Name Shipper]],"-",Tableau119[[#This Row],[Name Site]])</f>
        <v>ILN Chennai-ILN Chennai-VALL MONTAGE</v>
      </c>
      <c r="C403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03" s="66" t="str">
        <f>_xlfn.CONCAT(Tableau119[[#This Row],[Compte ILN]],"-",Tableau119[[#This Row],[Compte Shipper]],"-",Tableau119[[#This Row],[POL]])</f>
        <v>2533780546-2533780546-FALSO</v>
      </c>
      <c r="E403" s="130" t="str">
        <f>_xlfn.CONCAT(Tableau119[[#This Row],[POL]],"-",Tableau119[[#This Row],[Carrier]],"-",Tableau119[[#This Row],[POD]])</f>
        <v>FALSO-FALSO-FALSO</v>
      </c>
      <c r="F403" s="66" t="str">
        <f>_xlfn.CONCAT(Tableau119[[#This Row],[ID]],"-","Actif")</f>
        <v>156-Actif</v>
      </c>
      <c r="G403" s="66" t="str">
        <f>_xlfn.CONCAT(Tableau119[[#This Row],[POD]],"-",Tableau119[[#This Row],[Code PFI]],"-",Tableau119[[#This Row],[Compte Consignee]])</f>
        <v>FALSO-91018400-91017300</v>
      </c>
      <c r="H4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03" s="434" t="str">
        <f>_xlfn.CONCAT(Tableau119[[#This Row],[ID]],"-",Tableau119[[#This Row],[Expiration Date]])</f>
        <v>156-46142</v>
      </c>
      <c r="J4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VLL-46142</v>
      </c>
      <c r="K403" s="119" t="str">
        <f ca="1">IF(COUNTIF(J:J,Tableau119[[#This Row],[Plant-ILN-shipper-POL-Carrier-POD-PFI]])=1,"Non","Oui")</f>
        <v>Non</v>
      </c>
      <c r="L403" s="436" t="str">
        <f>VLOOKUP(Tableau119[[#This Row],[Name Site]],Plant_AILN!A:D,4,FALSE)</f>
        <v>SPAIN</v>
      </c>
      <c r="M403" s="415" t="s">
        <v>175</v>
      </c>
      <c r="N403" s="455">
        <f>VLOOKUP(Tableau119[[#This Row],[Name Site]],Plant_AILN!A:C,3,FALSE)</f>
        <v>91017300</v>
      </c>
      <c r="O403" s="104">
        <f>IF(Tableau119[[#This Row],[Name PFI/CDD]]="PFI VLL",2,VLOOKUP(Tableau119[[#This Row],[Compte Consignee]],Order!C:D,2,FALSE))</f>
        <v>7</v>
      </c>
      <c r="P403" s="126" t="s">
        <v>149</v>
      </c>
      <c r="Q403" s="366">
        <f>VLOOKUP(Tableau119[[#This Row],[Name ILN]],Plant_AILN!F:G,2,FALSE)</f>
        <v>2533780546</v>
      </c>
      <c r="R403" s="81">
        <f>VLOOKUP(Tableau119[[#This Row],[Compte ILN]],'DATA ILN'!D:I,6,FALSE)</f>
        <v>9</v>
      </c>
      <c r="S403" s="81" t="e">
        <f>IFERROR(VLOOKUP(Tableau119[[#This Row],[Key(Compte ILN - shipper - POL - plant)]],'DATA ILN'!A:J,10,FALSE),VLOOKUP(Tableau119[[#This Row],[Key(Compte ILN - shipper - POL)]],'DATA ILN'!B:J,9,FALSE))</f>
        <v>#N/A</v>
      </c>
      <c r="T403" s="81" t="e">
        <f>IFERROR(VLOOKUP(Tableau119[[#This Row],[Key(Compte ILN - shipper - POL - plant)]],'DATA ILN'!A:K,11,FALSE),VLOOKUP(Tableau119[[#This Row],[Key(Compte ILN - shipper - POL)]],'DATA ILN'!B:K,10,FALSE))</f>
        <v>#N/A</v>
      </c>
      <c r="U403" s="81" t="e">
        <f>IFERROR(VLOOKUP(Tableau119[[#This Row],[Key(Compte ILN - shipper - POL - plant)]],'DATA ILN'!A:L,12,FALSE),VLOOKUP(Tableau119[[#This Row],[Key(Compte ILN - shipper - POL)]],'DATA ILN'!B:L,11,FALSE))</f>
        <v>#N/A</v>
      </c>
      <c r="V403" s="81" t="e">
        <f>Tableau119[[#This Row],[Day ILN Order]]+Tableau119[[#This Row],[Delivery time to ILN/Shipper]]-1</f>
        <v>#N/A</v>
      </c>
      <c r="W403" s="81" t="e">
        <f>IFERROR(VLOOKUP(Tableau119[[#This Row],[Key(Compte ILN - shipper - POL - plant)]],'DATA ILN'!A:N,14,FALSE),VLOOKUP(Tableau119[[#This Row],[Key(Compte ILN - shipper - POL)]],'DATA ILN'!B:N,13,FALSE))</f>
        <v>#N/A</v>
      </c>
      <c r="X403" s="81" t="e">
        <f>IFERROR(VLOOKUP(Tableau119[[#This Row],[Key(Compte ILN - shipper - POL - plant)]],'DATA ILN'!A:P,16,FALSE),VLOOKUP(Tableau119[[#This Row],[Key(Compte ILN - shipper - POL)]],'DATA ILN'!B:P,15,FALSE))</f>
        <v>#N/A</v>
      </c>
      <c r="Y403" s="102" t="s">
        <v>149</v>
      </c>
      <c r="Z403" s="417">
        <f>IFERROR(VLOOKUP(Tableau119[[#This Row],[Name Shipper]],Plant_AILN!L:M,2,FALSE),0)</f>
        <v>2533780546</v>
      </c>
      <c r="AA403" s="416">
        <v>156</v>
      </c>
      <c r="AB403" s="396" t="b">
        <f>_xlfn.XLOOKUP(Tableau119[[#This Row],[Key(ID-date)]],'DATA BTO'!S:S,'DATA BTO'!E:E,FALSE)</f>
        <v>0</v>
      </c>
      <c r="AC403" s="3" t="b">
        <f>_xlfn.XLOOKUP(Tableau119[[#This Row],[Key(ID-date)]],'DATA BTO'!S:S,'DATA BTO'!F:F,FALSE)</f>
        <v>0</v>
      </c>
      <c r="AD403" s="50" t="b">
        <f>_xlfn.XLOOKUP(Tableau119[[#This Row],[Key(ID-date)]],'DATA BTO'!S:S,'DATA BTO'!G:G,FALSE)</f>
        <v>0</v>
      </c>
      <c r="AE403" s="50" t="b">
        <f>_xlfn.XLOOKUP(Tableau119[[#This Row],[Key(ID-date)]],'DATA BTO'!S:S,'DATA BTO'!H:H,FALSE)</f>
        <v>0</v>
      </c>
      <c r="AF403" s="447" t="e">
        <f>IF(Tableau119[[#This Row],[First Day to POL]]&lt;=Tableau119[[#This Row],[Day Cut Off]],Tableau119[[#This Row],[Day ETD]],Tableau119[[#This Row],[Day ETD]]+7)</f>
        <v>#N/A</v>
      </c>
      <c r="AG403" s="50" t="b">
        <f>_xlfn.XLOOKUP(Tableau119[[#This Row],[Key(ID-date)]],'DATA BTO'!S:S,'DATA BTO'!I:I,FALSE)</f>
        <v>0</v>
      </c>
      <c r="AH403" s="3" t="b">
        <f>_xlfn.XLOOKUP(Tableau119[[#This Row],[Key(ID-date)]],'DATA BTO'!S:S,'DATA BTO'!J:J,FALSE)</f>
        <v>0</v>
      </c>
      <c r="AI403" s="3" t="b">
        <f>_xlfn.XLOOKUP(Tableau119[[#This Row],[Key(ID-date)]],'DATA BTO'!S:S,'DATA BTO'!K:K,FALSE)</f>
        <v>0</v>
      </c>
      <c r="AJ403" s="50" t="b">
        <f>_xlfn.XLOOKUP(Tableau119[[#This Row],[Key(ID-date)]],'DATA BTO'!S:S,'DATA BTO'!L:L,FALSE)</f>
        <v>0</v>
      </c>
      <c r="AK403" s="53" t="b">
        <f>_xlfn.XLOOKUP(Tableau119[[#This Row],[Key(ID-date)]],'DATA BTO'!S:S,'DATA BTO'!N:N,FALSE)</f>
        <v>0</v>
      </c>
      <c r="AL403" s="54" t="e">
        <f>VLOOKUP(Tableau119[[#This Row],[Key(POD -PFI- Usine)]],'DATA Consignee'!A:F,6,FALSE)</f>
        <v>#N/A</v>
      </c>
      <c r="AM403" s="102" t="s">
        <v>169</v>
      </c>
      <c r="AN403" s="375">
        <f>IF(Tableau119[[#This Row],[Name PFI/CDD]]="","-",VLOOKUP(Tableau119[[#This Row],[Name PFI/CDD]],Plant_AILN!I:J,2,FALSE))</f>
        <v>91018400</v>
      </c>
      <c r="AO403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3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3" s="110" t="e">
        <f>VLOOKUP(Tableau119[[#This Row],[Key(POD -PFI- Usine)]],'DATA Consignee'!A:J,10,FALSE)</f>
        <v>#N/A</v>
      </c>
      <c r="AR403" s="81" t="e">
        <f>VLOOKUP(Tableau119[[#This Row],[Key(POD -PFI- Usine)]],'DATA Consignee'!A:N,14,FALSE)</f>
        <v>#N/A</v>
      </c>
      <c r="AS40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3" s="81">
        <f>Tableau119[[#This Row],[Transit time]]+Tableau119[[#This Row],[Time for security]]+Tableau119[[#This Row],[Time for security2 buffer]]</f>
        <v>0</v>
      </c>
      <c r="AV4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3" s="50" t="e">
        <f>Tableau119[[#This Row],[Leadtime SI2C]]+Tableau119[[#This Row],[First Receipt Days]]-Tableau119[[#This Row],[Day Customer Order]]+1</f>
        <v>#N/A</v>
      </c>
      <c r="AX403" s="119" t="e">
        <f>IF(Tableau119[[#This Row],[Name ILN]]&lt;&gt;"SFK Freight Forwarder",Tableau119[[#This Row],[Cust. Leadtime]],Tableau119[[#This Row],[Leadtime SI2C]])</f>
        <v>#N/A</v>
      </c>
      <c r="AY403" s="51" t="b">
        <f>_xlfn.XLOOKUP(Tableau119[[#This Row],[Key(ID-date)]],'DATA BTO'!S:S,'DATA BTO'!P:P,FALSE)</f>
        <v>0</v>
      </c>
      <c r="AZ403" s="388">
        <v>46142</v>
      </c>
      <c r="BA403" s="81"/>
    </row>
    <row r="404" spans="2:53">
      <c r="B404" s="446" t="str">
        <f>_xlfn.CONCAT(Tableau119[[#This Row],[Name ILN]],"-",Tableau119[[#This Row],[Name Shipper]],"-",Tableau119[[#This Row],[Name Site]])</f>
        <v>ILN Chennai-ILN Chennai-ILN VLL</v>
      </c>
      <c r="C404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04" s="66" t="str">
        <f>_xlfn.CONCAT(Tableau119[[#This Row],[Compte ILN]],"-",Tableau119[[#This Row],[Compte Shipper]],"-",Tableau119[[#This Row],[POL]])</f>
        <v>2533780546-2533780546-FALSO</v>
      </c>
      <c r="E404" s="130" t="str">
        <f>_xlfn.CONCAT(Tableau119[[#This Row],[POL]],"-",Tableau119[[#This Row],[Carrier]],"-",Tableau119[[#This Row],[POD]])</f>
        <v>FALSO-FALSO-FALSO</v>
      </c>
      <c r="F404" s="66" t="str">
        <f>_xlfn.CONCAT(Tableau119[[#This Row],[ID]],"-","Actif")</f>
        <v>156-Actif</v>
      </c>
      <c r="G404" s="66" t="str">
        <f>_xlfn.CONCAT(Tableau119[[#This Row],[POD]],"-",Tableau119[[#This Row],[Code PFI]],"-",Tableau119[[#This Row],[Compte Consignee]])</f>
        <v>FALSO---9101840000</v>
      </c>
      <c r="H4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04" s="434" t="str">
        <f>_xlfn.CONCAT(Tableau119[[#This Row],[ID]],"-",Tableau119[[#This Row],[Expiration Date]])</f>
        <v>156-46142</v>
      </c>
      <c r="J4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Chennai-156-FALSO-FALSO-FALSO--46142</v>
      </c>
      <c r="K404" s="119" t="str">
        <f ca="1">IF(COUNTIF(J:J,Tableau119[[#This Row],[Plant-ILN-shipper-POL-Carrier-POD-PFI]])=1,"Non","Oui")</f>
        <v>Non</v>
      </c>
      <c r="L404" s="128" t="str">
        <f>VLOOKUP(Tableau119[[#This Row],[Name Site]],Plant_AILN!A:D,4,FALSE)</f>
        <v>SPAIN</v>
      </c>
      <c r="M404" s="497" t="s">
        <v>151</v>
      </c>
      <c r="N404" s="454">
        <f>VLOOKUP(Tableau119[[#This Row],[Name Site]],Plant_AILN!A:C,3,FALSE)</f>
        <v>9101840000</v>
      </c>
      <c r="O404" s="55">
        <f>IF(Tableau119[[#This Row],[Name PFI/CDD]]="PFI VLL",2,VLOOKUP(Tableau119[[#This Row],[Compte Consignee]],Order!C:D,2,FALSE))</f>
        <v>2</v>
      </c>
      <c r="P404" s="124" t="s">
        <v>149</v>
      </c>
      <c r="Q404" s="365">
        <f>VLOOKUP(Tableau119[[#This Row],[Name ILN]],Plant_AILN!F:G,2,FALSE)</f>
        <v>2533780546</v>
      </c>
      <c r="R404" s="50">
        <f>VLOOKUP(Tableau119[[#This Row],[Compte ILN]],'DATA ILN'!D:I,6,FALSE)</f>
        <v>9</v>
      </c>
      <c r="S404" s="50" t="e">
        <f>IFERROR(VLOOKUP(Tableau119[[#This Row],[Key(Compte ILN - shipper - POL - plant)]],'DATA ILN'!A:J,10,FALSE),VLOOKUP(Tableau119[[#This Row],[Key(Compte ILN - shipper - POL)]],'DATA ILN'!B:J,9,FALSE))</f>
        <v>#N/A</v>
      </c>
      <c r="T404" s="50" t="e">
        <f>IFERROR(VLOOKUP(Tableau119[[#This Row],[Key(Compte ILN - shipper - POL - plant)]],'DATA ILN'!A:K,11,FALSE),VLOOKUP(Tableau119[[#This Row],[Key(Compte ILN - shipper - POL)]],'DATA ILN'!B:K,10,FALSE))</f>
        <v>#N/A</v>
      </c>
      <c r="U404" s="50" t="e">
        <f>IFERROR(VLOOKUP(Tableau119[[#This Row],[Key(Compte ILN - shipper - POL - plant)]],'DATA ILN'!A:L,12,FALSE),VLOOKUP(Tableau119[[#This Row],[Key(Compte ILN - shipper - POL)]],'DATA ILN'!B:L,11,FALSE))</f>
        <v>#N/A</v>
      </c>
      <c r="V404" s="50" t="e">
        <f>Tableau119[[#This Row],[Day ILN Order]]+Tableau119[[#This Row],[Delivery time to ILN/Shipper]]-1</f>
        <v>#N/A</v>
      </c>
      <c r="W404" s="50" t="e">
        <f>IFERROR(VLOOKUP(Tableau119[[#This Row],[Key(Compte ILN - shipper - POL - plant)]],'DATA ILN'!A:N,14,FALSE),VLOOKUP(Tableau119[[#This Row],[Key(Compte ILN - shipper - POL)]],'DATA ILN'!B:N,13,FALSE))</f>
        <v>#N/A</v>
      </c>
      <c r="X404" s="50" t="e">
        <f>IFERROR(VLOOKUP(Tableau119[[#This Row],[Key(Compte ILN - shipper - POL - plant)]],'DATA ILN'!A:P,16,FALSE),VLOOKUP(Tableau119[[#This Row],[Key(Compte ILN - shipper - POL)]],'DATA ILN'!B:P,15,FALSE))</f>
        <v>#N/A</v>
      </c>
      <c r="Y404" s="284" t="s">
        <v>149</v>
      </c>
      <c r="Z404" s="430">
        <f>IFERROR(VLOOKUP(Tableau119[[#This Row],[Name Shipper]],Plant_AILN!L:M,2,FALSE),0)</f>
        <v>2533780546</v>
      </c>
      <c r="AA404" s="406">
        <v>156</v>
      </c>
      <c r="AB404" s="396" t="b">
        <f>_xlfn.XLOOKUP(Tableau119[[#This Row],[Key(ID-date)]],'DATA BTO'!S:S,'DATA BTO'!E:E,FALSE)</f>
        <v>0</v>
      </c>
      <c r="AC404" s="3" t="b">
        <f>_xlfn.XLOOKUP(Tableau119[[#This Row],[Key(ID-date)]],'DATA BTO'!S:S,'DATA BTO'!F:F,FALSE)</f>
        <v>0</v>
      </c>
      <c r="AD404" s="50" t="b">
        <f>_xlfn.XLOOKUP(Tableau119[[#This Row],[Key(ID-date)]],'DATA BTO'!S:S,'DATA BTO'!G:G,FALSE)</f>
        <v>0</v>
      </c>
      <c r="AE404" s="50" t="b">
        <f>_xlfn.XLOOKUP(Tableau119[[#This Row],[Key(ID-date)]],'DATA BTO'!S:S,'DATA BTO'!H:H,FALSE)</f>
        <v>0</v>
      </c>
      <c r="AF404" s="447" t="e">
        <f>IF(Tableau119[[#This Row],[First Day to POL]]&lt;=Tableau119[[#This Row],[Day Cut Off]],Tableau119[[#This Row],[Day ETD]],Tableau119[[#This Row],[Day ETD]]+7)</f>
        <v>#N/A</v>
      </c>
      <c r="AG404" s="50" t="b">
        <f>_xlfn.XLOOKUP(Tableau119[[#This Row],[Key(ID-date)]],'DATA BTO'!S:S,'DATA BTO'!I:I,FALSE)</f>
        <v>0</v>
      </c>
      <c r="AH404" s="3" t="b">
        <f>_xlfn.XLOOKUP(Tableau119[[#This Row],[Key(ID-date)]],'DATA BTO'!S:S,'DATA BTO'!J:J,FALSE)</f>
        <v>0</v>
      </c>
      <c r="AI404" s="3" t="b">
        <f>_xlfn.XLOOKUP(Tableau119[[#This Row],[Key(ID-date)]],'DATA BTO'!S:S,'DATA BTO'!K:K,FALSE)</f>
        <v>0</v>
      </c>
      <c r="AJ404" s="50" t="b">
        <f>_xlfn.XLOOKUP(Tableau119[[#This Row],[Key(ID-date)]],'DATA BTO'!S:S,'DATA BTO'!L:L,FALSE)</f>
        <v>0</v>
      </c>
      <c r="AK404" s="53" t="b">
        <f>_xlfn.XLOOKUP(Tableau119[[#This Row],[Key(ID-date)]],'DATA BTO'!S:S,'DATA BTO'!N:N,FALSE)</f>
        <v>0</v>
      </c>
      <c r="AL404" s="54" t="e">
        <f>VLOOKUP(Tableau119[[#This Row],[Key(POD -PFI- Usine)]],'DATA Consignee'!A:F,6,FALSE)</f>
        <v>#N/A</v>
      </c>
      <c r="AM404" s="284"/>
      <c r="AN404" s="376" t="str">
        <f>IF(Tableau119[[#This Row],[Name PFI/CDD]]="","-",VLOOKUP(Tableau119[[#This Row],[Name PFI/CDD]],Plant_AILN!I:J,2,FALSE))</f>
        <v>-</v>
      </c>
      <c r="AO40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0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04" s="2" t="e">
        <f>VLOOKUP(Tableau119[[#This Row],[Key(POD -PFI- Usine)]],'DATA Consignee'!A:J,10,FALSE)</f>
        <v>#N/A</v>
      </c>
      <c r="AR404" s="50" t="e">
        <f>VLOOKUP(Tableau119[[#This Row],[Key(POD -PFI- Usine)]],'DATA Consignee'!A:N,14,FALSE)</f>
        <v>#N/A</v>
      </c>
      <c r="AS40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4" s="50">
        <f>Tableau119[[#This Row],[Transit time]]+Tableau119[[#This Row],[Time for security]]+Tableau119[[#This Row],[Time for security2 buffer]]</f>
        <v>0</v>
      </c>
      <c r="AV4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4" s="50" t="e">
        <f>Tableau119[[#This Row],[Leadtime SI2C]]+Tableau119[[#This Row],[First Receipt Days]]-Tableau119[[#This Row],[Day Customer Order]]+1</f>
        <v>#N/A</v>
      </c>
      <c r="AX404" s="119" t="e">
        <f>IF(Tableau119[[#This Row],[Name ILN]]&lt;&gt;"SFK Freight Forwarder",Tableau119[[#This Row],[Cust. Leadtime]],Tableau119[[#This Row],[Leadtime SI2C]])</f>
        <v>#N/A</v>
      </c>
      <c r="AY404" s="51" t="b">
        <f>_xlfn.XLOOKUP(Tableau119[[#This Row],[Key(ID-date)]],'DATA BTO'!S:S,'DATA BTO'!P:P,FALSE)</f>
        <v>0</v>
      </c>
      <c r="AZ404" s="338">
        <v>46142</v>
      </c>
      <c r="BA404" s="50"/>
    </row>
    <row r="405" spans="2:53">
      <c r="B405" s="446" t="str">
        <f>_xlfn.CONCAT(Tableau119[[#This Row],[Name ILN]],"-",Tableau119[[#This Row],[Name Shipper]],"-",Tableau119[[#This Row],[Name Site]])</f>
        <v>ILN Chennai-ILN Chennai-CACIA</v>
      </c>
      <c r="C405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05" s="66" t="str">
        <f>_xlfn.CONCAT(Tableau119[[#This Row],[Compte ILN]],"-",Tableau119[[#This Row],[Compte Shipper]],"-",Tableau119[[#This Row],[POL]])</f>
        <v>2533780546-2533780546-FALSO</v>
      </c>
      <c r="E405" s="130" t="str">
        <f>_xlfn.CONCAT(Tableau119[[#This Row],[POL]],"-",Tableau119[[#This Row],[Carrier]],"-",Tableau119[[#This Row],[POD]])</f>
        <v>FALSO-FALSO-FALSO</v>
      </c>
      <c r="F405" s="66" t="str">
        <f>_xlfn.CONCAT(Tableau119[[#This Row],[ID]],"-","Actif")</f>
        <v>156-Actif</v>
      </c>
      <c r="G405" s="66" t="str">
        <f>_xlfn.CONCAT(Tableau119[[#This Row],[POD]],"-",Tableau119[[#This Row],[Code PFI]],"-",Tableau119[[#This Row],[Compte Consignee]])</f>
        <v>FALSO-91018400-90016500</v>
      </c>
      <c r="H4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05" s="434" t="str">
        <f>_xlfn.CONCAT(Tableau119[[#This Row],[ID]],"-",Tableau119[[#This Row],[Expiration Date]])</f>
        <v>156-45991</v>
      </c>
      <c r="J4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VLL-45991</v>
      </c>
      <c r="K405" s="119" t="str">
        <f ca="1">IF(COUNTIF(J:J,Tableau119[[#This Row],[Plant-ILN-shipper-POL-Carrier-POD-PFI]])=1,"Non","Oui")</f>
        <v>Non</v>
      </c>
      <c r="L405" s="128" t="str">
        <f>VLOOKUP(Tableau119[[#This Row],[Name Site]],Plant_AILN!A:D,4,FALSE)</f>
        <v>PORTUGAL</v>
      </c>
      <c r="M405" s="411" t="s">
        <v>170</v>
      </c>
      <c r="N405" s="454">
        <f>VLOOKUP(Tableau119[[#This Row],[Name Site]],Plant_AILN!A:C,3,FALSE)</f>
        <v>90016500</v>
      </c>
      <c r="O405" s="55">
        <f>VLOOKUP(Tableau119[[#This Row],[Compte Consignee]],Order!C:D,2,FALSE)</f>
        <v>5</v>
      </c>
      <c r="P405" s="124" t="s">
        <v>149</v>
      </c>
      <c r="Q405" s="365">
        <f>VLOOKUP(Tableau119[[#This Row],[Name ILN]],Plant_AILN!F:G,2,FALSE)</f>
        <v>2533780546</v>
      </c>
      <c r="R405" s="50">
        <f>VLOOKUP(Tableau119[[#This Row],[Compte ILN]],'DATA ILN'!D:I,6,FALSE)</f>
        <v>9</v>
      </c>
      <c r="S405" s="50" t="e">
        <f>IFERROR(VLOOKUP(Tableau119[[#This Row],[Key(Compte ILN - shipper - POL - plant)]],'DATA ILN'!A:J,10,FALSE),VLOOKUP(Tableau119[[#This Row],[Key(Compte ILN - shipper - POL)]],'DATA ILN'!B:J,9,FALSE))</f>
        <v>#N/A</v>
      </c>
      <c r="T405" s="50" t="e">
        <f>IFERROR(VLOOKUP(Tableau119[[#This Row],[Key(Compte ILN - shipper - POL - plant)]],'DATA ILN'!A:K,11,FALSE),VLOOKUP(Tableau119[[#This Row],[Key(Compte ILN - shipper - POL)]],'DATA ILN'!B:K,10,FALSE))</f>
        <v>#N/A</v>
      </c>
      <c r="U405" s="50" t="e">
        <f>IFERROR(VLOOKUP(Tableau119[[#This Row],[Key(Compte ILN - shipper - POL - plant)]],'DATA ILN'!A:L,12,FALSE),VLOOKUP(Tableau119[[#This Row],[Key(Compte ILN - shipper - POL)]],'DATA ILN'!B:L,11,FALSE))</f>
        <v>#N/A</v>
      </c>
      <c r="V405" s="50" t="e">
        <f>Tableau119[[#This Row],[Day ILN Order]]+Tableau119[[#This Row],[Delivery time to ILN/Shipper]]-1</f>
        <v>#N/A</v>
      </c>
      <c r="W405" s="50" t="e">
        <f>IFERROR(VLOOKUP(Tableau119[[#This Row],[Key(Compte ILN - shipper - POL - plant)]],'DATA ILN'!A:N,14,FALSE),VLOOKUP(Tableau119[[#This Row],[Key(Compte ILN - shipper - POL)]],'DATA ILN'!B:N,13,FALSE))</f>
        <v>#N/A</v>
      </c>
      <c r="X405" s="50" t="e">
        <f>IFERROR(VLOOKUP(Tableau119[[#This Row],[Key(Compte ILN - shipper - POL - plant)]],'DATA ILN'!A:P,16,FALSE),VLOOKUP(Tableau119[[#This Row],[Key(Compte ILN - shipper - POL)]],'DATA ILN'!B:P,15,FALSE))</f>
        <v>#N/A</v>
      </c>
      <c r="Y405" s="284" t="s">
        <v>149</v>
      </c>
      <c r="Z405" s="430">
        <f>IFERROR(VLOOKUP(Tableau119[[#This Row],[Name Shipper]],Plant_AILN!L:M,2,FALSE),0)</f>
        <v>2533780546</v>
      </c>
      <c r="AA405" s="406">
        <v>156</v>
      </c>
      <c r="AB405" s="396" t="b">
        <f>_xlfn.XLOOKUP(Tableau119[[#This Row],[Key(ID-date)]],'DATA BTO'!S:S,'DATA BTO'!E:E,FALSE)</f>
        <v>0</v>
      </c>
      <c r="AC405" s="3" t="b">
        <f>_xlfn.XLOOKUP(Tableau119[[#This Row],[Key(ID-date)]],'DATA BTO'!S:S,'DATA BTO'!F:F,FALSE)</f>
        <v>0</v>
      </c>
      <c r="AD405" s="50" t="b">
        <f>_xlfn.XLOOKUP(Tableau119[[#This Row],[Key(ID-date)]],'DATA BTO'!S:S,'DATA BTO'!G:G,FALSE)</f>
        <v>0</v>
      </c>
      <c r="AE405" s="50" t="b">
        <f>_xlfn.XLOOKUP(Tableau119[[#This Row],[Key(ID-date)]],'DATA BTO'!S:S,'DATA BTO'!H:H,FALSE)</f>
        <v>0</v>
      </c>
      <c r="AF405" s="447" t="e">
        <f>IF(Tableau119[[#This Row],[First Day to POL]]&lt;=Tableau119[[#This Row],[Day Cut Off]],Tableau119[[#This Row],[Day ETD]],Tableau119[[#This Row],[Day ETD]]+7)</f>
        <v>#N/A</v>
      </c>
      <c r="AG405" s="50" t="b">
        <f>_xlfn.XLOOKUP(Tableau119[[#This Row],[Key(ID-date)]],'DATA BTO'!S:S,'DATA BTO'!I:I,FALSE)</f>
        <v>0</v>
      </c>
      <c r="AH405" s="3" t="b">
        <f>_xlfn.XLOOKUP(Tableau119[[#This Row],[Key(ID-date)]],'DATA BTO'!S:S,'DATA BTO'!J:J,FALSE)</f>
        <v>0</v>
      </c>
      <c r="AI405" s="3" t="b">
        <f>_xlfn.XLOOKUP(Tableau119[[#This Row],[Key(ID-date)]],'DATA BTO'!S:S,'DATA BTO'!K:K,FALSE)</f>
        <v>0</v>
      </c>
      <c r="AJ405" s="50" t="b">
        <f>_xlfn.XLOOKUP(Tableau119[[#This Row],[Key(ID-date)]],'DATA BTO'!S:S,'DATA BTO'!L:L,FALSE)</f>
        <v>0</v>
      </c>
      <c r="AK405" s="53" t="b">
        <f>_xlfn.XLOOKUP(Tableau119[[#This Row],[Key(ID-date)]],'DATA BTO'!S:S,'DATA BTO'!N:N,FALSE)</f>
        <v>0</v>
      </c>
      <c r="AL405" s="54" t="e">
        <f>VLOOKUP(Tableau119[[#This Row],[Key(POD -PFI- Usine)]],'DATA Consignee'!A:F,6,FALSE)</f>
        <v>#N/A</v>
      </c>
      <c r="AM405" s="284" t="s">
        <v>171</v>
      </c>
      <c r="AN405" s="376">
        <f>IF(Tableau119[[#This Row],[Name PFI/CDD]]="","-",VLOOKUP(Tableau119[[#This Row],[Name PFI/CDD]],Plant_AILN!I:J,2,FALSE))</f>
        <v>91018400</v>
      </c>
      <c r="AO40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5" s="2" t="e">
        <f>VLOOKUP(Tableau119[[#This Row],[Key(POD -PFI- Usine)]],'DATA Consignee'!A:J,10,FALSE)</f>
        <v>#N/A</v>
      </c>
      <c r="AR405" s="50" t="e">
        <f>VLOOKUP(Tableau119[[#This Row],[Key(POD -PFI- Usine)]],'DATA Consignee'!A:N,14,FALSE)</f>
        <v>#N/A</v>
      </c>
      <c r="AS4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5" s="50">
        <f>Tableau119[[#This Row],[Transit time]]+Tableau119[[#This Row],[Time for security]]+Tableau119[[#This Row],[Time for security2 buffer]]</f>
        <v>0</v>
      </c>
      <c r="AV4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5" s="50" t="e">
        <f>Tableau119[[#This Row],[Leadtime SI2C]]+Tableau119[[#This Row],[First Receipt Days]]-Tableau119[[#This Row],[Day Customer Order]]+1</f>
        <v>#N/A</v>
      </c>
      <c r="AX405" s="119" t="e">
        <f>IF(Tableau119[[#This Row],[Name ILN]]&lt;&gt;"SFK Freight Forwarder",Tableau119[[#This Row],[Cust. Leadtime]],Tableau119[[#This Row],[Leadtime SI2C]])</f>
        <v>#N/A</v>
      </c>
      <c r="AY405" s="51" t="b">
        <f>_xlfn.XLOOKUP(Tableau119[[#This Row],[Key(ID-date)]],'DATA BTO'!S:S,'DATA BTO'!P:P,FALSE)</f>
        <v>0</v>
      </c>
      <c r="AZ405" s="338">
        <v>45991</v>
      </c>
      <c r="BA405" s="50"/>
    </row>
    <row r="406" spans="2:53">
      <c r="B406" s="446" t="str">
        <f>_xlfn.CONCAT(Tableau119[[#This Row],[Name ILN]],"-",Tableau119[[#This Row],[Name Shipper]],"-",Tableau119[[#This Row],[Name Site]])</f>
        <v>ILN Chennai-ILN Chennai-ILN VLL</v>
      </c>
      <c r="C406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06" s="66" t="str">
        <f>_xlfn.CONCAT(Tableau119[[#This Row],[Compte ILN]],"-",Tableau119[[#This Row],[Compte Shipper]],"-",Tableau119[[#This Row],[POL]])</f>
        <v>2533780546-2533780546-FALSO</v>
      </c>
      <c r="E406" s="130" t="str">
        <f>_xlfn.CONCAT(Tableau119[[#This Row],[POL]],"-",Tableau119[[#This Row],[Carrier]],"-",Tableau119[[#This Row],[POD]])</f>
        <v>FALSO-FALSO-FALSO</v>
      </c>
      <c r="F406" s="66" t="str">
        <f>_xlfn.CONCAT(Tableau119[[#This Row],[ID]],"-","Actif")</f>
        <v>156-Actif</v>
      </c>
      <c r="G406" s="66" t="str">
        <f>_xlfn.CONCAT(Tableau119[[#This Row],[POD]],"-",Tableau119[[#This Row],[Code PFI]],"-",Tableau119[[#This Row],[Compte Consignee]])</f>
        <v>FALSO---9101840000</v>
      </c>
      <c r="H4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06" s="434" t="str">
        <f>_xlfn.CONCAT(Tableau119[[#This Row],[ID]],"-",Tableau119[[#This Row],[Expiration Date]])</f>
        <v>156-45991</v>
      </c>
      <c r="J4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Chennai-156-FALSO-FALSO-FALSO--45991</v>
      </c>
      <c r="K406" s="119" t="str">
        <f ca="1">IF(COUNTIF(J:J,Tableau119[[#This Row],[Plant-ILN-shipper-POL-Carrier-POD-PFI]])=1,"Non","Oui")</f>
        <v>Non</v>
      </c>
      <c r="L406" s="128" t="str">
        <f>VLOOKUP(Tableau119[[#This Row],[Name Site]],Plant_AILN!A:D,4,FALSE)</f>
        <v>SPAIN</v>
      </c>
      <c r="M406" s="415" t="s">
        <v>151</v>
      </c>
      <c r="N406" s="455">
        <f>VLOOKUP(Tableau119[[#This Row],[Name Site]],Plant_AILN!A:C,3,FALSE)</f>
        <v>9101840000</v>
      </c>
      <c r="O406" s="104">
        <f>VLOOKUP(Tableau119[[#This Row],[Compte Consignee]],Order!C:D,2,FALSE)</f>
        <v>2</v>
      </c>
      <c r="P406" s="126" t="s">
        <v>149</v>
      </c>
      <c r="Q406" s="366">
        <f>VLOOKUP(Tableau119[[#This Row],[Name ILN]],Plant_AILN!F:G,2,FALSE)</f>
        <v>2533780546</v>
      </c>
      <c r="R406" s="81">
        <f>VLOOKUP(Tableau119[[#This Row],[Compte ILN]],'DATA ILN'!D:I,6,FALSE)</f>
        <v>9</v>
      </c>
      <c r="S406" s="81" t="e">
        <f>IFERROR(VLOOKUP(Tableau119[[#This Row],[Key(Compte ILN - shipper - POL - plant)]],'DATA ILN'!A:J,10,FALSE),VLOOKUP(Tableau119[[#This Row],[Key(Compte ILN - shipper - POL)]],'DATA ILN'!B:J,9,FALSE))</f>
        <v>#N/A</v>
      </c>
      <c r="T406" s="81" t="e">
        <f>IFERROR(VLOOKUP(Tableau119[[#This Row],[Key(Compte ILN - shipper - POL - plant)]],'DATA ILN'!A:K,11,FALSE),VLOOKUP(Tableau119[[#This Row],[Key(Compte ILN - shipper - POL)]],'DATA ILN'!B:K,10,FALSE))</f>
        <v>#N/A</v>
      </c>
      <c r="U406" s="81" t="e">
        <f>IFERROR(VLOOKUP(Tableau119[[#This Row],[Key(Compte ILN - shipper - POL - plant)]],'DATA ILN'!A:L,12,FALSE),VLOOKUP(Tableau119[[#This Row],[Key(Compte ILN - shipper - POL)]],'DATA ILN'!B:L,11,FALSE))</f>
        <v>#N/A</v>
      </c>
      <c r="V406" s="81" t="e">
        <f>Tableau119[[#This Row],[Day ILN Order]]+Tableau119[[#This Row],[Delivery time to ILN/Shipper]]-1</f>
        <v>#N/A</v>
      </c>
      <c r="W406" s="81" t="e">
        <f>IFERROR(VLOOKUP(Tableau119[[#This Row],[Key(Compte ILN - shipper - POL - plant)]],'DATA ILN'!A:N,14,FALSE),VLOOKUP(Tableau119[[#This Row],[Key(Compte ILN - shipper - POL)]],'DATA ILN'!B:N,13,FALSE))</f>
        <v>#N/A</v>
      </c>
      <c r="X406" s="81" t="e">
        <f>IFERROR(VLOOKUP(Tableau119[[#This Row],[Key(Compte ILN - shipper - POL - plant)]],'DATA ILN'!A:P,16,FALSE),VLOOKUP(Tableau119[[#This Row],[Key(Compte ILN - shipper - POL)]],'DATA ILN'!B:P,15,FALSE))</f>
        <v>#N/A</v>
      </c>
      <c r="Y406" s="102" t="s">
        <v>149</v>
      </c>
      <c r="Z406" s="417">
        <f>IFERROR(VLOOKUP(Tableau119[[#This Row],[Name Shipper]],Plant_AILN!L:M,2,FALSE),0)</f>
        <v>2533780546</v>
      </c>
      <c r="AA406" s="416">
        <v>156</v>
      </c>
      <c r="AB406" s="396" t="b">
        <f>_xlfn.XLOOKUP(Tableau119[[#This Row],[Key(ID-date)]],'DATA BTO'!S:S,'DATA BTO'!E:E,FALSE)</f>
        <v>0</v>
      </c>
      <c r="AC406" s="3" t="b">
        <f>_xlfn.XLOOKUP(Tableau119[[#This Row],[Key(ID-date)]],'DATA BTO'!S:S,'DATA BTO'!F:F,FALSE)</f>
        <v>0</v>
      </c>
      <c r="AD406" s="50" t="b">
        <f>_xlfn.XLOOKUP(Tableau119[[#This Row],[Key(ID-date)]],'DATA BTO'!S:S,'DATA BTO'!G:G,FALSE)</f>
        <v>0</v>
      </c>
      <c r="AE406" s="50" t="b">
        <f>_xlfn.XLOOKUP(Tableau119[[#This Row],[Key(ID-date)]],'DATA BTO'!S:S,'DATA BTO'!H:H,FALSE)</f>
        <v>0</v>
      </c>
      <c r="AF406" s="447" t="e">
        <f>IF(Tableau119[[#This Row],[First Day to POL]]&lt;=Tableau119[[#This Row],[Day Cut Off]],Tableau119[[#This Row],[Day ETD]],Tableau119[[#This Row],[Day ETD]]+7)</f>
        <v>#N/A</v>
      </c>
      <c r="AG406" s="50" t="b">
        <f>_xlfn.XLOOKUP(Tableau119[[#This Row],[Key(ID-date)]],'DATA BTO'!S:S,'DATA BTO'!I:I,FALSE)</f>
        <v>0</v>
      </c>
      <c r="AH406" s="3" t="b">
        <f>_xlfn.XLOOKUP(Tableau119[[#This Row],[Key(ID-date)]],'DATA BTO'!S:S,'DATA BTO'!J:J,FALSE)</f>
        <v>0</v>
      </c>
      <c r="AI406" s="3" t="b">
        <f>_xlfn.XLOOKUP(Tableau119[[#This Row],[Key(ID-date)]],'DATA BTO'!S:S,'DATA BTO'!K:K,FALSE)</f>
        <v>0</v>
      </c>
      <c r="AJ406" s="50" t="b">
        <f>_xlfn.XLOOKUP(Tableau119[[#This Row],[Key(ID-date)]],'DATA BTO'!S:S,'DATA BTO'!L:L,FALSE)</f>
        <v>0</v>
      </c>
      <c r="AK406" s="53" t="b">
        <f>_xlfn.XLOOKUP(Tableau119[[#This Row],[Key(ID-date)]],'DATA BTO'!S:S,'DATA BTO'!N:N,FALSE)</f>
        <v>0</v>
      </c>
      <c r="AL406" s="54" t="e">
        <f>VLOOKUP(Tableau119[[#This Row],[Key(POD -PFI- Usine)]],'DATA Consignee'!A:F,6,FALSE)</f>
        <v>#N/A</v>
      </c>
      <c r="AM406" s="102"/>
      <c r="AN406" s="375" t="str">
        <f>IF(Tableau119[[#This Row],[Name PFI/CDD]]="","-",VLOOKUP(Tableau119[[#This Row],[Name PFI/CDD]],Plant_AILN!I:J,2,FALSE))</f>
        <v>-</v>
      </c>
      <c r="AO40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0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06" s="110" t="e">
        <f>VLOOKUP(Tableau119[[#This Row],[Key(POD -PFI- Usine)]],'DATA Consignee'!A:J,10,FALSE)</f>
        <v>#N/A</v>
      </c>
      <c r="AR406" s="81" t="e">
        <f>VLOOKUP(Tableau119[[#This Row],[Key(POD -PFI- Usine)]],'DATA Consignee'!A:N,14,FALSE)</f>
        <v>#N/A</v>
      </c>
      <c r="AS40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6" s="81">
        <f>Tableau119[[#This Row],[Transit time]]+Tableau119[[#This Row],[Time for security]]+Tableau119[[#This Row],[Time for security2 buffer]]</f>
        <v>0</v>
      </c>
      <c r="AV4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6" s="50" t="e">
        <f>Tableau119[[#This Row],[Leadtime SI2C]]+Tableau119[[#This Row],[First Receipt Days]]-Tableau119[[#This Row],[Day Customer Order]]+1</f>
        <v>#N/A</v>
      </c>
      <c r="AX406" s="119" t="e">
        <f>IF(Tableau119[[#This Row],[Name ILN]]&lt;&gt;"SFK Freight Forwarder",Tableau119[[#This Row],[Cust. Leadtime]],Tableau119[[#This Row],[Leadtime SI2C]])</f>
        <v>#N/A</v>
      </c>
      <c r="AY406" s="51" t="b">
        <f>_xlfn.XLOOKUP(Tableau119[[#This Row],[Key(ID-date)]],'DATA BTO'!S:S,'DATA BTO'!P:P,FALSE)</f>
        <v>0</v>
      </c>
      <c r="AZ406" s="388">
        <v>45991</v>
      </c>
      <c r="BA406" s="81"/>
    </row>
    <row r="407" spans="2:53">
      <c r="B407" s="446" t="str">
        <f>_xlfn.CONCAT(Tableau119[[#This Row],[Name ILN]],"-",Tableau119[[#This Row],[Name Shipper]],"-",Tableau119[[#This Row],[Name Site]])</f>
        <v>ILN Chennai-ILN Chennai-PALENCIA</v>
      </c>
      <c r="C407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07" s="66" t="str">
        <f>_xlfn.CONCAT(Tableau119[[#This Row],[Compte ILN]],"-",Tableau119[[#This Row],[Compte Shipper]],"-",Tableau119[[#This Row],[POL]])</f>
        <v>2533780546-2533780546-FALSO</v>
      </c>
      <c r="E407" s="130" t="str">
        <f>_xlfn.CONCAT(Tableau119[[#This Row],[POL]],"-",Tableau119[[#This Row],[Carrier]],"-",Tableau119[[#This Row],[POD]])</f>
        <v>FALSO-FALSO-FALSO</v>
      </c>
      <c r="F407" s="66" t="str">
        <f>_xlfn.CONCAT(Tableau119[[#This Row],[ID]],"-","Actif")</f>
        <v>156-Actif</v>
      </c>
      <c r="G407" s="66" t="str">
        <f>_xlfn.CONCAT(Tableau119[[#This Row],[POD]],"-",Tableau119[[#This Row],[Code PFI]],"-",Tableau119[[#This Row],[Compte Consignee]])</f>
        <v>FALSO-91018400-91017200</v>
      </c>
      <c r="H4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07" s="434" t="str">
        <f>_xlfn.CONCAT(Tableau119[[#This Row],[ID]],"-",Tableau119[[#This Row],[Expiration Date]])</f>
        <v>156-45991</v>
      </c>
      <c r="J4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VLL-45991</v>
      </c>
      <c r="K407" s="119" t="str">
        <f ca="1">IF(COUNTIF(J:J,Tableau119[[#This Row],[Plant-ILN-shipper-POL-Carrier-POD-PFI]])=1,"Non","Oui")</f>
        <v>Non</v>
      </c>
      <c r="L407" s="128" t="str">
        <f>VLOOKUP(Tableau119[[#This Row],[Name Site]],Plant_AILN!A:D,4,FALSE)</f>
        <v>SPAIN</v>
      </c>
      <c r="M407" s="411" t="s">
        <v>184</v>
      </c>
      <c r="N407" s="454">
        <f>VLOOKUP(Tableau119[[#This Row],[Name Site]],Plant_AILN!A:C,3,FALSE)</f>
        <v>91017200</v>
      </c>
      <c r="O407" s="55">
        <f>VLOOKUP(Tableau119[[#This Row],[Compte Consignee]],Order!C:D,2,FALSE)</f>
        <v>7</v>
      </c>
      <c r="P407" s="124" t="s">
        <v>149</v>
      </c>
      <c r="Q407" s="365">
        <f>VLOOKUP(Tableau119[[#This Row],[Name ILN]],Plant_AILN!F:G,2,FALSE)</f>
        <v>2533780546</v>
      </c>
      <c r="R407" s="50">
        <f>VLOOKUP(Tableau119[[#This Row],[Compte ILN]],'DATA ILN'!D:I,6,FALSE)</f>
        <v>9</v>
      </c>
      <c r="S407" s="50" t="e">
        <f>IFERROR(VLOOKUP(Tableau119[[#This Row],[Key(Compte ILN - shipper - POL - plant)]],'DATA ILN'!A:J,10,FALSE),VLOOKUP(Tableau119[[#This Row],[Key(Compte ILN - shipper - POL)]],'DATA ILN'!B:J,9,FALSE))</f>
        <v>#N/A</v>
      </c>
      <c r="T407" s="50" t="e">
        <f>IFERROR(VLOOKUP(Tableau119[[#This Row],[Key(Compte ILN - shipper - POL - plant)]],'DATA ILN'!A:K,11,FALSE),VLOOKUP(Tableau119[[#This Row],[Key(Compte ILN - shipper - POL)]],'DATA ILN'!B:K,10,FALSE))</f>
        <v>#N/A</v>
      </c>
      <c r="U407" s="50" t="e">
        <f>IFERROR(VLOOKUP(Tableau119[[#This Row],[Key(Compte ILN - shipper - POL - plant)]],'DATA ILN'!A:L,12,FALSE),VLOOKUP(Tableau119[[#This Row],[Key(Compte ILN - shipper - POL)]],'DATA ILN'!B:L,11,FALSE))</f>
        <v>#N/A</v>
      </c>
      <c r="V407" s="50" t="e">
        <f>Tableau119[[#This Row],[Day ILN Order]]+Tableau119[[#This Row],[Delivery time to ILN/Shipper]]-1</f>
        <v>#N/A</v>
      </c>
      <c r="W407" s="50" t="e">
        <f>IFERROR(VLOOKUP(Tableau119[[#This Row],[Key(Compte ILN - shipper - POL - plant)]],'DATA ILN'!A:N,14,FALSE),VLOOKUP(Tableau119[[#This Row],[Key(Compte ILN - shipper - POL)]],'DATA ILN'!B:N,13,FALSE))</f>
        <v>#N/A</v>
      </c>
      <c r="X407" s="50" t="e">
        <f>IFERROR(VLOOKUP(Tableau119[[#This Row],[Key(Compte ILN - shipper - POL - plant)]],'DATA ILN'!A:P,16,FALSE),VLOOKUP(Tableau119[[#This Row],[Key(Compte ILN - shipper - POL)]],'DATA ILN'!B:P,15,FALSE))</f>
        <v>#N/A</v>
      </c>
      <c r="Y407" s="284" t="s">
        <v>149</v>
      </c>
      <c r="Z407" s="430">
        <f>IFERROR(VLOOKUP(Tableau119[[#This Row],[Name Shipper]],Plant_AILN!L:M,2,FALSE),0)</f>
        <v>2533780546</v>
      </c>
      <c r="AA407" s="406">
        <v>156</v>
      </c>
      <c r="AB407" s="396" t="b">
        <f>_xlfn.XLOOKUP(Tableau119[[#This Row],[Key(ID-date)]],'DATA BTO'!S:S,'DATA BTO'!E:E,FALSE)</f>
        <v>0</v>
      </c>
      <c r="AC407" s="3" t="b">
        <f>_xlfn.XLOOKUP(Tableau119[[#This Row],[Key(ID-date)]],'DATA BTO'!S:S,'DATA BTO'!F:F,FALSE)</f>
        <v>0</v>
      </c>
      <c r="AD407" s="50" t="b">
        <f>_xlfn.XLOOKUP(Tableau119[[#This Row],[Key(ID-date)]],'DATA BTO'!S:S,'DATA BTO'!G:G,FALSE)</f>
        <v>0</v>
      </c>
      <c r="AE407" s="50" t="b">
        <f>_xlfn.XLOOKUP(Tableau119[[#This Row],[Key(ID-date)]],'DATA BTO'!S:S,'DATA BTO'!H:H,FALSE)</f>
        <v>0</v>
      </c>
      <c r="AF407" s="447" t="e">
        <f>IF(Tableau119[[#This Row],[First Day to POL]]&lt;=Tableau119[[#This Row],[Day Cut Off]],Tableau119[[#This Row],[Day ETD]],Tableau119[[#This Row],[Day ETD]]+7)</f>
        <v>#N/A</v>
      </c>
      <c r="AG407" s="50" t="b">
        <f>_xlfn.XLOOKUP(Tableau119[[#This Row],[Key(ID-date)]],'DATA BTO'!S:S,'DATA BTO'!I:I,FALSE)</f>
        <v>0</v>
      </c>
      <c r="AH407" s="3" t="b">
        <f>_xlfn.XLOOKUP(Tableau119[[#This Row],[Key(ID-date)]],'DATA BTO'!S:S,'DATA BTO'!J:J,FALSE)</f>
        <v>0</v>
      </c>
      <c r="AI407" s="3" t="b">
        <f>_xlfn.XLOOKUP(Tableau119[[#This Row],[Key(ID-date)]],'DATA BTO'!S:S,'DATA BTO'!K:K,FALSE)</f>
        <v>0</v>
      </c>
      <c r="AJ407" s="50" t="b">
        <f>_xlfn.XLOOKUP(Tableau119[[#This Row],[Key(ID-date)]],'DATA BTO'!S:S,'DATA BTO'!L:L,FALSE)</f>
        <v>0</v>
      </c>
      <c r="AK407" s="53" t="b">
        <f>_xlfn.XLOOKUP(Tableau119[[#This Row],[Key(ID-date)]],'DATA BTO'!S:S,'DATA BTO'!N:N,FALSE)</f>
        <v>0</v>
      </c>
      <c r="AL407" s="54" t="e">
        <f>VLOOKUP(Tableau119[[#This Row],[Key(POD -PFI- Usine)]],'DATA Consignee'!A:F,6,FALSE)</f>
        <v>#N/A</v>
      </c>
      <c r="AM407" s="127" t="s">
        <v>171</v>
      </c>
      <c r="AN407" s="376">
        <f>IF(Tableau119[[#This Row],[Name PFI/CDD]]="","-",VLOOKUP(Tableau119[[#This Row],[Name PFI/CDD]],Plant_AILN!I:J,2,FALSE))</f>
        <v>91018400</v>
      </c>
      <c r="AO40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7" s="2" t="e">
        <f>VLOOKUP(Tableau119[[#This Row],[Key(POD -PFI- Usine)]],'DATA Consignee'!A:J,10,FALSE)</f>
        <v>#N/A</v>
      </c>
      <c r="AR407" s="50" t="e">
        <f>VLOOKUP(Tableau119[[#This Row],[Key(POD -PFI- Usine)]],'DATA Consignee'!A:N,14,FALSE)</f>
        <v>#N/A</v>
      </c>
      <c r="AS40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7" s="50">
        <f>Tableau119[[#This Row],[Transit time]]+Tableau119[[#This Row],[Time for security]]+Tableau119[[#This Row],[Time for security2 buffer]]</f>
        <v>0</v>
      </c>
      <c r="AV4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7" s="50" t="e">
        <f>Tableau119[[#This Row],[Leadtime SI2C]]+Tableau119[[#This Row],[First Receipt Days]]-Tableau119[[#This Row],[Day Customer Order]]+1</f>
        <v>#N/A</v>
      </c>
      <c r="AX407" s="119" t="e">
        <f>IF(Tableau119[[#This Row],[Name ILN]]&lt;&gt;"SFK Freight Forwarder",Tableau119[[#This Row],[Cust. Leadtime]],Tableau119[[#This Row],[Leadtime SI2C]])</f>
        <v>#N/A</v>
      </c>
      <c r="AY407" s="51" t="b">
        <f>_xlfn.XLOOKUP(Tableau119[[#This Row],[Key(ID-date)]],'DATA BTO'!S:S,'DATA BTO'!P:P,FALSE)</f>
        <v>0</v>
      </c>
      <c r="AZ407" s="338">
        <v>45991</v>
      </c>
      <c r="BA407" s="50"/>
    </row>
    <row r="408" spans="2:53">
      <c r="B408" s="446" t="str">
        <f>_xlfn.CONCAT(Tableau119[[#This Row],[Name ILN]],"-",Tableau119[[#This Row],[Name Shipper]],"-",Tableau119[[#This Row],[Name Site]])</f>
        <v>ILN Chennai-ILN Chennai-VALL MONTAGE</v>
      </c>
      <c r="C408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08" s="66" t="str">
        <f>_xlfn.CONCAT(Tableau119[[#This Row],[Compte ILN]],"-",Tableau119[[#This Row],[Compte Shipper]],"-",Tableau119[[#This Row],[POL]])</f>
        <v>2533780546-2533780546-FALSO</v>
      </c>
      <c r="E408" s="130" t="str">
        <f>_xlfn.CONCAT(Tableau119[[#This Row],[POL]],"-",Tableau119[[#This Row],[Carrier]],"-",Tableau119[[#This Row],[POD]])</f>
        <v>FALSO-FALSO-FALSO</v>
      </c>
      <c r="F408" s="66" t="str">
        <f>_xlfn.CONCAT(Tableau119[[#This Row],[ID]],"-","Actif")</f>
        <v>156-Actif</v>
      </c>
      <c r="G408" s="66" t="str">
        <f>_xlfn.CONCAT(Tableau119[[#This Row],[POD]],"-",Tableau119[[#This Row],[Code PFI]],"-",Tableau119[[#This Row],[Compte Consignee]])</f>
        <v>FALSO-91018400-91017300</v>
      </c>
      <c r="H4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08" s="434" t="str">
        <f>_xlfn.CONCAT(Tableau119[[#This Row],[ID]],"-",Tableau119[[#This Row],[Expiration Date]])</f>
        <v>156-45991</v>
      </c>
      <c r="J4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VLL-45991</v>
      </c>
      <c r="K408" s="119" t="str">
        <f ca="1">IF(COUNTIF(J:J,Tableau119[[#This Row],[Plant-ILN-shipper-POL-Carrier-POD-PFI]])=1,"Non","Oui")</f>
        <v>Non</v>
      </c>
      <c r="L408" s="128" t="str">
        <f>VLOOKUP(Tableau119[[#This Row],[Name Site]],Plant_AILN!A:D,4,FALSE)</f>
        <v>SPAIN</v>
      </c>
      <c r="M408" s="411" t="s">
        <v>175</v>
      </c>
      <c r="N408" s="454">
        <f>VLOOKUP(Tableau119[[#This Row],[Name Site]],Plant_AILN!A:C,3,FALSE)</f>
        <v>91017300</v>
      </c>
      <c r="O408" s="55">
        <f>VLOOKUP(Tableau119[[#This Row],[Compte Consignee]],Order!C:D,2,FALSE)</f>
        <v>7</v>
      </c>
      <c r="P408" s="124" t="s">
        <v>149</v>
      </c>
      <c r="Q408" s="365">
        <f>VLOOKUP(Tableau119[[#This Row],[Name ILN]],Plant_AILN!F:G,2,FALSE)</f>
        <v>2533780546</v>
      </c>
      <c r="R408" s="50">
        <f>VLOOKUP(Tableau119[[#This Row],[Compte ILN]],'DATA ILN'!D:I,6,FALSE)</f>
        <v>9</v>
      </c>
      <c r="S408" s="50" t="e">
        <f>IFERROR(VLOOKUP(Tableau119[[#This Row],[Key(Compte ILN - shipper - POL - plant)]],'DATA ILN'!A:J,10,FALSE),VLOOKUP(Tableau119[[#This Row],[Key(Compte ILN - shipper - POL)]],'DATA ILN'!B:J,9,FALSE))</f>
        <v>#N/A</v>
      </c>
      <c r="T408" s="50" t="e">
        <f>IFERROR(VLOOKUP(Tableau119[[#This Row],[Key(Compte ILN - shipper - POL - plant)]],'DATA ILN'!A:K,11,FALSE),VLOOKUP(Tableau119[[#This Row],[Key(Compte ILN - shipper - POL)]],'DATA ILN'!B:K,10,FALSE))</f>
        <v>#N/A</v>
      </c>
      <c r="U408" s="50" t="e">
        <f>IFERROR(VLOOKUP(Tableau119[[#This Row],[Key(Compte ILN - shipper - POL - plant)]],'DATA ILN'!A:L,12,FALSE),VLOOKUP(Tableau119[[#This Row],[Key(Compte ILN - shipper - POL)]],'DATA ILN'!B:L,11,FALSE))</f>
        <v>#N/A</v>
      </c>
      <c r="V408" s="50" t="e">
        <f>Tableau119[[#This Row],[Day ILN Order]]+Tableau119[[#This Row],[Delivery time to ILN/Shipper]]-1</f>
        <v>#N/A</v>
      </c>
      <c r="W408" s="50" t="e">
        <f>IFERROR(VLOOKUP(Tableau119[[#This Row],[Key(Compte ILN - shipper - POL - plant)]],'DATA ILN'!A:N,14,FALSE),VLOOKUP(Tableau119[[#This Row],[Key(Compte ILN - shipper - POL)]],'DATA ILN'!B:N,13,FALSE))</f>
        <v>#N/A</v>
      </c>
      <c r="X408" s="50" t="e">
        <f>IFERROR(VLOOKUP(Tableau119[[#This Row],[Key(Compte ILN - shipper - POL - plant)]],'DATA ILN'!A:P,16,FALSE),VLOOKUP(Tableau119[[#This Row],[Key(Compte ILN - shipper - POL)]],'DATA ILN'!B:P,15,FALSE))</f>
        <v>#N/A</v>
      </c>
      <c r="Y408" s="284" t="s">
        <v>149</v>
      </c>
      <c r="Z408" s="430">
        <f>IFERROR(VLOOKUP(Tableau119[[#This Row],[Name Shipper]],Plant_AILN!L:M,2,FALSE),0)</f>
        <v>2533780546</v>
      </c>
      <c r="AA408" s="406">
        <v>156</v>
      </c>
      <c r="AB408" s="396" t="b">
        <f>_xlfn.XLOOKUP(Tableau119[[#This Row],[Key(ID-date)]],'DATA BTO'!S:S,'DATA BTO'!E:E,FALSE)</f>
        <v>0</v>
      </c>
      <c r="AC408" s="3" t="b">
        <f>_xlfn.XLOOKUP(Tableau119[[#This Row],[Key(ID-date)]],'DATA BTO'!S:S,'DATA BTO'!F:F,FALSE)</f>
        <v>0</v>
      </c>
      <c r="AD408" s="50" t="b">
        <f>_xlfn.XLOOKUP(Tableau119[[#This Row],[Key(ID-date)]],'DATA BTO'!S:S,'DATA BTO'!G:G,FALSE)</f>
        <v>0</v>
      </c>
      <c r="AE408" s="50" t="b">
        <f>_xlfn.XLOOKUP(Tableau119[[#This Row],[Key(ID-date)]],'DATA BTO'!S:S,'DATA BTO'!H:H,FALSE)</f>
        <v>0</v>
      </c>
      <c r="AF408" s="447" t="e">
        <f>IF(Tableau119[[#This Row],[First Day to POL]]&lt;=Tableau119[[#This Row],[Day Cut Off]],Tableau119[[#This Row],[Day ETD]],Tableau119[[#This Row],[Day ETD]]+7)</f>
        <v>#N/A</v>
      </c>
      <c r="AG408" s="50" t="b">
        <f>_xlfn.XLOOKUP(Tableau119[[#This Row],[Key(ID-date)]],'DATA BTO'!S:S,'DATA BTO'!I:I,FALSE)</f>
        <v>0</v>
      </c>
      <c r="AH408" s="3" t="b">
        <f>_xlfn.XLOOKUP(Tableau119[[#This Row],[Key(ID-date)]],'DATA BTO'!S:S,'DATA BTO'!J:J,FALSE)</f>
        <v>0</v>
      </c>
      <c r="AI408" s="3" t="b">
        <f>_xlfn.XLOOKUP(Tableau119[[#This Row],[Key(ID-date)]],'DATA BTO'!S:S,'DATA BTO'!K:K,FALSE)</f>
        <v>0</v>
      </c>
      <c r="AJ408" s="50" t="b">
        <f>_xlfn.XLOOKUP(Tableau119[[#This Row],[Key(ID-date)]],'DATA BTO'!S:S,'DATA BTO'!L:L,FALSE)</f>
        <v>0</v>
      </c>
      <c r="AK408" s="53" t="b">
        <f>_xlfn.XLOOKUP(Tableau119[[#This Row],[Key(ID-date)]],'DATA BTO'!S:S,'DATA BTO'!N:N,FALSE)</f>
        <v>0</v>
      </c>
      <c r="AL408" s="54" t="e">
        <f>VLOOKUP(Tableau119[[#This Row],[Key(POD -PFI- Usine)]],'DATA Consignee'!A:F,6,FALSE)</f>
        <v>#N/A</v>
      </c>
      <c r="AM408" s="127" t="s">
        <v>169</v>
      </c>
      <c r="AN408" s="376">
        <f>IF(Tableau119[[#This Row],[Name PFI/CDD]]="","-",VLOOKUP(Tableau119[[#This Row],[Name PFI/CDD]],Plant_AILN!I:J,2,FALSE))</f>
        <v>91018400</v>
      </c>
      <c r="AO40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8" s="2" t="e">
        <f>VLOOKUP(Tableau119[[#This Row],[Key(POD -PFI- Usine)]],'DATA Consignee'!A:J,10,FALSE)</f>
        <v>#N/A</v>
      </c>
      <c r="AR408" s="50" t="e">
        <f>VLOOKUP(Tableau119[[#This Row],[Key(POD -PFI- Usine)]],'DATA Consignee'!A:N,14,FALSE)</f>
        <v>#N/A</v>
      </c>
      <c r="AS4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8" s="50">
        <f>Tableau119[[#This Row],[Transit time]]+Tableau119[[#This Row],[Time for security]]+Tableau119[[#This Row],[Time for security2 buffer]]</f>
        <v>0</v>
      </c>
      <c r="AV4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8" s="50" t="e">
        <f>Tableau119[[#This Row],[Leadtime SI2C]]+Tableau119[[#This Row],[First Receipt Days]]-Tableau119[[#This Row],[Day Customer Order]]+1</f>
        <v>#N/A</v>
      </c>
      <c r="AX408" s="119" t="e">
        <f>IF(Tableau119[[#This Row],[Name ILN]]&lt;&gt;"SFK Freight Forwarder",Tableau119[[#This Row],[Cust. Leadtime]],Tableau119[[#This Row],[Leadtime SI2C]])</f>
        <v>#N/A</v>
      </c>
      <c r="AY408" s="51" t="b">
        <f>_xlfn.XLOOKUP(Tableau119[[#This Row],[Key(ID-date)]],'DATA BTO'!S:S,'DATA BTO'!P:P,FALSE)</f>
        <v>0</v>
      </c>
      <c r="AZ408" s="338">
        <v>45991</v>
      </c>
      <c r="BA408" s="50"/>
    </row>
    <row r="409" spans="2:53">
      <c r="B409" s="446" t="str">
        <f>_xlfn.CONCAT(Tableau119[[#This Row],[Name ILN]],"-",Tableau119[[#This Row],[Name Shipper]],"-",Tableau119[[#This Row],[Name Site]])</f>
        <v>ILN Chennai-ILN Chennai-SEVILLA</v>
      </c>
      <c r="C409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09" s="66" t="str">
        <f>_xlfn.CONCAT(Tableau119[[#This Row],[Compte ILN]],"-",Tableau119[[#This Row],[Compte Shipper]],"-",Tableau119[[#This Row],[POL]])</f>
        <v>2533780546-2533780546-FALSO</v>
      </c>
      <c r="E409" s="130" t="str">
        <f>_xlfn.CONCAT(Tableau119[[#This Row],[POL]],"-",Tableau119[[#This Row],[Carrier]],"-",Tableau119[[#This Row],[POD]])</f>
        <v>FALSO-FALSO-FALSO</v>
      </c>
      <c r="F409" s="66" t="str">
        <f>_xlfn.CONCAT(Tableau119[[#This Row],[ID]],"-","Actif")</f>
        <v>156-Actif</v>
      </c>
      <c r="G409" s="66" t="str">
        <f>_xlfn.CONCAT(Tableau119[[#This Row],[POD]],"-",Tableau119[[#This Row],[Code PFI]],"-",Tableau119[[#This Row],[Compte Consignee]])</f>
        <v>FALSO-91018400-91017500</v>
      </c>
      <c r="H4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09" s="434" t="str">
        <f>_xlfn.CONCAT(Tableau119[[#This Row],[ID]],"-",Tableau119[[#This Row],[Expiration Date]])</f>
        <v>156-45991</v>
      </c>
      <c r="J4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VLL-45991</v>
      </c>
      <c r="K409" s="119" t="str">
        <f ca="1">IF(COUNTIF(J:J,Tableau119[[#This Row],[Plant-ILN-shipper-POL-Carrier-POD-PFI]])=1,"Non","Oui")</f>
        <v>Non</v>
      </c>
      <c r="L409" s="128" t="str">
        <f>VLOOKUP(Tableau119[[#This Row],[Name Site]],Plant_AILN!A:D,4,FALSE)</f>
        <v>SPAIN</v>
      </c>
      <c r="M409" s="415" t="s">
        <v>172</v>
      </c>
      <c r="N409" s="455">
        <f>VLOOKUP(Tableau119[[#This Row],[Name Site]],Plant_AILN!A:C,3,FALSE)</f>
        <v>91017500</v>
      </c>
      <c r="O409" s="104">
        <f>VLOOKUP(Tableau119[[#This Row],[Compte Consignee]],Order!C:D,2,FALSE)</f>
        <v>7</v>
      </c>
      <c r="P409" s="126" t="s">
        <v>149</v>
      </c>
      <c r="Q409" s="366">
        <f>VLOOKUP(Tableau119[[#This Row],[Name ILN]],Plant_AILN!F:G,2,FALSE)</f>
        <v>2533780546</v>
      </c>
      <c r="R409" s="81">
        <f>VLOOKUP(Tableau119[[#This Row],[Compte ILN]],'DATA ILN'!D:I,6,FALSE)</f>
        <v>9</v>
      </c>
      <c r="S409" s="81" t="e">
        <f>IFERROR(VLOOKUP(Tableau119[[#This Row],[Key(Compte ILN - shipper - POL - plant)]],'DATA ILN'!A:J,10,FALSE),VLOOKUP(Tableau119[[#This Row],[Key(Compte ILN - shipper - POL)]],'DATA ILN'!B:J,9,FALSE))</f>
        <v>#N/A</v>
      </c>
      <c r="T409" s="81" t="e">
        <f>IFERROR(VLOOKUP(Tableau119[[#This Row],[Key(Compte ILN - shipper - POL - plant)]],'DATA ILN'!A:K,11,FALSE),VLOOKUP(Tableau119[[#This Row],[Key(Compte ILN - shipper - POL)]],'DATA ILN'!B:K,10,FALSE))</f>
        <v>#N/A</v>
      </c>
      <c r="U409" s="81" t="e">
        <f>IFERROR(VLOOKUP(Tableau119[[#This Row],[Key(Compte ILN - shipper - POL - plant)]],'DATA ILN'!A:L,12,FALSE),VLOOKUP(Tableau119[[#This Row],[Key(Compte ILN - shipper - POL)]],'DATA ILN'!B:L,11,FALSE))</f>
        <v>#N/A</v>
      </c>
      <c r="V409" s="81" t="e">
        <f>Tableau119[[#This Row],[Day ILN Order]]+Tableau119[[#This Row],[Delivery time to ILN/Shipper]]-1</f>
        <v>#N/A</v>
      </c>
      <c r="W409" s="81" t="e">
        <f>IFERROR(VLOOKUP(Tableau119[[#This Row],[Key(Compte ILN - shipper - POL - plant)]],'DATA ILN'!A:N,14,FALSE),VLOOKUP(Tableau119[[#This Row],[Key(Compte ILN - shipper - POL)]],'DATA ILN'!B:N,13,FALSE))</f>
        <v>#N/A</v>
      </c>
      <c r="X409" s="81" t="e">
        <f>IFERROR(VLOOKUP(Tableau119[[#This Row],[Key(Compte ILN - shipper - POL - plant)]],'DATA ILN'!A:P,16,FALSE),VLOOKUP(Tableau119[[#This Row],[Key(Compte ILN - shipper - POL)]],'DATA ILN'!B:P,15,FALSE))</f>
        <v>#N/A</v>
      </c>
      <c r="Y409" s="102" t="s">
        <v>149</v>
      </c>
      <c r="Z409" s="417">
        <f>IFERROR(VLOOKUP(Tableau119[[#This Row],[Name Shipper]],Plant_AILN!L:M,2,FALSE),0)</f>
        <v>2533780546</v>
      </c>
      <c r="AA409" s="416">
        <v>156</v>
      </c>
      <c r="AB409" s="396" t="b">
        <f>_xlfn.XLOOKUP(Tableau119[[#This Row],[Key(ID-date)]],'DATA BTO'!S:S,'DATA BTO'!E:E,FALSE)</f>
        <v>0</v>
      </c>
      <c r="AC409" s="3" t="b">
        <f>_xlfn.XLOOKUP(Tableau119[[#This Row],[Key(ID-date)]],'DATA BTO'!S:S,'DATA BTO'!F:F,FALSE)</f>
        <v>0</v>
      </c>
      <c r="AD409" s="50" t="b">
        <f>_xlfn.XLOOKUP(Tableau119[[#This Row],[Key(ID-date)]],'DATA BTO'!S:S,'DATA BTO'!G:G,FALSE)</f>
        <v>0</v>
      </c>
      <c r="AE409" s="50" t="b">
        <f>_xlfn.XLOOKUP(Tableau119[[#This Row],[Key(ID-date)]],'DATA BTO'!S:S,'DATA BTO'!H:H,FALSE)</f>
        <v>0</v>
      </c>
      <c r="AF409" s="447" t="e">
        <f>IF(Tableau119[[#This Row],[First Day to POL]]&lt;=Tableau119[[#This Row],[Day Cut Off]],Tableau119[[#This Row],[Day ETD]],Tableau119[[#This Row],[Day ETD]]+7)</f>
        <v>#N/A</v>
      </c>
      <c r="AG409" s="50" t="b">
        <f>_xlfn.XLOOKUP(Tableau119[[#This Row],[Key(ID-date)]],'DATA BTO'!S:S,'DATA BTO'!I:I,FALSE)</f>
        <v>0</v>
      </c>
      <c r="AH409" s="3" t="b">
        <f>_xlfn.XLOOKUP(Tableau119[[#This Row],[Key(ID-date)]],'DATA BTO'!S:S,'DATA BTO'!J:J,FALSE)</f>
        <v>0</v>
      </c>
      <c r="AI409" s="3" t="b">
        <f>_xlfn.XLOOKUP(Tableau119[[#This Row],[Key(ID-date)]],'DATA BTO'!S:S,'DATA BTO'!K:K,FALSE)</f>
        <v>0</v>
      </c>
      <c r="AJ409" s="50" t="b">
        <f>_xlfn.XLOOKUP(Tableau119[[#This Row],[Key(ID-date)]],'DATA BTO'!S:S,'DATA BTO'!L:L,FALSE)</f>
        <v>0</v>
      </c>
      <c r="AK409" s="53" t="b">
        <f>_xlfn.XLOOKUP(Tableau119[[#This Row],[Key(ID-date)]],'DATA BTO'!S:S,'DATA BTO'!N:N,FALSE)</f>
        <v>0</v>
      </c>
      <c r="AL409" s="54" t="e">
        <f>VLOOKUP(Tableau119[[#This Row],[Key(POD -PFI- Usine)]],'DATA Consignee'!A:F,6,FALSE)</f>
        <v>#N/A</v>
      </c>
      <c r="AM409" s="127" t="s">
        <v>171</v>
      </c>
      <c r="AN409" s="375">
        <f>IF(Tableau119[[#This Row],[Name PFI/CDD]]="","-",VLOOKUP(Tableau119[[#This Row],[Name PFI/CDD]],Plant_AILN!I:J,2,FALSE))</f>
        <v>91018400</v>
      </c>
      <c r="AO409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09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09" s="110" t="e">
        <f>VLOOKUP(Tableau119[[#This Row],[Key(POD -PFI- Usine)]],'DATA Consignee'!A:J,10,FALSE)</f>
        <v>#N/A</v>
      </c>
      <c r="AR409" s="81" t="e">
        <f>VLOOKUP(Tableau119[[#This Row],[Key(POD -PFI- Usine)]],'DATA Consignee'!A:N,14,FALSE)</f>
        <v>#N/A</v>
      </c>
      <c r="AS40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0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09" s="81">
        <f>Tableau119[[#This Row],[Transit time]]+Tableau119[[#This Row],[Time for security]]+Tableau119[[#This Row],[Time for security2 buffer]]</f>
        <v>0</v>
      </c>
      <c r="AV4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09" s="50" t="e">
        <f>Tableau119[[#This Row],[Leadtime SI2C]]+Tableau119[[#This Row],[First Receipt Days]]-Tableau119[[#This Row],[Day Customer Order]]+1</f>
        <v>#N/A</v>
      </c>
      <c r="AX409" s="119" t="e">
        <f>IF(Tableau119[[#This Row],[Name ILN]]&lt;&gt;"SFK Freight Forwarder",Tableau119[[#This Row],[Cust. Leadtime]],Tableau119[[#This Row],[Leadtime SI2C]])</f>
        <v>#N/A</v>
      </c>
      <c r="AY409" s="51" t="b">
        <f>_xlfn.XLOOKUP(Tableau119[[#This Row],[Key(ID-date)]],'DATA BTO'!S:S,'DATA BTO'!P:P,FALSE)</f>
        <v>0</v>
      </c>
      <c r="AZ409" s="388">
        <v>45991</v>
      </c>
      <c r="BA409" s="81"/>
    </row>
    <row r="410" spans="2:53">
      <c r="B410" s="446" t="str">
        <f>_xlfn.CONCAT(Tableau119[[#This Row],[Name ILN]],"-",Tableau119[[#This Row],[Name Shipper]],"-",Tableau119[[#This Row],[Name Site]])</f>
        <v>ILN Chennai-ILN Chennai-CACIA</v>
      </c>
      <c r="C410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10" s="66" t="str">
        <f>_xlfn.CONCAT(Tableau119[[#This Row],[Compte ILN]],"-",Tableau119[[#This Row],[Compte Shipper]],"-",Tableau119[[#This Row],[POL]])</f>
        <v>2533780546-2533780546-FALSO</v>
      </c>
      <c r="E410" s="130" t="str">
        <f>_xlfn.CONCAT(Tableau119[[#This Row],[POL]],"-",Tableau119[[#This Row],[Carrier]],"-",Tableau119[[#This Row],[POD]])</f>
        <v>FALSO-FALSO-FALSO</v>
      </c>
      <c r="F410" s="66" t="str">
        <f>_xlfn.CONCAT(Tableau119[[#This Row],[ID]],"-","Actif")</f>
        <v>156-Actif</v>
      </c>
      <c r="G410" s="66" t="str">
        <f>_xlfn.CONCAT(Tableau119[[#This Row],[POD]],"-",Tableau119[[#This Row],[Code PFI]],"-",Tableau119[[#This Row],[Compte Consignee]])</f>
        <v>FALSO-91018400-90016500</v>
      </c>
      <c r="H4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10" s="434" t="str">
        <f>_xlfn.CONCAT(Tableau119[[#This Row],[ID]],"-",Tableau119[[#This Row],[Expiration Date]])</f>
        <v>156-45976</v>
      </c>
      <c r="J4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VLL-45976</v>
      </c>
      <c r="K410" s="119" t="str">
        <f ca="1">IF(COUNTIF(J:J,Tableau119[[#This Row],[Plant-ILN-shipper-POL-Carrier-POD-PFI]])=1,"Non","Oui")</f>
        <v>Non</v>
      </c>
      <c r="L410" s="128" t="str">
        <f>VLOOKUP(Tableau119[[#This Row],[Name Site]],Plant_AILN!A:D,4,FALSE)</f>
        <v>PORTUGAL</v>
      </c>
      <c r="M410" s="411" t="s">
        <v>170</v>
      </c>
      <c r="N410" s="454">
        <f>VLOOKUP(Tableau119[[#This Row],[Name Site]],Plant_AILN!A:C,3,FALSE)</f>
        <v>90016500</v>
      </c>
      <c r="O410" s="55">
        <f>VLOOKUP(Tableau119[[#This Row],[Compte Consignee]],Order!C:D,2,FALSE)</f>
        <v>5</v>
      </c>
      <c r="P410" s="124" t="s">
        <v>149</v>
      </c>
      <c r="Q410" s="365">
        <f>VLOOKUP(Tableau119[[#This Row],[Name ILN]],Plant_AILN!F:G,2,FALSE)</f>
        <v>2533780546</v>
      </c>
      <c r="R410" s="50">
        <f>VLOOKUP(Tableau119[[#This Row],[Compte ILN]],'DATA ILN'!D:I,6,FALSE)</f>
        <v>9</v>
      </c>
      <c r="S410" s="50" t="e">
        <f>IFERROR(VLOOKUP(Tableau119[[#This Row],[Key(Compte ILN - shipper - POL - plant)]],'DATA ILN'!A:J,10,FALSE),VLOOKUP(Tableau119[[#This Row],[Key(Compte ILN - shipper - POL)]],'DATA ILN'!B:J,9,FALSE))</f>
        <v>#N/A</v>
      </c>
      <c r="T410" s="50" t="e">
        <f>IFERROR(VLOOKUP(Tableau119[[#This Row],[Key(Compte ILN - shipper - POL - plant)]],'DATA ILN'!A:K,11,FALSE),VLOOKUP(Tableau119[[#This Row],[Key(Compte ILN - shipper - POL)]],'DATA ILN'!B:K,10,FALSE))</f>
        <v>#N/A</v>
      </c>
      <c r="U410" s="50" t="e">
        <f>IFERROR(VLOOKUP(Tableau119[[#This Row],[Key(Compte ILN - shipper - POL - plant)]],'DATA ILN'!A:L,12,FALSE),VLOOKUP(Tableau119[[#This Row],[Key(Compte ILN - shipper - POL)]],'DATA ILN'!B:L,11,FALSE))</f>
        <v>#N/A</v>
      </c>
      <c r="V410" s="50" t="e">
        <f>Tableau119[[#This Row],[Day ILN Order]]+Tableau119[[#This Row],[Delivery time to ILN/Shipper]]-1</f>
        <v>#N/A</v>
      </c>
      <c r="W410" s="50" t="e">
        <f>IFERROR(VLOOKUP(Tableau119[[#This Row],[Key(Compte ILN - shipper - POL - plant)]],'DATA ILN'!A:N,14,FALSE),VLOOKUP(Tableau119[[#This Row],[Key(Compte ILN - shipper - POL)]],'DATA ILN'!B:N,13,FALSE))</f>
        <v>#N/A</v>
      </c>
      <c r="X410" s="50" t="e">
        <f>IFERROR(VLOOKUP(Tableau119[[#This Row],[Key(Compte ILN - shipper - POL - plant)]],'DATA ILN'!A:P,16,FALSE),VLOOKUP(Tableau119[[#This Row],[Key(Compte ILN - shipper - POL)]],'DATA ILN'!B:P,15,FALSE))</f>
        <v>#N/A</v>
      </c>
      <c r="Y410" s="284" t="s">
        <v>149</v>
      </c>
      <c r="Z410" s="430">
        <f>IFERROR(VLOOKUP(Tableau119[[#This Row],[Name Shipper]],Plant_AILN!L:M,2,FALSE),0)</f>
        <v>2533780546</v>
      </c>
      <c r="AA410" s="406">
        <v>156</v>
      </c>
      <c r="AB410" s="396" t="b">
        <f>_xlfn.XLOOKUP(Tableau119[[#This Row],[Key(ID-date)]],'DATA BTO'!S:S,'DATA BTO'!E:E,FALSE)</f>
        <v>0</v>
      </c>
      <c r="AC410" s="3" t="b">
        <f>_xlfn.XLOOKUP(Tableau119[[#This Row],[Key(ID-date)]],'DATA BTO'!S:S,'DATA BTO'!F:F,FALSE)</f>
        <v>0</v>
      </c>
      <c r="AD410" s="50" t="b">
        <f>_xlfn.XLOOKUP(Tableau119[[#This Row],[Key(ID-date)]],'DATA BTO'!S:S,'DATA BTO'!G:G,FALSE)</f>
        <v>0</v>
      </c>
      <c r="AE410" s="50" t="b">
        <f>_xlfn.XLOOKUP(Tableau119[[#This Row],[Key(ID-date)]],'DATA BTO'!S:S,'DATA BTO'!H:H,FALSE)</f>
        <v>0</v>
      </c>
      <c r="AF410" s="447" t="e">
        <f>IF(Tableau119[[#This Row],[First Day to POL]]&lt;=Tableau119[[#This Row],[Day Cut Off]],Tableau119[[#This Row],[Day ETD]],Tableau119[[#This Row],[Day ETD]]+7)</f>
        <v>#N/A</v>
      </c>
      <c r="AG410" s="50" t="b">
        <f>_xlfn.XLOOKUP(Tableau119[[#This Row],[Key(ID-date)]],'DATA BTO'!S:S,'DATA BTO'!I:I,FALSE)</f>
        <v>0</v>
      </c>
      <c r="AH410" s="3" t="b">
        <f>_xlfn.XLOOKUP(Tableau119[[#This Row],[Key(ID-date)]],'DATA BTO'!S:S,'DATA BTO'!J:J,FALSE)</f>
        <v>0</v>
      </c>
      <c r="AI410" s="3" t="b">
        <f>_xlfn.XLOOKUP(Tableau119[[#This Row],[Key(ID-date)]],'DATA BTO'!S:S,'DATA BTO'!K:K,FALSE)</f>
        <v>0</v>
      </c>
      <c r="AJ410" s="50" t="b">
        <f>_xlfn.XLOOKUP(Tableau119[[#This Row],[Key(ID-date)]],'DATA BTO'!S:S,'DATA BTO'!L:L,FALSE)</f>
        <v>0</v>
      </c>
      <c r="AK410" s="53" t="b">
        <f>_xlfn.XLOOKUP(Tableau119[[#This Row],[Key(ID-date)]],'DATA BTO'!S:S,'DATA BTO'!N:N,FALSE)</f>
        <v>0</v>
      </c>
      <c r="AL410" s="54" t="e">
        <f>VLOOKUP(Tableau119[[#This Row],[Key(POD -PFI- Usine)]],'DATA Consignee'!A:F,6,FALSE)</f>
        <v>#N/A</v>
      </c>
      <c r="AM410" s="127" t="s">
        <v>171</v>
      </c>
      <c r="AN410" s="376">
        <f>IF(Tableau119[[#This Row],[Name PFI/CDD]]="","-",VLOOKUP(Tableau119[[#This Row],[Name PFI/CDD]],Plant_AILN!I:J,2,FALSE))</f>
        <v>91018400</v>
      </c>
      <c r="AO410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0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0" s="2" t="e">
        <f>VLOOKUP(Tableau119[[#This Row],[Key(POD -PFI- Usine)]],'DATA Consignee'!A:J,10,FALSE)</f>
        <v>#N/A</v>
      </c>
      <c r="AR410" s="50" t="e">
        <f>VLOOKUP(Tableau119[[#This Row],[Key(POD -PFI- Usine)]],'DATA Consignee'!A:N,14,FALSE)</f>
        <v>#N/A</v>
      </c>
      <c r="AS4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0" s="50">
        <f>Tableau119[[#This Row],[Transit time]]+Tableau119[[#This Row],[Time for security]]+Tableau119[[#This Row],[Time for security2 buffer]]</f>
        <v>0</v>
      </c>
      <c r="AV4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0" s="50" t="e">
        <f>Tableau119[[#This Row],[Leadtime SI2C]]+Tableau119[[#This Row],[First Receipt Days]]-Tableau119[[#This Row],[Day Customer Order]]+1</f>
        <v>#N/A</v>
      </c>
      <c r="AX410" s="119" t="e">
        <f>IF(Tableau119[[#This Row],[Name ILN]]&lt;&gt;"SFK Freight Forwarder",Tableau119[[#This Row],[Cust. Leadtime]],Tableau119[[#This Row],[Leadtime SI2C]])</f>
        <v>#N/A</v>
      </c>
      <c r="AY410" s="51" t="b">
        <f>_xlfn.XLOOKUP(Tableau119[[#This Row],[Key(ID-date)]],'DATA BTO'!S:S,'DATA BTO'!P:P,FALSE)</f>
        <v>0</v>
      </c>
      <c r="AZ410" s="338">
        <v>45976</v>
      </c>
      <c r="BA410" s="50"/>
    </row>
    <row r="411" spans="2:53">
      <c r="B411" s="446" t="str">
        <f>_xlfn.CONCAT(Tableau119[[#This Row],[Name ILN]],"-",Tableau119[[#This Row],[Name Shipper]],"-",Tableau119[[#This Row],[Name Site]])</f>
        <v>ILN Chennai-ILN Chennai-ILN VLL</v>
      </c>
      <c r="C411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11" s="66" t="str">
        <f>_xlfn.CONCAT(Tableau119[[#This Row],[Compte ILN]],"-",Tableau119[[#This Row],[Compte Shipper]],"-",Tableau119[[#This Row],[POL]])</f>
        <v>2533780546-2533780546-FALSO</v>
      </c>
      <c r="E411" s="130" t="str">
        <f>_xlfn.CONCAT(Tableau119[[#This Row],[POL]],"-",Tableau119[[#This Row],[Carrier]],"-",Tableau119[[#This Row],[POD]])</f>
        <v>FALSO-FALSO-FALSO</v>
      </c>
      <c r="F411" s="66" t="str">
        <f>_xlfn.CONCAT(Tableau119[[#This Row],[ID]],"-","Actif")</f>
        <v>156-Actif</v>
      </c>
      <c r="G411" s="66" t="str">
        <f>_xlfn.CONCAT(Tableau119[[#This Row],[POD]],"-",Tableau119[[#This Row],[Code PFI]],"-",Tableau119[[#This Row],[Compte Consignee]])</f>
        <v>FALSO---9101840000</v>
      </c>
      <c r="H4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11" s="434" t="str">
        <f>_xlfn.CONCAT(Tableau119[[#This Row],[ID]],"-",Tableau119[[#This Row],[Expiration Date]])</f>
        <v>156-45976</v>
      </c>
      <c r="J4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Chennai-156-FALSO-FALSO-FALSO--45976</v>
      </c>
      <c r="K411" s="119" t="str">
        <f ca="1">IF(COUNTIF(J:J,Tableau119[[#This Row],[Plant-ILN-shipper-POL-Carrier-POD-PFI]])=1,"Non","Oui")</f>
        <v>Non</v>
      </c>
      <c r="L411" s="128" t="str">
        <f>VLOOKUP(Tableau119[[#This Row],[Name Site]],Plant_AILN!A:D,4,FALSE)</f>
        <v>SPAIN</v>
      </c>
      <c r="M411" s="411" t="s">
        <v>151</v>
      </c>
      <c r="N411" s="454">
        <f>VLOOKUP(Tableau119[[#This Row],[Name Site]],Plant_AILN!A:C,3,FALSE)</f>
        <v>9101840000</v>
      </c>
      <c r="O411" s="55">
        <f>VLOOKUP(Tableau119[[#This Row],[Compte Consignee]],Order!C:D,2,FALSE)</f>
        <v>2</v>
      </c>
      <c r="P411" s="124" t="s">
        <v>149</v>
      </c>
      <c r="Q411" s="365">
        <f>VLOOKUP(Tableau119[[#This Row],[Name ILN]],Plant_AILN!F:G,2,FALSE)</f>
        <v>2533780546</v>
      </c>
      <c r="R411" s="50">
        <f>VLOOKUP(Tableau119[[#This Row],[Compte ILN]],'DATA ILN'!D:I,6,FALSE)</f>
        <v>9</v>
      </c>
      <c r="S411" s="50" t="e">
        <f>IFERROR(VLOOKUP(Tableau119[[#This Row],[Key(Compte ILN - shipper - POL - plant)]],'DATA ILN'!A:J,10,FALSE),VLOOKUP(Tableau119[[#This Row],[Key(Compte ILN - shipper - POL)]],'DATA ILN'!B:J,9,FALSE))</f>
        <v>#N/A</v>
      </c>
      <c r="T411" s="50" t="e">
        <f>IFERROR(VLOOKUP(Tableau119[[#This Row],[Key(Compte ILN - shipper - POL - plant)]],'DATA ILN'!A:K,11,FALSE),VLOOKUP(Tableau119[[#This Row],[Key(Compte ILN - shipper - POL)]],'DATA ILN'!B:K,10,FALSE))</f>
        <v>#N/A</v>
      </c>
      <c r="U411" s="50" t="e">
        <f>IFERROR(VLOOKUP(Tableau119[[#This Row],[Key(Compte ILN - shipper - POL - plant)]],'DATA ILN'!A:L,12,FALSE),VLOOKUP(Tableau119[[#This Row],[Key(Compte ILN - shipper - POL)]],'DATA ILN'!B:L,11,FALSE))</f>
        <v>#N/A</v>
      </c>
      <c r="V411" s="50" t="e">
        <f>Tableau119[[#This Row],[Day ILN Order]]+Tableau119[[#This Row],[Delivery time to ILN/Shipper]]-1</f>
        <v>#N/A</v>
      </c>
      <c r="W411" s="50" t="e">
        <f>IFERROR(VLOOKUP(Tableau119[[#This Row],[Key(Compte ILN - shipper - POL - plant)]],'DATA ILN'!A:N,14,FALSE),VLOOKUP(Tableau119[[#This Row],[Key(Compte ILN - shipper - POL)]],'DATA ILN'!B:N,13,FALSE))</f>
        <v>#N/A</v>
      </c>
      <c r="X411" s="50" t="e">
        <f>IFERROR(VLOOKUP(Tableau119[[#This Row],[Key(Compte ILN - shipper - POL - plant)]],'DATA ILN'!A:P,16,FALSE),VLOOKUP(Tableau119[[#This Row],[Key(Compte ILN - shipper - POL)]],'DATA ILN'!B:P,15,FALSE))</f>
        <v>#N/A</v>
      </c>
      <c r="Y411" s="284" t="s">
        <v>149</v>
      </c>
      <c r="Z411" s="430">
        <f>IFERROR(VLOOKUP(Tableau119[[#This Row],[Name Shipper]],Plant_AILN!L:M,2,FALSE),0)</f>
        <v>2533780546</v>
      </c>
      <c r="AA411" s="406">
        <v>156</v>
      </c>
      <c r="AB411" s="396" t="b">
        <f>_xlfn.XLOOKUP(Tableau119[[#This Row],[Key(ID-date)]],'DATA BTO'!S:S,'DATA BTO'!E:E,FALSE)</f>
        <v>0</v>
      </c>
      <c r="AC411" s="3" t="b">
        <f>_xlfn.XLOOKUP(Tableau119[[#This Row],[Key(ID-date)]],'DATA BTO'!S:S,'DATA BTO'!F:F,FALSE)</f>
        <v>0</v>
      </c>
      <c r="AD411" s="50" t="b">
        <f>_xlfn.XLOOKUP(Tableau119[[#This Row],[Key(ID-date)]],'DATA BTO'!S:S,'DATA BTO'!G:G,FALSE)</f>
        <v>0</v>
      </c>
      <c r="AE411" s="50" t="b">
        <f>_xlfn.XLOOKUP(Tableau119[[#This Row],[Key(ID-date)]],'DATA BTO'!S:S,'DATA BTO'!H:H,FALSE)</f>
        <v>0</v>
      </c>
      <c r="AF411" s="447" t="e">
        <f>IF(Tableau119[[#This Row],[First Day to POL]]&lt;=Tableau119[[#This Row],[Day Cut Off]],Tableau119[[#This Row],[Day ETD]],Tableau119[[#This Row],[Day ETD]]+7)</f>
        <v>#N/A</v>
      </c>
      <c r="AG411" s="50" t="b">
        <f>_xlfn.XLOOKUP(Tableau119[[#This Row],[Key(ID-date)]],'DATA BTO'!S:S,'DATA BTO'!I:I,FALSE)</f>
        <v>0</v>
      </c>
      <c r="AH411" s="3" t="b">
        <f>_xlfn.XLOOKUP(Tableau119[[#This Row],[Key(ID-date)]],'DATA BTO'!S:S,'DATA BTO'!J:J,FALSE)</f>
        <v>0</v>
      </c>
      <c r="AI411" s="3" t="b">
        <f>_xlfn.XLOOKUP(Tableau119[[#This Row],[Key(ID-date)]],'DATA BTO'!S:S,'DATA BTO'!K:K,FALSE)</f>
        <v>0</v>
      </c>
      <c r="AJ411" s="50" t="b">
        <f>_xlfn.XLOOKUP(Tableau119[[#This Row],[Key(ID-date)]],'DATA BTO'!S:S,'DATA BTO'!L:L,FALSE)</f>
        <v>0</v>
      </c>
      <c r="AK411" s="53" t="b">
        <f>_xlfn.XLOOKUP(Tableau119[[#This Row],[Key(ID-date)]],'DATA BTO'!S:S,'DATA BTO'!N:N,FALSE)</f>
        <v>0</v>
      </c>
      <c r="AL411" s="54" t="e">
        <f>VLOOKUP(Tableau119[[#This Row],[Key(POD -PFI- Usine)]],'DATA Consignee'!A:F,6,FALSE)</f>
        <v>#N/A</v>
      </c>
      <c r="AM411" s="127"/>
      <c r="AN411" s="376" t="str">
        <f>IF(Tableau119[[#This Row],[Name PFI/CDD]]="","-",VLOOKUP(Tableau119[[#This Row],[Name PFI/CDD]],Plant_AILN!I:J,2,FALSE))</f>
        <v>-</v>
      </c>
      <c r="AO4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11" s="2" t="e">
        <f>VLOOKUP(Tableau119[[#This Row],[Key(POD -PFI- Usine)]],'DATA Consignee'!A:J,10,FALSE)</f>
        <v>#N/A</v>
      </c>
      <c r="AR411" s="50" t="e">
        <f>VLOOKUP(Tableau119[[#This Row],[Key(POD -PFI- Usine)]],'DATA Consignee'!A:N,14,FALSE)</f>
        <v>#N/A</v>
      </c>
      <c r="AS4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1" s="50">
        <f>Tableau119[[#This Row],[Transit time]]+Tableau119[[#This Row],[Time for security]]+Tableau119[[#This Row],[Time for security2 buffer]]</f>
        <v>0</v>
      </c>
      <c r="AV4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1" s="50" t="e">
        <f>Tableau119[[#This Row],[Leadtime SI2C]]+Tableau119[[#This Row],[First Receipt Days]]-Tableau119[[#This Row],[Day Customer Order]]+1</f>
        <v>#N/A</v>
      </c>
      <c r="AX411" s="119" t="e">
        <f>IF(Tableau119[[#This Row],[Name ILN]]&lt;&gt;"SFK Freight Forwarder",Tableau119[[#This Row],[Cust. Leadtime]],Tableau119[[#This Row],[Leadtime SI2C]])</f>
        <v>#N/A</v>
      </c>
      <c r="AY411" s="51" t="b">
        <f>_xlfn.XLOOKUP(Tableau119[[#This Row],[Key(ID-date)]],'DATA BTO'!S:S,'DATA BTO'!P:P,FALSE)</f>
        <v>0</v>
      </c>
      <c r="AZ411" s="338">
        <v>45976</v>
      </c>
      <c r="BA411" s="50"/>
    </row>
    <row r="412" spans="2:53">
      <c r="B412" s="446" t="str">
        <f>_xlfn.CONCAT(Tableau119[[#This Row],[Name ILN]],"-",Tableau119[[#This Row],[Name Shipper]],"-",Tableau119[[#This Row],[Name Site]])</f>
        <v>ILN Chennai-ILN Chennai-PALENCIA</v>
      </c>
      <c r="C412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12" s="66" t="str">
        <f>_xlfn.CONCAT(Tableau119[[#This Row],[Compte ILN]],"-",Tableau119[[#This Row],[Compte Shipper]],"-",Tableau119[[#This Row],[POL]])</f>
        <v>2533780546-2533780546-FALSO</v>
      </c>
      <c r="E412" s="130" t="str">
        <f>_xlfn.CONCAT(Tableau119[[#This Row],[POL]],"-",Tableau119[[#This Row],[Carrier]],"-",Tableau119[[#This Row],[POD]])</f>
        <v>FALSO-FALSO-FALSO</v>
      </c>
      <c r="F412" s="66" t="str">
        <f>_xlfn.CONCAT(Tableau119[[#This Row],[ID]],"-","Actif")</f>
        <v>156-Actif</v>
      </c>
      <c r="G412" s="66" t="str">
        <f>_xlfn.CONCAT(Tableau119[[#This Row],[POD]],"-",Tableau119[[#This Row],[Code PFI]],"-",Tableau119[[#This Row],[Compte Consignee]])</f>
        <v>FALSO-91018400-91017200</v>
      </c>
      <c r="H4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12" s="434" t="str">
        <f>_xlfn.CONCAT(Tableau119[[#This Row],[ID]],"-",Tableau119[[#This Row],[Expiration Date]])</f>
        <v>156-45976</v>
      </c>
      <c r="J4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VLL-45976</v>
      </c>
      <c r="K412" s="119" t="str">
        <f ca="1">IF(COUNTIF(J:J,Tableau119[[#This Row],[Plant-ILN-shipper-POL-Carrier-POD-PFI]])=1,"Non","Oui")</f>
        <v>Non</v>
      </c>
      <c r="L412" s="128" t="str">
        <f>VLOOKUP(Tableau119[[#This Row],[Name Site]],Plant_AILN!A:D,4,FALSE)</f>
        <v>SPAIN</v>
      </c>
      <c r="M412" s="415" t="s">
        <v>184</v>
      </c>
      <c r="N412" s="455">
        <f>VLOOKUP(Tableau119[[#This Row],[Name Site]],Plant_AILN!A:C,3,FALSE)</f>
        <v>91017200</v>
      </c>
      <c r="O412" s="104">
        <f>VLOOKUP(Tableau119[[#This Row],[Compte Consignee]],Order!C:D,2,FALSE)</f>
        <v>7</v>
      </c>
      <c r="P412" s="126" t="s">
        <v>149</v>
      </c>
      <c r="Q412" s="366">
        <f>VLOOKUP(Tableau119[[#This Row],[Name ILN]],Plant_AILN!F:G,2,FALSE)</f>
        <v>2533780546</v>
      </c>
      <c r="R412" s="81">
        <f>VLOOKUP(Tableau119[[#This Row],[Compte ILN]],'DATA ILN'!D:I,6,FALSE)</f>
        <v>9</v>
      </c>
      <c r="S412" s="81" t="e">
        <f>IFERROR(VLOOKUP(Tableau119[[#This Row],[Key(Compte ILN - shipper - POL - plant)]],'DATA ILN'!A:J,10,FALSE),VLOOKUP(Tableau119[[#This Row],[Key(Compte ILN - shipper - POL)]],'DATA ILN'!B:J,9,FALSE))</f>
        <v>#N/A</v>
      </c>
      <c r="T412" s="81" t="e">
        <f>IFERROR(VLOOKUP(Tableau119[[#This Row],[Key(Compte ILN - shipper - POL - plant)]],'DATA ILN'!A:K,11,FALSE),VLOOKUP(Tableau119[[#This Row],[Key(Compte ILN - shipper - POL)]],'DATA ILN'!B:K,10,FALSE))</f>
        <v>#N/A</v>
      </c>
      <c r="U412" s="81" t="e">
        <f>IFERROR(VLOOKUP(Tableau119[[#This Row],[Key(Compte ILN - shipper - POL - plant)]],'DATA ILN'!A:L,12,FALSE),VLOOKUP(Tableau119[[#This Row],[Key(Compte ILN - shipper - POL)]],'DATA ILN'!B:L,11,FALSE))</f>
        <v>#N/A</v>
      </c>
      <c r="V412" s="81" t="e">
        <f>Tableau119[[#This Row],[Day ILN Order]]+Tableau119[[#This Row],[Delivery time to ILN/Shipper]]-1</f>
        <v>#N/A</v>
      </c>
      <c r="W412" s="81" t="e">
        <f>IFERROR(VLOOKUP(Tableau119[[#This Row],[Key(Compte ILN - shipper - POL - plant)]],'DATA ILN'!A:N,14,FALSE),VLOOKUP(Tableau119[[#This Row],[Key(Compte ILN - shipper - POL)]],'DATA ILN'!B:N,13,FALSE))</f>
        <v>#N/A</v>
      </c>
      <c r="X412" s="81" t="e">
        <f>IFERROR(VLOOKUP(Tableau119[[#This Row],[Key(Compte ILN - shipper - POL - plant)]],'DATA ILN'!A:P,16,FALSE),VLOOKUP(Tableau119[[#This Row],[Key(Compte ILN - shipper - POL)]],'DATA ILN'!B:P,15,FALSE))</f>
        <v>#N/A</v>
      </c>
      <c r="Y412" s="102" t="s">
        <v>149</v>
      </c>
      <c r="Z412" s="417">
        <f>IFERROR(VLOOKUP(Tableau119[[#This Row],[Name Shipper]],Plant_AILN!L:M,2,FALSE),0)</f>
        <v>2533780546</v>
      </c>
      <c r="AA412" s="416">
        <v>156</v>
      </c>
      <c r="AB412" s="396" t="b">
        <f>_xlfn.XLOOKUP(Tableau119[[#This Row],[Key(ID-date)]],'DATA BTO'!S:S,'DATA BTO'!E:E,FALSE)</f>
        <v>0</v>
      </c>
      <c r="AC412" s="3" t="b">
        <f>_xlfn.XLOOKUP(Tableau119[[#This Row],[Key(ID-date)]],'DATA BTO'!S:S,'DATA BTO'!F:F,FALSE)</f>
        <v>0</v>
      </c>
      <c r="AD412" s="50" t="b">
        <f>_xlfn.XLOOKUP(Tableau119[[#This Row],[Key(ID-date)]],'DATA BTO'!S:S,'DATA BTO'!G:G,FALSE)</f>
        <v>0</v>
      </c>
      <c r="AE412" s="50" t="b">
        <f>_xlfn.XLOOKUP(Tableau119[[#This Row],[Key(ID-date)]],'DATA BTO'!S:S,'DATA BTO'!H:H,FALSE)</f>
        <v>0</v>
      </c>
      <c r="AF412" s="447" t="e">
        <f>IF(Tableau119[[#This Row],[First Day to POL]]&lt;=Tableau119[[#This Row],[Day Cut Off]],Tableau119[[#This Row],[Day ETD]],Tableau119[[#This Row],[Day ETD]]+7)</f>
        <v>#N/A</v>
      </c>
      <c r="AG412" s="50" t="b">
        <f>_xlfn.XLOOKUP(Tableau119[[#This Row],[Key(ID-date)]],'DATA BTO'!S:S,'DATA BTO'!I:I,FALSE)</f>
        <v>0</v>
      </c>
      <c r="AH412" s="3" t="b">
        <f>_xlfn.XLOOKUP(Tableau119[[#This Row],[Key(ID-date)]],'DATA BTO'!S:S,'DATA BTO'!J:J,FALSE)</f>
        <v>0</v>
      </c>
      <c r="AI412" s="3" t="b">
        <f>_xlfn.XLOOKUP(Tableau119[[#This Row],[Key(ID-date)]],'DATA BTO'!S:S,'DATA BTO'!K:K,FALSE)</f>
        <v>0</v>
      </c>
      <c r="AJ412" s="50" t="b">
        <f>_xlfn.XLOOKUP(Tableau119[[#This Row],[Key(ID-date)]],'DATA BTO'!S:S,'DATA BTO'!L:L,FALSE)</f>
        <v>0</v>
      </c>
      <c r="AK412" s="53" t="b">
        <f>_xlfn.XLOOKUP(Tableau119[[#This Row],[Key(ID-date)]],'DATA BTO'!S:S,'DATA BTO'!N:N,FALSE)</f>
        <v>0</v>
      </c>
      <c r="AL412" s="54" t="e">
        <f>VLOOKUP(Tableau119[[#This Row],[Key(POD -PFI- Usine)]],'DATA Consignee'!A:F,6,FALSE)</f>
        <v>#N/A</v>
      </c>
      <c r="AM412" s="127" t="s">
        <v>171</v>
      </c>
      <c r="AN412" s="375">
        <f>IF(Tableau119[[#This Row],[Name PFI/CDD]]="","-",VLOOKUP(Tableau119[[#This Row],[Name PFI/CDD]],Plant_AILN!I:J,2,FALSE))</f>
        <v>91018400</v>
      </c>
      <c r="AO412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2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2" s="110" t="e">
        <f>VLOOKUP(Tableau119[[#This Row],[Key(POD -PFI- Usine)]],'DATA Consignee'!A:J,10,FALSE)</f>
        <v>#N/A</v>
      </c>
      <c r="AR412" s="81" t="e">
        <f>VLOOKUP(Tableau119[[#This Row],[Key(POD -PFI- Usine)]],'DATA Consignee'!A:N,14,FALSE)</f>
        <v>#N/A</v>
      </c>
      <c r="AS41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2" s="81">
        <f>Tableau119[[#This Row],[Transit time]]+Tableau119[[#This Row],[Time for security]]+Tableau119[[#This Row],[Time for security2 buffer]]</f>
        <v>0</v>
      </c>
      <c r="AV4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2" s="50" t="e">
        <f>Tableau119[[#This Row],[Leadtime SI2C]]+Tableau119[[#This Row],[First Receipt Days]]-Tableau119[[#This Row],[Day Customer Order]]+1</f>
        <v>#N/A</v>
      </c>
      <c r="AX412" s="119" t="e">
        <f>IF(Tableau119[[#This Row],[Name ILN]]&lt;&gt;"SFK Freight Forwarder",Tableau119[[#This Row],[Cust. Leadtime]],Tableau119[[#This Row],[Leadtime SI2C]])</f>
        <v>#N/A</v>
      </c>
      <c r="AY412" s="51" t="b">
        <f>_xlfn.XLOOKUP(Tableau119[[#This Row],[Key(ID-date)]],'DATA BTO'!S:S,'DATA BTO'!P:P,FALSE)</f>
        <v>0</v>
      </c>
      <c r="AZ412" s="388">
        <v>45976</v>
      </c>
      <c r="BA412" s="81"/>
    </row>
    <row r="413" spans="2:53">
      <c r="B413" s="446" t="str">
        <f>_xlfn.CONCAT(Tableau119[[#This Row],[Name ILN]],"-",Tableau119[[#This Row],[Name Shipper]],"-",Tableau119[[#This Row],[Name Site]])</f>
        <v>ILN Chennai-ILN Chennai-VALL MONTAGE</v>
      </c>
      <c r="C413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13" s="66" t="str">
        <f>_xlfn.CONCAT(Tableau119[[#This Row],[Compte ILN]],"-",Tableau119[[#This Row],[Compte Shipper]],"-",Tableau119[[#This Row],[POL]])</f>
        <v>2533780546-2533780546-FALSO</v>
      </c>
      <c r="E413" s="130" t="str">
        <f>_xlfn.CONCAT(Tableau119[[#This Row],[POL]],"-",Tableau119[[#This Row],[Carrier]],"-",Tableau119[[#This Row],[POD]])</f>
        <v>FALSO-FALSO-FALSO</v>
      </c>
      <c r="F413" s="66" t="str">
        <f>_xlfn.CONCAT(Tableau119[[#This Row],[ID]],"-","Actif")</f>
        <v>156-Actif</v>
      </c>
      <c r="G413" s="66" t="str">
        <f>_xlfn.CONCAT(Tableau119[[#This Row],[POD]],"-",Tableau119[[#This Row],[Code PFI]],"-",Tableau119[[#This Row],[Compte Consignee]])</f>
        <v>FALSO-91018400-91017300</v>
      </c>
      <c r="H4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13" s="434" t="str">
        <f>_xlfn.CONCAT(Tableau119[[#This Row],[ID]],"-",Tableau119[[#This Row],[Expiration Date]])</f>
        <v>156-45976</v>
      </c>
      <c r="J4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VLL-45976</v>
      </c>
      <c r="K413" s="119" t="str">
        <f ca="1">IF(COUNTIF(J:J,Tableau119[[#This Row],[Plant-ILN-shipper-POL-Carrier-POD-PFI]])=1,"Non","Oui")</f>
        <v>Non</v>
      </c>
      <c r="L413" s="128" t="str">
        <f>VLOOKUP(Tableau119[[#This Row],[Name Site]],Plant_AILN!A:D,4,FALSE)</f>
        <v>SPAIN</v>
      </c>
      <c r="M413" s="411" t="s">
        <v>175</v>
      </c>
      <c r="N413" s="454">
        <f>VLOOKUP(Tableau119[[#This Row],[Name Site]],Plant_AILN!A:C,3,FALSE)</f>
        <v>91017300</v>
      </c>
      <c r="O413" s="55">
        <f>VLOOKUP(Tableau119[[#This Row],[Compte Consignee]],Order!C:D,2,FALSE)</f>
        <v>7</v>
      </c>
      <c r="P413" s="124" t="s">
        <v>149</v>
      </c>
      <c r="Q413" s="365">
        <f>VLOOKUP(Tableau119[[#This Row],[Name ILN]],Plant_AILN!F:G,2,FALSE)</f>
        <v>2533780546</v>
      </c>
      <c r="R413" s="50">
        <f>VLOOKUP(Tableau119[[#This Row],[Compte ILN]],'DATA ILN'!D:I,6,FALSE)</f>
        <v>9</v>
      </c>
      <c r="S413" s="50" t="e">
        <f>IFERROR(VLOOKUP(Tableau119[[#This Row],[Key(Compte ILN - shipper - POL - plant)]],'DATA ILN'!A:J,10,FALSE),VLOOKUP(Tableau119[[#This Row],[Key(Compte ILN - shipper - POL)]],'DATA ILN'!B:J,9,FALSE))</f>
        <v>#N/A</v>
      </c>
      <c r="T413" s="50" t="e">
        <f>IFERROR(VLOOKUP(Tableau119[[#This Row],[Key(Compte ILN - shipper - POL - plant)]],'DATA ILN'!A:K,11,FALSE),VLOOKUP(Tableau119[[#This Row],[Key(Compte ILN - shipper - POL)]],'DATA ILN'!B:K,10,FALSE))</f>
        <v>#N/A</v>
      </c>
      <c r="U413" s="50" t="e">
        <f>IFERROR(VLOOKUP(Tableau119[[#This Row],[Key(Compte ILN - shipper - POL - plant)]],'DATA ILN'!A:L,12,FALSE),VLOOKUP(Tableau119[[#This Row],[Key(Compte ILN - shipper - POL)]],'DATA ILN'!B:L,11,FALSE))</f>
        <v>#N/A</v>
      </c>
      <c r="V413" s="50" t="e">
        <f>Tableau119[[#This Row],[Day ILN Order]]+Tableau119[[#This Row],[Delivery time to ILN/Shipper]]-1</f>
        <v>#N/A</v>
      </c>
      <c r="W413" s="50" t="e">
        <f>IFERROR(VLOOKUP(Tableau119[[#This Row],[Key(Compte ILN - shipper - POL - plant)]],'DATA ILN'!A:N,14,FALSE),VLOOKUP(Tableau119[[#This Row],[Key(Compte ILN - shipper - POL)]],'DATA ILN'!B:N,13,FALSE))</f>
        <v>#N/A</v>
      </c>
      <c r="X413" s="50" t="e">
        <f>IFERROR(VLOOKUP(Tableau119[[#This Row],[Key(Compte ILN - shipper - POL - plant)]],'DATA ILN'!A:P,16,FALSE),VLOOKUP(Tableau119[[#This Row],[Key(Compte ILN - shipper - POL)]],'DATA ILN'!B:P,15,FALSE))</f>
        <v>#N/A</v>
      </c>
      <c r="Y413" s="284" t="s">
        <v>149</v>
      </c>
      <c r="Z413" s="430">
        <f>IFERROR(VLOOKUP(Tableau119[[#This Row],[Name Shipper]],Plant_AILN!L:M,2,FALSE),0)</f>
        <v>2533780546</v>
      </c>
      <c r="AA413" s="406">
        <v>156</v>
      </c>
      <c r="AB413" s="396" t="b">
        <f>_xlfn.XLOOKUP(Tableau119[[#This Row],[Key(ID-date)]],'DATA BTO'!S:S,'DATA BTO'!E:E,FALSE)</f>
        <v>0</v>
      </c>
      <c r="AC413" s="3" t="b">
        <f>_xlfn.XLOOKUP(Tableau119[[#This Row],[Key(ID-date)]],'DATA BTO'!S:S,'DATA BTO'!F:F,FALSE)</f>
        <v>0</v>
      </c>
      <c r="AD413" s="50" t="b">
        <f>_xlfn.XLOOKUP(Tableau119[[#This Row],[Key(ID-date)]],'DATA BTO'!S:S,'DATA BTO'!G:G,FALSE)</f>
        <v>0</v>
      </c>
      <c r="AE413" s="50" t="b">
        <f>_xlfn.XLOOKUP(Tableau119[[#This Row],[Key(ID-date)]],'DATA BTO'!S:S,'DATA BTO'!H:H,FALSE)</f>
        <v>0</v>
      </c>
      <c r="AF413" s="447" t="e">
        <f>IF(Tableau119[[#This Row],[First Day to POL]]&lt;=Tableau119[[#This Row],[Day Cut Off]],Tableau119[[#This Row],[Day ETD]],Tableau119[[#This Row],[Day ETD]]+7)</f>
        <v>#N/A</v>
      </c>
      <c r="AG413" s="50" t="b">
        <f>_xlfn.XLOOKUP(Tableau119[[#This Row],[Key(ID-date)]],'DATA BTO'!S:S,'DATA BTO'!I:I,FALSE)</f>
        <v>0</v>
      </c>
      <c r="AH413" s="3" t="b">
        <f>_xlfn.XLOOKUP(Tableau119[[#This Row],[Key(ID-date)]],'DATA BTO'!S:S,'DATA BTO'!J:J,FALSE)</f>
        <v>0</v>
      </c>
      <c r="AI413" s="3" t="b">
        <f>_xlfn.XLOOKUP(Tableau119[[#This Row],[Key(ID-date)]],'DATA BTO'!S:S,'DATA BTO'!K:K,FALSE)</f>
        <v>0</v>
      </c>
      <c r="AJ413" s="50" t="b">
        <f>_xlfn.XLOOKUP(Tableau119[[#This Row],[Key(ID-date)]],'DATA BTO'!S:S,'DATA BTO'!L:L,FALSE)</f>
        <v>0</v>
      </c>
      <c r="AK413" s="53" t="b">
        <f>_xlfn.XLOOKUP(Tableau119[[#This Row],[Key(ID-date)]],'DATA BTO'!S:S,'DATA BTO'!N:N,FALSE)</f>
        <v>0</v>
      </c>
      <c r="AL413" s="54" t="e">
        <f>VLOOKUP(Tableau119[[#This Row],[Key(POD -PFI- Usine)]],'DATA Consignee'!A:F,6,FALSE)</f>
        <v>#N/A</v>
      </c>
      <c r="AM413" s="127" t="s">
        <v>169</v>
      </c>
      <c r="AN413" s="376">
        <f>IF(Tableau119[[#This Row],[Name PFI/CDD]]="","-",VLOOKUP(Tableau119[[#This Row],[Name PFI/CDD]],Plant_AILN!I:J,2,FALSE))</f>
        <v>91018400</v>
      </c>
      <c r="AO41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3" s="2" t="e">
        <f>VLOOKUP(Tableau119[[#This Row],[Key(POD -PFI- Usine)]],'DATA Consignee'!A:J,10,FALSE)</f>
        <v>#N/A</v>
      </c>
      <c r="AR413" s="50" t="e">
        <f>VLOOKUP(Tableau119[[#This Row],[Key(POD -PFI- Usine)]],'DATA Consignee'!A:N,14,FALSE)</f>
        <v>#N/A</v>
      </c>
      <c r="AS4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3" s="50">
        <f>Tableau119[[#This Row],[Transit time]]+Tableau119[[#This Row],[Time for security]]+Tableau119[[#This Row],[Time for security2 buffer]]</f>
        <v>0</v>
      </c>
      <c r="AV4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3" s="50" t="e">
        <f>Tableau119[[#This Row],[Leadtime SI2C]]+Tableau119[[#This Row],[First Receipt Days]]-Tableau119[[#This Row],[Day Customer Order]]+1</f>
        <v>#N/A</v>
      </c>
      <c r="AX413" s="119" t="e">
        <f>IF(Tableau119[[#This Row],[Name ILN]]&lt;&gt;"SFK Freight Forwarder",Tableau119[[#This Row],[Cust. Leadtime]],Tableau119[[#This Row],[Leadtime SI2C]])</f>
        <v>#N/A</v>
      </c>
      <c r="AY413" s="51" t="b">
        <f>_xlfn.XLOOKUP(Tableau119[[#This Row],[Key(ID-date)]],'DATA BTO'!S:S,'DATA BTO'!P:P,FALSE)</f>
        <v>0</v>
      </c>
      <c r="AZ413" s="338">
        <v>45976</v>
      </c>
      <c r="BA413" s="50"/>
    </row>
    <row r="414" spans="2:53">
      <c r="B414" s="446" t="str">
        <f>_xlfn.CONCAT(Tableau119[[#This Row],[Name ILN]],"-",Tableau119[[#This Row],[Name Shipper]],"-",Tableau119[[#This Row],[Name Site]])</f>
        <v>ILN Chennai-ILN Chennai-SEVILLA</v>
      </c>
      <c r="C414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14" s="66" t="str">
        <f>_xlfn.CONCAT(Tableau119[[#This Row],[Compte ILN]],"-",Tableau119[[#This Row],[Compte Shipper]],"-",Tableau119[[#This Row],[POL]])</f>
        <v>2533780546-2533780546-FALSO</v>
      </c>
      <c r="E414" s="130" t="str">
        <f>_xlfn.CONCAT(Tableau119[[#This Row],[POL]],"-",Tableau119[[#This Row],[Carrier]],"-",Tableau119[[#This Row],[POD]])</f>
        <v>FALSO-FALSO-FALSO</v>
      </c>
      <c r="F414" s="66" t="str">
        <f>_xlfn.CONCAT(Tableau119[[#This Row],[ID]],"-","Actif")</f>
        <v>156-Actif</v>
      </c>
      <c r="G414" s="66" t="str">
        <f>_xlfn.CONCAT(Tableau119[[#This Row],[POD]],"-",Tableau119[[#This Row],[Code PFI]],"-",Tableau119[[#This Row],[Compte Consignee]])</f>
        <v>FALSO-91018400-91017500</v>
      </c>
      <c r="H4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14" s="434" t="str">
        <f>_xlfn.CONCAT(Tableau119[[#This Row],[ID]],"-",Tableau119[[#This Row],[Expiration Date]])</f>
        <v>156-45976</v>
      </c>
      <c r="J4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VLL-45976</v>
      </c>
      <c r="K414" s="119" t="str">
        <f ca="1">IF(COUNTIF(J:J,Tableau119[[#This Row],[Plant-ILN-shipper-POL-Carrier-POD-PFI]])=1,"Non","Oui")</f>
        <v>Non</v>
      </c>
      <c r="L414" s="128" t="str">
        <f>VLOOKUP(Tableau119[[#This Row],[Name Site]],Plant_AILN!A:D,4,FALSE)</f>
        <v>SPAIN</v>
      </c>
      <c r="M414" s="411" t="s">
        <v>172</v>
      </c>
      <c r="N414" s="454">
        <f>VLOOKUP(Tableau119[[#This Row],[Name Site]],Plant_AILN!A:C,3,FALSE)</f>
        <v>91017500</v>
      </c>
      <c r="O414" s="55">
        <f>VLOOKUP(Tableau119[[#This Row],[Compte Consignee]],Order!C:D,2,FALSE)</f>
        <v>7</v>
      </c>
      <c r="P414" s="124" t="s">
        <v>149</v>
      </c>
      <c r="Q414" s="365">
        <f>VLOOKUP(Tableau119[[#This Row],[Name ILN]],Plant_AILN!F:G,2,FALSE)</f>
        <v>2533780546</v>
      </c>
      <c r="R414" s="50">
        <f>VLOOKUP(Tableau119[[#This Row],[Compte ILN]],'DATA ILN'!D:I,6,FALSE)</f>
        <v>9</v>
      </c>
      <c r="S414" s="50" t="e">
        <f>IFERROR(VLOOKUP(Tableau119[[#This Row],[Key(Compte ILN - shipper - POL - plant)]],'DATA ILN'!A:J,10,FALSE),VLOOKUP(Tableau119[[#This Row],[Key(Compte ILN - shipper - POL)]],'DATA ILN'!B:J,9,FALSE))</f>
        <v>#N/A</v>
      </c>
      <c r="T414" s="50" t="e">
        <f>IFERROR(VLOOKUP(Tableau119[[#This Row],[Key(Compte ILN - shipper - POL - plant)]],'DATA ILN'!A:K,11,FALSE),VLOOKUP(Tableau119[[#This Row],[Key(Compte ILN - shipper - POL)]],'DATA ILN'!B:K,10,FALSE))</f>
        <v>#N/A</v>
      </c>
      <c r="U414" s="50" t="e">
        <f>IFERROR(VLOOKUP(Tableau119[[#This Row],[Key(Compte ILN - shipper - POL - plant)]],'DATA ILN'!A:L,12,FALSE),VLOOKUP(Tableau119[[#This Row],[Key(Compte ILN - shipper - POL)]],'DATA ILN'!B:L,11,FALSE))</f>
        <v>#N/A</v>
      </c>
      <c r="V414" s="50" t="e">
        <f>Tableau119[[#This Row],[Day ILN Order]]+Tableau119[[#This Row],[Delivery time to ILN/Shipper]]-1</f>
        <v>#N/A</v>
      </c>
      <c r="W414" s="50" t="e">
        <f>IFERROR(VLOOKUP(Tableau119[[#This Row],[Key(Compte ILN - shipper - POL - plant)]],'DATA ILN'!A:N,14,FALSE),VLOOKUP(Tableau119[[#This Row],[Key(Compte ILN - shipper - POL)]],'DATA ILN'!B:N,13,FALSE))</f>
        <v>#N/A</v>
      </c>
      <c r="X414" s="50" t="e">
        <f>IFERROR(VLOOKUP(Tableau119[[#This Row],[Key(Compte ILN - shipper - POL - plant)]],'DATA ILN'!A:P,16,FALSE),VLOOKUP(Tableau119[[#This Row],[Key(Compte ILN - shipper - POL)]],'DATA ILN'!B:P,15,FALSE))</f>
        <v>#N/A</v>
      </c>
      <c r="Y414" s="284" t="s">
        <v>149</v>
      </c>
      <c r="Z414" s="430">
        <f>IFERROR(VLOOKUP(Tableau119[[#This Row],[Name Shipper]],Plant_AILN!L:M,2,FALSE),0)</f>
        <v>2533780546</v>
      </c>
      <c r="AA414" s="406">
        <v>156</v>
      </c>
      <c r="AB414" s="396" t="b">
        <f>_xlfn.XLOOKUP(Tableau119[[#This Row],[Key(ID-date)]],'DATA BTO'!S:S,'DATA BTO'!E:E,FALSE)</f>
        <v>0</v>
      </c>
      <c r="AC414" s="3" t="b">
        <f>_xlfn.XLOOKUP(Tableau119[[#This Row],[Key(ID-date)]],'DATA BTO'!S:S,'DATA BTO'!F:F,FALSE)</f>
        <v>0</v>
      </c>
      <c r="AD414" s="50" t="b">
        <f>_xlfn.XLOOKUP(Tableau119[[#This Row],[Key(ID-date)]],'DATA BTO'!S:S,'DATA BTO'!G:G,FALSE)</f>
        <v>0</v>
      </c>
      <c r="AE414" s="50" t="b">
        <f>_xlfn.XLOOKUP(Tableau119[[#This Row],[Key(ID-date)]],'DATA BTO'!S:S,'DATA BTO'!H:H,FALSE)</f>
        <v>0</v>
      </c>
      <c r="AF414" s="447" t="e">
        <f>IF(Tableau119[[#This Row],[First Day to POL]]&lt;=Tableau119[[#This Row],[Day Cut Off]],Tableau119[[#This Row],[Day ETD]],Tableau119[[#This Row],[Day ETD]]+7)</f>
        <v>#N/A</v>
      </c>
      <c r="AG414" s="50" t="b">
        <f>_xlfn.XLOOKUP(Tableau119[[#This Row],[Key(ID-date)]],'DATA BTO'!S:S,'DATA BTO'!I:I,FALSE)</f>
        <v>0</v>
      </c>
      <c r="AH414" s="3" t="b">
        <f>_xlfn.XLOOKUP(Tableau119[[#This Row],[Key(ID-date)]],'DATA BTO'!S:S,'DATA BTO'!J:J,FALSE)</f>
        <v>0</v>
      </c>
      <c r="AI414" s="3" t="b">
        <f>_xlfn.XLOOKUP(Tableau119[[#This Row],[Key(ID-date)]],'DATA BTO'!S:S,'DATA BTO'!K:K,FALSE)</f>
        <v>0</v>
      </c>
      <c r="AJ414" s="50" t="b">
        <f>_xlfn.XLOOKUP(Tableau119[[#This Row],[Key(ID-date)]],'DATA BTO'!S:S,'DATA BTO'!L:L,FALSE)</f>
        <v>0</v>
      </c>
      <c r="AK414" s="53" t="b">
        <f>_xlfn.XLOOKUP(Tableau119[[#This Row],[Key(ID-date)]],'DATA BTO'!S:S,'DATA BTO'!N:N,FALSE)</f>
        <v>0</v>
      </c>
      <c r="AL414" s="54" t="e">
        <f>VLOOKUP(Tableau119[[#This Row],[Key(POD -PFI- Usine)]],'DATA Consignee'!A:F,6,FALSE)</f>
        <v>#N/A</v>
      </c>
      <c r="AM414" s="127" t="s">
        <v>171</v>
      </c>
      <c r="AN414" s="376">
        <f>IF(Tableau119[[#This Row],[Name PFI/CDD]]="","-",VLOOKUP(Tableau119[[#This Row],[Name PFI/CDD]],Plant_AILN!I:J,2,FALSE))</f>
        <v>91018400</v>
      </c>
      <c r="AO414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4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4" s="2" t="e">
        <f>VLOOKUP(Tableau119[[#This Row],[Key(POD -PFI- Usine)]],'DATA Consignee'!A:J,10,FALSE)</f>
        <v>#N/A</v>
      </c>
      <c r="AR414" s="50" t="e">
        <f>VLOOKUP(Tableau119[[#This Row],[Key(POD -PFI- Usine)]],'DATA Consignee'!A:N,14,FALSE)</f>
        <v>#N/A</v>
      </c>
      <c r="AS4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4" s="50">
        <f>Tableau119[[#This Row],[Transit time]]+Tableau119[[#This Row],[Time for security]]+Tableau119[[#This Row],[Time for security2 buffer]]</f>
        <v>0</v>
      </c>
      <c r="AV4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4" s="50" t="e">
        <f>Tableau119[[#This Row],[Leadtime SI2C]]+Tableau119[[#This Row],[First Receipt Days]]-Tableau119[[#This Row],[Day Customer Order]]+1</f>
        <v>#N/A</v>
      </c>
      <c r="AX414" s="119" t="e">
        <f>IF(Tableau119[[#This Row],[Name ILN]]&lt;&gt;"SFK Freight Forwarder",Tableau119[[#This Row],[Cust. Leadtime]],Tableau119[[#This Row],[Leadtime SI2C]])</f>
        <v>#N/A</v>
      </c>
      <c r="AY414" s="51" t="b">
        <f>_xlfn.XLOOKUP(Tableau119[[#This Row],[Key(ID-date)]],'DATA BTO'!S:S,'DATA BTO'!P:P,FALSE)</f>
        <v>0</v>
      </c>
      <c r="AZ414" s="338">
        <v>45976</v>
      </c>
      <c r="BA414" s="50"/>
    </row>
    <row r="415" spans="2:53">
      <c r="B415" s="446" t="str">
        <f>_xlfn.CONCAT(Tableau119[[#This Row],[Name ILN]],"-",Tableau119[[#This Row],[Name Shipper]],"-",Tableau119[[#This Row],[Name Site]])</f>
        <v>ILN Chennai-ILN Chennai-CACIA</v>
      </c>
      <c r="C415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15" s="66" t="str">
        <f>_xlfn.CONCAT(Tableau119[[#This Row],[Compte ILN]],"-",Tableau119[[#This Row],[Compte Shipper]],"-",Tableau119[[#This Row],[POL]])</f>
        <v>2533780546-2533780546-FALSO</v>
      </c>
      <c r="E415" s="130" t="str">
        <f>_xlfn.CONCAT(Tableau119[[#This Row],[POL]],"-",Tableau119[[#This Row],[Carrier]],"-",Tableau119[[#This Row],[POD]])</f>
        <v>FALSO-FALSO-FALSO</v>
      </c>
      <c r="F415" s="66" t="str">
        <f>_xlfn.CONCAT(Tableau119[[#This Row],[ID]],"-","Actif")</f>
        <v>156-Actif</v>
      </c>
      <c r="G415" s="66" t="str">
        <f>_xlfn.CONCAT(Tableau119[[#This Row],[POD]],"-",Tableau119[[#This Row],[Code PFI]],"-",Tableau119[[#This Row],[Compte Consignee]])</f>
        <v>FALSO-91018400-90016500</v>
      </c>
      <c r="H4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15" s="434" t="str">
        <f>_xlfn.CONCAT(Tableau119[[#This Row],[ID]],"-",Tableau119[[#This Row],[Expiration Date]])</f>
        <v>156-45961</v>
      </c>
      <c r="J4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VLL-45961</v>
      </c>
      <c r="K415" s="119" t="str">
        <f ca="1">IF(COUNTIF(J:J,Tableau119[[#This Row],[Plant-ILN-shipper-POL-Carrier-POD-PFI]])=1,"Non","Oui")</f>
        <v>Non</v>
      </c>
      <c r="L415" s="128" t="str">
        <f>VLOOKUP(Tableau119[[#This Row],[Name Site]],Plant_AILN!A:D,4,FALSE)</f>
        <v>PORTUGAL</v>
      </c>
      <c r="M415" s="415" t="s">
        <v>170</v>
      </c>
      <c r="N415" s="455">
        <f>VLOOKUP(Tableau119[[#This Row],[Name Site]],Plant_AILN!A:C,3,FALSE)</f>
        <v>90016500</v>
      </c>
      <c r="O415" s="104">
        <f>VLOOKUP(Tableau119[[#This Row],[Compte Consignee]],Order!C:D,2,FALSE)</f>
        <v>5</v>
      </c>
      <c r="P415" s="126" t="s">
        <v>149</v>
      </c>
      <c r="Q415" s="366">
        <f>VLOOKUP(Tableau119[[#This Row],[Name ILN]],Plant_AILN!F:G,2,FALSE)</f>
        <v>2533780546</v>
      </c>
      <c r="R415" s="81">
        <f>VLOOKUP(Tableau119[[#This Row],[Compte ILN]],'DATA ILN'!D:I,6,FALSE)</f>
        <v>9</v>
      </c>
      <c r="S415" s="81" t="e">
        <f>IFERROR(VLOOKUP(Tableau119[[#This Row],[Key(Compte ILN - shipper - POL - plant)]],'DATA ILN'!A:J,10,FALSE),VLOOKUP(Tableau119[[#This Row],[Key(Compte ILN - shipper - POL)]],'DATA ILN'!B:J,9,FALSE))</f>
        <v>#N/A</v>
      </c>
      <c r="T415" s="81" t="e">
        <f>IFERROR(VLOOKUP(Tableau119[[#This Row],[Key(Compte ILN - shipper - POL - plant)]],'DATA ILN'!A:K,11,FALSE),VLOOKUP(Tableau119[[#This Row],[Key(Compte ILN - shipper - POL)]],'DATA ILN'!B:K,10,FALSE))</f>
        <v>#N/A</v>
      </c>
      <c r="U415" s="81" t="e">
        <f>IFERROR(VLOOKUP(Tableau119[[#This Row],[Key(Compte ILN - shipper - POL - plant)]],'DATA ILN'!A:L,12,FALSE),VLOOKUP(Tableau119[[#This Row],[Key(Compte ILN - shipper - POL)]],'DATA ILN'!B:L,11,FALSE))</f>
        <v>#N/A</v>
      </c>
      <c r="V415" s="81" t="e">
        <f>Tableau119[[#This Row],[Day ILN Order]]+Tableau119[[#This Row],[Delivery time to ILN/Shipper]]-1</f>
        <v>#N/A</v>
      </c>
      <c r="W415" s="81" t="e">
        <f>IFERROR(VLOOKUP(Tableau119[[#This Row],[Key(Compte ILN - shipper - POL - plant)]],'DATA ILN'!A:N,14,FALSE),VLOOKUP(Tableau119[[#This Row],[Key(Compte ILN - shipper - POL)]],'DATA ILN'!B:N,13,FALSE))</f>
        <v>#N/A</v>
      </c>
      <c r="X415" s="81" t="e">
        <f>IFERROR(VLOOKUP(Tableau119[[#This Row],[Key(Compte ILN - shipper - POL - plant)]],'DATA ILN'!A:P,16,FALSE),VLOOKUP(Tableau119[[#This Row],[Key(Compte ILN - shipper - POL)]],'DATA ILN'!B:P,15,FALSE))</f>
        <v>#N/A</v>
      </c>
      <c r="Y415" s="102" t="s">
        <v>149</v>
      </c>
      <c r="Z415" s="417">
        <f>IFERROR(VLOOKUP(Tableau119[[#This Row],[Name Shipper]],Plant_AILN!L:M,2,FALSE),0)</f>
        <v>2533780546</v>
      </c>
      <c r="AA415" s="416">
        <v>156</v>
      </c>
      <c r="AB415" s="396" t="b">
        <f>_xlfn.XLOOKUP(Tableau119[[#This Row],[Key(ID-date)]],'DATA BTO'!S:S,'DATA BTO'!E:E,FALSE)</f>
        <v>0</v>
      </c>
      <c r="AC415" s="3" t="b">
        <f>_xlfn.XLOOKUP(Tableau119[[#This Row],[Key(ID-date)]],'DATA BTO'!S:S,'DATA BTO'!F:F,FALSE)</f>
        <v>0</v>
      </c>
      <c r="AD415" s="50" t="b">
        <f>_xlfn.XLOOKUP(Tableau119[[#This Row],[Key(ID-date)]],'DATA BTO'!S:S,'DATA BTO'!G:G,FALSE)</f>
        <v>0</v>
      </c>
      <c r="AE415" s="50" t="b">
        <f>_xlfn.XLOOKUP(Tableau119[[#This Row],[Key(ID-date)]],'DATA BTO'!S:S,'DATA BTO'!H:H,FALSE)</f>
        <v>0</v>
      </c>
      <c r="AF415" s="447" t="e">
        <f>IF(Tableau119[[#This Row],[First Day to POL]]&lt;=Tableau119[[#This Row],[Day Cut Off]],Tableau119[[#This Row],[Day ETD]],Tableau119[[#This Row],[Day ETD]]+7)</f>
        <v>#N/A</v>
      </c>
      <c r="AG415" s="50" t="b">
        <f>_xlfn.XLOOKUP(Tableau119[[#This Row],[Key(ID-date)]],'DATA BTO'!S:S,'DATA BTO'!I:I,FALSE)</f>
        <v>0</v>
      </c>
      <c r="AH415" s="3" t="b">
        <f>_xlfn.XLOOKUP(Tableau119[[#This Row],[Key(ID-date)]],'DATA BTO'!S:S,'DATA BTO'!J:J,FALSE)</f>
        <v>0</v>
      </c>
      <c r="AI415" s="3" t="b">
        <f>_xlfn.XLOOKUP(Tableau119[[#This Row],[Key(ID-date)]],'DATA BTO'!S:S,'DATA BTO'!K:K,FALSE)</f>
        <v>0</v>
      </c>
      <c r="AJ415" s="50" t="b">
        <f>_xlfn.XLOOKUP(Tableau119[[#This Row],[Key(ID-date)]],'DATA BTO'!S:S,'DATA BTO'!L:L,FALSE)</f>
        <v>0</v>
      </c>
      <c r="AK415" s="53" t="b">
        <f>_xlfn.XLOOKUP(Tableau119[[#This Row],[Key(ID-date)]],'DATA BTO'!S:S,'DATA BTO'!N:N,FALSE)</f>
        <v>0</v>
      </c>
      <c r="AL415" s="54" t="e">
        <f>VLOOKUP(Tableau119[[#This Row],[Key(POD -PFI- Usine)]],'DATA Consignee'!A:F,6,FALSE)</f>
        <v>#N/A</v>
      </c>
      <c r="AM415" s="127" t="s">
        <v>171</v>
      </c>
      <c r="AN415" s="375">
        <f>IF(Tableau119[[#This Row],[Name PFI/CDD]]="","-",VLOOKUP(Tableau119[[#This Row],[Name PFI/CDD]],Plant_AILN!I:J,2,FALSE))</f>
        <v>91018400</v>
      </c>
      <c r="AO415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5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5" s="110" t="e">
        <f>VLOOKUP(Tableau119[[#This Row],[Key(POD -PFI- Usine)]],'DATA Consignee'!A:J,10,FALSE)</f>
        <v>#N/A</v>
      </c>
      <c r="AR415" s="81" t="e">
        <f>VLOOKUP(Tableau119[[#This Row],[Key(POD -PFI- Usine)]],'DATA Consignee'!A:N,14,FALSE)</f>
        <v>#N/A</v>
      </c>
      <c r="AS41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5" s="81">
        <f>Tableau119[[#This Row],[Transit time]]+Tableau119[[#This Row],[Time for security]]+Tableau119[[#This Row],[Time for security2 buffer]]</f>
        <v>0</v>
      </c>
      <c r="AV4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5" s="50" t="e">
        <f>Tableau119[[#This Row],[Leadtime SI2C]]+Tableau119[[#This Row],[First Receipt Days]]-Tableau119[[#This Row],[Day Customer Order]]+1</f>
        <v>#N/A</v>
      </c>
      <c r="AX415" s="119" t="e">
        <f>IF(Tableau119[[#This Row],[Name ILN]]&lt;&gt;"SFK Freight Forwarder",Tableau119[[#This Row],[Cust. Leadtime]],Tableau119[[#This Row],[Leadtime SI2C]])</f>
        <v>#N/A</v>
      </c>
      <c r="AY415" s="51" t="b">
        <f>_xlfn.XLOOKUP(Tableau119[[#This Row],[Key(ID-date)]],'DATA BTO'!S:S,'DATA BTO'!P:P,FALSE)</f>
        <v>0</v>
      </c>
      <c r="AZ415" s="388">
        <v>45961</v>
      </c>
      <c r="BA415" s="81"/>
    </row>
    <row r="416" spans="2:53">
      <c r="B416" s="446" t="str">
        <f>_xlfn.CONCAT(Tableau119[[#This Row],[Name ILN]],"-",Tableau119[[#This Row],[Name Shipper]],"-",Tableau119[[#This Row],[Name Site]])</f>
        <v>ILN Chennai-ILN Chennai-ILN VLL</v>
      </c>
      <c r="C416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16" s="66" t="str">
        <f>_xlfn.CONCAT(Tableau119[[#This Row],[Compte ILN]],"-",Tableau119[[#This Row],[Compte Shipper]],"-",Tableau119[[#This Row],[POL]])</f>
        <v>2533780546-2533780546-FALSO</v>
      </c>
      <c r="E416" s="130" t="str">
        <f>_xlfn.CONCAT(Tableau119[[#This Row],[POL]],"-",Tableau119[[#This Row],[Carrier]],"-",Tableau119[[#This Row],[POD]])</f>
        <v>FALSO-FALSO-FALSO</v>
      </c>
      <c r="F416" s="66" t="str">
        <f>_xlfn.CONCAT(Tableau119[[#This Row],[ID]],"-","Actif")</f>
        <v>156-Actif</v>
      </c>
      <c r="G416" s="66" t="str">
        <f>_xlfn.CONCAT(Tableau119[[#This Row],[POD]],"-",Tableau119[[#This Row],[Code PFI]],"-",Tableau119[[#This Row],[Compte Consignee]])</f>
        <v>FALSO---9101840000</v>
      </c>
      <c r="H4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16" s="434" t="str">
        <f>_xlfn.CONCAT(Tableau119[[#This Row],[ID]],"-",Tableau119[[#This Row],[Expiration Date]])</f>
        <v>156-45961</v>
      </c>
      <c r="J4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Chennai-156-FALSO-FALSO-FALSO--45961</v>
      </c>
      <c r="K416" s="119" t="str">
        <f ca="1">IF(COUNTIF(J:J,Tableau119[[#This Row],[Plant-ILN-shipper-POL-Carrier-POD-PFI]])=1,"Non","Oui")</f>
        <v>Non</v>
      </c>
      <c r="L416" s="128" t="str">
        <f>VLOOKUP(Tableau119[[#This Row],[Name Site]],Plant_AILN!A:D,4,FALSE)</f>
        <v>SPAIN</v>
      </c>
      <c r="M416" s="411" t="s">
        <v>151</v>
      </c>
      <c r="N416" s="454">
        <f>VLOOKUP(Tableau119[[#This Row],[Name Site]],Plant_AILN!A:C,3,FALSE)</f>
        <v>9101840000</v>
      </c>
      <c r="O416" s="55">
        <f>VLOOKUP(Tableau119[[#This Row],[Compte Consignee]],Order!C:D,2,FALSE)</f>
        <v>2</v>
      </c>
      <c r="P416" s="124" t="s">
        <v>149</v>
      </c>
      <c r="Q416" s="365">
        <f>VLOOKUP(Tableau119[[#This Row],[Name ILN]],Plant_AILN!F:G,2,FALSE)</f>
        <v>2533780546</v>
      </c>
      <c r="R416" s="50">
        <f>VLOOKUP(Tableau119[[#This Row],[Compte ILN]],'DATA ILN'!D:I,6,FALSE)</f>
        <v>9</v>
      </c>
      <c r="S416" s="50" t="e">
        <f>IFERROR(VLOOKUP(Tableau119[[#This Row],[Key(Compte ILN - shipper - POL - plant)]],'DATA ILN'!A:J,10,FALSE),VLOOKUP(Tableau119[[#This Row],[Key(Compte ILN - shipper - POL)]],'DATA ILN'!B:J,9,FALSE))</f>
        <v>#N/A</v>
      </c>
      <c r="T416" s="50" t="e">
        <f>IFERROR(VLOOKUP(Tableau119[[#This Row],[Key(Compte ILN - shipper - POL - plant)]],'DATA ILN'!A:K,11,FALSE),VLOOKUP(Tableau119[[#This Row],[Key(Compte ILN - shipper - POL)]],'DATA ILN'!B:K,10,FALSE))</f>
        <v>#N/A</v>
      </c>
      <c r="U416" s="50" t="e">
        <f>IFERROR(VLOOKUP(Tableau119[[#This Row],[Key(Compte ILN - shipper - POL - plant)]],'DATA ILN'!A:L,12,FALSE),VLOOKUP(Tableau119[[#This Row],[Key(Compte ILN - shipper - POL)]],'DATA ILN'!B:L,11,FALSE))</f>
        <v>#N/A</v>
      </c>
      <c r="V416" s="50" t="e">
        <f>Tableau119[[#This Row],[Day ILN Order]]+Tableau119[[#This Row],[Delivery time to ILN/Shipper]]-1</f>
        <v>#N/A</v>
      </c>
      <c r="W416" s="50" t="e">
        <f>IFERROR(VLOOKUP(Tableau119[[#This Row],[Key(Compte ILN - shipper - POL - plant)]],'DATA ILN'!A:N,14,FALSE),VLOOKUP(Tableau119[[#This Row],[Key(Compte ILN - shipper - POL)]],'DATA ILN'!B:N,13,FALSE))</f>
        <v>#N/A</v>
      </c>
      <c r="X416" s="50" t="e">
        <f>IFERROR(VLOOKUP(Tableau119[[#This Row],[Key(Compte ILN - shipper - POL - plant)]],'DATA ILN'!A:P,16,FALSE),VLOOKUP(Tableau119[[#This Row],[Key(Compte ILN - shipper - POL)]],'DATA ILN'!B:P,15,FALSE))</f>
        <v>#N/A</v>
      </c>
      <c r="Y416" s="284" t="s">
        <v>149</v>
      </c>
      <c r="Z416" s="430">
        <f>IFERROR(VLOOKUP(Tableau119[[#This Row],[Name Shipper]],Plant_AILN!L:M,2,FALSE),0)</f>
        <v>2533780546</v>
      </c>
      <c r="AA416" s="406">
        <v>156</v>
      </c>
      <c r="AB416" s="396" t="b">
        <f>_xlfn.XLOOKUP(Tableau119[[#This Row],[Key(ID-date)]],'DATA BTO'!S:S,'DATA BTO'!E:E,FALSE)</f>
        <v>0</v>
      </c>
      <c r="AC416" s="3" t="b">
        <f>_xlfn.XLOOKUP(Tableau119[[#This Row],[Key(ID-date)]],'DATA BTO'!S:S,'DATA BTO'!F:F,FALSE)</f>
        <v>0</v>
      </c>
      <c r="AD416" s="50" t="b">
        <f>_xlfn.XLOOKUP(Tableau119[[#This Row],[Key(ID-date)]],'DATA BTO'!S:S,'DATA BTO'!G:G,FALSE)</f>
        <v>0</v>
      </c>
      <c r="AE416" s="50" t="b">
        <f>_xlfn.XLOOKUP(Tableau119[[#This Row],[Key(ID-date)]],'DATA BTO'!S:S,'DATA BTO'!H:H,FALSE)</f>
        <v>0</v>
      </c>
      <c r="AF416" s="447" t="e">
        <f>IF(Tableau119[[#This Row],[First Day to POL]]&lt;=Tableau119[[#This Row],[Day Cut Off]],Tableau119[[#This Row],[Day ETD]],Tableau119[[#This Row],[Day ETD]]+7)</f>
        <v>#N/A</v>
      </c>
      <c r="AG416" s="50" t="b">
        <f>_xlfn.XLOOKUP(Tableau119[[#This Row],[Key(ID-date)]],'DATA BTO'!S:S,'DATA BTO'!I:I,FALSE)</f>
        <v>0</v>
      </c>
      <c r="AH416" s="3" t="b">
        <f>_xlfn.XLOOKUP(Tableau119[[#This Row],[Key(ID-date)]],'DATA BTO'!S:S,'DATA BTO'!J:J,FALSE)</f>
        <v>0</v>
      </c>
      <c r="AI416" s="3" t="b">
        <f>_xlfn.XLOOKUP(Tableau119[[#This Row],[Key(ID-date)]],'DATA BTO'!S:S,'DATA BTO'!K:K,FALSE)</f>
        <v>0</v>
      </c>
      <c r="AJ416" s="50" t="b">
        <f>_xlfn.XLOOKUP(Tableau119[[#This Row],[Key(ID-date)]],'DATA BTO'!S:S,'DATA BTO'!L:L,FALSE)</f>
        <v>0</v>
      </c>
      <c r="AK416" s="53" t="b">
        <f>_xlfn.XLOOKUP(Tableau119[[#This Row],[Key(ID-date)]],'DATA BTO'!S:S,'DATA BTO'!N:N,FALSE)</f>
        <v>0</v>
      </c>
      <c r="AL416" s="54" t="e">
        <f>VLOOKUP(Tableau119[[#This Row],[Key(POD -PFI- Usine)]],'DATA Consignee'!A:F,6,FALSE)</f>
        <v>#N/A</v>
      </c>
      <c r="AM416" s="127"/>
      <c r="AN416" s="376" t="str">
        <f>IF(Tableau119[[#This Row],[Name PFI/CDD]]="","-",VLOOKUP(Tableau119[[#This Row],[Name PFI/CDD]],Plant_AILN!I:J,2,FALSE))</f>
        <v>-</v>
      </c>
      <c r="AO4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16" s="2" t="e">
        <f>VLOOKUP(Tableau119[[#This Row],[Key(POD -PFI- Usine)]],'DATA Consignee'!A:J,10,FALSE)</f>
        <v>#N/A</v>
      </c>
      <c r="AR416" s="50" t="e">
        <f>VLOOKUP(Tableau119[[#This Row],[Key(POD -PFI- Usine)]],'DATA Consignee'!A:N,14,FALSE)</f>
        <v>#N/A</v>
      </c>
      <c r="AS4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6" s="50">
        <f>Tableau119[[#This Row],[Transit time]]+Tableau119[[#This Row],[Time for security]]+Tableau119[[#This Row],[Time for security2 buffer]]</f>
        <v>0</v>
      </c>
      <c r="AV4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6" s="50" t="e">
        <f>Tableau119[[#This Row],[Leadtime SI2C]]+Tableau119[[#This Row],[First Receipt Days]]-Tableau119[[#This Row],[Day Customer Order]]+1</f>
        <v>#N/A</v>
      </c>
      <c r="AX416" s="119" t="e">
        <f>IF(Tableau119[[#This Row],[Name ILN]]&lt;&gt;"SFK Freight Forwarder",Tableau119[[#This Row],[Cust. Leadtime]],Tableau119[[#This Row],[Leadtime SI2C]])</f>
        <v>#N/A</v>
      </c>
      <c r="AY416" s="51" t="b">
        <f>_xlfn.XLOOKUP(Tableau119[[#This Row],[Key(ID-date)]],'DATA BTO'!S:S,'DATA BTO'!P:P,FALSE)</f>
        <v>0</v>
      </c>
      <c r="AZ416" s="338">
        <v>45961</v>
      </c>
      <c r="BA416" s="50"/>
    </row>
    <row r="417" spans="2:53">
      <c r="B417" s="446" t="str">
        <f>_xlfn.CONCAT(Tableau119[[#This Row],[Name ILN]],"-",Tableau119[[#This Row],[Name Shipper]],"-",Tableau119[[#This Row],[Name Site]])</f>
        <v>ILN Chennai-ILN Chennai-PALENCIA</v>
      </c>
      <c r="C417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17" s="66" t="str">
        <f>_xlfn.CONCAT(Tableau119[[#This Row],[Compte ILN]],"-",Tableau119[[#This Row],[Compte Shipper]],"-",Tableau119[[#This Row],[POL]])</f>
        <v>2533780546-2533780546-FALSO</v>
      </c>
      <c r="E417" s="130" t="str">
        <f>_xlfn.CONCAT(Tableau119[[#This Row],[POL]],"-",Tableau119[[#This Row],[Carrier]],"-",Tableau119[[#This Row],[POD]])</f>
        <v>FALSO-FALSO-FALSO</v>
      </c>
      <c r="F417" s="66" t="str">
        <f>_xlfn.CONCAT(Tableau119[[#This Row],[ID]],"-","Actif")</f>
        <v>156-Actif</v>
      </c>
      <c r="G417" s="66" t="str">
        <f>_xlfn.CONCAT(Tableau119[[#This Row],[POD]],"-",Tableau119[[#This Row],[Code PFI]],"-",Tableau119[[#This Row],[Compte Consignee]])</f>
        <v>FALSO-91018400-91017200</v>
      </c>
      <c r="H4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17" s="434" t="str">
        <f>_xlfn.CONCAT(Tableau119[[#This Row],[ID]],"-",Tableau119[[#This Row],[Expiration Date]])</f>
        <v>156-45961</v>
      </c>
      <c r="J4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VLL-45961</v>
      </c>
      <c r="K417" s="119" t="str">
        <f ca="1">IF(COUNTIF(J:J,Tableau119[[#This Row],[Plant-ILN-shipper-POL-Carrier-POD-PFI]])=1,"Non","Oui")</f>
        <v>Non</v>
      </c>
      <c r="L417" s="128" t="str">
        <f>VLOOKUP(Tableau119[[#This Row],[Name Site]],Plant_AILN!A:D,4,FALSE)</f>
        <v>SPAIN</v>
      </c>
      <c r="M417" s="411" t="s">
        <v>184</v>
      </c>
      <c r="N417" s="454">
        <f>VLOOKUP(Tableau119[[#This Row],[Name Site]],Plant_AILN!A:C,3,FALSE)</f>
        <v>91017200</v>
      </c>
      <c r="O417" s="55">
        <f>VLOOKUP(Tableau119[[#This Row],[Compte Consignee]],Order!C:D,2,FALSE)</f>
        <v>7</v>
      </c>
      <c r="P417" s="124" t="s">
        <v>149</v>
      </c>
      <c r="Q417" s="365">
        <f>VLOOKUP(Tableau119[[#This Row],[Name ILN]],Plant_AILN!F:G,2,FALSE)</f>
        <v>2533780546</v>
      </c>
      <c r="R417" s="50">
        <f>VLOOKUP(Tableau119[[#This Row],[Compte ILN]],'DATA ILN'!D:I,6,FALSE)</f>
        <v>9</v>
      </c>
      <c r="S417" s="50" t="e">
        <f>IFERROR(VLOOKUP(Tableau119[[#This Row],[Key(Compte ILN - shipper - POL - plant)]],'DATA ILN'!A:J,10,FALSE),VLOOKUP(Tableau119[[#This Row],[Key(Compte ILN - shipper - POL)]],'DATA ILN'!B:J,9,FALSE))</f>
        <v>#N/A</v>
      </c>
      <c r="T417" s="50" t="e">
        <f>IFERROR(VLOOKUP(Tableau119[[#This Row],[Key(Compte ILN - shipper - POL - plant)]],'DATA ILN'!A:K,11,FALSE),VLOOKUP(Tableau119[[#This Row],[Key(Compte ILN - shipper - POL)]],'DATA ILN'!B:K,10,FALSE))</f>
        <v>#N/A</v>
      </c>
      <c r="U417" s="50" t="e">
        <f>IFERROR(VLOOKUP(Tableau119[[#This Row],[Key(Compte ILN - shipper - POL - plant)]],'DATA ILN'!A:L,12,FALSE),VLOOKUP(Tableau119[[#This Row],[Key(Compte ILN - shipper - POL)]],'DATA ILN'!B:L,11,FALSE))</f>
        <v>#N/A</v>
      </c>
      <c r="V417" s="50" t="e">
        <f>Tableau119[[#This Row],[Day ILN Order]]+Tableau119[[#This Row],[Delivery time to ILN/Shipper]]-1</f>
        <v>#N/A</v>
      </c>
      <c r="W417" s="50" t="e">
        <f>IFERROR(VLOOKUP(Tableau119[[#This Row],[Key(Compte ILN - shipper - POL - plant)]],'DATA ILN'!A:N,14,FALSE),VLOOKUP(Tableau119[[#This Row],[Key(Compte ILN - shipper - POL)]],'DATA ILN'!B:N,13,FALSE))</f>
        <v>#N/A</v>
      </c>
      <c r="X417" s="50" t="e">
        <f>IFERROR(VLOOKUP(Tableau119[[#This Row],[Key(Compte ILN - shipper - POL - plant)]],'DATA ILN'!A:P,16,FALSE),VLOOKUP(Tableau119[[#This Row],[Key(Compte ILN - shipper - POL)]],'DATA ILN'!B:P,15,FALSE))</f>
        <v>#N/A</v>
      </c>
      <c r="Y417" s="284" t="s">
        <v>149</v>
      </c>
      <c r="Z417" s="430">
        <f>IFERROR(VLOOKUP(Tableau119[[#This Row],[Name Shipper]],Plant_AILN!L:M,2,FALSE),0)</f>
        <v>2533780546</v>
      </c>
      <c r="AA417" s="406">
        <v>156</v>
      </c>
      <c r="AB417" s="396" t="b">
        <f>_xlfn.XLOOKUP(Tableau119[[#This Row],[Key(ID-date)]],'DATA BTO'!S:S,'DATA BTO'!E:E,FALSE)</f>
        <v>0</v>
      </c>
      <c r="AC417" s="3" t="b">
        <f>_xlfn.XLOOKUP(Tableau119[[#This Row],[Key(ID-date)]],'DATA BTO'!S:S,'DATA BTO'!F:F,FALSE)</f>
        <v>0</v>
      </c>
      <c r="AD417" s="50" t="b">
        <f>_xlfn.XLOOKUP(Tableau119[[#This Row],[Key(ID-date)]],'DATA BTO'!S:S,'DATA BTO'!G:G,FALSE)</f>
        <v>0</v>
      </c>
      <c r="AE417" s="50" t="b">
        <f>_xlfn.XLOOKUP(Tableau119[[#This Row],[Key(ID-date)]],'DATA BTO'!S:S,'DATA BTO'!H:H,FALSE)</f>
        <v>0</v>
      </c>
      <c r="AF417" s="447" t="e">
        <f>IF(Tableau119[[#This Row],[First Day to POL]]&lt;=Tableau119[[#This Row],[Day Cut Off]],Tableau119[[#This Row],[Day ETD]],Tableau119[[#This Row],[Day ETD]]+7)</f>
        <v>#N/A</v>
      </c>
      <c r="AG417" s="50" t="b">
        <f>_xlfn.XLOOKUP(Tableau119[[#This Row],[Key(ID-date)]],'DATA BTO'!S:S,'DATA BTO'!I:I,FALSE)</f>
        <v>0</v>
      </c>
      <c r="AH417" s="3" t="b">
        <f>_xlfn.XLOOKUP(Tableau119[[#This Row],[Key(ID-date)]],'DATA BTO'!S:S,'DATA BTO'!J:J,FALSE)</f>
        <v>0</v>
      </c>
      <c r="AI417" s="3" t="b">
        <f>_xlfn.XLOOKUP(Tableau119[[#This Row],[Key(ID-date)]],'DATA BTO'!S:S,'DATA BTO'!K:K,FALSE)</f>
        <v>0</v>
      </c>
      <c r="AJ417" s="50" t="b">
        <f>_xlfn.XLOOKUP(Tableau119[[#This Row],[Key(ID-date)]],'DATA BTO'!S:S,'DATA BTO'!L:L,FALSE)</f>
        <v>0</v>
      </c>
      <c r="AK417" s="53" t="b">
        <f>_xlfn.XLOOKUP(Tableau119[[#This Row],[Key(ID-date)]],'DATA BTO'!S:S,'DATA BTO'!N:N,FALSE)</f>
        <v>0</v>
      </c>
      <c r="AL417" s="54" t="e">
        <f>VLOOKUP(Tableau119[[#This Row],[Key(POD -PFI- Usine)]],'DATA Consignee'!A:F,6,FALSE)</f>
        <v>#N/A</v>
      </c>
      <c r="AM417" s="127" t="s">
        <v>171</v>
      </c>
      <c r="AN417" s="376">
        <f>IF(Tableau119[[#This Row],[Name PFI/CDD]]="","-",VLOOKUP(Tableau119[[#This Row],[Name PFI/CDD]],Plant_AILN!I:J,2,FALSE))</f>
        <v>91018400</v>
      </c>
      <c r="AO41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7" s="2" t="e">
        <f>VLOOKUP(Tableau119[[#This Row],[Key(POD -PFI- Usine)]],'DATA Consignee'!A:J,10,FALSE)</f>
        <v>#N/A</v>
      </c>
      <c r="AR417" s="50" t="e">
        <f>VLOOKUP(Tableau119[[#This Row],[Key(POD -PFI- Usine)]],'DATA Consignee'!A:N,14,FALSE)</f>
        <v>#N/A</v>
      </c>
      <c r="AS4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7" s="50">
        <f>Tableau119[[#This Row],[Transit time]]+Tableau119[[#This Row],[Time for security]]+Tableau119[[#This Row],[Time for security2 buffer]]</f>
        <v>0</v>
      </c>
      <c r="AV4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7" s="50" t="e">
        <f>Tableau119[[#This Row],[Leadtime SI2C]]+Tableau119[[#This Row],[First Receipt Days]]-Tableau119[[#This Row],[Day Customer Order]]+1</f>
        <v>#N/A</v>
      </c>
      <c r="AX417" s="119" t="e">
        <f>IF(Tableau119[[#This Row],[Name ILN]]&lt;&gt;"SFK Freight Forwarder",Tableau119[[#This Row],[Cust. Leadtime]],Tableau119[[#This Row],[Leadtime SI2C]])</f>
        <v>#N/A</v>
      </c>
      <c r="AY417" s="51" t="b">
        <f>_xlfn.XLOOKUP(Tableau119[[#This Row],[Key(ID-date)]],'DATA BTO'!S:S,'DATA BTO'!P:P,FALSE)</f>
        <v>0</v>
      </c>
      <c r="AZ417" s="338">
        <v>45961</v>
      </c>
      <c r="BA417" s="50"/>
    </row>
    <row r="418" spans="2:53">
      <c r="B418" s="446" t="str">
        <f>_xlfn.CONCAT(Tableau119[[#This Row],[Name ILN]],"-",Tableau119[[#This Row],[Name Shipper]],"-",Tableau119[[#This Row],[Name Site]])</f>
        <v>ILN Chennai-ILN Chennai-VALL MONTAGE</v>
      </c>
      <c r="C418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18" s="66" t="str">
        <f>_xlfn.CONCAT(Tableau119[[#This Row],[Compte ILN]],"-",Tableau119[[#This Row],[Compte Shipper]],"-",Tableau119[[#This Row],[POL]])</f>
        <v>2533780546-2533780546-FALSO</v>
      </c>
      <c r="E418" s="130" t="str">
        <f>_xlfn.CONCAT(Tableau119[[#This Row],[POL]],"-",Tableau119[[#This Row],[Carrier]],"-",Tableau119[[#This Row],[POD]])</f>
        <v>FALSO-FALSO-FALSO</v>
      </c>
      <c r="F418" s="66" t="str">
        <f>_xlfn.CONCAT(Tableau119[[#This Row],[ID]],"-","Actif")</f>
        <v>156-Actif</v>
      </c>
      <c r="G418" s="66" t="str">
        <f>_xlfn.CONCAT(Tableau119[[#This Row],[POD]],"-",Tableau119[[#This Row],[Code PFI]],"-",Tableau119[[#This Row],[Compte Consignee]])</f>
        <v>FALSO-91018400-91017300</v>
      </c>
      <c r="H4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18" s="434" t="str">
        <f>_xlfn.CONCAT(Tableau119[[#This Row],[ID]],"-",Tableau119[[#This Row],[Expiration Date]])</f>
        <v>156-45961</v>
      </c>
      <c r="J4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VLL-45961</v>
      </c>
      <c r="K418" s="119" t="str">
        <f ca="1">IF(COUNTIF(J:J,Tableau119[[#This Row],[Plant-ILN-shipper-POL-Carrier-POD-PFI]])=1,"Non","Oui")</f>
        <v>Non</v>
      </c>
      <c r="L418" s="128" t="str">
        <f>VLOOKUP(Tableau119[[#This Row],[Name Site]],Plant_AILN!A:D,4,FALSE)</f>
        <v>SPAIN</v>
      </c>
      <c r="M418" s="415" t="s">
        <v>175</v>
      </c>
      <c r="N418" s="455">
        <f>VLOOKUP(Tableau119[[#This Row],[Name Site]],Plant_AILN!A:C,3,FALSE)</f>
        <v>91017300</v>
      </c>
      <c r="O418" s="104">
        <f>VLOOKUP(Tableau119[[#This Row],[Compte Consignee]],Order!C:D,2,FALSE)</f>
        <v>7</v>
      </c>
      <c r="P418" s="126" t="s">
        <v>149</v>
      </c>
      <c r="Q418" s="366">
        <f>VLOOKUP(Tableau119[[#This Row],[Name ILN]],Plant_AILN!F:G,2,FALSE)</f>
        <v>2533780546</v>
      </c>
      <c r="R418" s="81">
        <f>VLOOKUP(Tableau119[[#This Row],[Compte ILN]],'DATA ILN'!D:I,6,FALSE)</f>
        <v>9</v>
      </c>
      <c r="S418" s="81" t="e">
        <f>IFERROR(VLOOKUP(Tableau119[[#This Row],[Key(Compte ILN - shipper - POL - plant)]],'DATA ILN'!A:J,10,FALSE),VLOOKUP(Tableau119[[#This Row],[Key(Compte ILN - shipper - POL)]],'DATA ILN'!B:J,9,FALSE))</f>
        <v>#N/A</v>
      </c>
      <c r="T418" s="81" t="e">
        <f>IFERROR(VLOOKUP(Tableau119[[#This Row],[Key(Compte ILN - shipper - POL - plant)]],'DATA ILN'!A:K,11,FALSE),VLOOKUP(Tableau119[[#This Row],[Key(Compte ILN - shipper - POL)]],'DATA ILN'!B:K,10,FALSE))</f>
        <v>#N/A</v>
      </c>
      <c r="U418" s="81" t="e">
        <f>IFERROR(VLOOKUP(Tableau119[[#This Row],[Key(Compte ILN - shipper - POL - plant)]],'DATA ILN'!A:L,12,FALSE),VLOOKUP(Tableau119[[#This Row],[Key(Compte ILN - shipper - POL)]],'DATA ILN'!B:L,11,FALSE))</f>
        <v>#N/A</v>
      </c>
      <c r="V418" s="81" t="e">
        <f>Tableau119[[#This Row],[Day ILN Order]]+Tableau119[[#This Row],[Delivery time to ILN/Shipper]]-1</f>
        <v>#N/A</v>
      </c>
      <c r="W418" s="81" t="e">
        <f>IFERROR(VLOOKUP(Tableau119[[#This Row],[Key(Compte ILN - shipper - POL - plant)]],'DATA ILN'!A:N,14,FALSE),VLOOKUP(Tableau119[[#This Row],[Key(Compte ILN - shipper - POL)]],'DATA ILN'!B:N,13,FALSE))</f>
        <v>#N/A</v>
      </c>
      <c r="X418" s="81" t="e">
        <f>IFERROR(VLOOKUP(Tableau119[[#This Row],[Key(Compte ILN - shipper - POL - plant)]],'DATA ILN'!A:P,16,FALSE),VLOOKUP(Tableau119[[#This Row],[Key(Compte ILN - shipper - POL)]],'DATA ILN'!B:P,15,FALSE))</f>
        <v>#N/A</v>
      </c>
      <c r="Y418" s="102" t="s">
        <v>149</v>
      </c>
      <c r="Z418" s="417">
        <f>IFERROR(VLOOKUP(Tableau119[[#This Row],[Name Shipper]],Plant_AILN!L:M,2,FALSE),0)</f>
        <v>2533780546</v>
      </c>
      <c r="AA418" s="416">
        <v>156</v>
      </c>
      <c r="AB418" s="396" t="b">
        <f>_xlfn.XLOOKUP(Tableau119[[#This Row],[Key(ID-date)]],'DATA BTO'!S:S,'DATA BTO'!E:E,FALSE)</f>
        <v>0</v>
      </c>
      <c r="AC418" s="3" t="b">
        <f>_xlfn.XLOOKUP(Tableau119[[#This Row],[Key(ID-date)]],'DATA BTO'!S:S,'DATA BTO'!F:F,FALSE)</f>
        <v>0</v>
      </c>
      <c r="AD418" s="50" t="b">
        <f>_xlfn.XLOOKUP(Tableau119[[#This Row],[Key(ID-date)]],'DATA BTO'!S:S,'DATA BTO'!G:G,FALSE)</f>
        <v>0</v>
      </c>
      <c r="AE418" s="50" t="b">
        <f>_xlfn.XLOOKUP(Tableau119[[#This Row],[Key(ID-date)]],'DATA BTO'!S:S,'DATA BTO'!H:H,FALSE)</f>
        <v>0</v>
      </c>
      <c r="AF418" s="447" t="e">
        <f>IF(Tableau119[[#This Row],[First Day to POL]]&lt;=Tableau119[[#This Row],[Day Cut Off]],Tableau119[[#This Row],[Day ETD]],Tableau119[[#This Row],[Day ETD]]+7)</f>
        <v>#N/A</v>
      </c>
      <c r="AG418" s="50" t="b">
        <f>_xlfn.XLOOKUP(Tableau119[[#This Row],[Key(ID-date)]],'DATA BTO'!S:S,'DATA BTO'!I:I,FALSE)</f>
        <v>0</v>
      </c>
      <c r="AH418" s="3" t="b">
        <f>_xlfn.XLOOKUP(Tableau119[[#This Row],[Key(ID-date)]],'DATA BTO'!S:S,'DATA BTO'!J:J,FALSE)</f>
        <v>0</v>
      </c>
      <c r="AI418" s="3" t="b">
        <f>_xlfn.XLOOKUP(Tableau119[[#This Row],[Key(ID-date)]],'DATA BTO'!S:S,'DATA BTO'!K:K,FALSE)</f>
        <v>0</v>
      </c>
      <c r="AJ418" s="50" t="b">
        <f>_xlfn.XLOOKUP(Tableau119[[#This Row],[Key(ID-date)]],'DATA BTO'!S:S,'DATA BTO'!L:L,FALSE)</f>
        <v>0</v>
      </c>
      <c r="AK418" s="53" t="b">
        <f>_xlfn.XLOOKUP(Tableau119[[#This Row],[Key(ID-date)]],'DATA BTO'!S:S,'DATA BTO'!N:N,FALSE)</f>
        <v>0</v>
      </c>
      <c r="AL418" s="54" t="e">
        <f>VLOOKUP(Tableau119[[#This Row],[Key(POD -PFI- Usine)]],'DATA Consignee'!A:F,6,FALSE)</f>
        <v>#N/A</v>
      </c>
      <c r="AM418" s="127" t="s">
        <v>169</v>
      </c>
      <c r="AN418" s="375">
        <f>IF(Tableau119[[#This Row],[Name PFI/CDD]]="","-",VLOOKUP(Tableau119[[#This Row],[Name PFI/CDD]],Plant_AILN!I:J,2,FALSE))</f>
        <v>91018400</v>
      </c>
      <c r="AO418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8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8" s="110" t="e">
        <f>VLOOKUP(Tableau119[[#This Row],[Key(POD -PFI- Usine)]],'DATA Consignee'!A:J,10,FALSE)</f>
        <v>#N/A</v>
      </c>
      <c r="AR418" s="81" t="e">
        <f>VLOOKUP(Tableau119[[#This Row],[Key(POD -PFI- Usine)]],'DATA Consignee'!A:N,14,FALSE)</f>
        <v>#N/A</v>
      </c>
      <c r="AS41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8" s="81">
        <f>Tableau119[[#This Row],[Transit time]]+Tableau119[[#This Row],[Time for security]]+Tableau119[[#This Row],[Time for security2 buffer]]</f>
        <v>0</v>
      </c>
      <c r="AV4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8" s="50" t="e">
        <f>Tableau119[[#This Row],[Leadtime SI2C]]+Tableau119[[#This Row],[First Receipt Days]]-Tableau119[[#This Row],[Day Customer Order]]+1</f>
        <v>#N/A</v>
      </c>
      <c r="AX418" s="119" t="e">
        <f>IF(Tableau119[[#This Row],[Name ILN]]&lt;&gt;"SFK Freight Forwarder",Tableau119[[#This Row],[Cust. Leadtime]],Tableau119[[#This Row],[Leadtime SI2C]])</f>
        <v>#N/A</v>
      </c>
      <c r="AY418" s="51" t="b">
        <f>_xlfn.XLOOKUP(Tableau119[[#This Row],[Key(ID-date)]],'DATA BTO'!S:S,'DATA BTO'!P:P,FALSE)</f>
        <v>0</v>
      </c>
      <c r="AZ418" s="388">
        <v>45961</v>
      </c>
      <c r="BA418" s="81"/>
    </row>
    <row r="419" spans="2:53">
      <c r="B419" s="446" t="str">
        <f>_xlfn.CONCAT(Tableau119[[#This Row],[Name ILN]],"-",Tableau119[[#This Row],[Name Shipper]],"-",Tableau119[[#This Row],[Name Site]])</f>
        <v>ILN Chennai-ILN Chennai-SEVILLA</v>
      </c>
      <c r="C419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19" s="66" t="str">
        <f>_xlfn.CONCAT(Tableau119[[#This Row],[Compte ILN]],"-",Tableau119[[#This Row],[Compte Shipper]],"-",Tableau119[[#This Row],[POL]])</f>
        <v>2533780546-2533780546-FALSO</v>
      </c>
      <c r="E419" s="130" t="str">
        <f>_xlfn.CONCAT(Tableau119[[#This Row],[POL]],"-",Tableau119[[#This Row],[Carrier]],"-",Tableau119[[#This Row],[POD]])</f>
        <v>FALSO-FALSO-FALSO</v>
      </c>
      <c r="F419" s="66" t="str">
        <f>_xlfn.CONCAT(Tableau119[[#This Row],[ID]],"-","Actif")</f>
        <v>156-Actif</v>
      </c>
      <c r="G419" s="66" t="str">
        <f>_xlfn.CONCAT(Tableau119[[#This Row],[POD]],"-",Tableau119[[#This Row],[Code PFI]],"-",Tableau119[[#This Row],[Compte Consignee]])</f>
        <v>FALSO-91018400-91017500</v>
      </c>
      <c r="H4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19" s="434" t="str">
        <f>_xlfn.CONCAT(Tableau119[[#This Row],[ID]],"-",Tableau119[[#This Row],[Expiration Date]])</f>
        <v>156-45961</v>
      </c>
      <c r="J4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VLL-45961</v>
      </c>
      <c r="K419" s="119" t="str">
        <f ca="1">IF(COUNTIF(J:J,Tableau119[[#This Row],[Plant-ILN-shipper-POL-Carrier-POD-PFI]])=1,"Non","Oui")</f>
        <v>Non</v>
      </c>
      <c r="L419" s="128" t="str">
        <f>VLOOKUP(Tableau119[[#This Row],[Name Site]],Plant_AILN!A:D,4,FALSE)</f>
        <v>SPAIN</v>
      </c>
      <c r="M419" s="411" t="s">
        <v>172</v>
      </c>
      <c r="N419" s="454">
        <f>VLOOKUP(Tableau119[[#This Row],[Name Site]],Plant_AILN!A:C,3,FALSE)</f>
        <v>91017500</v>
      </c>
      <c r="O419" s="55">
        <f>VLOOKUP(Tableau119[[#This Row],[Compte Consignee]],Order!C:D,2,FALSE)</f>
        <v>7</v>
      </c>
      <c r="P419" s="124" t="s">
        <v>149</v>
      </c>
      <c r="Q419" s="365">
        <f>VLOOKUP(Tableau119[[#This Row],[Name ILN]],Plant_AILN!F:G,2,FALSE)</f>
        <v>2533780546</v>
      </c>
      <c r="R419" s="50">
        <f>VLOOKUP(Tableau119[[#This Row],[Compte ILN]],'DATA ILN'!D:I,6,FALSE)</f>
        <v>9</v>
      </c>
      <c r="S419" s="50" t="e">
        <f>IFERROR(VLOOKUP(Tableau119[[#This Row],[Key(Compte ILN - shipper - POL - plant)]],'DATA ILN'!A:J,10,FALSE),VLOOKUP(Tableau119[[#This Row],[Key(Compte ILN - shipper - POL)]],'DATA ILN'!B:J,9,FALSE))</f>
        <v>#N/A</v>
      </c>
      <c r="T419" s="50" t="e">
        <f>IFERROR(VLOOKUP(Tableau119[[#This Row],[Key(Compte ILN - shipper - POL - plant)]],'DATA ILN'!A:K,11,FALSE),VLOOKUP(Tableau119[[#This Row],[Key(Compte ILN - shipper - POL)]],'DATA ILN'!B:K,10,FALSE))</f>
        <v>#N/A</v>
      </c>
      <c r="U419" s="50" t="e">
        <f>IFERROR(VLOOKUP(Tableau119[[#This Row],[Key(Compte ILN - shipper - POL - plant)]],'DATA ILN'!A:L,12,FALSE),VLOOKUP(Tableau119[[#This Row],[Key(Compte ILN - shipper - POL)]],'DATA ILN'!B:L,11,FALSE))</f>
        <v>#N/A</v>
      </c>
      <c r="V419" s="50" t="e">
        <f>Tableau119[[#This Row],[Day ILN Order]]+Tableau119[[#This Row],[Delivery time to ILN/Shipper]]-1</f>
        <v>#N/A</v>
      </c>
      <c r="W419" s="50" t="e">
        <f>IFERROR(VLOOKUP(Tableau119[[#This Row],[Key(Compte ILN - shipper - POL - plant)]],'DATA ILN'!A:N,14,FALSE),VLOOKUP(Tableau119[[#This Row],[Key(Compte ILN - shipper - POL)]],'DATA ILN'!B:N,13,FALSE))</f>
        <v>#N/A</v>
      </c>
      <c r="X419" s="50" t="e">
        <f>IFERROR(VLOOKUP(Tableau119[[#This Row],[Key(Compte ILN - shipper - POL - plant)]],'DATA ILN'!A:P,16,FALSE),VLOOKUP(Tableau119[[#This Row],[Key(Compte ILN - shipper - POL)]],'DATA ILN'!B:P,15,FALSE))</f>
        <v>#N/A</v>
      </c>
      <c r="Y419" s="284" t="s">
        <v>149</v>
      </c>
      <c r="Z419" s="430">
        <f>IFERROR(VLOOKUP(Tableau119[[#This Row],[Name Shipper]],Plant_AILN!L:M,2,FALSE),0)</f>
        <v>2533780546</v>
      </c>
      <c r="AA419" s="406">
        <v>156</v>
      </c>
      <c r="AB419" s="396" t="b">
        <f>_xlfn.XLOOKUP(Tableau119[[#This Row],[Key(ID-date)]],'DATA BTO'!S:S,'DATA BTO'!E:E,FALSE)</f>
        <v>0</v>
      </c>
      <c r="AC419" s="3" t="b">
        <f>_xlfn.XLOOKUP(Tableau119[[#This Row],[Key(ID-date)]],'DATA BTO'!S:S,'DATA BTO'!F:F,FALSE)</f>
        <v>0</v>
      </c>
      <c r="AD419" s="50" t="b">
        <f>_xlfn.XLOOKUP(Tableau119[[#This Row],[Key(ID-date)]],'DATA BTO'!S:S,'DATA BTO'!G:G,FALSE)</f>
        <v>0</v>
      </c>
      <c r="AE419" s="50" t="b">
        <f>_xlfn.XLOOKUP(Tableau119[[#This Row],[Key(ID-date)]],'DATA BTO'!S:S,'DATA BTO'!H:H,FALSE)</f>
        <v>0</v>
      </c>
      <c r="AF419" s="447" t="e">
        <f>IF(Tableau119[[#This Row],[First Day to POL]]&lt;=Tableau119[[#This Row],[Day Cut Off]],Tableau119[[#This Row],[Day ETD]],Tableau119[[#This Row],[Day ETD]]+7)</f>
        <v>#N/A</v>
      </c>
      <c r="AG419" s="50" t="b">
        <f>_xlfn.XLOOKUP(Tableau119[[#This Row],[Key(ID-date)]],'DATA BTO'!S:S,'DATA BTO'!I:I,FALSE)</f>
        <v>0</v>
      </c>
      <c r="AH419" s="3" t="b">
        <f>_xlfn.XLOOKUP(Tableau119[[#This Row],[Key(ID-date)]],'DATA BTO'!S:S,'DATA BTO'!J:J,FALSE)</f>
        <v>0</v>
      </c>
      <c r="AI419" s="3" t="b">
        <f>_xlfn.XLOOKUP(Tableau119[[#This Row],[Key(ID-date)]],'DATA BTO'!S:S,'DATA BTO'!K:K,FALSE)</f>
        <v>0</v>
      </c>
      <c r="AJ419" s="50" t="b">
        <f>_xlfn.XLOOKUP(Tableau119[[#This Row],[Key(ID-date)]],'DATA BTO'!S:S,'DATA BTO'!L:L,FALSE)</f>
        <v>0</v>
      </c>
      <c r="AK419" s="53" t="b">
        <f>_xlfn.XLOOKUP(Tableau119[[#This Row],[Key(ID-date)]],'DATA BTO'!S:S,'DATA BTO'!N:N,FALSE)</f>
        <v>0</v>
      </c>
      <c r="AL419" s="54" t="e">
        <f>VLOOKUP(Tableau119[[#This Row],[Key(POD -PFI- Usine)]],'DATA Consignee'!A:F,6,FALSE)</f>
        <v>#N/A</v>
      </c>
      <c r="AM419" s="127" t="s">
        <v>171</v>
      </c>
      <c r="AN419" s="376">
        <f>IF(Tableau119[[#This Row],[Name PFI/CDD]]="","-",VLOOKUP(Tableau119[[#This Row],[Name PFI/CDD]],Plant_AILN!I:J,2,FALSE))</f>
        <v>91018400</v>
      </c>
      <c r="AO41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1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19" s="2" t="e">
        <f>VLOOKUP(Tableau119[[#This Row],[Key(POD -PFI- Usine)]],'DATA Consignee'!A:J,10,FALSE)</f>
        <v>#N/A</v>
      </c>
      <c r="AR419" s="50" t="e">
        <f>VLOOKUP(Tableau119[[#This Row],[Key(POD -PFI- Usine)]],'DATA Consignee'!A:N,14,FALSE)</f>
        <v>#N/A</v>
      </c>
      <c r="AS41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1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19" s="50">
        <f>Tableau119[[#This Row],[Transit time]]+Tableau119[[#This Row],[Time for security]]+Tableau119[[#This Row],[Time for security2 buffer]]</f>
        <v>0</v>
      </c>
      <c r="AV4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19" s="50" t="e">
        <f>Tableau119[[#This Row],[Leadtime SI2C]]+Tableau119[[#This Row],[First Receipt Days]]-Tableau119[[#This Row],[Day Customer Order]]+1</f>
        <v>#N/A</v>
      </c>
      <c r="AX419" s="119" t="e">
        <f>IF(Tableau119[[#This Row],[Name ILN]]&lt;&gt;"SFK Freight Forwarder",Tableau119[[#This Row],[Cust. Leadtime]],Tableau119[[#This Row],[Leadtime SI2C]])</f>
        <v>#N/A</v>
      </c>
      <c r="AY419" s="51" t="b">
        <f>_xlfn.XLOOKUP(Tableau119[[#This Row],[Key(ID-date)]],'DATA BTO'!S:S,'DATA BTO'!P:P,FALSE)</f>
        <v>0</v>
      </c>
      <c r="AZ419" s="338">
        <v>45961</v>
      </c>
      <c r="BA419" s="50"/>
    </row>
    <row r="420" spans="2:53">
      <c r="B420" s="446" t="str">
        <f>_xlfn.CONCAT(Tableau119[[#This Row],[Name ILN]],"-",Tableau119[[#This Row],[Name Shipper]],"-",Tableau119[[#This Row],[Name Site]])</f>
        <v>ILN Chennai-ILN Chennai-CACIA</v>
      </c>
      <c r="C420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20" s="66" t="str">
        <f>_xlfn.CONCAT(Tableau119[[#This Row],[Compte ILN]],"-",Tableau119[[#This Row],[Compte Shipper]],"-",Tableau119[[#This Row],[POL]])</f>
        <v>2533780546-2533780546-FALSO</v>
      </c>
      <c r="E420" s="130" t="str">
        <f>_xlfn.CONCAT(Tableau119[[#This Row],[POL]],"-",Tableau119[[#This Row],[Carrier]],"-",Tableau119[[#This Row],[POD]])</f>
        <v>FALSO-FALSO-FALSO</v>
      </c>
      <c r="F420" s="66" t="str">
        <f>_xlfn.CONCAT(Tableau119[[#This Row],[ID]],"-","Actif")</f>
        <v>156-Actif</v>
      </c>
      <c r="G420" s="66" t="str">
        <f>_xlfn.CONCAT(Tableau119[[#This Row],[POD]],"-",Tableau119[[#This Row],[Code PFI]],"-",Tableau119[[#This Row],[Compte Consignee]])</f>
        <v>FALSO-91018400-90016500</v>
      </c>
      <c r="H4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20" s="434" t="str">
        <f>_xlfn.CONCAT(Tableau119[[#This Row],[ID]],"-",Tableau119[[#This Row],[Expiration Date]])</f>
        <v>156-45777</v>
      </c>
      <c r="J4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VLL-45777</v>
      </c>
      <c r="K420" s="119" t="str">
        <f ca="1">IF(COUNTIF(J:J,Tableau119[[#This Row],[Plant-ILN-shipper-POL-Carrier-POD-PFI]])=1,"Non","Oui")</f>
        <v>Non</v>
      </c>
      <c r="L420" s="128" t="str">
        <f>VLOOKUP(Tableau119[[#This Row],[Name Site]],Plant_AILN!A:D,4,FALSE)</f>
        <v>PORTUGAL</v>
      </c>
      <c r="M420" s="411" t="s">
        <v>170</v>
      </c>
      <c r="N420" s="454">
        <f>VLOOKUP(Tableau119[[#This Row],[Name Site]],Plant_AILN!A:C,3,FALSE)</f>
        <v>90016500</v>
      </c>
      <c r="O420" s="55">
        <f>VLOOKUP(Tableau119[[#This Row],[Compte Consignee]],Order!C:D,2,FALSE)</f>
        <v>5</v>
      </c>
      <c r="P420" s="124" t="s">
        <v>149</v>
      </c>
      <c r="Q420" s="365">
        <f>VLOOKUP(Tableau119[[#This Row],[Name ILN]],Plant_AILN!F:G,2,FALSE)</f>
        <v>2533780546</v>
      </c>
      <c r="R420" s="50">
        <f>VLOOKUP(Tableau119[[#This Row],[Compte ILN]],'DATA ILN'!D:I,6,FALSE)</f>
        <v>9</v>
      </c>
      <c r="S420" s="50" t="e">
        <f>IFERROR(VLOOKUP(Tableau119[[#This Row],[Key(Compte ILN - shipper - POL - plant)]],'DATA ILN'!A:J,10,FALSE),VLOOKUP(Tableau119[[#This Row],[Key(Compte ILN - shipper - POL)]],'DATA ILN'!B:J,9,FALSE))</f>
        <v>#N/A</v>
      </c>
      <c r="T420" s="50" t="e">
        <f>IFERROR(VLOOKUP(Tableau119[[#This Row],[Key(Compte ILN - shipper - POL - plant)]],'DATA ILN'!A:K,11,FALSE),VLOOKUP(Tableau119[[#This Row],[Key(Compte ILN - shipper - POL)]],'DATA ILN'!B:K,10,FALSE))</f>
        <v>#N/A</v>
      </c>
      <c r="U420" s="50" t="e">
        <f>IFERROR(VLOOKUP(Tableau119[[#This Row],[Key(Compte ILN - shipper - POL - plant)]],'DATA ILN'!A:L,12,FALSE),VLOOKUP(Tableau119[[#This Row],[Key(Compte ILN - shipper - POL)]],'DATA ILN'!B:L,11,FALSE))</f>
        <v>#N/A</v>
      </c>
      <c r="V420" s="50" t="e">
        <f>Tableau119[[#This Row],[Day ILN Order]]+Tableau119[[#This Row],[Delivery time to ILN/Shipper]]-1</f>
        <v>#N/A</v>
      </c>
      <c r="W420" s="50" t="e">
        <f>IFERROR(VLOOKUP(Tableau119[[#This Row],[Key(Compte ILN - shipper - POL - plant)]],'DATA ILN'!A:N,14,FALSE),VLOOKUP(Tableau119[[#This Row],[Key(Compte ILN - shipper - POL)]],'DATA ILN'!B:N,13,FALSE))</f>
        <v>#N/A</v>
      </c>
      <c r="X420" s="50" t="e">
        <f>IFERROR(VLOOKUP(Tableau119[[#This Row],[Key(Compte ILN - shipper - POL - plant)]],'DATA ILN'!A:P,16,FALSE),VLOOKUP(Tableau119[[#This Row],[Key(Compte ILN - shipper - POL)]],'DATA ILN'!B:P,15,FALSE))</f>
        <v>#N/A</v>
      </c>
      <c r="Y420" s="284" t="s">
        <v>149</v>
      </c>
      <c r="Z420" s="430">
        <f>IFERROR(VLOOKUP(Tableau119[[#This Row],[Name Shipper]],Plant_AILN!L:M,2,FALSE),0)</f>
        <v>2533780546</v>
      </c>
      <c r="AA420" s="406">
        <v>156</v>
      </c>
      <c r="AB420" s="396" t="b">
        <f>_xlfn.XLOOKUP(Tableau119[[#This Row],[Key(ID-date)]],'DATA BTO'!S:S,'DATA BTO'!E:E,FALSE)</f>
        <v>0</v>
      </c>
      <c r="AC420" s="3" t="b">
        <f>_xlfn.XLOOKUP(Tableau119[[#This Row],[Key(ID-date)]],'DATA BTO'!S:S,'DATA BTO'!F:F,FALSE)</f>
        <v>0</v>
      </c>
      <c r="AD420" s="50" t="b">
        <f>_xlfn.XLOOKUP(Tableau119[[#This Row],[Key(ID-date)]],'DATA BTO'!S:S,'DATA BTO'!G:G,FALSE)</f>
        <v>0</v>
      </c>
      <c r="AE420" s="50" t="b">
        <f>_xlfn.XLOOKUP(Tableau119[[#This Row],[Key(ID-date)]],'DATA BTO'!S:S,'DATA BTO'!H:H,FALSE)</f>
        <v>0</v>
      </c>
      <c r="AF420" s="447" t="e">
        <f>IF(Tableau119[[#This Row],[First Day to POL]]&lt;=Tableau119[[#This Row],[Day Cut Off]],Tableau119[[#This Row],[Day ETD]],Tableau119[[#This Row],[Day ETD]]+7)</f>
        <v>#N/A</v>
      </c>
      <c r="AG420" s="50" t="b">
        <f>_xlfn.XLOOKUP(Tableau119[[#This Row],[Key(ID-date)]],'DATA BTO'!S:S,'DATA BTO'!I:I,FALSE)</f>
        <v>0</v>
      </c>
      <c r="AH420" s="3" t="b">
        <f>_xlfn.XLOOKUP(Tableau119[[#This Row],[Key(ID-date)]],'DATA BTO'!S:S,'DATA BTO'!J:J,FALSE)</f>
        <v>0</v>
      </c>
      <c r="AI420" s="3" t="b">
        <f>_xlfn.XLOOKUP(Tableau119[[#This Row],[Key(ID-date)]],'DATA BTO'!S:S,'DATA BTO'!K:K,FALSE)</f>
        <v>0</v>
      </c>
      <c r="AJ420" s="50" t="b">
        <f>_xlfn.XLOOKUP(Tableau119[[#This Row],[Key(ID-date)]],'DATA BTO'!S:S,'DATA BTO'!L:L,FALSE)</f>
        <v>0</v>
      </c>
      <c r="AK420" s="53" t="b">
        <f>_xlfn.XLOOKUP(Tableau119[[#This Row],[Key(ID-date)]],'DATA BTO'!S:S,'DATA BTO'!N:N,FALSE)</f>
        <v>0</v>
      </c>
      <c r="AL420" s="54" t="e">
        <f>VLOOKUP(Tableau119[[#This Row],[Key(POD -PFI- Usine)]],'DATA Consignee'!A:F,6,FALSE)</f>
        <v>#N/A</v>
      </c>
      <c r="AM420" s="127" t="s">
        <v>171</v>
      </c>
      <c r="AN420" s="376">
        <f>IF(Tableau119[[#This Row],[Name PFI/CDD]]="","-",VLOOKUP(Tableau119[[#This Row],[Name PFI/CDD]],Plant_AILN!I:J,2,FALSE))</f>
        <v>91018400</v>
      </c>
      <c r="AO420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0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0" s="2" t="e">
        <f>VLOOKUP(Tableau119[[#This Row],[Key(POD -PFI- Usine)]],'DATA Consignee'!A:J,10,FALSE)</f>
        <v>#N/A</v>
      </c>
      <c r="AR420" s="50" t="e">
        <f>VLOOKUP(Tableau119[[#This Row],[Key(POD -PFI- Usine)]],'DATA Consignee'!A:N,14,FALSE)</f>
        <v>#N/A</v>
      </c>
      <c r="AS4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0" s="50">
        <f>Tableau119[[#This Row],[Transit time]]+Tableau119[[#This Row],[Time for security]]+Tableau119[[#This Row],[Time for security2 buffer]]</f>
        <v>0</v>
      </c>
      <c r="AV4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0" s="50" t="e">
        <f>Tableau119[[#This Row],[Leadtime SI2C]]+Tableau119[[#This Row],[First Receipt Days]]-Tableau119[[#This Row],[Day Customer Order]]+1</f>
        <v>#N/A</v>
      </c>
      <c r="AX420" s="119" t="e">
        <f>IF(Tableau119[[#This Row],[Name ILN]]&lt;&gt;"SFK Freight Forwarder",Tableau119[[#This Row],[Cust. Leadtime]],Tableau119[[#This Row],[Leadtime SI2C]])</f>
        <v>#N/A</v>
      </c>
      <c r="AY420" s="51" t="b">
        <f>_xlfn.XLOOKUP(Tableau119[[#This Row],[Key(ID-date)]],'DATA BTO'!S:S,'DATA BTO'!P:P,FALSE)</f>
        <v>0</v>
      </c>
      <c r="AZ420" s="338">
        <v>45777</v>
      </c>
      <c r="BA420" s="50"/>
    </row>
    <row r="421" spans="2:53">
      <c r="B421" s="446" t="str">
        <f>_xlfn.CONCAT(Tableau119[[#This Row],[Name ILN]],"-",Tableau119[[#This Row],[Name Shipper]],"-",Tableau119[[#This Row],[Name Site]])</f>
        <v>ILN Chennai-ILN Chennai-ILN VLL</v>
      </c>
      <c r="C421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21" s="66" t="str">
        <f>_xlfn.CONCAT(Tableau119[[#This Row],[Compte ILN]],"-",Tableau119[[#This Row],[Compte Shipper]],"-",Tableau119[[#This Row],[POL]])</f>
        <v>2533780546-2533780546-FALSO</v>
      </c>
      <c r="E421" s="130" t="str">
        <f>_xlfn.CONCAT(Tableau119[[#This Row],[POL]],"-",Tableau119[[#This Row],[Carrier]],"-",Tableau119[[#This Row],[POD]])</f>
        <v>FALSO-FALSO-FALSO</v>
      </c>
      <c r="F421" s="66" t="str">
        <f>_xlfn.CONCAT(Tableau119[[#This Row],[ID]],"-","Actif")</f>
        <v>156-Actif</v>
      </c>
      <c r="G421" s="66" t="str">
        <f>_xlfn.CONCAT(Tableau119[[#This Row],[POD]],"-",Tableau119[[#This Row],[Code PFI]],"-",Tableau119[[#This Row],[Compte Consignee]])</f>
        <v>FALSO---9101840000</v>
      </c>
      <c r="H4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21" s="434" t="str">
        <f>_xlfn.CONCAT(Tableau119[[#This Row],[ID]],"-",Tableau119[[#This Row],[Expiration Date]])</f>
        <v>156-45777</v>
      </c>
      <c r="J4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Chennai-156-FALSO-FALSO-FALSO--45777</v>
      </c>
      <c r="K421" s="119" t="str">
        <f ca="1">IF(COUNTIF(J:J,Tableau119[[#This Row],[Plant-ILN-shipper-POL-Carrier-POD-PFI]])=1,"Non","Oui")</f>
        <v>Non</v>
      </c>
      <c r="L421" s="128" t="str">
        <f>VLOOKUP(Tableau119[[#This Row],[Name Site]],Plant_AILN!A:D,4,FALSE)</f>
        <v>SPAIN</v>
      </c>
      <c r="M421" s="411" t="s">
        <v>151</v>
      </c>
      <c r="N421" s="454">
        <f>VLOOKUP(Tableau119[[#This Row],[Name Site]],Plant_AILN!A:C,3,FALSE)</f>
        <v>9101840000</v>
      </c>
      <c r="O421" s="55">
        <f>VLOOKUP(Tableau119[[#This Row],[Compte Consignee]],Order!C:D,2,FALSE)</f>
        <v>2</v>
      </c>
      <c r="P421" s="124" t="s">
        <v>149</v>
      </c>
      <c r="Q421" s="365">
        <f>VLOOKUP(Tableau119[[#This Row],[Name ILN]],Plant_AILN!F:G,2,FALSE)</f>
        <v>2533780546</v>
      </c>
      <c r="R421" s="50">
        <f>VLOOKUP(Tableau119[[#This Row],[Compte ILN]],'DATA ILN'!D:I,6,FALSE)</f>
        <v>9</v>
      </c>
      <c r="S421" s="50" t="e">
        <f>IFERROR(VLOOKUP(Tableau119[[#This Row],[Key(Compte ILN - shipper - POL - plant)]],'DATA ILN'!A:J,10,FALSE),VLOOKUP(Tableau119[[#This Row],[Key(Compte ILN - shipper - POL)]],'DATA ILN'!B:J,9,FALSE))</f>
        <v>#N/A</v>
      </c>
      <c r="T421" s="50" t="e">
        <f>IFERROR(VLOOKUP(Tableau119[[#This Row],[Key(Compte ILN - shipper - POL - plant)]],'DATA ILN'!A:K,11,FALSE),VLOOKUP(Tableau119[[#This Row],[Key(Compte ILN - shipper - POL)]],'DATA ILN'!B:K,10,FALSE))</f>
        <v>#N/A</v>
      </c>
      <c r="U421" s="50" t="e">
        <f>IFERROR(VLOOKUP(Tableau119[[#This Row],[Key(Compte ILN - shipper - POL - plant)]],'DATA ILN'!A:L,12,FALSE),VLOOKUP(Tableau119[[#This Row],[Key(Compte ILN - shipper - POL)]],'DATA ILN'!B:L,11,FALSE))</f>
        <v>#N/A</v>
      </c>
      <c r="V421" s="50" t="e">
        <f>Tableau119[[#This Row],[Day ILN Order]]+Tableau119[[#This Row],[Delivery time to ILN/Shipper]]-1</f>
        <v>#N/A</v>
      </c>
      <c r="W421" s="50" t="e">
        <f>IFERROR(VLOOKUP(Tableau119[[#This Row],[Key(Compte ILN - shipper - POL - plant)]],'DATA ILN'!A:N,14,FALSE),VLOOKUP(Tableau119[[#This Row],[Key(Compte ILN - shipper - POL)]],'DATA ILN'!B:N,13,FALSE))</f>
        <v>#N/A</v>
      </c>
      <c r="X421" s="50" t="e">
        <f>IFERROR(VLOOKUP(Tableau119[[#This Row],[Key(Compte ILN - shipper - POL - plant)]],'DATA ILN'!A:P,16,FALSE),VLOOKUP(Tableau119[[#This Row],[Key(Compte ILN - shipper - POL)]],'DATA ILN'!B:P,15,FALSE))</f>
        <v>#N/A</v>
      </c>
      <c r="Y421" s="284" t="s">
        <v>149</v>
      </c>
      <c r="Z421" s="430">
        <f>IFERROR(VLOOKUP(Tableau119[[#This Row],[Name Shipper]],Plant_AILN!L:M,2,FALSE),0)</f>
        <v>2533780546</v>
      </c>
      <c r="AA421" s="406">
        <v>156</v>
      </c>
      <c r="AB421" s="396" t="b">
        <f>_xlfn.XLOOKUP(Tableau119[[#This Row],[Key(ID-date)]],'DATA BTO'!S:S,'DATA BTO'!E:E,FALSE)</f>
        <v>0</v>
      </c>
      <c r="AC421" s="3" t="b">
        <f>_xlfn.XLOOKUP(Tableau119[[#This Row],[Key(ID-date)]],'DATA BTO'!S:S,'DATA BTO'!F:F,FALSE)</f>
        <v>0</v>
      </c>
      <c r="AD421" s="50" t="b">
        <f>_xlfn.XLOOKUP(Tableau119[[#This Row],[Key(ID-date)]],'DATA BTO'!S:S,'DATA BTO'!G:G,FALSE)</f>
        <v>0</v>
      </c>
      <c r="AE421" s="50" t="b">
        <f>_xlfn.XLOOKUP(Tableau119[[#This Row],[Key(ID-date)]],'DATA BTO'!S:S,'DATA BTO'!H:H,FALSE)</f>
        <v>0</v>
      </c>
      <c r="AF421" s="447" t="e">
        <f>IF(Tableau119[[#This Row],[First Day to POL]]&lt;=Tableau119[[#This Row],[Day Cut Off]],Tableau119[[#This Row],[Day ETD]],Tableau119[[#This Row],[Day ETD]]+7)</f>
        <v>#N/A</v>
      </c>
      <c r="AG421" s="50" t="b">
        <f>_xlfn.XLOOKUP(Tableau119[[#This Row],[Key(ID-date)]],'DATA BTO'!S:S,'DATA BTO'!I:I,FALSE)</f>
        <v>0</v>
      </c>
      <c r="AH421" s="3" t="b">
        <f>_xlfn.XLOOKUP(Tableau119[[#This Row],[Key(ID-date)]],'DATA BTO'!S:S,'DATA BTO'!J:J,FALSE)</f>
        <v>0</v>
      </c>
      <c r="AI421" s="3" t="b">
        <f>_xlfn.XLOOKUP(Tableau119[[#This Row],[Key(ID-date)]],'DATA BTO'!S:S,'DATA BTO'!K:K,FALSE)</f>
        <v>0</v>
      </c>
      <c r="AJ421" s="50" t="b">
        <f>_xlfn.XLOOKUP(Tableau119[[#This Row],[Key(ID-date)]],'DATA BTO'!S:S,'DATA BTO'!L:L,FALSE)</f>
        <v>0</v>
      </c>
      <c r="AK421" s="53" t="b">
        <f>_xlfn.XLOOKUP(Tableau119[[#This Row],[Key(ID-date)]],'DATA BTO'!S:S,'DATA BTO'!N:N,FALSE)</f>
        <v>0</v>
      </c>
      <c r="AL421" s="54" t="e">
        <f>VLOOKUP(Tableau119[[#This Row],[Key(POD -PFI- Usine)]],'DATA Consignee'!A:F,6,FALSE)</f>
        <v>#N/A</v>
      </c>
      <c r="AM421" s="127"/>
      <c r="AN421" s="376" t="str">
        <f>IF(Tableau119[[#This Row],[Name PFI/CDD]]="","-",VLOOKUP(Tableau119[[#This Row],[Name PFI/CDD]],Plant_AILN!I:J,2,FALSE))</f>
        <v>-</v>
      </c>
      <c r="AO4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21" s="2" t="e">
        <f>VLOOKUP(Tableau119[[#This Row],[Key(POD -PFI- Usine)]],'DATA Consignee'!A:J,10,FALSE)</f>
        <v>#N/A</v>
      </c>
      <c r="AR421" s="50" t="e">
        <f>VLOOKUP(Tableau119[[#This Row],[Key(POD -PFI- Usine)]],'DATA Consignee'!A:N,14,FALSE)</f>
        <v>#N/A</v>
      </c>
      <c r="AS4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1" s="50">
        <f>Tableau119[[#This Row],[Transit time]]+Tableau119[[#This Row],[Time for security]]+Tableau119[[#This Row],[Time for security2 buffer]]</f>
        <v>0</v>
      </c>
      <c r="AV4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1" s="50" t="e">
        <f>Tableau119[[#This Row],[Leadtime SI2C]]+Tableau119[[#This Row],[First Receipt Days]]-Tableau119[[#This Row],[Day Customer Order]]+1</f>
        <v>#N/A</v>
      </c>
      <c r="AX421" s="119" t="e">
        <f>IF(Tableau119[[#This Row],[Name ILN]]&lt;&gt;"SFK Freight Forwarder",Tableau119[[#This Row],[Cust. Leadtime]],Tableau119[[#This Row],[Leadtime SI2C]])</f>
        <v>#N/A</v>
      </c>
      <c r="AY421" s="51" t="b">
        <f>_xlfn.XLOOKUP(Tableau119[[#This Row],[Key(ID-date)]],'DATA BTO'!S:S,'DATA BTO'!P:P,FALSE)</f>
        <v>0</v>
      </c>
      <c r="AZ421" s="338">
        <v>45777</v>
      </c>
      <c r="BA421" s="50"/>
    </row>
    <row r="422" spans="2:53">
      <c r="B422" s="446" t="str">
        <f>_xlfn.CONCAT(Tableau119[[#This Row],[Name ILN]],"-",Tableau119[[#This Row],[Name Shipper]],"-",Tableau119[[#This Row],[Name Site]])</f>
        <v>ILN Chennai-ILN Chennai-PALENCIA</v>
      </c>
      <c r="C422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22" s="66" t="str">
        <f>_xlfn.CONCAT(Tableau119[[#This Row],[Compte ILN]],"-",Tableau119[[#This Row],[Compte Shipper]],"-",Tableau119[[#This Row],[POL]])</f>
        <v>2533780546-2533780546-FALSO</v>
      </c>
      <c r="E422" s="130" t="str">
        <f>_xlfn.CONCAT(Tableau119[[#This Row],[POL]],"-",Tableau119[[#This Row],[Carrier]],"-",Tableau119[[#This Row],[POD]])</f>
        <v>FALSO-FALSO-FALSO</v>
      </c>
      <c r="F422" s="66" t="str">
        <f>_xlfn.CONCAT(Tableau119[[#This Row],[ID]],"-","Actif")</f>
        <v>156-Actif</v>
      </c>
      <c r="G422" s="66" t="str">
        <f>_xlfn.CONCAT(Tableau119[[#This Row],[POD]],"-",Tableau119[[#This Row],[Code PFI]],"-",Tableau119[[#This Row],[Compte Consignee]])</f>
        <v>FALSO-91018400-91017200</v>
      </c>
      <c r="H4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22" s="434" t="str">
        <f>_xlfn.CONCAT(Tableau119[[#This Row],[ID]],"-",Tableau119[[#This Row],[Expiration Date]])</f>
        <v>156-45777</v>
      </c>
      <c r="J4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VLL-45777</v>
      </c>
      <c r="K422" s="119" t="str">
        <f ca="1">IF(COUNTIF(J:J,Tableau119[[#This Row],[Plant-ILN-shipper-POL-Carrier-POD-PFI]])=1,"Non","Oui")</f>
        <v>Non</v>
      </c>
      <c r="L422" s="128" t="str">
        <f>VLOOKUP(Tableau119[[#This Row],[Name Site]],Plant_AILN!A:D,4,FALSE)</f>
        <v>SPAIN</v>
      </c>
      <c r="M422" s="411" t="s">
        <v>184</v>
      </c>
      <c r="N422" s="454">
        <f>VLOOKUP(Tableau119[[#This Row],[Name Site]],Plant_AILN!A:C,3,FALSE)</f>
        <v>91017200</v>
      </c>
      <c r="O422" s="55">
        <f>VLOOKUP(Tableau119[[#This Row],[Compte Consignee]],Order!C:D,2,FALSE)</f>
        <v>7</v>
      </c>
      <c r="P422" s="124" t="s">
        <v>149</v>
      </c>
      <c r="Q422" s="365">
        <f>VLOOKUP(Tableau119[[#This Row],[Name ILN]],Plant_AILN!F:G,2,FALSE)</f>
        <v>2533780546</v>
      </c>
      <c r="R422" s="50">
        <f>VLOOKUP(Tableau119[[#This Row],[Compte ILN]],'DATA ILN'!D:I,6,FALSE)</f>
        <v>9</v>
      </c>
      <c r="S422" s="50" t="e">
        <f>IFERROR(VLOOKUP(Tableau119[[#This Row],[Key(Compte ILN - shipper - POL - plant)]],'DATA ILN'!A:J,10,FALSE),VLOOKUP(Tableau119[[#This Row],[Key(Compte ILN - shipper - POL)]],'DATA ILN'!B:J,9,FALSE))</f>
        <v>#N/A</v>
      </c>
      <c r="T422" s="50" t="e">
        <f>IFERROR(VLOOKUP(Tableau119[[#This Row],[Key(Compte ILN - shipper - POL - plant)]],'DATA ILN'!A:K,11,FALSE),VLOOKUP(Tableau119[[#This Row],[Key(Compte ILN - shipper - POL)]],'DATA ILN'!B:K,10,FALSE))</f>
        <v>#N/A</v>
      </c>
      <c r="U422" s="50" t="e">
        <f>IFERROR(VLOOKUP(Tableau119[[#This Row],[Key(Compte ILN - shipper - POL - plant)]],'DATA ILN'!A:L,12,FALSE),VLOOKUP(Tableau119[[#This Row],[Key(Compte ILN - shipper - POL)]],'DATA ILN'!B:L,11,FALSE))</f>
        <v>#N/A</v>
      </c>
      <c r="V422" s="50" t="e">
        <f>Tableau119[[#This Row],[Day ILN Order]]+Tableau119[[#This Row],[Delivery time to ILN/Shipper]]-1</f>
        <v>#N/A</v>
      </c>
      <c r="W422" s="50" t="e">
        <f>IFERROR(VLOOKUP(Tableau119[[#This Row],[Key(Compte ILN - shipper - POL - plant)]],'DATA ILN'!A:N,14,FALSE),VLOOKUP(Tableau119[[#This Row],[Key(Compte ILN - shipper - POL)]],'DATA ILN'!B:N,13,FALSE))</f>
        <v>#N/A</v>
      </c>
      <c r="X422" s="50" t="e">
        <f>IFERROR(VLOOKUP(Tableau119[[#This Row],[Key(Compte ILN - shipper - POL - plant)]],'DATA ILN'!A:P,16,FALSE),VLOOKUP(Tableau119[[#This Row],[Key(Compte ILN - shipper - POL)]],'DATA ILN'!B:P,15,FALSE))</f>
        <v>#N/A</v>
      </c>
      <c r="Y422" s="284" t="s">
        <v>149</v>
      </c>
      <c r="Z422" s="430">
        <f>IFERROR(VLOOKUP(Tableau119[[#This Row],[Name Shipper]],Plant_AILN!L:M,2,FALSE),0)</f>
        <v>2533780546</v>
      </c>
      <c r="AA422" s="406">
        <v>156</v>
      </c>
      <c r="AB422" s="396" t="b">
        <f>_xlfn.XLOOKUP(Tableau119[[#This Row],[Key(ID-date)]],'DATA BTO'!S:S,'DATA BTO'!E:E,FALSE)</f>
        <v>0</v>
      </c>
      <c r="AC422" s="3" t="b">
        <f>_xlfn.XLOOKUP(Tableau119[[#This Row],[Key(ID-date)]],'DATA BTO'!S:S,'DATA BTO'!F:F,FALSE)</f>
        <v>0</v>
      </c>
      <c r="AD422" s="50" t="b">
        <f>_xlfn.XLOOKUP(Tableau119[[#This Row],[Key(ID-date)]],'DATA BTO'!S:S,'DATA BTO'!G:G,FALSE)</f>
        <v>0</v>
      </c>
      <c r="AE422" s="50" t="b">
        <f>_xlfn.XLOOKUP(Tableau119[[#This Row],[Key(ID-date)]],'DATA BTO'!S:S,'DATA BTO'!H:H,FALSE)</f>
        <v>0</v>
      </c>
      <c r="AF422" s="447" t="e">
        <f>IF(Tableau119[[#This Row],[First Day to POL]]&lt;=Tableau119[[#This Row],[Day Cut Off]],Tableau119[[#This Row],[Day ETD]],Tableau119[[#This Row],[Day ETD]]+7)</f>
        <v>#N/A</v>
      </c>
      <c r="AG422" s="50" t="b">
        <f>_xlfn.XLOOKUP(Tableau119[[#This Row],[Key(ID-date)]],'DATA BTO'!S:S,'DATA BTO'!I:I,FALSE)</f>
        <v>0</v>
      </c>
      <c r="AH422" s="3" t="b">
        <f>_xlfn.XLOOKUP(Tableau119[[#This Row],[Key(ID-date)]],'DATA BTO'!S:S,'DATA BTO'!J:J,FALSE)</f>
        <v>0</v>
      </c>
      <c r="AI422" s="3" t="b">
        <f>_xlfn.XLOOKUP(Tableau119[[#This Row],[Key(ID-date)]],'DATA BTO'!S:S,'DATA BTO'!K:K,FALSE)</f>
        <v>0</v>
      </c>
      <c r="AJ422" s="50" t="b">
        <f>_xlfn.XLOOKUP(Tableau119[[#This Row],[Key(ID-date)]],'DATA BTO'!S:S,'DATA BTO'!L:L,FALSE)</f>
        <v>0</v>
      </c>
      <c r="AK422" s="53" t="b">
        <f>_xlfn.XLOOKUP(Tableau119[[#This Row],[Key(ID-date)]],'DATA BTO'!S:S,'DATA BTO'!N:N,FALSE)</f>
        <v>0</v>
      </c>
      <c r="AL422" s="54" t="e">
        <f>VLOOKUP(Tableau119[[#This Row],[Key(POD -PFI- Usine)]],'DATA Consignee'!A:F,6,FALSE)</f>
        <v>#N/A</v>
      </c>
      <c r="AM422" s="127" t="s">
        <v>171</v>
      </c>
      <c r="AN422" s="376">
        <f>IF(Tableau119[[#This Row],[Name PFI/CDD]]="","-",VLOOKUP(Tableau119[[#This Row],[Name PFI/CDD]],Plant_AILN!I:J,2,FALSE))</f>
        <v>91018400</v>
      </c>
      <c r="AO42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2" s="2" t="e">
        <f>VLOOKUP(Tableau119[[#This Row],[Key(POD -PFI- Usine)]],'DATA Consignee'!A:J,10,FALSE)</f>
        <v>#N/A</v>
      </c>
      <c r="AR422" s="50" t="e">
        <f>VLOOKUP(Tableau119[[#This Row],[Key(POD -PFI- Usine)]],'DATA Consignee'!A:N,14,FALSE)</f>
        <v>#N/A</v>
      </c>
      <c r="AS4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2" s="50">
        <f>Tableau119[[#This Row],[Transit time]]+Tableau119[[#This Row],[Time for security]]+Tableau119[[#This Row],[Time for security2 buffer]]</f>
        <v>0</v>
      </c>
      <c r="AV4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2" s="50" t="e">
        <f>Tableau119[[#This Row],[Leadtime SI2C]]+Tableau119[[#This Row],[First Receipt Days]]-Tableau119[[#This Row],[Day Customer Order]]+1</f>
        <v>#N/A</v>
      </c>
      <c r="AX422" s="119" t="e">
        <f>IF(Tableau119[[#This Row],[Name ILN]]&lt;&gt;"SFK Freight Forwarder",Tableau119[[#This Row],[Cust. Leadtime]],Tableau119[[#This Row],[Leadtime SI2C]])</f>
        <v>#N/A</v>
      </c>
      <c r="AY422" s="51" t="b">
        <f>_xlfn.XLOOKUP(Tableau119[[#This Row],[Key(ID-date)]],'DATA BTO'!S:S,'DATA BTO'!P:P,FALSE)</f>
        <v>0</v>
      </c>
      <c r="AZ422" s="338">
        <v>45777</v>
      </c>
      <c r="BA422" s="50"/>
    </row>
    <row r="423" spans="2:53">
      <c r="B423" s="446" t="str">
        <f>_xlfn.CONCAT(Tableau119[[#This Row],[Name ILN]],"-",Tableau119[[#This Row],[Name Shipper]],"-",Tableau119[[#This Row],[Name Site]])</f>
        <v>ILN Chennai-ILN Chennai-VALL MONTAGE</v>
      </c>
      <c r="C423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23" s="66" t="str">
        <f>_xlfn.CONCAT(Tableau119[[#This Row],[Compte ILN]],"-",Tableau119[[#This Row],[Compte Shipper]],"-",Tableau119[[#This Row],[POL]])</f>
        <v>2533780546-2533780546-FALSO</v>
      </c>
      <c r="E423" s="130" t="str">
        <f>_xlfn.CONCAT(Tableau119[[#This Row],[POL]],"-",Tableau119[[#This Row],[Carrier]],"-",Tableau119[[#This Row],[POD]])</f>
        <v>FALSO-FALSO-FALSO</v>
      </c>
      <c r="F423" s="66" t="str">
        <f>_xlfn.CONCAT(Tableau119[[#This Row],[ID]],"-","Actif")</f>
        <v>156-Actif</v>
      </c>
      <c r="G423" s="66" t="str">
        <f>_xlfn.CONCAT(Tableau119[[#This Row],[POD]],"-",Tableau119[[#This Row],[Code PFI]],"-",Tableau119[[#This Row],[Compte Consignee]])</f>
        <v>FALSO-91018400-91017300</v>
      </c>
      <c r="H4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23" s="434" t="str">
        <f>_xlfn.CONCAT(Tableau119[[#This Row],[ID]],"-",Tableau119[[#This Row],[Expiration Date]])</f>
        <v>156-45777</v>
      </c>
      <c r="J4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VLL-45777</v>
      </c>
      <c r="K423" s="119" t="str">
        <f ca="1">IF(COUNTIF(J:J,Tableau119[[#This Row],[Plant-ILN-shipper-POL-Carrier-POD-PFI]])=1,"Non","Oui")</f>
        <v>Non</v>
      </c>
      <c r="L423" s="128" t="str">
        <f>VLOOKUP(Tableau119[[#This Row],[Name Site]],Plant_AILN!A:D,4,FALSE)</f>
        <v>SPAIN</v>
      </c>
      <c r="M423" s="411" t="s">
        <v>175</v>
      </c>
      <c r="N423" s="454">
        <f>VLOOKUP(Tableau119[[#This Row],[Name Site]],Plant_AILN!A:C,3,FALSE)</f>
        <v>91017300</v>
      </c>
      <c r="O423" s="55">
        <f>VLOOKUP(Tableau119[[#This Row],[Compte Consignee]],Order!C:D,2,FALSE)</f>
        <v>7</v>
      </c>
      <c r="P423" s="124" t="s">
        <v>149</v>
      </c>
      <c r="Q423" s="365">
        <f>VLOOKUP(Tableau119[[#This Row],[Name ILN]],Plant_AILN!F:G,2,FALSE)</f>
        <v>2533780546</v>
      </c>
      <c r="R423" s="50">
        <f>VLOOKUP(Tableau119[[#This Row],[Compte ILN]],'DATA ILN'!D:I,6,FALSE)</f>
        <v>9</v>
      </c>
      <c r="S423" s="50" t="e">
        <f>IFERROR(VLOOKUP(Tableau119[[#This Row],[Key(Compte ILN - shipper - POL - plant)]],'DATA ILN'!A:J,10,FALSE),VLOOKUP(Tableau119[[#This Row],[Key(Compte ILN - shipper - POL)]],'DATA ILN'!B:J,9,FALSE))</f>
        <v>#N/A</v>
      </c>
      <c r="T423" s="50" t="e">
        <f>IFERROR(VLOOKUP(Tableau119[[#This Row],[Key(Compte ILN - shipper - POL - plant)]],'DATA ILN'!A:K,11,FALSE),VLOOKUP(Tableau119[[#This Row],[Key(Compte ILN - shipper - POL)]],'DATA ILN'!B:K,10,FALSE))</f>
        <v>#N/A</v>
      </c>
      <c r="U423" s="50" t="e">
        <f>IFERROR(VLOOKUP(Tableau119[[#This Row],[Key(Compte ILN - shipper - POL - plant)]],'DATA ILN'!A:L,12,FALSE),VLOOKUP(Tableau119[[#This Row],[Key(Compte ILN - shipper - POL)]],'DATA ILN'!B:L,11,FALSE))</f>
        <v>#N/A</v>
      </c>
      <c r="V423" s="50" t="e">
        <f>Tableau119[[#This Row],[Day ILN Order]]+Tableau119[[#This Row],[Delivery time to ILN/Shipper]]-1</f>
        <v>#N/A</v>
      </c>
      <c r="W423" s="50" t="e">
        <f>IFERROR(VLOOKUP(Tableau119[[#This Row],[Key(Compte ILN - shipper - POL - plant)]],'DATA ILN'!A:N,14,FALSE),VLOOKUP(Tableau119[[#This Row],[Key(Compte ILN - shipper - POL)]],'DATA ILN'!B:N,13,FALSE))</f>
        <v>#N/A</v>
      </c>
      <c r="X423" s="50" t="e">
        <f>IFERROR(VLOOKUP(Tableau119[[#This Row],[Key(Compte ILN - shipper - POL - plant)]],'DATA ILN'!A:P,16,FALSE),VLOOKUP(Tableau119[[#This Row],[Key(Compte ILN - shipper - POL)]],'DATA ILN'!B:P,15,FALSE))</f>
        <v>#N/A</v>
      </c>
      <c r="Y423" s="284" t="s">
        <v>149</v>
      </c>
      <c r="Z423" s="430">
        <f>IFERROR(VLOOKUP(Tableau119[[#This Row],[Name Shipper]],Plant_AILN!L:M,2,FALSE),0)</f>
        <v>2533780546</v>
      </c>
      <c r="AA423" s="406">
        <v>156</v>
      </c>
      <c r="AB423" s="396" t="b">
        <f>_xlfn.XLOOKUP(Tableau119[[#This Row],[Key(ID-date)]],'DATA BTO'!S:S,'DATA BTO'!E:E,FALSE)</f>
        <v>0</v>
      </c>
      <c r="AC423" s="3" t="b">
        <f>_xlfn.XLOOKUP(Tableau119[[#This Row],[Key(ID-date)]],'DATA BTO'!S:S,'DATA BTO'!F:F,FALSE)</f>
        <v>0</v>
      </c>
      <c r="AD423" s="50" t="b">
        <f>_xlfn.XLOOKUP(Tableau119[[#This Row],[Key(ID-date)]],'DATA BTO'!S:S,'DATA BTO'!G:G,FALSE)</f>
        <v>0</v>
      </c>
      <c r="AE423" s="50" t="b">
        <f>_xlfn.XLOOKUP(Tableau119[[#This Row],[Key(ID-date)]],'DATA BTO'!S:S,'DATA BTO'!H:H,FALSE)</f>
        <v>0</v>
      </c>
      <c r="AF423" s="447" t="e">
        <f>IF(Tableau119[[#This Row],[First Day to POL]]&lt;=Tableau119[[#This Row],[Day Cut Off]],Tableau119[[#This Row],[Day ETD]],Tableau119[[#This Row],[Day ETD]]+7)</f>
        <v>#N/A</v>
      </c>
      <c r="AG423" s="50" t="b">
        <f>_xlfn.XLOOKUP(Tableau119[[#This Row],[Key(ID-date)]],'DATA BTO'!S:S,'DATA BTO'!I:I,FALSE)</f>
        <v>0</v>
      </c>
      <c r="AH423" s="3" t="b">
        <f>_xlfn.XLOOKUP(Tableau119[[#This Row],[Key(ID-date)]],'DATA BTO'!S:S,'DATA BTO'!J:J,FALSE)</f>
        <v>0</v>
      </c>
      <c r="AI423" s="3" t="b">
        <f>_xlfn.XLOOKUP(Tableau119[[#This Row],[Key(ID-date)]],'DATA BTO'!S:S,'DATA BTO'!K:K,FALSE)</f>
        <v>0</v>
      </c>
      <c r="AJ423" s="50" t="b">
        <f>_xlfn.XLOOKUP(Tableau119[[#This Row],[Key(ID-date)]],'DATA BTO'!S:S,'DATA BTO'!L:L,FALSE)</f>
        <v>0</v>
      </c>
      <c r="AK423" s="53" t="b">
        <f>_xlfn.XLOOKUP(Tableau119[[#This Row],[Key(ID-date)]],'DATA BTO'!S:S,'DATA BTO'!N:N,FALSE)</f>
        <v>0</v>
      </c>
      <c r="AL423" s="54" t="e">
        <f>VLOOKUP(Tableau119[[#This Row],[Key(POD -PFI- Usine)]],'DATA Consignee'!A:F,6,FALSE)</f>
        <v>#N/A</v>
      </c>
      <c r="AM423" s="127" t="s">
        <v>169</v>
      </c>
      <c r="AN423" s="376">
        <f>IF(Tableau119[[#This Row],[Name PFI/CDD]]="","-",VLOOKUP(Tableau119[[#This Row],[Name PFI/CDD]],Plant_AILN!I:J,2,FALSE))</f>
        <v>91018400</v>
      </c>
      <c r="AO42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3" s="2" t="e">
        <f>VLOOKUP(Tableau119[[#This Row],[Key(POD -PFI- Usine)]],'DATA Consignee'!A:J,10,FALSE)</f>
        <v>#N/A</v>
      </c>
      <c r="AR423" s="50" t="e">
        <f>VLOOKUP(Tableau119[[#This Row],[Key(POD -PFI- Usine)]],'DATA Consignee'!A:N,14,FALSE)</f>
        <v>#N/A</v>
      </c>
      <c r="AS4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3" s="50">
        <f>Tableau119[[#This Row],[Transit time]]+Tableau119[[#This Row],[Time for security]]+Tableau119[[#This Row],[Time for security2 buffer]]</f>
        <v>0</v>
      </c>
      <c r="AV4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3" s="50" t="e">
        <f>Tableau119[[#This Row],[Leadtime SI2C]]+Tableau119[[#This Row],[First Receipt Days]]-Tableau119[[#This Row],[Day Customer Order]]+1</f>
        <v>#N/A</v>
      </c>
      <c r="AX423" s="119" t="e">
        <f>IF(Tableau119[[#This Row],[Name ILN]]&lt;&gt;"SFK Freight Forwarder",Tableau119[[#This Row],[Cust. Leadtime]],Tableau119[[#This Row],[Leadtime SI2C]])</f>
        <v>#N/A</v>
      </c>
      <c r="AY423" s="51" t="b">
        <f>_xlfn.XLOOKUP(Tableau119[[#This Row],[Key(ID-date)]],'DATA BTO'!S:S,'DATA BTO'!P:P,FALSE)</f>
        <v>0</v>
      </c>
      <c r="AZ423" s="338">
        <v>45777</v>
      </c>
      <c r="BA423" s="50"/>
    </row>
    <row r="424" spans="2:53">
      <c r="B424" s="446" t="str">
        <f>_xlfn.CONCAT(Tableau119[[#This Row],[Name ILN]],"-",Tableau119[[#This Row],[Name Shipper]],"-",Tableau119[[#This Row],[Name Site]])</f>
        <v>ILN Chennai-ILN Chennai-SEVILLA</v>
      </c>
      <c r="C424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24" s="66" t="str">
        <f>_xlfn.CONCAT(Tableau119[[#This Row],[Compte ILN]],"-",Tableau119[[#This Row],[Compte Shipper]],"-",Tableau119[[#This Row],[POL]])</f>
        <v>2533780546-2533780546-FALSO</v>
      </c>
      <c r="E424" s="130" t="str">
        <f>_xlfn.CONCAT(Tableau119[[#This Row],[POL]],"-",Tableau119[[#This Row],[Carrier]],"-",Tableau119[[#This Row],[POD]])</f>
        <v>FALSO-FALSO-FALSO</v>
      </c>
      <c r="F424" s="66" t="str">
        <f>_xlfn.CONCAT(Tableau119[[#This Row],[ID]],"-","Actif")</f>
        <v>156-Actif</v>
      </c>
      <c r="G424" s="66" t="str">
        <f>_xlfn.CONCAT(Tableau119[[#This Row],[POD]],"-",Tableau119[[#This Row],[Code PFI]],"-",Tableau119[[#This Row],[Compte Consignee]])</f>
        <v>FALSO-91018400-91017500</v>
      </c>
      <c r="H4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24" s="434" t="str">
        <f>_xlfn.CONCAT(Tableau119[[#This Row],[ID]],"-",Tableau119[[#This Row],[Expiration Date]])</f>
        <v>156-45777</v>
      </c>
      <c r="J4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VLL-45777</v>
      </c>
      <c r="K424" s="119" t="str">
        <f ca="1">IF(COUNTIF(J:J,Tableau119[[#This Row],[Plant-ILN-shipper-POL-Carrier-POD-PFI]])=1,"Non","Oui")</f>
        <v>Non</v>
      </c>
      <c r="L424" s="128" t="str">
        <f>VLOOKUP(Tableau119[[#This Row],[Name Site]],Plant_AILN!A:D,4,FALSE)</f>
        <v>SPAIN</v>
      </c>
      <c r="M424" s="415" t="s">
        <v>172</v>
      </c>
      <c r="N424" s="455">
        <f>VLOOKUP(Tableau119[[#This Row],[Name Site]],Plant_AILN!A:C,3,FALSE)</f>
        <v>91017500</v>
      </c>
      <c r="O424" s="104">
        <f>VLOOKUP(Tableau119[[#This Row],[Compte Consignee]],Order!C:D,2,FALSE)</f>
        <v>7</v>
      </c>
      <c r="P424" s="126" t="s">
        <v>149</v>
      </c>
      <c r="Q424" s="366">
        <f>VLOOKUP(Tableau119[[#This Row],[Name ILN]],Plant_AILN!F:G,2,FALSE)</f>
        <v>2533780546</v>
      </c>
      <c r="R424" s="81">
        <f>VLOOKUP(Tableau119[[#This Row],[Compte ILN]],'DATA ILN'!D:I,6,FALSE)</f>
        <v>9</v>
      </c>
      <c r="S424" s="81" t="e">
        <f>IFERROR(VLOOKUP(Tableau119[[#This Row],[Key(Compte ILN - shipper - POL - plant)]],'DATA ILN'!A:J,10,FALSE),VLOOKUP(Tableau119[[#This Row],[Key(Compte ILN - shipper - POL)]],'DATA ILN'!B:J,9,FALSE))</f>
        <v>#N/A</v>
      </c>
      <c r="T424" s="81" t="e">
        <f>IFERROR(VLOOKUP(Tableau119[[#This Row],[Key(Compte ILN - shipper - POL - plant)]],'DATA ILN'!A:K,11,FALSE),VLOOKUP(Tableau119[[#This Row],[Key(Compte ILN - shipper - POL)]],'DATA ILN'!B:K,10,FALSE))</f>
        <v>#N/A</v>
      </c>
      <c r="U424" s="81" t="e">
        <f>IFERROR(VLOOKUP(Tableau119[[#This Row],[Key(Compte ILN - shipper - POL - plant)]],'DATA ILN'!A:L,12,FALSE),VLOOKUP(Tableau119[[#This Row],[Key(Compte ILN - shipper - POL)]],'DATA ILN'!B:L,11,FALSE))</f>
        <v>#N/A</v>
      </c>
      <c r="V424" s="81" t="e">
        <f>Tableau119[[#This Row],[Day ILN Order]]+Tableau119[[#This Row],[Delivery time to ILN/Shipper]]-1</f>
        <v>#N/A</v>
      </c>
      <c r="W424" s="81" t="e">
        <f>IFERROR(VLOOKUP(Tableau119[[#This Row],[Key(Compte ILN - shipper - POL - plant)]],'DATA ILN'!A:N,14,FALSE),VLOOKUP(Tableau119[[#This Row],[Key(Compte ILN - shipper - POL)]],'DATA ILN'!B:N,13,FALSE))</f>
        <v>#N/A</v>
      </c>
      <c r="X424" s="81" t="e">
        <f>IFERROR(VLOOKUP(Tableau119[[#This Row],[Key(Compte ILN - shipper - POL - plant)]],'DATA ILN'!A:P,16,FALSE),VLOOKUP(Tableau119[[#This Row],[Key(Compte ILN - shipper - POL)]],'DATA ILN'!B:P,15,FALSE))</f>
        <v>#N/A</v>
      </c>
      <c r="Y424" s="102" t="s">
        <v>149</v>
      </c>
      <c r="Z424" s="417">
        <f>IFERROR(VLOOKUP(Tableau119[[#This Row],[Name Shipper]],Plant_AILN!L:M,2,FALSE),0)</f>
        <v>2533780546</v>
      </c>
      <c r="AA424" s="416">
        <v>156</v>
      </c>
      <c r="AB424" s="396" t="b">
        <f>_xlfn.XLOOKUP(Tableau119[[#This Row],[Key(ID-date)]],'DATA BTO'!S:S,'DATA BTO'!E:E,FALSE)</f>
        <v>0</v>
      </c>
      <c r="AC424" s="3" t="b">
        <f>_xlfn.XLOOKUP(Tableau119[[#This Row],[Key(ID-date)]],'DATA BTO'!S:S,'DATA BTO'!F:F,FALSE)</f>
        <v>0</v>
      </c>
      <c r="AD424" s="50" t="b">
        <f>_xlfn.XLOOKUP(Tableau119[[#This Row],[Key(ID-date)]],'DATA BTO'!S:S,'DATA BTO'!G:G,FALSE)</f>
        <v>0</v>
      </c>
      <c r="AE424" s="50" t="b">
        <f>_xlfn.XLOOKUP(Tableau119[[#This Row],[Key(ID-date)]],'DATA BTO'!S:S,'DATA BTO'!H:H,FALSE)</f>
        <v>0</v>
      </c>
      <c r="AF424" s="447" t="e">
        <f>IF(Tableau119[[#This Row],[First Day to POL]]&lt;=Tableau119[[#This Row],[Day Cut Off]],Tableau119[[#This Row],[Day ETD]],Tableau119[[#This Row],[Day ETD]]+7)</f>
        <v>#N/A</v>
      </c>
      <c r="AG424" s="50" t="b">
        <f>_xlfn.XLOOKUP(Tableau119[[#This Row],[Key(ID-date)]],'DATA BTO'!S:S,'DATA BTO'!I:I,FALSE)</f>
        <v>0</v>
      </c>
      <c r="AH424" s="3" t="b">
        <f>_xlfn.XLOOKUP(Tableau119[[#This Row],[Key(ID-date)]],'DATA BTO'!S:S,'DATA BTO'!J:J,FALSE)</f>
        <v>0</v>
      </c>
      <c r="AI424" s="3" t="b">
        <f>_xlfn.XLOOKUP(Tableau119[[#This Row],[Key(ID-date)]],'DATA BTO'!S:S,'DATA BTO'!K:K,FALSE)</f>
        <v>0</v>
      </c>
      <c r="AJ424" s="50" t="b">
        <f>_xlfn.XLOOKUP(Tableau119[[#This Row],[Key(ID-date)]],'DATA BTO'!S:S,'DATA BTO'!L:L,FALSE)</f>
        <v>0</v>
      </c>
      <c r="AK424" s="53" t="b">
        <f>_xlfn.XLOOKUP(Tableau119[[#This Row],[Key(ID-date)]],'DATA BTO'!S:S,'DATA BTO'!N:N,FALSE)</f>
        <v>0</v>
      </c>
      <c r="AL424" s="54" t="e">
        <f>VLOOKUP(Tableau119[[#This Row],[Key(POD -PFI- Usine)]],'DATA Consignee'!A:F,6,FALSE)</f>
        <v>#N/A</v>
      </c>
      <c r="AM424" s="102" t="s">
        <v>171</v>
      </c>
      <c r="AN424" s="375">
        <f>IF(Tableau119[[#This Row],[Name PFI/CDD]]="","-",VLOOKUP(Tableau119[[#This Row],[Name PFI/CDD]],Plant_AILN!I:J,2,FALSE))</f>
        <v>91018400</v>
      </c>
      <c r="AO424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4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4" s="110" t="e">
        <f>VLOOKUP(Tableau119[[#This Row],[Key(POD -PFI- Usine)]],'DATA Consignee'!A:J,10,FALSE)</f>
        <v>#N/A</v>
      </c>
      <c r="AR424" s="81" t="e">
        <f>VLOOKUP(Tableau119[[#This Row],[Key(POD -PFI- Usine)]],'DATA Consignee'!A:N,14,FALSE)</f>
        <v>#N/A</v>
      </c>
      <c r="AS42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4" s="81">
        <f>Tableau119[[#This Row],[Transit time]]+Tableau119[[#This Row],[Time for security]]+Tableau119[[#This Row],[Time for security2 buffer]]</f>
        <v>0</v>
      </c>
      <c r="AV4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4" s="50" t="e">
        <f>Tableau119[[#This Row],[Leadtime SI2C]]+Tableau119[[#This Row],[First Receipt Days]]-Tableau119[[#This Row],[Day Customer Order]]+1</f>
        <v>#N/A</v>
      </c>
      <c r="AX424" s="119" t="e">
        <f>IF(Tableau119[[#This Row],[Name ILN]]&lt;&gt;"SFK Freight Forwarder",Tableau119[[#This Row],[Cust. Leadtime]],Tableau119[[#This Row],[Leadtime SI2C]])</f>
        <v>#N/A</v>
      </c>
      <c r="AY424" s="51" t="b">
        <f>_xlfn.XLOOKUP(Tableau119[[#This Row],[Key(ID-date)]],'DATA BTO'!S:S,'DATA BTO'!P:P,FALSE)</f>
        <v>0</v>
      </c>
      <c r="AZ424" s="388">
        <v>45777</v>
      </c>
      <c r="BA424" s="81"/>
    </row>
    <row r="425" spans="2:53">
      <c r="B425" s="446" t="str">
        <f>_xlfn.CONCAT(Tableau119[[#This Row],[Name ILN]],"-",Tableau119[[#This Row],[Name Shipper]],"-",Tableau119[[#This Row],[Name Site]])</f>
        <v>ILN Chennai-ILN Chennai-CACIA</v>
      </c>
      <c r="C425" s="66" t="str">
        <f>_xlfn.CONCAT(Tableau119[[#This Row],[Compte ILN]],"-",Tableau119[[#This Row],[Compte Shipper]],"-",Tableau119[[#This Row],[POL]],"-",Tableau119[[#This Row],[Compte Consignee]])</f>
        <v>2533780546-2533780546-FALSO-90016500</v>
      </c>
      <c r="D425" s="66" t="str">
        <f>_xlfn.CONCAT(Tableau119[[#This Row],[Compte ILN]],"-",Tableau119[[#This Row],[Compte Shipper]],"-",Tableau119[[#This Row],[POL]])</f>
        <v>2533780546-2533780546-FALSO</v>
      </c>
      <c r="E425" s="130" t="str">
        <f>_xlfn.CONCAT(Tableau119[[#This Row],[POL]],"-",Tableau119[[#This Row],[Carrier]],"-",Tableau119[[#This Row],[POD]])</f>
        <v>FALSO-FALSO-FALSO</v>
      </c>
      <c r="F425" s="66" t="str">
        <f>_xlfn.CONCAT(Tableau119[[#This Row],[ID]],"-","Actif")</f>
        <v>156-Actif</v>
      </c>
      <c r="G425" s="66" t="str">
        <f>_xlfn.CONCAT(Tableau119[[#This Row],[POD]],"-",Tableau119[[#This Row],[Code PFI]],"-",Tableau119[[#This Row],[Compte Consignee]])</f>
        <v>FALSO-91018400-90016500</v>
      </c>
      <c r="H4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ChennaiFALSOCACIA</v>
      </c>
      <c r="I425" s="434" t="str">
        <f>_xlfn.CONCAT(Tableau119[[#This Row],[ID]],"-",Tableau119[[#This Row],[Expiration Date]])</f>
        <v>156-45473</v>
      </c>
      <c r="J4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Chennai-ILN Chennai-156-FALSO-FALSO-FALSO-PFI VLL-45473</v>
      </c>
      <c r="K425" s="119" t="str">
        <f ca="1">IF(COUNTIF(J:J,Tableau119[[#This Row],[Plant-ILN-shipper-POL-Carrier-POD-PFI]])=1,"Non","Oui")</f>
        <v>Non</v>
      </c>
      <c r="L425" s="128" t="str">
        <f>VLOOKUP(Tableau119[[#This Row],[Name Site]],Plant_AILN!A:D,4,FALSE)</f>
        <v>PORTUGAL</v>
      </c>
      <c r="M425" s="411" t="s">
        <v>170</v>
      </c>
      <c r="N425" s="454">
        <f>VLOOKUP(Tableau119[[#This Row],[Name Site]],Plant_AILN!A:C,3,FALSE)</f>
        <v>90016500</v>
      </c>
      <c r="O425" s="55">
        <f>VLOOKUP(Tableau119[[#This Row],[Compte Consignee]],Order!C:D,2,FALSE)</f>
        <v>5</v>
      </c>
      <c r="P425" s="124" t="s">
        <v>149</v>
      </c>
      <c r="Q425" s="365">
        <f>VLOOKUP(Tableau119[[#This Row],[Name ILN]],Plant_AILN!F:G,2,FALSE)</f>
        <v>2533780546</v>
      </c>
      <c r="R425" s="50">
        <f>VLOOKUP(Tableau119[[#This Row],[Compte ILN]],'DATA ILN'!D:I,6,FALSE)</f>
        <v>9</v>
      </c>
      <c r="S425" s="50" t="e">
        <f>IFERROR(VLOOKUP(Tableau119[[#This Row],[Key(Compte ILN - shipper - POL - plant)]],'DATA ILN'!A:J,10,FALSE),VLOOKUP(Tableau119[[#This Row],[Key(Compte ILN - shipper - POL)]],'DATA ILN'!B:J,9,FALSE))</f>
        <v>#N/A</v>
      </c>
      <c r="T425" s="50" t="e">
        <f>IFERROR(VLOOKUP(Tableau119[[#This Row],[Key(Compte ILN - shipper - POL - plant)]],'DATA ILN'!A:K,11,FALSE),VLOOKUP(Tableau119[[#This Row],[Key(Compte ILN - shipper - POL)]],'DATA ILN'!B:K,10,FALSE))</f>
        <v>#N/A</v>
      </c>
      <c r="U425" s="50" t="e">
        <f>IFERROR(VLOOKUP(Tableau119[[#This Row],[Key(Compte ILN - shipper - POL - plant)]],'DATA ILN'!A:L,12,FALSE),VLOOKUP(Tableau119[[#This Row],[Key(Compte ILN - shipper - POL)]],'DATA ILN'!B:L,11,FALSE))</f>
        <v>#N/A</v>
      </c>
      <c r="V425" s="50" t="e">
        <f>Tableau119[[#This Row],[Day ILN Order]]+Tableau119[[#This Row],[Delivery time to ILN/Shipper]]-1</f>
        <v>#N/A</v>
      </c>
      <c r="W425" s="50" t="e">
        <f>IFERROR(VLOOKUP(Tableau119[[#This Row],[Key(Compte ILN - shipper - POL - plant)]],'DATA ILN'!A:N,14,FALSE),VLOOKUP(Tableau119[[#This Row],[Key(Compte ILN - shipper - POL)]],'DATA ILN'!B:N,13,FALSE))</f>
        <v>#N/A</v>
      </c>
      <c r="X425" s="50" t="e">
        <f>IFERROR(VLOOKUP(Tableau119[[#This Row],[Key(Compte ILN - shipper - POL - plant)]],'DATA ILN'!A:P,16,FALSE),VLOOKUP(Tableau119[[#This Row],[Key(Compte ILN - shipper - POL)]],'DATA ILN'!B:P,15,FALSE))</f>
        <v>#N/A</v>
      </c>
      <c r="Y425" s="284" t="s">
        <v>149</v>
      </c>
      <c r="Z425" s="430">
        <f>IFERROR(VLOOKUP(Tableau119[[#This Row],[Name Shipper]],Plant_AILN!L:M,2,FALSE),0)</f>
        <v>2533780546</v>
      </c>
      <c r="AA425" s="406">
        <v>156</v>
      </c>
      <c r="AB425" s="396" t="b">
        <f>_xlfn.XLOOKUP(Tableau119[[#This Row],[Key(ID-date)]],'DATA BTO'!S:S,'DATA BTO'!E:E,FALSE)</f>
        <v>0</v>
      </c>
      <c r="AC425" s="3" t="b">
        <f>_xlfn.XLOOKUP(Tableau119[[#This Row],[Key(ID-date)]],'DATA BTO'!S:S,'DATA BTO'!F:F,FALSE)</f>
        <v>0</v>
      </c>
      <c r="AD425" s="50" t="b">
        <f>_xlfn.XLOOKUP(Tableau119[[#This Row],[Key(ID-date)]],'DATA BTO'!S:S,'DATA BTO'!G:G,FALSE)</f>
        <v>0</v>
      </c>
      <c r="AE425" s="50" t="b">
        <f>_xlfn.XLOOKUP(Tableau119[[#This Row],[Key(ID-date)]],'DATA BTO'!S:S,'DATA BTO'!H:H,FALSE)</f>
        <v>0</v>
      </c>
      <c r="AF425" s="447" t="e">
        <f>IF(Tableau119[[#This Row],[First Day to POL]]&lt;=Tableau119[[#This Row],[Day Cut Off]],Tableau119[[#This Row],[Day ETD]],Tableau119[[#This Row],[Day ETD]]+7)</f>
        <v>#N/A</v>
      </c>
      <c r="AG425" s="50" t="b">
        <f>_xlfn.XLOOKUP(Tableau119[[#This Row],[Key(ID-date)]],'DATA BTO'!S:S,'DATA BTO'!I:I,FALSE)</f>
        <v>0</v>
      </c>
      <c r="AH425" s="3" t="b">
        <f>_xlfn.XLOOKUP(Tableau119[[#This Row],[Key(ID-date)]],'DATA BTO'!S:S,'DATA BTO'!J:J,FALSE)</f>
        <v>0</v>
      </c>
      <c r="AI425" s="3" t="b">
        <f>_xlfn.XLOOKUP(Tableau119[[#This Row],[Key(ID-date)]],'DATA BTO'!S:S,'DATA BTO'!K:K,FALSE)</f>
        <v>0</v>
      </c>
      <c r="AJ425" s="50" t="b">
        <f>_xlfn.XLOOKUP(Tableau119[[#This Row],[Key(ID-date)]],'DATA BTO'!S:S,'DATA BTO'!L:L,FALSE)</f>
        <v>0</v>
      </c>
      <c r="AK425" s="53" t="b">
        <f>_xlfn.XLOOKUP(Tableau119[[#This Row],[Key(ID-date)]],'DATA BTO'!S:S,'DATA BTO'!N:N,FALSE)</f>
        <v>0</v>
      </c>
      <c r="AL425" s="54" t="e">
        <f>VLOOKUP(Tableau119[[#This Row],[Key(POD -PFI- Usine)]],'DATA Consignee'!A:F,6,FALSE)</f>
        <v>#N/A</v>
      </c>
      <c r="AM425" s="127" t="s">
        <v>171</v>
      </c>
      <c r="AN425" s="376">
        <f>IF(Tableau119[[#This Row],[Name PFI/CDD]]="","-",VLOOKUP(Tableau119[[#This Row],[Name PFI/CDD]],Plant_AILN!I:J,2,FALSE))</f>
        <v>91018400</v>
      </c>
      <c r="AO42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5" s="2" t="e">
        <f>VLOOKUP(Tableau119[[#This Row],[Key(POD -PFI- Usine)]],'DATA Consignee'!A:J,10,FALSE)</f>
        <v>#N/A</v>
      </c>
      <c r="AR425" s="50" t="e">
        <f>VLOOKUP(Tableau119[[#This Row],[Key(POD -PFI- Usine)]],'DATA Consignee'!A:N,14,FALSE)</f>
        <v>#N/A</v>
      </c>
      <c r="AS4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5" s="50">
        <f>Tableau119[[#This Row],[Transit time]]+Tableau119[[#This Row],[Time for security]]+Tableau119[[#This Row],[Time for security2 buffer]]</f>
        <v>0</v>
      </c>
      <c r="AV4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5" s="50" t="e">
        <f>Tableau119[[#This Row],[Leadtime SI2C]]+Tableau119[[#This Row],[First Receipt Days]]-Tableau119[[#This Row],[Day Customer Order]]+1</f>
        <v>#N/A</v>
      </c>
      <c r="AX425" s="119" t="e">
        <f>IF(Tableau119[[#This Row],[Name ILN]]&lt;&gt;"SFK Freight Forwarder",Tableau119[[#This Row],[Cust. Leadtime]],Tableau119[[#This Row],[Leadtime SI2C]])</f>
        <v>#N/A</v>
      </c>
      <c r="AY425" s="51" t="b">
        <f>_xlfn.XLOOKUP(Tableau119[[#This Row],[Key(ID-date)]],'DATA BTO'!S:S,'DATA BTO'!P:P,FALSE)</f>
        <v>0</v>
      </c>
      <c r="AZ425" s="338">
        <v>45473</v>
      </c>
      <c r="BA425" s="50"/>
    </row>
    <row r="426" spans="2:53">
      <c r="B426" s="446" t="str">
        <f>_xlfn.CONCAT(Tableau119[[#This Row],[Name ILN]],"-",Tableau119[[#This Row],[Name Shipper]],"-",Tableau119[[#This Row],[Name Site]])</f>
        <v>ILN Chennai-ILN Chennai-ILN VLL</v>
      </c>
      <c r="C426" s="66" t="str">
        <f>_xlfn.CONCAT(Tableau119[[#This Row],[Compte ILN]],"-",Tableau119[[#This Row],[Compte Shipper]],"-",Tableau119[[#This Row],[POL]],"-",Tableau119[[#This Row],[Compte Consignee]])</f>
        <v>2533780546-2533780546-FALSO-9101840000</v>
      </c>
      <c r="D426" s="66" t="str">
        <f>_xlfn.CONCAT(Tableau119[[#This Row],[Compte ILN]],"-",Tableau119[[#This Row],[Compte Shipper]],"-",Tableau119[[#This Row],[POL]])</f>
        <v>2533780546-2533780546-FALSO</v>
      </c>
      <c r="E426" s="130" t="str">
        <f>_xlfn.CONCAT(Tableau119[[#This Row],[POL]],"-",Tableau119[[#This Row],[Carrier]],"-",Tableau119[[#This Row],[POD]])</f>
        <v>FALSO-FALSO-FALSO</v>
      </c>
      <c r="F426" s="66" t="str">
        <f>_xlfn.CONCAT(Tableau119[[#This Row],[ID]],"-","Actif")</f>
        <v>156-Actif</v>
      </c>
      <c r="G426" s="66" t="str">
        <f>_xlfn.CONCAT(Tableau119[[#This Row],[POD]],"-",Tableau119[[#This Row],[Code PFI]],"-",Tableau119[[#This Row],[Compte Consignee]])</f>
        <v>FALSO---9101840000</v>
      </c>
      <c r="H4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ChennaiFALSOILN VLL</v>
      </c>
      <c r="I426" s="434" t="str">
        <f>_xlfn.CONCAT(Tableau119[[#This Row],[ID]],"-",Tableau119[[#This Row],[Expiration Date]])</f>
        <v>156-45473</v>
      </c>
      <c r="J4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Chennai-ILN Chennai-156-FALSO-FALSO-FALSO--45473</v>
      </c>
      <c r="K426" s="119" t="str">
        <f ca="1">IF(COUNTIF(J:J,Tableau119[[#This Row],[Plant-ILN-shipper-POL-Carrier-POD-PFI]])=1,"Non","Oui")</f>
        <v>Non</v>
      </c>
      <c r="L426" s="128" t="str">
        <f>VLOOKUP(Tableau119[[#This Row],[Name Site]],Plant_AILN!A:D,4,FALSE)</f>
        <v>SPAIN</v>
      </c>
      <c r="M426" s="411" t="s">
        <v>151</v>
      </c>
      <c r="N426" s="454">
        <f>VLOOKUP(Tableau119[[#This Row],[Name Site]],Plant_AILN!A:C,3,FALSE)</f>
        <v>9101840000</v>
      </c>
      <c r="O426" s="55">
        <f>VLOOKUP(Tableau119[[#This Row],[Compte Consignee]],Order!C:D,2,FALSE)</f>
        <v>2</v>
      </c>
      <c r="P426" s="124" t="s">
        <v>149</v>
      </c>
      <c r="Q426" s="365">
        <f>VLOOKUP(Tableau119[[#This Row],[Name ILN]],Plant_AILN!F:G,2,FALSE)</f>
        <v>2533780546</v>
      </c>
      <c r="R426" s="50">
        <f>VLOOKUP(Tableau119[[#This Row],[Compte ILN]],'DATA ILN'!D:I,6,FALSE)</f>
        <v>9</v>
      </c>
      <c r="S426" s="50" t="e">
        <f>IFERROR(VLOOKUP(Tableau119[[#This Row],[Key(Compte ILN - shipper - POL - plant)]],'DATA ILN'!A:J,10,FALSE),VLOOKUP(Tableau119[[#This Row],[Key(Compte ILN - shipper - POL)]],'DATA ILN'!B:J,9,FALSE))</f>
        <v>#N/A</v>
      </c>
      <c r="T426" s="50" t="e">
        <f>IFERROR(VLOOKUP(Tableau119[[#This Row],[Key(Compte ILN - shipper - POL - plant)]],'DATA ILN'!A:K,11,FALSE),VLOOKUP(Tableau119[[#This Row],[Key(Compte ILN - shipper - POL)]],'DATA ILN'!B:K,10,FALSE))</f>
        <v>#N/A</v>
      </c>
      <c r="U426" s="50" t="e">
        <f>IFERROR(VLOOKUP(Tableau119[[#This Row],[Key(Compte ILN - shipper - POL - plant)]],'DATA ILN'!A:L,12,FALSE),VLOOKUP(Tableau119[[#This Row],[Key(Compte ILN - shipper - POL)]],'DATA ILN'!B:L,11,FALSE))</f>
        <v>#N/A</v>
      </c>
      <c r="V426" s="50" t="e">
        <f>Tableau119[[#This Row],[Day ILN Order]]+Tableau119[[#This Row],[Delivery time to ILN/Shipper]]-1</f>
        <v>#N/A</v>
      </c>
      <c r="W426" s="50" t="e">
        <f>IFERROR(VLOOKUP(Tableau119[[#This Row],[Key(Compte ILN - shipper - POL - plant)]],'DATA ILN'!A:N,14,FALSE),VLOOKUP(Tableau119[[#This Row],[Key(Compte ILN - shipper - POL)]],'DATA ILN'!B:N,13,FALSE))</f>
        <v>#N/A</v>
      </c>
      <c r="X426" s="50" t="e">
        <f>IFERROR(VLOOKUP(Tableau119[[#This Row],[Key(Compte ILN - shipper - POL - plant)]],'DATA ILN'!A:P,16,FALSE),VLOOKUP(Tableau119[[#This Row],[Key(Compte ILN - shipper - POL)]],'DATA ILN'!B:P,15,FALSE))</f>
        <v>#N/A</v>
      </c>
      <c r="Y426" s="284" t="s">
        <v>149</v>
      </c>
      <c r="Z426" s="430">
        <f>IFERROR(VLOOKUP(Tableau119[[#This Row],[Name Shipper]],Plant_AILN!L:M,2,FALSE),0)</f>
        <v>2533780546</v>
      </c>
      <c r="AA426" s="406">
        <v>156</v>
      </c>
      <c r="AB426" s="396" t="b">
        <f>_xlfn.XLOOKUP(Tableau119[[#This Row],[Key(ID-date)]],'DATA BTO'!S:S,'DATA BTO'!E:E,FALSE)</f>
        <v>0</v>
      </c>
      <c r="AC426" s="3" t="b">
        <f>_xlfn.XLOOKUP(Tableau119[[#This Row],[Key(ID-date)]],'DATA BTO'!S:S,'DATA BTO'!F:F,FALSE)</f>
        <v>0</v>
      </c>
      <c r="AD426" s="50" t="b">
        <f>_xlfn.XLOOKUP(Tableau119[[#This Row],[Key(ID-date)]],'DATA BTO'!S:S,'DATA BTO'!G:G,FALSE)</f>
        <v>0</v>
      </c>
      <c r="AE426" s="50" t="b">
        <f>_xlfn.XLOOKUP(Tableau119[[#This Row],[Key(ID-date)]],'DATA BTO'!S:S,'DATA BTO'!H:H,FALSE)</f>
        <v>0</v>
      </c>
      <c r="AF426" s="447" t="e">
        <f>IF(Tableau119[[#This Row],[First Day to POL]]&lt;=Tableau119[[#This Row],[Day Cut Off]],Tableau119[[#This Row],[Day ETD]],Tableau119[[#This Row],[Day ETD]]+7)</f>
        <v>#N/A</v>
      </c>
      <c r="AG426" s="50" t="b">
        <f>_xlfn.XLOOKUP(Tableau119[[#This Row],[Key(ID-date)]],'DATA BTO'!S:S,'DATA BTO'!I:I,FALSE)</f>
        <v>0</v>
      </c>
      <c r="AH426" s="3" t="b">
        <f>_xlfn.XLOOKUP(Tableau119[[#This Row],[Key(ID-date)]],'DATA BTO'!S:S,'DATA BTO'!J:J,FALSE)</f>
        <v>0</v>
      </c>
      <c r="AI426" s="3" t="b">
        <f>_xlfn.XLOOKUP(Tableau119[[#This Row],[Key(ID-date)]],'DATA BTO'!S:S,'DATA BTO'!K:K,FALSE)</f>
        <v>0</v>
      </c>
      <c r="AJ426" s="50" t="b">
        <f>_xlfn.XLOOKUP(Tableau119[[#This Row],[Key(ID-date)]],'DATA BTO'!S:S,'DATA BTO'!L:L,FALSE)</f>
        <v>0</v>
      </c>
      <c r="AK426" s="53" t="b">
        <f>_xlfn.XLOOKUP(Tableau119[[#This Row],[Key(ID-date)]],'DATA BTO'!S:S,'DATA BTO'!N:N,FALSE)</f>
        <v>0</v>
      </c>
      <c r="AL426" s="54" t="e">
        <f>VLOOKUP(Tableau119[[#This Row],[Key(POD -PFI- Usine)]],'DATA Consignee'!A:F,6,FALSE)</f>
        <v>#N/A</v>
      </c>
      <c r="AM426" s="127"/>
      <c r="AN426" s="376" t="str">
        <f>IF(Tableau119[[#This Row],[Name PFI/CDD]]="","-",VLOOKUP(Tableau119[[#This Row],[Name PFI/CDD]],Plant_AILN!I:J,2,FALSE))</f>
        <v>-</v>
      </c>
      <c r="AO4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26" s="2" t="e">
        <f>VLOOKUP(Tableau119[[#This Row],[Key(POD -PFI- Usine)]],'DATA Consignee'!A:J,10,FALSE)</f>
        <v>#N/A</v>
      </c>
      <c r="AR426" s="50" t="e">
        <f>VLOOKUP(Tableau119[[#This Row],[Key(POD -PFI- Usine)]],'DATA Consignee'!A:N,14,FALSE)</f>
        <v>#N/A</v>
      </c>
      <c r="AS4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6" s="50">
        <f>Tableau119[[#This Row],[Transit time]]+Tableau119[[#This Row],[Time for security]]+Tableau119[[#This Row],[Time for security2 buffer]]</f>
        <v>0</v>
      </c>
      <c r="AV4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6" s="50" t="e">
        <f>Tableau119[[#This Row],[Leadtime SI2C]]+Tableau119[[#This Row],[First Receipt Days]]-Tableau119[[#This Row],[Day Customer Order]]+1</f>
        <v>#N/A</v>
      </c>
      <c r="AX426" s="119" t="e">
        <f>IF(Tableau119[[#This Row],[Name ILN]]&lt;&gt;"SFK Freight Forwarder",Tableau119[[#This Row],[Cust. Leadtime]],Tableau119[[#This Row],[Leadtime SI2C]])</f>
        <v>#N/A</v>
      </c>
      <c r="AY426" s="51" t="b">
        <f>_xlfn.XLOOKUP(Tableau119[[#This Row],[Key(ID-date)]],'DATA BTO'!S:S,'DATA BTO'!P:P,FALSE)</f>
        <v>0</v>
      </c>
      <c r="AZ426" s="338">
        <v>45473</v>
      </c>
      <c r="BA426" s="50"/>
    </row>
    <row r="427" spans="2:53">
      <c r="B427" s="446" t="str">
        <f>_xlfn.CONCAT(Tableau119[[#This Row],[Name ILN]],"-",Tableau119[[#This Row],[Name Shipper]],"-",Tableau119[[#This Row],[Name Site]])</f>
        <v>ILN Chennai-ILN Chennai-PALENCIA</v>
      </c>
      <c r="C427" s="66" t="str">
        <f>_xlfn.CONCAT(Tableau119[[#This Row],[Compte ILN]],"-",Tableau119[[#This Row],[Compte Shipper]],"-",Tableau119[[#This Row],[POL]],"-",Tableau119[[#This Row],[Compte Consignee]])</f>
        <v>2533780546-2533780546-FALSO-91017200</v>
      </c>
      <c r="D427" s="66" t="str">
        <f>_xlfn.CONCAT(Tableau119[[#This Row],[Compte ILN]],"-",Tableau119[[#This Row],[Compte Shipper]],"-",Tableau119[[#This Row],[POL]])</f>
        <v>2533780546-2533780546-FALSO</v>
      </c>
      <c r="E427" s="130" t="str">
        <f>_xlfn.CONCAT(Tableau119[[#This Row],[POL]],"-",Tableau119[[#This Row],[Carrier]],"-",Tableau119[[#This Row],[POD]])</f>
        <v>FALSO-FALSO-FALSO</v>
      </c>
      <c r="F427" s="66" t="str">
        <f>_xlfn.CONCAT(Tableau119[[#This Row],[ID]],"-","Actif")</f>
        <v>156-Actif</v>
      </c>
      <c r="G427" s="66" t="str">
        <f>_xlfn.CONCAT(Tableau119[[#This Row],[POD]],"-",Tableau119[[#This Row],[Code PFI]],"-",Tableau119[[#This Row],[Compte Consignee]])</f>
        <v>FALSO-91018400-91017200</v>
      </c>
      <c r="H4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ChennaiFALSOPALENCIA</v>
      </c>
      <c r="I427" s="434" t="str">
        <f>_xlfn.CONCAT(Tableau119[[#This Row],[ID]],"-",Tableau119[[#This Row],[Expiration Date]])</f>
        <v>156-45473</v>
      </c>
      <c r="J4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Chennai-ILN Chennai-156-FALSO-FALSO-FALSO-PFI VLL-45473</v>
      </c>
      <c r="K427" s="119" t="str">
        <f ca="1">IF(COUNTIF(J:J,Tableau119[[#This Row],[Plant-ILN-shipper-POL-Carrier-POD-PFI]])=1,"Non","Oui")</f>
        <v>Non</v>
      </c>
      <c r="L427" s="128" t="str">
        <f>VLOOKUP(Tableau119[[#This Row],[Name Site]],Plant_AILN!A:D,4,FALSE)</f>
        <v>SPAIN</v>
      </c>
      <c r="M427" s="415" t="s">
        <v>184</v>
      </c>
      <c r="N427" s="455">
        <f>VLOOKUP(Tableau119[[#This Row],[Name Site]],Plant_AILN!A:C,3,FALSE)</f>
        <v>91017200</v>
      </c>
      <c r="O427" s="104">
        <f>VLOOKUP(Tableau119[[#This Row],[Compte Consignee]],Order!C:D,2,FALSE)</f>
        <v>7</v>
      </c>
      <c r="P427" s="126" t="s">
        <v>149</v>
      </c>
      <c r="Q427" s="366">
        <f>VLOOKUP(Tableau119[[#This Row],[Name ILN]],Plant_AILN!F:G,2,FALSE)</f>
        <v>2533780546</v>
      </c>
      <c r="R427" s="81">
        <f>VLOOKUP(Tableau119[[#This Row],[Compte ILN]],'DATA ILN'!D:I,6,FALSE)</f>
        <v>9</v>
      </c>
      <c r="S427" s="81" t="e">
        <f>IFERROR(VLOOKUP(Tableau119[[#This Row],[Key(Compte ILN - shipper - POL - plant)]],'DATA ILN'!A:J,10,FALSE),VLOOKUP(Tableau119[[#This Row],[Key(Compte ILN - shipper - POL)]],'DATA ILN'!B:J,9,FALSE))</f>
        <v>#N/A</v>
      </c>
      <c r="T427" s="81" t="e">
        <f>IFERROR(VLOOKUP(Tableau119[[#This Row],[Key(Compte ILN - shipper - POL - plant)]],'DATA ILN'!A:K,11,FALSE),VLOOKUP(Tableau119[[#This Row],[Key(Compte ILN - shipper - POL)]],'DATA ILN'!B:K,10,FALSE))</f>
        <v>#N/A</v>
      </c>
      <c r="U427" s="81" t="e">
        <f>IFERROR(VLOOKUP(Tableau119[[#This Row],[Key(Compte ILN - shipper - POL - plant)]],'DATA ILN'!A:L,12,FALSE),VLOOKUP(Tableau119[[#This Row],[Key(Compte ILN - shipper - POL)]],'DATA ILN'!B:L,11,FALSE))</f>
        <v>#N/A</v>
      </c>
      <c r="V427" s="81" t="e">
        <f>Tableau119[[#This Row],[Day ILN Order]]+Tableau119[[#This Row],[Delivery time to ILN/Shipper]]-1</f>
        <v>#N/A</v>
      </c>
      <c r="W427" s="81" t="e">
        <f>IFERROR(VLOOKUP(Tableau119[[#This Row],[Key(Compte ILN - shipper - POL - plant)]],'DATA ILN'!A:N,14,FALSE),VLOOKUP(Tableau119[[#This Row],[Key(Compte ILN - shipper - POL)]],'DATA ILN'!B:N,13,FALSE))</f>
        <v>#N/A</v>
      </c>
      <c r="X427" s="81" t="e">
        <f>IFERROR(VLOOKUP(Tableau119[[#This Row],[Key(Compte ILN - shipper - POL - plant)]],'DATA ILN'!A:P,16,FALSE),VLOOKUP(Tableau119[[#This Row],[Key(Compte ILN - shipper - POL)]],'DATA ILN'!B:P,15,FALSE))</f>
        <v>#N/A</v>
      </c>
      <c r="Y427" s="102" t="s">
        <v>149</v>
      </c>
      <c r="Z427" s="417">
        <f>IFERROR(VLOOKUP(Tableau119[[#This Row],[Name Shipper]],Plant_AILN!L:M,2,FALSE),0)</f>
        <v>2533780546</v>
      </c>
      <c r="AA427" s="416">
        <v>156</v>
      </c>
      <c r="AB427" s="396" t="b">
        <f>_xlfn.XLOOKUP(Tableau119[[#This Row],[Key(ID-date)]],'DATA BTO'!S:S,'DATA BTO'!E:E,FALSE)</f>
        <v>0</v>
      </c>
      <c r="AC427" s="3" t="b">
        <f>_xlfn.XLOOKUP(Tableau119[[#This Row],[Key(ID-date)]],'DATA BTO'!S:S,'DATA BTO'!F:F,FALSE)</f>
        <v>0</v>
      </c>
      <c r="AD427" s="50" t="b">
        <f>_xlfn.XLOOKUP(Tableau119[[#This Row],[Key(ID-date)]],'DATA BTO'!S:S,'DATA BTO'!G:G,FALSE)</f>
        <v>0</v>
      </c>
      <c r="AE427" s="50" t="b">
        <f>_xlfn.XLOOKUP(Tableau119[[#This Row],[Key(ID-date)]],'DATA BTO'!S:S,'DATA BTO'!H:H,FALSE)</f>
        <v>0</v>
      </c>
      <c r="AF427" s="447" t="e">
        <f>IF(Tableau119[[#This Row],[First Day to POL]]&lt;=Tableau119[[#This Row],[Day Cut Off]],Tableau119[[#This Row],[Day ETD]],Tableau119[[#This Row],[Day ETD]]+7)</f>
        <v>#N/A</v>
      </c>
      <c r="AG427" s="50" t="b">
        <f>_xlfn.XLOOKUP(Tableau119[[#This Row],[Key(ID-date)]],'DATA BTO'!S:S,'DATA BTO'!I:I,FALSE)</f>
        <v>0</v>
      </c>
      <c r="AH427" s="3" t="b">
        <f>_xlfn.XLOOKUP(Tableau119[[#This Row],[Key(ID-date)]],'DATA BTO'!S:S,'DATA BTO'!J:J,FALSE)</f>
        <v>0</v>
      </c>
      <c r="AI427" s="3" t="b">
        <f>_xlfn.XLOOKUP(Tableau119[[#This Row],[Key(ID-date)]],'DATA BTO'!S:S,'DATA BTO'!K:K,FALSE)</f>
        <v>0</v>
      </c>
      <c r="AJ427" s="50" t="b">
        <f>_xlfn.XLOOKUP(Tableau119[[#This Row],[Key(ID-date)]],'DATA BTO'!S:S,'DATA BTO'!L:L,FALSE)</f>
        <v>0</v>
      </c>
      <c r="AK427" s="53" t="b">
        <f>_xlfn.XLOOKUP(Tableau119[[#This Row],[Key(ID-date)]],'DATA BTO'!S:S,'DATA BTO'!N:N,FALSE)</f>
        <v>0</v>
      </c>
      <c r="AL427" s="54" t="e">
        <f>VLOOKUP(Tableau119[[#This Row],[Key(POD -PFI- Usine)]],'DATA Consignee'!A:F,6,FALSE)</f>
        <v>#N/A</v>
      </c>
      <c r="AM427" s="127" t="s">
        <v>171</v>
      </c>
      <c r="AN427" s="375">
        <f>IF(Tableau119[[#This Row],[Name PFI/CDD]]="","-",VLOOKUP(Tableau119[[#This Row],[Name PFI/CDD]],Plant_AILN!I:J,2,FALSE))</f>
        <v>91018400</v>
      </c>
      <c r="AO427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7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7" s="110" t="e">
        <f>VLOOKUP(Tableau119[[#This Row],[Key(POD -PFI- Usine)]],'DATA Consignee'!A:J,10,FALSE)</f>
        <v>#N/A</v>
      </c>
      <c r="AR427" s="81" t="e">
        <f>VLOOKUP(Tableau119[[#This Row],[Key(POD -PFI- Usine)]],'DATA Consignee'!A:N,14,FALSE)</f>
        <v>#N/A</v>
      </c>
      <c r="AS42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7" s="81">
        <f>Tableau119[[#This Row],[Transit time]]+Tableau119[[#This Row],[Time for security]]+Tableau119[[#This Row],[Time for security2 buffer]]</f>
        <v>0</v>
      </c>
      <c r="AV4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7" s="50" t="e">
        <f>Tableau119[[#This Row],[Leadtime SI2C]]+Tableau119[[#This Row],[First Receipt Days]]-Tableau119[[#This Row],[Day Customer Order]]+1</f>
        <v>#N/A</v>
      </c>
      <c r="AX427" s="119" t="e">
        <f>IF(Tableau119[[#This Row],[Name ILN]]&lt;&gt;"SFK Freight Forwarder",Tableau119[[#This Row],[Cust. Leadtime]],Tableau119[[#This Row],[Leadtime SI2C]])</f>
        <v>#N/A</v>
      </c>
      <c r="AY427" s="51" t="b">
        <f>_xlfn.XLOOKUP(Tableau119[[#This Row],[Key(ID-date)]],'DATA BTO'!S:S,'DATA BTO'!P:P,FALSE)</f>
        <v>0</v>
      </c>
      <c r="AZ427" s="388">
        <v>45473</v>
      </c>
      <c r="BA427" s="81"/>
    </row>
    <row r="428" spans="2:53">
      <c r="B428" s="446" t="str">
        <f>_xlfn.CONCAT(Tableau119[[#This Row],[Name ILN]],"-",Tableau119[[#This Row],[Name Shipper]],"-",Tableau119[[#This Row],[Name Site]])</f>
        <v>ILN Chennai-ILN Chennai-VALL MONTAGE</v>
      </c>
      <c r="C428" s="66" t="str">
        <f>_xlfn.CONCAT(Tableau119[[#This Row],[Compte ILN]],"-",Tableau119[[#This Row],[Compte Shipper]],"-",Tableau119[[#This Row],[POL]],"-",Tableau119[[#This Row],[Compte Consignee]])</f>
        <v>2533780546-2533780546-FALSO-91017300</v>
      </c>
      <c r="D428" s="66" t="str">
        <f>_xlfn.CONCAT(Tableau119[[#This Row],[Compte ILN]],"-",Tableau119[[#This Row],[Compte Shipper]],"-",Tableau119[[#This Row],[POL]])</f>
        <v>2533780546-2533780546-FALSO</v>
      </c>
      <c r="E428" s="130" t="str">
        <f>_xlfn.CONCAT(Tableau119[[#This Row],[POL]],"-",Tableau119[[#This Row],[Carrier]],"-",Tableau119[[#This Row],[POD]])</f>
        <v>FALSO-FALSO-FALSO</v>
      </c>
      <c r="F428" s="66" t="str">
        <f>_xlfn.CONCAT(Tableau119[[#This Row],[ID]],"-","Actif")</f>
        <v>156-Actif</v>
      </c>
      <c r="G428" s="66" t="str">
        <f>_xlfn.CONCAT(Tableau119[[#This Row],[POD]],"-",Tableau119[[#This Row],[Code PFI]],"-",Tableau119[[#This Row],[Compte Consignee]])</f>
        <v>FALSO-91018400-91017300</v>
      </c>
      <c r="H4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ChennaiFALSOVALL MONTAGE</v>
      </c>
      <c r="I428" s="434" t="str">
        <f>_xlfn.CONCAT(Tableau119[[#This Row],[ID]],"-",Tableau119[[#This Row],[Expiration Date]])</f>
        <v>156-45473</v>
      </c>
      <c r="J4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Chennai-ILN Chennai-156-FALSO-FALSO-FALSO-CDD VLL-45473</v>
      </c>
      <c r="K428" s="119" t="str">
        <f ca="1">IF(COUNTIF(J:J,Tableau119[[#This Row],[Plant-ILN-shipper-POL-Carrier-POD-PFI]])=1,"Non","Oui")</f>
        <v>Non</v>
      </c>
      <c r="L428" s="128" t="str">
        <f>VLOOKUP(Tableau119[[#This Row],[Name Site]],Plant_AILN!A:D,4,FALSE)</f>
        <v>SPAIN</v>
      </c>
      <c r="M428" s="411" t="s">
        <v>175</v>
      </c>
      <c r="N428" s="454">
        <f>VLOOKUP(Tableau119[[#This Row],[Name Site]],Plant_AILN!A:C,3,FALSE)</f>
        <v>91017300</v>
      </c>
      <c r="O428" s="55">
        <f>VLOOKUP(Tableau119[[#This Row],[Compte Consignee]],Order!C:D,2,FALSE)</f>
        <v>7</v>
      </c>
      <c r="P428" s="124" t="s">
        <v>149</v>
      </c>
      <c r="Q428" s="365">
        <f>VLOOKUP(Tableau119[[#This Row],[Name ILN]],Plant_AILN!F:G,2,FALSE)</f>
        <v>2533780546</v>
      </c>
      <c r="R428" s="50">
        <f>VLOOKUP(Tableau119[[#This Row],[Compte ILN]],'DATA ILN'!D:I,6,FALSE)</f>
        <v>9</v>
      </c>
      <c r="S428" s="50" t="e">
        <f>IFERROR(VLOOKUP(Tableau119[[#This Row],[Key(Compte ILN - shipper - POL - plant)]],'DATA ILN'!A:J,10,FALSE),VLOOKUP(Tableau119[[#This Row],[Key(Compte ILN - shipper - POL)]],'DATA ILN'!B:J,9,FALSE))</f>
        <v>#N/A</v>
      </c>
      <c r="T428" s="50" t="e">
        <f>IFERROR(VLOOKUP(Tableau119[[#This Row],[Key(Compte ILN - shipper - POL - plant)]],'DATA ILN'!A:K,11,FALSE),VLOOKUP(Tableau119[[#This Row],[Key(Compte ILN - shipper - POL)]],'DATA ILN'!B:K,10,FALSE))</f>
        <v>#N/A</v>
      </c>
      <c r="U428" s="50" t="e">
        <f>IFERROR(VLOOKUP(Tableau119[[#This Row],[Key(Compte ILN - shipper - POL - plant)]],'DATA ILN'!A:L,12,FALSE),VLOOKUP(Tableau119[[#This Row],[Key(Compte ILN - shipper - POL)]],'DATA ILN'!B:L,11,FALSE))</f>
        <v>#N/A</v>
      </c>
      <c r="V428" s="50" t="e">
        <f>Tableau119[[#This Row],[Day ILN Order]]+Tableau119[[#This Row],[Delivery time to ILN/Shipper]]-1</f>
        <v>#N/A</v>
      </c>
      <c r="W428" s="50" t="e">
        <f>IFERROR(VLOOKUP(Tableau119[[#This Row],[Key(Compte ILN - shipper - POL - plant)]],'DATA ILN'!A:N,14,FALSE),VLOOKUP(Tableau119[[#This Row],[Key(Compte ILN - shipper - POL)]],'DATA ILN'!B:N,13,FALSE))</f>
        <v>#N/A</v>
      </c>
      <c r="X428" s="50" t="e">
        <f>IFERROR(VLOOKUP(Tableau119[[#This Row],[Key(Compte ILN - shipper - POL - plant)]],'DATA ILN'!A:P,16,FALSE),VLOOKUP(Tableau119[[#This Row],[Key(Compte ILN - shipper - POL)]],'DATA ILN'!B:P,15,FALSE))</f>
        <v>#N/A</v>
      </c>
      <c r="Y428" s="284" t="s">
        <v>149</v>
      </c>
      <c r="Z428" s="430">
        <f>IFERROR(VLOOKUP(Tableau119[[#This Row],[Name Shipper]],Plant_AILN!L:M,2,FALSE),0)</f>
        <v>2533780546</v>
      </c>
      <c r="AA428" s="406">
        <v>156</v>
      </c>
      <c r="AB428" s="396" t="b">
        <f>_xlfn.XLOOKUP(Tableau119[[#This Row],[Key(ID-date)]],'DATA BTO'!S:S,'DATA BTO'!E:E,FALSE)</f>
        <v>0</v>
      </c>
      <c r="AC428" s="3" t="b">
        <f>_xlfn.XLOOKUP(Tableau119[[#This Row],[Key(ID-date)]],'DATA BTO'!S:S,'DATA BTO'!F:F,FALSE)</f>
        <v>0</v>
      </c>
      <c r="AD428" s="50" t="b">
        <f>_xlfn.XLOOKUP(Tableau119[[#This Row],[Key(ID-date)]],'DATA BTO'!S:S,'DATA BTO'!G:G,FALSE)</f>
        <v>0</v>
      </c>
      <c r="AE428" s="50" t="b">
        <f>_xlfn.XLOOKUP(Tableau119[[#This Row],[Key(ID-date)]],'DATA BTO'!S:S,'DATA BTO'!H:H,FALSE)</f>
        <v>0</v>
      </c>
      <c r="AF428" s="447" t="e">
        <f>IF(Tableau119[[#This Row],[First Day to POL]]&lt;=Tableau119[[#This Row],[Day Cut Off]],Tableau119[[#This Row],[Day ETD]],Tableau119[[#This Row],[Day ETD]]+7)</f>
        <v>#N/A</v>
      </c>
      <c r="AG428" s="50" t="b">
        <f>_xlfn.XLOOKUP(Tableau119[[#This Row],[Key(ID-date)]],'DATA BTO'!S:S,'DATA BTO'!I:I,FALSE)</f>
        <v>0</v>
      </c>
      <c r="AH428" s="3" t="b">
        <f>_xlfn.XLOOKUP(Tableau119[[#This Row],[Key(ID-date)]],'DATA BTO'!S:S,'DATA BTO'!J:J,FALSE)</f>
        <v>0</v>
      </c>
      <c r="AI428" s="3" t="b">
        <f>_xlfn.XLOOKUP(Tableau119[[#This Row],[Key(ID-date)]],'DATA BTO'!S:S,'DATA BTO'!K:K,FALSE)</f>
        <v>0</v>
      </c>
      <c r="AJ428" s="50" t="b">
        <f>_xlfn.XLOOKUP(Tableau119[[#This Row],[Key(ID-date)]],'DATA BTO'!S:S,'DATA BTO'!L:L,FALSE)</f>
        <v>0</v>
      </c>
      <c r="AK428" s="53" t="b">
        <f>_xlfn.XLOOKUP(Tableau119[[#This Row],[Key(ID-date)]],'DATA BTO'!S:S,'DATA BTO'!N:N,FALSE)</f>
        <v>0</v>
      </c>
      <c r="AL428" s="54" t="e">
        <f>VLOOKUP(Tableau119[[#This Row],[Key(POD -PFI- Usine)]],'DATA Consignee'!A:F,6,FALSE)</f>
        <v>#N/A</v>
      </c>
      <c r="AM428" s="284" t="s">
        <v>169</v>
      </c>
      <c r="AN428" s="376">
        <f>IF(Tableau119[[#This Row],[Name PFI/CDD]]="","-",VLOOKUP(Tableau119[[#This Row],[Name PFI/CDD]],Plant_AILN!I:J,2,FALSE))</f>
        <v>91018400</v>
      </c>
      <c r="AO42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8" s="2" t="e">
        <f>VLOOKUP(Tableau119[[#This Row],[Key(POD -PFI- Usine)]],'DATA Consignee'!A:J,10,FALSE)</f>
        <v>#N/A</v>
      </c>
      <c r="AR428" s="50" t="e">
        <f>VLOOKUP(Tableau119[[#This Row],[Key(POD -PFI- Usine)]],'DATA Consignee'!A:N,14,FALSE)</f>
        <v>#N/A</v>
      </c>
      <c r="AS4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8" s="50">
        <f>Tableau119[[#This Row],[Transit time]]+Tableau119[[#This Row],[Time for security]]+Tableau119[[#This Row],[Time for security2 buffer]]</f>
        <v>0</v>
      </c>
      <c r="AV4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8" s="50" t="e">
        <f>Tableau119[[#This Row],[Leadtime SI2C]]+Tableau119[[#This Row],[First Receipt Days]]-Tableau119[[#This Row],[Day Customer Order]]+1</f>
        <v>#N/A</v>
      </c>
      <c r="AX428" s="119" t="e">
        <f>IF(Tableau119[[#This Row],[Name ILN]]&lt;&gt;"SFK Freight Forwarder",Tableau119[[#This Row],[Cust. Leadtime]],Tableau119[[#This Row],[Leadtime SI2C]])</f>
        <v>#N/A</v>
      </c>
      <c r="AY428" s="51" t="b">
        <f>_xlfn.XLOOKUP(Tableau119[[#This Row],[Key(ID-date)]],'DATA BTO'!S:S,'DATA BTO'!P:P,FALSE)</f>
        <v>0</v>
      </c>
      <c r="AZ428" s="338">
        <v>45473</v>
      </c>
      <c r="BA428" s="50"/>
    </row>
    <row r="429" spans="2:53">
      <c r="B429" s="446" t="str">
        <f>_xlfn.CONCAT(Tableau119[[#This Row],[Name ILN]],"-",Tableau119[[#This Row],[Name Shipper]],"-",Tableau119[[#This Row],[Name Site]])</f>
        <v>ILN Chennai-ILN Chennai-SEVILLA</v>
      </c>
      <c r="C429" s="66" t="str">
        <f>_xlfn.CONCAT(Tableau119[[#This Row],[Compte ILN]],"-",Tableau119[[#This Row],[Compte Shipper]],"-",Tableau119[[#This Row],[POL]],"-",Tableau119[[#This Row],[Compte Consignee]])</f>
        <v>2533780546-2533780546-FALSO-91017500</v>
      </c>
      <c r="D429" s="66" t="str">
        <f>_xlfn.CONCAT(Tableau119[[#This Row],[Compte ILN]],"-",Tableau119[[#This Row],[Compte Shipper]],"-",Tableau119[[#This Row],[POL]])</f>
        <v>2533780546-2533780546-FALSO</v>
      </c>
      <c r="E429" s="130" t="str">
        <f>_xlfn.CONCAT(Tableau119[[#This Row],[POL]],"-",Tableau119[[#This Row],[Carrier]],"-",Tableau119[[#This Row],[POD]])</f>
        <v>FALSO-FALSO-FALSO</v>
      </c>
      <c r="F429" s="66" t="str">
        <f>_xlfn.CONCAT(Tableau119[[#This Row],[ID]],"-","Actif")</f>
        <v>156-Actif</v>
      </c>
      <c r="G429" s="66" t="str">
        <f>_xlfn.CONCAT(Tableau119[[#This Row],[POD]],"-",Tableau119[[#This Row],[Code PFI]],"-",Tableau119[[#This Row],[Compte Consignee]])</f>
        <v>FALSO-91018400-91017500</v>
      </c>
      <c r="H4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ChennaiFALSOSEVILLA</v>
      </c>
      <c r="I429" s="434" t="str">
        <f>_xlfn.CONCAT(Tableau119[[#This Row],[ID]],"-",Tableau119[[#This Row],[Expiration Date]])</f>
        <v>156-45473</v>
      </c>
      <c r="J4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Chennai-ILN Chennai-156-FALSO-FALSO-FALSO-PFI VLL-45473</v>
      </c>
      <c r="K429" s="119" t="str">
        <f ca="1">IF(COUNTIF(J:J,Tableau119[[#This Row],[Plant-ILN-shipper-POL-Carrier-POD-PFI]])=1,"Non","Oui")</f>
        <v>Non</v>
      </c>
      <c r="L429" s="128" t="str">
        <f>VLOOKUP(Tableau119[[#This Row],[Name Site]],Plant_AILN!A:D,4,FALSE)</f>
        <v>SPAIN</v>
      </c>
      <c r="M429" s="411" t="s">
        <v>172</v>
      </c>
      <c r="N429" s="454">
        <f>VLOOKUP(Tableau119[[#This Row],[Name Site]],Plant_AILN!A:C,3,FALSE)</f>
        <v>91017500</v>
      </c>
      <c r="O429" s="55">
        <f>VLOOKUP(Tableau119[[#This Row],[Compte Consignee]],Order!C:D,2,FALSE)</f>
        <v>7</v>
      </c>
      <c r="P429" s="124" t="s">
        <v>149</v>
      </c>
      <c r="Q429" s="365">
        <f>VLOOKUP(Tableau119[[#This Row],[Name ILN]],Plant_AILN!F:G,2,FALSE)</f>
        <v>2533780546</v>
      </c>
      <c r="R429" s="50">
        <f>VLOOKUP(Tableau119[[#This Row],[Compte ILN]],'DATA ILN'!D:I,6,FALSE)</f>
        <v>9</v>
      </c>
      <c r="S429" s="50" t="e">
        <f>IFERROR(VLOOKUP(Tableau119[[#This Row],[Key(Compte ILN - shipper - POL - plant)]],'DATA ILN'!A:J,10,FALSE),VLOOKUP(Tableau119[[#This Row],[Key(Compte ILN - shipper - POL)]],'DATA ILN'!B:J,9,FALSE))</f>
        <v>#N/A</v>
      </c>
      <c r="T429" s="50" t="e">
        <f>IFERROR(VLOOKUP(Tableau119[[#This Row],[Key(Compte ILN - shipper - POL - plant)]],'DATA ILN'!A:K,11,FALSE),VLOOKUP(Tableau119[[#This Row],[Key(Compte ILN - shipper - POL)]],'DATA ILN'!B:K,10,FALSE))</f>
        <v>#N/A</v>
      </c>
      <c r="U429" s="50" t="e">
        <f>IFERROR(VLOOKUP(Tableau119[[#This Row],[Key(Compte ILN - shipper - POL - plant)]],'DATA ILN'!A:L,12,FALSE),VLOOKUP(Tableau119[[#This Row],[Key(Compte ILN - shipper - POL)]],'DATA ILN'!B:L,11,FALSE))</f>
        <v>#N/A</v>
      </c>
      <c r="V429" s="50" t="e">
        <f>Tableau119[[#This Row],[Day ILN Order]]+Tableau119[[#This Row],[Delivery time to ILN/Shipper]]-1</f>
        <v>#N/A</v>
      </c>
      <c r="W429" s="50" t="e">
        <f>IFERROR(VLOOKUP(Tableau119[[#This Row],[Key(Compte ILN - shipper - POL - plant)]],'DATA ILN'!A:N,14,FALSE),VLOOKUP(Tableau119[[#This Row],[Key(Compte ILN - shipper - POL)]],'DATA ILN'!B:N,13,FALSE))</f>
        <v>#N/A</v>
      </c>
      <c r="X429" s="50" t="e">
        <f>IFERROR(VLOOKUP(Tableau119[[#This Row],[Key(Compte ILN - shipper - POL - plant)]],'DATA ILN'!A:P,16,FALSE),VLOOKUP(Tableau119[[#This Row],[Key(Compte ILN - shipper - POL)]],'DATA ILN'!B:P,15,FALSE))</f>
        <v>#N/A</v>
      </c>
      <c r="Y429" s="284" t="s">
        <v>149</v>
      </c>
      <c r="Z429" s="430">
        <f>IFERROR(VLOOKUP(Tableau119[[#This Row],[Name Shipper]],Plant_AILN!L:M,2,FALSE),0)</f>
        <v>2533780546</v>
      </c>
      <c r="AA429" s="406">
        <v>156</v>
      </c>
      <c r="AB429" s="396" t="b">
        <f>_xlfn.XLOOKUP(Tableau119[[#This Row],[Key(ID-date)]],'DATA BTO'!S:S,'DATA BTO'!E:E,FALSE)</f>
        <v>0</v>
      </c>
      <c r="AC429" s="3" t="b">
        <f>_xlfn.XLOOKUP(Tableau119[[#This Row],[Key(ID-date)]],'DATA BTO'!S:S,'DATA BTO'!F:F,FALSE)</f>
        <v>0</v>
      </c>
      <c r="AD429" s="50" t="b">
        <f>_xlfn.XLOOKUP(Tableau119[[#This Row],[Key(ID-date)]],'DATA BTO'!S:S,'DATA BTO'!G:G,FALSE)</f>
        <v>0</v>
      </c>
      <c r="AE429" s="50" t="b">
        <f>_xlfn.XLOOKUP(Tableau119[[#This Row],[Key(ID-date)]],'DATA BTO'!S:S,'DATA BTO'!H:H,FALSE)</f>
        <v>0</v>
      </c>
      <c r="AF429" s="447" t="e">
        <f>IF(Tableau119[[#This Row],[First Day to POL]]&lt;=Tableau119[[#This Row],[Day Cut Off]],Tableau119[[#This Row],[Day ETD]],Tableau119[[#This Row],[Day ETD]]+7)</f>
        <v>#N/A</v>
      </c>
      <c r="AG429" s="50" t="b">
        <f>_xlfn.XLOOKUP(Tableau119[[#This Row],[Key(ID-date)]],'DATA BTO'!S:S,'DATA BTO'!I:I,FALSE)</f>
        <v>0</v>
      </c>
      <c r="AH429" s="3" t="b">
        <f>_xlfn.XLOOKUP(Tableau119[[#This Row],[Key(ID-date)]],'DATA BTO'!S:S,'DATA BTO'!J:J,FALSE)</f>
        <v>0</v>
      </c>
      <c r="AI429" s="3" t="b">
        <f>_xlfn.XLOOKUP(Tableau119[[#This Row],[Key(ID-date)]],'DATA BTO'!S:S,'DATA BTO'!K:K,FALSE)</f>
        <v>0</v>
      </c>
      <c r="AJ429" s="50" t="b">
        <f>_xlfn.XLOOKUP(Tableau119[[#This Row],[Key(ID-date)]],'DATA BTO'!S:S,'DATA BTO'!L:L,FALSE)</f>
        <v>0</v>
      </c>
      <c r="AK429" s="53" t="b">
        <f>_xlfn.XLOOKUP(Tableau119[[#This Row],[Key(ID-date)]],'DATA BTO'!S:S,'DATA BTO'!N:N,FALSE)</f>
        <v>0</v>
      </c>
      <c r="AL429" s="54" t="e">
        <f>VLOOKUP(Tableau119[[#This Row],[Key(POD -PFI- Usine)]],'DATA Consignee'!A:F,6,FALSE)</f>
        <v>#N/A</v>
      </c>
      <c r="AM429" s="284" t="s">
        <v>171</v>
      </c>
      <c r="AN429" s="376">
        <f>IF(Tableau119[[#This Row],[Name PFI/CDD]]="","-",VLOOKUP(Tableau119[[#This Row],[Name PFI/CDD]],Plant_AILN!I:J,2,FALSE))</f>
        <v>91018400</v>
      </c>
      <c r="AO429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429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429" s="2" t="e">
        <f>VLOOKUP(Tableau119[[#This Row],[Key(POD -PFI- Usine)]],'DATA Consignee'!A:J,10,FALSE)</f>
        <v>#N/A</v>
      </c>
      <c r="AR429" s="50" t="e">
        <f>VLOOKUP(Tableau119[[#This Row],[Key(POD -PFI- Usine)]],'DATA Consignee'!A:N,14,FALSE)</f>
        <v>#N/A</v>
      </c>
      <c r="AS4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29" s="50">
        <f>Tableau119[[#This Row],[Transit time]]+Tableau119[[#This Row],[Time for security]]+Tableau119[[#This Row],[Time for security2 buffer]]</f>
        <v>0</v>
      </c>
      <c r="AV4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29" s="50" t="e">
        <f>Tableau119[[#This Row],[Leadtime SI2C]]+Tableau119[[#This Row],[First Receipt Days]]-Tableau119[[#This Row],[Day Customer Order]]+1</f>
        <v>#N/A</v>
      </c>
      <c r="AX429" s="119" t="e">
        <f>IF(Tableau119[[#This Row],[Name ILN]]&lt;&gt;"SFK Freight Forwarder",Tableau119[[#This Row],[Cust. Leadtime]],Tableau119[[#This Row],[Leadtime SI2C]])</f>
        <v>#N/A</v>
      </c>
      <c r="AY429" s="51" t="b">
        <f>_xlfn.XLOOKUP(Tableau119[[#This Row],[Key(ID-date)]],'DATA BTO'!S:S,'DATA BTO'!P:P,FALSE)</f>
        <v>0</v>
      </c>
      <c r="AZ429" s="338">
        <v>45473</v>
      </c>
      <c r="BA429" s="50"/>
    </row>
    <row r="430" spans="2:53">
      <c r="B430" s="66" t="str">
        <f>_xlfn.CONCAT(Tableau119[[#This Row],[Name ILN]],"-",Tableau119[[#This Row],[Name Shipper]],"-",Tableau119[[#This Row],[Name Site]])</f>
        <v>ILN VLL-USUI-VALL MONTAGE</v>
      </c>
      <c r="C430" s="66" t="str">
        <f>_xlfn.CONCAT(Tableau119[[#This Row],[Compte ILN]],"-",Tableau119[[#This Row],[Compte Shipper]],"-",Tableau119[[#This Row],[POL]],"-",Tableau119[[#This Row],[Compte Consignee]])</f>
        <v>91018400-0-FALSO-91017300</v>
      </c>
      <c r="D430" s="66" t="str">
        <f>_xlfn.CONCAT(Tableau119[[#This Row],[Compte ILN]],"-",Tableau119[[#This Row],[Compte Shipper]],"-",Tableau119[[#This Row],[POL]])</f>
        <v>91018400-0-FALSO</v>
      </c>
      <c r="E430" s="130" t="str">
        <f>_xlfn.CONCAT(Tableau119[[#This Row],[POL]],"-",Tableau119[[#This Row],[Carrier]],"-",Tableau119[[#This Row],[POD]])</f>
        <v>FALSO-FALSO-FALSO</v>
      </c>
      <c r="F430" s="66" t="str">
        <f>_xlfn.CONCAT(Tableau119[[#This Row],[ID]],"-","Actif")</f>
        <v>160-Actif</v>
      </c>
      <c r="G430" s="66" t="str">
        <f>_xlfn.CONCAT(Tableau119[[#This Row],[POD]],"-",Tableau119[[#This Row],[Code PFI]],"-",Tableau119[[#This Row],[Compte Consignee]])</f>
        <v>FALSO---91017300</v>
      </c>
      <c r="H4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0FALSOVALL MONTAGE</v>
      </c>
      <c r="I430" s="434" t="str">
        <f>_xlfn.CONCAT(Tableau119[[#This Row],[ID]],"-",Tableau119[[#This Row],[Expiration Date]])</f>
        <v>160-46142</v>
      </c>
      <c r="J4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VLL-USUI-160-FALSO-FALSO-FALSO--46142</v>
      </c>
      <c r="K430" s="119" t="str">
        <f ca="1">IF(COUNTIF(J:J,Tableau119[[#This Row],[Plant-ILN-shipper-POL-Carrier-POD-PFI]])=1,"Non","Oui")</f>
        <v>Non</v>
      </c>
      <c r="L430" s="128" t="str">
        <f>VLOOKUP(Tableau119[[#This Row],[Name Site]],Plant_AILN!A:D,4,FALSE)</f>
        <v>SPAIN</v>
      </c>
      <c r="M430" s="483" t="s">
        <v>175</v>
      </c>
      <c r="N430" s="455">
        <f>VLOOKUP(Tableau119[[#This Row],[Name Site]],Plant_AILN!A:C,3,FALSE)</f>
        <v>91017300</v>
      </c>
      <c r="O430" s="104">
        <f>IF(Tableau119[[#This Row],[Name PFI/CDD]]="PFI VLL",2,VLOOKUP(Tableau119[[#This Row],[Compte Consignee]],Order!C:D,2,FALSE))</f>
        <v>7</v>
      </c>
      <c r="P430" s="126" t="s">
        <v>151</v>
      </c>
      <c r="Q430" s="366">
        <f>VLOOKUP(Tableau119[[#This Row],[Name ILN]],Plant_AILN!F:G,2,FALSE)</f>
        <v>91018400</v>
      </c>
      <c r="R430" s="81">
        <f>VLOOKUP(Tableau119[[#This Row],[Compte ILN]],'DATA ILN'!D:I,6,FALSE)</f>
        <v>9</v>
      </c>
      <c r="S430" s="81" t="e">
        <f>IFERROR(VLOOKUP(Tableau119[[#This Row],[Key(Compte ILN - shipper - POL - plant)]],'DATA ILN'!A:J,10,FALSE),VLOOKUP(Tableau119[[#This Row],[Key(Compte ILN - shipper - POL)]],'DATA ILN'!B:J,9,FALSE))</f>
        <v>#N/A</v>
      </c>
      <c r="T430" s="81" t="e">
        <f>IFERROR(VLOOKUP(Tableau119[[#This Row],[Key(Compte ILN - shipper - POL - plant)]],'DATA ILN'!A:K,11,FALSE),VLOOKUP(Tableau119[[#This Row],[Key(Compte ILN - shipper - POL)]],'DATA ILN'!B:K,10,FALSE))</f>
        <v>#N/A</v>
      </c>
      <c r="U430" s="81" t="e">
        <f>IFERROR(VLOOKUP(Tableau119[[#This Row],[Key(Compte ILN - shipper - POL - plant)]],'DATA ILN'!A:L,12,FALSE),VLOOKUP(Tableau119[[#This Row],[Key(Compte ILN - shipper - POL)]],'DATA ILN'!B:L,11,FALSE))</f>
        <v>#N/A</v>
      </c>
      <c r="V430" s="81" t="e">
        <f>Tableau119[[#This Row],[Day ILN Order]]+Tableau119[[#This Row],[Delivery time to ILN/Shipper]]-1</f>
        <v>#N/A</v>
      </c>
      <c r="W430" s="81" t="e">
        <f>IFERROR(VLOOKUP(Tableau119[[#This Row],[Key(Compte ILN - shipper - POL - plant)]],'DATA ILN'!A:N,14,FALSE),VLOOKUP(Tableau119[[#This Row],[Key(Compte ILN - shipper - POL)]],'DATA ILN'!B:N,13,FALSE))</f>
        <v>#N/A</v>
      </c>
      <c r="X430" s="81" t="e">
        <f>IFERROR(VLOOKUP(Tableau119[[#This Row],[Key(Compte ILN - shipper - POL - plant)]],'DATA ILN'!A:P,16,FALSE),VLOOKUP(Tableau119[[#This Row],[Key(Compte ILN - shipper - POL)]],'DATA ILN'!B:P,15,FALSE))</f>
        <v>#N/A</v>
      </c>
      <c r="Y430" s="102" t="s">
        <v>663</v>
      </c>
      <c r="Z430" s="417">
        <f>IFERROR(VLOOKUP(Tableau119[[#This Row],[Name Shipper]],Plant_AILN!L:M,2,FALSE),0)</f>
        <v>0</v>
      </c>
      <c r="AA430" s="416">
        <v>160</v>
      </c>
      <c r="AB430" s="396" t="b">
        <f>_xlfn.XLOOKUP(Tableau119[[#This Row],[Key(ID-date)]],'DATA BTO'!S:S,'DATA BTO'!E:E,FALSE)</f>
        <v>0</v>
      </c>
      <c r="AC430" s="3" t="b">
        <f>_xlfn.XLOOKUP(Tableau119[[#This Row],[Key(ID-date)]],'DATA BTO'!S:S,'DATA BTO'!F:F,FALSE)</f>
        <v>0</v>
      </c>
      <c r="AD430" s="50" t="b">
        <f>_xlfn.XLOOKUP(Tableau119[[#This Row],[Key(ID-date)]],'DATA BTO'!S:S,'DATA BTO'!G:G,FALSE)</f>
        <v>0</v>
      </c>
      <c r="AE430" s="50" t="b">
        <f>_xlfn.XLOOKUP(Tableau119[[#This Row],[Key(ID-date)]],'DATA BTO'!S:S,'DATA BTO'!H:H,FALSE)</f>
        <v>0</v>
      </c>
      <c r="AF430" s="447" t="e">
        <f>IF(Tableau119[[#This Row],[First Day to POL]]&lt;=Tableau119[[#This Row],[Day Cut Off]],Tableau119[[#This Row],[Day ETD]],Tableau119[[#This Row],[Day ETD]]+7)</f>
        <v>#N/A</v>
      </c>
      <c r="AG430" s="50" t="b">
        <f>_xlfn.XLOOKUP(Tableau119[[#This Row],[Key(ID-date)]],'DATA BTO'!S:S,'DATA BTO'!I:I,FALSE)</f>
        <v>0</v>
      </c>
      <c r="AH430" s="3" t="b">
        <f>_xlfn.XLOOKUP(Tableau119[[#This Row],[Key(ID-date)]],'DATA BTO'!S:S,'DATA BTO'!J:J,FALSE)</f>
        <v>0</v>
      </c>
      <c r="AI430" s="3" t="b">
        <f>_xlfn.XLOOKUP(Tableau119[[#This Row],[Key(ID-date)]],'DATA BTO'!S:S,'DATA BTO'!K:K,FALSE)</f>
        <v>0</v>
      </c>
      <c r="AJ430" s="50" t="b">
        <f>_xlfn.XLOOKUP(Tableau119[[#This Row],[Key(ID-date)]],'DATA BTO'!S:S,'DATA BTO'!L:L,FALSE)</f>
        <v>0</v>
      </c>
      <c r="AK430" s="53" t="b">
        <f>_xlfn.XLOOKUP(Tableau119[[#This Row],[Key(ID-date)]],'DATA BTO'!S:S,'DATA BTO'!N:N,FALSE)</f>
        <v>0</v>
      </c>
      <c r="AL430" s="54" t="e">
        <f>VLOOKUP(Tableau119[[#This Row],[Key(POD -PFI- Usine)]],'DATA Consignee'!A:F,6,FALSE)</f>
        <v>#N/A</v>
      </c>
      <c r="AM430" s="102"/>
      <c r="AN430" s="375" t="str">
        <f>IF(Tableau119[[#This Row],[Name PFI/CDD]]="","-",VLOOKUP(Tableau119[[#This Row],[Name PFI/CDD]],Plant_AILN!I:J,2,FALSE))</f>
        <v>-</v>
      </c>
      <c r="AO43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0" s="110" t="e">
        <f>VLOOKUP(Tableau119[[#This Row],[Key(POD -PFI- Usine)]],'DATA Consignee'!A:J,10,FALSE)</f>
        <v>#N/A</v>
      </c>
      <c r="AR430" s="81" t="e">
        <f>VLOOKUP(Tableau119[[#This Row],[Key(POD -PFI- Usine)]],'DATA Consignee'!A:N,14,FALSE)</f>
        <v>#N/A</v>
      </c>
      <c r="AS43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0" s="81">
        <f>Tableau119[[#This Row],[Transit time]]+Tableau119[[#This Row],[Time for security]]+Tableau119[[#This Row],[Time for security2 buffer]]</f>
        <v>0</v>
      </c>
      <c r="AV4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0" s="50" t="e">
        <f>Tableau119[[#This Row],[Leadtime SI2C]]+Tableau119[[#This Row],[First Receipt Days]]-Tableau119[[#This Row],[Day Customer Order]]+1</f>
        <v>#N/A</v>
      </c>
      <c r="AX430" s="119" t="e">
        <f>IF(Tableau119[[#This Row],[Name ILN]]&lt;&gt;"SFK Freight Forwarder",Tableau119[[#This Row],[Cust. Leadtime]],Tableau119[[#This Row],[Leadtime SI2C]])</f>
        <v>#N/A</v>
      </c>
      <c r="AY430" s="51" t="b">
        <f>_xlfn.XLOOKUP(Tableau119[[#This Row],[Key(ID-date)]],'DATA BTO'!S:S,'DATA BTO'!P:P,FALSE)</f>
        <v>0</v>
      </c>
      <c r="AZ430" s="388">
        <v>46142</v>
      </c>
      <c r="BA430" s="81"/>
    </row>
    <row r="431" spans="2:53">
      <c r="B431" s="446" t="str">
        <f>_xlfn.CONCAT(Tableau119[[#This Row],[Name ILN]],"-",Tableau119[[#This Row],[Name Shipper]],"-",Tableau119[[#This Row],[Name Site]])</f>
        <v>ILN VLL-USUI-VALL MONTAGE</v>
      </c>
      <c r="C431" s="66" t="str">
        <f>_xlfn.CONCAT(Tableau119[[#This Row],[Compte ILN]],"-",Tableau119[[#This Row],[Compte Shipper]],"-",Tableau119[[#This Row],[POL]],"-",Tableau119[[#This Row],[Compte Consignee]])</f>
        <v>91018400-0-FALSO-91017300</v>
      </c>
      <c r="D431" s="66" t="str">
        <f>_xlfn.CONCAT(Tableau119[[#This Row],[Compte ILN]],"-",Tableau119[[#This Row],[Compte Shipper]],"-",Tableau119[[#This Row],[POL]])</f>
        <v>91018400-0-FALSO</v>
      </c>
      <c r="E431" s="130" t="str">
        <f>_xlfn.CONCAT(Tableau119[[#This Row],[POL]],"-",Tableau119[[#This Row],[Carrier]],"-",Tableau119[[#This Row],[POD]])</f>
        <v>FALSO-FALSO-FALSO</v>
      </c>
      <c r="F431" s="66" t="str">
        <f>_xlfn.CONCAT(Tableau119[[#This Row],[ID]],"-","Actif")</f>
        <v>160-Actif</v>
      </c>
      <c r="G431" s="66" t="str">
        <f>_xlfn.CONCAT(Tableau119[[#This Row],[POD]],"-",Tableau119[[#This Row],[Code PFI]],"-",Tableau119[[#This Row],[Compte Consignee]])</f>
        <v>FALSO---91017300</v>
      </c>
      <c r="H4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0FALSOVALL MONTAGE</v>
      </c>
      <c r="I431" s="434" t="str">
        <f>_xlfn.CONCAT(Tableau119[[#This Row],[ID]],"-",Tableau119[[#This Row],[Expiration Date]])</f>
        <v>160-45777</v>
      </c>
      <c r="J4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VLL-USUI-160-FALSO-FALSO-FALSO--45777</v>
      </c>
      <c r="K431" s="119" t="str">
        <f ca="1">IF(COUNTIF(J:J,Tableau119[[#This Row],[Plant-ILN-shipper-POL-Carrier-POD-PFI]])=1,"Non","Oui")</f>
        <v>Non</v>
      </c>
      <c r="L431" s="128" t="str">
        <f>VLOOKUP(Tableau119[[#This Row],[Name Site]],Plant_AILN!A:D,4,FALSE)</f>
        <v>SPAIN</v>
      </c>
      <c r="M431" s="411" t="s">
        <v>175</v>
      </c>
      <c r="N431" s="454">
        <f>VLOOKUP(Tableau119[[#This Row],[Name Site]],Plant_AILN!A:C,3,FALSE)</f>
        <v>91017300</v>
      </c>
      <c r="O431" s="55">
        <f>VLOOKUP(Tableau119[[#This Row],[Compte Consignee]],Order!C:D,2,FALSE)</f>
        <v>7</v>
      </c>
      <c r="P431" s="124" t="s">
        <v>151</v>
      </c>
      <c r="Q431" s="365">
        <f>VLOOKUP(Tableau119[[#This Row],[Name ILN]],Plant_AILN!F:G,2,FALSE)</f>
        <v>91018400</v>
      </c>
      <c r="R431" s="50">
        <f>VLOOKUP(Tableau119[[#This Row],[Compte ILN]],'DATA ILN'!D:I,6,FALSE)</f>
        <v>9</v>
      </c>
      <c r="S431" s="50" t="e">
        <f>IFERROR(VLOOKUP(Tableau119[[#This Row],[Key(Compte ILN - shipper - POL - plant)]],'DATA ILN'!A:J,10,FALSE),VLOOKUP(Tableau119[[#This Row],[Key(Compte ILN - shipper - POL)]],'DATA ILN'!B:J,9,FALSE))</f>
        <v>#N/A</v>
      </c>
      <c r="T431" s="50" t="e">
        <f>IFERROR(VLOOKUP(Tableau119[[#This Row],[Key(Compte ILN - shipper - POL - plant)]],'DATA ILN'!A:K,11,FALSE),VLOOKUP(Tableau119[[#This Row],[Key(Compte ILN - shipper - POL)]],'DATA ILN'!B:K,10,FALSE))</f>
        <v>#N/A</v>
      </c>
      <c r="U431" s="50" t="e">
        <f>IFERROR(VLOOKUP(Tableau119[[#This Row],[Key(Compte ILN - shipper - POL - plant)]],'DATA ILN'!A:L,12,FALSE),VLOOKUP(Tableau119[[#This Row],[Key(Compte ILN - shipper - POL)]],'DATA ILN'!B:L,11,FALSE))</f>
        <v>#N/A</v>
      </c>
      <c r="V431" s="50" t="e">
        <f>Tableau119[[#This Row],[Day ILN Order]]+Tableau119[[#This Row],[Delivery time to ILN/Shipper]]-1</f>
        <v>#N/A</v>
      </c>
      <c r="W431" s="50" t="e">
        <f>IFERROR(VLOOKUP(Tableau119[[#This Row],[Key(Compte ILN - shipper - POL - plant)]],'DATA ILN'!A:N,14,FALSE),VLOOKUP(Tableau119[[#This Row],[Key(Compte ILN - shipper - POL)]],'DATA ILN'!B:N,13,FALSE))</f>
        <v>#N/A</v>
      </c>
      <c r="X431" s="50" t="e">
        <f>IFERROR(VLOOKUP(Tableau119[[#This Row],[Key(Compte ILN - shipper - POL - plant)]],'DATA ILN'!A:P,16,FALSE),VLOOKUP(Tableau119[[#This Row],[Key(Compte ILN - shipper - POL)]],'DATA ILN'!B:P,15,FALSE))</f>
        <v>#N/A</v>
      </c>
      <c r="Y431" s="284" t="s">
        <v>663</v>
      </c>
      <c r="Z431" s="430">
        <f>IFERROR(VLOOKUP(Tableau119[[#This Row],[Name Shipper]],Plant_AILN!L:M,2,FALSE),0)</f>
        <v>0</v>
      </c>
      <c r="AA431" s="406">
        <v>160</v>
      </c>
      <c r="AB431" s="396" t="b">
        <f>_xlfn.XLOOKUP(Tableau119[[#This Row],[Key(ID-date)]],'DATA BTO'!S:S,'DATA BTO'!E:E,FALSE)</f>
        <v>0</v>
      </c>
      <c r="AC431" s="3" t="b">
        <f>_xlfn.XLOOKUP(Tableau119[[#This Row],[Key(ID-date)]],'DATA BTO'!S:S,'DATA BTO'!F:F,FALSE)</f>
        <v>0</v>
      </c>
      <c r="AD431" s="50" t="b">
        <f>_xlfn.XLOOKUP(Tableau119[[#This Row],[Key(ID-date)]],'DATA BTO'!S:S,'DATA BTO'!G:G,FALSE)</f>
        <v>0</v>
      </c>
      <c r="AE431" s="50" t="b">
        <f>_xlfn.XLOOKUP(Tableau119[[#This Row],[Key(ID-date)]],'DATA BTO'!S:S,'DATA BTO'!H:H,FALSE)</f>
        <v>0</v>
      </c>
      <c r="AF431" s="447" t="e">
        <f>IF(Tableau119[[#This Row],[First Day to POL]]&lt;=Tableau119[[#This Row],[Day Cut Off]],Tableau119[[#This Row],[Day ETD]],Tableau119[[#This Row],[Day ETD]]+7)</f>
        <v>#N/A</v>
      </c>
      <c r="AG431" s="50" t="b">
        <f>_xlfn.XLOOKUP(Tableau119[[#This Row],[Key(ID-date)]],'DATA BTO'!S:S,'DATA BTO'!I:I,FALSE)</f>
        <v>0</v>
      </c>
      <c r="AH431" s="3" t="b">
        <f>_xlfn.XLOOKUP(Tableau119[[#This Row],[Key(ID-date)]],'DATA BTO'!S:S,'DATA BTO'!J:J,FALSE)</f>
        <v>0</v>
      </c>
      <c r="AI431" s="3" t="b">
        <f>_xlfn.XLOOKUP(Tableau119[[#This Row],[Key(ID-date)]],'DATA BTO'!S:S,'DATA BTO'!K:K,FALSE)</f>
        <v>0</v>
      </c>
      <c r="AJ431" s="50" t="b">
        <f>_xlfn.XLOOKUP(Tableau119[[#This Row],[Key(ID-date)]],'DATA BTO'!S:S,'DATA BTO'!L:L,FALSE)</f>
        <v>0</v>
      </c>
      <c r="AK431" s="53" t="b">
        <f>_xlfn.XLOOKUP(Tableau119[[#This Row],[Key(ID-date)]],'DATA BTO'!S:S,'DATA BTO'!N:N,FALSE)</f>
        <v>0</v>
      </c>
      <c r="AL431" s="54" t="e">
        <f>VLOOKUP(Tableau119[[#This Row],[Key(POD -PFI- Usine)]],'DATA Consignee'!A:F,6,FALSE)</f>
        <v>#N/A</v>
      </c>
      <c r="AM431" s="284"/>
      <c r="AN431" s="376" t="str">
        <f>IF(Tableau119[[#This Row],[Name PFI/CDD]]="","-",VLOOKUP(Tableau119[[#This Row],[Name PFI/CDD]],Plant_AILN!I:J,2,FALSE))</f>
        <v>-</v>
      </c>
      <c r="AO4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1" s="2" t="e">
        <f>VLOOKUP(Tableau119[[#This Row],[Key(POD -PFI- Usine)]],'DATA Consignee'!A:J,10,FALSE)</f>
        <v>#N/A</v>
      </c>
      <c r="AR431" s="50" t="e">
        <f>VLOOKUP(Tableau119[[#This Row],[Key(POD -PFI- Usine)]],'DATA Consignee'!A:N,14,FALSE)</f>
        <v>#N/A</v>
      </c>
      <c r="AS4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1" s="50">
        <f>Tableau119[[#This Row],[Transit time]]+Tableau119[[#This Row],[Time for security]]+Tableau119[[#This Row],[Time for security2 buffer]]</f>
        <v>0</v>
      </c>
      <c r="AV4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1" s="50" t="e">
        <f>Tableau119[[#This Row],[Leadtime SI2C]]+Tableau119[[#This Row],[First Receipt Days]]-Tableau119[[#This Row],[Day Customer Order]]+1</f>
        <v>#N/A</v>
      </c>
      <c r="AX431" s="119" t="e">
        <f>IF(Tableau119[[#This Row],[Name ILN]]&lt;&gt;"SFK Freight Forwarder",Tableau119[[#This Row],[Cust. Leadtime]],Tableau119[[#This Row],[Leadtime SI2C]])</f>
        <v>#N/A</v>
      </c>
      <c r="AY431" s="51" t="b">
        <f>_xlfn.XLOOKUP(Tableau119[[#This Row],[Key(ID-date)]],'DATA BTO'!S:S,'DATA BTO'!P:P,FALSE)</f>
        <v>0</v>
      </c>
      <c r="AZ431" s="338">
        <v>45777</v>
      </c>
      <c r="BA431" s="50"/>
    </row>
    <row r="432" spans="2:53">
      <c r="B432" s="446" t="str">
        <f>_xlfn.CONCAT(Tableau119[[#This Row],[Name ILN]],"-",Tableau119[[#This Row],[Name Shipper]],"-",Tableau119[[#This Row],[Name Site]])</f>
        <v>ILN VLL-USUI-VALL MONTAGE</v>
      </c>
      <c r="C432" s="66" t="str">
        <f>_xlfn.CONCAT(Tableau119[[#This Row],[Compte ILN]],"-",Tableau119[[#This Row],[Compte Shipper]],"-",Tableau119[[#This Row],[POL]],"-",Tableau119[[#This Row],[Compte Consignee]])</f>
        <v>91018400-0-FALSO-91017300</v>
      </c>
      <c r="D432" s="66" t="str">
        <f>_xlfn.CONCAT(Tableau119[[#This Row],[Compte ILN]],"-",Tableau119[[#This Row],[Compte Shipper]],"-",Tableau119[[#This Row],[POL]])</f>
        <v>91018400-0-FALSO</v>
      </c>
      <c r="E432" s="130" t="str">
        <f>_xlfn.CONCAT(Tableau119[[#This Row],[POL]],"-",Tableau119[[#This Row],[Carrier]],"-",Tableau119[[#This Row],[POD]])</f>
        <v>FALSO-FALSO-FALSO</v>
      </c>
      <c r="F432" s="66" t="str">
        <f>_xlfn.CONCAT(Tableau119[[#This Row],[ID]],"-","Actif")</f>
        <v>160-Actif</v>
      </c>
      <c r="G432" s="66" t="str">
        <f>_xlfn.CONCAT(Tableau119[[#This Row],[POD]],"-",Tableau119[[#This Row],[Code PFI]],"-",Tableau119[[#This Row],[Compte Consignee]])</f>
        <v>FALSO---91017300</v>
      </c>
      <c r="H4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0FALSOVALL MONTAGE</v>
      </c>
      <c r="I432" s="434" t="str">
        <f>_xlfn.CONCAT(Tableau119[[#This Row],[ID]],"-",Tableau119[[#This Row],[Expiration Date]])</f>
        <v>160-45412</v>
      </c>
      <c r="J4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VLL-USUI-160-FALSO-FALSO-FALSO--45412</v>
      </c>
      <c r="K432" s="119" t="str">
        <f ca="1">IF(COUNTIF(J:J,Tableau119[[#This Row],[Plant-ILN-shipper-POL-Carrier-POD-PFI]])=1,"Non","Oui")</f>
        <v>Non</v>
      </c>
      <c r="L432" s="128" t="str">
        <f>VLOOKUP(Tableau119[[#This Row],[Name Site]],Plant_AILN!A:D,4,FALSE)</f>
        <v>SPAIN</v>
      </c>
      <c r="M432" s="411" t="s">
        <v>175</v>
      </c>
      <c r="N432" s="454">
        <f>VLOOKUP(Tableau119[[#This Row],[Name Site]],Plant_AILN!A:C,3,FALSE)</f>
        <v>91017300</v>
      </c>
      <c r="O432" s="55">
        <f>VLOOKUP(Tableau119[[#This Row],[Compte Consignee]],Order!C:D,2,FALSE)</f>
        <v>7</v>
      </c>
      <c r="P432" s="124" t="s">
        <v>151</v>
      </c>
      <c r="Q432" s="365">
        <f>VLOOKUP(Tableau119[[#This Row],[Name ILN]],Plant_AILN!F:G,2,FALSE)</f>
        <v>91018400</v>
      </c>
      <c r="R432" s="50">
        <f>VLOOKUP(Tableau119[[#This Row],[Compte ILN]],'DATA ILN'!D:I,6,FALSE)</f>
        <v>9</v>
      </c>
      <c r="S432" s="50" t="e">
        <f>IFERROR(VLOOKUP(Tableau119[[#This Row],[Key(Compte ILN - shipper - POL - plant)]],'DATA ILN'!A:J,10,FALSE),VLOOKUP(Tableau119[[#This Row],[Key(Compte ILN - shipper - POL)]],'DATA ILN'!B:J,9,FALSE))</f>
        <v>#N/A</v>
      </c>
      <c r="T432" s="50" t="e">
        <f>IFERROR(VLOOKUP(Tableau119[[#This Row],[Key(Compte ILN - shipper - POL - plant)]],'DATA ILN'!A:K,11,FALSE),VLOOKUP(Tableau119[[#This Row],[Key(Compte ILN - shipper - POL)]],'DATA ILN'!B:K,10,FALSE))</f>
        <v>#N/A</v>
      </c>
      <c r="U432" s="50" t="e">
        <f>IFERROR(VLOOKUP(Tableau119[[#This Row],[Key(Compte ILN - shipper - POL - plant)]],'DATA ILN'!A:L,12,FALSE),VLOOKUP(Tableau119[[#This Row],[Key(Compte ILN - shipper - POL)]],'DATA ILN'!B:L,11,FALSE))</f>
        <v>#N/A</v>
      </c>
      <c r="V432" s="50" t="e">
        <f>Tableau119[[#This Row],[Day ILN Order]]+Tableau119[[#This Row],[Delivery time to ILN/Shipper]]-1</f>
        <v>#N/A</v>
      </c>
      <c r="W432" s="50" t="e">
        <f>IFERROR(VLOOKUP(Tableau119[[#This Row],[Key(Compte ILN - shipper - POL - plant)]],'DATA ILN'!A:N,14,FALSE),VLOOKUP(Tableau119[[#This Row],[Key(Compte ILN - shipper - POL)]],'DATA ILN'!B:N,13,FALSE))</f>
        <v>#N/A</v>
      </c>
      <c r="X432" s="50" t="e">
        <f>IFERROR(VLOOKUP(Tableau119[[#This Row],[Key(Compte ILN - shipper - POL - plant)]],'DATA ILN'!A:P,16,FALSE),VLOOKUP(Tableau119[[#This Row],[Key(Compte ILN - shipper - POL)]],'DATA ILN'!B:P,15,FALSE))</f>
        <v>#N/A</v>
      </c>
      <c r="Y432" s="284" t="s">
        <v>663</v>
      </c>
      <c r="Z432" s="430">
        <f>IFERROR(VLOOKUP(Tableau119[[#This Row],[Name Shipper]],Plant_AILN!L:M,2,FALSE),0)</f>
        <v>0</v>
      </c>
      <c r="AA432" s="406">
        <v>160</v>
      </c>
      <c r="AB432" s="396" t="b">
        <f>_xlfn.XLOOKUP(Tableau119[[#This Row],[Key(ID-date)]],'DATA BTO'!S:S,'DATA BTO'!E:E,FALSE)</f>
        <v>0</v>
      </c>
      <c r="AC432" s="3" t="b">
        <f>_xlfn.XLOOKUP(Tableau119[[#This Row],[Key(ID-date)]],'DATA BTO'!S:S,'DATA BTO'!F:F,FALSE)</f>
        <v>0</v>
      </c>
      <c r="AD432" s="50" t="b">
        <f>_xlfn.XLOOKUP(Tableau119[[#This Row],[Key(ID-date)]],'DATA BTO'!S:S,'DATA BTO'!G:G,FALSE)</f>
        <v>0</v>
      </c>
      <c r="AE432" s="50" t="b">
        <f>_xlfn.XLOOKUP(Tableau119[[#This Row],[Key(ID-date)]],'DATA BTO'!S:S,'DATA BTO'!H:H,FALSE)</f>
        <v>0</v>
      </c>
      <c r="AF432" s="447" t="e">
        <f>IF(Tableau119[[#This Row],[First Day to POL]]&lt;=Tableau119[[#This Row],[Day Cut Off]],Tableau119[[#This Row],[Day ETD]],Tableau119[[#This Row],[Day ETD]]+7)</f>
        <v>#N/A</v>
      </c>
      <c r="AG432" s="50" t="b">
        <f>_xlfn.XLOOKUP(Tableau119[[#This Row],[Key(ID-date)]],'DATA BTO'!S:S,'DATA BTO'!I:I,FALSE)</f>
        <v>0</v>
      </c>
      <c r="AH432" s="3" t="b">
        <f>_xlfn.XLOOKUP(Tableau119[[#This Row],[Key(ID-date)]],'DATA BTO'!S:S,'DATA BTO'!J:J,FALSE)</f>
        <v>0</v>
      </c>
      <c r="AI432" s="3" t="b">
        <f>_xlfn.XLOOKUP(Tableau119[[#This Row],[Key(ID-date)]],'DATA BTO'!S:S,'DATA BTO'!K:K,FALSE)</f>
        <v>0</v>
      </c>
      <c r="AJ432" s="50" t="b">
        <f>_xlfn.XLOOKUP(Tableau119[[#This Row],[Key(ID-date)]],'DATA BTO'!S:S,'DATA BTO'!L:L,FALSE)</f>
        <v>0</v>
      </c>
      <c r="AK432" s="53" t="b">
        <f>_xlfn.XLOOKUP(Tableau119[[#This Row],[Key(ID-date)]],'DATA BTO'!S:S,'DATA BTO'!N:N,FALSE)</f>
        <v>0</v>
      </c>
      <c r="AL432" s="54" t="e">
        <f>VLOOKUP(Tableau119[[#This Row],[Key(POD -PFI- Usine)]],'DATA Consignee'!A:F,6,FALSE)</f>
        <v>#N/A</v>
      </c>
      <c r="AM432" s="284"/>
      <c r="AN432" s="376" t="str">
        <f>IF(Tableau119[[#This Row],[Name PFI/CDD]]="","-",VLOOKUP(Tableau119[[#This Row],[Name PFI/CDD]],Plant_AILN!I:J,2,FALSE))</f>
        <v>-</v>
      </c>
      <c r="AO4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2" s="2" t="e">
        <f>VLOOKUP(Tableau119[[#This Row],[Key(POD -PFI- Usine)]],'DATA Consignee'!A:J,10,FALSE)</f>
        <v>#N/A</v>
      </c>
      <c r="AR432" s="50" t="e">
        <f>VLOOKUP(Tableau119[[#This Row],[Key(POD -PFI- Usine)]],'DATA Consignee'!A:N,14,FALSE)</f>
        <v>#N/A</v>
      </c>
      <c r="AS4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2" s="50">
        <f>Tableau119[[#This Row],[Transit time]]+Tableau119[[#This Row],[Time for security]]+Tableau119[[#This Row],[Time for security2 buffer]]</f>
        <v>0</v>
      </c>
      <c r="AV4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2" s="50" t="e">
        <f>Tableau119[[#This Row],[Leadtime SI2C]]+Tableau119[[#This Row],[First Receipt Days]]-Tableau119[[#This Row],[Day Customer Order]]+1</f>
        <v>#N/A</v>
      </c>
      <c r="AX432" s="119" t="e">
        <f>IF(Tableau119[[#This Row],[Name ILN]]&lt;&gt;"SFK Freight Forwarder",Tableau119[[#This Row],[Cust. Leadtime]],Tableau119[[#This Row],[Leadtime SI2C]])</f>
        <v>#N/A</v>
      </c>
      <c r="AY432" s="51" t="b">
        <f>_xlfn.XLOOKUP(Tableau119[[#This Row],[Key(ID-date)]],'DATA BTO'!S:S,'DATA BTO'!P:P,FALSE)</f>
        <v>0</v>
      </c>
      <c r="AZ432" s="338">
        <v>45412</v>
      </c>
      <c r="BA432" s="50"/>
    </row>
    <row r="433" spans="2:53">
      <c r="B433" s="66" t="str">
        <f>_xlfn.CONCAT(Tableau119[[#This Row],[Name ILN]],"-",Tableau119[[#This Row],[Name Shipper]],"-",Tableau119[[#This Row],[Name Site]])</f>
        <v>ILN Cordoba-ILN Cordoba-ALPINE</v>
      </c>
      <c r="C433" s="66" t="str">
        <f>_xlfn.CONCAT(Tableau119[[#This Row],[Compte ILN]],"-",Tableau119[[#This Row],[Compte Shipper]],"-",Tableau119[[#This Row],[POL]],"-",Tableau119[[#This Row],[Compte Consignee]])</f>
        <v>26376-26376-FALSO-90018300</v>
      </c>
      <c r="D433" s="66" t="str">
        <f>_xlfn.CONCAT(Tableau119[[#This Row],[Compte ILN]],"-",Tableau119[[#This Row],[Compte Shipper]],"-",Tableau119[[#This Row],[POL]])</f>
        <v>26376-26376-FALSO</v>
      </c>
      <c r="E433" s="130" t="str">
        <f>_xlfn.CONCAT(Tableau119[[#This Row],[POL]],"-",Tableau119[[#This Row],[Carrier]],"-",Tableau119[[#This Row],[POD]])</f>
        <v>FALSO-FALSO-FALSO</v>
      </c>
      <c r="F433" s="66" t="str">
        <f>_xlfn.CONCAT(Tableau119[[#This Row],[ID]],"-","Actif")</f>
        <v>162-Actif</v>
      </c>
      <c r="G433" s="66" t="str">
        <f>_xlfn.CONCAT(Tableau119[[#This Row],[POD]],"-",Tableau119[[#This Row],[Code PFI]],"-",Tableau119[[#This Row],[Compte Consignee]])</f>
        <v>FALSO-90016600-90018300</v>
      </c>
      <c r="H4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CordobaFALSOALPINE</v>
      </c>
      <c r="I433" s="434" t="str">
        <f>_xlfn.CONCAT(Tableau119[[#This Row],[ID]],"-",Tableau119[[#This Row],[Expiration Date]])</f>
        <v>162-46142</v>
      </c>
      <c r="J4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Cordoba-ILN Cordoba-162-FALSO-FALSO-FALSO-CDD FR-46142</v>
      </c>
      <c r="K433" s="119" t="str">
        <f ca="1">IF(COUNTIF(J:J,Tableau119[[#This Row],[Plant-ILN-shipper-POL-Carrier-POD-PFI]])=1,"Non","Oui")</f>
        <v>Non</v>
      </c>
      <c r="L433" s="440" t="str">
        <f>VLOOKUP(Tableau119[[#This Row],[Name Site]],Plant_AILN!A:D,4,FALSE)</f>
        <v>FRANCE</v>
      </c>
      <c r="M433" s="483" t="s">
        <v>220</v>
      </c>
      <c r="N433" s="455">
        <f>VLOOKUP(Tableau119[[#This Row],[Name Site]],Plant_AILN!A:C,3,FALSE)</f>
        <v>90018300</v>
      </c>
      <c r="O433" s="104">
        <f>IF(Tableau119[[#This Row],[Name PFI/CDD]]="PFI VLL",2,VLOOKUP(Tableau119[[#This Row],[Compte Consignee]],Order!C:D,2,FALSE))</f>
        <v>7</v>
      </c>
      <c r="P433" s="126" t="s">
        <v>199</v>
      </c>
      <c r="Q433" s="366">
        <f>VLOOKUP(Tableau119[[#This Row],[Name ILN]],Plant_AILN!F:G,2,FALSE)</f>
        <v>26376</v>
      </c>
      <c r="R433" s="81">
        <f>VLOOKUP(Tableau119[[#This Row],[Compte ILN]],'DATA ILN'!D:I,6,FALSE)</f>
        <v>9</v>
      </c>
      <c r="S433" s="81" t="e">
        <f>IFERROR(VLOOKUP(Tableau119[[#This Row],[Key(Compte ILN - shipper - POL - plant)]],'DATA ILN'!A:J,10,FALSE),VLOOKUP(Tableau119[[#This Row],[Key(Compte ILN - shipper - POL)]],'DATA ILN'!B:J,9,FALSE))</f>
        <v>#N/A</v>
      </c>
      <c r="T433" s="81" t="e">
        <f>IFERROR(VLOOKUP(Tableau119[[#This Row],[Key(Compte ILN - shipper - POL - plant)]],'DATA ILN'!A:K,11,FALSE),VLOOKUP(Tableau119[[#This Row],[Key(Compte ILN - shipper - POL)]],'DATA ILN'!B:K,10,FALSE))</f>
        <v>#N/A</v>
      </c>
      <c r="U433" s="81" t="e">
        <f>IFERROR(VLOOKUP(Tableau119[[#This Row],[Key(Compte ILN - shipper - POL - plant)]],'DATA ILN'!A:L,12,FALSE),VLOOKUP(Tableau119[[#This Row],[Key(Compte ILN - shipper - POL)]],'DATA ILN'!B:L,11,FALSE))</f>
        <v>#N/A</v>
      </c>
      <c r="V433" s="81" t="e">
        <f>Tableau119[[#This Row],[Day ILN Order]]+Tableau119[[#This Row],[Delivery time to ILN/Shipper]]-1</f>
        <v>#N/A</v>
      </c>
      <c r="W433" s="81" t="e">
        <f>IFERROR(VLOOKUP(Tableau119[[#This Row],[Key(Compte ILN - shipper - POL - plant)]],'DATA ILN'!A:N,14,FALSE),VLOOKUP(Tableau119[[#This Row],[Key(Compte ILN - shipper - POL)]],'DATA ILN'!B:N,13,FALSE))</f>
        <v>#N/A</v>
      </c>
      <c r="X433" s="81" t="e">
        <f>IFERROR(VLOOKUP(Tableau119[[#This Row],[Key(Compte ILN - shipper - POL - plant)]],'DATA ILN'!A:P,16,FALSE),VLOOKUP(Tableau119[[#This Row],[Key(Compte ILN - shipper - POL)]],'DATA ILN'!B:P,15,FALSE))</f>
        <v>#N/A</v>
      </c>
      <c r="Y433" s="102" t="s">
        <v>199</v>
      </c>
      <c r="Z433" s="417">
        <f>IFERROR(VLOOKUP(Tableau119[[#This Row],[Name Shipper]],Plant_AILN!L:M,2,FALSE),0)</f>
        <v>26376</v>
      </c>
      <c r="AA433" s="416">
        <v>162</v>
      </c>
      <c r="AB433" s="396" t="b">
        <f>_xlfn.XLOOKUP(Tableau119[[#This Row],[Key(ID-date)]],'DATA BTO'!S:S,'DATA BTO'!E:E,FALSE)</f>
        <v>0</v>
      </c>
      <c r="AC433" s="3" t="b">
        <f>_xlfn.XLOOKUP(Tableau119[[#This Row],[Key(ID-date)]],'DATA BTO'!S:S,'DATA BTO'!F:F,FALSE)</f>
        <v>0</v>
      </c>
      <c r="AD433" s="50" t="b">
        <f>_xlfn.XLOOKUP(Tableau119[[#This Row],[Key(ID-date)]],'DATA BTO'!S:S,'DATA BTO'!G:G,FALSE)</f>
        <v>0</v>
      </c>
      <c r="AE433" s="50" t="b">
        <f>_xlfn.XLOOKUP(Tableau119[[#This Row],[Key(ID-date)]],'DATA BTO'!S:S,'DATA BTO'!H:H,FALSE)</f>
        <v>0</v>
      </c>
      <c r="AF433" s="447" t="e">
        <f>IF(Tableau119[[#This Row],[First Day to POL]]&lt;=Tableau119[[#This Row],[Day Cut Off]],Tableau119[[#This Row],[Day ETD]],Tableau119[[#This Row],[Day ETD]]+7)</f>
        <v>#N/A</v>
      </c>
      <c r="AG433" s="50" t="b">
        <f>_xlfn.XLOOKUP(Tableau119[[#This Row],[Key(ID-date)]],'DATA BTO'!S:S,'DATA BTO'!I:I,FALSE)</f>
        <v>0</v>
      </c>
      <c r="AH433" s="3" t="b">
        <f>_xlfn.XLOOKUP(Tableau119[[#This Row],[Key(ID-date)]],'DATA BTO'!S:S,'DATA BTO'!J:J,FALSE)</f>
        <v>0</v>
      </c>
      <c r="AI433" s="3" t="b">
        <f>_xlfn.XLOOKUP(Tableau119[[#This Row],[Key(ID-date)]],'DATA BTO'!S:S,'DATA BTO'!K:K,FALSE)</f>
        <v>0</v>
      </c>
      <c r="AJ433" s="50" t="b">
        <f>_xlfn.XLOOKUP(Tableau119[[#This Row],[Key(ID-date)]],'DATA BTO'!S:S,'DATA BTO'!L:L,FALSE)</f>
        <v>0</v>
      </c>
      <c r="AK433" s="53" t="b">
        <f>_xlfn.XLOOKUP(Tableau119[[#This Row],[Key(ID-date)]],'DATA BTO'!S:S,'DATA BTO'!N:N,FALSE)</f>
        <v>0</v>
      </c>
      <c r="AL433" s="54" t="e">
        <f>VLOOKUP(Tableau119[[#This Row],[Key(POD -PFI- Usine)]],'DATA Consignee'!A:F,6,FALSE)</f>
        <v>#N/A</v>
      </c>
      <c r="AM433" s="102" t="s">
        <v>155</v>
      </c>
      <c r="AN433" s="375">
        <f>IF(Tableau119[[#This Row],[Name PFI/CDD]]="","-",VLOOKUP(Tableau119[[#This Row],[Name PFI/CDD]],Plant_AILN!I:J,2,FALSE))</f>
        <v>90016600</v>
      </c>
      <c r="AO43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3" s="110" t="e">
        <f>VLOOKUP(Tableau119[[#This Row],[Key(POD -PFI- Usine)]],'DATA Consignee'!A:J,10,FALSE)</f>
        <v>#N/A</v>
      </c>
      <c r="AR433" s="81" t="e">
        <f>VLOOKUP(Tableau119[[#This Row],[Key(POD -PFI- Usine)]],'DATA Consignee'!A:N,14,FALSE)</f>
        <v>#N/A</v>
      </c>
      <c r="AS43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3" s="81">
        <f>Tableau119[[#This Row],[Transit time]]+Tableau119[[#This Row],[Time for security]]+Tableau119[[#This Row],[Time for security2 buffer]]</f>
        <v>0</v>
      </c>
      <c r="AV4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3" s="50" t="e">
        <f>Tableau119[[#This Row],[Leadtime SI2C]]+Tableau119[[#This Row],[First Receipt Days]]-Tableau119[[#This Row],[Day Customer Order]]+1</f>
        <v>#N/A</v>
      </c>
      <c r="AX433" s="119" t="e">
        <f>IF(Tableau119[[#This Row],[Name ILN]]&lt;&gt;"SFK Freight Forwarder",Tableau119[[#This Row],[Cust. Leadtime]],Tableau119[[#This Row],[Leadtime SI2C]])</f>
        <v>#N/A</v>
      </c>
      <c r="AY433" s="51" t="b">
        <f>_xlfn.XLOOKUP(Tableau119[[#This Row],[Key(ID-date)]],'DATA BTO'!S:S,'DATA BTO'!P:P,FALSE)</f>
        <v>0</v>
      </c>
      <c r="AZ433" s="388">
        <v>46142</v>
      </c>
      <c r="BA433" s="81"/>
    </row>
    <row r="434" spans="2:53">
      <c r="B434" s="66" t="str">
        <f>_xlfn.CONCAT(Tableau119[[#This Row],[Name ILN]],"-",Tableau119[[#This Row],[Name Shipper]],"-",Tableau119[[#This Row],[Name Site]])</f>
        <v>ILN Cordoba-ILN Cordoba-CLEON</v>
      </c>
      <c r="C434" s="66" t="str">
        <f>_xlfn.CONCAT(Tableau119[[#This Row],[Compte ILN]],"-",Tableau119[[#This Row],[Compte Shipper]],"-",Tableau119[[#This Row],[POL]],"-",Tableau119[[#This Row],[Compte Consignee]])</f>
        <v>26376-26376-FALSO-92000100</v>
      </c>
      <c r="D434" s="66" t="str">
        <f>_xlfn.CONCAT(Tableau119[[#This Row],[Compte ILN]],"-",Tableau119[[#This Row],[Compte Shipper]],"-",Tableau119[[#This Row],[POL]])</f>
        <v>26376-26376-FALSO</v>
      </c>
      <c r="E434" s="130" t="str">
        <f>_xlfn.CONCAT(Tableau119[[#This Row],[POL]],"-",Tableau119[[#This Row],[Carrier]],"-",Tableau119[[#This Row],[POD]])</f>
        <v>FALSO-FALSO-FALSO</v>
      </c>
      <c r="F434" s="66" t="str">
        <f>_xlfn.CONCAT(Tableau119[[#This Row],[ID]],"-","Actif")</f>
        <v>162-Actif</v>
      </c>
      <c r="G434" s="66" t="str">
        <f>_xlfn.CONCAT(Tableau119[[#This Row],[POD]],"-",Tableau119[[#This Row],[Code PFI]],"-",Tableau119[[#This Row],[Compte Consignee]])</f>
        <v>FALSO-90016600-92000100</v>
      </c>
      <c r="H4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CordobaFALSOCLEON</v>
      </c>
      <c r="I434" s="434" t="str">
        <f>_xlfn.CONCAT(Tableau119[[#This Row],[ID]],"-",Tableau119[[#This Row],[Expiration Date]])</f>
        <v>162-46142</v>
      </c>
      <c r="J4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Cordoba-ILN Cordoba-162-FALSO-FALSO-FALSO-PFI FR-46142</v>
      </c>
      <c r="K434" s="119" t="str">
        <f ca="1">IF(COUNTIF(J:J,Tableau119[[#This Row],[Plant-ILN-shipper-POL-Carrier-POD-PFI]])=1,"Non","Oui")</f>
        <v>Non</v>
      </c>
      <c r="L434" s="440" t="str">
        <f>VLOOKUP(Tableau119[[#This Row],[Name Site]],Plant_AILN!A:D,4,FALSE)</f>
        <v>FRANCE</v>
      </c>
      <c r="M434" s="10" t="s">
        <v>183</v>
      </c>
      <c r="N434" s="454">
        <f>VLOOKUP(Tableau119[[#This Row],[Name Site]],Plant_AILN!A:C,3,FALSE)</f>
        <v>92000100</v>
      </c>
      <c r="O434" s="55">
        <f>IF(Tableau119[[#This Row],[Name PFI/CDD]]="PFI VLL",2,VLOOKUP(Tableau119[[#This Row],[Compte Consignee]],Order!C:D,2,FALSE))</f>
        <v>7</v>
      </c>
      <c r="P434" s="124" t="s">
        <v>199</v>
      </c>
      <c r="Q434" s="365">
        <f>VLOOKUP(Tableau119[[#This Row],[Name ILN]],Plant_AILN!F:G,2,FALSE)</f>
        <v>26376</v>
      </c>
      <c r="R434" s="50">
        <f>VLOOKUP(Tableau119[[#This Row],[Compte ILN]],'DATA ILN'!D:I,6,FALSE)</f>
        <v>9</v>
      </c>
      <c r="S434" s="50" t="e">
        <f>IFERROR(VLOOKUP(Tableau119[[#This Row],[Key(Compte ILN - shipper - POL - plant)]],'DATA ILN'!A:J,10,FALSE),VLOOKUP(Tableau119[[#This Row],[Key(Compte ILN - shipper - POL)]],'DATA ILN'!B:J,9,FALSE))</f>
        <v>#N/A</v>
      </c>
      <c r="T434" s="50" t="e">
        <f>IFERROR(VLOOKUP(Tableau119[[#This Row],[Key(Compte ILN - shipper - POL - plant)]],'DATA ILN'!A:K,11,FALSE),VLOOKUP(Tableau119[[#This Row],[Key(Compte ILN - shipper - POL)]],'DATA ILN'!B:K,10,FALSE))</f>
        <v>#N/A</v>
      </c>
      <c r="U434" s="50" t="e">
        <f>IFERROR(VLOOKUP(Tableau119[[#This Row],[Key(Compte ILN - shipper - POL - plant)]],'DATA ILN'!A:L,12,FALSE),VLOOKUP(Tableau119[[#This Row],[Key(Compte ILN - shipper - POL)]],'DATA ILN'!B:L,11,FALSE))</f>
        <v>#N/A</v>
      </c>
      <c r="V434" s="50" t="e">
        <f>Tableau119[[#This Row],[Day ILN Order]]+Tableau119[[#This Row],[Delivery time to ILN/Shipper]]-1</f>
        <v>#N/A</v>
      </c>
      <c r="W434" s="50" t="e">
        <f>IFERROR(VLOOKUP(Tableau119[[#This Row],[Key(Compte ILN - shipper - POL - plant)]],'DATA ILN'!A:N,14,FALSE),VLOOKUP(Tableau119[[#This Row],[Key(Compte ILN - shipper - POL)]],'DATA ILN'!B:N,13,FALSE))</f>
        <v>#N/A</v>
      </c>
      <c r="X434" s="50" t="e">
        <f>IFERROR(VLOOKUP(Tableau119[[#This Row],[Key(Compte ILN - shipper - POL - plant)]],'DATA ILN'!A:P,16,FALSE),VLOOKUP(Tableau119[[#This Row],[Key(Compte ILN - shipper - POL)]],'DATA ILN'!B:P,15,FALSE))</f>
        <v>#N/A</v>
      </c>
      <c r="Y434" s="284" t="s">
        <v>199</v>
      </c>
      <c r="Z434" s="430">
        <f>IFERROR(VLOOKUP(Tableau119[[#This Row],[Name Shipper]],Plant_AILN!L:M,2,FALSE),0)</f>
        <v>26376</v>
      </c>
      <c r="AA434" s="406">
        <v>162</v>
      </c>
      <c r="AB434" s="396" t="b">
        <f>_xlfn.XLOOKUP(Tableau119[[#This Row],[Key(ID-date)]],'DATA BTO'!S:S,'DATA BTO'!E:E,FALSE)</f>
        <v>0</v>
      </c>
      <c r="AC434" s="3" t="b">
        <f>_xlfn.XLOOKUP(Tableau119[[#This Row],[Key(ID-date)]],'DATA BTO'!S:S,'DATA BTO'!F:F,FALSE)</f>
        <v>0</v>
      </c>
      <c r="AD434" s="50" t="b">
        <f>_xlfn.XLOOKUP(Tableau119[[#This Row],[Key(ID-date)]],'DATA BTO'!S:S,'DATA BTO'!G:G,FALSE)</f>
        <v>0</v>
      </c>
      <c r="AE434" s="50" t="b">
        <f>_xlfn.XLOOKUP(Tableau119[[#This Row],[Key(ID-date)]],'DATA BTO'!S:S,'DATA BTO'!H:H,FALSE)</f>
        <v>0</v>
      </c>
      <c r="AF434" s="447" t="e">
        <f>IF(Tableau119[[#This Row],[First Day to POL]]&lt;=Tableau119[[#This Row],[Day Cut Off]],Tableau119[[#This Row],[Day ETD]],Tableau119[[#This Row],[Day ETD]]+7)</f>
        <v>#N/A</v>
      </c>
      <c r="AG434" s="50" t="b">
        <f>_xlfn.XLOOKUP(Tableau119[[#This Row],[Key(ID-date)]],'DATA BTO'!S:S,'DATA BTO'!I:I,FALSE)</f>
        <v>0</v>
      </c>
      <c r="AH434" s="3" t="b">
        <f>_xlfn.XLOOKUP(Tableau119[[#This Row],[Key(ID-date)]],'DATA BTO'!S:S,'DATA BTO'!J:J,FALSE)</f>
        <v>0</v>
      </c>
      <c r="AI434" s="3" t="b">
        <f>_xlfn.XLOOKUP(Tableau119[[#This Row],[Key(ID-date)]],'DATA BTO'!S:S,'DATA BTO'!K:K,FALSE)</f>
        <v>0</v>
      </c>
      <c r="AJ434" s="50" t="b">
        <f>_xlfn.XLOOKUP(Tableau119[[#This Row],[Key(ID-date)]],'DATA BTO'!S:S,'DATA BTO'!L:L,FALSE)</f>
        <v>0</v>
      </c>
      <c r="AK434" s="53" t="b">
        <f>_xlfn.XLOOKUP(Tableau119[[#This Row],[Key(ID-date)]],'DATA BTO'!S:S,'DATA BTO'!N:N,FALSE)</f>
        <v>0</v>
      </c>
      <c r="AL434" s="54" t="e">
        <f>VLOOKUP(Tableau119[[#This Row],[Key(POD -PFI- Usine)]],'DATA Consignee'!A:F,6,FALSE)</f>
        <v>#N/A</v>
      </c>
      <c r="AM434" s="284" t="s">
        <v>270</v>
      </c>
      <c r="AN434" s="376">
        <f>IF(Tableau119[[#This Row],[Name PFI/CDD]]="","-",VLOOKUP(Tableau119[[#This Row],[Name PFI/CDD]],Plant_AILN!I:J,2,FALSE))</f>
        <v>90016600</v>
      </c>
      <c r="AO4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4" s="2" t="e">
        <f>VLOOKUP(Tableau119[[#This Row],[Key(POD -PFI- Usine)]],'DATA Consignee'!A:J,10,FALSE)</f>
        <v>#N/A</v>
      </c>
      <c r="AR434" s="50" t="e">
        <f>VLOOKUP(Tableau119[[#This Row],[Key(POD -PFI- Usine)]],'DATA Consignee'!A:N,14,FALSE)</f>
        <v>#N/A</v>
      </c>
      <c r="AS4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4" s="50">
        <f>Tableau119[[#This Row],[Transit time]]+Tableau119[[#This Row],[Time for security]]+Tableau119[[#This Row],[Time for security2 buffer]]</f>
        <v>0</v>
      </c>
      <c r="AV4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4" s="50" t="e">
        <f>Tableau119[[#This Row],[Leadtime SI2C]]+Tableau119[[#This Row],[First Receipt Days]]-Tableau119[[#This Row],[Day Customer Order]]+1</f>
        <v>#N/A</v>
      </c>
      <c r="AX434" s="119" t="e">
        <f>IF(Tableau119[[#This Row],[Name ILN]]&lt;&gt;"SFK Freight Forwarder",Tableau119[[#This Row],[Cust. Leadtime]],Tableau119[[#This Row],[Leadtime SI2C]])</f>
        <v>#N/A</v>
      </c>
      <c r="AY434" s="51" t="b">
        <f>_xlfn.XLOOKUP(Tableau119[[#This Row],[Key(ID-date)]],'DATA BTO'!S:S,'DATA BTO'!P:P,FALSE)</f>
        <v>0</v>
      </c>
      <c r="AZ434" s="338">
        <v>46142</v>
      </c>
      <c r="BA434" s="50"/>
    </row>
    <row r="435" spans="2:53">
      <c r="B435" s="66" t="str">
        <f>_xlfn.CONCAT(Tableau119[[#This Row],[Name ILN]],"-",Tableau119[[#This Row],[Name Shipper]],"-",Tableau119[[#This Row],[Name Site]])</f>
        <v>ILN Cordoba-ILN Cordoba-DOUAI</v>
      </c>
      <c r="C435" s="66" t="str">
        <f>_xlfn.CONCAT(Tableau119[[#This Row],[Compte ILN]],"-",Tableau119[[#This Row],[Compte Shipper]],"-",Tableau119[[#This Row],[POL]],"-",Tableau119[[#This Row],[Compte Consignee]])</f>
        <v>26376-26376-FALSO-90019100</v>
      </c>
      <c r="D435" s="66" t="str">
        <f>_xlfn.CONCAT(Tableau119[[#This Row],[Compte ILN]],"-",Tableau119[[#This Row],[Compte Shipper]],"-",Tableau119[[#This Row],[POL]])</f>
        <v>26376-26376-FALSO</v>
      </c>
      <c r="E435" s="130" t="str">
        <f>_xlfn.CONCAT(Tableau119[[#This Row],[POL]],"-",Tableau119[[#This Row],[Carrier]],"-",Tableau119[[#This Row],[POD]])</f>
        <v>FALSO-FALSO-FALSO</v>
      </c>
      <c r="F435" s="66" t="str">
        <f>_xlfn.CONCAT(Tableau119[[#This Row],[ID]],"-","Actif")</f>
        <v>162-Actif</v>
      </c>
      <c r="G435" s="66" t="str">
        <f>_xlfn.CONCAT(Tableau119[[#This Row],[POD]],"-",Tableau119[[#This Row],[Code PFI]],"-",Tableau119[[#This Row],[Compte Consignee]])</f>
        <v>FALSO-90016600-90019100</v>
      </c>
      <c r="H4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CordobaFALSODOUAI</v>
      </c>
      <c r="I435" s="434" t="str">
        <f>_xlfn.CONCAT(Tableau119[[#This Row],[ID]],"-",Tableau119[[#This Row],[Expiration Date]])</f>
        <v>162-46142</v>
      </c>
      <c r="J4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Cordoba-ILN Cordoba-162-FALSO-FALSO-FALSO-CDD FR-46142</v>
      </c>
      <c r="K435" s="119" t="str">
        <f ca="1">IF(COUNTIF(J:J,Tableau119[[#This Row],[Plant-ILN-shipper-POL-Carrier-POD-PFI]])=1,"Non","Oui")</f>
        <v>Non</v>
      </c>
      <c r="L435" s="440" t="str">
        <f>VLOOKUP(Tableau119[[#This Row],[Name Site]],Plant_AILN!A:D,4,FALSE)</f>
        <v>FRANCE</v>
      </c>
      <c r="M435" s="10" t="s">
        <v>188</v>
      </c>
      <c r="N435" s="454">
        <f>VLOOKUP(Tableau119[[#This Row],[Name Site]],Plant_AILN!A:C,3,FALSE)</f>
        <v>90019100</v>
      </c>
      <c r="O435" s="55">
        <f>IF(Tableau119[[#This Row],[Name PFI/CDD]]="PFI VLL",2,VLOOKUP(Tableau119[[#This Row],[Compte Consignee]],Order!C:D,2,FALSE))</f>
        <v>7</v>
      </c>
      <c r="P435" s="124" t="s">
        <v>199</v>
      </c>
      <c r="Q435" s="365">
        <f>VLOOKUP(Tableau119[[#This Row],[Name ILN]],Plant_AILN!F:G,2,FALSE)</f>
        <v>26376</v>
      </c>
      <c r="R435" s="50">
        <f>VLOOKUP(Tableau119[[#This Row],[Compte ILN]],'DATA ILN'!D:I,6,FALSE)</f>
        <v>9</v>
      </c>
      <c r="S435" s="50" t="e">
        <f>IFERROR(VLOOKUP(Tableau119[[#This Row],[Key(Compte ILN - shipper - POL - plant)]],'DATA ILN'!A:J,10,FALSE),VLOOKUP(Tableau119[[#This Row],[Key(Compte ILN - shipper - POL)]],'DATA ILN'!B:J,9,FALSE))</f>
        <v>#N/A</v>
      </c>
      <c r="T435" s="50" t="e">
        <f>IFERROR(VLOOKUP(Tableau119[[#This Row],[Key(Compte ILN - shipper - POL - plant)]],'DATA ILN'!A:K,11,FALSE),VLOOKUP(Tableau119[[#This Row],[Key(Compte ILN - shipper - POL)]],'DATA ILN'!B:K,10,FALSE))</f>
        <v>#N/A</v>
      </c>
      <c r="U435" s="50" t="e">
        <f>IFERROR(VLOOKUP(Tableau119[[#This Row],[Key(Compte ILN - shipper - POL - plant)]],'DATA ILN'!A:L,12,FALSE),VLOOKUP(Tableau119[[#This Row],[Key(Compte ILN - shipper - POL)]],'DATA ILN'!B:L,11,FALSE))</f>
        <v>#N/A</v>
      </c>
      <c r="V435" s="50" t="e">
        <f>Tableau119[[#This Row],[Day ILN Order]]+Tableau119[[#This Row],[Delivery time to ILN/Shipper]]-1</f>
        <v>#N/A</v>
      </c>
      <c r="W435" s="50" t="e">
        <f>IFERROR(VLOOKUP(Tableau119[[#This Row],[Key(Compte ILN - shipper - POL - plant)]],'DATA ILN'!A:N,14,FALSE),VLOOKUP(Tableau119[[#This Row],[Key(Compte ILN - shipper - POL)]],'DATA ILN'!B:N,13,FALSE))</f>
        <v>#N/A</v>
      </c>
      <c r="X435" s="50" t="e">
        <f>IFERROR(VLOOKUP(Tableau119[[#This Row],[Key(Compte ILN - shipper - POL - plant)]],'DATA ILN'!A:P,16,FALSE),VLOOKUP(Tableau119[[#This Row],[Key(Compte ILN - shipper - POL)]],'DATA ILN'!B:P,15,FALSE))</f>
        <v>#N/A</v>
      </c>
      <c r="Y435" s="284" t="s">
        <v>199</v>
      </c>
      <c r="Z435" s="430">
        <f>IFERROR(VLOOKUP(Tableau119[[#This Row],[Name Shipper]],Plant_AILN!L:M,2,FALSE),0)</f>
        <v>26376</v>
      </c>
      <c r="AA435" s="406">
        <v>162</v>
      </c>
      <c r="AB435" s="396" t="b">
        <f>_xlfn.XLOOKUP(Tableau119[[#This Row],[Key(ID-date)]],'DATA BTO'!S:S,'DATA BTO'!E:E,FALSE)</f>
        <v>0</v>
      </c>
      <c r="AC435" s="3" t="b">
        <f>_xlfn.XLOOKUP(Tableau119[[#This Row],[Key(ID-date)]],'DATA BTO'!S:S,'DATA BTO'!F:F,FALSE)</f>
        <v>0</v>
      </c>
      <c r="AD435" s="50" t="b">
        <f>_xlfn.XLOOKUP(Tableau119[[#This Row],[Key(ID-date)]],'DATA BTO'!S:S,'DATA BTO'!G:G,FALSE)</f>
        <v>0</v>
      </c>
      <c r="AE435" s="50" t="b">
        <f>_xlfn.XLOOKUP(Tableau119[[#This Row],[Key(ID-date)]],'DATA BTO'!S:S,'DATA BTO'!H:H,FALSE)</f>
        <v>0</v>
      </c>
      <c r="AF435" s="447" t="e">
        <f>IF(Tableau119[[#This Row],[First Day to POL]]&lt;=Tableau119[[#This Row],[Day Cut Off]],Tableau119[[#This Row],[Day ETD]],Tableau119[[#This Row],[Day ETD]]+7)</f>
        <v>#N/A</v>
      </c>
      <c r="AG435" s="50" t="b">
        <f>_xlfn.XLOOKUP(Tableau119[[#This Row],[Key(ID-date)]],'DATA BTO'!S:S,'DATA BTO'!I:I,FALSE)</f>
        <v>0</v>
      </c>
      <c r="AH435" s="3" t="b">
        <f>_xlfn.XLOOKUP(Tableau119[[#This Row],[Key(ID-date)]],'DATA BTO'!S:S,'DATA BTO'!J:J,FALSE)</f>
        <v>0</v>
      </c>
      <c r="AI435" s="3" t="b">
        <f>_xlfn.XLOOKUP(Tableau119[[#This Row],[Key(ID-date)]],'DATA BTO'!S:S,'DATA BTO'!K:K,FALSE)</f>
        <v>0</v>
      </c>
      <c r="AJ435" s="50" t="b">
        <f>_xlfn.XLOOKUP(Tableau119[[#This Row],[Key(ID-date)]],'DATA BTO'!S:S,'DATA BTO'!L:L,FALSE)</f>
        <v>0</v>
      </c>
      <c r="AK435" s="53" t="b">
        <f>_xlfn.XLOOKUP(Tableau119[[#This Row],[Key(ID-date)]],'DATA BTO'!S:S,'DATA BTO'!N:N,FALSE)</f>
        <v>0</v>
      </c>
      <c r="AL435" s="54" t="e">
        <f>VLOOKUP(Tableau119[[#This Row],[Key(POD -PFI- Usine)]],'DATA Consignee'!A:F,6,FALSE)</f>
        <v>#N/A</v>
      </c>
      <c r="AM435" s="284" t="s">
        <v>155</v>
      </c>
      <c r="AN435" s="376">
        <f>IF(Tableau119[[#This Row],[Name PFI/CDD]]="","-",VLOOKUP(Tableau119[[#This Row],[Name PFI/CDD]],Plant_AILN!I:J,2,FALSE))</f>
        <v>90016600</v>
      </c>
      <c r="AO43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5" s="2" t="e">
        <f>VLOOKUP(Tableau119[[#This Row],[Key(POD -PFI- Usine)]],'DATA Consignee'!A:J,10,FALSE)</f>
        <v>#N/A</v>
      </c>
      <c r="AR435" s="50" t="e">
        <f>VLOOKUP(Tableau119[[#This Row],[Key(POD -PFI- Usine)]],'DATA Consignee'!A:N,14,FALSE)</f>
        <v>#N/A</v>
      </c>
      <c r="AS43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5" s="50">
        <f>Tableau119[[#This Row],[Transit time]]+Tableau119[[#This Row],[Time for security]]+Tableau119[[#This Row],[Time for security2 buffer]]</f>
        <v>0</v>
      </c>
      <c r="AV4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5" s="50" t="e">
        <f>Tableau119[[#This Row],[Leadtime SI2C]]+Tableau119[[#This Row],[First Receipt Days]]-Tableau119[[#This Row],[Day Customer Order]]+1</f>
        <v>#N/A</v>
      </c>
      <c r="AX435" s="119" t="e">
        <f>IF(Tableau119[[#This Row],[Name ILN]]&lt;&gt;"SFK Freight Forwarder",Tableau119[[#This Row],[Cust. Leadtime]],Tableau119[[#This Row],[Leadtime SI2C]])</f>
        <v>#N/A</v>
      </c>
      <c r="AY435" s="51" t="b">
        <f>_xlfn.XLOOKUP(Tableau119[[#This Row],[Key(ID-date)]],'DATA BTO'!S:S,'DATA BTO'!P:P,FALSE)</f>
        <v>0</v>
      </c>
      <c r="AZ435" s="338">
        <v>46142</v>
      </c>
      <c r="BA435" s="50"/>
    </row>
    <row r="436" spans="2:53">
      <c r="B436" s="66" t="str">
        <f>_xlfn.CONCAT(Tableau119[[#This Row],[Name ILN]],"-",Tableau119[[#This Row],[Name Shipper]],"-",Tableau119[[#This Row],[Name Site]])</f>
        <v>ILN Cordoba-ILN Cordoba-FLINS</v>
      </c>
      <c r="C436" s="66" t="str">
        <f>_xlfn.CONCAT(Tableau119[[#This Row],[Compte ILN]],"-",Tableau119[[#This Row],[Compte Shipper]],"-",Tableau119[[#This Row],[POL]],"-",Tableau119[[#This Row],[Compte Consignee]])</f>
        <v>26376-26376-FALSO-90015100</v>
      </c>
      <c r="D436" s="66" t="str">
        <f>_xlfn.CONCAT(Tableau119[[#This Row],[Compte ILN]],"-",Tableau119[[#This Row],[Compte Shipper]],"-",Tableau119[[#This Row],[POL]])</f>
        <v>26376-26376-FALSO</v>
      </c>
      <c r="E436" s="130" t="str">
        <f>_xlfn.CONCAT(Tableau119[[#This Row],[POL]],"-",Tableau119[[#This Row],[Carrier]],"-",Tableau119[[#This Row],[POD]])</f>
        <v>FALSO-FALSO-FALSO</v>
      </c>
      <c r="F436" s="66" t="str">
        <f>_xlfn.CONCAT(Tableau119[[#This Row],[ID]],"-","Actif")</f>
        <v>162-Actif</v>
      </c>
      <c r="G436" s="66" t="str">
        <f>_xlfn.CONCAT(Tableau119[[#This Row],[POD]],"-",Tableau119[[#This Row],[Code PFI]],"-",Tableau119[[#This Row],[Compte Consignee]])</f>
        <v>FALSO-90016600-90015100</v>
      </c>
      <c r="H4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CordobaFALSOFLINS</v>
      </c>
      <c r="I436" s="434" t="str">
        <f>_xlfn.CONCAT(Tableau119[[#This Row],[ID]],"-",Tableau119[[#This Row],[Expiration Date]])</f>
        <v>162-46142</v>
      </c>
      <c r="J4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Cordoba-ILN Cordoba-162-FALSO-FALSO-FALSO-PFI FR-46142</v>
      </c>
      <c r="K436" s="119" t="str">
        <f ca="1">IF(COUNTIF(J:J,Tableau119[[#This Row],[Plant-ILN-shipper-POL-Carrier-POD-PFI]])=1,"Non","Oui")</f>
        <v>Non</v>
      </c>
      <c r="L436" s="440" t="str">
        <f>VLOOKUP(Tableau119[[#This Row],[Name Site]],Plant_AILN!A:D,4,FALSE)</f>
        <v>FRANCE</v>
      </c>
      <c r="M436" s="483" t="s">
        <v>209</v>
      </c>
      <c r="N436" s="455">
        <f>VLOOKUP(Tableau119[[#This Row],[Name Site]],Plant_AILN!A:C,3,FALSE)</f>
        <v>90015100</v>
      </c>
      <c r="O436" s="104">
        <f>IF(Tableau119[[#This Row],[Name PFI/CDD]]="PFI VLL",2,VLOOKUP(Tableau119[[#This Row],[Compte Consignee]],Order!C:D,2,FALSE))</f>
        <v>7</v>
      </c>
      <c r="P436" s="126" t="s">
        <v>199</v>
      </c>
      <c r="Q436" s="366">
        <f>VLOOKUP(Tableau119[[#This Row],[Name ILN]],Plant_AILN!F:G,2,FALSE)</f>
        <v>26376</v>
      </c>
      <c r="R436" s="81">
        <f>VLOOKUP(Tableau119[[#This Row],[Compte ILN]],'DATA ILN'!D:I,6,FALSE)</f>
        <v>9</v>
      </c>
      <c r="S436" s="81" t="e">
        <f>IFERROR(VLOOKUP(Tableau119[[#This Row],[Key(Compte ILN - shipper - POL - plant)]],'DATA ILN'!A:J,10,FALSE),VLOOKUP(Tableau119[[#This Row],[Key(Compte ILN - shipper - POL)]],'DATA ILN'!B:J,9,FALSE))</f>
        <v>#N/A</v>
      </c>
      <c r="T436" s="81" t="e">
        <f>IFERROR(VLOOKUP(Tableau119[[#This Row],[Key(Compte ILN - shipper - POL - plant)]],'DATA ILN'!A:K,11,FALSE),VLOOKUP(Tableau119[[#This Row],[Key(Compte ILN - shipper - POL)]],'DATA ILN'!B:K,10,FALSE))</f>
        <v>#N/A</v>
      </c>
      <c r="U436" s="81" t="e">
        <f>IFERROR(VLOOKUP(Tableau119[[#This Row],[Key(Compte ILN - shipper - POL - plant)]],'DATA ILN'!A:L,12,FALSE),VLOOKUP(Tableau119[[#This Row],[Key(Compte ILN - shipper - POL)]],'DATA ILN'!B:L,11,FALSE))</f>
        <v>#N/A</v>
      </c>
      <c r="V436" s="81" t="e">
        <f>Tableau119[[#This Row],[Day ILN Order]]+Tableau119[[#This Row],[Delivery time to ILN/Shipper]]-1</f>
        <v>#N/A</v>
      </c>
      <c r="W436" s="81" t="e">
        <f>IFERROR(VLOOKUP(Tableau119[[#This Row],[Key(Compte ILN - shipper - POL - plant)]],'DATA ILN'!A:N,14,FALSE),VLOOKUP(Tableau119[[#This Row],[Key(Compte ILN - shipper - POL)]],'DATA ILN'!B:N,13,FALSE))</f>
        <v>#N/A</v>
      </c>
      <c r="X436" s="81" t="e">
        <f>IFERROR(VLOOKUP(Tableau119[[#This Row],[Key(Compte ILN - shipper - POL - plant)]],'DATA ILN'!A:P,16,FALSE),VLOOKUP(Tableau119[[#This Row],[Key(Compte ILN - shipper - POL)]],'DATA ILN'!B:P,15,FALSE))</f>
        <v>#N/A</v>
      </c>
      <c r="Y436" s="102" t="s">
        <v>199</v>
      </c>
      <c r="Z436" s="417">
        <f>IFERROR(VLOOKUP(Tableau119[[#This Row],[Name Shipper]],Plant_AILN!L:M,2,FALSE),0)</f>
        <v>26376</v>
      </c>
      <c r="AA436" s="416">
        <v>162</v>
      </c>
      <c r="AB436" s="396" t="b">
        <f>_xlfn.XLOOKUP(Tableau119[[#This Row],[Key(ID-date)]],'DATA BTO'!S:S,'DATA BTO'!E:E,FALSE)</f>
        <v>0</v>
      </c>
      <c r="AC436" s="3" t="b">
        <f>_xlfn.XLOOKUP(Tableau119[[#This Row],[Key(ID-date)]],'DATA BTO'!S:S,'DATA BTO'!F:F,FALSE)</f>
        <v>0</v>
      </c>
      <c r="AD436" s="50" t="b">
        <f>_xlfn.XLOOKUP(Tableau119[[#This Row],[Key(ID-date)]],'DATA BTO'!S:S,'DATA BTO'!G:G,FALSE)</f>
        <v>0</v>
      </c>
      <c r="AE436" s="50" t="b">
        <f>_xlfn.XLOOKUP(Tableau119[[#This Row],[Key(ID-date)]],'DATA BTO'!S:S,'DATA BTO'!H:H,FALSE)</f>
        <v>0</v>
      </c>
      <c r="AF436" s="447" t="e">
        <f>IF(Tableau119[[#This Row],[First Day to POL]]&lt;=Tableau119[[#This Row],[Day Cut Off]],Tableau119[[#This Row],[Day ETD]],Tableau119[[#This Row],[Day ETD]]+7)</f>
        <v>#N/A</v>
      </c>
      <c r="AG436" s="50" t="b">
        <f>_xlfn.XLOOKUP(Tableau119[[#This Row],[Key(ID-date)]],'DATA BTO'!S:S,'DATA BTO'!I:I,FALSE)</f>
        <v>0</v>
      </c>
      <c r="AH436" s="3" t="b">
        <f>_xlfn.XLOOKUP(Tableau119[[#This Row],[Key(ID-date)]],'DATA BTO'!S:S,'DATA BTO'!J:J,FALSE)</f>
        <v>0</v>
      </c>
      <c r="AI436" s="3" t="b">
        <f>_xlfn.XLOOKUP(Tableau119[[#This Row],[Key(ID-date)]],'DATA BTO'!S:S,'DATA BTO'!K:K,FALSE)</f>
        <v>0</v>
      </c>
      <c r="AJ436" s="50" t="b">
        <f>_xlfn.XLOOKUP(Tableau119[[#This Row],[Key(ID-date)]],'DATA BTO'!S:S,'DATA BTO'!L:L,FALSE)</f>
        <v>0</v>
      </c>
      <c r="AK436" s="53" t="b">
        <f>_xlfn.XLOOKUP(Tableau119[[#This Row],[Key(ID-date)]],'DATA BTO'!S:S,'DATA BTO'!N:N,FALSE)</f>
        <v>0</v>
      </c>
      <c r="AL436" s="54" t="e">
        <f>VLOOKUP(Tableau119[[#This Row],[Key(POD -PFI- Usine)]],'DATA Consignee'!A:F,6,FALSE)</f>
        <v>#N/A</v>
      </c>
      <c r="AM436" s="102" t="s">
        <v>270</v>
      </c>
      <c r="AN436" s="375">
        <f>IF(Tableau119[[#This Row],[Name PFI/CDD]]="","-",VLOOKUP(Tableau119[[#This Row],[Name PFI/CDD]],Plant_AILN!I:J,2,FALSE))</f>
        <v>90016600</v>
      </c>
      <c r="AO43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6" s="110" t="e">
        <f>VLOOKUP(Tableau119[[#This Row],[Key(POD -PFI- Usine)]],'DATA Consignee'!A:J,10,FALSE)</f>
        <v>#N/A</v>
      </c>
      <c r="AR436" s="81" t="e">
        <f>VLOOKUP(Tableau119[[#This Row],[Key(POD -PFI- Usine)]],'DATA Consignee'!A:N,14,FALSE)</f>
        <v>#N/A</v>
      </c>
      <c r="AS43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6" s="81">
        <f>Tableau119[[#This Row],[Transit time]]+Tableau119[[#This Row],[Time for security]]+Tableau119[[#This Row],[Time for security2 buffer]]</f>
        <v>0</v>
      </c>
      <c r="AV4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6" s="50" t="e">
        <f>Tableau119[[#This Row],[Leadtime SI2C]]+Tableau119[[#This Row],[First Receipt Days]]-Tableau119[[#This Row],[Day Customer Order]]+1</f>
        <v>#N/A</v>
      </c>
      <c r="AX436" s="119" t="e">
        <f>IF(Tableau119[[#This Row],[Name ILN]]&lt;&gt;"SFK Freight Forwarder",Tableau119[[#This Row],[Cust. Leadtime]],Tableau119[[#This Row],[Leadtime SI2C]])</f>
        <v>#N/A</v>
      </c>
      <c r="AY436" s="51" t="b">
        <f>_xlfn.XLOOKUP(Tableau119[[#This Row],[Key(ID-date)]],'DATA BTO'!S:S,'DATA BTO'!P:P,FALSE)</f>
        <v>0</v>
      </c>
      <c r="AZ436" s="388">
        <v>46142</v>
      </c>
      <c r="BA436" s="81"/>
    </row>
    <row r="437" spans="2:53">
      <c r="B437" s="66" t="str">
        <f>_xlfn.CONCAT(Tableau119[[#This Row],[Name ILN]],"-",Tableau119[[#This Row],[Name Shipper]],"-",Tableau119[[#This Row],[Name Site]])</f>
        <v>ILN Cordoba-ILN Cordoba-MAUBEUGE</v>
      </c>
      <c r="C437" s="66" t="str">
        <f>_xlfn.CONCAT(Tableau119[[#This Row],[Compte ILN]],"-",Tableau119[[#This Row],[Compte Shipper]],"-",Tableau119[[#This Row],[POL]],"-",Tableau119[[#This Row],[Compte Consignee]])</f>
        <v>26376-26376-FALSO-90016200</v>
      </c>
      <c r="D437" s="66" t="str">
        <f>_xlfn.CONCAT(Tableau119[[#This Row],[Compte ILN]],"-",Tableau119[[#This Row],[Compte Shipper]],"-",Tableau119[[#This Row],[POL]])</f>
        <v>26376-26376-FALSO</v>
      </c>
      <c r="E437" s="130" t="str">
        <f>_xlfn.CONCAT(Tableau119[[#This Row],[POL]],"-",Tableau119[[#This Row],[Carrier]],"-",Tableau119[[#This Row],[POD]])</f>
        <v>FALSO-FALSO-FALSO</v>
      </c>
      <c r="F437" s="66" t="str">
        <f>_xlfn.CONCAT(Tableau119[[#This Row],[ID]],"-","Actif")</f>
        <v>162-Actif</v>
      </c>
      <c r="G437" s="66" t="str">
        <f>_xlfn.CONCAT(Tableau119[[#This Row],[POD]],"-",Tableau119[[#This Row],[Code PFI]],"-",Tableau119[[#This Row],[Compte Consignee]])</f>
        <v>FALSO-90016600-90016200</v>
      </c>
      <c r="H4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CordobaFALSOMAUBEUGE</v>
      </c>
      <c r="I437" s="434" t="str">
        <f>_xlfn.CONCAT(Tableau119[[#This Row],[ID]],"-",Tableau119[[#This Row],[Expiration Date]])</f>
        <v>162-46142</v>
      </c>
      <c r="J4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Cordoba-ILN Cordoba-162-FALSO-FALSO-FALSO-CDD FR-46142</v>
      </c>
      <c r="K437" s="119" t="str">
        <f ca="1">IF(COUNTIF(J:J,Tableau119[[#This Row],[Plant-ILN-shipper-POL-Carrier-POD-PFI]])=1,"Non","Oui")</f>
        <v>Non</v>
      </c>
      <c r="L437" s="440" t="str">
        <f>VLOOKUP(Tableau119[[#This Row],[Name Site]],Plant_AILN!A:D,4,FALSE)</f>
        <v>FRANCE</v>
      </c>
      <c r="M437" s="10" t="s">
        <v>210</v>
      </c>
      <c r="N437" s="454">
        <f>VLOOKUP(Tableau119[[#This Row],[Name Site]],Plant_AILN!A:C,3,FALSE)</f>
        <v>90016200</v>
      </c>
      <c r="O437" s="55">
        <f>IF(Tableau119[[#This Row],[Name PFI/CDD]]="PFI VLL",2,VLOOKUP(Tableau119[[#This Row],[Compte Consignee]],Order!C:D,2,FALSE))</f>
        <v>7</v>
      </c>
      <c r="P437" s="124" t="s">
        <v>199</v>
      </c>
      <c r="Q437" s="365">
        <f>VLOOKUP(Tableau119[[#This Row],[Name ILN]],Plant_AILN!F:G,2,FALSE)</f>
        <v>26376</v>
      </c>
      <c r="R437" s="50">
        <f>VLOOKUP(Tableau119[[#This Row],[Compte ILN]],'DATA ILN'!D:I,6,FALSE)</f>
        <v>9</v>
      </c>
      <c r="S437" s="50" t="e">
        <f>IFERROR(VLOOKUP(Tableau119[[#This Row],[Key(Compte ILN - shipper - POL - plant)]],'DATA ILN'!A:J,10,FALSE),VLOOKUP(Tableau119[[#This Row],[Key(Compte ILN - shipper - POL)]],'DATA ILN'!B:J,9,FALSE))</f>
        <v>#N/A</v>
      </c>
      <c r="T437" s="50" t="e">
        <f>IFERROR(VLOOKUP(Tableau119[[#This Row],[Key(Compte ILN - shipper - POL - plant)]],'DATA ILN'!A:K,11,FALSE),VLOOKUP(Tableau119[[#This Row],[Key(Compte ILN - shipper - POL)]],'DATA ILN'!B:K,10,FALSE))</f>
        <v>#N/A</v>
      </c>
      <c r="U437" s="50" t="e">
        <f>IFERROR(VLOOKUP(Tableau119[[#This Row],[Key(Compte ILN - shipper - POL - plant)]],'DATA ILN'!A:L,12,FALSE),VLOOKUP(Tableau119[[#This Row],[Key(Compte ILN - shipper - POL)]],'DATA ILN'!B:L,11,FALSE))</f>
        <v>#N/A</v>
      </c>
      <c r="V437" s="50" t="e">
        <f>Tableau119[[#This Row],[Day ILN Order]]+Tableau119[[#This Row],[Delivery time to ILN/Shipper]]-1</f>
        <v>#N/A</v>
      </c>
      <c r="W437" s="50" t="e">
        <f>IFERROR(VLOOKUP(Tableau119[[#This Row],[Key(Compte ILN - shipper - POL - plant)]],'DATA ILN'!A:N,14,FALSE),VLOOKUP(Tableau119[[#This Row],[Key(Compte ILN - shipper - POL)]],'DATA ILN'!B:N,13,FALSE))</f>
        <v>#N/A</v>
      </c>
      <c r="X437" s="50" t="e">
        <f>IFERROR(VLOOKUP(Tableau119[[#This Row],[Key(Compte ILN - shipper - POL - plant)]],'DATA ILN'!A:P,16,FALSE),VLOOKUP(Tableau119[[#This Row],[Key(Compte ILN - shipper - POL)]],'DATA ILN'!B:P,15,FALSE))</f>
        <v>#N/A</v>
      </c>
      <c r="Y437" s="284" t="s">
        <v>199</v>
      </c>
      <c r="Z437" s="430">
        <f>IFERROR(VLOOKUP(Tableau119[[#This Row],[Name Shipper]],Plant_AILN!L:M,2,FALSE),0)</f>
        <v>26376</v>
      </c>
      <c r="AA437" s="406">
        <v>162</v>
      </c>
      <c r="AB437" s="396" t="b">
        <f>_xlfn.XLOOKUP(Tableau119[[#This Row],[Key(ID-date)]],'DATA BTO'!S:S,'DATA BTO'!E:E,FALSE)</f>
        <v>0</v>
      </c>
      <c r="AC437" s="3" t="b">
        <f>_xlfn.XLOOKUP(Tableau119[[#This Row],[Key(ID-date)]],'DATA BTO'!S:S,'DATA BTO'!F:F,FALSE)</f>
        <v>0</v>
      </c>
      <c r="AD437" s="50" t="b">
        <f>_xlfn.XLOOKUP(Tableau119[[#This Row],[Key(ID-date)]],'DATA BTO'!S:S,'DATA BTO'!G:G,FALSE)</f>
        <v>0</v>
      </c>
      <c r="AE437" s="50" t="b">
        <f>_xlfn.XLOOKUP(Tableau119[[#This Row],[Key(ID-date)]],'DATA BTO'!S:S,'DATA BTO'!H:H,FALSE)</f>
        <v>0</v>
      </c>
      <c r="AF437" s="447" t="e">
        <f>IF(Tableau119[[#This Row],[First Day to POL]]&lt;=Tableau119[[#This Row],[Day Cut Off]],Tableau119[[#This Row],[Day ETD]],Tableau119[[#This Row],[Day ETD]]+7)</f>
        <v>#N/A</v>
      </c>
      <c r="AG437" s="50" t="b">
        <f>_xlfn.XLOOKUP(Tableau119[[#This Row],[Key(ID-date)]],'DATA BTO'!S:S,'DATA BTO'!I:I,FALSE)</f>
        <v>0</v>
      </c>
      <c r="AH437" s="3" t="b">
        <f>_xlfn.XLOOKUP(Tableau119[[#This Row],[Key(ID-date)]],'DATA BTO'!S:S,'DATA BTO'!J:J,FALSE)</f>
        <v>0</v>
      </c>
      <c r="AI437" s="3" t="b">
        <f>_xlfn.XLOOKUP(Tableau119[[#This Row],[Key(ID-date)]],'DATA BTO'!S:S,'DATA BTO'!K:K,FALSE)</f>
        <v>0</v>
      </c>
      <c r="AJ437" s="50" t="b">
        <f>_xlfn.XLOOKUP(Tableau119[[#This Row],[Key(ID-date)]],'DATA BTO'!S:S,'DATA BTO'!L:L,FALSE)</f>
        <v>0</v>
      </c>
      <c r="AK437" s="53" t="b">
        <f>_xlfn.XLOOKUP(Tableau119[[#This Row],[Key(ID-date)]],'DATA BTO'!S:S,'DATA BTO'!N:N,FALSE)</f>
        <v>0</v>
      </c>
      <c r="AL437" s="54" t="e">
        <f>VLOOKUP(Tableau119[[#This Row],[Key(POD -PFI- Usine)]],'DATA Consignee'!A:F,6,FALSE)</f>
        <v>#N/A</v>
      </c>
      <c r="AM437" s="284" t="s">
        <v>155</v>
      </c>
      <c r="AN437" s="376">
        <f>IF(Tableau119[[#This Row],[Name PFI/CDD]]="","-",VLOOKUP(Tableau119[[#This Row],[Name PFI/CDD]],Plant_AILN!I:J,2,FALSE))</f>
        <v>90016600</v>
      </c>
      <c r="AO4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7" s="2" t="e">
        <f>VLOOKUP(Tableau119[[#This Row],[Key(POD -PFI- Usine)]],'DATA Consignee'!A:J,10,FALSE)</f>
        <v>#N/A</v>
      </c>
      <c r="AR437" s="50" t="e">
        <f>VLOOKUP(Tableau119[[#This Row],[Key(POD -PFI- Usine)]],'DATA Consignee'!A:N,14,FALSE)</f>
        <v>#N/A</v>
      </c>
      <c r="AS4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7" s="50">
        <f>Tableau119[[#This Row],[Transit time]]+Tableau119[[#This Row],[Time for security]]+Tableau119[[#This Row],[Time for security2 buffer]]</f>
        <v>0</v>
      </c>
      <c r="AV4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7" s="50" t="e">
        <f>Tableau119[[#This Row],[Leadtime SI2C]]+Tableau119[[#This Row],[First Receipt Days]]-Tableau119[[#This Row],[Day Customer Order]]+1</f>
        <v>#N/A</v>
      </c>
      <c r="AX437" s="119" t="e">
        <f>IF(Tableau119[[#This Row],[Name ILN]]&lt;&gt;"SFK Freight Forwarder",Tableau119[[#This Row],[Cust. Leadtime]],Tableau119[[#This Row],[Leadtime SI2C]])</f>
        <v>#N/A</v>
      </c>
      <c r="AY437" s="51" t="b">
        <f>_xlfn.XLOOKUP(Tableau119[[#This Row],[Key(ID-date)]],'DATA BTO'!S:S,'DATA BTO'!P:P,FALSE)</f>
        <v>0</v>
      </c>
      <c r="AZ437" s="338">
        <v>46142</v>
      </c>
      <c r="BA437" s="50"/>
    </row>
    <row r="438" spans="2:53">
      <c r="B438" s="66" t="str">
        <f>_xlfn.CONCAT(Tableau119[[#This Row],[Name ILN]],"-",Tableau119[[#This Row],[Name Shipper]],"-",Tableau119[[#This Row],[Name Site]])</f>
        <v>ILN Cordoba-ILN Cordoba-OYAK MONT</v>
      </c>
      <c r="C438" s="66" t="str">
        <f>_xlfn.CONCAT(Tableau119[[#This Row],[Compte ILN]],"-",Tableau119[[#This Row],[Compte Shipper]],"-",Tableau119[[#This Row],[POL]],"-",Tableau119[[#This Row],[Compte Consignee]])</f>
        <v>26376-26376-FALSO-90017000</v>
      </c>
      <c r="D438" s="66" t="str">
        <f>_xlfn.CONCAT(Tableau119[[#This Row],[Compte ILN]],"-",Tableau119[[#This Row],[Compte Shipper]],"-",Tableau119[[#This Row],[POL]])</f>
        <v>26376-26376-FALSO</v>
      </c>
      <c r="E438" s="130" t="str">
        <f>_xlfn.CONCAT(Tableau119[[#This Row],[POL]],"-",Tableau119[[#This Row],[Carrier]],"-",Tableau119[[#This Row],[POD]])</f>
        <v>FALSO-FALSO-FALSO</v>
      </c>
      <c r="F438" s="66" t="str">
        <f>_xlfn.CONCAT(Tableau119[[#This Row],[ID]],"-","Actif")</f>
        <v>162-Actif</v>
      </c>
      <c r="G438" s="66" t="str">
        <f>_xlfn.CONCAT(Tableau119[[#This Row],[POD]],"-",Tableau119[[#This Row],[Code PFI]],"-",Tableau119[[#This Row],[Compte Consignee]])</f>
        <v>FALSO-90016600-90017000</v>
      </c>
      <c r="H4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CordobaFALSOOYAK MONT</v>
      </c>
      <c r="I438" s="434" t="str">
        <f>_xlfn.CONCAT(Tableau119[[#This Row],[ID]],"-",Tableau119[[#This Row],[Expiration Date]])</f>
        <v>162-46142</v>
      </c>
      <c r="J4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Cordoba-ILN Cordoba-162-FALSO-FALSO-FALSO-PFI FR-46142</v>
      </c>
      <c r="K438" s="119" t="str">
        <f ca="1">IF(COUNTIF(J:J,Tableau119[[#This Row],[Plant-ILN-shipper-POL-Carrier-POD-PFI]])=1,"Non","Oui")</f>
        <v>Non</v>
      </c>
      <c r="L438" s="440" t="str">
        <f>VLOOKUP(Tableau119[[#This Row],[Name Site]],Plant_AILN!A:D,4,FALSE)</f>
        <v>TURKEY</v>
      </c>
      <c r="M438" s="483" t="s">
        <v>173</v>
      </c>
      <c r="N438" s="455">
        <f>VLOOKUP(Tableau119[[#This Row],[Name Site]],Plant_AILN!A:C,3,FALSE)</f>
        <v>90017000</v>
      </c>
      <c r="O438" s="104">
        <f>IF(Tableau119[[#This Row],[Name PFI/CDD]]="PFI VLL",2,VLOOKUP(Tableau119[[#This Row],[Compte Consignee]],Order!C:D,2,FALSE))</f>
        <v>7</v>
      </c>
      <c r="P438" s="126" t="s">
        <v>199</v>
      </c>
      <c r="Q438" s="366">
        <f>VLOOKUP(Tableau119[[#This Row],[Name ILN]],Plant_AILN!F:G,2,FALSE)</f>
        <v>26376</v>
      </c>
      <c r="R438" s="81">
        <f>VLOOKUP(Tableau119[[#This Row],[Compte ILN]],'DATA ILN'!D:I,6,FALSE)</f>
        <v>9</v>
      </c>
      <c r="S438" s="81" t="e">
        <f>IFERROR(VLOOKUP(Tableau119[[#This Row],[Key(Compte ILN - shipper - POL - plant)]],'DATA ILN'!A:J,10,FALSE),VLOOKUP(Tableau119[[#This Row],[Key(Compte ILN - shipper - POL)]],'DATA ILN'!B:J,9,FALSE))</f>
        <v>#N/A</v>
      </c>
      <c r="T438" s="81" t="e">
        <f>IFERROR(VLOOKUP(Tableau119[[#This Row],[Key(Compte ILN - shipper - POL - plant)]],'DATA ILN'!A:K,11,FALSE),VLOOKUP(Tableau119[[#This Row],[Key(Compte ILN - shipper - POL)]],'DATA ILN'!B:K,10,FALSE))</f>
        <v>#N/A</v>
      </c>
      <c r="U438" s="81" t="e">
        <f>IFERROR(VLOOKUP(Tableau119[[#This Row],[Key(Compte ILN - shipper - POL - plant)]],'DATA ILN'!A:L,12,FALSE),VLOOKUP(Tableau119[[#This Row],[Key(Compte ILN - shipper - POL)]],'DATA ILN'!B:L,11,FALSE))</f>
        <v>#N/A</v>
      </c>
      <c r="V438" s="81" t="e">
        <f>Tableau119[[#This Row],[Day ILN Order]]+Tableau119[[#This Row],[Delivery time to ILN/Shipper]]-1</f>
        <v>#N/A</v>
      </c>
      <c r="W438" s="81" t="e">
        <f>IFERROR(VLOOKUP(Tableau119[[#This Row],[Key(Compte ILN - shipper - POL - plant)]],'DATA ILN'!A:N,14,FALSE),VLOOKUP(Tableau119[[#This Row],[Key(Compte ILN - shipper - POL)]],'DATA ILN'!B:N,13,FALSE))</f>
        <v>#N/A</v>
      </c>
      <c r="X438" s="81" t="e">
        <f>IFERROR(VLOOKUP(Tableau119[[#This Row],[Key(Compte ILN - shipper - POL - plant)]],'DATA ILN'!A:P,16,FALSE),VLOOKUP(Tableau119[[#This Row],[Key(Compte ILN - shipper - POL)]],'DATA ILN'!B:P,15,FALSE))</f>
        <v>#N/A</v>
      </c>
      <c r="Y438" s="102" t="s">
        <v>199</v>
      </c>
      <c r="Z438" s="417">
        <f>IFERROR(VLOOKUP(Tableau119[[#This Row],[Name Shipper]],Plant_AILN!L:M,2,FALSE),0)</f>
        <v>26376</v>
      </c>
      <c r="AA438" s="416">
        <v>162</v>
      </c>
      <c r="AB438" s="396" t="b">
        <f>_xlfn.XLOOKUP(Tableau119[[#This Row],[Key(ID-date)]],'DATA BTO'!S:S,'DATA BTO'!E:E,FALSE)</f>
        <v>0</v>
      </c>
      <c r="AC438" s="3" t="b">
        <f>_xlfn.XLOOKUP(Tableau119[[#This Row],[Key(ID-date)]],'DATA BTO'!S:S,'DATA BTO'!F:F,FALSE)</f>
        <v>0</v>
      </c>
      <c r="AD438" s="50" t="b">
        <f>_xlfn.XLOOKUP(Tableau119[[#This Row],[Key(ID-date)]],'DATA BTO'!S:S,'DATA BTO'!G:G,FALSE)</f>
        <v>0</v>
      </c>
      <c r="AE438" s="50" t="b">
        <f>_xlfn.XLOOKUP(Tableau119[[#This Row],[Key(ID-date)]],'DATA BTO'!S:S,'DATA BTO'!H:H,FALSE)</f>
        <v>0</v>
      </c>
      <c r="AF438" s="447" t="e">
        <f>IF(Tableau119[[#This Row],[First Day to POL]]&lt;=Tableau119[[#This Row],[Day Cut Off]],Tableau119[[#This Row],[Day ETD]],Tableau119[[#This Row],[Day ETD]]+7)</f>
        <v>#N/A</v>
      </c>
      <c r="AG438" s="50" t="b">
        <f>_xlfn.XLOOKUP(Tableau119[[#This Row],[Key(ID-date)]],'DATA BTO'!S:S,'DATA BTO'!I:I,FALSE)</f>
        <v>0</v>
      </c>
      <c r="AH438" s="3" t="b">
        <f>_xlfn.XLOOKUP(Tableau119[[#This Row],[Key(ID-date)]],'DATA BTO'!S:S,'DATA BTO'!J:J,FALSE)</f>
        <v>0</v>
      </c>
      <c r="AI438" s="3" t="b">
        <f>_xlfn.XLOOKUP(Tableau119[[#This Row],[Key(ID-date)]],'DATA BTO'!S:S,'DATA BTO'!K:K,FALSE)</f>
        <v>0</v>
      </c>
      <c r="AJ438" s="50" t="b">
        <f>_xlfn.XLOOKUP(Tableau119[[#This Row],[Key(ID-date)]],'DATA BTO'!S:S,'DATA BTO'!L:L,FALSE)</f>
        <v>0</v>
      </c>
      <c r="AK438" s="53" t="b">
        <f>_xlfn.XLOOKUP(Tableau119[[#This Row],[Key(ID-date)]],'DATA BTO'!S:S,'DATA BTO'!N:N,FALSE)</f>
        <v>0</v>
      </c>
      <c r="AL438" s="54" t="e">
        <f>VLOOKUP(Tableau119[[#This Row],[Key(POD -PFI- Usine)]],'DATA Consignee'!A:F,6,FALSE)</f>
        <v>#N/A</v>
      </c>
      <c r="AM438" s="102" t="s">
        <v>270</v>
      </c>
      <c r="AN438" s="375">
        <f>IF(Tableau119[[#This Row],[Name PFI/CDD]]="","-",VLOOKUP(Tableau119[[#This Row],[Name PFI/CDD]],Plant_AILN!I:J,2,FALSE))</f>
        <v>90016600</v>
      </c>
      <c r="AO43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8" s="110" t="e">
        <f>VLOOKUP(Tableau119[[#This Row],[Key(POD -PFI- Usine)]],'DATA Consignee'!A:J,10,FALSE)</f>
        <v>#N/A</v>
      </c>
      <c r="AR438" s="81" t="e">
        <f>VLOOKUP(Tableau119[[#This Row],[Key(POD -PFI- Usine)]],'DATA Consignee'!A:N,14,FALSE)</f>
        <v>#N/A</v>
      </c>
      <c r="AS43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8" s="81">
        <f>Tableau119[[#This Row],[Transit time]]+Tableau119[[#This Row],[Time for security]]+Tableau119[[#This Row],[Time for security2 buffer]]</f>
        <v>0</v>
      </c>
      <c r="AV4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8" s="50" t="e">
        <f>Tableau119[[#This Row],[Leadtime SI2C]]+Tableau119[[#This Row],[First Receipt Days]]-Tableau119[[#This Row],[Day Customer Order]]+1</f>
        <v>#N/A</v>
      </c>
      <c r="AX438" s="119" t="e">
        <f>IF(Tableau119[[#This Row],[Name ILN]]&lt;&gt;"SFK Freight Forwarder",Tableau119[[#This Row],[Cust. Leadtime]],Tableau119[[#This Row],[Leadtime SI2C]])</f>
        <v>#N/A</v>
      </c>
      <c r="AY438" s="51" t="b">
        <f>_xlfn.XLOOKUP(Tableau119[[#This Row],[Key(ID-date)]],'DATA BTO'!S:S,'DATA BTO'!P:P,FALSE)</f>
        <v>0</v>
      </c>
      <c r="AZ438" s="388">
        <v>46142</v>
      </c>
      <c r="BA438" s="81"/>
    </row>
    <row r="439" spans="2:53">
      <c r="B439" s="66" t="str">
        <f>_xlfn.CONCAT(Tableau119[[#This Row],[Name ILN]],"-",Tableau119[[#This Row],[Name Shipper]],"-",Tableau119[[#This Row],[Name Site]])</f>
        <v>ILN Cordoba-ILN Cordoba-REVOZ</v>
      </c>
      <c r="C439" s="66" t="str">
        <f>_xlfn.CONCAT(Tableau119[[#This Row],[Compte ILN]],"-",Tableau119[[#This Row],[Compte Shipper]],"-",Tableau119[[#This Row],[POL]],"-",Tableau119[[#This Row],[Compte Consignee]])</f>
        <v>26376-26376-FALSO-90016700</v>
      </c>
      <c r="D439" s="66" t="str">
        <f>_xlfn.CONCAT(Tableau119[[#This Row],[Compte ILN]],"-",Tableau119[[#This Row],[Compte Shipper]],"-",Tableau119[[#This Row],[POL]])</f>
        <v>26376-26376-FALSO</v>
      </c>
      <c r="E439" s="130" t="str">
        <f>_xlfn.CONCAT(Tableau119[[#This Row],[POL]],"-",Tableau119[[#This Row],[Carrier]],"-",Tableau119[[#This Row],[POD]])</f>
        <v>FALSO-FALSO-FALSO</v>
      </c>
      <c r="F439" s="66" t="str">
        <f>_xlfn.CONCAT(Tableau119[[#This Row],[ID]],"-","Actif")</f>
        <v>162-Actif</v>
      </c>
      <c r="G439" s="66" t="str">
        <f>_xlfn.CONCAT(Tableau119[[#This Row],[POD]],"-",Tableau119[[#This Row],[Code PFI]],"-",Tableau119[[#This Row],[Compte Consignee]])</f>
        <v>FALSO-90016600-90016700</v>
      </c>
      <c r="H4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CordobaFALSOREVOZ</v>
      </c>
      <c r="I439" s="434" t="str">
        <f>_xlfn.CONCAT(Tableau119[[#This Row],[ID]],"-",Tableau119[[#This Row],[Expiration Date]])</f>
        <v>162-46142</v>
      </c>
      <c r="J4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Cordoba-ILN Cordoba-162-FALSO-FALSO-FALSO-PFI FR-46142</v>
      </c>
      <c r="K439" s="119" t="str">
        <f ca="1">IF(COUNTIF(J:J,Tableau119[[#This Row],[Plant-ILN-shipper-POL-Carrier-POD-PFI]])=1,"Non","Oui")</f>
        <v>Non</v>
      </c>
      <c r="L439" s="440" t="str">
        <f>VLOOKUP(Tableau119[[#This Row],[Name Site]],Plant_AILN!A:D,4,FALSE)</f>
        <v>SLOVENIA</v>
      </c>
      <c r="M439" s="10" t="s">
        <v>35</v>
      </c>
      <c r="N439" s="454">
        <f>VLOOKUP(Tableau119[[#This Row],[Name Site]],Plant_AILN!A:C,3,FALSE)</f>
        <v>90016700</v>
      </c>
      <c r="O439" s="55">
        <f>IF(Tableau119[[#This Row],[Name PFI/CDD]]="PFI VLL",2,VLOOKUP(Tableau119[[#This Row],[Compte Consignee]],Order!C:D,2,FALSE))</f>
        <v>7</v>
      </c>
      <c r="P439" s="124" t="s">
        <v>199</v>
      </c>
      <c r="Q439" s="365">
        <f>VLOOKUP(Tableau119[[#This Row],[Name ILN]],Plant_AILN!F:G,2,FALSE)</f>
        <v>26376</v>
      </c>
      <c r="R439" s="50">
        <f>VLOOKUP(Tableau119[[#This Row],[Compte ILN]],'DATA ILN'!D:I,6,FALSE)</f>
        <v>9</v>
      </c>
      <c r="S439" s="50" t="e">
        <f>IFERROR(VLOOKUP(Tableau119[[#This Row],[Key(Compte ILN - shipper - POL - plant)]],'DATA ILN'!A:J,10,FALSE),VLOOKUP(Tableau119[[#This Row],[Key(Compte ILN - shipper - POL)]],'DATA ILN'!B:J,9,FALSE))</f>
        <v>#N/A</v>
      </c>
      <c r="T439" s="50" t="e">
        <f>IFERROR(VLOOKUP(Tableau119[[#This Row],[Key(Compte ILN - shipper - POL - plant)]],'DATA ILN'!A:K,11,FALSE),VLOOKUP(Tableau119[[#This Row],[Key(Compte ILN - shipper - POL)]],'DATA ILN'!B:K,10,FALSE))</f>
        <v>#N/A</v>
      </c>
      <c r="U439" s="50" t="e">
        <f>IFERROR(VLOOKUP(Tableau119[[#This Row],[Key(Compte ILN - shipper - POL - plant)]],'DATA ILN'!A:L,12,FALSE),VLOOKUP(Tableau119[[#This Row],[Key(Compte ILN - shipper - POL)]],'DATA ILN'!B:L,11,FALSE))</f>
        <v>#N/A</v>
      </c>
      <c r="V439" s="50" t="e">
        <f>Tableau119[[#This Row],[Day ILN Order]]+Tableau119[[#This Row],[Delivery time to ILN/Shipper]]-1</f>
        <v>#N/A</v>
      </c>
      <c r="W439" s="50" t="e">
        <f>IFERROR(VLOOKUP(Tableau119[[#This Row],[Key(Compte ILN - shipper - POL - plant)]],'DATA ILN'!A:N,14,FALSE),VLOOKUP(Tableau119[[#This Row],[Key(Compte ILN - shipper - POL)]],'DATA ILN'!B:N,13,FALSE))</f>
        <v>#N/A</v>
      </c>
      <c r="X439" s="50" t="e">
        <f>IFERROR(VLOOKUP(Tableau119[[#This Row],[Key(Compte ILN - shipper - POL - plant)]],'DATA ILN'!A:P,16,FALSE),VLOOKUP(Tableau119[[#This Row],[Key(Compte ILN - shipper - POL)]],'DATA ILN'!B:P,15,FALSE))</f>
        <v>#N/A</v>
      </c>
      <c r="Y439" s="284" t="s">
        <v>199</v>
      </c>
      <c r="Z439" s="430">
        <f>IFERROR(VLOOKUP(Tableau119[[#This Row],[Name Shipper]],Plant_AILN!L:M,2,FALSE),0)</f>
        <v>26376</v>
      </c>
      <c r="AA439" s="406">
        <v>162</v>
      </c>
      <c r="AB439" s="396" t="b">
        <f>_xlfn.XLOOKUP(Tableau119[[#This Row],[Key(ID-date)]],'DATA BTO'!S:S,'DATA BTO'!E:E,FALSE)</f>
        <v>0</v>
      </c>
      <c r="AC439" s="3" t="b">
        <f>_xlfn.XLOOKUP(Tableau119[[#This Row],[Key(ID-date)]],'DATA BTO'!S:S,'DATA BTO'!F:F,FALSE)</f>
        <v>0</v>
      </c>
      <c r="AD439" s="50" t="b">
        <f>_xlfn.XLOOKUP(Tableau119[[#This Row],[Key(ID-date)]],'DATA BTO'!S:S,'DATA BTO'!G:G,FALSE)</f>
        <v>0</v>
      </c>
      <c r="AE439" s="50" t="b">
        <f>_xlfn.XLOOKUP(Tableau119[[#This Row],[Key(ID-date)]],'DATA BTO'!S:S,'DATA BTO'!H:H,FALSE)</f>
        <v>0</v>
      </c>
      <c r="AF439" s="447" t="e">
        <f>IF(Tableau119[[#This Row],[First Day to POL]]&lt;=Tableau119[[#This Row],[Day Cut Off]],Tableau119[[#This Row],[Day ETD]],Tableau119[[#This Row],[Day ETD]]+7)</f>
        <v>#N/A</v>
      </c>
      <c r="AG439" s="50" t="b">
        <f>_xlfn.XLOOKUP(Tableau119[[#This Row],[Key(ID-date)]],'DATA BTO'!S:S,'DATA BTO'!I:I,FALSE)</f>
        <v>0</v>
      </c>
      <c r="AH439" s="3" t="b">
        <f>_xlfn.XLOOKUP(Tableau119[[#This Row],[Key(ID-date)]],'DATA BTO'!S:S,'DATA BTO'!J:J,FALSE)</f>
        <v>0</v>
      </c>
      <c r="AI439" s="3" t="b">
        <f>_xlfn.XLOOKUP(Tableau119[[#This Row],[Key(ID-date)]],'DATA BTO'!S:S,'DATA BTO'!K:K,FALSE)</f>
        <v>0</v>
      </c>
      <c r="AJ439" s="50" t="b">
        <f>_xlfn.XLOOKUP(Tableau119[[#This Row],[Key(ID-date)]],'DATA BTO'!S:S,'DATA BTO'!L:L,FALSE)</f>
        <v>0</v>
      </c>
      <c r="AK439" s="53" t="b">
        <f>_xlfn.XLOOKUP(Tableau119[[#This Row],[Key(ID-date)]],'DATA BTO'!S:S,'DATA BTO'!N:N,FALSE)</f>
        <v>0</v>
      </c>
      <c r="AL439" s="54" t="e">
        <f>VLOOKUP(Tableau119[[#This Row],[Key(POD -PFI- Usine)]],'DATA Consignee'!A:F,6,FALSE)</f>
        <v>#N/A</v>
      </c>
      <c r="AM439" s="284" t="s">
        <v>270</v>
      </c>
      <c r="AN439" s="376">
        <f>IF(Tableau119[[#This Row],[Name PFI/CDD]]="","-",VLOOKUP(Tableau119[[#This Row],[Name PFI/CDD]],Plant_AILN!I:J,2,FALSE))</f>
        <v>90016600</v>
      </c>
      <c r="AO4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39" s="2" t="e">
        <f>VLOOKUP(Tableau119[[#This Row],[Key(POD -PFI- Usine)]],'DATA Consignee'!A:J,10,FALSE)</f>
        <v>#N/A</v>
      </c>
      <c r="AR439" s="50" t="e">
        <f>VLOOKUP(Tableau119[[#This Row],[Key(POD -PFI- Usine)]],'DATA Consignee'!A:N,14,FALSE)</f>
        <v>#N/A</v>
      </c>
      <c r="AS4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39" s="50">
        <f>Tableau119[[#This Row],[Transit time]]+Tableau119[[#This Row],[Time for security]]+Tableau119[[#This Row],[Time for security2 buffer]]</f>
        <v>0</v>
      </c>
      <c r="AV4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39" s="50" t="e">
        <f>Tableau119[[#This Row],[Leadtime SI2C]]+Tableau119[[#This Row],[First Receipt Days]]-Tableau119[[#This Row],[Day Customer Order]]+1</f>
        <v>#N/A</v>
      </c>
      <c r="AX439" s="119" t="e">
        <f>IF(Tableau119[[#This Row],[Name ILN]]&lt;&gt;"SFK Freight Forwarder",Tableau119[[#This Row],[Cust. Leadtime]],Tableau119[[#This Row],[Leadtime SI2C]])</f>
        <v>#N/A</v>
      </c>
      <c r="AY439" s="51" t="b">
        <f>_xlfn.XLOOKUP(Tableau119[[#This Row],[Key(ID-date)]],'DATA BTO'!S:S,'DATA BTO'!P:P,FALSE)</f>
        <v>0</v>
      </c>
      <c r="AZ439" s="338">
        <v>46142</v>
      </c>
      <c r="BA439" s="50"/>
    </row>
    <row r="440" spans="2:53">
      <c r="B440" s="66" t="str">
        <f>_xlfn.CONCAT(Tableau119[[#This Row],[Name ILN]],"-",Tableau119[[#This Row],[Name Shipper]],"-",Tableau119[[#This Row],[Name Site]])</f>
        <v>ILN Cordoba-ILN Cordoba-SANDOUVILLE</v>
      </c>
      <c r="C440" s="66" t="str">
        <f>_xlfn.CONCAT(Tableau119[[#This Row],[Compte ILN]],"-",Tableau119[[#This Row],[Compte Shipper]],"-",Tableau119[[#This Row],[POL]],"-",Tableau119[[#This Row],[Compte Consignee]])</f>
        <v>26376-26376-FALSO-90017100</v>
      </c>
      <c r="D440" s="66" t="str">
        <f>_xlfn.CONCAT(Tableau119[[#This Row],[Compte ILN]],"-",Tableau119[[#This Row],[Compte Shipper]],"-",Tableau119[[#This Row],[POL]])</f>
        <v>26376-26376-FALSO</v>
      </c>
      <c r="E440" s="130" t="str">
        <f>_xlfn.CONCAT(Tableau119[[#This Row],[POL]],"-",Tableau119[[#This Row],[Carrier]],"-",Tableau119[[#This Row],[POD]])</f>
        <v>FALSO-FALSO-FALSO</v>
      </c>
      <c r="F440" s="66" t="str">
        <f>_xlfn.CONCAT(Tableau119[[#This Row],[ID]],"-","Actif")</f>
        <v>162-Actif</v>
      </c>
      <c r="G440" s="66" t="str">
        <f>_xlfn.CONCAT(Tableau119[[#This Row],[POD]],"-",Tableau119[[#This Row],[Code PFI]],"-",Tableau119[[#This Row],[Compte Consignee]])</f>
        <v>FALSO-90016600-90017100</v>
      </c>
      <c r="H4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CordobaFALSOSANDOUVILLE</v>
      </c>
      <c r="I440" s="434" t="str">
        <f>_xlfn.CONCAT(Tableau119[[#This Row],[ID]],"-",Tableau119[[#This Row],[Expiration Date]])</f>
        <v>162-46142</v>
      </c>
      <c r="J4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Cordoba-ILN Cordoba-162-FALSO-FALSO-FALSO-CDD FR-46142</v>
      </c>
      <c r="K440" s="119" t="str">
        <f ca="1">IF(COUNTIF(J:J,Tableau119[[#This Row],[Plant-ILN-shipper-POL-Carrier-POD-PFI]])=1,"Non","Oui")</f>
        <v>Non</v>
      </c>
      <c r="L440" s="440" t="str">
        <f>VLOOKUP(Tableau119[[#This Row],[Name Site]],Plant_AILN!A:D,4,FALSE)</f>
        <v>FRANCE</v>
      </c>
      <c r="M440" s="10" t="s">
        <v>196</v>
      </c>
      <c r="N440" s="454">
        <f>VLOOKUP(Tableau119[[#This Row],[Name Site]],Plant_AILN!A:C,3,FALSE)</f>
        <v>90017100</v>
      </c>
      <c r="O440" s="55">
        <f>IF(Tableau119[[#This Row],[Name PFI/CDD]]="PFI VLL",2,VLOOKUP(Tableau119[[#This Row],[Compte Consignee]],Order!C:D,2,FALSE))</f>
        <v>7</v>
      </c>
      <c r="P440" s="124" t="s">
        <v>199</v>
      </c>
      <c r="Q440" s="365">
        <f>VLOOKUP(Tableau119[[#This Row],[Name ILN]],Plant_AILN!F:G,2,FALSE)</f>
        <v>26376</v>
      </c>
      <c r="R440" s="50">
        <f>VLOOKUP(Tableau119[[#This Row],[Compte ILN]],'DATA ILN'!D:I,6,FALSE)</f>
        <v>9</v>
      </c>
      <c r="S440" s="50" t="e">
        <f>IFERROR(VLOOKUP(Tableau119[[#This Row],[Key(Compte ILN - shipper - POL - plant)]],'DATA ILN'!A:J,10,FALSE),VLOOKUP(Tableau119[[#This Row],[Key(Compte ILN - shipper - POL)]],'DATA ILN'!B:J,9,FALSE))</f>
        <v>#N/A</v>
      </c>
      <c r="T440" s="50" t="e">
        <f>IFERROR(VLOOKUP(Tableau119[[#This Row],[Key(Compte ILN - shipper - POL - plant)]],'DATA ILN'!A:K,11,FALSE),VLOOKUP(Tableau119[[#This Row],[Key(Compte ILN - shipper - POL)]],'DATA ILN'!B:K,10,FALSE))</f>
        <v>#N/A</v>
      </c>
      <c r="U440" s="50" t="e">
        <f>IFERROR(VLOOKUP(Tableau119[[#This Row],[Key(Compte ILN - shipper - POL - plant)]],'DATA ILN'!A:L,12,FALSE),VLOOKUP(Tableau119[[#This Row],[Key(Compte ILN - shipper - POL)]],'DATA ILN'!B:L,11,FALSE))</f>
        <v>#N/A</v>
      </c>
      <c r="V440" s="50" t="e">
        <f>Tableau119[[#This Row],[Day ILN Order]]+Tableau119[[#This Row],[Delivery time to ILN/Shipper]]-1</f>
        <v>#N/A</v>
      </c>
      <c r="W440" s="50" t="e">
        <f>IFERROR(VLOOKUP(Tableau119[[#This Row],[Key(Compte ILN - shipper - POL - plant)]],'DATA ILN'!A:N,14,FALSE),VLOOKUP(Tableau119[[#This Row],[Key(Compte ILN - shipper - POL)]],'DATA ILN'!B:N,13,FALSE))</f>
        <v>#N/A</v>
      </c>
      <c r="X440" s="50" t="e">
        <f>IFERROR(VLOOKUP(Tableau119[[#This Row],[Key(Compte ILN - shipper - POL - plant)]],'DATA ILN'!A:P,16,FALSE),VLOOKUP(Tableau119[[#This Row],[Key(Compte ILN - shipper - POL)]],'DATA ILN'!B:P,15,FALSE))</f>
        <v>#N/A</v>
      </c>
      <c r="Y440" s="284" t="s">
        <v>199</v>
      </c>
      <c r="Z440" s="430">
        <f>IFERROR(VLOOKUP(Tableau119[[#This Row],[Name Shipper]],Plant_AILN!L:M,2,FALSE),0)</f>
        <v>26376</v>
      </c>
      <c r="AA440" s="406">
        <v>162</v>
      </c>
      <c r="AB440" s="396" t="b">
        <f>_xlfn.XLOOKUP(Tableau119[[#This Row],[Key(ID-date)]],'DATA BTO'!S:S,'DATA BTO'!E:E,FALSE)</f>
        <v>0</v>
      </c>
      <c r="AC440" s="3" t="b">
        <f>_xlfn.XLOOKUP(Tableau119[[#This Row],[Key(ID-date)]],'DATA BTO'!S:S,'DATA BTO'!F:F,FALSE)</f>
        <v>0</v>
      </c>
      <c r="AD440" s="50" t="b">
        <f>_xlfn.XLOOKUP(Tableau119[[#This Row],[Key(ID-date)]],'DATA BTO'!S:S,'DATA BTO'!G:G,FALSE)</f>
        <v>0</v>
      </c>
      <c r="AE440" s="50" t="b">
        <f>_xlfn.XLOOKUP(Tableau119[[#This Row],[Key(ID-date)]],'DATA BTO'!S:S,'DATA BTO'!H:H,FALSE)</f>
        <v>0</v>
      </c>
      <c r="AF440" s="447" t="e">
        <f>IF(Tableau119[[#This Row],[First Day to POL]]&lt;=Tableau119[[#This Row],[Day Cut Off]],Tableau119[[#This Row],[Day ETD]],Tableau119[[#This Row],[Day ETD]]+7)</f>
        <v>#N/A</v>
      </c>
      <c r="AG440" s="50" t="b">
        <f>_xlfn.XLOOKUP(Tableau119[[#This Row],[Key(ID-date)]],'DATA BTO'!S:S,'DATA BTO'!I:I,FALSE)</f>
        <v>0</v>
      </c>
      <c r="AH440" s="3" t="b">
        <f>_xlfn.XLOOKUP(Tableau119[[#This Row],[Key(ID-date)]],'DATA BTO'!S:S,'DATA BTO'!J:J,FALSE)</f>
        <v>0</v>
      </c>
      <c r="AI440" s="3" t="b">
        <f>_xlfn.XLOOKUP(Tableau119[[#This Row],[Key(ID-date)]],'DATA BTO'!S:S,'DATA BTO'!K:K,FALSE)</f>
        <v>0</v>
      </c>
      <c r="AJ440" s="50" t="b">
        <f>_xlfn.XLOOKUP(Tableau119[[#This Row],[Key(ID-date)]],'DATA BTO'!S:S,'DATA BTO'!L:L,FALSE)</f>
        <v>0</v>
      </c>
      <c r="AK440" s="53" t="b">
        <f>_xlfn.XLOOKUP(Tableau119[[#This Row],[Key(ID-date)]],'DATA BTO'!S:S,'DATA BTO'!N:N,FALSE)</f>
        <v>0</v>
      </c>
      <c r="AL440" s="54" t="e">
        <f>VLOOKUP(Tableau119[[#This Row],[Key(POD -PFI- Usine)]],'DATA Consignee'!A:F,6,FALSE)</f>
        <v>#N/A</v>
      </c>
      <c r="AM440" s="284" t="s">
        <v>155</v>
      </c>
      <c r="AN440" s="376">
        <f>IF(Tableau119[[#This Row],[Name PFI/CDD]]="","-",VLOOKUP(Tableau119[[#This Row],[Name PFI/CDD]],Plant_AILN!I:J,2,FALSE))</f>
        <v>90016600</v>
      </c>
      <c r="AO4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0" s="2" t="e">
        <f>VLOOKUP(Tableau119[[#This Row],[Key(POD -PFI- Usine)]],'DATA Consignee'!A:J,10,FALSE)</f>
        <v>#N/A</v>
      </c>
      <c r="AR440" s="50" t="e">
        <f>VLOOKUP(Tableau119[[#This Row],[Key(POD -PFI- Usine)]],'DATA Consignee'!A:N,14,FALSE)</f>
        <v>#N/A</v>
      </c>
      <c r="AS4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0" s="50">
        <f>Tableau119[[#This Row],[Transit time]]+Tableau119[[#This Row],[Time for security]]+Tableau119[[#This Row],[Time for security2 buffer]]</f>
        <v>0</v>
      </c>
      <c r="AV4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0" s="50" t="e">
        <f>Tableau119[[#This Row],[Leadtime SI2C]]+Tableau119[[#This Row],[First Receipt Days]]-Tableau119[[#This Row],[Day Customer Order]]+1</f>
        <v>#N/A</v>
      </c>
      <c r="AX440" s="119" t="e">
        <f>IF(Tableau119[[#This Row],[Name ILN]]&lt;&gt;"SFK Freight Forwarder",Tableau119[[#This Row],[Cust. Leadtime]],Tableau119[[#This Row],[Leadtime SI2C]])</f>
        <v>#N/A</v>
      </c>
      <c r="AY440" s="51" t="b">
        <f>_xlfn.XLOOKUP(Tableau119[[#This Row],[Key(ID-date)]],'DATA BTO'!S:S,'DATA BTO'!P:P,FALSE)</f>
        <v>0</v>
      </c>
      <c r="AZ440" s="338">
        <v>46142</v>
      </c>
      <c r="BA440" s="50"/>
    </row>
    <row r="441" spans="2:53">
      <c r="B441" s="66" t="str">
        <f>_xlfn.CONCAT(Tableau119[[#This Row],[Name ILN]],"-",Tableau119[[#This Row],[Name Shipper]],"-",Tableau119[[#This Row],[Name Site]])</f>
        <v>ILN Cordoba-ILN Cordoba-SOMACA</v>
      </c>
      <c r="C441" s="66" t="str">
        <f>_xlfn.CONCAT(Tableau119[[#This Row],[Compte ILN]],"-",Tableau119[[#This Row],[Compte Shipper]],"-",Tableau119[[#This Row],[POL]],"-",Tableau119[[#This Row],[Compte Consignee]])</f>
        <v>26376-26376-FALSO-90038200</v>
      </c>
      <c r="D441" s="66" t="str">
        <f>_xlfn.CONCAT(Tableau119[[#This Row],[Compte ILN]],"-",Tableau119[[#This Row],[Compte Shipper]],"-",Tableau119[[#This Row],[POL]])</f>
        <v>26376-26376-FALSO</v>
      </c>
      <c r="E441" s="130" t="str">
        <f>_xlfn.CONCAT(Tableau119[[#This Row],[POL]],"-",Tableau119[[#This Row],[Carrier]],"-",Tableau119[[#This Row],[POD]])</f>
        <v>FALSO-FALSO-FALSO</v>
      </c>
      <c r="F441" s="66" t="str">
        <f>_xlfn.CONCAT(Tableau119[[#This Row],[ID]],"-","Actif")</f>
        <v>162-Actif</v>
      </c>
      <c r="G441" s="66" t="str">
        <f>_xlfn.CONCAT(Tableau119[[#This Row],[POD]],"-",Tableau119[[#This Row],[Code PFI]],"-",Tableau119[[#This Row],[Compte Consignee]])</f>
        <v>FALSO-90016600-90038200</v>
      </c>
      <c r="H4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CordobaFALSOSOMACA</v>
      </c>
      <c r="I441" s="434" t="str">
        <f>_xlfn.CONCAT(Tableau119[[#This Row],[ID]],"-",Tableau119[[#This Row],[Expiration Date]])</f>
        <v>162-46142</v>
      </c>
      <c r="J4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Cordoba-ILN Cordoba-162-FALSO-FALSO-FALSO-PFI FR-46142</v>
      </c>
      <c r="K441" s="119" t="str">
        <f ca="1">IF(COUNTIF(J:J,Tableau119[[#This Row],[Plant-ILN-shipper-POL-Carrier-POD-PFI]])=1,"Non","Oui")</f>
        <v>Non</v>
      </c>
      <c r="L441" s="440" t="str">
        <f>VLOOKUP(Tableau119[[#This Row],[Name Site]],Plant_AILN!A:D,4,FALSE)</f>
        <v>MOROCCO</v>
      </c>
      <c r="M441" s="483" t="s">
        <v>179</v>
      </c>
      <c r="N441" s="455">
        <f>VLOOKUP(Tableau119[[#This Row],[Name Site]],Plant_AILN!A:C,3,FALSE)</f>
        <v>90038200</v>
      </c>
      <c r="O441" s="104">
        <f>IF(Tableau119[[#This Row],[Name PFI/CDD]]="PFI VLL",2,VLOOKUP(Tableau119[[#This Row],[Compte Consignee]],Order!C:D,2,FALSE))</f>
        <v>7</v>
      </c>
      <c r="P441" s="126" t="s">
        <v>199</v>
      </c>
      <c r="Q441" s="366">
        <f>VLOOKUP(Tableau119[[#This Row],[Name ILN]],Plant_AILN!F:G,2,FALSE)</f>
        <v>26376</v>
      </c>
      <c r="R441" s="81">
        <f>VLOOKUP(Tableau119[[#This Row],[Compte ILN]],'DATA ILN'!D:I,6,FALSE)</f>
        <v>9</v>
      </c>
      <c r="S441" s="81" t="e">
        <f>IFERROR(VLOOKUP(Tableau119[[#This Row],[Key(Compte ILN - shipper - POL - plant)]],'DATA ILN'!A:J,10,FALSE),VLOOKUP(Tableau119[[#This Row],[Key(Compte ILN - shipper - POL)]],'DATA ILN'!B:J,9,FALSE))</f>
        <v>#N/A</v>
      </c>
      <c r="T441" s="81" t="e">
        <f>IFERROR(VLOOKUP(Tableau119[[#This Row],[Key(Compte ILN - shipper - POL - plant)]],'DATA ILN'!A:K,11,FALSE),VLOOKUP(Tableau119[[#This Row],[Key(Compte ILN - shipper - POL)]],'DATA ILN'!B:K,10,FALSE))</f>
        <v>#N/A</v>
      </c>
      <c r="U441" s="81" t="e">
        <f>IFERROR(VLOOKUP(Tableau119[[#This Row],[Key(Compte ILN - shipper - POL - plant)]],'DATA ILN'!A:L,12,FALSE),VLOOKUP(Tableau119[[#This Row],[Key(Compte ILN - shipper - POL)]],'DATA ILN'!B:L,11,FALSE))</f>
        <v>#N/A</v>
      </c>
      <c r="V441" s="81" t="e">
        <f>Tableau119[[#This Row],[Day ILN Order]]+Tableau119[[#This Row],[Delivery time to ILN/Shipper]]-1</f>
        <v>#N/A</v>
      </c>
      <c r="W441" s="81" t="e">
        <f>IFERROR(VLOOKUP(Tableau119[[#This Row],[Key(Compte ILN - shipper - POL - plant)]],'DATA ILN'!A:N,14,FALSE),VLOOKUP(Tableau119[[#This Row],[Key(Compte ILN - shipper - POL)]],'DATA ILN'!B:N,13,FALSE))</f>
        <v>#N/A</v>
      </c>
      <c r="X441" s="81" t="e">
        <f>IFERROR(VLOOKUP(Tableau119[[#This Row],[Key(Compte ILN - shipper - POL - plant)]],'DATA ILN'!A:P,16,FALSE),VLOOKUP(Tableau119[[#This Row],[Key(Compte ILN - shipper - POL)]],'DATA ILN'!B:P,15,FALSE))</f>
        <v>#N/A</v>
      </c>
      <c r="Y441" s="102" t="s">
        <v>199</v>
      </c>
      <c r="Z441" s="417">
        <f>IFERROR(VLOOKUP(Tableau119[[#This Row],[Name Shipper]],Plant_AILN!L:M,2,FALSE),0)</f>
        <v>26376</v>
      </c>
      <c r="AA441" s="416">
        <v>162</v>
      </c>
      <c r="AB441" s="396" t="b">
        <f>_xlfn.XLOOKUP(Tableau119[[#This Row],[Key(ID-date)]],'DATA BTO'!S:S,'DATA BTO'!E:E,FALSE)</f>
        <v>0</v>
      </c>
      <c r="AC441" s="3" t="b">
        <f>_xlfn.XLOOKUP(Tableau119[[#This Row],[Key(ID-date)]],'DATA BTO'!S:S,'DATA BTO'!F:F,FALSE)</f>
        <v>0</v>
      </c>
      <c r="AD441" s="50" t="b">
        <f>_xlfn.XLOOKUP(Tableau119[[#This Row],[Key(ID-date)]],'DATA BTO'!S:S,'DATA BTO'!G:G,FALSE)</f>
        <v>0</v>
      </c>
      <c r="AE441" s="50" t="b">
        <f>_xlfn.XLOOKUP(Tableau119[[#This Row],[Key(ID-date)]],'DATA BTO'!S:S,'DATA BTO'!H:H,FALSE)</f>
        <v>0</v>
      </c>
      <c r="AF441" s="447" t="e">
        <f>IF(Tableau119[[#This Row],[First Day to POL]]&lt;=Tableau119[[#This Row],[Day Cut Off]],Tableau119[[#This Row],[Day ETD]],Tableau119[[#This Row],[Day ETD]]+7)</f>
        <v>#N/A</v>
      </c>
      <c r="AG441" s="50" t="b">
        <f>_xlfn.XLOOKUP(Tableau119[[#This Row],[Key(ID-date)]],'DATA BTO'!S:S,'DATA BTO'!I:I,FALSE)</f>
        <v>0</v>
      </c>
      <c r="AH441" s="3" t="b">
        <f>_xlfn.XLOOKUP(Tableau119[[#This Row],[Key(ID-date)]],'DATA BTO'!S:S,'DATA BTO'!J:J,FALSE)</f>
        <v>0</v>
      </c>
      <c r="AI441" s="3" t="b">
        <f>_xlfn.XLOOKUP(Tableau119[[#This Row],[Key(ID-date)]],'DATA BTO'!S:S,'DATA BTO'!K:K,FALSE)</f>
        <v>0</v>
      </c>
      <c r="AJ441" s="50" t="b">
        <f>_xlfn.XLOOKUP(Tableau119[[#This Row],[Key(ID-date)]],'DATA BTO'!S:S,'DATA BTO'!L:L,FALSE)</f>
        <v>0</v>
      </c>
      <c r="AK441" s="53" t="b">
        <f>_xlfn.XLOOKUP(Tableau119[[#This Row],[Key(ID-date)]],'DATA BTO'!S:S,'DATA BTO'!N:N,FALSE)</f>
        <v>0</v>
      </c>
      <c r="AL441" s="54" t="e">
        <f>VLOOKUP(Tableau119[[#This Row],[Key(POD -PFI- Usine)]],'DATA Consignee'!A:F,6,FALSE)</f>
        <v>#N/A</v>
      </c>
      <c r="AM441" s="102" t="s">
        <v>270</v>
      </c>
      <c r="AN441" s="375">
        <f>IF(Tableau119[[#This Row],[Name PFI/CDD]]="","-",VLOOKUP(Tableau119[[#This Row],[Name PFI/CDD]],Plant_AILN!I:J,2,FALSE))</f>
        <v>90016600</v>
      </c>
      <c r="AO44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1" s="110" t="e">
        <f>VLOOKUP(Tableau119[[#This Row],[Key(POD -PFI- Usine)]],'DATA Consignee'!A:J,10,FALSE)</f>
        <v>#N/A</v>
      </c>
      <c r="AR441" s="81" t="e">
        <f>VLOOKUP(Tableau119[[#This Row],[Key(POD -PFI- Usine)]],'DATA Consignee'!A:N,14,FALSE)</f>
        <v>#N/A</v>
      </c>
      <c r="AS44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1" s="81">
        <f>Tableau119[[#This Row],[Transit time]]+Tableau119[[#This Row],[Time for security]]+Tableau119[[#This Row],[Time for security2 buffer]]</f>
        <v>0</v>
      </c>
      <c r="AV4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1" s="50" t="e">
        <f>Tableau119[[#This Row],[Leadtime SI2C]]+Tableau119[[#This Row],[First Receipt Days]]-Tableau119[[#This Row],[Day Customer Order]]+1</f>
        <v>#N/A</v>
      </c>
      <c r="AX441" s="119" t="e">
        <f>IF(Tableau119[[#This Row],[Name ILN]]&lt;&gt;"SFK Freight Forwarder",Tableau119[[#This Row],[Cust. Leadtime]],Tableau119[[#This Row],[Leadtime SI2C]])</f>
        <v>#N/A</v>
      </c>
      <c r="AY441" s="51" t="b">
        <f>_xlfn.XLOOKUP(Tableau119[[#This Row],[Key(ID-date)]],'DATA BTO'!S:S,'DATA BTO'!P:P,FALSE)</f>
        <v>0</v>
      </c>
      <c r="AZ441" s="388">
        <v>46142</v>
      </c>
      <c r="BA441" s="81"/>
    </row>
    <row r="442" spans="2:53">
      <c r="B442" s="66" t="str">
        <f>_xlfn.CONCAT(Tableau119[[#This Row],[Name ILN]],"-",Tableau119[[#This Row],[Name Shipper]],"-",Tableau119[[#This Row],[Name Site]])</f>
        <v>ILN Cordoba-ILN Cordoba-SOVAB</v>
      </c>
      <c r="C442" s="66" t="str">
        <f>_xlfn.CONCAT(Tableau119[[#This Row],[Compte ILN]],"-",Tableau119[[#This Row],[Compte Shipper]],"-",Tableau119[[#This Row],[POL]],"-",Tableau119[[#This Row],[Compte Consignee]])</f>
        <v>26376-26376-FALSO-90016900</v>
      </c>
      <c r="D442" s="66" t="str">
        <f>_xlfn.CONCAT(Tableau119[[#This Row],[Compte ILN]],"-",Tableau119[[#This Row],[Compte Shipper]],"-",Tableau119[[#This Row],[POL]])</f>
        <v>26376-26376-FALSO</v>
      </c>
      <c r="E442" s="130" t="str">
        <f>_xlfn.CONCAT(Tableau119[[#This Row],[POL]],"-",Tableau119[[#This Row],[Carrier]],"-",Tableau119[[#This Row],[POD]])</f>
        <v>FALSO-FALSO-FALSO</v>
      </c>
      <c r="F442" s="66" t="str">
        <f>_xlfn.CONCAT(Tableau119[[#This Row],[ID]],"-","Actif")</f>
        <v>162-Actif</v>
      </c>
      <c r="G442" s="66" t="str">
        <f>_xlfn.CONCAT(Tableau119[[#This Row],[POD]],"-",Tableau119[[#This Row],[Code PFI]],"-",Tableau119[[#This Row],[Compte Consignee]])</f>
        <v>FALSO-90016600-90016900</v>
      </c>
      <c r="H4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CordobaFALSOSOVAB</v>
      </c>
      <c r="I442" s="434" t="str">
        <f>_xlfn.CONCAT(Tableau119[[#This Row],[ID]],"-",Tableau119[[#This Row],[Expiration Date]])</f>
        <v>162-46142</v>
      </c>
      <c r="J4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Cordoba-ILN Cordoba-162-FALSO-FALSO-FALSO-CDD FR-46142</v>
      </c>
      <c r="K442" s="119" t="str">
        <f ca="1">IF(COUNTIF(J:J,Tableau119[[#This Row],[Plant-ILN-shipper-POL-Carrier-POD-PFI]])=1,"Non","Oui")</f>
        <v>Non</v>
      </c>
      <c r="L442" s="440" t="str">
        <f>VLOOKUP(Tableau119[[#This Row],[Name Site]],Plant_AILN!A:D,4,FALSE)</f>
        <v>FRANCE</v>
      </c>
      <c r="M442" s="10" t="s">
        <v>154</v>
      </c>
      <c r="N442" s="454">
        <f>VLOOKUP(Tableau119[[#This Row],[Name Site]],Plant_AILN!A:C,3,FALSE)</f>
        <v>90016900</v>
      </c>
      <c r="O442" s="55">
        <f>IF(Tableau119[[#This Row],[Name PFI/CDD]]="PFI VLL",2,VLOOKUP(Tableau119[[#This Row],[Compte Consignee]],Order!C:D,2,FALSE))</f>
        <v>7</v>
      </c>
      <c r="P442" s="124" t="s">
        <v>199</v>
      </c>
      <c r="Q442" s="365">
        <f>VLOOKUP(Tableau119[[#This Row],[Name ILN]],Plant_AILN!F:G,2,FALSE)</f>
        <v>26376</v>
      </c>
      <c r="R442" s="50">
        <f>VLOOKUP(Tableau119[[#This Row],[Compte ILN]],'DATA ILN'!D:I,6,FALSE)</f>
        <v>9</v>
      </c>
      <c r="S442" s="50" t="e">
        <f>IFERROR(VLOOKUP(Tableau119[[#This Row],[Key(Compte ILN - shipper - POL - plant)]],'DATA ILN'!A:J,10,FALSE),VLOOKUP(Tableau119[[#This Row],[Key(Compte ILN - shipper - POL)]],'DATA ILN'!B:J,9,FALSE))</f>
        <v>#N/A</v>
      </c>
      <c r="T442" s="50" t="e">
        <f>IFERROR(VLOOKUP(Tableau119[[#This Row],[Key(Compte ILN - shipper - POL - plant)]],'DATA ILN'!A:K,11,FALSE),VLOOKUP(Tableau119[[#This Row],[Key(Compte ILN - shipper - POL)]],'DATA ILN'!B:K,10,FALSE))</f>
        <v>#N/A</v>
      </c>
      <c r="U442" s="50" t="e">
        <f>IFERROR(VLOOKUP(Tableau119[[#This Row],[Key(Compte ILN - shipper - POL - plant)]],'DATA ILN'!A:L,12,FALSE),VLOOKUP(Tableau119[[#This Row],[Key(Compte ILN - shipper - POL)]],'DATA ILN'!B:L,11,FALSE))</f>
        <v>#N/A</v>
      </c>
      <c r="V442" s="50" t="e">
        <f>Tableau119[[#This Row],[Day ILN Order]]+Tableau119[[#This Row],[Delivery time to ILN/Shipper]]-1</f>
        <v>#N/A</v>
      </c>
      <c r="W442" s="50" t="e">
        <f>IFERROR(VLOOKUP(Tableau119[[#This Row],[Key(Compte ILN - shipper - POL - plant)]],'DATA ILN'!A:N,14,FALSE),VLOOKUP(Tableau119[[#This Row],[Key(Compte ILN - shipper - POL)]],'DATA ILN'!B:N,13,FALSE))</f>
        <v>#N/A</v>
      </c>
      <c r="X442" s="50" t="e">
        <f>IFERROR(VLOOKUP(Tableau119[[#This Row],[Key(Compte ILN - shipper - POL - plant)]],'DATA ILN'!A:P,16,FALSE),VLOOKUP(Tableau119[[#This Row],[Key(Compte ILN - shipper - POL)]],'DATA ILN'!B:P,15,FALSE))</f>
        <v>#N/A</v>
      </c>
      <c r="Y442" s="284" t="s">
        <v>199</v>
      </c>
      <c r="Z442" s="430">
        <f>IFERROR(VLOOKUP(Tableau119[[#This Row],[Name Shipper]],Plant_AILN!L:M,2,FALSE),0)</f>
        <v>26376</v>
      </c>
      <c r="AA442" s="406">
        <v>162</v>
      </c>
      <c r="AB442" s="396" t="b">
        <f>_xlfn.XLOOKUP(Tableau119[[#This Row],[Key(ID-date)]],'DATA BTO'!S:S,'DATA BTO'!E:E,FALSE)</f>
        <v>0</v>
      </c>
      <c r="AC442" s="3" t="b">
        <f>_xlfn.XLOOKUP(Tableau119[[#This Row],[Key(ID-date)]],'DATA BTO'!S:S,'DATA BTO'!F:F,FALSE)</f>
        <v>0</v>
      </c>
      <c r="AD442" s="50" t="b">
        <f>_xlfn.XLOOKUP(Tableau119[[#This Row],[Key(ID-date)]],'DATA BTO'!S:S,'DATA BTO'!G:G,FALSE)</f>
        <v>0</v>
      </c>
      <c r="AE442" s="50" t="b">
        <f>_xlfn.XLOOKUP(Tableau119[[#This Row],[Key(ID-date)]],'DATA BTO'!S:S,'DATA BTO'!H:H,FALSE)</f>
        <v>0</v>
      </c>
      <c r="AF442" s="447" t="e">
        <f>IF(Tableau119[[#This Row],[First Day to POL]]&lt;=Tableau119[[#This Row],[Day Cut Off]],Tableau119[[#This Row],[Day ETD]],Tableau119[[#This Row],[Day ETD]]+7)</f>
        <v>#N/A</v>
      </c>
      <c r="AG442" s="50" t="b">
        <f>_xlfn.XLOOKUP(Tableau119[[#This Row],[Key(ID-date)]],'DATA BTO'!S:S,'DATA BTO'!I:I,FALSE)</f>
        <v>0</v>
      </c>
      <c r="AH442" s="3" t="b">
        <f>_xlfn.XLOOKUP(Tableau119[[#This Row],[Key(ID-date)]],'DATA BTO'!S:S,'DATA BTO'!J:J,FALSE)</f>
        <v>0</v>
      </c>
      <c r="AI442" s="3" t="b">
        <f>_xlfn.XLOOKUP(Tableau119[[#This Row],[Key(ID-date)]],'DATA BTO'!S:S,'DATA BTO'!K:K,FALSE)</f>
        <v>0</v>
      </c>
      <c r="AJ442" s="50" t="b">
        <f>_xlfn.XLOOKUP(Tableau119[[#This Row],[Key(ID-date)]],'DATA BTO'!S:S,'DATA BTO'!L:L,FALSE)</f>
        <v>0</v>
      </c>
      <c r="AK442" s="53" t="b">
        <f>_xlfn.XLOOKUP(Tableau119[[#This Row],[Key(ID-date)]],'DATA BTO'!S:S,'DATA BTO'!N:N,FALSE)</f>
        <v>0</v>
      </c>
      <c r="AL442" s="54" t="e">
        <f>VLOOKUP(Tableau119[[#This Row],[Key(POD -PFI- Usine)]],'DATA Consignee'!A:F,6,FALSE)</f>
        <v>#N/A</v>
      </c>
      <c r="AM442" s="284" t="s">
        <v>155</v>
      </c>
      <c r="AN442" s="376">
        <f>IF(Tableau119[[#This Row],[Name PFI/CDD]]="","-",VLOOKUP(Tableau119[[#This Row],[Name PFI/CDD]],Plant_AILN!I:J,2,FALSE))</f>
        <v>90016600</v>
      </c>
      <c r="AO4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2" s="2" t="e">
        <f>VLOOKUP(Tableau119[[#This Row],[Key(POD -PFI- Usine)]],'DATA Consignee'!A:J,10,FALSE)</f>
        <v>#N/A</v>
      </c>
      <c r="AR442" s="50" t="e">
        <f>VLOOKUP(Tableau119[[#This Row],[Key(POD -PFI- Usine)]],'DATA Consignee'!A:N,14,FALSE)</f>
        <v>#N/A</v>
      </c>
      <c r="AS4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2" s="50">
        <f>Tableau119[[#This Row],[Transit time]]+Tableau119[[#This Row],[Time for security]]+Tableau119[[#This Row],[Time for security2 buffer]]</f>
        <v>0</v>
      </c>
      <c r="AV4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2" s="50" t="e">
        <f>Tableau119[[#This Row],[Leadtime SI2C]]+Tableau119[[#This Row],[First Receipt Days]]-Tableau119[[#This Row],[Day Customer Order]]+1</f>
        <v>#N/A</v>
      </c>
      <c r="AX442" s="119" t="e">
        <f>IF(Tableau119[[#This Row],[Name ILN]]&lt;&gt;"SFK Freight Forwarder",Tableau119[[#This Row],[Cust. Leadtime]],Tableau119[[#This Row],[Leadtime SI2C]])</f>
        <v>#N/A</v>
      </c>
      <c r="AY442" s="51" t="b">
        <f>_xlfn.XLOOKUP(Tableau119[[#This Row],[Key(ID-date)]],'DATA BTO'!S:S,'DATA BTO'!P:P,FALSE)</f>
        <v>0</v>
      </c>
      <c r="AZ442" s="338">
        <v>46142</v>
      </c>
      <c r="BA442" s="50"/>
    </row>
    <row r="443" spans="2:53">
      <c r="B443" s="66" t="str">
        <f>_xlfn.CONCAT(Tableau119[[#This Row],[Name ILN]],"-",Tableau119[[#This Row],[Name Shipper]],"-",Tableau119[[#This Row],[Name Site]])</f>
        <v>ILN Cordoba-ILN Cordoba-STA</v>
      </c>
      <c r="C443" s="66" t="str">
        <f>_xlfn.CONCAT(Tableau119[[#This Row],[Compte ILN]],"-",Tableau119[[#This Row],[Compte Shipper]],"-",Tableau119[[#This Row],[POL]],"-",Tableau119[[#This Row],[Compte Consignee]])</f>
        <v>26376-26376-FALSO-90018400</v>
      </c>
      <c r="D443" s="66" t="str">
        <f>_xlfn.CONCAT(Tableau119[[#This Row],[Compte ILN]],"-",Tableau119[[#This Row],[Compte Shipper]],"-",Tableau119[[#This Row],[POL]])</f>
        <v>26376-26376-FALSO</v>
      </c>
      <c r="E443" s="130" t="str">
        <f>_xlfn.CONCAT(Tableau119[[#This Row],[POL]],"-",Tableau119[[#This Row],[Carrier]],"-",Tableau119[[#This Row],[POD]])</f>
        <v>FALSO-FALSO-FALSO</v>
      </c>
      <c r="F443" s="66" t="str">
        <f>_xlfn.CONCAT(Tableau119[[#This Row],[ID]],"-","Actif")</f>
        <v>162-Actif</v>
      </c>
      <c r="G443" s="66" t="str">
        <f>_xlfn.CONCAT(Tableau119[[#This Row],[POD]],"-",Tableau119[[#This Row],[Code PFI]],"-",Tableau119[[#This Row],[Compte Consignee]])</f>
        <v>FALSO-90016600-90018400</v>
      </c>
      <c r="H4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CordobaFALSOSTA</v>
      </c>
      <c r="I443" s="434" t="str">
        <f>_xlfn.CONCAT(Tableau119[[#This Row],[ID]],"-",Tableau119[[#This Row],[Expiration Date]])</f>
        <v>162-46142</v>
      </c>
      <c r="J4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Cordoba-ILN Cordoba-162-FALSO-FALSO-FALSO-PFI FR-46142</v>
      </c>
      <c r="K443" s="119" t="str">
        <f ca="1">IF(COUNTIF(J:J,Tableau119[[#This Row],[Plant-ILN-shipper-POL-Carrier-POD-PFI]])=1,"Non","Oui")</f>
        <v>Non</v>
      </c>
      <c r="L443" s="440" t="str">
        <f>VLOOKUP(Tableau119[[#This Row],[Name Site]],Plant_AILN!A:D,4,FALSE)</f>
        <v>FRANCE</v>
      </c>
      <c r="M443" s="10" t="s">
        <v>219</v>
      </c>
      <c r="N443" s="454">
        <f>VLOOKUP(Tableau119[[#This Row],[Name Site]],Plant_AILN!A:C,3,FALSE)</f>
        <v>90018400</v>
      </c>
      <c r="O443" s="55">
        <f>IF(Tableau119[[#This Row],[Name PFI/CDD]]="PFI VLL",2,VLOOKUP(Tableau119[[#This Row],[Compte Consignee]],Order!C:D,2,FALSE))</f>
        <v>7</v>
      </c>
      <c r="P443" s="124" t="s">
        <v>199</v>
      </c>
      <c r="Q443" s="365">
        <f>VLOOKUP(Tableau119[[#This Row],[Name ILN]],Plant_AILN!F:G,2,FALSE)</f>
        <v>26376</v>
      </c>
      <c r="R443" s="50">
        <f>VLOOKUP(Tableau119[[#This Row],[Compte ILN]],'DATA ILN'!D:I,6,FALSE)</f>
        <v>9</v>
      </c>
      <c r="S443" s="50" t="e">
        <f>IFERROR(VLOOKUP(Tableau119[[#This Row],[Key(Compte ILN - shipper - POL - plant)]],'DATA ILN'!A:J,10,FALSE),VLOOKUP(Tableau119[[#This Row],[Key(Compte ILN - shipper - POL)]],'DATA ILN'!B:J,9,FALSE))</f>
        <v>#N/A</v>
      </c>
      <c r="T443" s="50" t="e">
        <f>IFERROR(VLOOKUP(Tableau119[[#This Row],[Key(Compte ILN - shipper - POL - plant)]],'DATA ILN'!A:K,11,FALSE),VLOOKUP(Tableau119[[#This Row],[Key(Compte ILN - shipper - POL)]],'DATA ILN'!B:K,10,FALSE))</f>
        <v>#N/A</v>
      </c>
      <c r="U443" s="50" t="e">
        <f>IFERROR(VLOOKUP(Tableau119[[#This Row],[Key(Compte ILN - shipper - POL - plant)]],'DATA ILN'!A:L,12,FALSE),VLOOKUP(Tableau119[[#This Row],[Key(Compte ILN - shipper - POL)]],'DATA ILN'!B:L,11,FALSE))</f>
        <v>#N/A</v>
      </c>
      <c r="V443" s="50" t="e">
        <f>Tableau119[[#This Row],[Day ILN Order]]+Tableau119[[#This Row],[Delivery time to ILN/Shipper]]-1</f>
        <v>#N/A</v>
      </c>
      <c r="W443" s="50" t="e">
        <f>IFERROR(VLOOKUP(Tableau119[[#This Row],[Key(Compte ILN - shipper - POL - plant)]],'DATA ILN'!A:N,14,FALSE),VLOOKUP(Tableau119[[#This Row],[Key(Compte ILN - shipper - POL)]],'DATA ILN'!B:N,13,FALSE))</f>
        <v>#N/A</v>
      </c>
      <c r="X443" s="50" t="e">
        <f>IFERROR(VLOOKUP(Tableau119[[#This Row],[Key(Compte ILN - shipper - POL - plant)]],'DATA ILN'!A:P,16,FALSE),VLOOKUP(Tableau119[[#This Row],[Key(Compte ILN - shipper - POL)]],'DATA ILN'!B:P,15,FALSE))</f>
        <v>#N/A</v>
      </c>
      <c r="Y443" s="284" t="s">
        <v>199</v>
      </c>
      <c r="Z443" s="430">
        <f>IFERROR(VLOOKUP(Tableau119[[#This Row],[Name Shipper]],Plant_AILN!L:M,2,FALSE),0)</f>
        <v>26376</v>
      </c>
      <c r="AA443" s="406">
        <v>162</v>
      </c>
      <c r="AB443" s="396" t="b">
        <f>_xlfn.XLOOKUP(Tableau119[[#This Row],[Key(ID-date)]],'DATA BTO'!S:S,'DATA BTO'!E:E,FALSE)</f>
        <v>0</v>
      </c>
      <c r="AC443" s="3" t="b">
        <f>_xlfn.XLOOKUP(Tableau119[[#This Row],[Key(ID-date)]],'DATA BTO'!S:S,'DATA BTO'!F:F,FALSE)</f>
        <v>0</v>
      </c>
      <c r="AD443" s="50" t="b">
        <f>_xlfn.XLOOKUP(Tableau119[[#This Row],[Key(ID-date)]],'DATA BTO'!S:S,'DATA BTO'!G:G,FALSE)</f>
        <v>0</v>
      </c>
      <c r="AE443" s="50" t="b">
        <f>_xlfn.XLOOKUP(Tableau119[[#This Row],[Key(ID-date)]],'DATA BTO'!S:S,'DATA BTO'!H:H,FALSE)</f>
        <v>0</v>
      </c>
      <c r="AF443" s="447" t="e">
        <f>IF(Tableau119[[#This Row],[First Day to POL]]&lt;=Tableau119[[#This Row],[Day Cut Off]],Tableau119[[#This Row],[Day ETD]],Tableau119[[#This Row],[Day ETD]]+7)</f>
        <v>#N/A</v>
      </c>
      <c r="AG443" s="50" t="b">
        <f>_xlfn.XLOOKUP(Tableau119[[#This Row],[Key(ID-date)]],'DATA BTO'!S:S,'DATA BTO'!I:I,FALSE)</f>
        <v>0</v>
      </c>
      <c r="AH443" s="3" t="b">
        <f>_xlfn.XLOOKUP(Tableau119[[#This Row],[Key(ID-date)]],'DATA BTO'!S:S,'DATA BTO'!J:J,FALSE)</f>
        <v>0</v>
      </c>
      <c r="AI443" s="3" t="b">
        <f>_xlfn.XLOOKUP(Tableau119[[#This Row],[Key(ID-date)]],'DATA BTO'!S:S,'DATA BTO'!K:K,FALSE)</f>
        <v>0</v>
      </c>
      <c r="AJ443" s="50" t="b">
        <f>_xlfn.XLOOKUP(Tableau119[[#This Row],[Key(ID-date)]],'DATA BTO'!S:S,'DATA BTO'!L:L,FALSE)</f>
        <v>0</v>
      </c>
      <c r="AK443" s="53" t="b">
        <f>_xlfn.XLOOKUP(Tableau119[[#This Row],[Key(ID-date)]],'DATA BTO'!S:S,'DATA BTO'!N:N,FALSE)</f>
        <v>0</v>
      </c>
      <c r="AL443" s="54" t="e">
        <f>VLOOKUP(Tableau119[[#This Row],[Key(POD -PFI- Usine)]],'DATA Consignee'!A:F,6,FALSE)</f>
        <v>#N/A</v>
      </c>
      <c r="AM443" s="284" t="s">
        <v>270</v>
      </c>
      <c r="AN443" s="376">
        <f>IF(Tableau119[[#This Row],[Name PFI/CDD]]="","-",VLOOKUP(Tableau119[[#This Row],[Name PFI/CDD]],Plant_AILN!I:J,2,FALSE))</f>
        <v>90016600</v>
      </c>
      <c r="AO44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3" s="2" t="e">
        <f>VLOOKUP(Tableau119[[#This Row],[Key(POD -PFI- Usine)]],'DATA Consignee'!A:J,10,FALSE)</f>
        <v>#N/A</v>
      </c>
      <c r="AR443" s="50" t="e">
        <f>VLOOKUP(Tableau119[[#This Row],[Key(POD -PFI- Usine)]],'DATA Consignee'!A:N,14,FALSE)</f>
        <v>#N/A</v>
      </c>
      <c r="AS44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3" s="50">
        <f>Tableau119[[#This Row],[Transit time]]+Tableau119[[#This Row],[Time for security]]+Tableau119[[#This Row],[Time for security2 buffer]]</f>
        <v>0</v>
      </c>
      <c r="AV4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3" s="50" t="e">
        <f>Tableau119[[#This Row],[Leadtime SI2C]]+Tableau119[[#This Row],[First Receipt Days]]-Tableau119[[#This Row],[Day Customer Order]]+1</f>
        <v>#N/A</v>
      </c>
      <c r="AX443" s="119" t="e">
        <f>IF(Tableau119[[#This Row],[Name ILN]]&lt;&gt;"SFK Freight Forwarder",Tableau119[[#This Row],[Cust. Leadtime]],Tableau119[[#This Row],[Leadtime SI2C]])</f>
        <v>#N/A</v>
      </c>
      <c r="AY443" s="51" t="b">
        <f>_xlfn.XLOOKUP(Tableau119[[#This Row],[Key(ID-date)]],'DATA BTO'!S:S,'DATA BTO'!P:P,FALSE)</f>
        <v>0</v>
      </c>
      <c r="AZ443" s="338">
        <v>46142</v>
      </c>
      <c r="BA443" s="50"/>
    </row>
    <row r="444" spans="2:53">
      <c r="B444" s="66" t="str">
        <f>_xlfn.CONCAT(Tableau119[[#This Row],[Name ILN]],"-",Tableau119[[#This Row],[Name Shipper]],"-",Tableau119[[#This Row],[Name Site]])</f>
        <v>ILN Cordoba-ILN Cordoba-TANGER</v>
      </c>
      <c r="C444" s="66" t="str">
        <f>_xlfn.CONCAT(Tableau119[[#This Row],[Compte ILN]],"-",Tableau119[[#This Row],[Compte Shipper]],"-",Tableau119[[#This Row],[POL]],"-",Tableau119[[#This Row],[Compte Consignee]])</f>
        <v>26376-26376-FALSO-900383</v>
      </c>
      <c r="D444" s="66" t="str">
        <f>_xlfn.CONCAT(Tableau119[[#This Row],[Compte ILN]],"-",Tableau119[[#This Row],[Compte Shipper]],"-",Tableau119[[#This Row],[POL]])</f>
        <v>26376-26376-FALSO</v>
      </c>
      <c r="E444" s="130" t="str">
        <f>_xlfn.CONCAT(Tableau119[[#This Row],[POL]],"-",Tableau119[[#This Row],[Carrier]],"-",Tableau119[[#This Row],[POD]])</f>
        <v>FALSO-FALSO-FALSO</v>
      </c>
      <c r="F444" s="66" t="str">
        <f>_xlfn.CONCAT(Tableau119[[#This Row],[ID]],"-","Actif")</f>
        <v>162-Actif</v>
      </c>
      <c r="G444" s="66" t="str">
        <f>_xlfn.CONCAT(Tableau119[[#This Row],[POD]],"-",Tableau119[[#This Row],[Code PFI]],"-",Tableau119[[#This Row],[Compte Consignee]])</f>
        <v>FALSO-90016600-900383</v>
      </c>
      <c r="H4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CordobaFALSOTANGER</v>
      </c>
      <c r="I444" s="434" t="str">
        <f>_xlfn.CONCAT(Tableau119[[#This Row],[ID]],"-",Tableau119[[#This Row],[Expiration Date]])</f>
        <v>162-46142</v>
      </c>
      <c r="J4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Cordoba-ILN Cordoba-162-FALSO-FALSO-FALSO-PFI FR-46142</v>
      </c>
      <c r="K444" s="119" t="str">
        <f ca="1">IF(COUNTIF(J:J,Tableau119[[#This Row],[Plant-ILN-shipper-POL-Carrier-POD-PFI]])=1,"Non","Oui")</f>
        <v>Non</v>
      </c>
      <c r="L444" s="440" t="str">
        <f>VLOOKUP(Tableau119[[#This Row],[Name Site]],Plant_AILN!A:D,4,FALSE)</f>
        <v>MOROCCO</v>
      </c>
      <c r="M444" s="483" t="s">
        <v>180</v>
      </c>
      <c r="N444" s="455">
        <f>VLOOKUP(Tableau119[[#This Row],[Name Site]],Plant_AILN!A:C,3,FALSE)</f>
        <v>900383</v>
      </c>
      <c r="O444" s="104">
        <f>IF(Tableau119[[#This Row],[Name PFI/CDD]]="PFI VLL",2,VLOOKUP(Tableau119[[#This Row],[Compte Consignee]],Order!C:D,2,FALSE))</f>
        <v>7</v>
      </c>
      <c r="P444" s="126" t="s">
        <v>199</v>
      </c>
      <c r="Q444" s="366">
        <f>VLOOKUP(Tableau119[[#This Row],[Name ILN]],Plant_AILN!F:G,2,FALSE)</f>
        <v>26376</v>
      </c>
      <c r="R444" s="81">
        <f>VLOOKUP(Tableau119[[#This Row],[Compte ILN]],'DATA ILN'!D:I,6,FALSE)</f>
        <v>9</v>
      </c>
      <c r="S444" s="81" t="e">
        <f>IFERROR(VLOOKUP(Tableau119[[#This Row],[Key(Compte ILN - shipper - POL - plant)]],'DATA ILN'!A:J,10,FALSE),VLOOKUP(Tableau119[[#This Row],[Key(Compte ILN - shipper - POL)]],'DATA ILN'!B:J,9,FALSE))</f>
        <v>#N/A</v>
      </c>
      <c r="T444" s="81" t="e">
        <f>IFERROR(VLOOKUP(Tableau119[[#This Row],[Key(Compte ILN - shipper - POL - plant)]],'DATA ILN'!A:K,11,FALSE),VLOOKUP(Tableau119[[#This Row],[Key(Compte ILN - shipper - POL)]],'DATA ILN'!B:K,10,FALSE))</f>
        <v>#N/A</v>
      </c>
      <c r="U444" s="81" t="e">
        <f>IFERROR(VLOOKUP(Tableau119[[#This Row],[Key(Compte ILN - shipper - POL - plant)]],'DATA ILN'!A:L,12,FALSE),VLOOKUP(Tableau119[[#This Row],[Key(Compte ILN - shipper - POL)]],'DATA ILN'!B:L,11,FALSE))</f>
        <v>#N/A</v>
      </c>
      <c r="V444" s="81" t="e">
        <f>Tableau119[[#This Row],[Day ILN Order]]+Tableau119[[#This Row],[Delivery time to ILN/Shipper]]-1</f>
        <v>#N/A</v>
      </c>
      <c r="W444" s="81" t="e">
        <f>IFERROR(VLOOKUP(Tableau119[[#This Row],[Key(Compte ILN - shipper - POL - plant)]],'DATA ILN'!A:N,14,FALSE),VLOOKUP(Tableau119[[#This Row],[Key(Compte ILN - shipper - POL)]],'DATA ILN'!B:N,13,FALSE))</f>
        <v>#N/A</v>
      </c>
      <c r="X444" s="81" t="e">
        <f>IFERROR(VLOOKUP(Tableau119[[#This Row],[Key(Compte ILN - shipper - POL - plant)]],'DATA ILN'!A:P,16,FALSE),VLOOKUP(Tableau119[[#This Row],[Key(Compte ILN - shipper - POL)]],'DATA ILN'!B:P,15,FALSE))</f>
        <v>#N/A</v>
      </c>
      <c r="Y444" s="102" t="s">
        <v>199</v>
      </c>
      <c r="Z444" s="417">
        <f>IFERROR(VLOOKUP(Tableau119[[#This Row],[Name Shipper]],Plant_AILN!L:M,2,FALSE),0)</f>
        <v>26376</v>
      </c>
      <c r="AA444" s="416">
        <v>162</v>
      </c>
      <c r="AB444" s="396" t="b">
        <f>_xlfn.XLOOKUP(Tableau119[[#This Row],[Key(ID-date)]],'DATA BTO'!S:S,'DATA BTO'!E:E,FALSE)</f>
        <v>0</v>
      </c>
      <c r="AC444" s="3" t="b">
        <f>_xlfn.XLOOKUP(Tableau119[[#This Row],[Key(ID-date)]],'DATA BTO'!S:S,'DATA BTO'!F:F,FALSE)</f>
        <v>0</v>
      </c>
      <c r="AD444" s="50" t="b">
        <f>_xlfn.XLOOKUP(Tableau119[[#This Row],[Key(ID-date)]],'DATA BTO'!S:S,'DATA BTO'!G:G,FALSE)</f>
        <v>0</v>
      </c>
      <c r="AE444" s="50" t="b">
        <f>_xlfn.XLOOKUP(Tableau119[[#This Row],[Key(ID-date)]],'DATA BTO'!S:S,'DATA BTO'!H:H,FALSE)</f>
        <v>0</v>
      </c>
      <c r="AF444" s="447" t="e">
        <f>IF(Tableau119[[#This Row],[First Day to POL]]&lt;=Tableau119[[#This Row],[Day Cut Off]],Tableau119[[#This Row],[Day ETD]],Tableau119[[#This Row],[Day ETD]]+7)</f>
        <v>#N/A</v>
      </c>
      <c r="AG444" s="50" t="b">
        <f>_xlfn.XLOOKUP(Tableau119[[#This Row],[Key(ID-date)]],'DATA BTO'!S:S,'DATA BTO'!I:I,FALSE)</f>
        <v>0</v>
      </c>
      <c r="AH444" s="3" t="b">
        <f>_xlfn.XLOOKUP(Tableau119[[#This Row],[Key(ID-date)]],'DATA BTO'!S:S,'DATA BTO'!J:J,FALSE)</f>
        <v>0</v>
      </c>
      <c r="AI444" s="3" t="b">
        <f>_xlfn.XLOOKUP(Tableau119[[#This Row],[Key(ID-date)]],'DATA BTO'!S:S,'DATA BTO'!K:K,FALSE)</f>
        <v>0</v>
      </c>
      <c r="AJ444" s="50" t="b">
        <f>_xlfn.XLOOKUP(Tableau119[[#This Row],[Key(ID-date)]],'DATA BTO'!S:S,'DATA BTO'!L:L,FALSE)</f>
        <v>0</v>
      </c>
      <c r="AK444" s="53" t="b">
        <f>_xlfn.XLOOKUP(Tableau119[[#This Row],[Key(ID-date)]],'DATA BTO'!S:S,'DATA BTO'!N:N,FALSE)</f>
        <v>0</v>
      </c>
      <c r="AL444" s="54" t="e">
        <f>VLOOKUP(Tableau119[[#This Row],[Key(POD -PFI- Usine)]],'DATA Consignee'!A:F,6,FALSE)</f>
        <v>#N/A</v>
      </c>
      <c r="AM444" s="102" t="s">
        <v>270</v>
      </c>
      <c r="AN444" s="375">
        <f>IF(Tableau119[[#This Row],[Name PFI/CDD]]="","-",VLOOKUP(Tableau119[[#This Row],[Name PFI/CDD]],Plant_AILN!I:J,2,FALSE))</f>
        <v>90016600</v>
      </c>
      <c r="AO44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4" s="110" t="e">
        <f>VLOOKUP(Tableau119[[#This Row],[Key(POD -PFI- Usine)]],'DATA Consignee'!A:J,10,FALSE)</f>
        <v>#N/A</v>
      </c>
      <c r="AR444" s="81" t="e">
        <f>VLOOKUP(Tableau119[[#This Row],[Key(POD -PFI- Usine)]],'DATA Consignee'!A:N,14,FALSE)</f>
        <v>#N/A</v>
      </c>
      <c r="AS44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4" s="81">
        <f>Tableau119[[#This Row],[Transit time]]+Tableau119[[#This Row],[Time for security]]+Tableau119[[#This Row],[Time for security2 buffer]]</f>
        <v>0</v>
      </c>
      <c r="AV4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4" s="50" t="e">
        <f>Tableau119[[#This Row],[Leadtime SI2C]]+Tableau119[[#This Row],[First Receipt Days]]-Tableau119[[#This Row],[Day Customer Order]]+1</f>
        <v>#N/A</v>
      </c>
      <c r="AX444" s="119" t="e">
        <f>IF(Tableau119[[#This Row],[Name ILN]]&lt;&gt;"SFK Freight Forwarder",Tableau119[[#This Row],[Cust. Leadtime]],Tableau119[[#This Row],[Leadtime SI2C]])</f>
        <v>#N/A</v>
      </c>
      <c r="AY444" s="51" t="b">
        <f>_xlfn.XLOOKUP(Tableau119[[#This Row],[Key(ID-date)]],'DATA BTO'!S:S,'DATA BTO'!P:P,FALSE)</f>
        <v>0</v>
      </c>
      <c r="AZ444" s="388">
        <v>46142</v>
      </c>
      <c r="BA444" s="81"/>
    </row>
    <row r="445" spans="2:53">
      <c r="B445" s="446" t="str">
        <f>_xlfn.CONCAT(Tableau119[[#This Row],[Name ILN]],"-",Tableau119[[#This Row],[Name Shipper]],"-",Tableau119[[#This Row],[Name Site]])</f>
        <v>ILN Cordoba-ILN Cordoba-FLINS</v>
      </c>
      <c r="C445" s="66" t="str">
        <f>_xlfn.CONCAT(Tableau119[[#This Row],[Compte ILN]],"-",Tableau119[[#This Row],[Compte Shipper]],"-",Tableau119[[#This Row],[POL]],"-",Tableau119[[#This Row],[Compte Consignee]])</f>
        <v>26376-26376-FALSO-90015100</v>
      </c>
      <c r="D445" s="66" t="str">
        <f>_xlfn.CONCAT(Tableau119[[#This Row],[Compte ILN]],"-",Tableau119[[#This Row],[Compte Shipper]],"-",Tableau119[[#This Row],[POL]])</f>
        <v>26376-26376-FALSO</v>
      </c>
      <c r="E445" s="130" t="str">
        <f>_xlfn.CONCAT(Tableau119[[#This Row],[POL]],"-",Tableau119[[#This Row],[Carrier]],"-",Tableau119[[#This Row],[POD]])</f>
        <v>FALSO-FALSO-FALSO</v>
      </c>
      <c r="F445" s="66" t="str">
        <f>_xlfn.CONCAT(Tableau119[[#This Row],[ID]],"-","Actif")</f>
        <v>162-Actif</v>
      </c>
      <c r="G445" s="66" t="str">
        <f>_xlfn.CONCAT(Tableau119[[#This Row],[POD]],"-",Tableau119[[#This Row],[Code PFI]],"-",Tableau119[[#This Row],[Compte Consignee]])</f>
        <v>FALSO-90016600-90015100</v>
      </c>
      <c r="H4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CordobaFALSOFLINS</v>
      </c>
      <c r="I445" s="434" t="str">
        <f>_xlfn.CONCAT(Tableau119[[#This Row],[ID]],"-",Tableau119[[#This Row],[Expiration Date]])</f>
        <v>162-45777</v>
      </c>
      <c r="J4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Cordoba-ILN Cordoba-162-FALSO-FALSO-FALSO-CDD FR-45777</v>
      </c>
      <c r="K445" s="119" t="str">
        <f ca="1">IF(COUNTIF(J:J,Tableau119[[#This Row],[Plant-ILN-shipper-POL-Carrier-POD-PFI]])=1,"Non","Oui")</f>
        <v>Non</v>
      </c>
      <c r="L445" s="128" t="str">
        <f>VLOOKUP(Tableau119[[#This Row],[Name Site]],Plant_AILN!A:D,4,FALSE)</f>
        <v>FRANCE</v>
      </c>
      <c r="M445" s="411" t="s">
        <v>209</v>
      </c>
      <c r="N445" s="454">
        <f>VLOOKUP(Tableau119[[#This Row],[Name Site]],Plant_AILN!A:C,3,FALSE)</f>
        <v>90015100</v>
      </c>
      <c r="O445" s="55">
        <f>VLOOKUP(Tableau119[[#This Row],[Compte Consignee]],Order!C:D,2,FALSE)</f>
        <v>7</v>
      </c>
      <c r="P445" s="124" t="s">
        <v>199</v>
      </c>
      <c r="Q445" s="365">
        <f>VLOOKUP(Tableau119[[#This Row],[Name ILN]],Plant_AILN!F:G,2,FALSE)</f>
        <v>26376</v>
      </c>
      <c r="R445" s="50">
        <f>VLOOKUP(Tableau119[[#This Row],[Compte ILN]],'DATA ILN'!D:I,6,FALSE)</f>
        <v>9</v>
      </c>
      <c r="S445" s="50" t="e">
        <f>IFERROR(VLOOKUP(Tableau119[[#This Row],[Key(Compte ILN - shipper - POL - plant)]],'DATA ILN'!A:J,10,FALSE),VLOOKUP(Tableau119[[#This Row],[Key(Compte ILN - shipper - POL)]],'DATA ILN'!B:J,9,FALSE))</f>
        <v>#N/A</v>
      </c>
      <c r="T445" s="50" t="e">
        <f>IFERROR(VLOOKUP(Tableau119[[#This Row],[Key(Compte ILN - shipper - POL - plant)]],'DATA ILN'!A:K,11,FALSE),VLOOKUP(Tableau119[[#This Row],[Key(Compte ILN - shipper - POL)]],'DATA ILN'!B:K,10,FALSE))</f>
        <v>#N/A</v>
      </c>
      <c r="U445" s="50" t="e">
        <f>IFERROR(VLOOKUP(Tableau119[[#This Row],[Key(Compte ILN - shipper - POL - plant)]],'DATA ILN'!A:L,12,FALSE),VLOOKUP(Tableau119[[#This Row],[Key(Compte ILN - shipper - POL)]],'DATA ILN'!B:L,11,FALSE))</f>
        <v>#N/A</v>
      </c>
      <c r="V445" s="50" t="e">
        <f>Tableau119[[#This Row],[Day ILN Order]]+Tableau119[[#This Row],[Delivery time to ILN/Shipper]]-1</f>
        <v>#N/A</v>
      </c>
      <c r="W445" s="50" t="e">
        <f>IFERROR(VLOOKUP(Tableau119[[#This Row],[Key(Compte ILN - shipper - POL - plant)]],'DATA ILN'!A:N,14,FALSE),VLOOKUP(Tableau119[[#This Row],[Key(Compte ILN - shipper - POL)]],'DATA ILN'!B:N,13,FALSE))</f>
        <v>#N/A</v>
      </c>
      <c r="X445" s="50" t="e">
        <f>IFERROR(VLOOKUP(Tableau119[[#This Row],[Key(Compte ILN - shipper - POL - plant)]],'DATA ILN'!A:P,16,FALSE),VLOOKUP(Tableau119[[#This Row],[Key(Compte ILN - shipper - POL)]],'DATA ILN'!B:P,15,FALSE))</f>
        <v>#N/A</v>
      </c>
      <c r="Y445" s="284" t="s">
        <v>199</v>
      </c>
      <c r="Z445" s="430">
        <f>IFERROR(VLOOKUP(Tableau119[[#This Row],[Name Shipper]],Plant_AILN!L:M,2,FALSE),0)</f>
        <v>26376</v>
      </c>
      <c r="AA445" s="406">
        <v>162</v>
      </c>
      <c r="AB445" s="396" t="b">
        <f>_xlfn.XLOOKUP(Tableau119[[#This Row],[Key(ID-date)]],'DATA BTO'!S:S,'DATA BTO'!E:E,FALSE)</f>
        <v>0</v>
      </c>
      <c r="AC445" s="3" t="b">
        <f>_xlfn.XLOOKUP(Tableau119[[#This Row],[Key(ID-date)]],'DATA BTO'!S:S,'DATA BTO'!F:F,FALSE)</f>
        <v>0</v>
      </c>
      <c r="AD445" s="50" t="b">
        <f>_xlfn.XLOOKUP(Tableau119[[#This Row],[Key(ID-date)]],'DATA BTO'!S:S,'DATA BTO'!G:G,FALSE)</f>
        <v>0</v>
      </c>
      <c r="AE445" s="50" t="b">
        <f>_xlfn.XLOOKUP(Tableau119[[#This Row],[Key(ID-date)]],'DATA BTO'!S:S,'DATA BTO'!H:H,FALSE)</f>
        <v>0</v>
      </c>
      <c r="AF445" s="447" t="e">
        <f>IF(Tableau119[[#This Row],[First Day to POL]]&lt;=Tableau119[[#This Row],[Day Cut Off]],Tableau119[[#This Row],[Day ETD]],Tableau119[[#This Row],[Day ETD]]+7)</f>
        <v>#N/A</v>
      </c>
      <c r="AG445" s="50" t="b">
        <f>_xlfn.XLOOKUP(Tableau119[[#This Row],[Key(ID-date)]],'DATA BTO'!S:S,'DATA BTO'!I:I,FALSE)</f>
        <v>0</v>
      </c>
      <c r="AH445" s="3" t="b">
        <f>_xlfn.XLOOKUP(Tableau119[[#This Row],[Key(ID-date)]],'DATA BTO'!S:S,'DATA BTO'!J:J,FALSE)</f>
        <v>0</v>
      </c>
      <c r="AI445" s="3" t="b">
        <f>_xlfn.XLOOKUP(Tableau119[[#This Row],[Key(ID-date)]],'DATA BTO'!S:S,'DATA BTO'!K:K,FALSE)</f>
        <v>0</v>
      </c>
      <c r="AJ445" s="50" t="b">
        <f>_xlfn.XLOOKUP(Tableau119[[#This Row],[Key(ID-date)]],'DATA BTO'!S:S,'DATA BTO'!L:L,FALSE)</f>
        <v>0</v>
      </c>
      <c r="AK445" s="53" t="b">
        <f>_xlfn.XLOOKUP(Tableau119[[#This Row],[Key(ID-date)]],'DATA BTO'!S:S,'DATA BTO'!N:N,FALSE)</f>
        <v>0</v>
      </c>
      <c r="AL445" s="54" t="e">
        <f>VLOOKUP(Tableau119[[#This Row],[Key(POD -PFI- Usine)]],'DATA Consignee'!A:F,6,FALSE)</f>
        <v>#N/A</v>
      </c>
      <c r="AM445" s="284" t="s">
        <v>155</v>
      </c>
      <c r="AN445" s="376">
        <f>IF(Tableau119[[#This Row],[Name PFI/CDD]]="","-",VLOOKUP(Tableau119[[#This Row],[Name PFI/CDD]],Plant_AILN!I:J,2,FALSE))</f>
        <v>90016600</v>
      </c>
      <c r="AO4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5" s="2" t="e">
        <f>VLOOKUP(Tableau119[[#This Row],[Key(POD -PFI- Usine)]],'DATA Consignee'!A:J,10,FALSE)</f>
        <v>#N/A</v>
      </c>
      <c r="AR445" s="50" t="e">
        <f>VLOOKUP(Tableau119[[#This Row],[Key(POD -PFI- Usine)]],'DATA Consignee'!A:N,14,FALSE)</f>
        <v>#N/A</v>
      </c>
      <c r="AS4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5" s="50">
        <f>Tableau119[[#This Row],[Transit time]]+Tableau119[[#This Row],[Time for security]]+Tableau119[[#This Row],[Time for security2 buffer]]</f>
        <v>0</v>
      </c>
      <c r="AV4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5" s="50" t="e">
        <f>Tableau119[[#This Row],[Leadtime SI2C]]+Tableau119[[#This Row],[First Receipt Days]]-Tableau119[[#This Row],[Day Customer Order]]+1</f>
        <v>#N/A</v>
      </c>
      <c r="AX445" s="119" t="e">
        <f>IF(Tableau119[[#This Row],[Name ILN]]&lt;&gt;"SFK Freight Forwarder",Tableau119[[#This Row],[Cust. Leadtime]],Tableau119[[#This Row],[Leadtime SI2C]])</f>
        <v>#N/A</v>
      </c>
      <c r="AY445" s="51" t="b">
        <f>_xlfn.XLOOKUP(Tableau119[[#This Row],[Key(ID-date)]],'DATA BTO'!S:S,'DATA BTO'!P:P,FALSE)</f>
        <v>0</v>
      </c>
      <c r="AZ445" s="338">
        <v>45777</v>
      </c>
      <c r="BA445" s="50"/>
    </row>
    <row r="446" spans="2:53">
      <c r="B446" s="446" t="str">
        <f>_xlfn.CONCAT(Tableau119[[#This Row],[Name ILN]],"-",Tableau119[[#This Row],[Name Shipper]],"-",Tableau119[[#This Row],[Name Site]])</f>
        <v>ILN Cordoba-ILN Cordoba-MAUBEUGE</v>
      </c>
      <c r="C446" s="66" t="str">
        <f>_xlfn.CONCAT(Tableau119[[#This Row],[Compte ILN]],"-",Tableau119[[#This Row],[Compte Shipper]],"-",Tableau119[[#This Row],[POL]],"-",Tableau119[[#This Row],[Compte Consignee]])</f>
        <v>26376-26376-FALSO-90016200</v>
      </c>
      <c r="D446" s="66" t="str">
        <f>_xlfn.CONCAT(Tableau119[[#This Row],[Compte ILN]],"-",Tableau119[[#This Row],[Compte Shipper]],"-",Tableau119[[#This Row],[POL]])</f>
        <v>26376-26376-FALSO</v>
      </c>
      <c r="E446" s="130" t="str">
        <f>_xlfn.CONCAT(Tableau119[[#This Row],[POL]],"-",Tableau119[[#This Row],[Carrier]],"-",Tableau119[[#This Row],[POD]])</f>
        <v>FALSO-FALSO-FALSO</v>
      </c>
      <c r="F446" s="66" t="str">
        <f>_xlfn.CONCAT(Tableau119[[#This Row],[ID]],"-","Actif")</f>
        <v>162-Actif</v>
      </c>
      <c r="G446" s="66" t="str">
        <f>_xlfn.CONCAT(Tableau119[[#This Row],[POD]],"-",Tableau119[[#This Row],[Code PFI]],"-",Tableau119[[#This Row],[Compte Consignee]])</f>
        <v>FALSO-90016600-90016200</v>
      </c>
      <c r="H4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CordobaFALSOMAUBEUGE</v>
      </c>
      <c r="I446" s="434" t="str">
        <f>_xlfn.CONCAT(Tableau119[[#This Row],[ID]],"-",Tableau119[[#This Row],[Expiration Date]])</f>
        <v>162-45777</v>
      </c>
      <c r="J4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Cordoba-ILN Cordoba-162-FALSO-FALSO-FALSO-CDD FR-45777</v>
      </c>
      <c r="K446" s="119" t="str">
        <f ca="1">IF(COUNTIF(J:J,Tableau119[[#This Row],[Plant-ILN-shipper-POL-Carrier-POD-PFI]])=1,"Non","Oui")</f>
        <v>Non</v>
      </c>
      <c r="L446" s="128" t="str">
        <f>VLOOKUP(Tableau119[[#This Row],[Name Site]],Plant_AILN!A:D,4,FALSE)</f>
        <v>FRANCE</v>
      </c>
      <c r="M446" s="411" t="s">
        <v>210</v>
      </c>
      <c r="N446" s="454">
        <f>VLOOKUP(Tableau119[[#This Row],[Name Site]],Plant_AILN!A:C,3,FALSE)</f>
        <v>90016200</v>
      </c>
      <c r="O446" s="55">
        <f>VLOOKUP(Tableau119[[#This Row],[Compte Consignee]],Order!C:D,2,FALSE)</f>
        <v>7</v>
      </c>
      <c r="P446" s="124" t="s">
        <v>199</v>
      </c>
      <c r="Q446" s="365">
        <f>VLOOKUP(Tableau119[[#This Row],[Name ILN]],Plant_AILN!F:G,2,FALSE)</f>
        <v>26376</v>
      </c>
      <c r="R446" s="50">
        <f>VLOOKUP(Tableau119[[#This Row],[Compte ILN]],'DATA ILN'!D:I,6,FALSE)</f>
        <v>9</v>
      </c>
      <c r="S446" s="50" t="e">
        <f>IFERROR(VLOOKUP(Tableau119[[#This Row],[Key(Compte ILN - shipper - POL - plant)]],'DATA ILN'!A:J,10,FALSE),VLOOKUP(Tableau119[[#This Row],[Key(Compte ILN - shipper - POL)]],'DATA ILN'!B:J,9,FALSE))</f>
        <v>#N/A</v>
      </c>
      <c r="T446" s="50" t="e">
        <f>IFERROR(VLOOKUP(Tableau119[[#This Row],[Key(Compte ILN - shipper - POL - plant)]],'DATA ILN'!A:K,11,FALSE),VLOOKUP(Tableau119[[#This Row],[Key(Compte ILN - shipper - POL)]],'DATA ILN'!B:K,10,FALSE))</f>
        <v>#N/A</v>
      </c>
      <c r="U446" s="50" t="e">
        <f>IFERROR(VLOOKUP(Tableau119[[#This Row],[Key(Compte ILN - shipper - POL - plant)]],'DATA ILN'!A:L,12,FALSE),VLOOKUP(Tableau119[[#This Row],[Key(Compte ILN - shipper - POL)]],'DATA ILN'!B:L,11,FALSE))</f>
        <v>#N/A</v>
      </c>
      <c r="V446" s="50" t="e">
        <f>Tableau119[[#This Row],[Day ILN Order]]+Tableau119[[#This Row],[Delivery time to ILN/Shipper]]-1</f>
        <v>#N/A</v>
      </c>
      <c r="W446" s="50" t="e">
        <f>IFERROR(VLOOKUP(Tableau119[[#This Row],[Key(Compte ILN - shipper - POL - plant)]],'DATA ILN'!A:N,14,FALSE),VLOOKUP(Tableau119[[#This Row],[Key(Compte ILN - shipper - POL)]],'DATA ILN'!B:N,13,FALSE))</f>
        <v>#N/A</v>
      </c>
      <c r="X446" s="50" t="e">
        <f>IFERROR(VLOOKUP(Tableau119[[#This Row],[Key(Compte ILN - shipper - POL - plant)]],'DATA ILN'!A:P,16,FALSE),VLOOKUP(Tableau119[[#This Row],[Key(Compte ILN - shipper - POL)]],'DATA ILN'!B:P,15,FALSE))</f>
        <v>#N/A</v>
      </c>
      <c r="Y446" s="284" t="s">
        <v>199</v>
      </c>
      <c r="Z446" s="430">
        <f>IFERROR(VLOOKUP(Tableau119[[#This Row],[Name Shipper]],Plant_AILN!L:M,2,FALSE),0)</f>
        <v>26376</v>
      </c>
      <c r="AA446" s="406">
        <v>162</v>
      </c>
      <c r="AB446" s="396" t="b">
        <f>_xlfn.XLOOKUP(Tableau119[[#This Row],[Key(ID-date)]],'DATA BTO'!S:S,'DATA BTO'!E:E,FALSE)</f>
        <v>0</v>
      </c>
      <c r="AC446" s="3" t="b">
        <f>_xlfn.XLOOKUP(Tableau119[[#This Row],[Key(ID-date)]],'DATA BTO'!S:S,'DATA BTO'!F:F,FALSE)</f>
        <v>0</v>
      </c>
      <c r="AD446" s="50" t="b">
        <f>_xlfn.XLOOKUP(Tableau119[[#This Row],[Key(ID-date)]],'DATA BTO'!S:S,'DATA BTO'!G:G,FALSE)</f>
        <v>0</v>
      </c>
      <c r="AE446" s="50" t="b">
        <f>_xlfn.XLOOKUP(Tableau119[[#This Row],[Key(ID-date)]],'DATA BTO'!S:S,'DATA BTO'!H:H,FALSE)</f>
        <v>0</v>
      </c>
      <c r="AF446" s="447" t="e">
        <f>IF(Tableau119[[#This Row],[First Day to POL]]&lt;=Tableau119[[#This Row],[Day Cut Off]],Tableau119[[#This Row],[Day ETD]],Tableau119[[#This Row],[Day ETD]]+7)</f>
        <v>#N/A</v>
      </c>
      <c r="AG446" s="50" t="b">
        <f>_xlfn.XLOOKUP(Tableau119[[#This Row],[Key(ID-date)]],'DATA BTO'!S:S,'DATA BTO'!I:I,FALSE)</f>
        <v>0</v>
      </c>
      <c r="AH446" s="3" t="b">
        <f>_xlfn.XLOOKUP(Tableau119[[#This Row],[Key(ID-date)]],'DATA BTO'!S:S,'DATA BTO'!J:J,FALSE)</f>
        <v>0</v>
      </c>
      <c r="AI446" s="3" t="b">
        <f>_xlfn.XLOOKUP(Tableau119[[#This Row],[Key(ID-date)]],'DATA BTO'!S:S,'DATA BTO'!K:K,FALSE)</f>
        <v>0</v>
      </c>
      <c r="AJ446" s="50" t="b">
        <f>_xlfn.XLOOKUP(Tableau119[[#This Row],[Key(ID-date)]],'DATA BTO'!S:S,'DATA BTO'!L:L,FALSE)</f>
        <v>0</v>
      </c>
      <c r="AK446" s="53" t="b">
        <f>_xlfn.XLOOKUP(Tableau119[[#This Row],[Key(ID-date)]],'DATA BTO'!S:S,'DATA BTO'!N:N,FALSE)</f>
        <v>0</v>
      </c>
      <c r="AL446" s="54" t="e">
        <f>VLOOKUP(Tableau119[[#This Row],[Key(POD -PFI- Usine)]],'DATA Consignee'!A:F,6,FALSE)</f>
        <v>#N/A</v>
      </c>
      <c r="AM446" s="284" t="s">
        <v>155</v>
      </c>
      <c r="AN446" s="376">
        <f>IF(Tableau119[[#This Row],[Name PFI/CDD]]="","-",VLOOKUP(Tableau119[[#This Row],[Name PFI/CDD]],Plant_AILN!I:J,2,FALSE))</f>
        <v>90016600</v>
      </c>
      <c r="AO4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6" s="2" t="e">
        <f>VLOOKUP(Tableau119[[#This Row],[Key(POD -PFI- Usine)]],'DATA Consignee'!A:J,10,FALSE)</f>
        <v>#N/A</v>
      </c>
      <c r="AR446" s="50" t="e">
        <f>VLOOKUP(Tableau119[[#This Row],[Key(POD -PFI- Usine)]],'DATA Consignee'!A:N,14,FALSE)</f>
        <v>#N/A</v>
      </c>
      <c r="AS4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6" s="50">
        <f>Tableau119[[#This Row],[Transit time]]+Tableau119[[#This Row],[Time for security]]+Tableau119[[#This Row],[Time for security2 buffer]]</f>
        <v>0</v>
      </c>
      <c r="AV4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6" s="50" t="e">
        <f>Tableau119[[#This Row],[Leadtime SI2C]]+Tableau119[[#This Row],[First Receipt Days]]-Tableau119[[#This Row],[Day Customer Order]]+1</f>
        <v>#N/A</v>
      </c>
      <c r="AX446" s="119" t="e">
        <f>IF(Tableau119[[#This Row],[Name ILN]]&lt;&gt;"SFK Freight Forwarder",Tableau119[[#This Row],[Cust. Leadtime]],Tableau119[[#This Row],[Leadtime SI2C]])</f>
        <v>#N/A</v>
      </c>
      <c r="AY446" s="51" t="b">
        <f>_xlfn.XLOOKUP(Tableau119[[#This Row],[Key(ID-date)]],'DATA BTO'!S:S,'DATA BTO'!P:P,FALSE)</f>
        <v>0</v>
      </c>
      <c r="AZ446" s="338">
        <v>45777</v>
      </c>
      <c r="BA446" s="50"/>
    </row>
    <row r="447" spans="2:53">
      <c r="B447" s="446" t="str">
        <f>_xlfn.CONCAT(Tableau119[[#This Row],[Name ILN]],"-",Tableau119[[#This Row],[Name Shipper]],"-",Tableau119[[#This Row],[Name Site]])</f>
        <v>ILN Cordoba-ILN Cordoba-REVOZ</v>
      </c>
      <c r="C447" s="66" t="str">
        <f>_xlfn.CONCAT(Tableau119[[#This Row],[Compte ILN]],"-",Tableau119[[#This Row],[Compte Shipper]],"-",Tableau119[[#This Row],[POL]],"-",Tableau119[[#This Row],[Compte Consignee]])</f>
        <v>26376-26376-FALSO-90016700</v>
      </c>
      <c r="D447" s="66" t="str">
        <f>_xlfn.CONCAT(Tableau119[[#This Row],[Compte ILN]],"-",Tableau119[[#This Row],[Compte Shipper]],"-",Tableau119[[#This Row],[POL]])</f>
        <v>26376-26376-FALSO</v>
      </c>
      <c r="E447" s="130" t="str">
        <f>_xlfn.CONCAT(Tableau119[[#This Row],[POL]],"-",Tableau119[[#This Row],[Carrier]],"-",Tableau119[[#This Row],[POD]])</f>
        <v>FALSO-FALSO-FALSO</v>
      </c>
      <c r="F447" s="66" t="str">
        <f>_xlfn.CONCAT(Tableau119[[#This Row],[ID]],"-","Actif")</f>
        <v>162-Actif</v>
      </c>
      <c r="G447" s="66" t="str">
        <f>_xlfn.CONCAT(Tableau119[[#This Row],[POD]],"-",Tableau119[[#This Row],[Code PFI]],"-",Tableau119[[#This Row],[Compte Consignee]])</f>
        <v>FALSO-90016600-90016700</v>
      </c>
      <c r="H4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CordobaFALSOREVOZ</v>
      </c>
      <c r="I447" s="434" t="str">
        <f>_xlfn.CONCAT(Tableau119[[#This Row],[ID]],"-",Tableau119[[#This Row],[Expiration Date]])</f>
        <v>162-45777</v>
      </c>
      <c r="J4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Cordoba-ILN Cordoba-162-FALSO-FALSO-FALSO-PFI FR-45777</v>
      </c>
      <c r="K447" s="119" t="str">
        <f ca="1">IF(COUNTIF(J:J,Tableau119[[#This Row],[Plant-ILN-shipper-POL-Carrier-POD-PFI]])=1,"Non","Oui")</f>
        <v>Non</v>
      </c>
      <c r="L447" s="128" t="str">
        <f>VLOOKUP(Tableau119[[#This Row],[Name Site]],Plant_AILN!A:D,4,FALSE)</f>
        <v>SLOVENIA</v>
      </c>
      <c r="M447" s="415" t="s">
        <v>35</v>
      </c>
      <c r="N447" s="455">
        <f>VLOOKUP(Tableau119[[#This Row],[Name Site]],Plant_AILN!A:C,3,FALSE)</f>
        <v>90016700</v>
      </c>
      <c r="O447" s="104">
        <f>VLOOKUP(Tableau119[[#This Row],[Compte Consignee]],Order!C:D,2,FALSE)</f>
        <v>7</v>
      </c>
      <c r="P447" s="126" t="s">
        <v>199</v>
      </c>
      <c r="Q447" s="366">
        <f>VLOOKUP(Tableau119[[#This Row],[Name ILN]],Plant_AILN!F:G,2,FALSE)</f>
        <v>26376</v>
      </c>
      <c r="R447" s="81">
        <f>VLOOKUP(Tableau119[[#This Row],[Compte ILN]],'DATA ILN'!D:I,6,FALSE)</f>
        <v>9</v>
      </c>
      <c r="S447" s="81" t="e">
        <f>IFERROR(VLOOKUP(Tableau119[[#This Row],[Key(Compte ILN - shipper - POL - plant)]],'DATA ILN'!A:J,10,FALSE),VLOOKUP(Tableau119[[#This Row],[Key(Compte ILN - shipper - POL)]],'DATA ILN'!B:J,9,FALSE))</f>
        <v>#N/A</v>
      </c>
      <c r="T447" s="81" t="e">
        <f>IFERROR(VLOOKUP(Tableau119[[#This Row],[Key(Compte ILN - shipper - POL - plant)]],'DATA ILN'!A:K,11,FALSE),VLOOKUP(Tableau119[[#This Row],[Key(Compte ILN - shipper - POL)]],'DATA ILN'!B:K,10,FALSE))</f>
        <v>#N/A</v>
      </c>
      <c r="U447" s="81" t="e">
        <f>IFERROR(VLOOKUP(Tableau119[[#This Row],[Key(Compte ILN - shipper - POL - plant)]],'DATA ILN'!A:L,12,FALSE),VLOOKUP(Tableau119[[#This Row],[Key(Compte ILN - shipper - POL)]],'DATA ILN'!B:L,11,FALSE))</f>
        <v>#N/A</v>
      </c>
      <c r="V447" s="81" t="e">
        <f>Tableau119[[#This Row],[Day ILN Order]]+Tableau119[[#This Row],[Delivery time to ILN/Shipper]]-1</f>
        <v>#N/A</v>
      </c>
      <c r="W447" s="81" t="e">
        <f>IFERROR(VLOOKUP(Tableau119[[#This Row],[Key(Compte ILN - shipper - POL - plant)]],'DATA ILN'!A:N,14,FALSE),VLOOKUP(Tableau119[[#This Row],[Key(Compte ILN - shipper - POL)]],'DATA ILN'!B:N,13,FALSE))</f>
        <v>#N/A</v>
      </c>
      <c r="X447" s="81" t="e">
        <f>IFERROR(VLOOKUP(Tableau119[[#This Row],[Key(Compte ILN - shipper - POL - plant)]],'DATA ILN'!A:P,16,FALSE),VLOOKUP(Tableau119[[#This Row],[Key(Compte ILN - shipper - POL)]],'DATA ILN'!B:P,15,FALSE))</f>
        <v>#N/A</v>
      </c>
      <c r="Y447" s="102" t="s">
        <v>199</v>
      </c>
      <c r="Z447" s="417">
        <f>IFERROR(VLOOKUP(Tableau119[[#This Row],[Name Shipper]],Plant_AILN!L:M,2,FALSE),0)</f>
        <v>26376</v>
      </c>
      <c r="AA447" s="416">
        <v>162</v>
      </c>
      <c r="AB447" s="396" t="b">
        <f>_xlfn.XLOOKUP(Tableau119[[#This Row],[Key(ID-date)]],'DATA BTO'!S:S,'DATA BTO'!E:E,FALSE)</f>
        <v>0</v>
      </c>
      <c r="AC447" s="3" t="b">
        <f>_xlfn.XLOOKUP(Tableau119[[#This Row],[Key(ID-date)]],'DATA BTO'!S:S,'DATA BTO'!F:F,FALSE)</f>
        <v>0</v>
      </c>
      <c r="AD447" s="50" t="b">
        <f>_xlfn.XLOOKUP(Tableau119[[#This Row],[Key(ID-date)]],'DATA BTO'!S:S,'DATA BTO'!G:G,FALSE)</f>
        <v>0</v>
      </c>
      <c r="AE447" s="50" t="b">
        <f>_xlfn.XLOOKUP(Tableau119[[#This Row],[Key(ID-date)]],'DATA BTO'!S:S,'DATA BTO'!H:H,FALSE)</f>
        <v>0</v>
      </c>
      <c r="AF447" s="447" t="e">
        <f>IF(Tableau119[[#This Row],[First Day to POL]]&lt;=Tableau119[[#This Row],[Day Cut Off]],Tableau119[[#This Row],[Day ETD]],Tableau119[[#This Row],[Day ETD]]+7)</f>
        <v>#N/A</v>
      </c>
      <c r="AG447" s="50" t="b">
        <f>_xlfn.XLOOKUP(Tableau119[[#This Row],[Key(ID-date)]],'DATA BTO'!S:S,'DATA BTO'!I:I,FALSE)</f>
        <v>0</v>
      </c>
      <c r="AH447" s="3" t="b">
        <f>_xlfn.XLOOKUP(Tableau119[[#This Row],[Key(ID-date)]],'DATA BTO'!S:S,'DATA BTO'!J:J,FALSE)</f>
        <v>0</v>
      </c>
      <c r="AI447" s="3" t="b">
        <f>_xlfn.XLOOKUP(Tableau119[[#This Row],[Key(ID-date)]],'DATA BTO'!S:S,'DATA BTO'!K:K,FALSE)</f>
        <v>0</v>
      </c>
      <c r="AJ447" s="50" t="b">
        <f>_xlfn.XLOOKUP(Tableau119[[#This Row],[Key(ID-date)]],'DATA BTO'!S:S,'DATA BTO'!L:L,FALSE)</f>
        <v>0</v>
      </c>
      <c r="AK447" s="53" t="b">
        <f>_xlfn.XLOOKUP(Tableau119[[#This Row],[Key(ID-date)]],'DATA BTO'!S:S,'DATA BTO'!N:N,FALSE)</f>
        <v>0</v>
      </c>
      <c r="AL447" s="54" t="e">
        <f>VLOOKUP(Tableau119[[#This Row],[Key(POD -PFI- Usine)]],'DATA Consignee'!A:F,6,FALSE)</f>
        <v>#N/A</v>
      </c>
      <c r="AM447" s="102" t="s">
        <v>270</v>
      </c>
      <c r="AN447" s="375">
        <f>IF(Tableau119[[#This Row],[Name PFI/CDD]]="","-",VLOOKUP(Tableau119[[#This Row],[Name PFI/CDD]],Plant_AILN!I:J,2,FALSE))</f>
        <v>90016600</v>
      </c>
      <c r="AO44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7" s="110" t="e">
        <f>VLOOKUP(Tableau119[[#This Row],[Key(POD -PFI- Usine)]],'DATA Consignee'!A:J,10,FALSE)</f>
        <v>#N/A</v>
      </c>
      <c r="AR447" s="81" t="e">
        <f>VLOOKUP(Tableau119[[#This Row],[Key(POD -PFI- Usine)]],'DATA Consignee'!A:N,14,FALSE)</f>
        <v>#N/A</v>
      </c>
      <c r="AS44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7" s="81">
        <f>Tableau119[[#This Row],[Transit time]]+Tableau119[[#This Row],[Time for security]]+Tableau119[[#This Row],[Time for security2 buffer]]</f>
        <v>0</v>
      </c>
      <c r="AV4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7" s="50" t="e">
        <f>Tableau119[[#This Row],[Leadtime SI2C]]+Tableau119[[#This Row],[First Receipt Days]]-Tableau119[[#This Row],[Day Customer Order]]+1</f>
        <v>#N/A</v>
      </c>
      <c r="AX447" s="119" t="e">
        <f>IF(Tableau119[[#This Row],[Name ILN]]&lt;&gt;"SFK Freight Forwarder",Tableau119[[#This Row],[Cust. Leadtime]],Tableau119[[#This Row],[Leadtime SI2C]])</f>
        <v>#N/A</v>
      </c>
      <c r="AY447" s="51" t="b">
        <f>_xlfn.XLOOKUP(Tableau119[[#This Row],[Key(ID-date)]],'DATA BTO'!S:S,'DATA BTO'!P:P,FALSE)</f>
        <v>0</v>
      </c>
      <c r="AZ447" s="388">
        <v>45777</v>
      </c>
      <c r="BA447" s="81"/>
    </row>
    <row r="448" spans="2:53">
      <c r="B448" s="446" t="str">
        <f>_xlfn.CONCAT(Tableau119[[#This Row],[Name ILN]],"-",Tableau119[[#This Row],[Name Shipper]],"-",Tableau119[[#This Row],[Name Site]])</f>
        <v>ILN Cordoba-ILN Cordoba-SOVAB</v>
      </c>
      <c r="C448" s="66" t="str">
        <f>_xlfn.CONCAT(Tableau119[[#This Row],[Compte ILN]],"-",Tableau119[[#This Row],[Compte Shipper]],"-",Tableau119[[#This Row],[POL]],"-",Tableau119[[#This Row],[Compte Consignee]])</f>
        <v>26376-26376-FALSO-90016900</v>
      </c>
      <c r="D448" s="66" t="str">
        <f>_xlfn.CONCAT(Tableau119[[#This Row],[Compte ILN]],"-",Tableau119[[#This Row],[Compte Shipper]],"-",Tableau119[[#This Row],[POL]])</f>
        <v>26376-26376-FALSO</v>
      </c>
      <c r="E448" s="130" t="str">
        <f>_xlfn.CONCAT(Tableau119[[#This Row],[POL]],"-",Tableau119[[#This Row],[Carrier]],"-",Tableau119[[#This Row],[POD]])</f>
        <v>FALSO-FALSO-FALSO</v>
      </c>
      <c r="F448" s="66" t="str">
        <f>_xlfn.CONCAT(Tableau119[[#This Row],[ID]],"-","Actif")</f>
        <v>162-Actif</v>
      </c>
      <c r="G448" s="66" t="str">
        <f>_xlfn.CONCAT(Tableau119[[#This Row],[POD]],"-",Tableau119[[#This Row],[Code PFI]],"-",Tableau119[[#This Row],[Compte Consignee]])</f>
        <v>FALSO-90016600-90016900</v>
      </c>
      <c r="H4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CordobaFALSOSOVAB</v>
      </c>
      <c r="I448" s="434" t="str">
        <f>_xlfn.CONCAT(Tableau119[[#This Row],[ID]],"-",Tableau119[[#This Row],[Expiration Date]])</f>
        <v>162-45777</v>
      </c>
      <c r="J4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Cordoba-ILN Cordoba-162-FALSO-FALSO-FALSO-CDD FR-45777</v>
      </c>
      <c r="K448" s="119" t="str">
        <f ca="1">IF(COUNTIF(J:J,Tableau119[[#This Row],[Plant-ILN-shipper-POL-Carrier-POD-PFI]])=1,"Non","Oui")</f>
        <v>Non</v>
      </c>
      <c r="L448" s="128" t="str">
        <f>VLOOKUP(Tableau119[[#This Row],[Name Site]],Plant_AILN!A:D,4,FALSE)</f>
        <v>FRANCE</v>
      </c>
      <c r="M448" s="411" t="s">
        <v>154</v>
      </c>
      <c r="N448" s="454">
        <f>VLOOKUP(Tableau119[[#This Row],[Name Site]],Plant_AILN!A:C,3,FALSE)</f>
        <v>90016900</v>
      </c>
      <c r="O448" s="55">
        <f>VLOOKUP(Tableau119[[#This Row],[Compte Consignee]],Order!C:D,2,FALSE)</f>
        <v>7</v>
      </c>
      <c r="P448" s="124" t="s">
        <v>199</v>
      </c>
      <c r="Q448" s="365">
        <f>VLOOKUP(Tableau119[[#This Row],[Name ILN]],Plant_AILN!F:G,2,FALSE)</f>
        <v>26376</v>
      </c>
      <c r="R448" s="50">
        <f>VLOOKUP(Tableau119[[#This Row],[Compte ILN]],'DATA ILN'!D:I,6,FALSE)</f>
        <v>9</v>
      </c>
      <c r="S448" s="50" t="e">
        <f>IFERROR(VLOOKUP(Tableau119[[#This Row],[Key(Compte ILN - shipper - POL - plant)]],'DATA ILN'!A:J,10,FALSE),VLOOKUP(Tableau119[[#This Row],[Key(Compte ILN - shipper - POL)]],'DATA ILN'!B:J,9,FALSE))</f>
        <v>#N/A</v>
      </c>
      <c r="T448" s="50" t="e">
        <f>IFERROR(VLOOKUP(Tableau119[[#This Row],[Key(Compte ILN - shipper - POL - plant)]],'DATA ILN'!A:K,11,FALSE),VLOOKUP(Tableau119[[#This Row],[Key(Compte ILN - shipper - POL)]],'DATA ILN'!B:K,10,FALSE))</f>
        <v>#N/A</v>
      </c>
      <c r="U448" s="50" t="e">
        <f>IFERROR(VLOOKUP(Tableau119[[#This Row],[Key(Compte ILN - shipper - POL - plant)]],'DATA ILN'!A:L,12,FALSE),VLOOKUP(Tableau119[[#This Row],[Key(Compte ILN - shipper - POL)]],'DATA ILN'!B:L,11,FALSE))</f>
        <v>#N/A</v>
      </c>
      <c r="V448" s="50" t="e">
        <f>Tableau119[[#This Row],[Day ILN Order]]+Tableau119[[#This Row],[Delivery time to ILN/Shipper]]-1</f>
        <v>#N/A</v>
      </c>
      <c r="W448" s="50" t="e">
        <f>IFERROR(VLOOKUP(Tableau119[[#This Row],[Key(Compte ILN - shipper - POL - plant)]],'DATA ILN'!A:N,14,FALSE),VLOOKUP(Tableau119[[#This Row],[Key(Compte ILN - shipper - POL)]],'DATA ILN'!B:N,13,FALSE))</f>
        <v>#N/A</v>
      </c>
      <c r="X448" s="50" t="e">
        <f>IFERROR(VLOOKUP(Tableau119[[#This Row],[Key(Compte ILN - shipper - POL - plant)]],'DATA ILN'!A:P,16,FALSE),VLOOKUP(Tableau119[[#This Row],[Key(Compte ILN - shipper - POL)]],'DATA ILN'!B:P,15,FALSE))</f>
        <v>#N/A</v>
      </c>
      <c r="Y448" s="284" t="s">
        <v>199</v>
      </c>
      <c r="Z448" s="430">
        <f>IFERROR(VLOOKUP(Tableau119[[#This Row],[Name Shipper]],Plant_AILN!L:M,2,FALSE),0)</f>
        <v>26376</v>
      </c>
      <c r="AA448" s="406">
        <v>162</v>
      </c>
      <c r="AB448" s="396" t="b">
        <f>_xlfn.XLOOKUP(Tableau119[[#This Row],[Key(ID-date)]],'DATA BTO'!S:S,'DATA BTO'!E:E,FALSE)</f>
        <v>0</v>
      </c>
      <c r="AC448" s="3" t="b">
        <f>_xlfn.XLOOKUP(Tableau119[[#This Row],[Key(ID-date)]],'DATA BTO'!S:S,'DATA BTO'!F:F,FALSE)</f>
        <v>0</v>
      </c>
      <c r="AD448" s="50" t="b">
        <f>_xlfn.XLOOKUP(Tableau119[[#This Row],[Key(ID-date)]],'DATA BTO'!S:S,'DATA BTO'!G:G,FALSE)</f>
        <v>0</v>
      </c>
      <c r="AE448" s="50" t="b">
        <f>_xlfn.XLOOKUP(Tableau119[[#This Row],[Key(ID-date)]],'DATA BTO'!S:S,'DATA BTO'!H:H,FALSE)</f>
        <v>0</v>
      </c>
      <c r="AF448" s="447" t="e">
        <f>IF(Tableau119[[#This Row],[First Day to POL]]&lt;=Tableau119[[#This Row],[Day Cut Off]],Tableau119[[#This Row],[Day ETD]],Tableau119[[#This Row],[Day ETD]]+7)</f>
        <v>#N/A</v>
      </c>
      <c r="AG448" s="50" t="b">
        <f>_xlfn.XLOOKUP(Tableau119[[#This Row],[Key(ID-date)]],'DATA BTO'!S:S,'DATA BTO'!I:I,FALSE)</f>
        <v>0</v>
      </c>
      <c r="AH448" s="3" t="b">
        <f>_xlfn.XLOOKUP(Tableau119[[#This Row],[Key(ID-date)]],'DATA BTO'!S:S,'DATA BTO'!J:J,FALSE)</f>
        <v>0</v>
      </c>
      <c r="AI448" s="3" t="b">
        <f>_xlfn.XLOOKUP(Tableau119[[#This Row],[Key(ID-date)]],'DATA BTO'!S:S,'DATA BTO'!K:K,FALSE)</f>
        <v>0</v>
      </c>
      <c r="AJ448" s="50" t="b">
        <f>_xlfn.XLOOKUP(Tableau119[[#This Row],[Key(ID-date)]],'DATA BTO'!S:S,'DATA BTO'!L:L,FALSE)</f>
        <v>0</v>
      </c>
      <c r="AK448" s="53" t="b">
        <f>_xlfn.XLOOKUP(Tableau119[[#This Row],[Key(ID-date)]],'DATA BTO'!S:S,'DATA BTO'!N:N,FALSE)</f>
        <v>0</v>
      </c>
      <c r="AL448" s="54" t="e">
        <f>VLOOKUP(Tableau119[[#This Row],[Key(POD -PFI- Usine)]],'DATA Consignee'!A:F,6,FALSE)</f>
        <v>#N/A</v>
      </c>
      <c r="AM448" s="284" t="s">
        <v>155</v>
      </c>
      <c r="AN448" s="376">
        <f>IF(Tableau119[[#This Row],[Name PFI/CDD]]="","-",VLOOKUP(Tableau119[[#This Row],[Name PFI/CDD]],Plant_AILN!I:J,2,FALSE))</f>
        <v>90016600</v>
      </c>
      <c r="AO4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8" s="2" t="e">
        <f>VLOOKUP(Tableau119[[#This Row],[Key(POD -PFI- Usine)]],'DATA Consignee'!A:J,10,FALSE)</f>
        <v>#N/A</v>
      </c>
      <c r="AR448" s="50" t="e">
        <f>VLOOKUP(Tableau119[[#This Row],[Key(POD -PFI- Usine)]],'DATA Consignee'!A:N,14,FALSE)</f>
        <v>#N/A</v>
      </c>
      <c r="AS4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8" s="50">
        <f>Tableau119[[#This Row],[Transit time]]+Tableau119[[#This Row],[Time for security]]+Tableau119[[#This Row],[Time for security2 buffer]]</f>
        <v>0</v>
      </c>
      <c r="AV4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8" s="50" t="e">
        <f>Tableau119[[#This Row],[Leadtime SI2C]]+Tableau119[[#This Row],[First Receipt Days]]-Tableau119[[#This Row],[Day Customer Order]]+1</f>
        <v>#N/A</v>
      </c>
      <c r="AX448" s="119" t="e">
        <f>IF(Tableau119[[#This Row],[Name ILN]]&lt;&gt;"SFK Freight Forwarder",Tableau119[[#This Row],[Cust. Leadtime]],Tableau119[[#This Row],[Leadtime SI2C]])</f>
        <v>#N/A</v>
      </c>
      <c r="AY448" s="51" t="b">
        <f>_xlfn.XLOOKUP(Tableau119[[#This Row],[Key(ID-date)]],'DATA BTO'!S:S,'DATA BTO'!P:P,FALSE)</f>
        <v>0</v>
      </c>
      <c r="AZ448" s="338">
        <v>45777</v>
      </c>
      <c r="BA448" s="50"/>
    </row>
    <row r="449" spans="2:53">
      <c r="B449" s="446" t="str">
        <f>_xlfn.CONCAT(Tableau119[[#This Row],[Name ILN]],"-",Tableau119[[#This Row],[Name Shipper]],"-",Tableau119[[#This Row],[Name Site]])</f>
        <v>ILN Cordoba-ILN Cordoba-OYAK MONT</v>
      </c>
      <c r="C449" s="66" t="str">
        <f>_xlfn.CONCAT(Tableau119[[#This Row],[Compte ILN]],"-",Tableau119[[#This Row],[Compte Shipper]],"-",Tableau119[[#This Row],[POL]],"-",Tableau119[[#This Row],[Compte Consignee]])</f>
        <v>26376-26376-FALSO-90017000</v>
      </c>
      <c r="D449" s="66" t="str">
        <f>_xlfn.CONCAT(Tableau119[[#This Row],[Compte ILN]],"-",Tableau119[[#This Row],[Compte Shipper]],"-",Tableau119[[#This Row],[POL]])</f>
        <v>26376-26376-FALSO</v>
      </c>
      <c r="E449" s="130" t="str">
        <f>_xlfn.CONCAT(Tableau119[[#This Row],[POL]],"-",Tableau119[[#This Row],[Carrier]],"-",Tableau119[[#This Row],[POD]])</f>
        <v>FALSO-FALSO-FALSO</v>
      </c>
      <c r="F449" s="66" t="str">
        <f>_xlfn.CONCAT(Tableau119[[#This Row],[ID]],"-","Actif")</f>
        <v>162-Actif</v>
      </c>
      <c r="G449" s="66" t="str">
        <f>_xlfn.CONCAT(Tableau119[[#This Row],[POD]],"-",Tableau119[[#This Row],[Code PFI]],"-",Tableau119[[#This Row],[Compte Consignee]])</f>
        <v>FALSO-90016600-90017000</v>
      </c>
      <c r="H4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CordobaFALSOOYAK MONT</v>
      </c>
      <c r="I449" s="434" t="str">
        <f>_xlfn.CONCAT(Tableau119[[#This Row],[ID]],"-",Tableau119[[#This Row],[Expiration Date]])</f>
        <v>162-45777</v>
      </c>
      <c r="J4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Cordoba-ILN Cordoba-162-FALSO-FALSO-FALSO-PFI FR-45777</v>
      </c>
      <c r="K449" s="119" t="str">
        <f ca="1">IF(COUNTIF(J:J,Tableau119[[#This Row],[Plant-ILN-shipper-POL-Carrier-POD-PFI]])=1,"Non","Oui")</f>
        <v>Non</v>
      </c>
      <c r="L449" s="128" t="str">
        <f>VLOOKUP(Tableau119[[#This Row],[Name Site]],Plant_AILN!A:D,4,FALSE)</f>
        <v>TURKEY</v>
      </c>
      <c r="M449" s="411" t="s">
        <v>173</v>
      </c>
      <c r="N449" s="454">
        <f>VLOOKUP(Tableau119[[#This Row],[Name Site]],Plant_AILN!A:C,3,FALSE)</f>
        <v>90017000</v>
      </c>
      <c r="O449" s="55">
        <f>VLOOKUP(Tableau119[[#This Row],[Compte Consignee]],Order!C:D,2,FALSE)</f>
        <v>7</v>
      </c>
      <c r="P449" s="124" t="s">
        <v>199</v>
      </c>
      <c r="Q449" s="365">
        <f>VLOOKUP(Tableau119[[#This Row],[Name ILN]],Plant_AILN!F:G,2,FALSE)</f>
        <v>26376</v>
      </c>
      <c r="R449" s="50">
        <f>VLOOKUP(Tableau119[[#This Row],[Compte ILN]],'DATA ILN'!D:I,6,FALSE)</f>
        <v>9</v>
      </c>
      <c r="S449" s="50" t="e">
        <f>IFERROR(VLOOKUP(Tableau119[[#This Row],[Key(Compte ILN - shipper - POL - plant)]],'DATA ILN'!A:J,10,FALSE),VLOOKUP(Tableau119[[#This Row],[Key(Compte ILN - shipper - POL)]],'DATA ILN'!B:J,9,FALSE))</f>
        <v>#N/A</v>
      </c>
      <c r="T449" s="50" t="e">
        <f>IFERROR(VLOOKUP(Tableau119[[#This Row],[Key(Compte ILN - shipper - POL - plant)]],'DATA ILN'!A:K,11,FALSE),VLOOKUP(Tableau119[[#This Row],[Key(Compte ILN - shipper - POL)]],'DATA ILN'!B:K,10,FALSE))</f>
        <v>#N/A</v>
      </c>
      <c r="U449" s="50" t="e">
        <f>IFERROR(VLOOKUP(Tableau119[[#This Row],[Key(Compte ILN - shipper - POL - plant)]],'DATA ILN'!A:L,12,FALSE),VLOOKUP(Tableau119[[#This Row],[Key(Compte ILN - shipper - POL)]],'DATA ILN'!B:L,11,FALSE))</f>
        <v>#N/A</v>
      </c>
      <c r="V449" s="50" t="e">
        <f>Tableau119[[#This Row],[Day ILN Order]]+Tableau119[[#This Row],[Delivery time to ILN/Shipper]]-1</f>
        <v>#N/A</v>
      </c>
      <c r="W449" s="50" t="e">
        <f>IFERROR(VLOOKUP(Tableau119[[#This Row],[Key(Compte ILN - shipper - POL - plant)]],'DATA ILN'!A:N,14,FALSE),VLOOKUP(Tableau119[[#This Row],[Key(Compte ILN - shipper - POL)]],'DATA ILN'!B:N,13,FALSE))</f>
        <v>#N/A</v>
      </c>
      <c r="X449" s="50" t="e">
        <f>IFERROR(VLOOKUP(Tableau119[[#This Row],[Key(Compte ILN - shipper - POL - plant)]],'DATA ILN'!A:P,16,FALSE),VLOOKUP(Tableau119[[#This Row],[Key(Compte ILN - shipper - POL)]],'DATA ILN'!B:P,15,FALSE))</f>
        <v>#N/A</v>
      </c>
      <c r="Y449" s="284" t="s">
        <v>199</v>
      </c>
      <c r="Z449" s="430">
        <f>IFERROR(VLOOKUP(Tableau119[[#This Row],[Name Shipper]],Plant_AILN!L:M,2,FALSE),0)</f>
        <v>26376</v>
      </c>
      <c r="AA449" s="406">
        <v>162</v>
      </c>
      <c r="AB449" s="396" t="b">
        <f>_xlfn.XLOOKUP(Tableau119[[#This Row],[Key(ID-date)]],'DATA BTO'!S:S,'DATA BTO'!E:E,FALSE)</f>
        <v>0</v>
      </c>
      <c r="AC449" s="3" t="b">
        <f>_xlfn.XLOOKUP(Tableau119[[#This Row],[Key(ID-date)]],'DATA BTO'!S:S,'DATA BTO'!F:F,FALSE)</f>
        <v>0</v>
      </c>
      <c r="AD449" s="50" t="b">
        <f>_xlfn.XLOOKUP(Tableau119[[#This Row],[Key(ID-date)]],'DATA BTO'!S:S,'DATA BTO'!G:G,FALSE)</f>
        <v>0</v>
      </c>
      <c r="AE449" s="50" t="b">
        <f>_xlfn.XLOOKUP(Tableau119[[#This Row],[Key(ID-date)]],'DATA BTO'!S:S,'DATA BTO'!H:H,FALSE)</f>
        <v>0</v>
      </c>
      <c r="AF449" s="447" t="e">
        <f>IF(Tableau119[[#This Row],[First Day to POL]]&lt;=Tableau119[[#This Row],[Day Cut Off]],Tableau119[[#This Row],[Day ETD]],Tableau119[[#This Row],[Day ETD]]+7)</f>
        <v>#N/A</v>
      </c>
      <c r="AG449" s="50" t="b">
        <f>_xlfn.XLOOKUP(Tableau119[[#This Row],[Key(ID-date)]],'DATA BTO'!S:S,'DATA BTO'!I:I,FALSE)</f>
        <v>0</v>
      </c>
      <c r="AH449" s="3" t="b">
        <f>_xlfn.XLOOKUP(Tableau119[[#This Row],[Key(ID-date)]],'DATA BTO'!S:S,'DATA BTO'!J:J,FALSE)</f>
        <v>0</v>
      </c>
      <c r="AI449" s="3" t="b">
        <f>_xlfn.XLOOKUP(Tableau119[[#This Row],[Key(ID-date)]],'DATA BTO'!S:S,'DATA BTO'!K:K,FALSE)</f>
        <v>0</v>
      </c>
      <c r="AJ449" s="50" t="b">
        <f>_xlfn.XLOOKUP(Tableau119[[#This Row],[Key(ID-date)]],'DATA BTO'!S:S,'DATA BTO'!L:L,FALSE)</f>
        <v>0</v>
      </c>
      <c r="AK449" s="53" t="b">
        <f>_xlfn.XLOOKUP(Tableau119[[#This Row],[Key(ID-date)]],'DATA BTO'!S:S,'DATA BTO'!N:N,FALSE)</f>
        <v>0</v>
      </c>
      <c r="AL449" s="54" t="e">
        <f>VLOOKUP(Tableau119[[#This Row],[Key(POD -PFI- Usine)]],'DATA Consignee'!A:F,6,FALSE)</f>
        <v>#N/A</v>
      </c>
      <c r="AM449" s="284" t="s">
        <v>270</v>
      </c>
      <c r="AN449" s="376">
        <f>IF(Tableau119[[#This Row],[Name PFI/CDD]]="","-",VLOOKUP(Tableau119[[#This Row],[Name PFI/CDD]],Plant_AILN!I:J,2,FALSE))</f>
        <v>90016600</v>
      </c>
      <c r="AO4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49" s="2" t="e">
        <f>VLOOKUP(Tableau119[[#This Row],[Key(POD -PFI- Usine)]],'DATA Consignee'!A:J,10,FALSE)</f>
        <v>#N/A</v>
      </c>
      <c r="AR449" s="50" t="e">
        <f>VLOOKUP(Tableau119[[#This Row],[Key(POD -PFI- Usine)]],'DATA Consignee'!A:N,14,FALSE)</f>
        <v>#N/A</v>
      </c>
      <c r="AS4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49" s="50">
        <f>Tableau119[[#This Row],[Transit time]]+Tableau119[[#This Row],[Time for security]]+Tableau119[[#This Row],[Time for security2 buffer]]</f>
        <v>0</v>
      </c>
      <c r="AV4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49" s="50" t="e">
        <f>Tableau119[[#This Row],[Leadtime SI2C]]+Tableau119[[#This Row],[First Receipt Days]]-Tableau119[[#This Row],[Day Customer Order]]+1</f>
        <v>#N/A</v>
      </c>
      <c r="AX449" s="119" t="e">
        <f>IF(Tableau119[[#This Row],[Name ILN]]&lt;&gt;"SFK Freight Forwarder",Tableau119[[#This Row],[Cust. Leadtime]],Tableau119[[#This Row],[Leadtime SI2C]])</f>
        <v>#N/A</v>
      </c>
      <c r="AY449" s="51" t="b">
        <f>_xlfn.XLOOKUP(Tableau119[[#This Row],[Key(ID-date)]],'DATA BTO'!S:S,'DATA BTO'!P:P,FALSE)</f>
        <v>0</v>
      </c>
      <c r="AZ449" s="338">
        <v>45777</v>
      </c>
      <c r="BA449" s="50"/>
    </row>
    <row r="450" spans="2:53">
      <c r="B450" s="446" t="str">
        <f>_xlfn.CONCAT(Tableau119[[#This Row],[Name ILN]],"-",Tableau119[[#This Row],[Name Shipper]],"-",Tableau119[[#This Row],[Name Site]])</f>
        <v>ILN Cordoba-ILN Cordoba-SANDOUVILLE</v>
      </c>
      <c r="C450" s="66" t="str">
        <f>_xlfn.CONCAT(Tableau119[[#This Row],[Compte ILN]],"-",Tableau119[[#This Row],[Compte Shipper]],"-",Tableau119[[#This Row],[POL]],"-",Tableau119[[#This Row],[Compte Consignee]])</f>
        <v>26376-26376-FALSO-90017100</v>
      </c>
      <c r="D450" s="66" t="str">
        <f>_xlfn.CONCAT(Tableau119[[#This Row],[Compte ILN]],"-",Tableau119[[#This Row],[Compte Shipper]],"-",Tableau119[[#This Row],[POL]])</f>
        <v>26376-26376-FALSO</v>
      </c>
      <c r="E450" s="130" t="str">
        <f>_xlfn.CONCAT(Tableau119[[#This Row],[POL]],"-",Tableau119[[#This Row],[Carrier]],"-",Tableau119[[#This Row],[POD]])</f>
        <v>FALSO-FALSO-FALSO</v>
      </c>
      <c r="F450" s="66" t="str">
        <f>_xlfn.CONCAT(Tableau119[[#This Row],[ID]],"-","Actif")</f>
        <v>162-Actif</v>
      </c>
      <c r="G450" s="66" t="str">
        <f>_xlfn.CONCAT(Tableau119[[#This Row],[POD]],"-",Tableau119[[#This Row],[Code PFI]],"-",Tableau119[[#This Row],[Compte Consignee]])</f>
        <v>FALSO-90016600-90017100</v>
      </c>
      <c r="H4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CordobaFALSOSANDOUVILLE</v>
      </c>
      <c r="I450" s="434" t="str">
        <f>_xlfn.CONCAT(Tableau119[[#This Row],[ID]],"-",Tableau119[[#This Row],[Expiration Date]])</f>
        <v>162-45777</v>
      </c>
      <c r="J4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Cordoba-ILN Cordoba-162-FALSO-FALSO-FALSO-CDD FR-45777</v>
      </c>
      <c r="K450" s="119" t="str">
        <f ca="1">IF(COUNTIF(J:J,Tableau119[[#This Row],[Plant-ILN-shipper-POL-Carrier-POD-PFI]])=1,"Non","Oui")</f>
        <v>Non</v>
      </c>
      <c r="L450" s="128" t="str">
        <f>VLOOKUP(Tableau119[[#This Row],[Name Site]],Plant_AILN!A:D,4,FALSE)</f>
        <v>FRANCE</v>
      </c>
      <c r="M450" s="411" t="s">
        <v>196</v>
      </c>
      <c r="N450" s="454">
        <f>VLOOKUP(Tableau119[[#This Row],[Name Site]],Plant_AILN!A:C,3,FALSE)</f>
        <v>90017100</v>
      </c>
      <c r="O450" s="55">
        <f>VLOOKUP(Tableau119[[#This Row],[Compte Consignee]],Order!C:D,2,FALSE)</f>
        <v>7</v>
      </c>
      <c r="P450" s="124" t="s">
        <v>199</v>
      </c>
      <c r="Q450" s="365">
        <f>VLOOKUP(Tableau119[[#This Row],[Name ILN]],Plant_AILN!F:G,2,FALSE)</f>
        <v>26376</v>
      </c>
      <c r="R450" s="50">
        <f>VLOOKUP(Tableau119[[#This Row],[Compte ILN]],'DATA ILN'!D:I,6,FALSE)</f>
        <v>9</v>
      </c>
      <c r="S450" s="50" t="e">
        <f>IFERROR(VLOOKUP(Tableau119[[#This Row],[Key(Compte ILN - shipper - POL - plant)]],'DATA ILN'!A:J,10,FALSE),VLOOKUP(Tableau119[[#This Row],[Key(Compte ILN - shipper - POL)]],'DATA ILN'!B:J,9,FALSE))</f>
        <v>#N/A</v>
      </c>
      <c r="T450" s="50" t="e">
        <f>IFERROR(VLOOKUP(Tableau119[[#This Row],[Key(Compte ILN - shipper - POL - plant)]],'DATA ILN'!A:K,11,FALSE),VLOOKUP(Tableau119[[#This Row],[Key(Compte ILN - shipper - POL)]],'DATA ILN'!B:K,10,FALSE))</f>
        <v>#N/A</v>
      </c>
      <c r="U450" s="50" t="e">
        <f>IFERROR(VLOOKUP(Tableau119[[#This Row],[Key(Compte ILN - shipper - POL - plant)]],'DATA ILN'!A:L,12,FALSE),VLOOKUP(Tableau119[[#This Row],[Key(Compte ILN - shipper - POL)]],'DATA ILN'!B:L,11,FALSE))</f>
        <v>#N/A</v>
      </c>
      <c r="V450" s="50" t="e">
        <f>Tableau119[[#This Row],[Day ILN Order]]+Tableau119[[#This Row],[Delivery time to ILN/Shipper]]-1</f>
        <v>#N/A</v>
      </c>
      <c r="W450" s="50" t="e">
        <f>IFERROR(VLOOKUP(Tableau119[[#This Row],[Key(Compte ILN - shipper - POL - plant)]],'DATA ILN'!A:N,14,FALSE),VLOOKUP(Tableau119[[#This Row],[Key(Compte ILN - shipper - POL)]],'DATA ILN'!B:N,13,FALSE))</f>
        <v>#N/A</v>
      </c>
      <c r="X450" s="50" t="e">
        <f>IFERROR(VLOOKUP(Tableau119[[#This Row],[Key(Compte ILN - shipper - POL - plant)]],'DATA ILN'!A:P,16,FALSE),VLOOKUP(Tableau119[[#This Row],[Key(Compte ILN - shipper - POL)]],'DATA ILN'!B:P,15,FALSE))</f>
        <v>#N/A</v>
      </c>
      <c r="Y450" s="284" t="s">
        <v>199</v>
      </c>
      <c r="Z450" s="430">
        <f>IFERROR(VLOOKUP(Tableau119[[#This Row],[Name Shipper]],Plant_AILN!L:M,2,FALSE),0)</f>
        <v>26376</v>
      </c>
      <c r="AA450" s="406">
        <v>162</v>
      </c>
      <c r="AB450" s="396" t="b">
        <f>_xlfn.XLOOKUP(Tableau119[[#This Row],[Key(ID-date)]],'DATA BTO'!S:S,'DATA BTO'!E:E,FALSE)</f>
        <v>0</v>
      </c>
      <c r="AC450" s="3" t="b">
        <f>_xlfn.XLOOKUP(Tableau119[[#This Row],[Key(ID-date)]],'DATA BTO'!S:S,'DATA BTO'!F:F,FALSE)</f>
        <v>0</v>
      </c>
      <c r="AD450" s="50" t="b">
        <f>_xlfn.XLOOKUP(Tableau119[[#This Row],[Key(ID-date)]],'DATA BTO'!S:S,'DATA BTO'!G:G,FALSE)</f>
        <v>0</v>
      </c>
      <c r="AE450" s="50" t="b">
        <f>_xlfn.XLOOKUP(Tableau119[[#This Row],[Key(ID-date)]],'DATA BTO'!S:S,'DATA BTO'!H:H,FALSE)</f>
        <v>0</v>
      </c>
      <c r="AF450" s="447" t="e">
        <f>IF(Tableau119[[#This Row],[First Day to POL]]&lt;=Tableau119[[#This Row],[Day Cut Off]],Tableau119[[#This Row],[Day ETD]],Tableau119[[#This Row],[Day ETD]]+7)</f>
        <v>#N/A</v>
      </c>
      <c r="AG450" s="50" t="b">
        <f>_xlfn.XLOOKUP(Tableau119[[#This Row],[Key(ID-date)]],'DATA BTO'!S:S,'DATA BTO'!I:I,FALSE)</f>
        <v>0</v>
      </c>
      <c r="AH450" s="3" t="b">
        <f>_xlfn.XLOOKUP(Tableau119[[#This Row],[Key(ID-date)]],'DATA BTO'!S:S,'DATA BTO'!J:J,FALSE)</f>
        <v>0</v>
      </c>
      <c r="AI450" s="3" t="b">
        <f>_xlfn.XLOOKUP(Tableau119[[#This Row],[Key(ID-date)]],'DATA BTO'!S:S,'DATA BTO'!K:K,FALSE)</f>
        <v>0</v>
      </c>
      <c r="AJ450" s="50" t="b">
        <f>_xlfn.XLOOKUP(Tableau119[[#This Row],[Key(ID-date)]],'DATA BTO'!S:S,'DATA BTO'!L:L,FALSE)</f>
        <v>0</v>
      </c>
      <c r="AK450" s="53" t="b">
        <f>_xlfn.XLOOKUP(Tableau119[[#This Row],[Key(ID-date)]],'DATA BTO'!S:S,'DATA BTO'!N:N,FALSE)</f>
        <v>0</v>
      </c>
      <c r="AL450" s="54" t="e">
        <f>VLOOKUP(Tableau119[[#This Row],[Key(POD -PFI- Usine)]],'DATA Consignee'!A:F,6,FALSE)</f>
        <v>#N/A</v>
      </c>
      <c r="AM450" s="284" t="s">
        <v>155</v>
      </c>
      <c r="AN450" s="376">
        <f>IF(Tableau119[[#This Row],[Name PFI/CDD]]="","-",VLOOKUP(Tableau119[[#This Row],[Name PFI/CDD]],Plant_AILN!I:J,2,FALSE))</f>
        <v>90016600</v>
      </c>
      <c r="AO4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0" s="2" t="e">
        <f>VLOOKUP(Tableau119[[#This Row],[Key(POD -PFI- Usine)]],'DATA Consignee'!A:J,10,FALSE)</f>
        <v>#N/A</v>
      </c>
      <c r="AR450" s="50" t="e">
        <f>VLOOKUP(Tableau119[[#This Row],[Key(POD -PFI- Usine)]],'DATA Consignee'!A:N,14,FALSE)</f>
        <v>#N/A</v>
      </c>
      <c r="AS4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0" s="50">
        <f>Tableau119[[#This Row],[Transit time]]+Tableau119[[#This Row],[Time for security]]+Tableau119[[#This Row],[Time for security2 buffer]]</f>
        <v>0</v>
      </c>
      <c r="AV4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0" s="50" t="e">
        <f>Tableau119[[#This Row],[Leadtime SI2C]]+Tableau119[[#This Row],[First Receipt Days]]-Tableau119[[#This Row],[Day Customer Order]]+1</f>
        <v>#N/A</v>
      </c>
      <c r="AX450" s="119" t="e">
        <f>IF(Tableau119[[#This Row],[Name ILN]]&lt;&gt;"SFK Freight Forwarder",Tableau119[[#This Row],[Cust. Leadtime]],Tableau119[[#This Row],[Leadtime SI2C]])</f>
        <v>#N/A</v>
      </c>
      <c r="AY450" s="51" t="b">
        <f>_xlfn.XLOOKUP(Tableau119[[#This Row],[Key(ID-date)]],'DATA BTO'!S:S,'DATA BTO'!P:P,FALSE)</f>
        <v>0</v>
      </c>
      <c r="AZ450" s="338">
        <v>45777</v>
      </c>
      <c r="BA450" s="50"/>
    </row>
    <row r="451" spans="2:53">
      <c r="B451" s="446" t="str">
        <f>_xlfn.CONCAT(Tableau119[[#This Row],[Name ILN]],"-",Tableau119[[#This Row],[Name Shipper]],"-",Tableau119[[#This Row],[Name Site]])</f>
        <v>ILN Cordoba-ILN Cordoba-ALPINE</v>
      </c>
      <c r="C451" s="66" t="str">
        <f>_xlfn.CONCAT(Tableau119[[#This Row],[Compte ILN]],"-",Tableau119[[#This Row],[Compte Shipper]],"-",Tableau119[[#This Row],[POL]],"-",Tableau119[[#This Row],[Compte Consignee]])</f>
        <v>26376-26376-FALSO-90018300</v>
      </c>
      <c r="D451" s="66" t="str">
        <f>_xlfn.CONCAT(Tableau119[[#This Row],[Compte ILN]],"-",Tableau119[[#This Row],[Compte Shipper]],"-",Tableau119[[#This Row],[POL]])</f>
        <v>26376-26376-FALSO</v>
      </c>
      <c r="E451" s="130" t="str">
        <f>_xlfn.CONCAT(Tableau119[[#This Row],[POL]],"-",Tableau119[[#This Row],[Carrier]],"-",Tableau119[[#This Row],[POD]])</f>
        <v>FALSO-FALSO-FALSO</v>
      </c>
      <c r="F451" s="66" t="str">
        <f>_xlfn.CONCAT(Tableau119[[#This Row],[ID]],"-","Actif")</f>
        <v>162-Actif</v>
      </c>
      <c r="G451" s="66" t="str">
        <f>_xlfn.CONCAT(Tableau119[[#This Row],[POD]],"-",Tableau119[[#This Row],[Code PFI]],"-",Tableau119[[#This Row],[Compte Consignee]])</f>
        <v>FALSO-90016600-90018300</v>
      </c>
      <c r="H4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CordobaFALSOALPINE</v>
      </c>
      <c r="I451" s="434" t="str">
        <f>_xlfn.CONCAT(Tableau119[[#This Row],[ID]],"-",Tableau119[[#This Row],[Expiration Date]])</f>
        <v>162-45777</v>
      </c>
      <c r="J4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Cordoba-ILN Cordoba-162-FALSO-FALSO-FALSO-CDD FR-45777</v>
      </c>
      <c r="K451" s="119" t="str">
        <f ca="1">IF(COUNTIF(J:J,Tableau119[[#This Row],[Plant-ILN-shipper-POL-Carrier-POD-PFI]])=1,"Non","Oui")</f>
        <v>Non</v>
      </c>
      <c r="L451" s="128" t="str">
        <f>VLOOKUP(Tableau119[[#This Row],[Name Site]],Plant_AILN!A:D,4,FALSE)</f>
        <v>FRANCE</v>
      </c>
      <c r="M451" s="411" t="s">
        <v>220</v>
      </c>
      <c r="N451" s="454">
        <f>VLOOKUP(Tableau119[[#This Row],[Name Site]],Plant_AILN!A:C,3,FALSE)</f>
        <v>90018300</v>
      </c>
      <c r="O451" s="55">
        <f>VLOOKUP(Tableau119[[#This Row],[Compte Consignee]],Order!C:D,2,FALSE)</f>
        <v>7</v>
      </c>
      <c r="P451" s="124" t="s">
        <v>199</v>
      </c>
      <c r="Q451" s="365">
        <f>VLOOKUP(Tableau119[[#This Row],[Name ILN]],Plant_AILN!F:G,2,FALSE)</f>
        <v>26376</v>
      </c>
      <c r="R451" s="50">
        <f>VLOOKUP(Tableau119[[#This Row],[Compte ILN]],'DATA ILN'!D:I,6,FALSE)</f>
        <v>9</v>
      </c>
      <c r="S451" s="50" t="e">
        <f>IFERROR(VLOOKUP(Tableau119[[#This Row],[Key(Compte ILN - shipper - POL - plant)]],'DATA ILN'!A:J,10,FALSE),VLOOKUP(Tableau119[[#This Row],[Key(Compte ILN - shipper - POL)]],'DATA ILN'!B:J,9,FALSE))</f>
        <v>#N/A</v>
      </c>
      <c r="T451" s="50" t="e">
        <f>IFERROR(VLOOKUP(Tableau119[[#This Row],[Key(Compte ILN - shipper - POL - plant)]],'DATA ILN'!A:K,11,FALSE),VLOOKUP(Tableau119[[#This Row],[Key(Compte ILN - shipper - POL)]],'DATA ILN'!B:K,10,FALSE))</f>
        <v>#N/A</v>
      </c>
      <c r="U451" s="50" t="e">
        <f>IFERROR(VLOOKUP(Tableau119[[#This Row],[Key(Compte ILN - shipper - POL - plant)]],'DATA ILN'!A:L,12,FALSE),VLOOKUP(Tableau119[[#This Row],[Key(Compte ILN - shipper - POL)]],'DATA ILN'!B:L,11,FALSE))</f>
        <v>#N/A</v>
      </c>
      <c r="V451" s="50" t="e">
        <f>Tableau119[[#This Row],[Day ILN Order]]+Tableau119[[#This Row],[Delivery time to ILN/Shipper]]-1</f>
        <v>#N/A</v>
      </c>
      <c r="W451" s="50" t="e">
        <f>IFERROR(VLOOKUP(Tableau119[[#This Row],[Key(Compte ILN - shipper - POL - plant)]],'DATA ILN'!A:N,14,FALSE),VLOOKUP(Tableau119[[#This Row],[Key(Compte ILN - shipper - POL)]],'DATA ILN'!B:N,13,FALSE))</f>
        <v>#N/A</v>
      </c>
      <c r="X451" s="50" t="e">
        <f>IFERROR(VLOOKUP(Tableau119[[#This Row],[Key(Compte ILN - shipper - POL - plant)]],'DATA ILN'!A:P,16,FALSE),VLOOKUP(Tableau119[[#This Row],[Key(Compte ILN - shipper - POL)]],'DATA ILN'!B:P,15,FALSE))</f>
        <v>#N/A</v>
      </c>
      <c r="Y451" s="284" t="s">
        <v>199</v>
      </c>
      <c r="Z451" s="430">
        <f>IFERROR(VLOOKUP(Tableau119[[#This Row],[Name Shipper]],Plant_AILN!L:M,2,FALSE),0)</f>
        <v>26376</v>
      </c>
      <c r="AA451" s="406">
        <v>162</v>
      </c>
      <c r="AB451" s="396" t="b">
        <f>_xlfn.XLOOKUP(Tableau119[[#This Row],[Key(ID-date)]],'DATA BTO'!S:S,'DATA BTO'!E:E,FALSE)</f>
        <v>0</v>
      </c>
      <c r="AC451" s="3" t="b">
        <f>_xlfn.XLOOKUP(Tableau119[[#This Row],[Key(ID-date)]],'DATA BTO'!S:S,'DATA BTO'!F:F,FALSE)</f>
        <v>0</v>
      </c>
      <c r="AD451" s="50" t="b">
        <f>_xlfn.XLOOKUP(Tableau119[[#This Row],[Key(ID-date)]],'DATA BTO'!S:S,'DATA BTO'!G:G,FALSE)</f>
        <v>0</v>
      </c>
      <c r="AE451" s="50" t="b">
        <f>_xlfn.XLOOKUP(Tableau119[[#This Row],[Key(ID-date)]],'DATA BTO'!S:S,'DATA BTO'!H:H,FALSE)</f>
        <v>0</v>
      </c>
      <c r="AF451" s="447" t="e">
        <f>IF(Tableau119[[#This Row],[First Day to POL]]&lt;=Tableau119[[#This Row],[Day Cut Off]],Tableau119[[#This Row],[Day ETD]],Tableau119[[#This Row],[Day ETD]]+7)</f>
        <v>#N/A</v>
      </c>
      <c r="AG451" s="50" t="b">
        <f>_xlfn.XLOOKUP(Tableau119[[#This Row],[Key(ID-date)]],'DATA BTO'!S:S,'DATA BTO'!I:I,FALSE)</f>
        <v>0</v>
      </c>
      <c r="AH451" s="3" t="b">
        <f>_xlfn.XLOOKUP(Tableau119[[#This Row],[Key(ID-date)]],'DATA BTO'!S:S,'DATA BTO'!J:J,FALSE)</f>
        <v>0</v>
      </c>
      <c r="AI451" s="3" t="b">
        <f>_xlfn.XLOOKUP(Tableau119[[#This Row],[Key(ID-date)]],'DATA BTO'!S:S,'DATA BTO'!K:K,FALSE)</f>
        <v>0</v>
      </c>
      <c r="AJ451" s="50" t="b">
        <f>_xlfn.XLOOKUP(Tableau119[[#This Row],[Key(ID-date)]],'DATA BTO'!S:S,'DATA BTO'!L:L,FALSE)</f>
        <v>0</v>
      </c>
      <c r="AK451" s="53" t="b">
        <f>_xlfn.XLOOKUP(Tableau119[[#This Row],[Key(ID-date)]],'DATA BTO'!S:S,'DATA BTO'!N:N,FALSE)</f>
        <v>0</v>
      </c>
      <c r="AL451" s="54" t="e">
        <f>VLOOKUP(Tableau119[[#This Row],[Key(POD -PFI- Usine)]],'DATA Consignee'!A:F,6,FALSE)</f>
        <v>#N/A</v>
      </c>
      <c r="AM451" s="284" t="s">
        <v>155</v>
      </c>
      <c r="AN451" s="376">
        <f>IF(Tableau119[[#This Row],[Name PFI/CDD]]="","-",VLOOKUP(Tableau119[[#This Row],[Name PFI/CDD]],Plant_AILN!I:J,2,FALSE))</f>
        <v>90016600</v>
      </c>
      <c r="AO4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1" s="2" t="e">
        <f>VLOOKUP(Tableau119[[#This Row],[Key(POD -PFI- Usine)]],'DATA Consignee'!A:J,10,FALSE)</f>
        <v>#N/A</v>
      </c>
      <c r="AR451" s="50" t="e">
        <f>VLOOKUP(Tableau119[[#This Row],[Key(POD -PFI- Usine)]],'DATA Consignee'!A:N,14,FALSE)</f>
        <v>#N/A</v>
      </c>
      <c r="AS4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1" s="50">
        <f>Tableau119[[#This Row],[Transit time]]+Tableau119[[#This Row],[Time for security]]+Tableau119[[#This Row],[Time for security2 buffer]]</f>
        <v>0</v>
      </c>
      <c r="AV4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1" s="50" t="e">
        <f>Tableau119[[#This Row],[Leadtime SI2C]]+Tableau119[[#This Row],[First Receipt Days]]-Tableau119[[#This Row],[Day Customer Order]]+1</f>
        <v>#N/A</v>
      </c>
      <c r="AX451" s="119" t="e">
        <f>IF(Tableau119[[#This Row],[Name ILN]]&lt;&gt;"SFK Freight Forwarder",Tableau119[[#This Row],[Cust. Leadtime]],Tableau119[[#This Row],[Leadtime SI2C]])</f>
        <v>#N/A</v>
      </c>
      <c r="AY451" s="51" t="b">
        <f>_xlfn.XLOOKUP(Tableau119[[#This Row],[Key(ID-date)]],'DATA BTO'!S:S,'DATA BTO'!P:P,FALSE)</f>
        <v>0</v>
      </c>
      <c r="AZ451" s="338">
        <v>45777</v>
      </c>
      <c r="BA451" s="50"/>
    </row>
    <row r="452" spans="2:53">
      <c r="B452" s="446" t="str">
        <f>_xlfn.CONCAT(Tableau119[[#This Row],[Name ILN]],"-",Tableau119[[#This Row],[Name Shipper]],"-",Tableau119[[#This Row],[Name Site]])</f>
        <v>ILN Cordoba-ILN Cordoba-STA</v>
      </c>
      <c r="C452" s="66" t="str">
        <f>_xlfn.CONCAT(Tableau119[[#This Row],[Compte ILN]],"-",Tableau119[[#This Row],[Compte Shipper]],"-",Tableau119[[#This Row],[POL]],"-",Tableau119[[#This Row],[Compte Consignee]])</f>
        <v>26376-26376-FALSO-90018400</v>
      </c>
      <c r="D452" s="66" t="str">
        <f>_xlfn.CONCAT(Tableau119[[#This Row],[Compte ILN]],"-",Tableau119[[#This Row],[Compte Shipper]],"-",Tableau119[[#This Row],[POL]])</f>
        <v>26376-26376-FALSO</v>
      </c>
      <c r="E452" s="130" t="str">
        <f>_xlfn.CONCAT(Tableau119[[#This Row],[POL]],"-",Tableau119[[#This Row],[Carrier]],"-",Tableau119[[#This Row],[POD]])</f>
        <v>FALSO-FALSO-FALSO</v>
      </c>
      <c r="F452" s="66" t="str">
        <f>_xlfn.CONCAT(Tableau119[[#This Row],[ID]],"-","Actif")</f>
        <v>162-Actif</v>
      </c>
      <c r="G452" s="66" t="str">
        <f>_xlfn.CONCAT(Tableau119[[#This Row],[POD]],"-",Tableau119[[#This Row],[Code PFI]],"-",Tableau119[[#This Row],[Compte Consignee]])</f>
        <v>FALSO-90016600-90018400</v>
      </c>
      <c r="H4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CordobaFALSOSTA</v>
      </c>
      <c r="I452" s="434" t="str">
        <f>_xlfn.CONCAT(Tableau119[[#This Row],[ID]],"-",Tableau119[[#This Row],[Expiration Date]])</f>
        <v>162-45777</v>
      </c>
      <c r="J4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Cordoba-ILN Cordoba-162-FALSO-FALSO-FALSO-CDD FR-45777</v>
      </c>
      <c r="K452" s="119" t="str">
        <f ca="1">IF(COUNTIF(J:J,Tableau119[[#This Row],[Plant-ILN-shipper-POL-Carrier-POD-PFI]])=1,"Non","Oui")</f>
        <v>Non</v>
      </c>
      <c r="L452" s="128" t="str">
        <f>VLOOKUP(Tableau119[[#This Row],[Name Site]],Plant_AILN!A:D,4,FALSE)</f>
        <v>FRANCE</v>
      </c>
      <c r="M452" s="415" t="s">
        <v>219</v>
      </c>
      <c r="N452" s="455">
        <f>VLOOKUP(Tableau119[[#This Row],[Name Site]],Plant_AILN!A:C,3,FALSE)</f>
        <v>90018400</v>
      </c>
      <c r="O452" s="104">
        <f>VLOOKUP(Tableau119[[#This Row],[Compte Consignee]],Order!C:D,2,FALSE)</f>
        <v>7</v>
      </c>
      <c r="P452" s="126" t="s">
        <v>199</v>
      </c>
      <c r="Q452" s="366">
        <f>VLOOKUP(Tableau119[[#This Row],[Name ILN]],Plant_AILN!F:G,2,FALSE)</f>
        <v>26376</v>
      </c>
      <c r="R452" s="81">
        <f>VLOOKUP(Tableau119[[#This Row],[Compte ILN]],'DATA ILN'!D:I,6,FALSE)</f>
        <v>9</v>
      </c>
      <c r="S452" s="81" t="e">
        <f>IFERROR(VLOOKUP(Tableau119[[#This Row],[Key(Compte ILN - shipper - POL - plant)]],'DATA ILN'!A:J,10,FALSE),VLOOKUP(Tableau119[[#This Row],[Key(Compte ILN - shipper - POL)]],'DATA ILN'!B:J,9,FALSE))</f>
        <v>#N/A</v>
      </c>
      <c r="T452" s="81" t="e">
        <f>IFERROR(VLOOKUP(Tableau119[[#This Row],[Key(Compte ILN - shipper - POL - plant)]],'DATA ILN'!A:K,11,FALSE),VLOOKUP(Tableau119[[#This Row],[Key(Compte ILN - shipper - POL)]],'DATA ILN'!B:K,10,FALSE))</f>
        <v>#N/A</v>
      </c>
      <c r="U452" s="81" t="e">
        <f>IFERROR(VLOOKUP(Tableau119[[#This Row],[Key(Compte ILN - shipper - POL - plant)]],'DATA ILN'!A:L,12,FALSE),VLOOKUP(Tableau119[[#This Row],[Key(Compte ILN - shipper - POL)]],'DATA ILN'!B:L,11,FALSE))</f>
        <v>#N/A</v>
      </c>
      <c r="V452" s="81" t="e">
        <f>Tableau119[[#This Row],[Day ILN Order]]+Tableau119[[#This Row],[Delivery time to ILN/Shipper]]-1</f>
        <v>#N/A</v>
      </c>
      <c r="W452" s="81" t="e">
        <f>IFERROR(VLOOKUP(Tableau119[[#This Row],[Key(Compte ILN - shipper - POL - plant)]],'DATA ILN'!A:N,14,FALSE),VLOOKUP(Tableau119[[#This Row],[Key(Compte ILN - shipper - POL)]],'DATA ILN'!B:N,13,FALSE))</f>
        <v>#N/A</v>
      </c>
      <c r="X452" s="81" t="e">
        <f>IFERROR(VLOOKUP(Tableau119[[#This Row],[Key(Compte ILN - shipper - POL - plant)]],'DATA ILN'!A:P,16,FALSE),VLOOKUP(Tableau119[[#This Row],[Key(Compte ILN - shipper - POL)]],'DATA ILN'!B:P,15,FALSE))</f>
        <v>#N/A</v>
      </c>
      <c r="Y452" s="102" t="s">
        <v>199</v>
      </c>
      <c r="Z452" s="417">
        <f>IFERROR(VLOOKUP(Tableau119[[#This Row],[Name Shipper]],Plant_AILN!L:M,2,FALSE),0)</f>
        <v>26376</v>
      </c>
      <c r="AA452" s="416">
        <v>162</v>
      </c>
      <c r="AB452" s="396" t="b">
        <f>_xlfn.XLOOKUP(Tableau119[[#This Row],[Key(ID-date)]],'DATA BTO'!S:S,'DATA BTO'!E:E,FALSE)</f>
        <v>0</v>
      </c>
      <c r="AC452" s="3" t="b">
        <f>_xlfn.XLOOKUP(Tableau119[[#This Row],[Key(ID-date)]],'DATA BTO'!S:S,'DATA BTO'!F:F,FALSE)</f>
        <v>0</v>
      </c>
      <c r="AD452" s="50" t="b">
        <f>_xlfn.XLOOKUP(Tableau119[[#This Row],[Key(ID-date)]],'DATA BTO'!S:S,'DATA BTO'!G:G,FALSE)</f>
        <v>0</v>
      </c>
      <c r="AE452" s="50" t="b">
        <f>_xlfn.XLOOKUP(Tableau119[[#This Row],[Key(ID-date)]],'DATA BTO'!S:S,'DATA BTO'!H:H,FALSE)</f>
        <v>0</v>
      </c>
      <c r="AF452" s="447" t="e">
        <f>IF(Tableau119[[#This Row],[First Day to POL]]&lt;=Tableau119[[#This Row],[Day Cut Off]],Tableau119[[#This Row],[Day ETD]],Tableau119[[#This Row],[Day ETD]]+7)</f>
        <v>#N/A</v>
      </c>
      <c r="AG452" s="50" t="b">
        <f>_xlfn.XLOOKUP(Tableau119[[#This Row],[Key(ID-date)]],'DATA BTO'!S:S,'DATA BTO'!I:I,FALSE)</f>
        <v>0</v>
      </c>
      <c r="AH452" s="3" t="b">
        <f>_xlfn.XLOOKUP(Tableau119[[#This Row],[Key(ID-date)]],'DATA BTO'!S:S,'DATA BTO'!J:J,FALSE)</f>
        <v>0</v>
      </c>
      <c r="AI452" s="3" t="b">
        <f>_xlfn.XLOOKUP(Tableau119[[#This Row],[Key(ID-date)]],'DATA BTO'!S:S,'DATA BTO'!K:K,FALSE)</f>
        <v>0</v>
      </c>
      <c r="AJ452" s="50" t="b">
        <f>_xlfn.XLOOKUP(Tableau119[[#This Row],[Key(ID-date)]],'DATA BTO'!S:S,'DATA BTO'!L:L,FALSE)</f>
        <v>0</v>
      </c>
      <c r="AK452" s="53" t="b">
        <f>_xlfn.XLOOKUP(Tableau119[[#This Row],[Key(ID-date)]],'DATA BTO'!S:S,'DATA BTO'!N:N,FALSE)</f>
        <v>0</v>
      </c>
      <c r="AL452" s="54" t="e">
        <f>VLOOKUP(Tableau119[[#This Row],[Key(POD -PFI- Usine)]],'DATA Consignee'!A:F,6,FALSE)</f>
        <v>#N/A</v>
      </c>
      <c r="AM452" s="102" t="s">
        <v>155</v>
      </c>
      <c r="AN452" s="375">
        <f>IF(Tableau119[[#This Row],[Name PFI/CDD]]="","-",VLOOKUP(Tableau119[[#This Row],[Name PFI/CDD]],Plant_AILN!I:J,2,FALSE))</f>
        <v>90016600</v>
      </c>
      <c r="AO45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2" s="110" t="e">
        <f>VLOOKUP(Tableau119[[#This Row],[Key(POD -PFI- Usine)]],'DATA Consignee'!A:J,10,FALSE)</f>
        <v>#N/A</v>
      </c>
      <c r="AR452" s="81" t="e">
        <f>VLOOKUP(Tableau119[[#This Row],[Key(POD -PFI- Usine)]],'DATA Consignee'!A:N,14,FALSE)</f>
        <v>#N/A</v>
      </c>
      <c r="AS45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2" s="81">
        <f>Tableau119[[#This Row],[Transit time]]+Tableau119[[#This Row],[Time for security]]+Tableau119[[#This Row],[Time for security2 buffer]]</f>
        <v>0</v>
      </c>
      <c r="AV4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2" s="50" t="e">
        <f>Tableau119[[#This Row],[Leadtime SI2C]]+Tableau119[[#This Row],[First Receipt Days]]-Tableau119[[#This Row],[Day Customer Order]]+1</f>
        <v>#N/A</v>
      </c>
      <c r="AX452" s="119" t="e">
        <f>IF(Tableau119[[#This Row],[Name ILN]]&lt;&gt;"SFK Freight Forwarder",Tableau119[[#This Row],[Cust. Leadtime]],Tableau119[[#This Row],[Leadtime SI2C]])</f>
        <v>#N/A</v>
      </c>
      <c r="AY452" s="51" t="b">
        <f>_xlfn.XLOOKUP(Tableau119[[#This Row],[Key(ID-date)]],'DATA BTO'!S:S,'DATA BTO'!P:P,FALSE)</f>
        <v>0</v>
      </c>
      <c r="AZ452" s="388">
        <v>45777</v>
      </c>
      <c r="BA452" s="81"/>
    </row>
    <row r="453" spans="2:53">
      <c r="B453" s="446" t="str">
        <f>_xlfn.CONCAT(Tableau119[[#This Row],[Name ILN]],"-",Tableau119[[#This Row],[Name Shipper]],"-",Tableau119[[#This Row],[Name Site]])</f>
        <v>ILN Cordoba-ILN Cordoba-DOUAI</v>
      </c>
      <c r="C453" s="66" t="str">
        <f>_xlfn.CONCAT(Tableau119[[#This Row],[Compte ILN]],"-",Tableau119[[#This Row],[Compte Shipper]],"-",Tableau119[[#This Row],[POL]],"-",Tableau119[[#This Row],[Compte Consignee]])</f>
        <v>26376-26376-FALSO-90019100</v>
      </c>
      <c r="D453" s="66" t="str">
        <f>_xlfn.CONCAT(Tableau119[[#This Row],[Compte ILN]],"-",Tableau119[[#This Row],[Compte Shipper]],"-",Tableau119[[#This Row],[POL]])</f>
        <v>26376-26376-FALSO</v>
      </c>
      <c r="E453" s="130" t="str">
        <f>_xlfn.CONCAT(Tableau119[[#This Row],[POL]],"-",Tableau119[[#This Row],[Carrier]],"-",Tableau119[[#This Row],[POD]])</f>
        <v>FALSO-FALSO-FALSO</v>
      </c>
      <c r="F453" s="66" t="str">
        <f>_xlfn.CONCAT(Tableau119[[#This Row],[ID]],"-","Actif")</f>
        <v>162-Actif</v>
      </c>
      <c r="G453" s="66" t="str">
        <f>_xlfn.CONCAT(Tableau119[[#This Row],[POD]],"-",Tableau119[[#This Row],[Code PFI]],"-",Tableau119[[#This Row],[Compte Consignee]])</f>
        <v>FALSO-90016600-90019100</v>
      </c>
      <c r="H4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CordobaFALSODOUAI</v>
      </c>
      <c r="I453" s="434" t="str">
        <f>_xlfn.CONCAT(Tableau119[[#This Row],[ID]],"-",Tableau119[[#This Row],[Expiration Date]])</f>
        <v>162-45777</v>
      </c>
      <c r="J4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Cordoba-ILN Cordoba-162-FALSO-FALSO-FALSO-CDD FR-45777</v>
      </c>
      <c r="K453" s="119" t="str">
        <f ca="1">IF(COUNTIF(J:J,Tableau119[[#This Row],[Plant-ILN-shipper-POL-Carrier-POD-PFI]])=1,"Non","Oui")</f>
        <v>Non</v>
      </c>
      <c r="L453" s="128" t="str">
        <f>VLOOKUP(Tableau119[[#This Row],[Name Site]],Plant_AILN!A:D,4,FALSE)</f>
        <v>FRANCE</v>
      </c>
      <c r="M453" s="411" t="s">
        <v>188</v>
      </c>
      <c r="N453" s="454">
        <f>VLOOKUP(Tableau119[[#This Row],[Name Site]],Plant_AILN!A:C,3,FALSE)</f>
        <v>90019100</v>
      </c>
      <c r="O453" s="55">
        <f>VLOOKUP(Tableau119[[#This Row],[Compte Consignee]],Order!C:D,2,FALSE)</f>
        <v>7</v>
      </c>
      <c r="P453" s="124" t="s">
        <v>199</v>
      </c>
      <c r="Q453" s="365">
        <f>VLOOKUP(Tableau119[[#This Row],[Name ILN]],Plant_AILN!F:G,2,FALSE)</f>
        <v>26376</v>
      </c>
      <c r="R453" s="50">
        <f>VLOOKUP(Tableau119[[#This Row],[Compte ILN]],'DATA ILN'!D:I,6,FALSE)</f>
        <v>9</v>
      </c>
      <c r="S453" s="50" t="e">
        <f>IFERROR(VLOOKUP(Tableau119[[#This Row],[Key(Compte ILN - shipper - POL - plant)]],'DATA ILN'!A:J,10,FALSE),VLOOKUP(Tableau119[[#This Row],[Key(Compte ILN - shipper - POL)]],'DATA ILN'!B:J,9,FALSE))</f>
        <v>#N/A</v>
      </c>
      <c r="T453" s="50" t="e">
        <f>IFERROR(VLOOKUP(Tableau119[[#This Row],[Key(Compte ILN - shipper - POL - plant)]],'DATA ILN'!A:K,11,FALSE),VLOOKUP(Tableau119[[#This Row],[Key(Compte ILN - shipper - POL)]],'DATA ILN'!B:K,10,FALSE))</f>
        <v>#N/A</v>
      </c>
      <c r="U453" s="50" t="e">
        <f>IFERROR(VLOOKUP(Tableau119[[#This Row],[Key(Compte ILN - shipper - POL - plant)]],'DATA ILN'!A:L,12,FALSE),VLOOKUP(Tableau119[[#This Row],[Key(Compte ILN - shipper - POL)]],'DATA ILN'!B:L,11,FALSE))</f>
        <v>#N/A</v>
      </c>
      <c r="V453" s="50" t="e">
        <f>Tableau119[[#This Row],[Day ILN Order]]+Tableau119[[#This Row],[Delivery time to ILN/Shipper]]-1</f>
        <v>#N/A</v>
      </c>
      <c r="W453" s="50" t="e">
        <f>IFERROR(VLOOKUP(Tableau119[[#This Row],[Key(Compte ILN - shipper - POL - plant)]],'DATA ILN'!A:N,14,FALSE),VLOOKUP(Tableau119[[#This Row],[Key(Compte ILN - shipper - POL)]],'DATA ILN'!B:N,13,FALSE))</f>
        <v>#N/A</v>
      </c>
      <c r="X453" s="50" t="e">
        <f>IFERROR(VLOOKUP(Tableau119[[#This Row],[Key(Compte ILN - shipper - POL - plant)]],'DATA ILN'!A:P,16,FALSE),VLOOKUP(Tableau119[[#This Row],[Key(Compte ILN - shipper - POL)]],'DATA ILN'!B:P,15,FALSE))</f>
        <v>#N/A</v>
      </c>
      <c r="Y453" s="284" t="s">
        <v>199</v>
      </c>
      <c r="Z453" s="430">
        <f>IFERROR(VLOOKUP(Tableau119[[#This Row],[Name Shipper]],Plant_AILN!L:M,2,FALSE),0)</f>
        <v>26376</v>
      </c>
      <c r="AA453" s="406">
        <v>162</v>
      </c>
      <c r="AB453" s="396" t="b">
        <f>_xlfn.XLOOKUP(Tableau119[[#This Row],[Key(ID-date)]],'DATA BTO'!S:S,'DATA BTO'!E:E,FALSE)</f>
        <v>0</v>
      </c>
      <c r="AC453" s="3" t="b">
        <f>_xlfn.XLOOKUP(Tableau119[[#This Row],[Key(ID-date)]],'DATA BTO'!S:S,'DATA BTO'!F:F,FALSE)</f>
        <v>0</v>
      </c>
      <c r="AD453" s="50" t="b">
        <f>_xlfn.XLOOKUP(Tableau119[[#This Row],[Key(ID-date)]],'DATA BTO'!S:S,'DATA BTO'!G:G,FALSE)</f>
        <v>0</v>
      </c>
      <c r="AE453" s="50" t="b">
        <f>_xlfn.XLOOKUP(Tableau119[[#This Row],[Key(ID-date)]],'DATA BTO'!S:S,'DATA BTO'!H:H,FALSE)</f>
        <v>0</v>
      </c>
      <c r="AF453" s="447" t="e">
        <f>IF(Tableau119[[#This Row],[First Day to POL]]&lt;=Tableau119[[#This Row],[Day Cut Off]],Tableau119[[#This Row],[Day ETD]],Tableau119[[#This Row],[Day ETD]]+7)</f>
        <v>#N/A</v>
      </c>
      <c r="AG453" s="50" t="b">
        <f>_xlfn.XLOOKUP(Tableau119[[#This Row],[Key(ID-date)]],'DATA BTO'!S:S,'DATA BTO'!I:I,FALSE)</f>
        <v>0</v>
      </c>
      <c r="AH453" s="3" t="b">
        <f>_xlfn.XLOOKUP(Tableau119[[#This Row],[Key(ID-date)]],'DATA BTO'!S:S,'DATA BTO'!J:J,FALSE)</f>
        <v>0</v>
      </c>
      <c r="AI453" s="3" t="b">
        <f>_xlfn.XLOOKUP(Tableau119[[#This Row],[Key(ID-date)]],'DATA BTO'!S:S,'DATA BTO'!K:K,FALSE)</f>
        <v>0</v>
      </c>
      <c r="AJ453" s="50" t="b">
        <f>_xlfn.XLOOKUP(Tableau119[[#This Row],[Key(ID-date)]],'DATA BTO'!S:S,'DATA BTO'!L:L,FALSE)</f>
        <v>0</v>
      </c>
      <c r="AK453" s="53" t="b">
        <f>_xlfn.XLOOKUP(Tableau119[[#This Row],[Key(ID-date)]],'DATA BTO'!S:S,'DATA BTO'!N:N,FALSE)</f>
        <v>0</v>
      </c>
      <c r="AL453" s="54" t="e">
        <f>VLOOKUP(Tableau119[[#This Row],[Key(POD -PFI- Usine)]],'DATA Consignee'!A:F,6,FALSE)</f>
        <v>#N/A</v>
      </c>
      <c r="AM453" s="284" t="s">
        <v>155</v>
      </c>
      <c r="AN453" s="376">
        <f>IF(Tableau119[[#This Row],[Name PFI/CDD]]="","-",VLOOKUP(Tableau119[[#This Row],[Name PFI/CDD]],Plant_AILN!I:J,2,FALSE))</f>
        <v>90016600</v>
      </c>
      <c r="AO4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3" s="2" t="e">
        <f>VLOOKUP(Tableau119[[#This Row],[Key(POD -PFI- Usine)]],'DATA Consignee'!A:J,10,FALSE)</f>
        <v>#N/A</v>
      </c>
      <c r="AR453" s="50" t="e">
        <f>VLOOKUP(Tableau119[[#This Row],[Key(POD -PFI- Usine)]],'DATA Consignee'!A:N,14,FALSE)</f>
        <v>#N/A</v>
      </c>
      <c r="AS4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3" s="50">
        <f>Tableau119[[#This Row],[Transit time]]+Tableau119[[#This Row],[Time for security]]+Tableau119[[#This Row],[Time for security2 buffer]]</f>
        <v>0</v>
      </c>
      <c r="AV4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3" s="50" t="e">
        <f>Tableau119[[#This Row],[Leadtime SI2C]]+Tableau119[[#This Row],[First Receipt Days]]-Tableau119[[#This Row],[Day Customer Order]]+1</f>
        <v>#N/A</v>
      </c>
      <c r="AX453" s="119" t="e">
        <f>IF(Tableau119[[#This Row],[Name ILN]]&lt;&gt;"SFK Freight Forwarder",Tableau119[[#This Row],[Cust. Leadtime]],Tableau119[[#This Row],[Leadtime SI2C]])</f>
        <v>#N/A</v>
      </c>
      <c r="AY453" s="51" t="b">
        <f>_xlfn.XLOOKUP(Tableau119[[#This Row],[Key(ID-date)]],'DATA BTO'!S:S,'DATA BTO'!P:P,FALSE)</f>
        <v>0</v>
      </c>
      <c r="AZ453" s="338">
        <v>45777</v>
      </c>
      <c r="BA453" s="50"/>
    </row>
    <row r="454" spans="2:53">
      <c r="B454" s="446" t="str">
        <f>_xlfn.CONCAT(Tableau119[[#This Row],[Name ILN]],"-",Tableau119[[#This Row],[Name Shipper]],"-",Tableau119[[#This Row],[Name Site]])</f>
        <v>ILN Cordoba-ILN Cordoba-SOMACA</v>
      </c>
      <c r="C454" s="66" t="str">
        <f>_xlfn.CONCAT(Tableau119[[#This Row],[Compte ILN]],"-",Tableau119[[#This Row],[Compte Shipper]],"-",Tableau119[[#This Row],[POL]],"-",Tableau119[[#This Row],[Compte Consignee]])</f>
        <v>26376-26376-FALSO-90038200</v>
      </c>
      <c r="D454" s="66" t="str">
        <f>_xlfn.CONCAT(Tableau119[[#This Row],[Compte ILN]],"-",Tableau119[[#This Row],[Compte Shipper]],"-",Tableau119[[#This Row],[POL]])</f>
        <v>26376-26376-FALSO</v>
      </c>
      <c r="E454" s="130" t="str">
        <f>_xlfn.CONCAT(Tableau119[[#This Row],[POL]],"-",Tableau119[[#This Row],[Carrier]],"-",Tableau119[[#This Row],[POD]])</f>
        <v>FALSO-FALSO-FALSO</v>
      </c>
      <c r="F454" s="66" t="str">
        <f>_xlfn.CONCAT(Tableau119[[#This Row],[ID]],"-","Actif")</f>
        <v>162-Actif</v>
      </c>
      <c r="G454" s="66" t="str">
        <f>_xlfn.CONCAT(Tableau119[[#This Row],[POD]],"-",Tableau119[[#This Row],[Code PFI]],"-",Tableau119[[#This Row],[Compte Consignee]])</f>
        <v>FALSO-90016600-90038200</v>
      </c>
      <c r="H4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CordobaFALSOSOMACA</v>
      </c>
      <c r="I454" s="434" t="str">
        <f>_xlfn.CONCAT(Tableau119[[#This Row],[ID]],"-",Tableau119[[#This Row],[Expiration Date]])</f>
        <v>162-45777</v>
      </c>
      <c r="J4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Cordoba-ILN Cordoba-162-FALSO-FALSO-FALSO-PFI FR-45777</v>
      </c>
      <c r="K454" s="119" t="str">
        <f ca="1">IF(COUNTIF(J:J,Tableau119[[#This Row],[Plant-ILN-shipper-POL-Carrier-POD-PFI]])=1,"Non","Oui")</f>
        <v>Non</v>
      </c>
      <c r="L454" s="128" t="str">
        <f>VLOOKUP(Tableau119[[#This Row],[Name Site]],Plant_AILN!A:D,4,FALSE)</f>
        <v>MOROCCO</v>
      </c>
      <c r="M454" s="415" t="s">
        <v>179</v>
      </c>
      <c r="N454" s="455">
        <f>VLOOKUP(Tableau119[[#This Row],[Name Site]],Plant_AILN!A:C,3,FALSE)</f>
        <v>90038200</v>
      </c>
      <c r="O454" s="104">
        <f>VLOOKUP(Tableau119[[#This Row],[Compte Consignee]],Order!C:D,2,FALSE)</f>
        <v>7</v>
      </c>
      <c r="P454" s="126" t="s">
        <v>199</v>
      </c>
      <c r="Q454" s="366">
        <f>VLOOKUP(Tableau119[[#This Row],[Name ILN]],Plant_AILN!F:G,2,FALSE)</f>
        <v>26376</v>
      </c>
      <c r="R454" s="81">
        <f>VLOOKUP(Tableau119[[#This Row],[Compte ILN]],'DATA ILN'!D:I,6,FALSE)</f>
        <v>9</v>
      </c>
      <c r="S454" s="81" t="e">
        <f>IFERROR(VLOOKUP(Tableau119[[#This Row],[Key(Compte ILN - shipper - POL - plant)]],'DATA ILN'!A:J,10,FALSE),VLOOKUP(Tableau119[[#This Row],[Key(Compte ILN - shipper - POL)]],'DATA ILN'!B:J,9,FALSE))</f>
        <v>#N/A</v>
      </c>
      <c r="T454" s="81" t="e">
        <f>IFERROR(VLOOKUP(Tableau119[[#This Row],[Key(Compte ILN - shipper - POL - plant)]],'DATA ILN'!A:K,11,FALSE),VLOOKUP(Tableau119[[#This Row],[Key(Compte ILN - shipper - POL)]],'DATA ILN'!B:K,10,FALSE))</f>
        <v>#N/A</v>
      </c>
      <c r="U454" s="81" t="e">
        <f>IFERROR(VLOOKUP(Tableau119[[#This Row],[Key(Compte ILN - shipper - POL - plant)]],'DATA ILN'!A:L,12,FALSE),VLOOKUP(Tableau119[[#This Row],[Key(Compte ILN - shipper - POL)]],'DATA ILN'!B:L,11,FALSE))</f>
        <v>#N/A</v>
      </c>
      <c r="V454" s="81" t="e">
        <f>Tableau119[[#This Row],[Day ILN Order]]+Tableau119[[#This Row],[Delivery time to ILN/Shipper]]-1</f>
        <v>#N/A</v>
      </c>
      <c r="W454" s="81" t="e">
        <f>IFERROR(VLOOKUP(Tableau119[[#This Row],[Key(Compte ILN - shipper - POL - plant)]],'DATA ILN'!A:N,14,FALSE),VLOOKUP(Tableau119[[#This Row],[Key(Compte ILN - shipper - POL)]],'DATA ILN'!B:N,13,FALSE))</f>
        <v>#N/A</v>
      </c>
      <c r="X454" s="81" t="e">
        <f>IFERROR(VLOOKUP(Tableau119[[#This Row],[Key(Compte ILN - shipper - POL - plant)]],'DATA ILN'!A:P,16,FALSE),VLOOKUP(Tableau119[[#This Row],[Key(Compte ILN - shipper - POL)]],'DATA ILN'!B:P,15,FALSE))</f>
        <v>#N/A</v>
      </c>
      <c r="Y454" s="102" t="s">
        <v>199</v>
      </c>
      <c r="Z454" s="417">
        <f>IFERROR(VLOOKUP(Tableau119[[#This Row],[Name Shipper]],Plant_AILN!L:M,2,FALSE),0)</f>
        <v>26376</v>
      </c>
      <c r="AA454" s="416">
        <v>162</v>
      </c>
      <c r="AB454" s="396" t="b">
        <f>_xlfn.XLOOKUP(Tableau119[[#This Row],[Key(ID-date)]],'DATA BTO'!S:S,'DATA BTO'!E:E,FALSE)</f>
        <v>0</v>
      </c>
      <c r="AC454" s="3" t="b">
        <f>_xlfn.XLOOKUP(Tableau119[[#This Row],[Key(ID-date)]],'DATA BTO'!S:S,'DATA BTO'!F:F,FALSE)</f>
        <v>0</v>
      </c>
      <c r="AD454" s="50" t="b">
        <f>_xlfn.XLOOKUP(Tableau119[[#This Row],[Key(ID-date)]],'DATA BTO'!S:S,'DATA BTO'!G:G,FALSE)</f>
        <v>0</v>
      </c>
      <c r="AE454" s="50" t="b">
        <f>_xlfn.XLOOKUP(Tableau119[[#This Row],[Key(ID-date)]],'DATA BTO'!S:S,'DATA BTO'!H:H,FALSE)</f>
        <v>0</v>
      </c>
      <c r="AF454" s="447" t="e">
        <f>IF(Tableau119[[#This Row],[First Day to POL]]&lt;=Tableau119[[#This Row],[Day Cut Off]],Tableau119[[#This Row],[Day ETD]],Tableau119[[#This Row],[Day ETD]]+7)</f>
        <v>#N/A</v>
      </c>
      <c r="AG454" s="50" t="b">
        <f>_xlfn.XLOOKUP(Tableau119[[#This Row],[Key(ID-date)]],'DATA BTO'!S:S,'DATA BTO'!I:I,FALSE)</f>
        <v>0</v>
      </c>
      <c r="AH454" s="3" t="b">
        <f>_xlfn.XLOOKUP(Tableau119[[#This Row],[Key(ID-date)]],'DATA BTO'!S:S,'DATA BTO'!J:J,FALSE)</f>
        <v>0</v>
      </c>
      <c r="AI454" s="3" t="b">
        <f>_xlfn.XLOOKUP(Tableau119[[#This Row],[Key(ID-date)]],'DATA BTO'!S:S,'DATA BTO'!K:K,FALSE)</f>
        <v>0</v>
      </c>
      <c r="AJ454" s="50" t="b">
        <f>_xlfn.XLOOKUP(Tableau119[[#This Row],[Key(ID-date)]],'DATA BTO'!S:S,'DATA BTO'!L:L,FALSE)</f>
        <v>0</v>
      </c>
      <c r="AK454" s="53" t="b">
        <f>_xlfn.XLOOKUP(Tableau119[[#This Row],[Key(ID-date)]],'DATA BTO'!S:S,'DATA BTO'!N:N,FALSE)</f>
        <v>0</v>
      </c>
      <c r="AL454" s="54" t="e">
        <f>VLOOKUP(Tableau119[[#This Row],[Key(POD -PFI- Usine)]],'DATA Consignee'!A:F,6,FALSE)</f>
        <v>#N/A</v>
      </c>
      <c r="AM454" s="102" t="s">
        <v>270</v>
      </c>
      <c r="AN454" s="375">
        <f>IF(Tableau119[[#This Row],[Name PFI/CDD]]="","-",VLOOKUP(Tableau119[[#This Row],[Name PFI/CDD]],Plant_AILN!I:J,2,FALSE))</f>
        <v>90016600</v>
      </c>
      <c r="AO45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4" s="110" t="e">
        <f>VLOOKUP(Tableau119[[#This Row],[Key(POD -PFI- Usine)]],'DATA Consignee'!A:J,10,FALSE)</f>
        <v>#N/A</v>
      </c>
      <c r="AR454" s="81" t="e">
        <f>VLOOKUP(Tableau119[[#This Row],[Key(POD -PFI- Usine)]],'DATA Consignee'!A:N,14,FALSE)</f>
        <v>#N/A</v>
      </c>
      <c r="AS45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4" s="81">
        <f>Tableau119[[#This Row],[Transit time]]+Tableau119[[#This Row],[Time for security]]+Tableau119[[#This Row],[Time for security2 buffer]]</f>
        <v>0</v>
      </c>
      <c r="AV4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4" s="50" t="e">
        <f>Tableau119[[#This Row],[Leadtime SI2C]]+Tableau119[[#This Row],[First Receipt Days]]-Tableau119[[#This Row],[Day Customer Order]]+1</f>
        <v>#N/A</v>
      </c>
      <c r="AX454" s="119" t="e">
        <f>IF(Tableau119[[#This Row],[Name ILN]]&lt;&gt;"SFK Freight Forwarder",Tableau119[[#This Row],[Cust. Leadtime]],Tableau119[[#This Row],[Leadtime SI2C]])</f>
        <v>#N/A</v>
      </c>
      <c r="AY454" s="51" t="b">
        <f>_xlfn.XLOOKUP(Tableau119[[#This Row],[Key(ID-date)]],'DATA BTO'!S:S,'DATA BTO'!P:P,FALSE)</f>
        <v>0</v>
      </c>
      <c r="AZ454" s="388">
        <v>45777</v>
      </c>
      <c r="BA454" s="81"/>
    </row>
    <row r="455" spans="2:53">
      <c r="B455" s="446" t="str">
        <f>_xlfn.CONCAT(Tableau119[[#This Row],[Name ILN]],"-",Tableau119[[#This Row],[Name Shipper]],"-",Tableau119[[#This Row],[Name Site]])</f>
        <v>ILN Cordoba-ILN Cordoba-TANGER</v>
      </c>
      <c r="C455" s="66" t="str">
        <f>_xlfn.CONCAT(Tableau119[[#This Row],[Compte ILN]],"-",Tableau119[[#This Row],[Compte Shipper]],"-",Tableau119[[#This Row],[POL]],"-",Tableau119[[#This Row],[Compte Consignee]])</f>
        <v>26376-26376-FALSO-900383</v>
      </c>
      <c r="D455" s="66" t="str">
        <f>_xlfn.CONCAT(Tableau119[[#This Row],[Compte ILN]],"-",Tableau119[[#This Row],[Compte Shipper]],"-",Tableau119[[#This Row],[POL]])</f>
        <v>26376-26376-FALSO</v>
      </c>
      <c r="E455" s="130" t="str">
        <f>_xlfn.CONCAT(Tableau119[[#This Row],[POL]],"-",Tableau119[[#This Row],[Carrier]],"-",Tableau119[[#This Row],[POD]])</f>
        <v>FALSO-FALSO-FALSO</v>
      </c>
      <c r="F455" s="66" t="str">
        <f>_xlfn.CONCAT(Tableau119[[#This Row],[ID]],"-","Actif")</f>
        <v>162-Actif</v>
      </c>
      <c r="G455" s="66" t="str">
        <f>_xlfn.CONCAT(Tableau119[[#This Row],[POD]],"-",Tableau119[[#This Row],[Code PFI]],"-",Tableau119[[#This Row],[Compte Consignee]])</f>
        <v>FALSO-90016600-900383</v>
      </c>
      <c r="H4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CordobaFALSOTANGER</v>
      </c>
      <c r="I455" s="434" t="str">
        <f>_xlfn.CONCAT(Tableau119[[#This Row],[ID]],"-",Tableau119[[#This Row],[Expiration Date]])</f>
        <v>162-45777</v>
      </c>
      <c r="J4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Cordoba-ILN Cordoba-162-FALSO-FALSO-FALSO-PFI FR-45777</v>
      </c>
      <c r="K455" s="119" t="str">
        <f ca="1">IF(COUNTIF(J:J,Tableau119[[#This Row],[Plant-ILN-shipper-POL-Carrier-POD-PFI]])=1,"Non","Oui")</f>
        <v>Non</v>
      </c>
      <c r="L455" s="128" t="str">
        <f>VLOOKUP(Tableau119[[#This Row],[Name Site]],Plant_AILN!A:D,4,FALSE)</f>
        <v>MOROCCO</v>
      </c>
      <c r="M455" s="411" t="s">
        <v>180</v>
      </c>
      <c r="N455" s="454">
        <f>VLOOKUP(Tableau119[[#This Row],[Name Site]],Plant_AILN!A:C,3,FALSE)</f>
        <v>900383</v>
      </c>
      <c r="O455" s="55">
        <f>VLOOKUP(Tableau119[[#This Row],[Compte Consignee]],Order!C:D,2,FALSE)</f>
        <v>7</v>
      </c>
      <c r="P455" s="124" t="s">
        <v>199</v>
      </c>
      <c r="Q455" s="365">
        <f>VLOOKUP(Tableau119[[#This Row],[Name ILN]],Plant_AILN!F:G,2,FALSE)</f>
        <v>26376</v>
      </c>
      <c r="R455" s="50">
        <f>VLOOKUP(Tableau119[[#This Row],[Compte ILN]],'DATA ILN'!D:I,6,FALSE)</f>
        <v>9</v>
      </c>
      <c r="S455" s="50" t="e">
        <f>IFERROR(VLOOKUP(Tableau119[[#This Row],[Key(Compte ILN - shipper - POL - plant)]],'DATA ILN'!A:J,10,FALSE),VLOOKUP(Tableau119[[#This Row],[Key(Compte ILN - shipper - POL)]],'DATA ILN'!B:J,9,FALSE))</f>
        <v>#N/A</v>
      </c>
      <c r="T455" s="50" t="e">
        <f>IFERROR(VLOOKUP(Tableau119[[#This Row],[Key(Compte ILN - shipper - POL - plant)]],'DATA ILN'!A:K,11,FALSE),VLOOKUP(Tableau119[[#This Row],[Key(Compte ILN - shipper - POL)]],'DATA ILN'!B:K,10,FALSE))</f>
        <v>#N/A</v>
      </c>
      <c r="U455" s="50" t="e">
        <f>IFERROR(VLOOKUP(Tableau119[[#This Row],[Key(Compte ILN - shipper - POL - plant)]],'DATA ILN'!A:L,12,FALSE),VLOOKUP(Tableau119[[#This Row],[Key(Compte ILN - shipper - POL)]],'DATA ILN'!B:L,11,FALSE))</f>
        <v>#N/A</v>
      </c>
      <c r="V455" s="50" t="e">
        <f>Tableau119[[#This Row],[Day ILN Order]]+Tableau119[[#This Row],[Delivery time to ILN/Shipper]]-1</f>
        <v>#N/A</v>
      </c>
      <c r="W455" s="50" t="e">
        <f>IFERROR(VLOOKUP(Tableau119[[#This Row],[Key(Compte ILN - shipper - POL - plant)]],'DATA ILN'!A:N,14,FALSE),VLOOKUP(Tableau119[[#This Row],[Key(Compte ILN - shipper - POL)]],'DATA ILN'!B:N,13,FALSE))</f>
        <v>#N/A</v>
      </c>
      <c r="X455" s="50" t="e">
        <f>IFERROR(VLOOKUP(Tableau119[[#This Row],[Key(Compte ILN - shipper - POL - plant)]],'DATA ILN'!A:P,16,FALSE),VLOOKUP(Tableau119[[#This Row],[Key(Compte ILN - shipper - POL)]],'DATA ILN'!B:P,15,FALSE))</f>
        <v>#N/A</v>
      </c>
      <c r="Y455" s="284" t="s">
        <v>199</v>
      </c>
      <c r="Z455" s="430">
        <f>IFERROR(VLOOKUP(Tableau119[[#This Row],[Name Shipper]],Plant_AILN!L:M,2,FALSE),0)</f>
        <v>26376</v>
      </c>
      <c r="AA455" s="406">
        <v>162</v>
      </c>
      <c r="AB455" s="396" t="b">
        <f>_xlfn.XLOOKUP(Tableau119[[#This Row],[Key(ID-date)]],'DATA BTO'!S:S,'DATA BTO'!E:E,FALSE)</f>
        <v>0</v>
      </c>
      <c r="AC455" s="3" t="b">
        <f>_xlfn.XLOOKUP(Tableau119[[#This Row],[Key(ID-date)]],'DATA BTO'!S:S,'DATA BTO'!F:F,FALSE)</f>
        <v>0</v>
      </c>
      <c r="AD455" s="50" t="b">
        <f>_xlfn.XLOOKUP(Tableau119[[#This Row],[Key(ID-date)]],'DATA BTO'!S:S,'DATA BTO'!G:G,FALSE)</f>
        <v>0</v>
      </c>
      <c r="AE455" s="50" t="b">
        <f>_xlfn.XLOOKUP(Tableau119[[#This Row],[Key(ID-date)]],'DATA BTO'!S:S,'DATA BTO'!H:H,FALSE)</f>
        <v>0</v>
      </c>
      <c r="AF455" s="447" t="e">
        <f>IF(Tableau119[[#This Row],[First Day to POL]]&lt;=Tableau119[[#This Row],[Day Cut Off]],Tableau119[[#This Row],[Day ETD]],Tableau119[[#This Row],[Day ETD]]+7)</f>
        <v>#N/A</v>
      </c>
      <c r="AG455" s="50" t="b">
        <f>_xlfn.XLOOKUP(Tableau119[[#This Row],[Key(ID-date)]],'DATA BTO'!S:S,'DATA BTO'!I:I,FALSE)</f>
        <v>0</v>
      </c>
      <c r="AH455" s="3" t="b">
        <f>_xlfn.XLOOKUP(Tableau119[[#This Row],[Key(ID-date)]],'DATA BTO'!S:S,'DATA BTO'!J:J,FALSE)</f>
        <v>0</v>
      </c>
      <c r="AI455" s="3" t="b">
        <f>_xlfn.XLOOKUP(Tableau119[[#This Row],[Key(ID-date)]],'DATA BTO'!S:S,'DATA BTO'!K:K,FALSE)</f>
        <v>0</v>
      </c>
      <c r="AJ455" s="50" t="b">
        <f>_xlfn.XLOOKUP(Tableau119[[#This Row],[Key(ID-date)]],'DATA BTO'!S:S,'DATA BTO'!L:L,FALSE)</f>
        <v>0</v>
      </c>
      <c r="AK455" s="53" t="b">
        <f>_xlfn.XLOOKUP(Tableau119[[#This Row],[Key(ID-date)]],'DATA BTO'!S:S,'DATA BTO'!N:N,FALSE)</f>
        <v>0</v>
      </c>
      <c r="AL455" s="54" t="e">
        <f>VLOOKUP(Tableau119[[#This Row],[Key(POD -PFI- Usine)]],'DATA Consignee'!A:F,6,FALSE)</f>
        <v>#N/A</v>
      </c>
      <c r="AM455" s="284" t="s">
        <v>270</v>
      </c>
      <c r="AN455" s="376">
        <f>IF(Tableau119[[#This Row],[Name PFI/CDD]]="","-",VLOOKUP(Tableau119[[#This Row],[Name PFI/CDD]],Plant_AILN!I:J,2,FALSE))</f>
        <v>90016600</v>
      </c>
      <c r="AO4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5" s="2" t="e">
        <f>VLOOKUP(Tableau119[[#This Row],[Key(POD -PFI- Usine)]],'DATA Consignee'!A:J,10,FALSE)</f>
        <v>#N/A</v>
      </c>
      <c r="AR455" s="50" t="e">
        <f>VLOOKUP(Tableau119[[#This Row],[Key(POD -PFI- Usine)]],'DATA Consignee'!A:N,14,FALSE)</f>
        <v>#N/A</v>
      </c>
      <c r="AS4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5" s="50">
        <f>Tableau119[[#This Row],[Transit time]]+Tableau119[[#This Row],[Time for security]]+Tableau119[[#This Row],[Time for security2 buffer]]</f>
        <v>0</v>
      </c>
      <c r="AV4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5" s="50" t="e">
        <f>Tableau119[[#This Row],[Leadtime SI2C]]+Tableau119[[#This Row],[First Receipt Days]]-Tableau119[[#This Row],[Day Customer Order]]+1</f>
        <v>#N/A</v>
      </c>
      <c r="AX455" s="119" t="e">
        <f>IF(Tableau119[[#This Row],[Name ILN]]&lt;&gt;"SFK Freight Forwarder",Tableau119[[#This Row],[Cust. Leadtime]],Tableau119[[#This Row],[Leadtime SI2C]])</f>
        <v>#N/A</v>
      </c>
      <c r="AY455" s="51" t="b">
        <f>_xlfn.XLOOKUP(Tableau119[[#This Row],[Key(ID-date)]],'DATA BTO'!S:S,'DATA BTO'!P:P,FALSE)</f>
        <v>0</v>
      </c>
      <c r="AZ455" s="338">
        <v>45777</v>
      </c>
      <c r="BA455" s="50"/>
    </row>
    <row r="456" spans="2:53">
      <c r="B456" s="446" t="str">
        <f>_xlfn.CONCAT(Tableau119[[#This Row],[Name ILN]],"-",Tableau119[[#This Row],[Name Shipper]],"-",Tableau119[[#This Row],[Name Site]])</f>
        <v>ILN Cordoba-ILN Cordoba-CLEON</v>
      </c>
      <c r="C456" s="66" t="str">
        <f>_xlfn.CONCAT(Tableau119[[#This Row],[Compte ILN]],"-",Tableau119[[#This Row],[Compte Shipper]],"-",Tableau119[[#This Row],[POL]],"-",Tableau119[[#This Row],[Compte Consignee]])</f>
        <v>26376-26376-FALSO-92000100</v>
      </c>
      <c r="D456" s="66" t="str">
        <f>_xlfn.CONCAT(Tableau119[[#This Row],[Compte ILN]],"-",Tableau119[[#This Row],[Compte Shipper]],"-",Tableau119[[#This Row],[POL]])</f>
        <v>26376-26376-FALSO</v>
      </c>
      <c r="E456" s="130" t="str">
        <f>_xlfn.CONCAT(Tableau119[[#This Row],[POL]],"-",Tableau119[[#This Row],[Carrier]],"-",Tableau119[[#This Row],[POD]])</f>
        <v>FALSO-FALSO-FALSO</v>
      </c>
      <c r="F456" s="66" t="str">
        <f>_xlfn.CONCAT(Tableau119[[#This Row],[ID]],"-","Actif")</f>
        <v>162-Actif</v>
      </c>
      <c r="G456" s="66" t="str">
        <f>_xlfn.CONCAT(Tableau119[[#This Row],[POD]],"-",Tableau119[[#This Row],[Code PFI]],"-",Tableau119[[#This Row],[Compte Consignee]])</f>
        <v>FALSO-90016600-92000100</v>
      </c>
      <c r="H4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CordobaFALSOCLEON</v>
      </c>
      <c r="I456" s="434" t="str">
        <f>_xlfn.CONCAT(Tableau119[[#This Row],[ID]],"-",Tableau119[[#This Row],[Expiration Date]])</f>
        <v>162-45777</v>
      </c>
      <c r="J4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Cordoba-ILN Cordoba-162-FALSO-FALSO-FALSO-CDD FR-45777</v>
      </c>
      <c r="K456" s="119" t="str">
        <f ca="1">IF(COUNTIF(J:J,Tableau119[[#This Row],[Plant-ILN-shipper-POL-Carrier-POD-PFI]])=1,"Non","Oui")</f>
        <v>Non</v>
      </c>
      <c r="L456" s="128" t="str">
        <f>VLOOKUP(Tableau119[[#This Row],[Name Site]],Plant_AILN!A:D,4,FALSE)</f>
        <v>FRANCE</v>
      </c>
      <c r="M456" s="411" t="s">
        <v>183</v>
      </c>
      <c r="N456" s="454">
        <f>VLOOKUP(Tableau119[[#This Row],[Name Site]],Plant_AILN!A:C,3,FALSE)</f>
        <v>92000100</v>
      </c>
      <c r="O456" s="55">
        <f>VLOOKUP(Tableau119[[#This Row],[Compte Consignee]],Order!C:D,2,FALSE)</f>
        <v>7</v>
      </c>
      <c r="P456" s="124" t="s">
        <v>199</v>
      </c>
      <c r="Q456" s="365">
        <f>VLOOKUP(Tableau119[[#This Row],[Name ILN]],Plant_AILN!F:G,2,FALSE)</f>
        <v>26376</v>
      </c>
      <c r="R456" s="50">
        <f>VLOOKUP(Tableau119[[#This Row],[Compte ILN]],'DATA ILN'!D:I,6,FALSE)</f>
        <v>9</v>
      </c>
      <c r="S456" s="50" t="e">
        <f>IFERROR(VLOOKUP(Tableau119[[#This Row],[Key(Compte ILN - shipper - POL - plant)]],'DATA ILN'!A:J,10,FALSE),VLOOKUP(Tableau119[[#This Row],[Key(Compte ILN - shipper - POL)]],'DATA ILN'!B:J,9,FALSE))</f>
        <v>#N/A</v>
      </c>
      <c r="T456" s="50" t="e">
        <f>IFERROR(VLOOKUP(Tableau119[[#This Row],[Key(Compte ILN - shipper - POL - plant)]],'DATA ILN'!A:K,11,FALSE),VLOOKUP(Tableau119[[#This Row],[Key(Compte ILN - shipper - POL)]],'DATA ILN'!B:K,10,FALSE))</f>
        <v>#N/A</v>
      </c>
      <c r="U456" s="50" t="e">
        <f>IFERROR(VLOOKUP(Tableau119[[#This Row],[Key(Compte ILN - shipper - POL - plant)]],'DATA ILN'!A:L,12,FALSE),VLOOKUP(Tableau119[[#This Row],[Key(Compte ILN - shipper - POL)]],'DATA ILN'!B:L,11,FALSE))</f>
        <v>#N/A</v>
      </c>
      <c r="V456" s="50" t="e">
        <f>Tableau119[[#This Row],[Day ILN Order]]+Tableau119[[#This Row],[Delivery time to ILN/Shipper]]-1</f>
        <v>#N/A</v>
      </c>
      <c r="W456" s="50" t="e">
        <f>IFERROR(VLOOKUP(Tableau119[[#This Row],[Key(Compte ILN - shipper - POL - plant)]],'DATA ILN'!A:N,14,FALSE),VLOOKUP(Tableau119[[#This Row],[Key(Compte ILN - shipper - POL)]],'DATA ILN'!B:N,13,FALSE))</f>
        <v>#N/A</v>
      </c>
      <c r="X456" s="50" t="e">
        <f>IFERROR(VLOOKUP(Tableau119[[#This Row],[Key(Compte ILN - shipper - POL - plant)]],'DATA ILN'!A:P,16,FALSE),VLOOKUP(Tableau119[[#This Row],[Key(Compte ILN - shipper - POL)]],'DATA ILN'!B:P,15,FALSE))</f>
        <v>#N/A</v>
      </c>
      <c r="Y456" s="284" t="s">
        <v>199</v>
      </c>
      <c r="Z456" s="430">
        <f>IFERROR(VLOOKUP(Tableau119[[#This Row],[Name Shipper]],Plant_AILN!L:M,2,FALSE),0)</f>
        <v>26376</v>
      </c>
      <c r="AA456" s="406">
        <v>162</v>
      </c>
      <c r="AB456" s="396" t="b">
        <f>_xlfn.XLOOKUP(Tableau119[[#This Row],[Key(ID-date)]],'DATA BTO'!S:S,'DATA BTO'!E:E,FALSE)</f>
        <v>0</v>
      </c>
      <c r="AC456" s="3" t="b">
        <f>_xlfn.XLOOKUP(Tableau119[[#This Row],[Key(ID-date)]],'DATA BTO'!S:S,'DATA BTO'!F:F,FALSE)</f>
        <v>0</v>
      </c>
      <c r="AD456" s="50" t="b">
        <f>_xlfn.XLOOKUP(Tableau119[[#This Row],[Key(ID-date)]],'DATA BTO'!S:S,'DATA BTO'!G:G,FALSE)</f>
        <v>0</v>
      </c>
      <c r="AE456" s="50" t="b">
        <f>_xlfn.XLOOKUP(Tableau119[[#This Row],[Key(ID-date)]],'DATA BTO'!S:S,'DATA BTO'!H:H,FALSE)</f>
        <v>0</v>
      </c>
      <c r="AF456" s="447" t="e">
        <f>IF(Tableau119[[#This Row],[First Day to POL]]&lt;=Tableau119[[#This Row],[Day Cut Off]],Tableau119[[#This Row],[Day ETD]],Tableau119[[#This Row],[Day ETD]]+7)</f>
        <v>#N/A</v>
      </c>
      <c r="AG456" s="50" t="b">
        <f>_xlfn.XLOOKUP(Tableau119[[#This Row],[Key(ID-date)]],'DATA BTO'!S:S,'DATA BTO'!I:I,FALSE)</f>
        <v>0</v>
      </c>
      <c r="AH456" s="3" t="b">
        <f>_xlfn.XLOOKUP(Tableau119[[#This Row],[Key(ID-date)]],'DATA BTO'!S:S,'DATA BTO'!J:J,FALSE)</f>
        <v>0</v>
      </c>
      <c r="AI456" s="3" t="b">
        <f>_xlfn.XLOOKUP(Tableau119[[#This Row],[Key(ID-date)]],'DATA BTO'!S:S,'DATA BTO'!K:K,FALSE)</f>
        <v>0</v>
      </c>
      <c r="AJ456" s="50" t="b">
        <f>_xlfn.XLOOKUP(Tableau119[[#This Row],[Key(ID-date)]],'DATA BTO'!S:S,'DATA BTO'!L:L,FALSE)</f>
        <v>0</v>
      </c>
      <c r="AK456" s="53" t="b">
        <f>_xlfn.XLOOKUP(Tableau119[[#This Row],[Key(ID-date)]],'DATA BTO'!S:S,'DATA BTO'!N:N,FALSE)</f>
        <v>0</v>
      </c>
      <c r="AL456" s="54" t="e">
        <f>VLOOKUP(Tableau119[[#This Row],[Key(POD -PFI- Usine)]],'DATA Consignee'!A:F,6,FALSE)</f>
        <v>#N/A</v>
      </c>
      <c r="AM456" s="284" t="s">
        <v>155</v>
      </c>
      <c r="AN456" s="376">
        <f>IF(Tableau119[[#This Row],[Name PFI/CDD]]="","-",VLOOKUP(Tableau119[[#This Row],[Name PFI/CDD]],Plant_AILN!I:J,2,FALSE))</f>
        <v>90016600</v>
      </c>
      <c r="AO4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6" s="2" t="e">
        <f>VLOOKUP(Tableau119[[#This Row],[Key(POD -PFI- Usine)]],'DATA Consignee'!A:J,10,FALSE)</f>
        <v>#N/A</v>
      </c>
      <c r="AR456" s="50" t="e">
        <f>VLOOKUP(Tableau119[[#This Row],[Key(POD -PFI- Usine)]],'DATA Consignee'!A:N,14,FALSE)</f>
        <v>#N/A</v>
      </c>
      <c r="AS4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6" s="50">
        <f>Tableau119[[#This Row],[Transit time]]+Tableau119[[#This Row],[Time for security]]+Tableau119[[#This Row],[Time for security2 buffer]]</f>
        <v>0</v>
      </c>
      <c r="AV4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6" s="50" t="e">
        <f>Tableau119[[#This Row],[Leadtime SI2C]]+Tableau119[[#This Row],[First Receipt Days]]-Tableau119[[#This Row],[Day Customer Order]]+1</f>
        <v>#N/A</v>
      </c>
      <c r="AX456" s="119" t="e">
        <f>IF(Tableau119[[#This Row],[Name ILN]]&lt;&gt;"SFK Freight Forwarder",Tableau119[[#This Row],[Cust. Leadtime]],Tableau119[[#This Row],[Leadtime SI2C]])</f>
        <v>#N/A</v>
      </c>
      <c r="AY456" s="51" t="b">
        <f>_xlfn.XLOOKUP(Tableau119[[#This Row],[Key(ID-date)]],'DATA BTO'!S:S,'DATA BTO'!P:P,FALSE)</f>
        <v>0</v>
      </c>
      <c r="AZ456" s="338">
        <v>45777</v>
      </c>
      <c r="BA456" s="50"/>
    </row>
    <row r="457" spans="2:53">
      <c r="B457" s="446" t="str">
        <f>_xlfn.CONCAT(Tableau119[[#This Row],[Name ILN]],"-",Tableau119[[#This Row],[Name Shipper]],"-",Tableau119[[#This Row],[Name Site]])</f>
        <v>ILN Cordoba-ILN Cordoba-FLINS</v>
      </c>
      <c r="C457" s="66" t="str">
        <f>_xlfn.CONCAT(Tableau119[[#This Row],[Compte ILN]],"-",Tableau119[[#This Row],[Compte Shipper]],"-",Tableau119[[#This Row],[POL]],"-",Tableau119[[#This Row],[Compte Consignee]])</f>
        <v>26376-26376-FALSO-90015100</v>
      </c>
      <c r="D457" s="66" t="str">
        <f>_xlfn.CONCAT(Tableau119[[#This Row],[Compte ILN]],"-",Tableau119[[#This Row],[Compte Shipper]],"-",Tableau119[[#This Row],[POL]])</f>
        <v>26376-26376-FALSO</v>
      </c>
      <c r="E457" s="130" t="str">
        <f>_xlfn.CONCAT(Tableau119[[#This Row],[POL]],"-",Tableau119[[#This Row],[Carrier]],"-",Tableau119[[#This Row],[POD]])</f>
        <v>FALSO-FALSO-FALSO</v>
      </c>
      <c r="F457" s="66" t="str">
        <f>_xlfn.CONCAT(Tableau119[[#This Row],[ID]],"-","Actif")</f>
        <v>162-Actif</v>
      </c>
      <c r="G457" s="66" t="str">
        <f>_xlfn.CONCAT(Tableau119[[#This Row],[POD]],"-",Tableau119[[#This Row],[Code PFI]],"-",Tableau119[[#This Row],[Compte Consignee]])</f>
        <v>FALSO-90016600-90015100</v>
      </c>
      <c r="H4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CordobaFALSOFLINS</v>
      </c>
      <c r="I457" s="434" t="str">
        <f>_xlfn.CONCAT(Tableau119[[#This Row],[ID]],"-",Tableau119[[#This Row],[Expiration Date]])</f>
        <v>162-45412</v>
      </c>
      <c r="J4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Cordoba-ILN Cordoba-162-FALSO-FALSO-FALSO-CDD FR-45412</v>
      </c>
      <c r="K457" s="119" t="str">
        <f ca="1">IF(COUNTIF(J:J,Tableau119[[#This Row],[Plant-ILN-shipper-POL-Carrier-POD-PFI]])=1,"Non","Oui")</f>
        <v>Non</v>
      </c>
      <c r="L457" s="128" t="str">
        <f>VLOOKUP(Tableau119[[#This Row],[Name Site]],Plant_AILN!A:D,4,FALSE)</f>
        <v>FRANCE</v>
      </c>
      <c r="M457" s="411" t="s">
        <v>209</v>
      </c>
      <c r="N457" s="454">
        <f>VLOOKUP(Tableau119[[#This Row],[Name Site]],Plant_AILN!A:C,3,FALSE)</f>
        <v>90015100</v>
      </c>
      <c r="O457" s="55">
        <f>VLOOKUP(Tableau119[[#This Row],[Compte Consignee]],Order!C:D,2,FALSE)</f>
        <v>7</v>
      </c>
      <c r="P457" s="124" t="s">
        <v>199</v>
      </c>
      <c r="Q457" s="365">
        <f>VLOOKUP(Tableau119[[#This Row],[Name ILN]],Plant_AILN!F:G,2,FALSE)</f>
        <v>26376</v>
      </c>
      <c r="R457" s="50">
        <f>VLOOKUP(Tableau119[[#This Row],[Compte ILN]],'DATA ILN'!D:I,6,FALSE)</f>
        <v>9</v>
      </c>
      <c r="S457" s="50" t="e">
        <f>IFERROR(VLOOKUP(Tableau119[[#This Row],[Key(Compte ILN - shipper - POL - plant)]],'DATA ILN'!A:J,10,FALSE),VLOOKUP(Tableau119[[#This Row],[Key(Compte ILN - shipper - POL)]],'DATA ILN'!B:J,9,FALSE))</f>
        <v>#N/A</v>
      </c>
      <c r="T457" s="50" t="e">
        <f>IFERROR(VLOOKUP(Tableau119[[#This Row],[Key(Compte ILN - shipper - POL - plant)]],'DATA ILN'!A:K,11,FALSE),VLOOKUP(Tableau119[[#This Row],[Key(Compte ILN - shipper - POL)]],'DATA ILN'!B:K,10,FALSE))</f>
        <v>#N/A</v>
      </c>
      <c r="U457" s="50" t="e">
        <f>IFERROR(VLOOKUP(Tableau119[[#This Row],[Key(Compte ILN - shipper - POL - plant)]],'DATA ILN'!A:L,12,FALSE),VLOOKUP(Tableau119[[#This Row],[Key(Compte ILN - shipper - POL)]],'DATA ILN'!B:L,11,FALSE))</f>
        <v>#N/A</v>
      </c>
      <c r="V457" s="50" t="e">
        <f>Tableau119[[#This Row],[Day ILN Order]]+Tableau119[[#This Row],[Delivery time to ILN/Shipper]]-1</f>
        <v>#N/A</v>
      </c>
      <c r="W457" s="50" t="e">
        <f>IFERROR(VLOOKUP(Tableau119[[#This Row],[Key(Compte ILN - shipper - POL - plant)]],'DATA ILN'!A:N,14,FALSE),VLOOKUP(Tableau119[[#This Row],[Key(Compte ILN - shipper - POL)]],'DATA ILN'!B:N,13,FALSE))</f>
        <v>#N/A</v>
      </c>
      <c r="X457" s="50" t="e">
        <f>IFERROR(VLOOKUP(Tableau119[[#This Row],[Key(Compte ILN - shipper - POL - plant)]],'DATA ILN'!A:P,16,FALSE),VLOOKUP(Tableau119[[#This Row],[Key(Compte ILN - shipper - POL)]],'DATA ILN'!B:P,15,FALSE))</f>
        <v>#N/A</v>
      </c>
      <c r="Y457" s="284" t="s">
        <v>199</v>
      </c>
      <c r="Z457" s="430">
        <f>IFERROR(VLOOKUP(Tableau119[[#This Row],[Name Shipper]],Plant_AILN!L:M,2,FALSE),0)</f>
        <v>26376</v>
      </c>
      <c r="AA457" s="406">
        <v>162</v>
      </c>
      <c r="AB457" s="396" t="b">
        <f>_xlfn.XLOOKUP(Tableau119[[#This Row],[Key(ID-date)]],'DATA BTO'!S:S,'DATA BTO'!E:E,FALSE)</f>
        <v>0</v>
      </c>
      <c r="AC457" s="3" t="b">
        <f>_xlfn.XLOOKUP(Tableau119[[#This Row],[Key(ID-date)]],'DATA BTO'!S:S,'DATA BTO'!F:F,FALSE)</f>
        <v>0</v>
      </c>
      <c r="AD457" s="50" t="b">
        <f>_xlfn.XLOOKUP(Tableau119[[#This Row],[Key(ID-date)]],'DATA BTO'!S:S,'DATA BTO'!G:G,FALSE)</f>
        <v>0</v>
      </c>
      <c r="AE457" s="50" t="b">
        <f>_xlfn.XLOOKUP(Tableau119[[#This Row],[Key(ID-date)]],'DATA BTO'!S:S,'DATA BTO'!H:H,FALSE)</f>
        <v>0</v>
      </c>
      <c r="AF457" s="447" t="e">
        <f>IF(Tableau119[[#This Row],[First Day to POL]]&lt;=Tableau119[[#This Row],[Day Cut Off]],Tableau119[[#This Row],[Day ETD]],Tableau119[[#This Row],[Day ETD]]+7)</f>
        <v>#N/A</v>
      </c>
      <c r="AG457" s="50" t="b">
        <f>_xlfn.XLOOKUP(Tableau119[[#This Row],[Key(ID-date)]],'DATA BTO'!S:S,'DATA BTO'!I:I,FALSE)</f>
        <v>0</v>
      </c>
      <c r="AH457" s="3" t="b">
        <f>_xlfn.XLOOKUP(Tableau119[[#This Row],[Key(ID-date)]],'DATA BTO'!S:S,'DATA BTO'!J:J,FALSE)</f>
        <v>0</v>
      </c>
      <c r="AI457" s="3" t="b">
        <f>_xlfn.XLOOKUP(Tableau119[[#This Row],[Key(ID-date)]],'DATA BTO'!S:S,'DATA BTO'!K:K,FALSE)</f>
        <v>0</v>
      </c>
      <c r="AJ457" s="50" t="b">
        <f>_xlfn.XLOOKUP(Tableau119[[#This Row],[Key(ID-date)]],'DATA BTO'!S:S,'DATA BTO'!L:L,FALSE)</f>
        <v>0</v>
      </c>
      <c r="AK457" s="53" t="b">
        <f>_xlfn.XLOOKUP(Tableau119[[#This Row],[Key(ID-date)]],'DATA BTO'!S:S,'DATA BTO'!N:N,FALSE)</f>
        <v>0</v>
      </c>
      <c r="AL457" s="54" t="e">
        <f>VLOOKUP(Tableau119[[#This Row],[Key(POD -PFI- Usine)]],'DATA Consignee'!A:F,6,FALSE)</f>
        <v>#N/A</v>
      </c>
      <c r="AM457" s="284" t="s">
        <v>155</v>
      </c>
      <c r="AN457" s="376">
        <f>IF(Tableau119[[#This Row],[Name PFI/CDD]]="","-",VLOOKUP(Tableau119[[#This Row],[Name PFI/CDD]],Plant_AILN!I:J,2,FALSE))</f>
        <v>90016600</v>
      </c>
      <c r="AO4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7" s="2" t="e">
        <f>VLOOKUP(Tableau119[[#This Row],[Key(POD -PFI- Usine)]],'DATA Consignee'!A:J,10,FALSE)</f>
        <v>#N/A</v>
      </c>
      <c r="AR457" s="50" t="e">
        <f>VLOOKUP(Tableau119[[#This Row],[Key(POD -PFI- Usine)]],'DATA Consignee'!A:N,14,FALSE)</f>
        <v>#N/A</v>
      </c>
      <c r="AS4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7" s="50">
        <f>Tableau119[[#This Row],[Transit time]]+Tableau119[[#This Row],[Time for security]]+Tableau119[[#This Row],[Time for security2 buffer]]</f>
        <v>0</v>
      </c>
      <c r="AV4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7" s="50" t="e">
        <f>Tableau119[[#This Row],[Leadtime SI2C]]+Tableau119[[#This Row],[First Receipt Days]]-Tableau119[[#This Row],[Day Customer Order]]+1</f>
        <v>#N/A</v>
      </c>
      <c r="AX457" s="119" t="e">
        <f>IF(Tableau119[[#This Row],[Name ILN]]&lt;&gt;"SFK Freight Forwarder",Tableau119[[#This Row],[Cust. Leadtime]],Tableau119[[#This Row],[Leadtime SI2C]])</f>
        <v>#N/A</v>
      </c>
      <c r="AY457" s="51" t="b">
        <f>_xlfn.XLOOKUP(Tableau119[[#This Row],[Key(ID-date)]],'DATA BTO'!S:S,'DATA BTO'!P:P,FALSE)</f>
        <v>0</v>
      </c>
      <c r="AZ457" s="338">
        <v>45412</v>
      </c>
      <c r="BA457" s="50"/>
    </row>
    <row r="458" spans="2:53">
      <c r="B458" s="446" t="str">
        <f>_xlfn.CONCAT(Tableau119[[#This Row],[Name ILN]],"-",Tableau119[[#This Row],[Name Shipper]],"-",Tableau119[[#This Row],[Name Site]])</f>
        <v>ILN Cordoba-ILN Cordoba-MAUBEUGE</v>
      </c>
      <c r="C458" s="66" t="str">
        <f>_xlfn.CONCAT(Tableau119[[#This Row],[Compte ILN]],"-",Tableau119[[#This Row],[Compte Shipper]],"-",Tableau119[[#This Row],[POL]],"-",Tableau119[[#This Row],[Compte Consignee]])</f>
        <v>26376-26376-FALSO-90016200</v>
      </c>
      <c r="D458" s="66" t="str">
        <f>_xlfn.CONCAT(Tableau119[[#This Row],[Compte ILN]],"-",Tableau119[[#This Row],[Compte Shipper]],"-",Tableau119[[#This Row],[POL]])</f>
        <v>26376-26376-FALSO</v>
      </c>
      <c r="E458" s="130" t="str">
        <f>_xlfn.CONCAT(Tableau119[[#This Row],[POL]],"-",Tableau119[[#This Row],[Carrier]],"-",Tableau119[[#This Row],[POD]])</f>
        <v>FALSO-FALSO-FALSO</v>
      </c>
      <c r="F458" s="66" t="str">
        <f>_xlfn.CONCAT(Tableau119[[#This Row],[ID]],"-","Actif")</f>
        <v>162-Actif</v>
      </c>
      <c r="G458" s="66" t="str">
        <f>_xlfn.CONCAT(Tableau119[[#This Row],[POD]],"-",Tableau119[[#This Row],[Code PFI]],"-",Tableau119[[#This Row],[Compte Consignee]])</f>
        <v>FALSO-90016600-90016200</v>
      </c>
      <c r="H4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CordobaFALSOMAUBEUGE</v>
      </c>
      <c r="I458" s="434" t="str">
        <f>_xlfn.CONCAT(Tableau119[[#This Row],[ID]],"-",Tableau119[[#This Row],[Expiration Date]])</f>
        <v>162-45412</v>
      </c>
      <c r="J4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Cordoba-ILN Cordoba-162-FALSO-FALSO-FALSO-CDD FR-45412</v>
      </c>
      <c r="K458" s="119" t="str">
        <f ca="1">IF(COUNTIF(J:J,Tableau119[[#This Row],[Plant-ILN-shipper-POL-Carrier-POD-PFI]])=1,"Non","Oui")</f>
        <v>Non</v>
      </c>
      <c r="L458" s="128" t="str">
        <f>VLOOKUP(Tableau119[[#This Row],[Name Site]],Plant_AILN!A:D,4,FALSE)</f>
        <v>FRANCE</v>
      </c>
      <c r="M458" s="415" t="s">
        <v>210</v>
      </c>
      <c r="N458" s="455">
        <f>VLOOKUP(Tableau119[[#This Row],[Name Site]],Plant_AILN!A:C,3,FALSE)</f>
        <v>90016200</v>
      </c>
      <c r="O458" s="104">
        <f>VLOOKUP(Tableau119[[#This Row],[Compte Consignee]],Order!C:D,2,FALSE)</f>
        <v>7</v>
      </c>
      <c r="P458" s="126" t="s">
        <v>199</v>
      </c>
      <c r="Q458" s="366">
        <f>VLOOKUP(Tableau119[[#This Row],[Name ILN]],Plant_AILN!F:G,2,FALSE)</f>
        <v>26376</v>
      </c>
      <c r="R458" s="81">
        <f>VLOOKUP(Tableau119[[#This Row],[Compte ILN]],'DATA ILN'!D:I,6,FALSE)</f>
        <v>9</v>
      </c>
      <c r="S458" s="81" t="e">
        <f>IFERROR(VLOOKUP(Tableau119[[#This Row],[Key(Compte ILN - shipper - POL - plant)]],'DATA ILN'!A:J,10,FALSE),VLOOKUP(Tableau119[[#This Row],[Key(Compte ILN - shipper - POL)]],'DATA ILN'!B:J,9,FALSE))</f>
        <v>#N/A</v>
      </c>
      <c r="T458" s="81" t="e">
        <f>IFERROR(VLOOKUP(Tableau119[[#This Row],[Key(Compte ILN - shipper - POL - plant)]],'DATA ILN'!A:K,11,FALSE),VLOOKUP(Tableau119[[#This Row],[Key(Compte ILN - shipper - POL)]],'DATA ILN'!B:K,10,FALSE))</f>
        <v>#N/A</v>
      </c>
      <c r="U458" s="81" t="e">
        <f>IFERROR(VLOOKUP(Tableau119[[#This Row],[Key(Compte ILN - shipper - POL - plant)]],'DATA ILN'!A:L,12,FALSE),VLOOKUP(Tableau119[[#This Row],[Key(Compte ILN - shipper - POL)]],'DATA ILN'!B:L,11,FALSE))</f>
        <v>#N/A</v>
      </c>
      <c r="V458" s="81" t="e">
        <f>Tableau119[[#This Row],[Day ILN Order]]+Tableau119[[#This Row],[Delivery time to ILN/Shipper]]-1</f>
        <v>#N/A</v>
      </c>
      <c r="W458" s="81" t="e">
        <f>IFERROR(VLOOKUP(Tableau119[[#This Row],[Key(Compte ILN - shipper - POL - plant)]],'DATA ILN'!A:N,14,FALSE),VLOOKUP(Tableau119[[#This Row],[Key(Compte ILN - shipper - POL)]],'DATA ILN'!B:N,13,FALSE))</f>
        <v>#N/A</v>
      </c>
      <c r="X458" s="81" t="e">
        <f>IFERROR(VLOOKUP(Tableau119[[#This Row],[Key(Compte ILN - shipper - POL - plant)]],'DATA ILN'!A:P,16,FALSE),VLOOKUP(Tableau119[[#This Row],[Key(Compte ILN - shipper - POL)]],'DATA ILN'!B:P,15,FALSE))</f>
        <v>#N/A</v>
      </c>
      <c r="Y458" s="102" t="s">
        <v>199</v>
      </c>
      <c r="Z458" s="417">
        <f>IFERROR(VLOOKUP(Tableau119[[#This Row],[Name Shipper]],Plant_AILN!L:M,2,FALSE),0)</f>
        <v>26376</v>
      </c>
      <c r="AA458" s="416">
        <v>162</v>
      </c>
      <c r="AB458" s="396" t="b">
        <f>_xlfn.XLOOKUP(Tableau119[[#This Row],[Key(ID-date)]],'DATA BTO'!S:S,'DATA BTO'!E:E,FALSE)</f>
        <v>0</v>
      </c>
      <c r="AC458" s="3" t="b">
        <f>_xlfn.XLOOKUP(Tableau119[[#This Row],[Key(ID-date)]],'DATA BTO'!S:S,'DATA BTO'!F:F,FALSE)</f>
        <v>0</v>
      </c>
      <c r="AD458" s="50" t="b">
        <f>_xlfn.XLOOKUP(Tableau119[[#This Row],[Key(ID-date)]],'DATA BTO'!S:S,'DATA BTO'!G:G,FALSE)</f>
        <v>0</v>
      </c>
      <c r="AE458" s="50" t="b">
        <f>_xlfn.XLOOKUP(Tableau119[[#This Row],[Key(ID-date)]],'DATA BTO'!S:S,'DATA BTO'!H:H,FALSE)</f>
        <v>0</v>
      </c>
      <c r="AF458" s="447" t="e">
        <f>IF(Tableau119[[#This Row],[First Day to POL]]&lt;=Tableau119[[#This Row],[Day Cut Off]],Tableau119[[#This Row],[Day ETD]],Tableau119[[#This Row],[Day ETD]]+7)</f>
        <v>#N/A</v>
      </c>
      <c r="AG458" s="50" t="b">
        <f>_xlfn.XLOOKUP(Tableau119[[#This Row],[Key(ID-date)]],'DATA BTO'!S:S,'DATA BTO'!I:I,FALSE)</f>
        <v>0</v>
      </c>
      <c r="AH458" s="3" t="b">
        <f>_xlfn.XLOOKUP(Tableau119[[#This Row],[Key(ID-date)]],'DATA BTO'!S:S,'DATA BTO'!J:J,FALSE)</f>
        <v>0</v>
      </c>
      <c r="AI458" s="3" t="b">
        <f>_xlfn.XLOOKUP(Tableau119[[#This Row],[Key(ID-date)]],'DATA BTO'!S:S,'DATA BTO'!K:K,FALSE)</f>
        <v>0</v>
      </c>
      <c r="AJ458" s="50" t="b">
        <f>_xlfn.XLOOKUP(Tableau119[[#This Row],[Key(ID-date)]],'DATA BTO'!S:S,'DATA BTO'!L:L,FALSE)</f>
        <v>0</v>
      </c>
      <c r="AK458" s="53" t="b">
        <f>_xlfn.XLOOKUP(Tableau119[[#This Row],[Key(ID-date)]],'DATA BTO'!S:S,'DATA BTO'!N:N,FALSE)</f>
        <v>0</v>
      </c>
      <c r="AL458" s="54" t="e">
        <f>VLOOKUP(Tableau119[[#This Row],[Key(POD -PFI- Usine)]],'DATA Consignee'!A:F,6,FALSE)</f>
        <v>#N/A</v>
      </c>
      <c r="AM458" s="102" t="s">
        <v>155</v>
      </c>
      <c r="AN458" s="375">
        <f>IF(Tableau119[[#This Row],[Name PFI/CDD]]="","-",VLOOKUP(Tableau119[[#This Row],[Name PFI/CDD]],Plant_AILN!I:J,2,FALSE))</f>
        <v>90016600</v>
      </c>
      <c r="AO45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8" s="110" t="e">
        <f>VLOOKUP(Tableau119[[#This Row],[Key(POD -PFI- Usine)]],'DATA Consignee'!A:J,10,FALSE)</f>
        <v>#N/A</v>
      </c>
      <c r="AR458" s="81" t="e">
        <f>VLOOKUP(Tableau119[[#This Row],[Key(POD -PFI- Usine)]],'DATA Consignee'!A:N,14,FALSE)</f>
        <v>#N/A</v>
      </c>
      <c r="AS45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8" s="81">
        <f>Tableau119[[#This Row],[Transit time]]+Tableau119[[#This Row],[Time for security]]+Tableau119[[#This Row],[Time for security2 buffer]]</f>
        <v>0</v>
      </c>
      <c r="AV4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8" s="50" t="e">
        <f>Tableau119[[#This Row],[Leadtime SI2C]]+Tableau119[[#This Row],[First Receipt Days]]-Tableau119[[#This Row],[Day Customer Order]]+1</f>
        <v>#N/A</v>
      </c>
      <c r="AX458" s="119" t="e">
        <f>IF(Tableau119[[#This Row],[Name ILN]]&lt;&gt;"SFK Freight Forwarder",Tableau119[[#This Row],[Cust. Leadtime]],Tableau119[[#This Row],[Leadtime SI2C]])</f>
        <v>#N/A</v>
      </c>
      <c r="AY458" s="51" t="b">
        <f>_xlfn.XLOOKUP(Tableau119[[#This Row],[Key(ID-date)]],'DATA BTO'!S:S,'DATA BTO'!P:P,FALSE)</f>
        <v>0</v>
      </c>
      <c r="AZ458" s="388">
        <v>45412</v>
      </c>
      <c r="BA458" s="81"/>
    </row>
    <row r="459" spans="2:53">
      <c r="B459" s="446" t="str">
        <f>_xlfn.CONCAT(Tableau119[[#This Row],[Name ILN]],"-",Tableau119[[#This Row],[Name Shipper]],"-",Tableau119[[#This Row],[Name Site]])</f>
        <v>ILN Cordoba-ILN Cordoba-REVOZ</v>
      </c>
      <c r="C459" s="66" t="str">
        <f>_xlfn.CONCAT(Tableau119[[#This Row],[Compte ILN]],"-",Tableau119[[#This Row],[Compte Shipper]],"-",Tableau119[[#This Row],[POL]],"-",Tableau119[[#This Row],[Compte Consignee]])</f>
        <v>26376-26376-FALSO-90016700</v>
      </c>
      <c r="D459" s="66" t="str">
        <f>_xlfn.CONCAT(Tableau119[[#This Row],[Compte ILN]],"-",Tableau119[[#This Row],[Compte Shipper]],"-",Tableau119[[#This Row],[POL]])</f>
        <v>26376-26376-FALSO</v>
      </c>
      <c r="E459" s="130" t="str">
        <f>_xlfn.CONCAT(Tableau119[[#This Row],[POL]],"-",Tableau119[[#This Row],[Carrier]],"-",Tableau119[[#This Row],[POD]])</f>
        <v>FALSO-FALSO-FALSO</v>
      </c>
      <c r="F459" s="66" t="str">
        <f>_xlfn.CONCAT(Tableau119[[#This Row],[ID]],"-","Actif")</f>
        <v>162-Actif</v>
      </c>
      <c r="G459" s="66" t="str">
        <f>_xlfn.CONCAT(Tableau119[[#This Row],[POD]],"-",Tableau119[[#This Row],[Code PFI]],"-",Tableau119[[#This Row],[Compte Consignee]])</f>
        <v>FALSO-90016600-90016700</v>
      </c>
      <c r="H4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CordobaFALSOREVOZ</v>
      </c>
      <c r="I459" s="434" t="str">
        <f>_xlfn.CONCAT(Tableau119[[#This Row],[ID]],"-",Tableau119[[#This Row],[Expiration Date]])</f>
        <v>162-45412</v>
      </c>
      <c r="J4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Cordoba-ILN Cordoba-162-FALSO-FALSO-FALSO-PFI FR-45412</v>
      </c>
      <c r="K459" s="119" t="str">
        <f ca="1">IF(COUNTIF(J:J,Tableau119[[#This Row],[Plant-ILN-shipper-POL-Carrier-POD-PFI]])=1,"Non","Oui")</f>
        <v>Non</v>
      </c>
      <c r="L459" s="128" t="str">
        <f>VLOOKUP(Tableau119[[#This Row],[Name Site]],Plant_AILN!A:D,4,FALSE)</f>
        <v>SLOVENIA</v>
      </c>
      <c r="M459" s="411" t="s">
        <v>35</v>
      </c>
      <c r="N459" s="454">
        <f>VLOOKUP(Tableau119[[#This Row],[Name Site]],Plant_AILN!A:C,3,FALSE)</f>
        <v>90016700</v>
      </c>
      <c r="O459" s="55">
        <f>VLOOKUP(Tableau119[[#This Row],[Compte Consignee]],Order!C:D,2,FALSE)</f>
        <v>7</v>
      </c>
      <c r="P459" s="124" t="s">
        <v>199</v>
      </c>
      <c r="Q459" s="365">
        <f>VLOOKUP(Tableau119[[#This Row],[Name ILN]],Plant_AILN!F:G,2,FALSE)</f>
        <v>26376</v>
      </c>
      <c r="R459" s="50">
        <f>VLOOKUP(Tableau119[[#This Row],[Compte ILN]],'DATA ILN'!D:I,6,FALSE)</f>
        <v>9</v>
      </c>
      <c r="S459" s="50" t="e">
        <f>IFERROR(VLOOKUP(Tableau119[[#This Row],[Key(Compte ILN - shipper - POL - plant)]],'DATA ILN'!A:J,10,FALSE),VLOOKUP(Tableau119[[#This Row],[Key(Compte ILN - shipper - POL)]],'DATA ILN'!B:J,9,FALSE))</f>
        <v>#N/A</v>
      </c>
      <c r="T459" s="50" t="e">
        <f>IFERROR(VLOOKUP(Tableau119[[#This Row],[Key(Compte ILN - shipper - POL - plant)]],'DATA ILN'!A:K,11,FALSE),VLOOKUP(Tableau119[[#This Row],[Key(Compte ILN - shipper - POL)]],'DATA ILN'!B:K,10,FALSE))</f>
        <v>#N/A</v>
      </c>
      <c r="U459" s="50" t="e">
        <f>IFERROR(VLOOKUP(Tableau119[[#This Row],[Key(Compte ILN - shipper - POL - plant)]],'DATA ILN'!A:L,12,FALSE),VLOOKUP(Tableau119[[#This Row],[Key(Compte ILN - shipper - POL)]],'DATA ILN'!B:L,11,FALSE))</f>
        <v>#N/A</v>
      </c>
      <c r="V459" s="50" t="e">
        <f>Tableau119[[#This Row],[Day ILN Order]]+Tableau119[[#This Row],[Delivery time to ILN/Shipper]]-1</f>
        <v>#N/A</v>
      </c>
      <c r="W459" s="50" t="e">
        <f>IFERROR(VLOOKUP(Tableau119[[#This Row],[Key(Compte ILN - shipper - POL - plant)]],'DATA ILN'!A:N,14,FALSE),VLOOKUP(Tableau119[[#This Row],[Key(Compte ILN - shipper - POL)]],'DATA ILN'!B:N,13,FALSE))</f>
        <v>#N/A</v>
      </c>
      <c r="X459" s="50" t="e">
        <f>IFERROR(VLOOKUP(Tableau119[[#This Row],[Key(Compte ILN - shipper - POL - plant)]],'DATA ILN'!A:P,16,FALSE),VLOOKUP(Tableau119[[#This Row],[Key(Compte ILN - shipper - POL)]],'DATA ILN'!B:P,15,FALSE))</f>
        <v>#N/A</v>
      </c>
      <c r="Y459" s="284" t="s">
        <v>199</v>
      </c>
      <c r="Z459" s="430">
        <f>IFERROR(VLOOKUP(Tableau119[[#This Row],[Name Shipper]],Plant_AILN!L:M,2,FALSE),0)</f>
        <v>26376</v>
      </c>
      <c r="AA459" s="406">
        <v>162</v>
      </c>
      <c r="AB459" s="396" t="b">
        <f>_xlfn.XLOOKUP(Tableau119[[#This Row],[Key(ID-date)]],'DATA BTO'!S:S,'DATA BTO'!E:E,FALSE)</f>
        <v>0</v>
      </c>
      <c r="AC459" s="3" t="b">
        <f>_xlfn.XLOOKUP(Tableau119[[#This Row],[Key(ID-date)]],'DATA BTO'!S:S,'DATA BTO'!F:F,FALSE)</f>
        <v>0</v>
      </c>
      <c r="AD459" s="50" t="b">
        <f>_xlfn.XLOOKUP(Tableau119[[#This Row],[Key(ID-date)]],'DATA BTO'!S:S,'DATA BTO'!G:G,FALSE)</f>
        <v>0</v>
      </c>
      <c r="AE459" s="50" t="b">
        <f>_xlfn.XLOOKUP(Tableau119[[#This Row],[Key(ID-date)]],'DATA BTO'!S:S,'DATA BTO'!H:H,FALSE)</f>
        <v>0</v>
      </c>
      <c r="AF459" s="447" t="e">
        <f>IF(Tableau119[[#This Row],[First Day to POL]]&lt;=Tableau119[[#This Row],[Day Cut Off]],Tableau119[[#This Row],[Day ETD]],Tableau119[[#This Row],[Day ETD]]+7)</f>
        <v>#N/A</v>
      </c>
      <c r="AG459" s="50" t="b">
        <f>_xlfn.XLOOKUP(Tableau119[[#This Row],[Key(ID-date)]],'DATA BTO'!S:S,'DATA BTO'!I:I,FALSE)</f>
        <v>0</v>
      </c>
      <c r="AH459" s="3" t="b">
        <f>_xlfn.XLOOKUP(Tableau119[[#This Row],[Key(ID-date)]],'DATA BTO'!S:S,'DATA BTO'!J:J,FALSE)</f>
        <v>0</v>
      </c>
      <c r="AI459" s="3" t="b">
        <f>_xlfn.XLOOKUP(Tableau119[[#This Row],[Key(ID-date)]],'DATA BTO'!S:S,'DATA BTO'!K:K,FALSE)</f>
        <v>0</v>
      </c>
      <c r="AJ459" s="50" t="b">
        <f>_xlfn.XLOOKUP(Tableau119[[#This Row],[Key(ID-date)]],'DATA BTO'!S:S,'DATA BTO'!L:L,FALSE)</f>
        <v>0</v>
      </c>
      <c r="AK459" s="53" t="b">
        <f>_xlfn.XLOOKUP(Tableau119[[#This Row],[Key(ID-date)]],'DATA BTO'!S:S,'DATA BTO'!N:N,FALSE)</f>
        <v>0</v>
      </c>
      <c r="AL459" s="54" t="e">
        <f>VLOOKUP(Tableau119[[#This Row],[Key(POD -PFI- Usine)]],'DATA Consignee'!A:F,6,FALSE)</f>
        <v>#N/A</v>
      </c>
      <c r="AM459" s="284" t="s">
        <v>270</v>
      </c>
      <c r="AN459" s="376">
        <f>IF(Tableau119[[#This Row],[Name PFI/CDD]]="","-",VLOOKUP(Tableau119[[#This Row],[Name PFI/CDD]],Plant_AILN!I:J,2,FALSE))</f>
        <v>90016600</v>
      </c>
      <c r="AO4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59" s="2" t="e">
        <f>VLOOKUP(Tableau119[[#This Row],[Key(POD -PFI- Usine)]],'DATA Consignee'!A:J,10,FALSE)</f>
        <v>#N/A</v>
      </c>
      <c r="AR459" s="50" t="e">
        <f>VLOOKUP(Tableau119[[#This Row],[Key(POD -PFI- Usine)]],'DATA Consignee'!A:N,14,FALSE)</f>
        <v>#N/A</v>
      </c>
      <c r="AS4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59" s="50">
        <f>Tableau119[[#This Row],[Transit time]]+Tableau119[[#This Row],[Time for security]]+Tableau119[[#This Row],[Time for security2 buffer]]</f>
        <v>0</v>
      </c>
      <c r="AV4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59" s="50" t="e">
        <f>Tableau119[[#This Row],[Leadtime SI2C]]+Tableau119[[#This Row],[First Receipt Days]]-Tableau119[[#This Row],[Day Customer Order]]+1</f>
        <v>#N/A</v>
      </c>
      <c r="AX459" s="119" t="e">
        <f>IF(Tableau119[[#This Row],[Name ILN]]&lt;&gt;"SFK Freight Forwarder",Tableau119[[#This Row],[Cust. Leadtime]],Tableau119[[#This Row],[Leadtime SI2C]])</f>
        <v>#N/A</v>
      </c>
      <c r="AY459" s="51" t="b">
        <f>_xlfn.XLOOKUP(Tableau119[[#This Row],[Key(ID-date)]],'DATA BTO'!S:S,'DATA BTO'!P:P,FALSE)</f>
        <v>0</v>
      </c>
      <c r="AZ459" s="338">
        <v>45412</v>
      </c>
      <c r="BA459" s="50"/>
    </row>
    <row r="460" spans="2:53">
      <c r="B460" s="446" t="str">
        <f>_xlfn.CONCAT(Tableau119[[#This Row],[Name ILN]],"-",Tableau119[[#This Row],[Name Shipper]],"-",Tableau119[[#This Row],[Name Site]])</f>
        <v>ILN Cordoba-ILN Cordoba-SOVAB</v>
      </c>
      <c r="C460" s="66" t="str">
        <f>_xlfn.CONCAT(Tableau119[[#This Row],[Compte ILN]],"-",Tableau119[[#This Row],[Compte Shipper]],"-",Tableau119[[#This Row],[POL]],"-",Tableau119[[#This Row],[Compte Consignee]])</f>
        <v>26376-26376-FALSO-90016900</v>
      </c>
      <c r="D460" s="66" t="str">
        <f>_xlfn.CONCAT(Tableau119[[#This Row],[Compte ILN]],"-",Tableau119[[#This Row],[Compte Shipper]],"-",Tableau119[[#This Row],[POL]])</f>
        <v>26376-26376-FALSO</v>
      </c>
      <c r="E460" s="130" t="str">
        <f>_xlfn.CONCAT(Tableau119[[#This Row],[POL]],"-",Tableau119[[#This Row],[Carrier]],"-",Tableau119[[#This Row],[POD]])</f>
        <v>FALSO-FALSO-FALSO</v>
      </c>
      <c r="F460" s="66" t="str">
        <f>_xlfn.CONCAT(Tableau119[[#This Row],[ID]],"-","Actif")</f>
        <v>162-Actif</v>
      </c>
      <c r="G460" s="66" t="str">
        <f>_xlfn.CONCAT(Tableau119[[#This Row],[POD]],"-",Tableau119[[#This Row],[Code PFI]],"-",Tableau119[[#This Row],[Compte Consignee]])</f>
        <v>FALSO-90016600-90016900</v>
      </c>
      <c r="H4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CordobaFALSOSOVAB</v>
      </c>
      <c r="I460" s="434" t="str">
        <f>_xlfn.CONCAT(Tableau119[[#This Row],[ID]],"-",Tableau119[[#This Row],[Expiration Date]])</f>
        <v>162-45412</v>
      </c>
      <c r="J4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Cordoba-ILN Cordoba-162-FALSO-FALSO-FALSO-CDD FR-45412</v>
      </c>
      <c r="K460" s="119" t="str">
        <f ca="1">IF(COUNTIF(J:J,Tableau119[[#This Row],[Plant-ILN-shipper-POL-Carrier-POD-PFI]])=1,"Non","Oui")</f>
        <v>Non</v>
      </c>
      <c r="L460" s="128" t="str">
        <f>VLOOKUP(Tableau119[[#This Row],[Name Site]],Plant_AILN!A:D,4,FALSE)</f>
        <v>FRANCE</v>
      </c>
      <c r="M460" s="411" t="s">
        <v>154</v>
      </c>
      <c r="N460" s="454">
        <f>VLOOKUP(Tableau119[[#This Row],[Name Site]],Plant_AILN!A:C,3,FALSE)</f>
        <v>90016900</v>
      </c>
      <c r="O460" s="55">
        <f>VLOOKUP(Tableau119[[#This Row],[Compte Consignee]],Order!C:D,2,FALSE)</f>
        <v>7</v>
      </c>
      <c r="P460" s="124" t="s">
        <v>199</v>
      </c>
      <c r="Q460" s="365">
        <f>VLOOKUP(Tableau119[[#This Row],[Name ILN]],Plant_AILN!F:G,2,FALSE)</f>
        <v>26376</v>
      </c>
      <c r="R460" s="50">
        <f>VLOOKUP(Tableau119[[#This Row],[Compte ILN]],'DATA ILN'!D:I,6,FALSE)</f>
        <v>9</v>
      </c>
      <c r="S460" s="50" t="e">
        <f>IFERROR(VLOOKUP(Tableau119[[#This Row],[Key(Compte ILN - shipper - POL - plant)]],'DATA ILN'!A:J,10,FALSE),VLOOKUP(Tableau119[[#This Row],[Key(Compte ILN - shipper - POL)]],'DATA ILN'!B:J,9,FALSE))</f>
        <v>#N/A</v>
      </c>
      <c r="T460" s="50" t="e">
        <f>IFERROR(VLOOKUP(Tableau119[[#This Row],[Key(Compte ILN - shipper - POL - plant)]],'DATA ILN'!A:K,11,FALSE),VLOOKUP(Tableau119[[#This Row],[Key(Compte ILN - shipper - POL)]],'DATA ILN'!B:K,10,FALSE))</f>
        <v>#N/A</v>
      </c>
      <c r="U460" s="50" t="e">
        <f>IFERROR(VLOOKUP(Tableau119[[#This Row],[Key(Compte ILN - shipper - POL - plant)]],'DATA ILN'!A:L,12,FALSE),VLOOKUP(Tableau119[[#This Row],[Key(Compte ILN - shipper - POL)]],'DATA ILN'!B:L,11,FALSE))</f>
        <v>#N/A</v>
      </c>
      <c r="V460" s="50" t="e">
        <f>Tableau119[[#This Row],[Day ILN Order]]+Tableau119[[#This Row],[Delivery time to ILN/Shipper]]-1</f>
        <v>#N/A</v>
      </c>
      <c r="W460" s="50" t="e">
        <f>IFERROR(VLOOKUP(Tableau119[[#This Row],[Key(Compte ILN - shipper - POL - plant)]],'DATA ILN'!A:N,14,FALSE),VLOOKUP(Tableau119[[#This Row],[Key(Compte ILN - shipper - POL)]],'DATA ILN'!B:N,13,FALSE))</f>
        <v>#N/A</v>
      </c>
      <c r="X460" s="50" t="e">
        <f>IFERROR(VLOOKUP(Tableau119[[#This Row],[Key(Compte ILN - shipper - POL - plant)]],'DATA ILN'!A:P,16,FALSE),VLOOKUP(Tableau119[[#This Row],[Key(Compte ILN - shipper - POL)]],'DATA ILN'!B:P,15,FALSE))</f>
        <v>#N/A</v>
      </c>
      <c r="Y460" s="284" t="s">
        <v>199</v>
      </c>
      <c r="Z460" s="430">
        <f>IFERROR(VLOOKUP(Tableau119[[#This Row],[Name Shipper]],Plant_AILN!L:M,2,FALSE),0)</f>
        <v>26376</v>
      </c>
      <c r="AA460" s="406">
        <v>162</v>
      </c>
      <c r="AB460" s="396" t="b">
        <f>_xlfn.XLOOKUP(Tableau119[[#This Row],[Key(ID-date)]],'DATA BTO'!S:S,'DATA BTO'!E:E,FALSE)</f>
        <v>0</v>
      </c>
      <c r="AC460" s="3" t="b">
        <f>_xlfn.XLOOKUP(Tableau119[[#This Row],[Key(ID-date)]],'DATA BTO'!S:S,'DATA BTO'!F:F,FALSE)</f>
        <v>0</v>
      </c>
      <c r="AD460" s="50" t="b">
        <f>_xlfn.XLOOKUP(Tableau119[[#This Row],[Key(ID-date)]],'DATA BTO'!S:S,'DATA BTO'!G:G,FALSE)</f>
        <v>0</v>
      </c>
      <c r="AE460" s="50" t="b">
        <f>_xlfn.XLOOKUP(Tableau119[[#This Row],[Key(ID-date)]],'DATA BTO'!S:S,'DATA BTO'!H:H,FALSE)</f>
        <v>0</v>
      </c>
      <c r="AF460" s="447" t="e">
        <f>IF(Tableau119[[#This Row],[First Day to POL]]&lt;=Tableau119[[#This Row],[Day Cut Off]],Tableau119[[#This Row],[Day ETD]],Tableau119[[#This Row],[Day ETD]]+7)</f>
        <v>#N/A</v>
      </c>
      <c r="AG460" s="50" t="b">
        <f>_xlfn.XLOOKUP(Tableau119[[#This Row],[Key(ID-date)]],'DATA BTO'!S:S,'DATA BTO'!I:I,FALSE)</f>
        <v>0</v>
      </c>
      <c r="AH460" s="3" t="b">
        <f>_xlfn.XLOOKUP(Tableau119[[#This Row],[Key(ID-date)]],'DATA BTO'!S:S,'DATA BTO'!J:J,FALSE)</f>
        <v>0</v>
      </c>
      <c r="AI460" s="3" t="b">
        <f>_xlfn.XLOOKUP(Tableau119[[#This Row],[Key(ID-date)]],'DATA BTO'!S:S,'DATA BTO'!K:K,FALSE)</f>
        <v>0</v>
      </c>
      <c r="AJ460" s="50" t="b">
        <f>_xlfn.XLOOKUP(Tableau119[[#This Row],[Key(ID-date)]],'DATA BTO'!S:S,'DATA BTO'!L:L,FALSE)</f>
        <v>0</v>
      </c>
      <c r="AK460" s="53" t="b">
        <f>_xlfn.XLOOKUP(Tableau119[[#This Row],[Key(ID-date)]],'DATA BTO'!S:S,'DATA BTO'!N:N,FALSE)</f>
        <v>0</v>
      </c>
      <c r="AL460" s="54" t="e">
        <f>VLOOKUP(Tableau119[[#This Row],[Key(POD -PFI- Usine)]],'DATA Consignee'!A:F,6,FALSE)</f>
        <v>#N/A</v>
      </c>
      <c r="AM460" s="284" t="s">
        <v>155</v>
      </c>
      <c r="AN460" s="376">
        <f>IF(Tableau119[[#This Row],[Name PFI/CDD]]="","-",VLOOKUP(Tableau119[[#This Row],[Name PFI/CDD]],Plant_AILN!I:J,2,FALSE))</f>
        <v>90016600</v>
      </c>
      <c r="AO4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0" s="2" t="e">
        <f>VLOOKUP(Tableau119[[#This Row],[Key(POD -PFI- Usine)]],'DATA Consignee'!A:J,10,FALSE)</f>
        <v>#N/A</v>
      </c>
      <c r="AR460" s="50" t="e">
        <f>VLOOKUP(Tableau119[[#This Row],[Key(POD -PFI- Usine)]],'DATA Consignee'!A:N,14,FALSE)</f>
        <v>#N/A</v>
      </c>
      <c r="AS4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0" s="50">
        <f>Tableau119[[#This Row],[Transit time]]+Tableau119[[#This Row],[Time for security]]+Tableau119[[#This Row],[Time for security2 buffer]]</f>
        <v>0</v>
      </c>
      <c r="AV4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0" s="50" t="e">
        <f>Tableau119[[#This Row],[Leadtime SI2C]]+Tableau119[[#This Row],[First Receipt Days]]-Tableau119[[#This Row],[Day Customer Order]]+1</f>
        <v>#N/A</v>
      </c>
      <c r="AX460" s="119" t="e">
        <f>IF(Tableau119[[#This Row],[Name ILN]]&lt;&gt;"SFK Freight Forwarder",Tableau119[[#This Row],[Cust. Leadtime]],Tableau119[[#This Row],[Leadtime SI2C]])</f>
        <v>#N/A</v>
      </c>
      <c r="AY460" s="51" t="b">
        <f>_xlfn.XLOOKUP(Tableau119[[#This Row],[Key(ID-date)]],'DATA BTO'!S:S,'DATA BTO'!P:P,FALSE)</f>
        <v>0</v>
      </c>
      <c r="AZ460" s="338">
        <v>45412</v>
      </c>
      <c r="BA460" s="50"/>
    </row>
    <row r="461" spans="2:53">
      <c r="B461" s="446" t="str">
        <f>_xlfn.CONCAT(Tableau119[[#This Row],[Name ILN]],"-",Tableau119[[#This Row],[Name Shipper]],"-",Tableau119[[#This Row],[Name Site]])</f>
        <v>ILN Cordoba-ILN Cordoba-OYAK MONT</v>
      </c>
      <c r="C461" s="66" t="str">
        <f>_xlfn.CONCAT(Tableau119[[#This Row],[Compte ILN]],"-",Tableau119[[#This Row],[Compte Shipper]],"-",Tableau119[[#This Row],[POL]],"-",Tableau119[[#This Row],[Compte Consignee]])</f>
        <v>26376-26376-FALSO-90017000</v>
      </c>
      <c r="D461" s="66" t="str">
        <f>_xlfn.CONCAT(Tableau119[[#This Row],[Compte ILN]],"-",Tableau119[[#This Row],[Compte Shipper]],"-",Tableau119[[#This Row],[POL]])</f>
        <v>26376-26376-FALSO</v>
      </c>
      <c r="E461" s="130" t="str">
        <f>_xlfn.CONCAT(Tableau119[[#This Row],[POL]],"-",Tableau119[[#This Row],[Carrier]],"-",Tableau119[[#This Row],[POD]])</f>
        <v>FALSO-FALSO-FALSO</v>
      </c>
      <c r="F461" s="66" t="str">
        <f>_xlfn.CONCAT(Tableau119[[#This Row],[ID]],"-","Actif")</f>
        <v>162-Actif</v>
      </c>
      <c r="G461" s="66" t="str">
        <f>_xlfn.CONCAT(Tableau119[[#This Row],[POD]],"-",Tableau119[[#This Row],[Code PFI]],"-",Tableau119[[#This Row],[Compte Consignee]])</f>
        <v>FALSO-90016600-90017000</v>
      </c>
      <c r="H4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CordobaFALSOOYAK MONT</v>
      </c>
      <c r="I461" s="434" t="str">
        <f>_xlfn.CONCAT(Tableau119[[#This Row],[ID]],"-",Tableau119[[#This Row],[Expiration Date]])</f>
        <v>162-45412</v>
      </c>
      <c r="J4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Cordoba-ILN Cordoba-162-FALSO-FALSO-FALSO-PFI FR-45412</v>
      </c>
      <c r="K461" s="119" t="str">
        <f ca="1">IF(COUNTIF(J:J,Tableau119[[#This Row],[Plant-ILN-shipper-POL-Carrier-POD-PFI]])=1,"Non","Oui")</f>
        <v>Non</v>
      </c>
      <c r="L461" s="128" t="str">
        <f>VLOOKUP(Tableau119[[#This Row],[Name Site]],Plant_AILN!A:D,4,FALSE)</f>
        <v>TURKEY</v>
      </c>
      <c r="M461" s="411" t="s">
        <v>173</v>
      </c>
      <c r="N461" s="454">
        <f>VLOOKUP(Tableau119[[#This Row],[Name Site]],Plant_AILN!A:C,3,FALSE)</f>
        <v>90017000</v>
      </c>
      <c r="O461" s="55">
        <f>VLOOKUP(Tableau119[[#This Row],[Compte Consignee]],Order!C:D,2,FALSE)</f>
        <v>7</v>
      </c>
      <c r="P461" s="124" t="s">
        <v>199</v>
      </c>
      <c r="Q461" s="365">
        <f>VLOOKUP(Tableau119[[#This Row],[Name ILN]],Plant_AILN!F:G,2,FALSE)</f>
        <v>26376</v>
      </c>
      <c r="R461" s="50">
        <f>VLOOKUP(Tableau119[[#This Row],[Compte ILN]],'DATA ILN'!D:I,6,FALSE)</f>
        <v>9</v>
      </c>
      <c r="S461" s="50" t="e">
        <f>IFERROR(VLOOKUP(Tableau119[[#This Row],[Key(Compte ILN - shipper - POL - plant)]],'DATA ILN'!A:J,10,FALSE),VLOOKUP(Tableau119[[#This Row],[Key(Compte ILN - shipper - POL)]],'DATA ILN'!B:J,9,FALSE))</f>
        <v>#N/A</v>
      </c>
      <c r="T461" s="50" t="e">
        <f>IFERROR(VLOOKUP(Tableau119[[#This Row],[Key(Compte ILN - shipper - POL - plant)]],'DATA ILN'!A:K,11,FALSE),VLOOKUP(Tableau119[[#This Row],[Key(Compte ILN - shipper - POL)]],'DATA ILN'!B:K,10,FALSE))</f>
        <v>#N/A</v>
      </c>
      <c r="U461" s="50" t="e">
        <f>IFERROR(VLOOKUP(Tableau119[[#This Row],[Key(Compte ILN - shipper - POL - plant)]],'DATA ILN'!A:L,12,FALSE),VLOOKUP(Tableau119[[#This Row],[Key(Compte ILN - shipper - POL)]],'DATA ILN'!B:L,11,FALSE))</f>
        <v>#N/A</v>
      </c>
      <c r="V461" s="50" t="e">
        <f>Tableau119[[#This Row],[Day ILN Order]]+Tableau119[[#This Row],[Delivery time to ILN/Shipper]]-1</f>
        <v>#N/A</v>
      </c>
      <c r="W461" s="50" t="e">
        <f>IFERROR(VLOOKUP(Tableau119[[#This Row],[Key(Compte ILN - shipper - POL - plant)]],'DATA ILN'!A:N,14,FALSE),VLOOKUP(Tableau119[[#This Row],[Key(Compte ILN - shipper - POL)]],'DATA ILN'!B:N,13,FALSE))</f>
        <v>#N/A</v>
      </c>
      <c r="X461" s="50" t="e">
        <f>IFERROR(VLOOKUP(Tableau119[[#This Row],[Key(Compte ILN - shipper - POL - plant)]],'DATA ILN'!A:P,16,FALSE),VLOOKUP(Tableau119[[#This Row],[Key(Compte ILN - shipper - POL)]],'DATA ILN'!B:P,15,FALSE))</f>
        <v>#N/A</v>
      </c>
      <c r="Y461" s="284" t="s">
        <v>199</v>
      </c>
      <c r="Z461" s="430">
        <f>IFERROR(VLOOKUP(Tableau119[[#This Row],[Name Shipper]],Plant_AILN!L:M,2,FALSE),0)</f>
        <v>26376</v>
      </c>
      <c r="AA461" s="406">
        <v>162</v>
      </c>
      <c r="AB461" s="396" t="b">
        <f>_xlfn.XLOOKUP(Tableau119[[#This Row],[Key(ID-date)]],'DATA BTO'!S:S,'DATA BTO'!E:E,FALSE)</f>
        <v>0</v>
      </c>
      <c r="AC461" s="3" t="b">
        <f>_xlfn.XLOOKUP(Tableau119[[#This Row],[Key(ID-date)]],'DATA BTO'!S:S,'DATA BTO'!F:F,FALSE)</f>
        <v>0</v>
      </c>
      <c r="AD461" s="50" t="b">
        <f>_xlfn.XLOOKUP(Tableau119[[#This Row],[Key(ID-date)]],'DATA BTO'!S:S,'DATA BTO'!G:G,FALSE)</f>
        <v>0</v>
      </c>
      <c r="AE461" s="50" t="b">
        <f>_xlfn.XLOOKUP(Tableau119[[#This Row],[Key(ID-date)]],'DATA BTO'!S:S,'DATA BTO'!H:H,FALSE)</f>
        <v>0</v>
      </c>
      <c r="AF461" s="447" t="e">
        <f>IF(Tableau119[[#This Row],[First Day to POL]]&lt;=Tableau119[[#This Row],[Day Cut Off]],Tableau119[[#This Row],[Day ETD]],Tableau119[[#This Row],[Day ETD]]+7)</f>
        <v>#N/A</v>
      </c>
      <c r="AG461" s="50" t="b">
        <f>_xlfn.XLOOKUP(Tableau119[[#This Row],[Key(ID-date)]],'DATA BTO'!S:S,'DATA BTO'!I:I,FALSE)</f>
        <v>0</v>
      </c>
      <c r="AH461" s="3" t="b">
        <f>_xlfn.XLOOKUP(Tableau119[[#This Row],[Key(ID-date)]],'DATA BTO'!S:S,'DATA BTO'!J:J,FALSE)</f>
        <v>0</v>
      </c>
      <c r="AI461" s="3" t="b">
        <f>_xlfn.XLOOKUP(Tableau119[[#This Row],[Key(ID-date)]],'DATA BTO'!S:S,'DATA BTO'!K:K,FALSE)</f>
        <v>0</v>
      </c>
      <c r="AJ461" s="50" t="b">
        <f>_xlfn.XLOOKUP(Tableau119[[#This Row],[Key(ID-date)]],'DATA BTO'!S:S,'DATA BTO'!L:L,FALSE)</f>
        <v>0</v>
      </c>
      <c r="AK461" s="53" t="b">
        <f>_xlfn.XLOOKUP(Tableau119[[#This Row],[Key(ID-date)]],'DATA BTO'!S:S,'DATA BTO'!N:N,FALSE)</f>
        <v>0</v>
      </c>
      <c r="AL461" s="54" t="e">
        <f>VLOOKUP(Tableau119[[#This Row],[Key(POD -PFI- Usine)]],'DATA Consignee'!A:F,6,FALSE)</f>
        <v>#N/A</v>
      </c>
      <c r="AM461" s="284" t="s">
        <v>270</v>
      </c>
      <c r="AN461" s="376">
        <f>IF(Tableau119[[#This Row],[Name PFI/CDD]]="","-",VLOOKUP(Tableau119[[#This Row],[Name PFI/CDD]],Plant_AILN!I:J,2,FALSE))</f>
        <v>90016600</v>
      </c>
      <c r="AO4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1" s="2" t="e">
        <f>VLOOKUP(Tableau119[[#This Row],[Key(POD -PFI- Usine)]],'DATA Consignee'!A:J,10,FALSE)</f>
        <v>#N/A</v>
      </c>
      <c r="AR461" s="50" t="e">
        <f>VLOOKUP(Tableau119[[#This Row],[Key(POD -PFI- Usine)]],'DATA Consignee'!A:N,14,FALSE)</f>
        <v>#N/A</v>
      </c>
      <c r="AS4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1" s="50">
        <f>Tableau119[[#This Row],[Transit time]]+Tableau119[[#This Row],[Time for security]]+Tableau119[[#This Row],[Time for security2 buffer]]</f>
        <v>0</v>
      </c>
      <c r="AV4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1" s="50" t="e">
        <f>Tableau119[[#This Row],[Leadtime SI2C]]+Tableau119[[#This Row],[First Receipt Days]]-Tableau119[[#This Row],[Day Customer Order]]+1</f>
        <v>#N/A</v>
      </c>
      <c r="AX461" s="119" t="e">
        <f>IF(Tableau119[[#This Row],[Name ILN]]&lt;&gt;"SFK Freight Forwarder",Tableau119[[#This Row],[Cust. Leadtime]],Tableau119[[#This Row],[Leadtime SI2C]])</f>
        <v>#N/A</v>
      </c>
      <c r="AY461" s="51" t="b">
        <f>_xlfn.XLOOKUP(Tableau119[[#This Row],[Key(ID-date)]],'DATA BTO'!S:S,'DATA BTO'!P:P,FALSE)</f>
        <v>0</v>
      </c>
      <c r="AZ461" s="338">
        <v>45412</v>
      </c>
      <c r="BA461" s="50"/>
    </row>
    <row r="462" spans="2:53">
      <c r="B462" s="446" t="str">
        <f>_xlfn.CONCAT(Tableau119[[#This Row],[Name ILN]],"-",Tableau119[[#This Row],[Name Shipper]],"-",Tableau119[[#This Row],[Name Site]])</f>
        <v>ILN Cordoba-ILN Cordoba-SANDOUVILLE</v>
      </c>
      <c r="C462" s="66" t="str">
        <f>_xlfn.CONCAT(Tableau119[[#This Row],[Compte ILN]],"-",Tableau119[[#This Row],[Compte Shipper]],"-",Tableau119[[#This Row],[POL]],"-",Tableau119[[#This Row],[Compte Consignee]])</f>
        <v>26376-26376-FALSO-90017100</v>
      </c>
      <c r="D462" s="66" t="str">
        <f>_xlfn.CONCAT(Tableau119[[#This Row],[Compte ILN]],"-",Tableau119[[#This Row],[Compte Shipper]],"-",Tableau119[[#This Row],[POL]])</f>
        <v>26376-26376-FALSO</v>
      </c>
      <c r="E462" s="130" t="str">
        <f>_xlfn.CONCAT(Tableau119[[#This Row],[POL]],"-",Tableau119[[#This Row],[Carrier]],"-",Tableau119[[#This Row],[POD]])</f>
        <v>FALSO-FALSO-FALSO</v>
      </c>
      <c r="F462" s="66" t="str">
        <f>_xlfn.CONCAT(Tableau119[[#This Row],[ID]],"-","Actif")</f>
        <v>162-Actif</v>
      </c>
      <c r="G462" s="66" t="str">
        <f>_xlfn.CONCAT(Tableau119[[#This Row],[POD]],"-",Tableau119[[#This Row],[Code PFI]],"-",Tableau119[[#This Row],[Compte Consignee]])</f>
        <v>FALSO-90016600-90017100</v>
      </c>
      <c r="H4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CordobaFALSOSANDOUVILLE</v>
      </c>
      <c r="I462" s="434" t="str">
        <f>_xlfn.CONCAT(Tableau119[[#This Row],[ID]],"-",Tableau119[[#This Row],[Expiration Date]])</f>
        <v>162-45412</v>
      </c>
      <c r="J4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Cordoba-ILN Cordoba-162-FALSO-FALSO-FALSO-CDD FR-45412</v>
      </c>
      <c r="K462" s="119" t="str">
        <f ca="1">IF(COUNTIF(J:J,Tableau119[[#This Row],[Plant-ILN-shipper-POL-Carrier-POD-PFI]])=1,"Non","Oui")</f>
        <v>Non</v>
      </c>
      <c r="L462" s="128" t="str">
        <f>VLOOKUP(Tableau119[[#This Row],[Name Site]],Plant_AILN!A:D,4,FALSE)</f>
        <v>FRANCE</v>
      </c>
      <c r="M462" s="411" t="s">
        <v>196</v>
      </c>
      <c r="N462" s="454">
        <f>VLOOKUP(Tableau119[[#This Row],[Name Site]],Plant_AILN!A:C,3,FALSE)</f>
        <v>90017100</v>
      </c>
      <c r="O462" s="55">
        <f>VLOOKUP(Tableau119[[#This Row],[Compte Consignee]],Order!C:D,2,FALSE)</f>
        <v>7</v>
      </c>
      <c r="P462" s="124" t="s">
        <v>199</v>
      </c>
      <c r="Q462" s="365">
        <f>VLOOKUP(Tableau119[[#This Row],[Name ILN]],Plant_AILN!F:G,2,FALSE)</f>
        <v>26376</v>
      </c>
      <c r="R462" s="50">
        <f>VLOOKUP(Tableau119[[#This Row],[Compte ILN]],'DATA ILN'!D:I,6,FALSE)</f>
        <v>9</v>
      </c>
      <c r="S462" s="50" t="e">
        <f>IFERROR(VLOOKUP(Tableau119[[#This Row],[Key(Compte ILN - shipper - POL - plant)]],'DATA ILN'!A:J,10,FALSE),VLOOKUP(Tableau119[[#This Row],[Key(Compte ILN - shipper - POL)]],'DATA ILN'!B:J,9,FALSE))</f>
        <v>#N/A</v>
      </c>
      <c r="T462" s="50" t="e">
        <f>IFERROR(VLOOKUP(Tableau119[[#This Row],[Key(Compte ILN - shipper - POL - plant)]],'DATA ILN'!A:K,11,FALSE),VLOOKUP(Tableau119[[#This Row],[Key(Compte ILN - shipper - POL)]],'DATA ILN'!B:K,10,FALSE))</f>
        <v>#N/A</v>
      </c>
      <c r="U462" s="50" t="e">
        <f>IFERROR(VLOOKUP(Tableau119[[#This Row],[Key(Compte ILN - shipper - POL - plant)]],'DATA ILN'!A:L,12,FALSE),VLOOKUP(Tableau119[[#This Row],[Key(Compte ILN - shipper - POL)]],'DATA ILN'!B:L,11,FALSE))</f>
        <v>#N/A</v>
      </c>
      <c r="V462" s="50" t="e">
        <f>Tableau119[[#This Row],[Day ILN Order]]+Tableau119[[#This Row],[Delivery time to ILN/Shipper]]-1</f>
        <v>#N/A</v>
      </c>
      <c r="W462" s="50" t="e">
        <f>IFERROR(VLOOKUP(Tableau119[[#This Row],[Key(Compte ILN - shipper - POL - plant)]],'DATA ILN'!A:N,14,FALSE),VLOOKUP(Tableau119[[#This Row],[Key(Compte ILN - shipper - POL)]],'DATA ILN'!B:N,13,FALSE))</f>
        <v>#N/A</v>
      </c>
      <c r="X462" s="50" t="e">
        <f>IFERROR(VLOOKUP(Tableau119[[#This Row],[Key(Compte ILN - shipper - POL - plant)]],'DATA ILN'!A:P,16,FALSE),VLOOKUP(Tableau119[[#This Row],[Key(Compte ILN - shipper - POL)]],'DATA ILN'!B:P,15,FALSE))</f>
        <v>#N/A</v>
      </c>
      <c r="Y462" s="284" t="s">
        <v>199</v>
      </c>
      <c r="Z462" s="430">
        <f>IFERROR(VLOOKUP(Tableau119[[#This Row],[Name Shipper]],Plant_AILN!L:M,2,FALSE),0)</f>
        <v>26376</v>
      </c>
      <c r="AA462" s="406">
        <v>162</v>
      </c>
      <c r="AB462" s="396" t="b">
        <f>_xlfn.XLOOKUP(Tableau119[[#This Row],[Key(ID-date)]],'DATA BTO'!S:S,'DATA BTO'!E:E,FALSE)</f>
        <v>0</v>
      </c>
      <c r="AC462" s="3" t="b">
        <f>_xlfn.XLOOKUP(Tableau119[[#This Row],[Key(ID-date)]],'DATA BTO'!S:S,'DATA BTO'!F:F,FALSE)</f>
        <v>0</v>
      </c>
      <c r="AD462" s="50" t="b">
        <f>_xlfn.XLOOKUP(Tableau119[[#This Row],[Key(ID-date)]],'DATA BTO'!S:S,'DATA BTO'!G:G,FALSE)</f>
        <v>0</v>
      </c>
      <c r="AE462" s="50" t="b">
        <f>_xlfn.XLOOKUP(Tableau119[[#This Row],[Key(ID-date)]],'DATA BTO'!S:S,'DATA BTO'!H:H,FALSE)</f>
        <v>0</v>
      </c>
      <c r="AF462" s="447" t="e">
        <f>IF(Tableau119[[#This Row],[First Day to POL]]&lt;=Tableau119[[#This Row],[Day Cut Off]],Tableau119[[#This Row],[Day ETD]],Tableau119[[#This Row],[Day ETD]]+7)</f>
        <v>#N/A</v>
      </c>
      <c r="AG462" s="50" t="b">
        <f>_xlfn.XLOOKUP(Tableau119[[#This Row],[Key(ID-date)]],'DATA BTO'!S:S,'DATA BTO'!I:I,FALSE)</f>
        <v>0</v>
      </c>
      <c r="AH462" s="3" t="b">
        <f>_xlfn.XLOOKUP(Tableau119[[#This Row],[Key(ID-date)]],'DATA BTO'!S:S,'DATA BTO'!J:J,FALSE)</f>
        <v>0</v>
      </c>
      <c r="AI462" s="3" t="b">
        <f>_xlfn.XLOOKUP(Tableau119[[#This Row],[Key(ID-date)]],'DATA BTO'!S:S,'DATA BTO'!K:K,FALSE)</f>
        <v>0</v>
      </c>
      <c r="AJ462" s="50" t="b">
        <f>_xlfn.XLOOKUP(Tableau119[[#This Row],[Key(ID-date)]],'DATA BTO'!S:S,'DATA BTO'!L:L,FALSE)</f>
        <v>0</v>
      </c>
      <c r="AK462" s="53" t="b">
        <f>_xlfn.XLOOKUP(Tableau119[[#This Row],[Key(ID-date)]],'DATA BTO'!S:S,'DATA BTO'!N:N,FALSE)</f>
        <v>0</v>
      </c>
      <c r="AL462" s="54" t="e">
        <f>VLOOKUP(Tableau119[[#This Row],[Key(POD -PFI- Usine)]],'DATA Consignee'!A:F,6,FALSE)</f>
        <v>#N/A</v>
      </c>
      <c r="AM462" s="284" t="s">
        <v>155</v>
      </c>
      <c r="AN462" s="376">
        <f>IF(Tableau119[[#This Row],[Name PFI/CDD]]="","-",VLOOKUP(Tableau119[[#This Row],[Name PFI/CDD]],Plant_AILN!I:J,2,FALSE))</f>
        <v>90016600</v>
      </c>
      <c r="AO4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2" s="2" t="e">
        <f>VLOOKUP(Tableau119[[#This Row],[Key(POD -PFI- Usine)]],'DATA Consignee'!A:J,10,FALSE)</f>
        <v>#N/A</v>
      </c>
      <c r="AR462" s="50" t="e">
        <f>VLOOKUP(Tableau119[[#This Row],[Key(POD -PFI- Usine)]],'DATA Consignee'!A:N,14,FALSE)</f>
        <v>#N/A</v>
      </c>
      <c r="AS4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2" s="50">
        <f>Tableau119[[#This Row],[Transit time]]+Tableau119[[#This Row],[Time for security]]+Tableau119[[#This Row],[Time for security2 buffer]]</f>
        <v>0</v>
      </c>
      <c r="AV4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2" s="50" t="e">
        <f>Tableau119[[#This Row],[Leadtime SI2C]]+Tableau119[[#This Row],[First Receipt Days]]-Tableau119[[#This Row],[Day Customer Order]]+1</f>
        <v>#N/A</v>
      </c>
      <c r="AX462" s="119" t="e">
        <f>IF(Tableau119[[#This Row],[Name ILN]]&lt;&gt;"SFK Freight Forwarder",Tableau119[[#This Row],[Cust. Leadtime]],Tableau119[[#This Row],[Leadtime SI2C]])</f>
        <v>#N/A</v>
      </c>
      <c r="AY462" s="51" t="b">
        <f>_xlfn.XLOOKUP(Tableau119[[#This Row],[Key(ID-date)]],'DATA BTO'!S:S,'DATA BTO'!P:P,FALSE)</f>
        <v>0</v>
      </c>
      <c r="AZ462" s="338">
        <v>45412</v>
      </c>
      <c r="BA462" s="50"/>
    </row>
    <row r="463" spans="2:53">
      <c r="B463" s="446" t="str">
        <f>_xlfn.CONCAT(Tableau119[[#This Row],[Name ILN]],"-",Tableau119[[#This Row],[Name Shipper]],"-",Tableau119[[#This Row],[Name Site]])</f>
        <v>ILN Cordoba-ILN Cordoba-ALPINE</v>
      </c>
      <c r="C463" s="66" t="str">
        <f>_xlfn.CONCAT(Tableau119[[#This Row],[Compte ILN]],"-",Tableau119[[#This Row],[Compte Shipper]],"-",Tableau119[[#This Row],[POL]],"-",Tableau119[[#This Row],[Compte Consignee]])</f>
        <v>26376-26376-FALSO-90018300</v>
      </c>
      <c r="D463" s="66" t="str">
        <f>_xlfn.CONCAT(Tableau119[[#This Row],[Compte ILN]],"-",Tableau119[[#This Row],[Compte Shipper]],"-",Tableau119[[#This Row],[POL]])</f>
        <v>26376-26376-FALSO</v>
      </c>
      <c r="E463" s="130" t="str">
        <f>_xlfn.CONCAT(Tableau119[[#This Row],[POL]],"-",Tableau119[[#This Row],[Carrier]],"-",Tableau119[[#This Row],[POD]])</f>
        <v>FALSO-FALSO-FALSO</v>
      </c>
      <c r="F463" s="66" t="str">
        <f>_xlfn.CONCAT(Tableau119[[#This Row],[ID]],"-","Actif")</f>
        <v>162-Actif</v>
      </c>
      <c r="G463" s="66" t="str">
        <f>_xlfn.CONCAT(Tableau119[[#This Row],[POD]],"-",Tableau119[[#This Row],[Code PFI]],"-",Tableau119[[#This Row],[Compte Consignee]])</f>
        <v>FALSO-90016600-90018300</v>
      </c>
      <c r="H4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CordobaFALSOALPINE</v>
      </c>
      <c r="I463" s="434" t="str">
        <f>_xlfn.CONCAT(Tableau119[[#This Row],[ID]],"-",Tableau119[[#This Row],[Expiration Date]])</f>
        <v>162-45412</v>
      </c>
      <c r="J4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Cordoba-ILN Cordoba-162-FALSO-FALSO-FALSO-CDD FR-45412</v>
      </c>
      <c r="K463" s="119" t="str">
        <f ca="1">IF(COUNTIF(J:J,Tableau119[[#This Row],[Plant-ILN-shipper-POL-Carrier-POD-PFI]])=1,"Non","Oui")</f>
        <v>Non</v>
      </c>
      <c r="L463" s="128" t="str">
        <f>VLOOKUP(Tableau119[[#This Row],[Name Site]],Plant_AILN!A:D,4,FALSE)</f>
        <v>FRANCE</v>
      </c>
      <c r="M463" s="411" t="s">
        <v>220</v>
      </c>
      <c r="N463" s="454">
        <f>VLOOKUP(Tableau119[[#This Row],[Name Site]],Plant_AILN!A:C,3,FALSE)</f>
        <v>90018300</v>
      </c>
      <c r="O463" s="55">
        <f>VLOOKUP(Tableau119[[#This Row],[Compte Consignee]],Order!C:D,2,FALSE)</f>
        <v>7</v>
      </c>
      <c r="P463" s="124" t="s">
        <v>199</v>
      </c>
      <c r="Q463" s="365">
        <f>VLOOKUP(Tableau119[[#This Row],[Name ILN]],Plant_AILN!F:G,2,FALSE)</f>
        <v>26376</v>
      </c>
      <c r="R463" s="50">
        <f>VLOOKUP(Tableau119[[#This Row],[Compte ILN]],'DATA ILN'!D:I,6,FALSE)</f>
        <v>9</v>
      </c>
      <c r="S463" s="50" t="e">
        <f>IFERROR(VLOOKUP(Tableau119[[#This Row],[Key(Compte ILN - shipper - POL - plant)]],'DATA ILN'!A:J,10,FALSE),VLOOKUP(Tableau119[[#This Row],[Key(Compte ILN - shipper - POL)]],'DATA ILN'!B:J,9,FALSE))</f>
        <v>#N/A</v>
      </c>
      <c r="T463" s="50" t="e">
        <f>IFERROR(VLOOKUP(Tableau119[[#This Row],[Key(Compte ILN - shipper - POL - plant)]],'DATA ILN'!A:K,11,FALSE),VLOOKUP(Tableau119[[#This Row],[Key(Compte ILN - shipper - POL)]],'DATA ILN'!B:K,10,FALSE))</f>
        <v>#N/A</v>
      </c>
      <c r="U463" s="50" t="e">
        <f>IFERROR(VLOOKUP(Tableau119[[#This Row],[Key(Compte ILN - shipper - POL - plant)]],'DATA ILN'!A:L,12,FALSE),VLOOKUP(Tableau119[[#This Row],[Key(Compte ILN - shipper - POL)]],'DATA ILN'!B:L,11,FALSE))</f>
        <v>#N/A</v>
      </c>
      <c r="V463" s="50" t="e">
        <f>Tableau119[[#This Row],[Day ILN Order]]+Tableau119[[#This Row],[Delivery time to ILN/Shipper]]-1</f>
        <v>#N/A</v>
      </c>
      <c r="W463" s="50" t="e">
        <f>IFERROR(VLOOKUP(Tableau119[[#This Row],[Key(Compte ILN - shipper - POL - plant)]],'DATA ILN'!A:N,14,FALSE),VLOOKUP(Tableau119[[#This Row],[Key(Compte ILN - shipper - POL)]],'DATA ILN'!B:N,13,FALSE))</f>
        <v>#N/A</v>
      </c>
      <c r="X463" s="50" t="e">
        <f>IFERROR(VLOOKUP(Tableau119[[#This Row],[Key(Compte ILN - shipper - POL - plant)]],'DATA ILN'!A:P,16,FALSE),VLOOKUP(Tableau119[[#This Row],[Key(Compte ILN - shipper - POL)]],'DATA ILN'!B:P,15,FALSE))</f>
        <v>#N/A</v>
      </c>
      <c r="Y463" s="284" t="s">
        <v>199</v>
      </c>
      <c r="Z463" s="430">
        <f>IFERROR(VLOOKUP(Tableau119[[#This Row],[Name Shipper]],Plant_AILN!L:M,2,FALSE),0)</f>
        <v>26376</v>
      </c>
      <c r="AA463" s="406">
        <v>162</v>
      </c>
      <c r="AB463" s="396" t="b">
        <f>_xlfn.XLOOKUP(Tableau119[[#This Row],[Key(ID-date)]],'DATA BTO'!S:S,'DATA BTO'!E:E,FALSE)</f>
        <v>0</v>
      </c>
      <c r="AC463" s="3" t="b">
        <f>_xlfn.XLOOKUP(Tableau119[[#This Row],[Key(ID-date)]],'DATA BTO'!S:S,'DATA BTO'!F:F,FALSE)</f>
        <v>0</v>
      </c>
      <c r="AD463" s="50" t="b">
        <f>_xlfn.XLOOKUP(Tableau119[[#This Row],[Key(ID-date)]],'DATA BTO'!S:S,'DATA BTO'!G:G,FALSE)</f>
        <v>0</v>
      </c>
      <c r="AE463" s="50" t="b">
        <f>_xlfn.XLOOKUP(Tableau119[[#This Row],[Key(ID-date)]],'DATA BTO'!S:S,'DATA BTO'!H:H,FALSE)</f>
        <v>0</v>
      </c>
      <c r="AF463" s="447" t="e">
        <f>IF(Tableau119[[#This Row],[First Day to POL]]&lt;=Tableau119[[#This Row],[Day Cut Off]],Tableau119[[#This Row],[Day ETD]],Tableau119[[#This Row],[Day ETD]]+7)</f>
        <v>#N/A</v>
      </c>
      <c r="AG463" s="50" t="b">
        <f>_xlfn.XLOOKUP(Tableau119[[#This Row],[Key(ID-date)]],'DATA BTO'!S:S,'DATA BTO'!I:I,FALSE)</f>
        <v>0</v>
      </c>
      <c r="AH463" s="3" t="b">
        <f>_xlfn.XLOOKUP(Tableau119[[#This Row],[Key(ID-date)]],'DATA BTO'!S:S,'DATA BTO'!J:J,FALSE)</f>
        <v>0</v>
      </c>
      <c r="AI463" s="3" t="b">
        <f>_xlfn.XLOOKUP(Tableau119[[#This Row],[Key(ID-date)]],'DATA BTO'!S:S,'DATA BTO'!K:K,FALSE)</f>
        <v>0</v>
      </c>
      <c r="AJ463" s="50" t="b">
        <f>_xlfn.XLOOKUP(Tableau119[[#This Row],[Key(ID-date)]],'DATA BTO'!S:S,'DATA BTO'!L:L,FALSE)</f>
        <v>0</v>
      </c>
      <c r="AK463" s="53" t="b">
        <f>_xlfn.XLOOKUP(Tableau119[[#This Row],[Key(ID-date)]],'DATA BTO'!S:S,'DATA BTO'!N:N,FALSE)</f>
        <v>0</v>
      </c>
      <c r="AL463" s="54" t="e">
        <f>VLOOKUP(Tableau119[[#This Row],[Key(POD -PFI- Usine)]],'DATA Consignee'!A:F,6,FALSE)</f>
        <v>#N/A</v>
      </c>
      <c r="AM463" s="284" t="s">
        <v>155</v>
      </c>
      <c r="AN463" s="376">
        <f>IF(Tableau119[[#This Row],[Name PFI/CDD]]="","-",VLOOKUP(Tableau119[[#This Row],[Name PFI/CDD]],Plant_AILN!I:J,2,FALSE))</f>
        <v>90016600</v>
      </c>
      <c r="AO4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3" s="2" t="e">
        <f>VLOOKUP(Tableau119[[#This Row],[Key(POD -PFI- Usine)]],'DATA Consignee'!A:J,10,FALSE)</f>
        <v>#N/A</v>
      </c>
      <c r="AR463" s="50" t="e">
        <f>VLOOKUP(Tableau119[[#This Row],[Key(POD -PFI- Usine)]],'DATA Consignee'!A:N,14,FALSE)</f>
        <v>#N/A</v>
      </c>
      <c r="AS4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3" s="50">
        <f>Tableau119[[#This Row],[Transit time]]+Tableau119[[#This Row],[Time for security]]+Tableau119[[#This Row],[Time for security2 buffer]]</f>
        <v>0</v>
      </c>
      <c r="AV4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3" s="50" t="e">
        <f>Tableau119[[#This Row],[Leadtime SI2C]]+Tableau119[[#This Row],[First Receipt Days]]-Tableau119[[#This Row],[Day Customer Order]]+1</f>
        <v>#N/A</v>
      </c>
      <c r="AX463" s="119" t="e">
        <f>IF(Tableau119[[#This Row],[Name ILN]]&lt;&gt;"SFK Freight Forwarder",Tableau119[[#This Row],[Cust. Leadtime]],Tableau119[[#This Row],[Leadtime SI2C]])</f>
        <v>#N/A</v>
      </c>
      <c r="AY463" s="51" t="b">
        <f>_xlfn.XLOOKUP(Tableau119[[#This Row],[Key(ID-date)]],'DATA BTO'!S:S,'DATA BTO'!P:P,FALSE)</f>
        <v>0</v>
      </c>
      <c r="AZ463" s="338">
        <v>45412</v>
      </c>
      <c r="BA463" s="50"/>
    </row>
    <row r="464" spans="2:53">
      <c r="B464" s="446" t="str">
        <f>_xlfn.CONCAT(Tableau119[[#This Row],[Name ILN]],"-",Tableau119[[#This Row],[Name Shipper]],"-",Tableau119[[#This Row],[Name Site]])</f>
        <v>ILN Cordoba-ILN Cordoba-STA</v>
      </c>
      <c r="C464" s="66" t="str">
        <f>_xlfn.CONCAT(Tableau119[[#This Row],[Compte ILN]],"-",Tableau119[[#This Row],[Compte Shipper]],"-",Tableau119[[#This Row],[POL]],"-",Tableau119[[#This Row],[Compte Consignee]])</f>
        <v>26376-26376-FALSO-90018400</v>
      </c>
      <c r="D464" s="66" t="str">
        <f>_xlfn.CONCAT(Tableau119[[#This Row],[Compte ILN]],"-",Tableau119[[#This Row],[Compte Shipper]],"-",Tableau119[[#This Row],[POL]])</f>
        <v>26376-26376-FALSO</v>
      </c>
      <c r="E464" s="130" t="str">
        <f>_xlfn.CONCAT(Tableau119[[#This Row],[POL]],"-",Tableau119[[#This Row],[Carrier]],"-",Tableau119[[#This Row],[POD]])</f>
        <v>FALSO-FALSO-FALSO</v>
      </c>
      <c r="F464" s="66" t="str">
        <f>_xlfn.CONCAT(Tableau119[[#This Row],[ID]],"-","Actif")</f>
        <v>162-Actif</v>
      </c>
      <c r="G464" s="66" t="str">
        <f>_xlfn.CONCAT(Tableau119[[#This Row],[POD]],"-",Tableau119[[#This Row],[Code PFI]],"-",Tableau119[[#This Row],[Compte Consignee]])</f>
        <v>FALSO-90016600-90018400</v>
      </c>
      <c r="H4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CordobaFALSOSTA</v>
      </c>
      <c r="I464" s="434" t="str">
        <f>_xlfn.CONCAT(Tableau119[[#This Row],[ID]],"-",Tableau119[[#This Row],[Expiration Date]])</f>
        <v>162-45412</v>
      </c>
      <c r="J4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Cordoba-ILN Cordoba-162-FALSO-FALSO-FALSO-CDD FR-45412</v>
      </c>
      <c r="K464" s="119" t="str">
        <f ca="1">IF(COUNTIF(J:J,Tableau119[[#This Row],[Plant-ILN-shipper-POL-Carrier-POD-PFI]])=1,"Non","Oui")</f>
        <v>Non</v>
      </c>
      <c r="L464" s="128" t="str">
        <f>VLOOKUP(Tableau119[[#This Row],[Name Site]],Plant_AILN!A:D,4,FALSE)</f>
        <v>FRANCE</v>
      </c>
      <c r="M464" s="415" t="s">
        <v>219</v>
      </c>
      <c r="N464" s="455">
        <f>VLOOKUP(Tableau119[[#This Row],[Name Site]],Plant_AILN!A:C,3,FALSE)</f>
        <v>90018400</v>
      </c>
      <c r="O464" s="104">
        <f>VLOOKUP(Tableau119[[#This Row],[Compte Consignee]],Order!C:D,2,FALSE)</f>
        <v>7</v>
      </c>
      <c r="P464" s="126" t="s">
        <v>199</v>
      </c>
      <c r="Q464" s="366">
        <f>VLOOKUP(Tableau119[[#This Row],[Name ILN]],Plant_AILN!F:G,2,FALSE)</f>
        <v>26376</v>
      </c>
      <c r="R464" s="81">
        <f>VLOOKUP(Tableau119[[#This Row],[Compte ILN]],'DATA ILN'!D:I,6,FALSE)</f>
        <v>9</v>
      </c>
      <c r="S464" s="81" t="e">
        <f>IFERROR(VLOOKUP(Tableau119[[#This Row],[Key(Compte ILN - shipper - POL - plant)]],'DATA ILN'!A:J,10,FALSE),VLOOKUP(Tableau119[[#This Row],[Key(Compte ILN - shipper - POL)]],'DATA ILN'!B:J,9,FALSE))</f>
        <v>#N/A</v>
      </c>
      <c r="T464" s="81" t="e">
        <f>IFERROR(VLOOKUP(Tableau119[[#This Row],[Key(Compte ILN - shipper - POL - plant)]],'DATA ILN'!A:K,11,FALSE),VLOOKUP(Tableau119[[#This Row],[Key(Compte ILN - shipper - POL)]],'DATA ILN'!B:K,10,FALSE))</f>
        <v>#N/A</v>
      </c>
      <c r="U464" s="81" t="e">
        <f>IFERROR(VLOOKUP(Tableau119[[#This Row],[Key(Compte ILN - shipper - POL - plant)]],'DATA ILN'!A:L,12,FALSE),VLOOKUP(Tableau119[[#This Row],[Key(Compte ILN - shipper - POL)]],'DATA ILN'!B:L,11,FALSE))</f>
        <v>#N/A</v>
      </c>
      <c r="V464" s="81" t="e">
        <f>Tableau119[[#This Row],[Day ILN Order]]+Tableau119[[#This Row],[Delivery time to ILN/Shipper]]-1</f>
        <v>#N/A</v>
      </c>
      <c r="W464" s="81" t="e">
        <f>IFERROR(VLOOKUP(Tableau119[[#This Row],[Key(Compte ILN - shipper - POL - plant)]],'DATA ILN'!A:N,14,FALSE),VLOOKUP(Tableau119[[#This Row],[Key(Compte ILN - shipper - POL)]],'DATA ILN'!B:N,13,FALSE))</f>
        <v>#N/A</v>
      </c>
      <c r="X464" s="81" t="e">
        <f>IFERROR(VLOOKUP(Tableau119[[#This Row],[Key(Compte ILN - shipper - POL - plant)]],'DATA ILN'!A:P,16,FALSE),VLOOKUP(Tableau119[[#This Row],[Key(Compte ILN - shipper - POL)]],'DATA ILN'!B:P,15,FALSE))</f>
        <v>#N/A</v>
      </c>
      <c r="Y464" s="102" t="s">
        <v>199</v>
      </c>
      <c r="Z464" s="417">
        <f>IFERROR(VLOOKUP(Tableau119[[#This Row],[Name Shipper]],Plant_AILN!L:M,2,FALSE),0)</f>
        <v>26376</v>
      </c>
      <c r="AA464" s="416">
        <v>162</v>
      </c>
      <c r="AB464" s="396" t="b">
        <f>_xlfn.XLOOKUP(Tableau119[[#This Row],[Key(ID-date)]],'DATA BTO'!S:S,'DATA BTO'!E:E,FALSE)</f>
        <v>0</v>
      </c>
      <c r="AC464" s="3" t="b">
        <f>_xlfn.XLOOKUP(Tableau119[[#This Row],[Key(ID-date)]],'DATA BTO'!S:S,'DATA BTO'!F:F,FALSE)</f>
        <v>0</v>
      </c>
      <c r="AD464" s="50" t="b">
        <f>_xlfn.XLOOKUP(Tableau119[[#This Row],[Key(ID-date)]],'DATA BTO'!S:S,'DATA BTO'!G:G,FALSE)</f>
        <v>0</v>
      </c>
      <c r="AE464" s="50" t="b">
        <f>_xlfn.XLOOKUP(Tableau119[[#This Row],[Key(ID-date)]],'DATA BTO'!S:S,'DATA BTO'!H:H,FALSE)</f>
        <v>0</v>
      </c>
      <c r="AF464" s="447" t="e">
        <f>IF(Tableau119[[#This Row],[First Day to POL]]&lt;=Tableau119[[#This Row],[Day Cut Off]],Tableau119[[#This Row],[Day ETD]],Tableau119[[#This Row],[Day ETD]]+7)</f>
        <v>#N/A</v>
      </c>
      <c r="AG464" s="50" t="b">
        <f>_xlfn.XLOOKUP(Tableau119[[#This Row],[Key(ID-date)]],'DATA BTO'!S:S,'DATA BTO'!I:I,FALSE)</f>
        <v>0</v>
      </c>
      <c r="AH464" s="3" t="b">
        <f>_xlfn.XLOOKUP(Tableau119[[#This Row],[Key(ID-date)]],'DATA BTO'!S:S,'DATA BTO'!J:J,FALSE)</f>
        <v>0</v>
      </c>
      <c r="AI464" s="3" t="b">
        <f>_xlfn.XLOOKUP(Tableau119[[#This Row],[Key(ID-date)]],'DATA BTO'!S:S,'DATA BTO'!K:K,FALSE)</f>
        <v>0</v>
      </c>
      <c r="AJ464" s="50" t="b">
        <f>_xlfn.XLOOKUP(Tableau119[[#This Row],[Key(ID-date)]],'DATA BTO'!S:S,'DATA BTO'!L:L,FALSE)</f>
        <v>0</v>
      </c>
      <c r="AK464" s="53" t="b">
        <f>_xlfn.XLOOKUP(Tableau119[[#This Row],[Key(ID-date)]],'DATA BTO'!S:S,'DATA BTO'!N:N,FALSE)</f>
        <v>0</v>
      </c>
      <c r="AL464" s="54" t="e">
        <f>VLOOKUP(Tableau119[[#This Row],[Key(POD -PFI- Usine)]],'DATA Consignee'!A:F,6,FALSE)</f>
        <v>#N/A</v>
      </c>
      <c r="AM464" s="102" t="s">
        <v>155</v>
      </c>
      <c r="AN464" s="375">
        <f>IF(Tableau119[[#This Row],[Name PFI/CDD]]="","-",VLOOKUP(Tableau119[[#This Row],[Name PFI/CDD]],Plant_AILN!I:J,2,FALSE))</f>
        <v>90016600</v>
      </c>
      <c r="AO46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4" s="110" t="e">
        <f>VLOOKUP(Tableau119[[#This Row],[Key(POD -PFI- Usine)]],'DATA Consignee'!A:J,10,FALSE)</f>
        <v>#N/A</v>
      </c>
      <c r="AR464" s="81" t="e">
        <f>VLOOKUP(Tableau119[[#This Row],[Key(POD -PFI- Usine)]],'DATA Consignee'!A:N,14,FALSE)</f>
        <v>#N/A</v>
      </c>
      <c r="AS46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4" s="81">
        <f>Tableau119[[#This Row],[Transit time]]+Tableau119[[#This Row],[Time for security]]+Tableau119[[#This Row],[Time for security2 buffer]]</f>
        <v>0</v>
      </c>
      <c r="AV4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4" s="50" t="e">
        <f>Tableau119[[#This Row],[Leadtime SI2C]]+Tableau119[[#This Row],[First Receipt Days]]-Tableau119[[#This Row],[Day Customer Order]]+1</f>
        <v>#N/A</v>
      </c>
      <c r="AX464" s="119" t="e">
        <f>IF(Tableau119[[#This Row],[Name ILN]]&lt;&gt;"SFK Freight Forwarder",Tableau119[[#This Row],[Cust. Leadtime]],Tableau119[[#This Row],[Leadtime SI2C]])</f>
        <v>#N/A</v>
      </c>
      <c r="AY464" s="51" t="b">
        <f>_xlfn.XLOOKUP(Tableau119[[#This Row],[Key(ID-date)]],'DATA BTO'!S:S,'DATA BTO'!P:P,FALSE)</f>
        <v>0</v>
      </c>
      <c r="AZ464" s="388">
        <v>45412</v>
      </c>
      <c r="BA464" s="81"/>
    </row>
    <row r="465" spans="2:53">
      <c r="B465" s="446" t="str">
        <f>_xlfn.CONCAT(Tableau119[[#This Row],[Name ILN]],"-",Tableau119[[#This Row],[Name Shipper]],"-",Tableau119[[#This Row],[Name Site]])</f>
        <v>ILN Cordoba-ILN Cordoba-DOUAI</v>
      </c>
      <c r="C465" s="66" t="str">
        <f>_xlfn.CONCAT(Tableau119[[#This Row],[Compte ILN]],"-",Tableau119[[#This Row],[Compte Shipper]],"-",Tableau119[[#This Row],[POL]],"-",Tableau119[[#This Row],[Compte Consignee]])</f>
        <v>26376-26376-FALSO-90019100</v>
      </c>
      <c r="D465" s="66" t="str">
        <f>_xlfn.CONCAT(Tableau119[[#This Row],[Compte ILN]],"-",Tableau119[[#This Row],[Compte Shipper]],"-",Tableau119[[#This Row],[POL]])</f>
        <v>26376-26376-FALSO</v>
      </c>
      <c r="E465" s="130" t="str">
        <f>_xlfn.CONCAT(Tableau119[[#This Row],[POL]],"-",Tableau119[[#This Row],[Carrier]],"-",Tableau119[[#This Row],[POD]])</f>
        <v>FALSO-FALSO-FALSO</v>
      </c>
      <c r="F465" s="66" t="str">
        <f>_xlfn.CONCAT(Tableau119[[#This Row],[ID]],"-","Actif")</f>
        <v>162-Actif</v>
      </c>
      <c r="G465" s="66" t="str">
        <f>_xlfn.CONCAT(Tableau119[[#This Row],[POD]],"-",Tableau119[[#This Row],[Code PFI]],"-",Tableau119[[#This Row],[Compte Consignee]])</f>
        <v>FALSO-90016600-90019100</v>
      </c>
      <c r="H4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CordobaFALSODOUAI</v>
      </c>
      <c r="I465" s="434" t="str">
        <f>_xlfn.CONCAT(Tableau119[[#This Row],[ID]],"-",Tableau119[[#This Row],[Expiration Date]])</f>
        <v>162-45412</v>
      </c>
      <c r="J4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Cordoba-ILN Cordoba-162-FALSO-FALSO-FALSO-CDD FR-45412</v>
      </c>
      <c r="K465" s="119" t="str">
        <f ca="1">IF(COUNTIF(J:J,Tableau119[[#This Row],[Plant-ILN-shipper-POL-Carrier-POD-PFI]])=1,"Non","Oui")</f>
        <v>Non</v>
      </c>
      <c r="L465" s="128" t="str">
        <f>VLOOKUP(Tableau119[[#This Row],[Name Site]],Plant_AILN!A:D,4,FALSE)</f>
        <v>FRANCE</v>
      </c>
      <c r="M465" s="411" t="s">
        <v>188</v>
      </c>
      <c r="N465" s="454">
        <f>VLOOKUP(Tableau119[[#This Row],[Name Site]],Plant_AILN!A:C,3,FALSE)</f>
        <v>90019100</v>
      </c>
      <c r="O465" s="55">
        <f>VLOOKUP(Tableau119[[#This Row],[Compte Consignee]],Order!C:D,2,FALSE)</f>
        <v>7</v>
      </c>
      <c r="P465" s="124" t="s">
        <v>199</v>
      </c>
      <c r="Q465" s="365">
        <f>VLOOKUP(Tableau119[[#This Row],[Name ILN]],Plant_AILN!F:G,2,FALSE)</f>
        <v>26376</v>
      </c>
      <c r="R465" s="50">
        <f>VLOOKUP(Tableau119[[#This Row],[Compte ILN]],'DATA ILN'!D:I,6,FALSE)</f>
        <v>9</v>
      </c>
      <c r="S465" s="50" t="e">
        <f>IFERROR(VLOOKUP(Tableau119[[#This Row],[Key(Compte ILN - shipper - POL - plant)]],'DATA ILN'!A:J,10,FALSE),VLOOKUP(Tableau119[[#This Row],[Key(Compte ILN - shipper - POL)]],'DATA ILN'!B:J,9,FALSE))</f>
        <v>#N/A</v>
      </c>
      <c r="T465" s="50" t="e">
        <f>IFERROR(VLOOKUP(Tableau119[[#This Row],[Key(Compte ILN - shipper - POL - plant)]],'DATA ILN'!A:K,11,FALSE),VLOOKUP(Tableau119[[#This Row],[Key(Compte ILN - shipper - POL)]],'DATA ILN'!B:K,10,FALSE))</f>
        <v>#N/A</v>
      </c>
      <c r="U465" s="50" t="e">
        <f>IFERROR(VLOOKUP(Tableau119[[#This Row],[Key(Compte ILN - shipper - POL - plant)]],'DATA ILN'!A:L,12,FALSE),VLOOKUP(Tableau119[[#This Row],[Key(Compte ILN - shipper - POL)]],'DATA ILN'!B:L,11,FALSE))</f>
        <v>#N/A</v>
      </c>
      <c r="V465" s="50" t="e">
        <f>Tableau119[[#This Row],[Day ILN Order]]+Tableau119[[#This Row],[Delivery time to ILN/Shipper]]-1</f>
        <v>#N/A</v>
      </c>
      <c r="W465" s="50" t="e">
        <f>IFERROR(VLOOKUP(Tableau119[[#This Row],[Key(Compte ILN - shipper - POL - plant)]],'DATA ILN'!A:N,14,FALSE),VLOOKUP(Tableau119[[#This Row],[Key(Compte ILN - shipper - POL)]],'DATA ILN'!B:N,13,FALSE))</f>
        <v>#N/A</v>
      </c>
      <c r="X465" s="50" t="e">
        <f>IFERROR(VLOOKUP(Tableau119[[#This Row],[Key(Compte ILN - shipper - POL - plant)]],'DATA ILN'!A:P,16,FALSE),VLOOKUP(Tableau119[[#This Row],[Key(Compte ILN - shipper - POL)]],'DATA ILN'!B:P,15,FALSE))</f>
        <v>#N/A</v>
      </c>
      <c r="Y465" s="284" t="s">
        <v>199</v>
      </c>
      <c r="Z465" s="430">
        <f>IFERROR(VLOOKUP(Tableau119[[#This Row],[Name Shipper]],Plant_AILN!L:M,2,FALSE),0)</f>
        <v>26376</v>
      </c>
      <c r="AA465" s="406">
        <v>162</v>
      </c>
      <c r="AB465" s="396" t="b">
        <f>_xlfn.XLOOKUP(Tableau119[[#This Row],[Key(ID-date)]],'DATA BTO'!S:S,'DATA BTO'!E:E,FALSE)</f>
        <v>0</v>
      </c>
      <c r="AC465" s="3" t="b">
        <f>_xlfn.XLOOKUP(Tableau119[[#This Row],[Key(ID-date)]],'DATA BTO'!S:S,'DATA BTO'!F:F,FALSE)</f>
        <v>0</v>
      </c>
      <c r="AD465" s="50" t="b">
        <f>_xlfn.XLOOKUP(Tableau119[[#This Row],[Key(ID-date)]],'DATA BTO'!S:S,'DATA BTO'!G:G,FALSE)</f>
        <v>0</v>
      </c>
      <c r="AE465" s="50" t="b">
        <f>_xlfn.XLOOKUP(Tableau119[[#This Row],[Key(ID-date)]],'DATA BTO'!S:S,'DATA BTO'!H:H,FALSE)</f>
        <v>0</v>
      </c>
      <c r="AF465" s="447" t="e">
        <f>IF(Tableau119[[#This Row],[First Day to POL]]&lt;=Tableau119[[#This Row],[Day Cut Off]],Tableau119[[#This Row],[Day ETD]],Tableau119[[#This Row],[Day ETD]]+7)</f>
        <v>#N/A</v>
      </c>
      <c r="AG465" s="50" t="b">
        <f>_xlfn.XLOOKUP(Tableau119[[#This Row],[Key(ID-date)]],'DATA BTO'!S:S,'DATA BTO'!I:I,FALSE)</f>
        <v>0</v>
      </c>
      <c r="AH465" s="3" t="b">
        <f>_xlfn.XLOOKUP(Tableau119[[#This Row],[Key(ID-date)]],'DATA BTO'!S:S,'DATA BTO'!J:J,FALSE)</f>
        <v>0</v>
      </c>
      <c r="AI465" s="3" t="b">
        <f>_xlfn.XLOOKUP(Tableau119[[#This Row],[Key(ID-date)]],'DATA BTO'!S:S,'DATA BTO'!K:K,FALSE)</f>
        <v>0</v>
      </c>
      <c r="AJ465" s="50" t="b">
        <f>_xlfn.XLOOKUP(Tableau119[[#This Row],[Key(ID-date)]],'DATA BTO'!S:S,'DATA BTO'!L:L,FALSE)</f>
        <v>0</v>
      </c>
      <c r="AK465" s="53" t="b">
        <f>_xlfn.XLOOKUP(Tableau119[[#This Row],[Key(ID-date)]],'DATA BTO'!S:S,'DATA BTO'!N:N,FALSE)</f>
        <v>0</v>
      </c>
      <c r="AL465" s="54" t="e">
        <f>VLOOKUP(Tableau119[[#This Row],[Key(POD -PFI- Usine)]],'DATA Consignee'!A:F,6,FALSE)</f>
        <v>#N/A</v>
      </c>
      <c r="AM465" s="284" t="s">
        <v>155</v>
      </c>
      <c r="AN465" s="376">
        <f>IF(Tableau119[[#This Row],[Name PFI/CDD]]="","-",VLOOKUP(Tableau119[[#This Row],[Name PFI/CDD]],Plant_AILN!I:J,2,FALSE))</f>
        <v>90016600</v>
      </c>
      <c r="AO4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5" s="2" t="e">
        <f>VLOOKUP(Tableau119[[#This Row],[Key(POD -PFI- Usine)]],'DATA Consignee'!A:J,10,FALSE)</f>
        <v>#N/A</v>
      </c>
      <c r="AR465" s="50" t="e">
        <f>VLOOKUP(Tableau119[[#This Row],[Key(POD -PFI- Usine)]],'DATA Consignee'!A:N,14,FALSE)</f>
        <v>#N/A</v>
      </c>
      <c r="AS4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5" s="50">
        <f>Tableau119[[#This Row],[Transit time]]+Tableau119[[#This Row],[Time for security]]+Tableau119[[#This Row],[Time for security2 buffer]]</f>
        <v>0</v>
      </c>
      <c r="AV4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5" s="50" t="e">
        <f>Tableau119[[#This Row],[Leadtime SI2C]]+Tableau119[[#This Row],[First Receipt Days]]-Tableau119[[#This Row],[Day Customer Order]]+1</f>
        <v>#N/A</v>
      </c>
      <c r="AX465" s="119" t="e">
        <f>IF(Tableau119[[#This Row],[Name ILN]]&lt;&gt;"SFK Freight Forwarder",Tableau119[[#This Row],[Cust. Leadtime]],Tableau119[[#This Row],[Leadtime SI2C]])</f>
        <v>#N/A</v>
      </c>
      <c r="AY465" s="51" t="b">
        <f>_xlfn.XLOOKUP(Tableau119[[#This Row],[Key(ID-date)]],'DATA BTO'!S:S,'DATA BTO'!P:P,FALSE)</f>
        <v>0</v>
      </c>
      <c r="AZ465" s="338">
        <v>45412</v>
      </c>
      <c r="BA465" s="50"/>
    </row>
    <row r="466" spans="2:53">
      <c r="B466" s="446" t="str">
        <f>_xlfn.CONCAT(Tableau119[[#This Row],[Name ILN]],"-",Tableau119[[#This Row],[Name Shipper]],"-",Tableau119[[#This Row],[Name Site]])</f>
        <v>ILN Cordoba-ILN Cordoba-SOMACA</v>
      </c>
      <c r="C466" s="66" t="str">
        <f>_xlfn.CONCAT(Tableau119[[#This Row],[Compte ILN]],"-",Tableau119[[#This Row],[Compte Shipper]],"-",Tableau119[[#This Row],[POL]],"-",Tableau119[[#This Row],[Compte Consignee]])</f>
        <v>26376-26376-FALSO-90038200</v>
      </c>
      <c r="D466" s="66" t="str">
        <f>_xlfn.CONCAT(Tableau119[[#This Row],[Compte ILN]],"-",Tableau119[[#This Row],[Compte Shipper]],"-",Tableau119[[#This Row],[POL]])</f>
        <v>26376-26376-FALSO</v>
      </c>
      <c r="E466" s="130" t="str">
        <f>_xlfn.CONCAT(Tableau119[[#This Row],[POL]],"-",Tableau119[[#This Row],[Carrier]],"-",Tableau119[[#This Row],[POD]])</f>
        <v>FALSO-FALSO-FALSO</v>
      </c>
      <c r="F466" s="66" t="str">
        <f>_xlfn.CONCAT(Tableau119[[#This Row],[ID]],"-","Actif")</f>
        <v>162-Actif</v>
      </c>
      <c r="G466" s="66" t="str">
        <f>_xlfn.CONCAT(Tableau119[[#This Row],[POD]],"-",Tableau119[[#This Row],[Code PFI]],"-",Tableau119[[#This Row],[Compte Consignee]])</f>
        <v>FALSO-90016600-90038200</v>
      </c>
      <c r="H4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CordobaFALSOSOMACA</v>
      </c>
      <c r="I466" s="434" t="str">
        <f>_xlfn.CONCAT(Tableau119[[#This Row],[ID]],"-",Tableau119[[#This Row],[Expiration Date]])</f>
        <v>162-45412</v>
      </c>
      <c r="J4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Cordoba-ILN Cordoba-162-FALSO-FALSO-FALSO-PFI FR-45412</v>
      </c>
      <c r="K466" s="119" t="str">
        <f ca="1">IF(COUNTIF(J:J,Tableau119[[#This Row],[Plant-ILN-shipper-POL-Carrier-POD-PFI]])=1,"Non","Oui")</f>
        <v>Non</v>
      </c>
      <c r="L466" s="128" t="str">
        <f>VLOOKUP(Tableau119[[#This Row],[Name Site]],Plant_AILN!A:D,4,FALSE)</f>
        <v>MOROCCO</v>
      </c>
      <c r="M466" s="411" t="s">
        <v>179</v>
      </c>
      <c r="N466" s="454">
        <f>VLOOKUP(Tableau119[[#This Row],[Name Site]],Plant_AILN!A:C,3,FALSE)</f>
        <v>90038200</v>
      </c>
      <c r="O466" s="55">
        <f>VLOOKUP(Tableau119[[#This Row],[Compte Consignee]],Order!C:D,2,FALSE)</f>
        <v>7</v>
      </c>
      <c r="P466" s="124" t="s">
        <v>199</v>
      </c>
      <c r="Q466" s="365">
        <f>VLOOKUP(Tableau119[[#This Row],[Name ILN]],Plant_AILN!F:G,2,FALSE)</f>
        <v>26376</v>
      </c>
      <c r="R466" s="50">
        <f>VLOOKUP(Tableau119[[#This Row],[Compte ILN]],'DATA ILN'!D:I,6,FALSE)</f>
        <v>9</v>
      </c>
      <c r="S466" s="50" t="e">
        <f>IFERROR(VLOOKUP(Tableau119[[#This Row],[Key(Compte ILN - shipper - POL - plant)]],'DATA ILN'!A:J,10,FALSE),VLOOKUP(Tableau119[[#This Row],[Key(Compte ILN - shipper - POL)]],'DATA ILN'!B:J,9,FALSE))</f>
        <v>#N/A</v>
      </c>
      <c r="T466" s="50" t="e">
        <f>IFERROR(VLOOKUP(Tableau119[[#This Row],[Key(Compte ILN - shipper - POL - plant)]],'DATA ILN'!A:K,11,FALSE),VLOOKUP(Tableau119[[#This Row],[Key(Compte ILN - shipper - POL)]],'DATA ILN'!B:K,10,FALSE))</f>
        <v>#N/A</v>
      </c>
      <c r="U466" s="50" t="e">
        <f>IFERROR(VLOOKUP(Tableau119[[#This Row],[Key(Compte ILN - shipper - POL - plant)]],'DATA ILN'!A:L,12,FALSE),VLOOKUP(Tableau119[[#This Row],[Key(Compte ILN - shipper - POL)]],'DATA ILN'!B:L,11,FALSE))</f>
        <v>#N/A</v>
      </c>
      <c r="V466" s="50" t="e">
        <f>Tableau119[[#This Row],[Day ILN Order]]+Tableau119[[#This Row],[Delivery time to ILN/Shipper]]-1</f>
        <v>#N/A</v>
      </c>
      <c r="W466" s="50" t="e">
        <f>IFERROR(VLOOKUP(Tableau119[[#This Row],[Key(Compte ILN - shipper - POL - plant)]],'DATA ILN'!A:N,14,FALSE),VLOOKUP(Tableau119[[#This Row],[Key(Compte ILN - shipper - POL)]],'DATA ILN'!B:N,13,FALSE))</f>
        <v>#N/A</v>
      </c>
      <c r="X466" s="50" t="e">
        <f>IFERROR(VLOOKUP(Tableau119[[#This Row],[Key(Compte ILN - shipper - POL - plant)]],'DATA ILN'!A:P,16,FALSE),VLOOKUP(Tableau119[[#This Row],[Key(Compte ILN - shipper - POL)]],'DATA ILN'!B:P,15,FALSE))</f>
        <v>#N/A</v>
      </c>
      <c r="Y466" s="284" t="s">
        <v>199</v>
      </c>
      <c r="Z466" s="430">
        <f>IFERROR(VLOOKUP(Tableau119[[#This Row],[Name Shipper]],Plant_AILN!L:M,2,FALSE),0)</f>
        <v>26376</v>
      </c>
      <c r="AA466" s="406">
        <v>162</v>
      </c>
      <c r="AB466" s="396" t="b">
        <f>_xlfn.XLOOKUP(Tableau119[[#This Row],[Key(ID-date)]],'DATA BTO'!S:S,'DATA BTO'!E:E,FALSE)</f>
        <v>0</v>
      </c>
      <c r="AC466" s="3" t="b">
        <f>_xlfn.XLOOKUP(Tableau119[[#This Row],[Key(ID-date)]],'DATA BTO'!S:S,'DATA BTO'!F:F,FALSE)</f>
        <v>0</v>
      </c>
      <c r="AD466" s="50" t="b">
        <f>_xlfn.XLOOKUP(Tableau119[[#This Row],[Key(ID-date)]],'DATA BTO'!S:S,'DATA BTO'!G:G,FALSE)</f>
        <v>0</v>
      </c>
      <c r="AE466" s="50" t="b">
        <f>_xlfn.XLOOKUP(Tableau119[[#This Row],[Key(ID-date)]],'DATA BTO'!S:S,'DATA BTO'!H:H,FALSE)</f>
        <v>0</v>
      </c>
      <c r="AF466" s="447" t="e">
        <f>IF(Tableau119[[#This Row],[First Day to POL]]&lt;=Tableau119[[#This Row],[Day Cut Off]],Tableau119[[#This Row],[Day ETD]],Tableau119[[#This Row],[Day ETD]]+7)</f>
        <v>#N/A</v>
      </c>
      <c r="AG466" s="50" t="b">
        <f>_xlfn.XLOOKUP(Tableau119[[#This Row],[Key(ID-date)]],'DATA BTO'!S:S,'DATA BTO'!I:I,FALSE)</f>
        <v>0</v>
      </c>
      <c r="AH466" s="3" t="b">
        <f>_xlfn.XLOOKUP(Tableau119[[#This Row],[Key(ID-date)]],'DATA BTO'!S:S,'DATA BTO'!J:J,FALSE)</f>
        <v>0</v>
      </c>
      <c r="AI466" s="3" t="b">
        <f>_xlfn.XLOOKUP(Tableau119[[#This Row],[Key(ID-date)]],'DATA BTO'!S:S,'DATA BTO'!K:K,FALSE)</f>
        <v>0</v>
      </c>
      <c r="AJ466" s="50" t="b">
        <f>_xlfn.XLOOKUP(Tableau119[[#This Row],[Key(ID-date)]],'DATA BTO'!S:S,'DATA BTO'!L:L,FALSE)</f>
        <v>0</v>
      </c>
      <c r="AK466" s="53" t="b">
        <f>_xlfn.XLOOKUP(Tableau119[[#This Row],[Key(ID-date)]],'DATA BTO'!S:S,'DATA BTO'!N:N,FALSE)</f>
        <v>0</v>
      </c>
      <c r="AL466" s="54" t="e">
        <f>VLOOKUP(Tableau119[[#This Row],[Key(POD -PFI- Usine)]],'DATA Consignee'!A:F,6,FALSE)</f>
        <v>#N/A</v>
      </c>
      <c r="AM466" s="284" t="s">
        <v>270</v>
      </c>
      <c r="AN466" s="376">
        <f>IF(Tableau119[[#This Row],[Name PFI/CDD]]="","-",VLOOKUP(Tableau119[[#This Row],[Name PFI/CDD]],Plant_AILN!I:J,2,FALSE))</f>
        <v>90016600</v>
      </c>
      <c r="AO4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6" s="2" t="e">
        <f>VLOOKUP(Tableau119[[#This Row],[Key(POD -PFI- Usine)]],'DATA Consignee'!A:J,10,FALSE)</f>
        <v>#N/A</v>
      </c>
      <c r="AR466" s="50" t="e">
        <f>VLOOKUP(Tableau119[[#This Row],[Key(POD -PFI- Usine)]],'DATA Consignee'!A:N,14,FALSE)</f>
        <v>#N/A</v>
      </c>
      <c r="AS4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6" s="50">
        <f>Tableau119[[#This Row],[Transit time]]+Tableau119[[#This Row],[Time for security]]+Tableau119[[#This Row],[Time for security2 buffer]]</f>
        <v>0</v>
      </c>
      <c r="AV4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6" s="50" t="e">
        <f>Tableau119[[#This Row],[Leadtime SI2C]]+Tableau119[[#This Row],[First Receipt Days]]-Tableau119[[#This Row],[Day Customer Order]]+1</f>
        <v>#N/A</v>
      </c>
      <c r="AX466" s="119" t="e">
        <f>IF(Tableau119[[#This Row],[Name ILN]]&lt;&gt;"SFK Freight Forwarder",Tableau119[[#This Row],[Cust. Leadtime]],Tableau119[[#This Row],[Leadtime SI2C]])</f>
        <v>#N/A</v>
      </c>
      <c r="AY466" s="51" t="b">
        <f>_xlfn.XLOOKUP(Tableau119[[#This Row],[Key(ID-date)]],'DATA BTO'!S:S,'DATA BTO'!P:P,FALSE)</f>
        <v>0</v>
      </c>
      <c r="AZ466" s="338">
        <v>45412</v>
      </c>
      <c r="BA466" s="50"/>
    </row>
    <row r="467" spans="2:53">
      <c r="B467" s="446" t="str">
        <f>_xlfn.CONCAT(Tableau119[[#This Row],[Name ILN]],"-",Tableau119[[#This Row],[Name Shipper]],"-",Tableau119[[#This Row],[Name Site]])</f>
        <v>ILN Cordoba-ILN Cordoba-TANGER</v>
      </c>
      <c r="C467" s="66" t="str">
        <f>_xlfn.CONCAT(Tableau119[[#This Row],[Compte ILN]],"-",Tableau119[[#This Row],[Compte Shipper]],"-",Tableau119[[#This Row],[POL]],"-",Tableau119[[#This Row],[Compte Consignee]])</f>
        <v>26376-26376-FALSO-900383</v>
      </c>
      <c r="D467" s="66" t="str">
        <f>_xlfn.CONCAT(Tableau119[[#This Row],[Compte ILN]],"-",Tableau119[[#This Row],[Compte Shipper]],"-",Tableau119[[#This Row],[POL]])</f>
        <v>26376-26376-FALSO</v>
      </c>
      <c r="E467" s="130" t="str">
        <f>_xlfn.CONCAT(Tableau119[[#This Row],[POL]],"-",Tableau119[[#This Row],[Carrier]],"-",Tableau119[[#This Row],[POD]])</f>
        <v>FALSO-FALSO-FALSO</v>
      </c>
      <c r="F467" s="66" t="str">
        <f>_xlfn.CONCAT(Tableau119[[#This Row],[ID]],"-","Actif")</f>
        <v>162-Actif</v>
      </c>
      <c r="G467" s="66" t="str">
        <f>_xlfn.CONCAT(Tableau119[[#This Row],[POD]],"-",Tableau119[[#This Row],[Code PFI]],"-",Tableau119[[#This Row],[Compte Consignee]])</f>
        <v>FALSO-90016600-900383</v>
      </c>
      <c r="H4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CordobaFALSOTANGER</v>
      </c>
      <c r="I467" s="434" t="str">
        <f>_xlfn.CONCAT(Tableau119[[#This Row],[ID]],"-",Tableau119[[#This Row],[Expiration Date]])</f>
        <v>162-45412</v>
      </c>
      <c r="J4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Cordoba-ILN Cordoba-162-FALSO-FALSO-FALSO-PFI FR-45412</v>
      </c>
      <c r="K467" s="119" t="str">
        <f ca="1">IF(COUNTIF(J:J,Tableau119[[#This Row],[Plant-ILN-shipper-POL-Carrier-POD-PFI]])=1,"Non","Oui")</f>
        <v>Non</v>
      </c>
      <c r="L467" s="128" t="str">
        <f>VLOOKUP(Tableau119[[#This Row],[Name Site]],Plant_AILN!A:D,4,FALSE)</f>
        <v>MOROCCO</v>
      </c>
      <c r="M467" s="415" t="s">
        <v>180</v>
      </c>
      <c r="N467" s="455">
        <f>VLOOKUP(Tableau119[[#This Row],[Name Site]],Plant_AILN!A:C,3,FALSE)</f>
        <v>900383</v>
      </c>
      <c r="O467" s="104">
        <f>VLOOKUP(Tableau119[[#This Row],[Compte Consignee]],Order!C:D,2,FALSE)</f>
        <v>7</v>
      </c>
      <c r="P467" s="126" t="s">
        <v>199</v>
      </c>
      <c r="Q467" s="366">
        <f>VLOOKUP(Tableau119[[#This Row],[Name ILN]],Plant_AILN!F:G,2,FALSE)</f>
        <v>26376</v>
      </c>
      <c r="R467" s="81">
        <f>VLOOKUP(Tableau119[[#This Row],[Compte ILN]],'DATA ILN'!D:I,6,FALSE)</f>
        <v>9</v>
      </c>
      <c r="S467" s="81" t="e">
        <f>IFERROR(VLOOKUP(Tableau119[[#This Row],[Key(Compte ILN - shipper - POL - plant)]],'DATA ILN'!A:J,10,FALSE),VLOOKUP(Tableau119[[#This Row],[Key(Compte ILN - shipper - POL)]],'DATA ILN'!B:J,9,FALSE))</f>
        <v>#N/A</v>
      </c>
      <c r="T467" s="81" t="e">
        <f>IFERROR(VLOOKUP(Tableau119[[#This Row],[Key(Compte ILN - shipper - POL - plant)]],'DATA ILN'!A:K,11,FALSE),VLOOKUP(Tableau119[[#This Row],[Key(Compte ILN - shipper - POL)]],'DATA ILN'!B:K,10,FALSE))</f>
        <v>#N/A</v>
      </c>
      <c r="U467" s="81" t="e">
        <f>IFERROR(VLOOKUP(Tableau119[[#This Row],[Key(Compte ILN - shipper - POL - plant)]],'DATA ILN'!A:L,12,FALSE),VLOOKUP(Tableau119[[#This Row],[Key(Compte ILN - shipper - POL)]],'DATA ILN'!B:L,11,FALSE))</f>
        <v>#N/A</v>
      </c>
      <c r="V467" s="81" t="e">
        <f>Tableau119[[#This Row],[Day ILN Order]]+Tableau119[[#This Row],[Delivery time to ILN/Shipper]]-1</f>
        <v>#N/A</v>
      </c>
      <c r="W467" s="81" t="e">
        <f>IFERROR(VLOOKUP(Tableau119[[#This Row],[Key(Compte ILN - shipper - POL - plant)]],'DATA ILN'!A:N,14,FALSE),VLOOKUP(Tableau119[[#This Row],[Key(Compte ILN - shipper - POL)]],'DATA ILN'!B:N,13,FALSE))</f>
        <v>#N/A</v>
      </c>
      <c r="X467" s="81" t="e">
        <f>IFERROR(VLOOKUP(Tableau119[[#This Row],[Key(Compte ILN - shipper - POL - plant)]],'DATA ILN'!A:P,16,FALSE),VLOOKUP(Tableau119[[#This Row],[Key(Compte ILN - shipper - POL)]],'DATA ILN'!B:P,15,FALSE))</f>
        <v>#N/A</v>
      </c>
      <c r="Y467" s="102" t="s">
        <v>199</v>
      </c>
      <c r="Z467" s="417">
        <f>IFERROR(VLOOKUP(Tableau119[[#This Row],[Name Shipper]],Plant_AILN!L:M,2,FALSE),0)</f>
        <v>26376</v>
      </c>
      <c r="AA467" s="416">
        <v>162</v>
      </c>
      <c r="AB467" s="396" t="b">
        <f>_xlfn.XLOOKUP(Tableau119[[#This Row],[Key(ID-date)]],'DATA BTO'!S:S,'DATA BTO'!E:E,FALSE)</f>
        <v>0</v>
      </c>
      <c r="AC467" s="3" t="b">
        <f>_xlfn.XLOOKUP(Tableau119[[#This Row],[Key(ID-date)]],'DATA BTO'!S:S,'DATA BTO'!F:F,FALSE)</f>
        <v>0</v>
      </c>
      <c r="AD467" s="50" t="b">
        <f>_xlfn.XLOOKUP(Tableau119[[#This Row],[Key(ID-date)]],'DATA BTO'!S:S,'DATA BTO'!G:G,FALSE)</f>
        <v>0</v>
      </c>
      <c r="AE467" s="50" t="b">
        <f>_xlfn.XLOOKUP(Tableau119[[#This Row],[Key(ID-date)]],'DATA BTO'!S:S,'DATA BTO'!H:H,FALSE)</f>
        <v>0</v>
      </c>
      <c r="AF467" s="447" t="e">
        <f>IF(Tableau119[[#This Row],[First Day to POL]]&lt;=Tableau119[[#This Row],[Day Cut Off]],Tableau119[[#This Row],[Day ETD]],Tableau119[[#This Row],[Day ETD]]+7)</f>
        <v>#N/A</v>
      </c>
      <c r="AG467" s="50" t="b">
        <f>_xlfn.XLOOKUP(Tableau119[[#This Row],[Key(ID-date)]],'DATA BTO'!S:S,'DATA BTO'!I:I,FALSE)</f>
        <v>0</v>
      </c>
      <c r="AH467" s="3" t="b">
        <f>_xlfn.XLOOKUP(Tableau119[[#This Row],[Key(ID-date)]],'DATA BTO'!S:S,'DATA BTO'!J:J,FALSE)</f>
        <v>0</v>
      </c>
      <c r="AI467" s="3" t="b">
        <f>_xlfn.XLOOKUP(Tableau119[[#This Row],[Key(ID-date)]],'DATA BTO'!S:S,'DATA BTO'!K:K,FALSE)</f>
        <v>0</v>
      </c>
      <c r="AJ467" s="50" t="b">
        <f>_xlfn.XLOOKUP(Tableau119[[#This Row],[Key(ID-date)]],'DATA BTO'!S:S,'DATA BTO'!L:L,FALSE)</f>
        <v>0</v>
      </c>
      <c r="AK467" s="53" t="b">
        <f>_xlfn.XLOOKUP(Tableau119[[#This Row],[Key(ID-date)]],'DATA BTO'!S:S,'DATA BTO'!N:N,FALSE)</f>
        <v>0</v>
      </c>
      <c r="AL467" s="54" t="e">
        <f>VLOOKUP(Tableau119[[#This Row],[Key(POD -PFI- Usine)]],'DATA Consignee'!A:F,6,FALSE)</f>
        <v>#N/A</v>
      </c>
      <c r="AM467" s="102" t="s">
        <v>270</v>
      </c>
      <c r="AN467" s="375">
        <f>IF(Tableau119[[#This Row],[Name PFI/CDD]]="","-",VLOOKUP(Tableau119[[#This Row],[Name PFI/CDD]],Plant_AILN!I:J,2,FALSE))</f>
        <v>90016600</v>
      </c>
      <c r="AO46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7" s="110" t="e">
        <f>VLOOKUP(Tableau119[[#This Row],[Key(POD -PFI- Usine)]],'DATA Consignee'!A:J,10,FALSE)</f>
        <v>#N/A</v>
      </c>
      <c r="AR467" s="81" t="e">
        <f>VLOOKUP(Tableau119[[#This Row],[Key(POD -PFI- Usine)]],'DATA Consignee'!A:N,14,FALSE)</f>
        <v>#N/A</v>
      </c>
      <c r="AS46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7" s="81">
        <f>Tableau119[[#This Row],[Transit time]]+Tableau119[[#This Row],[Time for security]]+Tableau119[[#This Row],[Time for security2 buffer]]</f>
        <v>0</v>
      </c>
      <c r="AV4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7" s="50" t="e">
        <f>Tableau119[[#This Row],[Leadtime SI2C]]+Tableau119[[#This Row],[First Receipt Days]]-Tableau119[[#This Row],[Day Customer Order]]+1</f>
        <v>#N/A</v>
      </c>
      <c r="AX467" s="119" t="e">
        <f>IF(Tableau119[[#This Row],[Name ILN]]&lt;&gt;"SFK Freight Forwarder",Tableau119[[#This Row],[Cust. Leadtime]],Tableau119[[#This Row],[Leadtime SI2C]])</f>
        <v>#N/A</v>
      </c>
      <c r="AY467" s="51" t="b">
        <f>_xlfn.XLOOKUP(Tableau119[[#This Row],[Key(ID-date)]],'DATA BTO'!S:S,'DATA BTO'!P:P,FALSE)</f>
        <v>0</v>
      </c>
      <c r="AZ467" s="388">
        <v>45412</v>
      </c>
      <c r="BA467" s="81"/>
    </row>
    <row r="468" spans="2:53">
      <c r="B468" s="446" t="str">
        <f>_xlfn.CONCAT(Tableau119[[#This Row],[Name ILN]],"-",Tableau119[[#This Row],[Name Shipper]],"-",Tableau119[[#This Row],[Name Site]])</f>
        <v>ILN Cordoba-ILN Cordoba-CLEON</v>
      </c>
      <c r="C468" s="66" t="str">
        <f>_xlfn.CONCAT(Tableau119[[#This Row],[Compte ILN]],"-",Tableau119[[#This Row],[Compte Shipper]],"-",Tableau119[[#This Row],[POL]],"-",Tableau119[[#This Row],[Compte Consignee]])</f>
        <v>26376-26376-FALSO-92000100</v>
      </c>
      <c r="D468" s="66" t="str">
        <f>_xlfn.CONCAT(Tableau119[[#This Row],[Compte ILN]],"-",Tableau119[[#This Row],[Compte Shipper]],"-",Tableau119[[#This Row],[POL]])</f>
        <v>26376-26376-FALSO</v>
      </c>
      <c r="E468" s="130" t="str">
        <f>_xlfn.CONCAT(Tableau119[[#This Row],[POL]],"-",Tableau119[[#This Row],[Carrier]],"-",Tableau119[[#This Row],[POD]])</f>
        <v>FALSO-FALSO-FALSO</v>
      </c>
      <c r="F468" s="66" t="str">
        <f>_xlfn.CONCAT(Tableau119[[#This Row],[ID]],"-","Actif")</f>
        <v>162-Actif</v>
      </c>
      <c r="G468" s="66" t="str">
        <f>_xlfn.CONCAT(Tableau119[[#This Row],[POD]],"-",Tableau119[[#This Row],[Code PFI]],"-",Tableau119[[#This Row],[Compte Consignee]])</f>
        <v>FALSO-90016600-92000100</v>
      </c>
      <c r="H4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CordobaFALSOCLEON</v>
      </c>
      <c r="I468" s="434" t="str">
        <f>_xlfn.CONCAT(Tableau119[[#This Row],[ID]],"-",Tableau119[[#This Row],[Expiration Date]])</f>
        <v>162-45412</v>
      </c>
      <c r="J4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Cordoba-ILN Cordoba-162-FALSO-FALSO-FALSO-CDD FR-45412</v>
      </c>
      <c r="K468" s="119" t="str">
        <f ca="1">IF(COUNTIF(J:J,Tableau119[[#This Row],[Plant-ILN-shipper-POL-Carrier-POD-PFI]])=1,"Non","Oui")</f>
        <v>Non</v>
      </c>
      <c r="L468" s="128" t="str">
        <f>VLOOKUP(Tableau119[[#This Row],[Name Site]],Plant_AILN!A:D,4,FALSE)</f>
        <v>FRANCE</v>
      </c>
      <c r="M468" s="411" t="s">
        <v>183</v>
      </c>
      <c r="N468" s="454">
        <f>VLOOKUP(Tableau119[[#This Row],[Name Site]],Plant_AILN!A:C,3,FALSE)</f>
        <v>92000100</v>
      </c>
      <c r="O468" s="55">
        <f>VLOOKUP(Tableau119[[#This Row],[Compte Consignee]],Order!C:D,2,FALSE)</f>
        <v>7</v>
      </c>
      <c r="P468" s="124" t="s">
        <v>199</v>
      </c>
      <c r="Q468" s="365">
        <f>VLOOKUP(Tableau119[[#This Row],[Name ILN]],Plant_AILN!F:G,2,FALSE)</f>
        <v>26376</v>
      </c>
      <c r="R468" s="50">
        <f>VLOOKUP(Tableau119[[#This Row],[Compte ILN]],'DATA ILN'!D:I,6,FALSE)</f>
        <v>9</v>
      </c>
      <c r="S468" s="50" t="e">
        <f>IFERROR(VLOOKUP(Tableau119[[#This Row],[Key(Compte ILN - shipper - POL - plant)]],'DATA ILN'!A:J,10,FALSE),VLOOKUP(Tableau119[[#This Row],[Key(Compte ILN - shipper - POL)]],'DATA ILN'!B:J,9,FALSE))</f>
        <v>#N/A</v>
      </c>
      <c r="T468" s="50" t="e">
        <f>IFERROR(VLOOKUP(Tableau119[[#This Row],[Key(Compte ILN - shipper - POL - plant)]],'DATA ILN'!A:K,11,FALSE),VLOOKUP(Tableau119[[#This Row],[Key(Compte ILN - shipper - POL)]],'DATA ILN'!B:K,10,FALSE))</f>
        <v>#N/A</v>
      </c>
      <c r="U468" s="50" t="e">
        <f>IFERROR(VLOOKUP(Tableau119[[#This Row],[Key(Compte ILN - shipper - POL - plant)]],'DATA ILN'!A:L,12,FALSE),VLOOKUP(Tableau119[[#This Row],[Key(Compte ILN - shipper - POL)]],'DATA ILN'!B:L,11,FALSE))</f>
        <v>#N/A</v>
      </c>
      <c r="V468" s="50" t="e">
        <f>Tableau119[[#This Row],[Day ILN Order]]+Tableau119[[#This Row],[Delivery time to ILN/Shipper]]-1</f>
        <v>#N/A</v>
      </c>
      <c r="W468" s="50" t="e">
        <f>IFERROR(VLOOKUP(Tableau119[[#This Row],[Key(Compte ILN - shipper - POL - plant)]],'DATA ILN'!A:N,14,FALSE),VLOOKUP(Tableau119[[#This Row],[Key(Compte ILN - shipper - POL)]],'DATA ILN'!B:N,13,FALSE))</f>
        <v>#N/A</v>
      </c>
      <c r="X468" s="50" t="e">
        <f>IFERROR(VLOOKUP(Tableau119[[#This Row],[Key(Compte ILN - shipper - POL - plant)]],'DATA ILN'!A:P,16,FALSE),VLOOKUP(Tableau119[[#This Row],[Key(Compte ILN - shipper - POL)]],'DATA ILN'!B:P,15,FALSE))</f>
        <v>#N/A</v>
      </c>
      <c r="Y468" s="284" t="s">
        <v>199</v>
      </c>
      <c r="Z468" s="430">
        <f>IFERROR(VLOOKUP(Tableau119[[#This Row],[Name Shipper]],Plant_AILN!L:M,2,FALSE),0)</f>
        <v>26376</v>
      </c>
      <c r="AA468" s="406">
        <v>162</v>
      </c>
      <c r="AB468" s="396" t="b">
        <f>_xlfn.XLOOKUP(Tableau119[[#This Row],[Key(ID-date)]],'DATA BTO'!S:S,'DATA BTO'!E:E,FALSE)</f>
        <v>0</v>
      </c>
      <c r="AC468" s="3" t="b">
        <f>_xlfn.XLOOKUP(Tableau119[[#This Row],[Key(ID-date)]],'DATA BTO'!S:S,'DATA BTO'!F:F,FALSE)</f>
        <v>0</v>
      </c>
      <c r="AD468" s="50" t="b">
        <f>_xlfn.XLOOKUP(Tableau119[[#This Row],[Key(ID-date)]],'DATA BTO'!S:S,'DATA BTO'!G:G,FALSE)</f>
        <v>0</v>
      </c>
      <c r="AE468" s="50" t="b">
        <f>_xlfn.XLOOKUP(Tableau119[[#This Row],[Key(ID-date)]],'DATA BTO'!S:S,'DATA BTO'!H:H,FALSE)</f>
        <v>0</v>
      </c>
      <c r="AF468" s="447" t="e">
        <f>IF(Tableau119[[#This Row],[First Day to POL]]&lt;=Tableau119[[#This Row],[Day Cut Off]],Tableau119[[#This Row],[Day ETD]],Tableau119[[#This Row],[Day ETD]]+7)</f>
        <v>#N/A</v>
      </c>
      <c r="AG468" s="50" t="b">
        <f>_xlfn.XLOOKUP(Tableau119[[#This Row],[Key(ID-date)]],'DATA BTO'!S:S,'DATA BTO'!I:I,FALSE)</f>
        <v>0</v>
      </c>
      <c r="AH468" s="3" t="b">
        <f>_xlfn.XLOOKUP(Tableau119[[#This Row],[Key(ID-date)]],'DATA BTO'!S:S,'DATA BTO'!J:J,FALSE)</f>
        <v>0</v>
      </c>
      <c r="AI468" s="3" t="b">
        <f>_xlfn.XLOOKUP(Tableau119[[#This Row],[Key(ID-date)]],'DATA BTO'!S:S,'DATA BTO'!K:K,FALSE)</f>
        <v>0</v>
      </c>
      <c r="AJ468" s="50" t="b">
        <f>_xlfn.XLOOKUP(Tableau119[[#This Row],[Key(ID-date)]],'DATA BTO'!S:S,'DATA BTO'!L:L,FALSE)</f>
        <v>0</v>
      </c>
      <c r="AK468" s="53" t="b">
        <f>_xlfn.XLOOKUP(Tableau119[[#This Row],[Key(ID-date)]],'DATA BTO'!S:S,'DATA BTO'!N:N,FALSE)</f>
        <v>0</v>
      </c>
      <c r="AL468" s="54" t="e">
        <f>VLOOKUP(Tableau119[[#This Row],[Key(POD -PFI- Usine)]],'DATA Consignee'!A:F,6,FALSE)</f>
        <v>#N/A</v>
      </c>
      <c r="AM468" s="284" t="s">
        <v>155</v>
      </c>
      <c r="AN468" s="376">
        <f>IF(Tableau119[[#This Row],[Name PFI/CDD]]="","-",VLOOKUP(Tableau119[[#This Row],[Name PFI/CDD]],Plant_AILN!I:J,2,FALSE))</f>
        <v>90016600</v>
      </c>
      <c r="AO4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8" s="2" t="e">
        <f>VLOOKUP(Tableau119[[#This Row],[Key(POD -PFI- Usine)]],'DATA Consignee'!A:J,10,FALSE)</f>
        <v>#N/A</v>
      </c>
      <c r="AR468" s="50" t="e">
        <f>VLOOKUP(Tableau119[[#This Row],[Key(POD -PFI- Usine)]],'DATA Consignee'!A:N,14,FALSE)</f>
        <v>#N/A</v>
      </c>
      <c r="AS4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8" s="50">
        <f>Tableau119[[#This Row],[Transit time]]+Tableau119[[#This Row],[Time for security]]+Tableau119[[#This Row],[Time for security2 buffer]]</f>
        <v>0</v>
      </c>
      <c r="AV4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8" s="50" t="e">
        <f>Tableau119[[#This Row],[Leadtime SI2C]]+Tableau119[[#This Row],[First Receipt Days]]-Tableau119[[#This Row],[Day Customer Order]]+1</f>
        <v>#N/A</v>
      </c>
      <c r="AX468" s="119" t="e">
        <f>IF(Tableau119[[#This Row],[Name ILN]]&lt;&gt;"SFK Freight Forwarder",Tableau119[[#This Row],[Cust. Leadtime]],Tableau119[[#This Row],[Leadtime SI2C]])</f>
        <v>#N/A</v>
      </c>
      <c r="AY468" s="51" t="b">
        <f>_xlfn.XLOOKUP(Tableau119[[#This Row],[Key(ID-date)]],'DATA BTO'!S:S,'DATA BTO'!P:P,FALSE)</f>
        <v>0</v>
      </c>
      <c r="AZ468" s="338">
        <v>45412</v>
      </c>
      <c r="BA468" s="50"/>
    </row>
    <row r="469" spans="2:53">
      <c r="B469" s="66" t="str">
        <f>_xlfn.CONCAT(Tableau119[[#This Row],[Name ILN]],"-",Tableau119[[#This Row],[Name Shipper]],"-",Tableau119[[#This Row],[Name Site]])</f>
        <v>ILN Curitiba-ILN Curitiba-ALPINE</v>
      </c>
      <c r="C469" s="66" t="str">
        <f>_xlfn.CONCAT(Tableau119[[#This Row],[Compte ILN]],"-",Tableau119[[#This Row],[Compte Shipper]],"-",Tableau119[[#This Row],[POL]],"-",Tableau119[[#This Row],[Compte Consignee]])</f>
        <v>95207-95207-FALSO-90018300</v>
      </c>
      <c r="D469" s="66" t="str">
        <f>_xlfn.CONCAT(Tableau119[[#This Row],[Compte ILN]],"-",Tableau119[[#This Row],[Compte Shipper]],"-",Tableau119[[#This Row],[POL]])</f>
        <v>95207-95207-FALSO</v>
      </c>
      <c r="E469" s="130" t="str">
        <f>_xlfn.CONCAT(Tableau119[[#This Row],[POL]],"-",Tableau119[[#This Row],[Carrier]],"-",Tableau119[[#This Row],[POD]])</f>
        <v>FALSO-FALSO-FALSO</v>
      </c>
      <c r="F469" s="66" t="str">
        <f>_xlfn.CONCAT(Tableau119[[#This Row],[ID]],"-","Actif")</f>
        <v>163-Actif</v>
      </c>
      <c r="G469" s="66" t="str">
        <f>_xlfn.CONCAT(Tableau119[[#This Row],[POD]],"-",Tableau119[[#This Row],[Code PFI]],"-",Tableau119[[#This Row],[Compte Consignee]])</f>
        <v>FALSO-90016600-90018300</v>
      </c>
      <c r="H4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CuritibaFALSOALPINE</v>
      </c>
      <c r="I469" s="434" t="str">
        <f>_xlfn.CONCAT(Tableau119[[#This Row],[ID]],"-",Tableau119[[#This Row],[Expiration Date]])</f>
        <v>163-46142</v>
      </c>
      <c r="J4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Curitiba-ILN Curitiba-163-FALSO-FALSO-FALSO-PFI FR-46142</v>
      </c>
      <c r="K469" s="119" t="str">
        <f ca="1">IF(COUNTIF(J:J,Tableau119[[#This Row],[Plant-ILN-shipper-POL-Carrier-POD-PFI]])=1,"Non","Oui")</f>
        <v>Non</v>
      </c>
      <c r="L469" s="440" t="str">
        <f>VLOOKUP(Tableau119[[#This Row],[Name Site]],Plant_AILN!A:D,4,FALSE)</f>
        <v>FRANCE</v>
      </c>
      <c r="M469" s="10" t="s">
        <v>220</v>
      </c>
      <c r="N469" s="454">
        <f>VLOOKUP(Tableau119[[#This Row],[Name Site]],Plant_AILN!A:C,3,FALSE)</f>
        <v>90018300</v>
      </c>
      <c r="O469" s="55">
        <f>IF(Tableau119[[#This Row],[Name PFI/CDD]]="PFI VLL",2,VLOOKUP(Tableau119[[#This Row],[Compte Consignee]],Order!C:D,2,FALSE))</f>
        <v>7</v>
      </c>
      <c r="P469" s="124" t="s">
        <v>163</v>
      </c>
      <c r="Q469" s="365">
        <f>VLOOKUP(Tableau119[[#This Row],[Name ILN]],Plant_AILN!F:G,2,FALSE)</f>
        <v>95207</v>
      </c>
      <c r="R469" s="50">
        <f>VLOOKUP(Tableau119[[#This Row],[Compte ILN]],'DATA ILN'!D:I,6,FALSE)</f>
        <v>9</v>
      </c>
      <c r="S469" s="50" t="e">
        <f>IFERROR(VLOOKUP(Tableau119[[#This Row],[Key(Compte ILN - shipper - POL - plant)]],'DATA ILN'!A:J,10,FALSE),VLOOKUP(Tableau119[[#This Row],[Key(Compte ILN - shipper - POL)]],'DATA ILN'!B:J,9,FALSE))</f>
        <v>#N/A</v>
      </c>
      <c r="T469" s="50" t="e">
        <f>IFERROR(VLOOKUP(Tableau119[[#This Row],[Key(Compte ILN - shipper - POL - plant)]],'DATA ILN'!A:K,11,FALSE),VLOOKUP(Tableau119[[#This Row],[Key(Compte ILN - shipper - POL)]],'DATA ILN'!B:K,10,FALSE))</f>
        <v>#N/A</v>
      </c>
      <c r="U469" s="50" t="e">
        <f>IFERROR(VLOOKUP(Tableau119[[#This Row],[Key(Compte ILN - shipper - POL - plant)]],'DATA ILN'!A:L,12,FALSE),VLOOKUP(Tableau119[[#This Row],[Key(Compte ILN - shipper - POL)]],'DATA ILN'!B:L,11,FALSE))</f>
        <v>#N/A</v>
      </c>
      <c r="V469" s="50" t="e">
        <f>Tableau119[[#This Row],[Day ILN Order]]+Tableau119[[#This Row],[Delivery time to ILN/Shipper]]-1</f>
        <v>#N/A</v>
      </c>
      <c r="W469" s="50" t="e">
        <f>IFERROR(VLOOKUP(Tableau119[[#This Row],[Key(Compte ILN - shipper - POL - plant)]],'DATA ILN'!A:N,14,FALSE),VLOOKUP(Tableau119[[#This Row],[Key(Compte ILN - shipper - POL)]],'DATA ILN'!B:N,13,FALSE))</f>
        <v>#N/A</v>
      </c>
      <c r="X469" s="50" t="e">
        <f>IFERROR(VLOOKUP(Tableau119[[#This Row],[Key(Compte ILN - shipper - POL - plant)]],'DATA ILN'!A:P,16,FALSE),VLOOKUP(Tableau119[[#This Row],[Key(Compte ILN - shipper - POL)]],'DATA ILN'!B:P,15,FALSE))</f>
        <v>#N/A</v>
      </c>
      <c r="Y469" s="284" t="s">
        <v>163</v>
      </c>
      <c r="Z469" s="430">
        <f>IFERROR(VLOOKUP(Tableau119[[#This Row],[Name Shipper]],Plant_AILN!L:M,2,FALSE),0)</f>
        <v>95207</v>
      </c>
      <c r="AA469" s="406">
        <v>163</v>
      </c>
      <c r="AB469" s="396" t="b">
        <f>_xlfn.XLOOKUP(Tableau119[[#This Row],[Key(ID-date)]],'DATA BTO'!S:S,'DATA BTO'!E:E,FALSE)</f>
        <v>0</v>
      </c>
      <c r="AC469" s="3" t="b">
        <f>_xlfn.XLOOKUP(Tableau119[[#This Row],[Key(ID-date)]],'DATA BTO'!S:S,'DATA BTO'!F:F,FALSE)</f>
        <v>0</v>
      </c>
      <c r="AD469" s="50" t="b">
        <f>_xlfn.XLOOKUP(Tableau119[[#This Row],[Key(ID-date)]],'DATA BTO'!S:S,'DATA BTO'!G:G,FALSE)</f>
        <v>0</v>
      </c>
      <c r="AE469" s="50" t="b">
        <f>_xlfn.XLOOKUP(Tableau119[[#This Row],[Key(ID-date)]],'DATA BTO'!S:S,'DATA BTO'!H:H,FALSE)</f>
        <v>0</v>
      </c>
      <c r="AF469" s="447" t="e">
        <f>IF(Tableau119[[#This Row],[First Day to POL]]&lt;=Tableau119[[#This Row],[Day Cut Off]],Tableau119[[#This Row],[Day ETD]],Tableau119[[#This Row],[Day ETD]]+7)</f>
        <v>#N/A</v>
      </c>
      <c r="AG469" s="50" t="b">
        <f>_xlfn.XLOOKUP(Tableau119[[#This Row],[Key(ID-date)]],'DATA BTO'!S:S,'DATA BTO'!I:I,FALSE)</f>
        <v>0</v>
      </c>
      <c r="AH469" s="3" t="b">
        <f>_xlfn.XLOOKUP(Tableau119[[#This Row],[Key(ID-date)]],'DATA BTO'!S:S,'DATA BTO'!J:J,FALSE)</f>
        <v>0</v>
      </c>
      <c r="AI469" s="3" t="b">
        <f>_xlfn.XLOOKUP(Tableau119[[#This Row],[Key(ID-date)]],'DATA BTO'!S:S,'DATA BTO'!K:K,FALSE)</f>
        <v>0</v>
      </c>
      <c r="AJ469" s="50" t="b">
        <f>_xlfn.XLOOKUP(Tableau119[[#This Row],[Key(ID-date)]],'DATA BTO'!S:S,'DATA BTO'!L:L,FALSE)</f>
        <v>0</v>
      </c>
      <c r="AK469" s="53" t="b">
        <f>_xlfn.XLOOKUP(Tableau119[[#This Row],[Key(ID-date)]],'DATA BTO'!S:S,'DATA BTO'!N:N,FALSE)</f>
        <v>0</v>
      </c>
      <c r="AL469" s="54" t="e">
        <f>VLOOKUP(Tableau119[[#This Row],[Key(POD -PFI- Usine)]],'DATA Consignee'!A:F,6,FALSE)</f>
        <v>#N/A</v>
      </c>
      <c r="AM469" s="284" t="s">
        <v>270</v>
      </c>
      <c r="AN469" s="376">
        <f>IF(Tableau119[[#This Row],[Name PFI/CDD]]="","-",VLOOKUP(Tableau119[[#This Row],[Name PFI/CDD]],Plant_AILN!I:J,2,FALSE))</f>
        <v>90016600</v>
      </c>
      <c r="AO4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69" s="2" t="e">
        <f>VLOOKUP(Tableau119[[#This Row],[Key(POD -PFI- Usine)]],'DATA Consignee'!A:J,10,FALSE)</f>
        <v>#N/A</v>
      </c>
      <c r="AR469" s="50" t="e">
        <f>VLOOKUP(Tableau119[[#This Row],[Key(POD -PFI- Usine)]],'DATA Consignee'!A:N,14,FALSE)</f>
        <v>#N/A</v>
      </c>
      <c r="AS4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69" s="50">
        <f>Tableau119[[#This Row],[Transit time]]+Tableau119[[#This Row],[Time for security]]+Tableau119[[#This Row],[Time for security2 buffer]]</f>
        <v>0</v>
      </c>
      <c r="AV4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69" s="50" t="e">
        <f>Tableau119[[#This Row],[Leadtime SI2C]]+Tableau119[[#This Row],[First Receipt Days]]-Tableau119[[#This Row],[Day Customer Order]]+1</f>
        <v>#N/A</v>
      </c>
      <c r="AX469" s="119" t="e">
        <f>IF(Tableau119[[#This Row],[Name ILN]]&lt;&gt;"SFK Freight Forwarder",Tableau119[[#This Row],[Cust. Leadtime]],Tableau119[[#This Row],[Leadtime SI2C]])</f>
        <v>#N/A</v>
      </c>
      <c r="AY469" s="51" t="b">
        <f>_xlfn.XLOOKUP(Tableau119[[#This Row],[Key(ID-date)]],'DATA BTO'!S:S,'DATA BTO'!P:P,FALSE)</f>
        <v>0</v>
      </c>
      <c r="AZ469" s="338">
        <v>46142</v>
      </c>
      <c r="BA469" s="50"/>
    </row>
    <row r="470" spans="2:53">
      <c r="B470" s="66" t="str">
        <f>_xlfn.CONCAT(Tableau119[[#This Row],[Name ILN]],"-",Tableau119[[#This Row],[Name Shipper]],"-",Tableau119[[#This Row],[Name Site]])</f>
        <v>ILN Curitiba-ILN Curitiba-CACIA</v>
      </c>
      <c r="C470" s="66" t="str">
        <f>_xlfn.CONCAT(Tableau119[[#This Row],[Compte ILN]],"-",Tableau119[[#This Row],[Compte Shipper]],"-",Tableau119[[#This Row],[POL]],"-",Tableau119[[#This Row],[Compte Consignee]])</f>
        <v>95207-95207-FALSO-90016500</v>
      </c>
      <c r="D470" s="66" t="str">
        <f>_xlfn.CONCAT(Tableau119[[#This Row],[Compte ILN]],"-",Tableau119[[#This Row],[Compte Shipper]],"-",Tableau119[[#This Row],[POL]])</f>
        <v>95207-95207-FALSO</v>
      </c>
      <c r="E470" s="130" t="str">
        <f>_xlfn.CONCAT(Tableau119[[#This Row],[POL]],"-",Tableau119[[#This Row],[Carrier]],"-",Tableau119[[#This Row],[POD]])</f>
        <v>FALSO-FALSO-FALSO</v>
      </c>
      <c r="F470" s="66" t="str">
        <f>_xlfn.CONCAT(Tableau119[[#This Row],[ID]],"-","Actif")</f>
        <v>163-Actif</v>
      </c>
      <c r="G470" s="66" t="str">
        <f>_xlfn.CONCAT(Tableau119[[#This Row],[POD]],"-",Tableau119[[#This Row],[Code PFI]],"-",Tableau119[[#This Row],[Compte Consignee]])</f>
        <v>FALSO-90016600-90016500</v>
      </c>
      <c r="H4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CuritibaFALSOCACIA</v>
      </c>
      <c r="I470" s="434" t="str">
        <f>_xlfn.CONCAT(Tableau119[[#This Row],[ID]],"-",Tableau119[[#This Row],[Expiration Date]])</f>
        <v>163-46142</v>
      </c>
      <c r="J4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Curitiba-ILN Curitiba-163-FALSO-FALSO-FALSO-PFI FR-46142</v>
      </c>
      <c r="K470" s="119" t="str">
        <f ca="1">IF(COUNTIF(J:J,Tableau119[[#This Row],[Plant-ILN-shipper-POL-Carrier-POD-PFI]])=1,"Non","Oui")</f>
        <v>Non</v>
      </c>
      <c r="L470" s="440" t="str">
        <f>VLOOKUP(Tableau119[[#This Row],[Name Site]],Plant_AILN!A:D,4,FALSE)</f>
        <v>PORTUGAL</v>
      </c>
      <c r="M470" s="483" t="s">
        <v>170</v>
      </c>
      <c r="N470" s="455">
        <f>VLOOKUP(Tableau119[[#This Row],[Name Site]],Plant_AILN!A:C,3,FALSE)</f>
        <v>90016500</v>
      </c>
      <c r="O470" s="104">
        <f>IF(Tableau119[[#This Row],[Name PFI/CDD]]="PFI VLL",2,VLOOKUP(Tableau119[[#This Row],[Compte Consignee]],Order!C:D,2,FALSE))</f>
        <v>5</v>
      </c>
      <c r="P470" s="126" t="s">
        <v>163</v>
      </c>
      <c r="Q470" s="366">
        <f>VLOOKUP(Tableau119[[#This Row],[Name ILN]],Plant_AILN!F:G,2,FALSE)</f>
        <v>95207</v>
      </c>
      <c r="R470" s="81">
        <f>VLOOKUP(Tableau119[[#This Row],[Compte ILN]],'DATA ILN'!D:I,6,FALSE)</f>
        <v>9</v>
      </c>
      <c r="S470" s="81" t="e">
        <f>IFERROR(VLOOKUP(Tableau119[[#This Row],[Key(Compte ILN - shipper - POL - plant)]],'DATA ILN'!A:J,10,FALSE),VLOOKUP(Tableau119[[#This Row],[Key(Compte ILN - shipper - POL)]],'DATA ILN'!B:J,9,FALSE))</f>
        <v>#N/A</v>
      </c>
      <c r="T470" s="81" t="e">
        <f>IFERROR(VLOOKUP(Tableau119[[#This Row],[Key(Compte ILN - shipper - POL - plant)]],'DATA ILN'!A:K,11,FALSE),VLOOKUP(Tableau119[[#This Row],[Key(Compte ILN - shipper - POL)]],'DATA ILN'!B:K,10,FALSE))</f>
        <v>#N/A</v>
      </c>
      <c r="U470" s="81" t="e">
        <f>IFERROR(VLOOKUP(Tableau119[[#This Row],[Key(Compte ILN - shipper - POL - plant)]],'DATA ILN'!A:L,12,FALSE),VLOOKUP(Tableau119[[#This Row],[Key(Compte ILN - shipper - POL)]],'DATA ILN'!B:L,11,FALSE))</f>
        <v>#N/A</v>
      </c>
      <c r="V470" s="81" t="e">
        <f>Tableau119[[#This Row],[Day ILN Order]]+Tableau119[[#This Row],[Delivery time to ILN/Shipper]]-1</f>
        <v>#N/A</v>
      </c>
      <c r="W470" s="81" t="e">
        <f>IFERROR(VLOOKUP(Tableau119[[#This Row],[Key(Compte ILN - shipper - POL - plant)]],'DATA ILN'!A:N,14,FALSE),VLOOKUP(Tableau119[[#This Row],[Key(Compte ILN - shipper - POL)]],'DATA ILN'!B:N,13,FALSE))</f>
        <v>#N/A</v>
      </c>
      <c r="X470" s="81" t="e">
        <f>IFERROR(VLOOKUP(Tableau119[[#This Row],[Key(Compte ILN - shipper - POL - plant)]],'DATA ILN'!A:P,16,FALSE),VLOOKUP(Tableau119[[#This Row],[Key(Compte ILN - shipper - POL)]],'DATA ILN'!B:P,15,FALSE))</f>
        <v>#N/A</v>
      </c>
      <c r="Y470" s="102" t="s">
        <v>163</v>
      </c>
      <c r="Z470" s="417">
        <f>IFERROR(VLOOKUP(Tableau119[[#This Row],[Name Shipper]],Plant_AILN!L:M,2,FALSE),0)</f>
        <v>95207</v>
      </c>
      <c r="AA470" s="416">
        <v>163</v>
      </c>
      <c r="AB470" s="396" t="b">
        <f>_xlfn.XLOOKUP(Tableau119[[#This Row],[Key(ID-date)]],'DATA BTO'!S:S,'DATA BTO'!E:E,FALSE)</f>
        <v>0</v>
      </c>
      <c r="AC470" s="3" t="b">
        <f>_xlfn.XLOOKUP(Tableau119[[#This Row],[Key(ID-date)]],'DATA BTO'!S:S,'DATA BTO'!F:F,FALSE)</f>
        <v>0</v>
      </c>
      <c r="AD470" s="50" t="b">
        <f>_xlfn.XLOOKUP(Tableau119[[#This Row],[Key(ID-date)]],'DATA BTO'!S:S,'DATA BTO'!G:G,FALSE)</f>
        <v>0</v>
      </c>
      <c r="AE470" s="50" t="b">
        <f>_xlfn.XLOOKUP(Tableau119[[#This Row],[Key(ID-date)]],'DATA BTO'!S:S,'DATA BTO'!H:H,FALSE)</f>
        <v>0</v>
      </c>
      <c r="AF470" s="447" t="e">
        <f>IF(Tableau119[[#This Row],[First Day to POL]]&lt;=Tableau119[[#This Row],[Day Cut Off]],Tableau119[[#This Row],[Day ETD]],Tableau119[[#This Row],[Day ETD]]+7)</f>
        <v>#N/A</v>
      </c>
      <c r="AG470" s="50" t="b">
        <f>_xlfn.XLOOKUP(Tableau119[[#This Row],[Key(ID-date)]],'DATA BTO'!S:S,'DATA BTO'!I:I,FALSE)</f>
        <v>0</v>
      </c>
      <c r="AH470" s="3" t="b">
        <f>_xlfn.XLOOKUP(Tableau119[[#This Row],[Key(ID-date)]],'DATA BTO'!S:S,'DATA BTO'!J:J,FALSE)</f>
        <v>0</v>
      </c>
      <c r="AI470" s="3" t="b">
        <f>_xlfn.XLOOKUP(Tableau119[[#This Row],[Key(ID-date)]],'DATA BTO'!S:S,'DATA BTO'!K:K,FALSE)</f>
        <v>0</v>
      </c>
      <c r="AJ470" s="50" t="b">
        <f>_xlfn.XLOOKUP(Tableau119[[#This Row],[Key(ID-date)]],'DATA BTO'!S:S,'DATA BTO'!L:L,FALSE)</f>
        <v>0</v>
      </c>
      <c r="AK470" s="53" t="b">
        <f>_xlfn.XLOOKUP(Tableau119[[#This Row],[Key(ID-date)]],'DATA BTO'!S:S,'DATA BTO'!N:N,FALSE)</f>
        <v>0</v>
      </c>
      <c r="AL470" s="54" t="e">
        <f>VLOOKUP(Tableau119[[#This Row],[Key(POD -PFI- Usine)]],'DATA Consignee'!A:F,6,FALSE)</f>
        <v>#N/A</v>
      </c>
      <c r="AM470" s="102" t="s">
        <v>270</v>
      </c>
      <c r="AN470" s="375">
        <f>IF(Tableau119[[#This Row],[Name PFI/CDD]]="","-",VLOOKUP(Tableau119[[#This Row],[Name PFI/CDD]],Plant_AILN!I:J,2,FALSE))</f>
        <v>90016600</v>
      </c>
      <c r="AO47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0" s="110" t="e">
        <f>VLOOKUP(Tableau119[[#This Row],[Key(POD -PFI- Usine)]],'DATA Consignee'!A:J,10,FALSE)</f>
        <v>#N/A</v>
      </c>
      <c r="AR470" s="81" t="e">
        <f>VLOOKUP(Tableau119[[#This Row],[Key(POD -PFI- Usine)]],'DATA Consignee'!A:N,14,FALSE)</f>
        <v>#N/A</v>
      </c>
      <c r="AS47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0" s="81">
        <f>Tableau119[[#This Row],[Transit time]]+Tableau119[[#This Row],[Time for security]]+Tableau119[[#This Row],[Time for security2 buffer]]</f>
        <v>0</v>
      </c>
      <c r="AV4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0" s="50" t="e">
        <f>Tableau119[[#This Row],[Leadtime SI2C]]+Tableau119[[#This Row],[First Receipt Days]]-Tableau119[[#This Row],[Day Customer Order]]+1</f>
        <v>#N/A</v>
      </c>
      <c r="AX470" s="119" t="e">
        <f>IF(Tableau119[[#This Row],[Name ILN]]&lt;&gt;"SFK Freight Forwarder",Tableau119[[#This Row],[Cust. Leadtime]],Tableau119[[#This Row],[Leadtime SI2C]])</f>
        <v>#N/A</v>
      </c>
      <c r="AY470" s="51" t="b">
        <f>_xlfn.XLOOKUP(Tableau119[[#This Row],[Key(ID-date)]],'DATA BTO'!S:S,'DATA BTO'!P:P,FALSE)</f>
        <v>0</v>
      </c>
      <c r="AZ470" s="388">
        <v>46142</v>
      </c>
      <c r="BA470" s="81"/>
    </row>
    <row r="471" spans="2:53">
      <c r="B471" s="66" t="str">
        <f>_xlfn.CONCAT(Tableau119[[#This Row],[Name ILN]],"-",Tableau119[[#This Row],[Name Shipper]],"-",Tableau119[[#This Row],[Name Site]])</f>
        <v>ILN Curitiba-ILN Curitiba-CLEON</v>
      </c>
      <c r="C471" s="66" t="str">
        <f>_xlfn.CONCAT(Tableau119[[#This Row],[Compte ILN]],"-",Tableau119[[#This Row],[Compte Shipper]],"-",Tableau119[[#This Row],[POL]],"-",Tableau119[[#This Row],[Compte Consignee]])</f>
        <v>95207-95207-FALSO-92000100</v>
      </c>
      <c r="D471" s="66" t="str">
        <f>_xlfn.CONCAT(Tableau119[[#This Row],[Compte ILN]],"-",Tableau119[[#This Row],[Compte Shipper]],"-",Tableau119[[#This Row],[POL]])</f>
        <v>95207-95207-FALSO</v>
      </c>
      <c r="E471" s="130" t="str">
        <f>_xlfn.CONCAT(Tableau119[[#This Row],[POL]],"-",Tableau119[[#This Row],[Carrier]],"-",Tableau119[[#This Row],[POD]])</f>
        <v>FALSO-FALSO-FALSO</v>
      </c>
      <c r="F471" s="66" t="str">
        <f>_xlfn.CONCAT(Tableau119[[#This Row],[ID]],"-","Actif")</f>
        <v>163-Actif</v>
      </c>
      <c r="G471" s="66" t="str">
        <f>_xlfn.CONCAT(Tableau119[[#This Row],[POD]],"-",Tableau119[[#This Row],[Code PFI]],"-",Tableau119[[#This Row],[Compte Consignee]])</f>
        <v>FALSO-90016600-92000100</v>
      </c>
      <c r="H4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CuritibaFALSOCLEON</v>
      </c>
      <c r="I471" s="434" t="str">
        <f>_xlfn.CONCAT(Tableau119[[#This Row],[ID]],"-",Tableau119[[#This Row],[Expiration Date]])</f>
        <v>163-46142</v>
      </c>
      <c r="J4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Curitiba-ILN Curitiba-163-FALSO-FALSO-FALSO-CDD FR-46142</v>
      </c>
      <c r="K471" s="119" t="str">
        <f ca="1">IF(COUNTIF(J:J,Tableau119[[#This Row],[Plant-ILN-shipper-POL-Carrier-POD-PFI]])=1,"Non","Oui")</f>
        <v>Non</v>
      </c>
      <c r="L471" s="440" t="str">
        <f>VLOOKUP(Tableau119[[#This Row],[Name Site]],Plant_AILN!A:D,4,FALSE)</f>
        <v>FRANCE</v>
      </c>
      <c r="M471" s="10" t="s">
        <v>183</v>
      </c>
      <c r="N471" s="454">
        <f>VLOOKUP(Tableau119[[#This Row],[Name Site]],Plant_AILN!A:C,3,FALSE)</f>
        <v>92000100</v>
      </c>
      <c r="O471" s="55">
        <f>IF(Tableau119[[#This Row],[Name PFI/CDD]]="PFI VLL",2,VLOOKUP(Tableau119[[#This Row],[Compte Consignee]],Order!C:D,2,FALSE))</f>
        <v>7</v>
      </c>
      <c r="P471" s="124" t="s">
        <v>163</v>
      </c>
      <c r="Q471" s="365">
        <f>VLOOKUP(Tableau119[[#This Row],[Name ILN]],Plant_AILN!F:G,2,FALSE)</f>
        <v>95207</v>
      </c>
      <c r="R471" s="50">
        <f>VLOOKUP(Tableau119[[#This Row],[Compte ILN]],'DATA ILN'!D:I,6,FALSE)</f>
        <v>9</v>
      </c>
      <c r="S471" s="50" t="e">
        <f>IFERROR(VLOOKUP(Tableau119[[#This Row],[Key(Compte ILN - shipper - POL - plant)]],'DATA ILN'!A:J,10,FALSE),VLOOKUP(Tableau119[[#This Row],[Key(Compte ILN - shipper - POL)]],'DATA ILN'!B:J,9,FALSE))</f>
        <v>#N/A</v>
      </c>
      <c r="T471" s="50" t="e">
        <f>IFERROR(VLOOKUP(Tableau119[[#This Row],[Key(Compte ILN - shipper - POL - plant)]],'DATA ILN'!A:K,11,FALSE),VLOOKUP(Tableau119[[#This Row],[Key(Compte ILN - shipper - POL)]],'DATA ILN'!B:K,10,FALSE))</f>
        <v>#N/A</v>
      </c>
      <c r="U471" s="50" t="e">
        <f>IFERROR(VLOOKUP(Tableau119[[#This Row],[Key(Compte ILN - shipper - POL - plant)]],'DATA ILN'!A:L,12,FALSE),VLOOKUP(Tableau119[[#This Row],[Key(Compte ILN - shipper - POL)]],'DATA ILN'!B:L,11,FALSE))</f>
        <v>#N/A</v>
      </c>
      <c r="V471" s="50" t="e">
        <f>Tableau119[[#This Row],[Day ILN Order]]+Tableau119[[#This Row],[Delivery time to ILN/Shipper]]-1</f>
        <v>#N/A</v>
      </c>
      <c r="W471" s="50" t="e">
        <f>IFERROR(VLOOKUP(Tableau119[[#This Row],[Key(Compte ILN - shipper - POL - plant)]],'DATA ILN'!A:N,14,FALSE),VLOOKUP(Tableau119[[#This Row],[Key(Compte ILN - shipper - POL)]],'DATA ILN'!B:N,13,FALSE))</f>
        <v>#N/A</v>
      </c>
      <c r="X471" s="50" t="e">
        <f>IFERROR(VLOOKUP(Tableau119[[#This Row],[Key(Compte ILN - shipper - POL - plant)]],'DATA ILN'!A:P,16,FALSE),VLOOKUP(Tableau119[[#This Row],[Key(Compte ILN - shipper - POL)]],'DATA ILN'!B:P,15,FALSE))</f>
        <v>#N/A</v>
      </c>
      <c r="Y471" s="284" t="s">
        <v>163</v>
      </c>
      <c r="Z471" s="430">
        <f>IFERROR(VLOOKUP(Tableau119[[#This Row],[Name Shipper]],Plant_AILN!L:M,2,FALSE),0)</f>
        <v>95207</v>
      </c>
      <c r="AA471" s="406">
        <v>163</v>
      </c>
      <c r="AB471" s="396" t="b">
        <f>_xlfn.XLOOKUP(Tableau119[[#This Row],[Key(ID-date)]],'DATA BTO'!S:S,'DATA BTO'!E:E,FALSE)</f>
        <v>0</v>
      </c>
      <c r="AC471" s="3" t="b">
        <f>_xlfn.XLOOKUP(Tableau119[[#This Row],[Key(ID-date)]],'DATA BTO'!S:S,'DATA BTO'!F:F,FALSE)</f>
        <v>0</v>
      </c>
      <c r="AD471" s="50" t="b">
        <f>_xlfn.XLOOKUP(Tableau119[[#This Row],[Key(ID-date)]],'DATA BTO'!S:S,'DATA BTO'!G:G,FALSE)</f>
        <v>0</v>
      </c>
      <c r="AE471" s="50" t="b">
        <f>_xlfn.XLOOKUP(Tableau119[[#This Row],[Key(ID-date)]],'DATA BTO'!S:S,'DATA BTO'!H:H,FALSE)</f>
        <v>0</v>
      </c>
      <c r="AF471" s="447" t="e">
        <f>IF(Tableau119[[#This Row],[First Day to POL]]&lt;=Tableau119[[#This Row],[Day Cut Off]],Tableau119[[#This Row],[Day ETD]],Tableau119[[#This Row],[Day ETD]]+7)</f>
        <v>#N/A</v>
      </c>
      <c r="AG471" s="50" t="b">
        <f>_xlfn.XLOOKUP(Tableau119[[#This Row],[Key(ID-date)]],'DATA BTO'!S:S,'DATA BTO'!I:I,FALSE)</f>
        <v>0</v>
      </c>
      <c r="AH471" s="3" t="b">
        <f>_xlfn.XLOOKUP(Tableau119[[#This Row],[Key(ID-date)]],'DATA BTO'!S:S,'DATA BTO'!J:J,FALSE)</f>
        <v>0</v>
      </c>
      <c r="AI471" s="3" t="b">
        <f>_xlfn.XLOOKUP(Tableau119[[#This Row],[Key(ID-date)]],'DATA BTO'!S:S,'DATA BTO'!K:K,FALSE)</f>
        <v>0</v>
      </c>
      <c r="AJ471" s="50" t="b">
        <f>_xlfn.XLOOKUP(Tableau119[[#This Row],[Key(ID-date)]],'DATA BTO'!S:S,'DATA BTO'!L:L,FALSE)</f>
        <v>0</v>
      </c>
      <c r="AK471" s="53" t="b">
        <f>_xlfn.XLOOKUP(Tableau119[[#This Row],[Key(ID-date)]],'DATA BTO'!S:S,'DATA BTO'!N:N,FALSE)</f>
        <v>0</v>
      </c>
      <c r="AL471" s="54" t="e">
        <f>VLOOKUP(Tableau119[[#This Row],[Key(POD -PFI- Usine)]],'DATA Consignee'!A:F,6,FALSE)</f>
        <v>#N/A</v>
      </c>
      <c r="AM471" s="284" t="s">
        <v>155</v>
      </c>
      <c r="AN471" s="376">
        <f>IF(Tableau119[[#This Row],[Name PFI/CDD]]="","-",VLOOKUP(Tableau119[[#This Row],[Name PFI/CDD]],Plant_AILN!I:J,2,FALSE))</f>
        <v>90016600</v>
      </c>
      <c r="AO4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1" s="2" t="e">
        <f>VLOOKUP(Tableau119[[#This Row],[Key(POD -PFI- Usine)]],'DATA Consignee'!A:J,10,FALSE)</f>
        <v>#N/A</v>
      </c>
      <c r="AR471" s="50" t="e">
        <f>VLOOKUP(Tableau119[[#This Row],[Key(POD -PFI- Usine)]],'DATA Consignee'!A:N,14,FALSE)</f>
        <v>#N/A</v>
      </c>
      <c r="AS4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1" s="50">
        <f>Tableau119[[#This Row],[Transit time]]+Tableau119[[#This Row],[Time for security]]+Tableau119[[#This Row],[Time for security2 buffer]]</f>
        <v>0</v>
      </c>
      <c r="AV4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1" s="50" t="e">
        <f>Tableau119[[#This Row],[Leadtime SI2C]]+Tableau119[[#This Row],[First Receipt Days]]-Tableau119[[#This Row],[Day Customer Order]]+1</f>
        <v>#N/A</v>
      </c>
      <c r="AX471" s="119" t="e">
        <f>IF(Tableau119[[#This Row],[Name ILN]]&lt;&gt;"SFK Freight Forwarder",Tableau119[[#This Row],[Cust. Leadtime]],Tableau119[[#This Row],[Leadtime SI2C]])</f>
        <v>#N/A</v>
      </c>
      <c r="AY471" s="51" t="b">
        <f>_xlfn.XLOOKUP(Tableau119[[#This Row],[Key(ID-date)]],'DATA BTO'!S:S,'DATA BTO'!P:P,FALSE)</f>
        <v>0</v>
      </c>
      <c r="AZ471" s="338">
        <v>46142</v>
      </c>
      <c r="BA471" s="50"/>
    </row>
    <row r="472" spans="2:53">
      <c r="B472" s="66" t="str">
        <f>_xlfn.CONCAT(Tableau119[[#This Row],[Name ILN]],"-",Tableau119[[#This Row],[Name Shipper]],"-",Tableau119[[#This Row],[Name Site]])</f>
        <v>ILN Curitiba-ILN Curitiba-DOUAI</v>
      </c>
      <c r="C472" s="66" t="str">
        <f>_xlfn.CONCAT(Tableau119[[#This Row],[Compte ILN]],"-",Tableau119[[#This Row],[Compte Shipper]],"-",Tableau119[[#This Row],[POL]],"-",Tableau119[[#This Row],[Compte Consignee]])</f>
        <v>95207-95207-FALSO-90019100</v>
      </c>
      <c r="D472" s="66" t="str">
        <f>_xlfn.CONCAT(Tableau119[[#This Row],[Compte ILN]],"-",Tableau119[[#This Row],[Compte Shipper]],"-",Tableau119[[#This Row],[POL]])</f>
        <v>95207-95207-FALSO</v>
      </c>
      <c r="E472" s="130" t="str">
        <f>_xlfn.CONCAT(Tableau119[[#This Row],[POL]],"-",Tableau119[[#This Row],[Carrier]],"-",Tableau119[[#This Row],[POD]])</f>
        <v>FALSO-FALSO-FALSO</v>
      </c>
      <c r="F472" s="66" t="str">
        <f>_xlfn.CONCAT(Tableau119[[#This Row],[ID]],"-","Actif")</f>
        <v>163-Actif</v>
      </c>
      <c r="G472" s="66" t="str">
        <f>_xlfn.CONCAT(Tableau119[[#This Row],[POD]],"-",Tableau119[[#This Row],[Code PFI]],"-",Tableau119[[#This Row],[Compte Consignee]])</f>
        <v>FALSO-90016600-90019100</v>
      </c>
      <c r="H4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CuritibaFALSODOUAI</v>
      </c>
      <c r="I472" s="434" t="str">
        <f>_xlfn.CONCAT(Tableau119[[#This Row],[ID]],"-",Tableau119[[#This Row],[Expiration Date]])</f>
        <v>163-46142</v>
      </c>
      <c r="J4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Curitiba-ILN Curitiba-163-FALSO-FALSO-FALSO-CDD FR-46142</v>
      </c>
      <c r="K472" s="119" t="str">
        <f ca="1">IF(COUNTIF(J:J,Tableau119[[#This Row],[Plant-ILN-shipper-POL-Carrier-POD-PFI]])=1,"Non","Oui")</f>
        <v>Non</v>
      </c>
      <c r="L472" s="440" t="str">
        <f>VLOOKUP(Tableau119[[#This Row],[Name Site]],Plant_AILN!A:D,4,FALSE)</f>
        <v>FRANCE</v>
      </c>
      <c r="M472" s="10" t="s">
        <v>188</v>
      </c>
      <c r="N472" s="454">
        <f>VLOOKUP(Tableau119[[#This Row],[Name Site]],Plant_AILN!A:C,3,FALSE)</f>
        <v>90019100</v>
      </c>
      <c r="O472" s="55">
        <f>IF(Tableau119[[#This Row],[Name PFI/CDD]]="PFI VLL",2,VLOOKUP(Tableau119[[#This Row],[Compte Consignee]],Order!C:D,2,FALSE))</f>
        <v>7</v>
      </c>
      <c r="P472" s="124" t="s">
        <v>163</v>
      </c>
      <c r="Q472" s="365">
        <f>VLOOKUP(Tableau119[[#This Row],[Name ILN]],Plant_AILN!F:G,2,FALSE)</f>
        <v>95207</v>
      </c>
      <c r="R472" s="50">
        <f>VLOOKUP(Tableau119[[#This Row],[Compte ILN]],'DATA ILN'!D:I,6,FALSE)</f>
        <v>9</v>
      </c>
      <c r="S472" s="50" t="e">
        <f>IFERROR(VLOOKUP(Tableau119[[#This Row],[Key(Compte ILN - shipper - POL - plant)]],'DATA ILN'!A:J,10,FALSE),VLOOKUP(Tableau119[[#This Row],[Key(Compte ILN - shipper - POL)]],'DATA ILN'!B:J,9,FALSE))</f>
        <v>#N/A</v>
      </c>
      <c r="T472" s="50" t="e">
        <f>IFERROR(VLOOKUP(Tableau119[[#This Row],[Key(Compte ILN - shipper - POL - plant)]],'DATA ILN'!A:K,11,FALSE),VLOOKUP(Tableau119[[#This Row],[Key(Compte ILN - shipper - POL)]],'DATA ILN'!B:K,10,FALSE))</f>
        <v>#N/A</v>
      </c>
      <c r="U472" s="50" t="e">
        <f>IFERROR(VLOOKUP(Tableau119[[#This Row],[Key(Compte ILN - shipper - POL - plant)]],'DATA ILN'!A:L,12,FALSE),VLOOKUP(Tableau119[[#This Row],[Key(Compte ILN - shipper - POL)]],'DATA ILN'!B:L,11,FALSE))</f>
        <v>#N/A</v>
      </c>
      <c r="V472" s="50" t="e">
        <f>Tableau119[[#This Row],[Day ILN Order]]+Tableau119[[#This Row],[Delivery time to ILN/Shipper]]-1</f>
        <v>#N/A</v>
      </c>
      <c r="W472" s="50" t="e">
        <f>IFERROR(VLOOKUP(Tableau119[[#This Row],[Key(Compte ILN - shipper - POL - plant)]],'DATA ILN'!A:N,14,FALSE),VLOOKUP(Tableau119[[#This Row],[Key(Compte ILN - shipper - POL)]],'DATA ILN'!B:N,13,FALSE))</f>
        <v>#N/A</v>
      </c>
      <c r="X472" s="50" t="e">
        <f>IFERROR(VLOOKUP(Tableau119[[#This Row],[Key(Compte ILN - shipper - POL - plant)]],'DATA ILN'!A:P,16,FALSE),VLOOKUP(Tableau119[[#This Row],[Key(Compte ILN - shipper - POL)]],'DATA ILN'!B:P,15,FALSE))</f>
        <v>#N/A</v>
      </c>
      <c r="Y472" s="284" t="s">
        <v>163</v>
      </c>
      <c r="Z472" s="430">
        <f>IFERROR(VLOOKUP(Tableau119[[#This Row],[Name Shipper]],Plant_AILN!L:M,2,FALSE),0)</f>
        <v>95207</v>
      </c>
      <c r="AA472" s="406">
        <v>163</v>
      </c>
      <c r="AB472" s="396" t="b">
        <f>_xlfn.XLOOKUP(Tableau119[[#This Row],[Key(ID-date)]],'DATA BTO'!S:S,'DATA BTO'!E:E,FALSE)</f>
        <v>0</v>
      </c>
      <c r="AC472" s="3" t="b">
        <f>_xlfn.XLOOKUP(Tableau119[[#This Row],[Key(ID-date)]],'DATA BTO'!S:S,'DATA BTO'!F:F,FALSE)</f>
        <v>0</v>
      </c>
      <c r="AD472" s="50" t="b">
        <f>_xlfn.XLOOKUP(Tableau119[[#This Row],[Key(ID-date)]],'DATA BTO'!S:S,'DATA BTO'!G:G,FALSE)</f>
        <v>0</v>
      </c>
      <c r="AE472" s="50" t="b">
        <f>_xlfn.XLOOKUP(Tableau119[[#This Row],[Key(ID-date)]],'DATA BTO'!S:S,'DATA BTO'!H:H,FALSE)</f>
        <v>0</v>
      </c>
      <c r="AF472" s="447" t="e">
        <f>IF(Tableau119[[#This Row],[First Day to POL]]&lt;=Tableau119[[#This Row],[Day Cut Off]],Tableau119[[#This Row],[Day ETD]],Tableau119[[#This Row],[Day ETD]]+7)</f>
        <v>#N/A</v>
      </c>
      <c r="AG472" s="50" t="b">
        <f>_xlfn.XLOOKUP(Tableau119[[#This Row],[Key(ID-date)]],'DATA BTO'!S:S,'DATA BTO'!I:I,FALSE)</f>
        <v>0</v>
      </c>
      <c r="AH472" s="3" t="b">
        <f>_xlfn.XLOOKUP(Tableau119[[#This Row],[Key(ID-date)]],'DATA BTO'!S:S,'DATA BTO'!J:J,FALSE)</f>
        <v>0</v>
      </c>
      <c r="AI472" s="3" t="b">
        <f>_xlfn.XLOOKUP(Tableau119[[#This Row],[Key(ID-date)]],'DATA BTO'!S:S,'DATA BTO'!K:K,FALSE)</f>
        <v>0</v>
      </c>
      <c r="AJ472" s="50" t="b">
        <f>_xlfn.XLOOKUP(Tableau119[[#This Row],[Key(ID-date)]],'DATA BTO'!S:S,'DATA BTO'!L:L,FALSE)</f>
        <v>0</v>
      </c>
      <c r="AK472" s="53" t="b">
        <f>_xlfn.XLOOKUP(Tableau119[[#This Row],[Key(ID-date)]],'DATA BTO'!S:S,'DATA BTO'!N:N,FALSE)</f>
        <v>0</v>
      </c>
      <c r="AL472" s="54" t="e">
        <f>VLOOKUP(Tableau119[[#This Row],[Key(POD -PFI- Usine)]],'DATA Consignee'!A:F,6,FALSE)</f>
        <v>#N/A</v>
      </c>
      <c r="AM472" s="284" t="s">
        <v>155</v>
      </c>
      <c r="AN472" s="376">
        <f>IF(Tableau119[[#This Row],[Name PFI/CDD]]="","-",VLOOKUP(Tableau119[[#This Row],[Name PFI/CDD]],Plant_AILN!I:J,2,FALSE))</f>
        <v>90016600</v>
      </c>
      <c r="AO4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2" s="2" t="e">
        <f>VLOOKUP(Tableau119[[#This Row],[Key(POD -PFI- Usine)]],'DATA Consignee'!A:J,10,FALSE)</f>
        <v>#N/A</v>
      </c>
      <c r="AR472" s="50" t="e">
        <f>VLOOKUP(Tableau119[[#This Row],[Key(POD -PFI- Usine)]],'DATA Consignee'!A:N,14,FALSE)</f>
        <v>#N/A</v>
      </c>
      <c r="AS4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2" s="50">
        <f>Tableau119[[#This Row],[Transit time]]+Tableau119[[#This Row],[Time for security]]+Tableau119[[#This Row],[Time for security2 buffer]]</f>
        <v>0</v>
      </c>
      <c r="AV4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2" s="50" t="e">
        <f>Tableau119[[#This Row],[Leadtime SI2C]]+Tableau119[[#This Row],[First Receipt Days]]-Tableau119[[#This Row],[Day Customer Order]]+1</f>
        <v>#N/A</v>
      </c>
      <c r="AX472" s="119" t="e">
        <f>IF(Tableau119[[#This Row],[Name ILN]]&lt;&gt;"SFK Freight Forwarder",Tableau119[[#This Row],[Cust. Leadtime]],Tableau119[[#This Row],[Leadtime SI2C]])</f>
        <v>#N/A</v>
      </c>
      <c r="AY472" s="51" t="b">
        <f>_xlfn.XLOOKUP(Tableau119[[#This Row],[Key(ID-date)]],'DATA BTO'!S:S,'DATA BTO'!P:P,FALSE)</f>
        <v>0</v>
      </c>
      <c r="AZ472" s="338">
        <v>46142</v>
      </c>
      <c r="BA472" s="50"/>
    </row>
    <row r="473" spans="2:53">
      <c r="B473" s="66" t="str">
        <f>_xlfn.CONCAT(Tableau119[[#This Row],[Name ILN]],"-",Tableau119[[#This Row],[Name Shipper]],"-",Tableau119[[#This Row],[Name Site]])</f>
        <v>ILN Curitiba-ILN Curitiba-FLINS</v>
      </c>
      <c r="C473" s="66" t="str">
        <f>_xlfn.CONCAT(Tableau119[[#This Row],[Compte ILN]],"-",Tableau119[[#This Row],[Compte Shipper]],"-",Tableau119[[#This Row],[POL]],"-",Tableau119[[#This Row],[Compte Consignee]])</f>
        <v>95207-95207-FALSO-90015100</v>
      </c>
      <c r="D473" s="66" t="str">
        <f>_xlfn.CONCAT(Tableau119[[#This Row],[Compte ILN]],"-",Tableau119[[#This Row],[Compte Shipper]],"-",Tableau119[[#This Row],[POL]])</f>
        <v>95207-95207-FALSO</v>
      </c>
      <c r="E473" s="130" t="str">
        <f>_xlfn.CONCAT(Tableau119[[#This Row],[POL]],"-",Tableau119[[#This Row],[Carrier]],"-",Tableau119[[#This Row],[POD]])</f>
        <v>FALSO-FALSO-FALSO</v>
      </c>
      <c r="F473" s="66" t="str">
        <f>_xlfn.CONCAT(Tableau119[[#This Row],[ID]],"-","Actif")</f>
        <v>163-Actif</v>
      </c>
      <c r="G473" s="66" t="str">
        <f>_xlfn.CONCAT(Tableau119[[#This Row],[POD]],"-",Tableau119[[#This Row],[Code PFI]],"-",Tableau119[[#This Row],[Compte Consignee]])</f>
        <v>FALSO-90016600-90015100</v>
      </c>
      <c r="H4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CuritibaFALSOFLINS</v>
      </c>
      <c r="I473" s="434" t="str">
        <f>_xlfn.CONCAT(Tableau119[[#This Row],[ID]],"-",Tableau119[[#This Row],[Expiration Date]])</f>
        <v>163-46142</v>
      </c>
      <c r="J4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Curitiba-ILN Curitiba-163-FALSO-FALSO-FALSO-PFI FR-46142</v>
      </c>
      <c r="K473" s="119" t="str">
        <f ca="1">IF(COUNTIF(J:J,Tableau119[[#This Row],[Plant-ILN-shipper-POL-Carrier-POD-PFI]])=1,"Non","Oui")</f>
        <v>Non</v>
      </c>
      <c r="L473" s="440" t="str">
        <f>VLOOKUP(Tableau119[[#This Row],[Name Site]],Plant_AILN!A:D,4,FALSE)</f>
        <v>FRANCE</v>
      </c>
      <c r="M473" s="483" t="s">
        <v>209</v>
      </c>
      <c r="N473" s="455">
        <f>VLOOKUP(Tableau119[[#This Row],[Name Site]],Plant_AILN!A:C,3,FALSE)</f>
        <v>90015100</v>
      </c>
      <c r="O473" s="104">
        <f>IF(Tableau119[[#This Row],[Name PFI/CDD]]="PFI VLL",2,VLOOKUP(Tableau119[[#This Row],[Compte Consignee]],Order!C:D,2,FALSE))</f>
        <v>7</v>
      </c>
      <c r="P473" s="126" t="s">
        <v>163</v>
      </c>
      <c r="Q473" s="366">
        <f>VLOOKUP(Tableau119[[#This Row],[Name ILN]],Plant_AILN!F:G,2,FALSE)</f>
        <v>95207</v>
      </c>
      <c r="R473" s="81">
        <f>VLOOKUP(Tableau119[[#This Row],[Compte ILN]],'DATA ILN'!D:I,6,FALSE)</f>
        <v>9</v>
      </c>
      <c r="S473" s="81" t="e">
        <f>IFERROR(VLOOKUP(Tableau119[[#This Row],[Key(Compte ILN - shipper - POL - plant)]],'DATA ILN'!A:J,10,FALSE),VLOOKUP(Tableau119[[#This Row],[Key(Compte ILN - shipper - POL)]],'DATA ILN'!B:J,9,FALSE))</f>
        <v>#N/A</v>
      </c>
      <c r="T473" s="81" t="e">
        <f>IFERROR(VLOOKUP(Tableau119[[#This Row],[Key(Compte ILN - shipper - POL - plant)]],'DATA ILN'!A:K,11,FALSE),VLOOKUP(Tableau119[[#This Row],[Key(Compte ILN - shipper - POL)]],'DATA ILN'!B:K,10,FALSE))</f>
        <v>#N/A</v>
      </c>
      <c r="U473" s="81" t="e">
        <f>IFERROR(VLOOKUP(Tableau119[[#This Row],[Key(Compte ILN - shipper - POL - plant)]],'DATA ILN'!A:L,12,FALSE),VLOOKUP(Tableau119[[#This Row],[Key(Compte ILN - shipper - POL)]],'DATA ILN'!B:L,11,FALSE))</f>
        <v>#N/A</v>
      </c>
      <c r="V473" s="81" t="e">
        <f>Tableau119[[#This Row],[Day ILN Order]]+Tableau119[[#This Row],[Delivery time to ILN/Shipper]]-1</f>
        <v>#N/A</v>
      </c>
      <c r="W473" s="81" t="e">
        <f>IFERROR(VLOOKUP(Tableau119[[#This Row],[Key(Compte ILN - shipper - POL - plant)]],'DATA ILN'!A:N,14,FALSE),VLOOKUP(Tableau119[[#This Row],[Key(Compte ILN - shipper - POL)]],'DATA ILN'!B:N,13,FALSE))</f>
        <v>#N/A</v>
      </c>
      <c r="X473" s="81" t="e">
        <f>IFERROR(VLOOKUP(Tableau119[[#This Row],[Key(Compte ILN - shipper - POL - plant)]],'DATA ILN'!A:P,16,FALSE),VLOOKUP(Tableau119[[#This Row],[Key(Compte ILN - shipper - POL)]],'DATA ILN'!B:P,15,FALSE))</f>
        <v>#N/A</v>
      </c>
      <c r="Y473" s="102" t="s">
        <v>163</v>
      </c>
      <c r="Z473" s="417">
        <f>IFERROR(VLOOKUP(Tableau119[[#This Row],[Name Shipper]],Plant_AILN!L:M,2,FALSE),0)</f>
        <v>95207</v>
      </c>
      <c r="AA473" s="416">
        <v>163</v>
      </c>
      <c r="AB473" s="396" t="b">
        <f>_xlfn.XLOOKUP(Tableau119[[#This Row],[Key(ID-date)]],'DATA BTO'!S:S,'DATA BTO'!E:E,FALSE)</f>
        <v>0</v>
      </c>
      <c r="AC473" s="3" t="b">
        <f>_xlfn.XLOOKUP(Tableau119[[#This Row],[Key(ID-date)]],'DATA BTO'!S:S,'DATA BTO'!F:F,FALSE)</f>
        <v>0</v>
      </c>
      <c r="AD473" s="50" t="b">
        <f>_xlfn.XLOOKUP(Tableau119[[#This Row],[Key(ID-date)]],'DATA BTO'!S:S,'DATA BTO'!G:G,FALSE)</f>
        <v>0</v>
      </c>
      <c r="AE473" s="50" t="b">
        <f>_xlfn.XLOOKUP(Tableau119[[#This Row],[Key(ID-date)]],'DATA BTO'!S:S,'DATA BTO'!H:H,FALSE)</f>
        <v>0</v>
      </c>
      <c r="AF473" s="447" t="e">
        <f>IF(Tableau119[[#This Row],[First Day to POL]]&lt;=Tableau119[[#This Row],[Day Cut Off]],Tableau119[[#This Row],[Day ETD]],Tableau119[[#This Row],[Day ETD]]+7)</f>
        <v>#N/A</v>
      </c>
      <c r="AG473" s="50" t="b">
        <f>_xlfn.XLOOKUP(Tableau119[[#This Row],[Key(ID-date)]],'DATA BTO'!S:S,'DATA BTO'!I:I,FALSE)</f>
        <v>0</v>
      </c>
      <c r="AH473" s="3" t="b">
        <f>_xlfn.XLOOKUP(Tableau119[[#This Row],[Key(ID-date)]],'DATA BTO'!S:S,'DATA BTO'!J:J,FALSE)</f>
        <v>0</v>
      </c>
      <c r="AI473" s="3" t="b">
        <f>_xlfn.XLOOKUP(Tableau119[[#This Row],[Key(ID-date)]],'DATA BTO'!S:S,'DATA BTO'!K:K,FALSE)</f>
        <v>0</v>
      </c>
      <c r="AJ473" s="50" t="b">
        <f>_xlfn.XLOOKUP(Tableau119[[#This Row],[Key(ID-date)]],'DATA BTO'!S:S,'DATA BTO'!L:L,FALSE)</f>
        <v>0</v>
      </c>
      <c r="AK473" s="53" t="b">
        <f>_xlfn.XLOOKUP(Tableau119[[#This Row],[Key(ID-date)]],'DATA BTO'!S:S,'DATA BTO'!N:N,FALSE)</f>
        <v>0</v>
      </c>
      <c r="AL473" s="54" t="e">
        <f>VLOOKUP(Tableau119[[#This Row],[Key(POD -PFI- Usine)]],'DATA Consignee'!A:F,6,FALSE)</f>
        <v>#N/A</v>
      </c>
      <c r="AM473" s="102" t="s">
        <v>270</v>
      </c>
      <c r="AN473" s="375">
        <f>IF(Tableau119[[#This Row],[Name PFI/CDD]]="","-",VLOOKUP(Tableau119[[#This Row],[Name PFI/CDD]],Plant_AILN!I:J,2,FALSE))</f>
        <v>90016600</v>
      </c>
      <c r="AO47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3" s="110" t="e">
        <f>VLOOKUP(Tableau119[[#This Row],[Key(POD -PFI- Usine)]],'DATA Consignee'!A:J,10,FALSE)</f>
        <v>#N/A</v>
      </c>
      <c r="AR473" s="81" t="e">
        <f>VLOOKUP(Tableau119[[#This Row],[Key(POD -PFI- Usine)]],'DATA Consignee'!A:N,14,FALSE)</f>
        <v>#N/A</v>
      </c>
      <c r="AS47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3" s="81">
        <f>Tableau119[[#This Row],[Transit time]]+Tableau119[[#This Row],[Time for security]]+Tableau119[[#This Row],[Time for security2 buffer]]</f>
        <v>0</v>
      </c>
      <c r="AV4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3" s="50" t="e">
        <f>Tableau119[[#This Row],[Leadtime SI2C]]+Tableau119[[#This Row],[First Receipt Days]]-Tableau119[[#This Row],[Day Customer Order]]+1</f>
        <v>#N/A</v>
      </c>
      <c r="AX473" s="119" t="e">
        <f>IF(Tableau119[[#This Row],[Name ILN]]&lt;&gt;"SFK Freight Forwarder",Tableau119[[#This Row],[Cust. Leadtime]],Tableau119[[#This Row],[Leadtime SI2C]])</f>
        <v>#N/A</v>
      </c>
      <c r="AY473" s="51" t="b">
        <f>_xlfn.XLOOKUP(Tableau119[[#This Row],[Key(ID-date)]],'DATA BTO'!S:S,'DATA BTO'!P:P,FALSE)</f>
        <v>0</v>
      </c>
      <c r="AZ473" s="388">
        <v>46142</v>
      </c>
      <c r="BA473" s="81"/>
    </row>
    <row r="474" spans="2:53">
      <c r="B474" s="66" t="str">
        <f>_xlfn.CONCAT(Tableau119[[#This Row],[Name ILN]],"-",Tableau119[[#This Row],[Name Shipper]],"-",Tableau119[[#This Row],[Name Site]])</f>
        <v>ILN Curitiba-ILN Curitiba-MAUBEUGE</v>
      </c>
      <c r="C474" s="66" t="str">
        <f>_xlfn.CONCAT(Tableau119[[#This Row],[Compte ILN]],"-",Tableau119[[#This Row],[Compte Shipper]],"-",Tableau119[[#This Row],[POL]],"-",Tableau119[[#This Row],[Compte Consignee]])</f>
        <v>95207-95207-FALSO-90016200</v>
      </c>
      <c r="D474" s="66" t="str">
        <f>_xlfn.CONCAT(Tableau119[[#This Row],[Compte ILN]],"-",Tableau119[[#This Row],[Compte Shipper]],"-",Tableau119[[#This Row],[POL]])</f>
        <v>95207-95207-FALSO</v>
      </c>
      <c r="E474" s="130" t="str">
        <f>_xlfn.CONCAT(Tableau119[[#This Row],[POL]],"-",Tableau119[[#This Row],[Carrier]],"-",Tableau119[[#This Row],[POD]])</f>
        <v>FALSO-FALSO-FALSO</v>
      </c>
      <c r="F474" s="66" t="str">
        <f>_xlfn.CONCAT(Tableau119[[#This Row],[ID]],"-","Actif")</f>
        <v>163-Actif</v>
      </c>
      <c r="G474" s="66" t="str">
        <f>_xlfn.CONCAT(Tableau119[[#This Row],[POD]],"-",Tableau119[[#This Row],[Code PFI]],"-",Tableau119[[#This Row],[Compte Consignee]])</f>
        <v>FALSO-90016600-90016200</v>
      </c>
      <c r="H4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CuritibaFALSOMAUBEUGE</v>
      </c>
      <c r="I474" s="434" t="str">
        <f>_xlfn.CONCAT(Tableau119[[#This Row],[ID]],"-",Tableau119[[#This Row],[Expiration Date]])</f>
        <v>163-46142</v>
      </c>
      <c r="J4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Curitiba-ILN Curitiba-163-FALSO-FALSO-FALSO-CDD FR-46142</v>
      </c>
      <c r="K474" s="119" t="str">
        <f ca="1">IF(COUNTIF(J:J,Tableau119[[#This Row],[Plant-ILN-shipper-POL-Carrier-POD-PFI]])=1,"Non","Oui")</f>
        <v>Non</v>
      </c>
      <c r="L474" s="440" t="str">
        <f>VLOOKUP(Tableau119[[#This Row],[Name Site]],Plant_AILN!A:D,4,FALSE)</f>
        <v>FRANCE</v>
      </c>
      <c r="M474" s="10" t="s">
        <v>210</v>
      </c>
      <c r="N474" s="454">
        <f>VLOOKUP(Tableau119[[#This Row],[Name Site]],Plant_AILN!A:C,3,FALSE)</f>
        <v>90016200</v>
      </c>
      <c r="O474" s="55">
        <f>IF(Tableau119[[#This Row],[Name PFI/CDD]]="PFI VLL",2,VLOOKUP(Tableau119[[#This Row],[Compte Consignee]],Order!C:D,2,FALSE))</f>
        <v>7</v>
      </c>
      <c r="P474" s="124" t="s">
        <v>163</v>
      </c>
      <c r="Q474" s="365">
        <f>VLOOKUP(Tableau119[[#This Row],[Name ILN]],Plant_AILN!F:G,2,FALSE)</f>
        <v>95207</v>
      </c>
      <c r="R474" s="50">
        <f>VLOOKUP(Tableau119[[#This Row],[Compte ILN]],'DATA ILN'!D:I,6,FALSE)</f>
        <v>9</v>
      </c>
      <c r="S474" s="50" t="e">
        <f>IFERROR(VLOOKUP(Tableau119[[#This Row],[Key(Compte ILN - shipper - POL - plant)]],'DATA ILN'!A:J,10,FALSE),VLOOKUP(Tableau119[[#This Row],[Key(Compte ILN - shipper - POL)]],'DATA ILN'!B:J,9,FALSE))</f>
        <v>#N/A</v>
      </c>
      <c r="T474" s="50" t="e">
        <f>IFERROR(VLOOKUP(Tableau119[[#This Row],[Key(Compte ILN - shipper - POL - plant)]],'DATA ILN'!A:K,11,FALSE),VLOOKUP(Tableau119[[#This Row],[Key(Compte ILN - shipper - POL)]],'DATA ILN'!B:K,10,FALSE))</f>
        <v>#N/A</v>
      </c>
      <c r="U474" s="50" t="e">
        <f>IFERROR(VLOOKUP(Tableau119[[#This Row],[Key(Compte ILN - shipper - POL - plant)]],'DATA ILN'!A:L,12,FALSE),VLOOKUP(Tableau119[[#This Row],[Key(Compte ILN - shipper - POL)]],'DATA ILN'!B:L,11,FALSE))</f>
        <v>#N/A</v>
      </c>
      <c r="V474" s="50" t="e">
        <f>Tableau119[[#This Row],[Day ILN Order]]+Tableau119[[#This Row],[Delivery time to ILN/Shipper]]-1</f>
        <v>#N/A</v>
      </c>
      <c r="W474" s="50" t="e">
        <f>IFERROR(VLOOKUP(Tableau119[[#This Row],[Key(Compte ILN - shipper - POL - plant)]],'DATA ILN'!A:N,14,FALSE),VLOOKUP(Tableau119[[#This Row],[Key(Compte ILN - shipper - POL)]],'DATA ILN'!B:N,13,FALSE))</f>
        <v>#N/A</v>
      </c>
      <c r="X474" s="50" t="e">
        <f>IFERROR(VLOOKUP(Tableau119[[#This Row],[Key(Compte ILN - shipper - POL - plant)]],'DATA ILN'!A:P,16,FALSE),VLOOKUP(Tableau119[[#This Row],[Key(Compte ILN - shipper - POL)]],'DATA ILN'!B:P,15,FALSE))</f>
        <v>#N/A</v>
      </c>
      <c r="Y474" s="284" t="s">
        <v>163</v>
      </c>
      <c r="Z474" s="430">
        <f>IFERROR(VLOOKUP(Tableau119[[#This Row],[Name Shipper]],Plant_AILN!L:M,2,FALSE),0)</f>
        <v>95207</v>
      </c>
      <c r="AA474" s="406">
        <v>163</v>
      </c>
      <c r="AB474" s="396" t="b">
        <f>_xlfn.XLOOKUP(Tableau119[[#This Row],[Key(ID-date)]],'DATA BTO'!S:S,'DATA BTO'!E:E,FALSE)</f>
        <v>0</v>
      </c>
      <c r="AC474" s="3" t="b">
        <f>_xlfn.XLOOKUP(Tableau119[[#This Row],[Key(ID-date)]],'DATA BTO'!S:S,'DATA BTO'!F:F,FALSE)</f>
        <v>0</v>
      </c>
      <c r="AD474" s="50" t="b">
        <f>_xlfn.XLOOKUP(Tableau119[[#This Row],[Key(ID-date)]],'DATA BTO'!S:S,'DATA BTO'!G:G,FALSE)</f>
        <v>0</v>
      </c>
      <c r="AE474" s="50" t="b">
        <f>_xlfn.XLOOKUP(Tableau119[[#This Row],[Key(ID-date)]],'DATA BTO'!S:S,'DATA BTO'!H:H,FALSE)</f>
        <v>0</v>
      </c>
      <c r="AF474" s="447" t="e">
        <f>IF(Tableau119[[#This Row],[First Day to POL]]&lt;=Tableau119[[#This Row],[Day Cut Off]],Tableau119[[#This Row],[Day ETD]],Tableau119[[#This Row],[Day ETD]]+7)</f>
        <v>#N/A</v>
      </c>
      <c r="AG474" s="50" t="b">
        <f>_xlfn.XLOOKUP(Tableau119[[#This Row],[Key(ID-date)]],'DATA BTO'!S:S,'DATA BTO'!I:I,FALSE)</f>
        <v>0</v>
      </c>
      <c r="AH474" s="3" t="b">
        <f>_xlfn.XLOOKUP(Tableau119[[#This Row],[Key(ID-date)]],'DATA BTO'!S:S,'DATA BTO'!J:J,FALSE)</f>
        <v>0</v>
      </c>
      <c r="AI474" s="3" t="b">
        <f>_xlfn.XLOOKUP(Tableau119[[#This Row],[Key(ID-date)]],'DATA BTO'!S:S,'DATA BTO'!K:K,FALSE)</f>
        <v>0</v>
      </c>
      <c r="AJ474" s="50" t="b">
        <f>_xlfn.XLOOKUP(Tableau119[[#This Row],[Key(ID-date)]],'DATA BTO'!S:S,'DATA BTO'!L:L,FALSE)</f>
        <v>0</v>
      </c>
      <c r="AK474" s="53" t="b">
        <f>_xlfn.XLOOKUP(Tableau119[[#This Row],[Key(ID-date)]],'DATA BTO'!S:S,'DATA BTO'!N:N,FALSE)</f>
        <v>0</v>
      </c>
      <c r="AL474" s="54" t="e">
        <f>VLOOKUP(Tableau119[[#This Row],[Key(POD -PFI- Usine)]],'DATA Consignee'!A:F,6,FALSE)</f>
        <v>#N/A</v>
      </c>
      <c r="AM474" s="284" t="s">
        <v>155</v>
      </c>
      <c r="AN474" s="376">
        <f>IF(Tableau119[[#This Row],[Name PFI/CDD]]="","-",VLOOKUP(Tableau119[[#This Row],[Name PFI/CDD]],Plant_AILN!I:J,2,FALSE))</f>
        <v>90016600</v>
      </c>
      <c r="AO4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4" s="2" t="e">
        <f>VLOOKUP(Tableau119[[#This Row],[Key(POD -PFI- Usine)]],'DATA Consignee'!A:J,10,FALSE)</f>
        <v>#N/A</v>
      </c>
      <c r="AR474" s="50" t="e">
        <f>VLOOKUP(Tableau119[[#This Row],[Key(POD -PFI- Usine)]],'DATA Consignee'!A:N,14,FALSE)</f>
        <v>#N/A</v>
      </c>
      <c r="AS4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4" s="50">
        <f>Tableau119[[#This Row],[Transit time]]+Tableau119[[#This Row],[Time for security]]+Tableau119[[#This Row],[Time for security2 buffer]]</f>
        <v>0</v>
      </c>
      <c r="AV4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4" s="50" t="e">
        <f>Tableau119[[#This Row],[Leadtime SI2C]]+Tableau119[[#This Row],[First Receipt Days]]-Tableau119[[#This Row],[Day Customer Order]]+1</f>
        <v>#N/A</v>
      </c>
      <c r="AX474" s="119" t="e">
        <f>IF(Tableau119[[#This Row],[Name ILN]]&lt;&gt;"SFK Freight Forwarder",Tableau119[[#This Row],[Cust. Leadtime]],Tableau119[[#This Row],[Leadtime SI2C]])</f>
        <v>#N/A</v>
      </c>
      <c r="AY474" s="51" t="b">
        <f>_xlfn.XLOOKUP(Tableau119[[#This Row],[Key(ID-date)]],'DATA BTO'!S:S,'DATA BTO'!P:P,FALSE)</f>
        <v>0</v>
      </c>
      <c r="AZ474" s="338">
        <v>46142</v>
      </c>
      <c r="BA474" s="50"/>
    </row>
    <row r="475" spans="2:53">
      <c r="B475" s="66" t="str">
        <f>_xlfn.CONCAT(Tableau119[[#This Row],[Name ILN]],"-",Tableau119[[#This Row],[Name Shipper]],"-",Tableau119[[#This Row],[Name Site]])</f>
        <v>ILN Curitiba-ILN Curitiba-PALENCIA</v>
      </c>
      <c r="C475" s="66" t="str">
        <f>_xlfn.CONCAT(Tableau119[[#This Row],[Compte ILN]],"-",Tableau119[[#This Row],[Compte Shipper]],"-",Tableau119[[#This Row],[POL]],"-",Tableau119[[#This Row],[Compte Consignee]])</f>
        <v>95207-95207-FALSO-91017200</v>
      </c>
      <c r="D475" s="66" t="str">
        <f>_xlfn.CONCAT(Tableau119[[#This Row],[Compte ILN]],"-",Tableau119[[#This Row],[Compte Shipper]],"-",Tableau119[[#This Row],[POL]])</f>
        <v>95207-95207-FALSO</v>
      </c>
      <c r="E475" s="130" t="str">
        <f>_xlfn.CONCAT(Tableau119[[#This Row],[POL]],"-",Tableau119[[#This Row],[Carrier]],"-",Tableau119[[#This Row],[POD]])</f>
        <v>FALSO-FALSO-FALSO</v>
      </c>
      <c r="F475" s="66" t="str">
        <f>_xlfn.CONCAT(Tableau119[[#This Row],[ID]],"-","Actif")</f>
        <v>163-Actif</v>
      </c>
      <c r="G475" s="66" t="str">
        <f>_xlfn.CONCAT(Tableau119[[#This Row],[POD]],"-",Tableau119[[#This Row],[Code PFI]],"-",Tableau119[[#This Row],[Compte Consignee]])</f>
        <v>FALSO-90016600-91017200</v>
      </c>
      <c r="H4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CuritibaFALSOPALENCIA</v>
      </c>
      <c r="I475" s="434" t="str">
        <f>_xlfn.CONCAT(Tableau119[[#This Row],[ID]],"-",Tableau119[[#This Row],[Expiration Date]])</f>
        <v>163-46142</v>
      </c>
      <c r="J4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Curitiba-ILN Curitiba-163-FALSO-FALSO-FALSO-CDD FR-46142</v>
      </c>
      <c r="K475" s="119" t="str">
        <f ca="1">IF(COUNTIF(J:J,Tableau119[[#This Row],[Plant-ILN-shipper-POL-Carrier-POD-PFI]])=1,"Non","Oui")</f>
        <v>Non</v>
      </c>
      <c r="L475" s="440" t="str">
        <f>VLOOKUP(Tableau119[[#This Row],[Name Site]],Plant_AILN!A:D,4,FALSE)</f>
        <v>SPAIN</v>
      </c>
      <c r="M475" s="10" t="s">
        <v>184</v>
      </c>
      <c r="N475" s="454">
        <f>VLOOKUP(Tableau119[[#This Row],[Name Site]],Plant_AILN!A:C,3,FALSE)</f>
        <v>91017200</v>
      </c>
      <c r="O475" s="55">
        <f>IF(Tableau119[[#This Row],[Name PFI/CDD]]="PFI VLL",2,VLOOKUP(Tableau119[[#This Row],[Compte Consignee]],Order!C:D,2,FALSE))</f>
        <v>7</v>
      </c>
      <c r="P475" s="124" t="s">
        <v>163</v>
      </c>
      <c r="Q475" s="365">
        <f>VLOOKUP(Tableau119[[#This Row],[Name ILN]],Plant_AILN!F:G,2,FALSE)</f>
        <v>95207</v>
      </c>
      <c r="R475" s="50">
        <f>VLOOKUP(Tableau119[[#This Row],[Compte ILN]],'DATA ILN'!D:I,6,FALSE)</f>
        <v>9</v>
      </c>
      <c r="S475" s="50" t="e">
        <f>IFERROR(VLOOKUP(Tableau119[[#This Row],[Key(Compte ILN - shipper - POL - plant)]],'DATA ILN'!A:J,10,FALSE),VLOOKUP(Tableau119[[#This Row],[Key(Compte ILN - shipper - POL)]],'DATA ILN'!B:J,9,FALSE))</f>
        <v>#N/A</v>
      </c>
      <c r="T475" s="50" t="e">
        <f>IFERROR(VLOOKUP(Tableau119[[#This Row],[Key(Compte ILN - shipper - POL - plant)]],'DATA ILN'!A:K,11,FALSE),VLOOKUP(Tableau119[[#This Row],[Key(Compte ILN - shipper - POL)]],'DATA ILN'!B:K,10,FALSE))</f>
        <v>#N/A</v>
      </c>
      <c r="U475" s="50" t="e">
        <f>IFERROR(VLOOKUP(Tableau119[[#This Row],[Key(Compte ILN - shipper - POL - plant)]],'DATA ILN'!A:L,12,FALSE),VLOOKUP(Tableau119[[#This Row],[Key(Compte ILN - shipper - POL)]],'DATA ILN'!B:L,11,FALSE))</f>
        <v>#N/A</v>
      </c>
      <c r="V475" s="50" t="e">
        <f>Tableau119[[#This Row],[Day ILN Order]]+Tableau119[[#This Row],[Delivery time to ILN/Shipper]]-1</f>
        <v>#N/A</v>
      </c>
      <c r="W475" s="50" t="e">
        <f>IFERROR(VLOOKUP(Tableau119[[#This Row],[Key(Compte ILN - shipper - POL - plant)]],'DATA ILN'!A:N,14,FALSE),VLOOKUP(Tableau119[[#This Row],[Key(Compte ILN - shipper - POL)]],'DATA ILN'!B:N,13,FALSE))</f>
        <v>#N/A</v>
      </c>
      <c r="X475" s="50" t="e">
        <f>IFERROR(VLOOKUP(Tableau119[[#This Row],[Key(Compte ILN - shipper - POL - plant)]],'DATA ILN'!A:P,16,FALSE),VLOOKUP(Tableau119[[#This Row],[Key(Compte ILN - shipper - POL)]],'DATA ILN'!B:P,15,FALSE))</f>
        <v>#N/A</v>
      </c>
      <c r="Y475" s="284" t="s">
        <v>163</v>
      </c>
      <c r="Z475" s="430">
        <f>IFERROR(VLOOKUP(Tableau119[[#This Row],[Name Shipper]],Plant_AILN!L:M,2,FALSE),0)</f>
        <v>95207</v>
      </c>
      <c r="AA475" s="406">
        <v>163</v>
      </c>
      <c r="AB475" s="396" t="b">
        <f>_xlfn.XLOOKUP(Tableau119[[#This Row],[Key(ID-date)]],'DATA BTO'!S:S,'DATA BTO'!E:E,FALSE)</f>
        <v>0</v>
      </c>
      <c r="AC475" s="3" t="b">
        <f>_xlfn.XLOOKUP(Tableau119[[#This Row],[Key(ID-date)]],'DATA BTO'!S:S,'DATA BTO'!F:F,FALSE)</f>
        <v>0</v>
      </c>
      <c r="AD475" s="50" t="b">
        <f>_xlfn.XLOOKUP(Tableau119[[#This Row],[Key(ID-date)]],'DATA BTO'!S:S,'DATA BTO'!G:G,FALSE)</f>
        <v>0</v>
      </c>
      <c r="AE475" s="50" t="b">
        <f>_xlfn.XLOOKUP(Tableau119[[#This Row],[Key(ID-date)]],'DATA BTO'!S:S,'DATA BTO'!H:H,FALSE)</f>
        <v>0</v>
      </c>
      <c r="AF475" s="447" t="e">
        <f>IF(Tableau119[[#This Row],[First Day to POL]]&lt;=Tableau119[[#This Row],[Day Cut Off]],Tableau119[[#This Row],[Day ETD]],Tableau119[[#This Row],[Day ETD]]+7)</f>
        <v>#N/A</v>
      </c>
      <c r="AG475" s="50" t="b">
        <f>_xlfn.XLOOKUP(Tableau119[[#This Row],[Key(ID-date)]],'DATA BTO'!S:S,'DATA BTO'!I:I,FALSE)</f>
        <v>0</v>
      </c>
      <c r="AH475" s="3" t="b">
        <f>_xlfn.XLOOKUP(Tableau119[[#This Row],[Key(ID-date)]],'DATA BTO'!S:S,'DATA BTO'!J:J,FALSE)</f>
        <v>0</v>
      </c>
      <c r="AI475" s="3" t="b">
        <f>_xlfn.XLOOKUP(Tableau119[[#This Row],[Key(ID-date)]],'DATA BTO'!S:S,'DATA BTO'!K:K,FALSE)</f>
        <v>0</v>
      </c>
      <c r="AJ475" s="50" t="b">
        <f>_xlfn.XLOOKUP(Tableau119[[#This Row],[Key(ID-date)]],'DATA BTO'!S:S,'DATA BTO'!L:L,FALSE)</f>
        <v>0</v>
      </c>
      <c r="AK475" s="53" t="b">
        <f>_xlfn.XLOOKUP(Tableau119[[#This Row],[Key(ID-date)]],'DATA BTO'!S:S,'DATA BTO'!N:N,FALSE)</f>
        <v>0</v>
      </c>
      <c r="AL475" s="54" t="e">
        <f>VLOOKUP(Tableau119[[#This Row],[Key(POD -PFI- Usine)]],'DATA Consignee'!A:F,6,FALSE)</f>
        <v>#N/A</v>
      </c>
      <c r="AM475" s="284" t="s">
        <v>155</v>
      </c>
      <c r="AN475" s="376">
        <f>IF(Tableau119[[#This Row],[Name PFI/CDD]]="","-",VLOOKUP(Tableau119[[#This Row],[Name PFI/CDD]],Plant_AILN!I:J,2,FALSE))</f>
        <v>90016600</v>
      </c>
      <c r="AO4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5" s="2" t="e">
        <f>VLOOKUP(Tableau119[[#This Row],[Key(POD -PFI- Usine)]],'DATA Consignee'!A:J,10,FALSE)</f>
        <v>#N/A</v>
      </c>
      <c r="AR475" s="50" t="e">
        <f>VLOOKUP(Tableau119[[#This Row],[Key(POD -PFI- Usine)]],'DATA Consignee'!A:N,14,FALSE)</f>
        <v>#N/A</v>
      </c>
      <c r="AS4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5" s="50">
        <f>Tableau119[[#This Row],[Transit time]]+Tableau119[[#This Row],[Time for security]]+Tableau119[[#This Row],[Time for security2 buffer]]</f>
        <v>0</v>
      </c>
      <c r="AV4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5" s="50" t="e">
        <f>Tableau119[[#This Row],[Leadtime SI2C]]+Tableau119[[#This Row],[First Receipt Days]]-Tableau119[[#This Row],[Day Customer Order]]+1</f>
        <v>#N/A</v>
      </c>
      <c r="AX475" s="119" t="e">
        <f>IF(Tableau119[[#This Row],[Name ILN]]&lt;&gt;"SFK Freight Forwarder",Tableau119[[#This Row],[Cust. Leadtime]],Tableau119[[#This Row],[Leadtime SI2C]])</f>
        <v>#N/A</v>
      </c>
      <c r="AY475" s="51" t="b">
        <f>_xlfn.XLOOKUP(Tableau119[[#This Row],[Key(ID-date)]],'DATA BTO'!S:S,'DATA BTO'!P:P,FALSE)</f>
        <v>0</v>
      </c>
      <c r="AZ475" s="338">
        <v>46142</v>
      </c>
      <c r="BA475" s="50"/>
    </row>
    <row r="476" spans="2:53">
      <c r="B476" s="66" t="str">
        <f>_xlfn.CONCAT(Tableau119[[#This Row],[Name ILN]],"-",Tableau119[[#This Row],[Name Shipper]],"-",Tableau119[[#This Row],[Name Site]])</f>
        <v>ILN Curitiba-ILN Curitiba-SANDOUVILLE</v>
      </c>
      <c r="C476" s="66" t="str">
        <f>_xlfn.CONCAT(Tableau119[[#This Row],[Compte ILN]],"-",Tableau119[[#This Row],[Compte Shipper]],"-",Tableau119[[#This Row],[POL]],"-",Tableau119[[#This Row],[Compte Consignee]])</f>
        <v>95207-95207-FALSO-90017100</v>
      </c>
      <c r="D476" s="66" t="str">
        <f>_xlfn.CONCAT(Tableau119[[#This Row],[Compte ILN]],"-",Tableau119[[#This Row],[Compte Shipper]],"-",Tableau119[[#This Row],[POL]])</f>
        <v>95207-95207-FALSO</v>
      </c>
      <c r="E476" s="130" t="str">
        <f>_xlfn.CONCAT(Tableau119[[#This Row],[POL]],"-",Tableau119[[#This Row],[Carrier]],"-",Tableau119[[#This Row],[POD]])</f>
        <v>FALSO-FALSO-FALSO</v>
      </c>
      <c r="F476" s="66" t="str">
        <f>_xlfn.CONCAT(Tableau119[[#This Row],[ID]],"-","Actif")</f>
        <v>163-Actif</v>
      </c>
      <c r="G476" s="66" t="str">
        <f>_xlfn.CONCAT(Tableau119[[#This Row],[POD]],"-",Tableau119[[#This Row],[Code PFI]],"-",Tableau119[[#This Row],[Compte Consignee]])</f>
        <v>FALSO-90016600-90017100</v>
      </c>
      <c r="H4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CuritibaFALSOSANDOUVILLE</v>
      </c>
      <c r="I476" s="434" t="str">
        <f>_xlfn.CONCAT(Tableau119[[#This Row],[ID]],"-",Tableau119[[#This Row],[Expiration Date]])</f>
        <v>163-46142</v>
      </c>
      <c r="J4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Curitiba-ILN Curitiba-163-FALSO-FALSO-FALSO-CDD FR-46142</v>
      </c>
      <c r="K476" s="119" t="str">
        <f ca="1">IF(COUNTIF(J:J,Tableau119[[#This Row],[Plant-ILN-shipper-POL-Carrier-POD-PFI]])=1,"Non","Oui")</f>
        <v>Non</v>
      </c>
      <c r="L476" s="440" t="str">
        <f>VLOOKUP(Tableau119[[#This Row],[Name Site]],Plant_AILN!A:D,4,FALSE)</f>
        <v>FRANCE</v>
      </c>
      <c r="M476" s="483" t="s">
        <v>196</v>
      </c>
      <c r="N476" s="455">
        <f>VLOOKUP(Tableau119[[#This Row],[Name Site]],Plant_AILN!A:C,3,FALSE)</f>
        <v>90017100</v>
      </c>
      <c r="O476" s="104">
        <f>IF(Tableau119[[#This Row],[Name PFI/CDD]]="PFI VLL",2,VLOOKUP(Tableau119[[#This Row],[Compte Consignee]],Order!C:D,2,FALSE))</f>
        <v>7</v>
      </c>
      <c r="P476" s="126" t="s">
        <v>163</v>
      </c>
      <c r="Q476" s="366">
        <f>VLOOKUP(Tableau119[[#This Row],[Name ILN]],Plant_AILN!F:G,2,FALSE)</f>
        <v>95207</v>
      </c>
      <c r="R476" s="81">
        <f>VLOOKUP(Tableau119[[#This Row],[Compte ILN]],'DATA ILN'!D:I,6,FALSE)</f>
        <v>9</v>
      </c>
      <c r="S476" s="81" t="e">
        <f>IFERROR(VLOOKUP(Tableau119[[#This Row],[Key(Compte ILN - shipper - POL - plant)]],'DATA ILN'!A:J,10,FALSE),VLOOKUP(Tableau119[[#This Row],[Key(Compte ILN - shipper - POL)]],'DATA ILN'!B:J,9,FALSE))</f>
        <v>#N/A</v>
      </c>
      <c r="T476" s="81" t="e">
        <f>IFERROR(VLOOKUP(Tableau119[[#This Row],[Key(Compte ILN - shipper - POL - plant)]],'DATA ILN'!A:K,11,FALSE),VLOOKUP(Tableau119[[#This Row],[Key(Compte ILN - shipper - POL)]],'DATA ILN'!B:K,10,FALSE))</f>
        <v>#N/A</v>
      </c>
      <c r="U476" s="81" t="e">
        <f>IFERROR(VLOOKUP(Tableau119[[#This Row],[Key(Compte ILN - shipper - POL - plant)]],'DATA ILN'!A:L,12,FALSE),VLOOKUP(Tableau119[[#This Row],[Key(Compte ILN - shipper - POL)]],'DATA ILN'!B:L,11,FALSE))</f>
        <v>#N/A</v>
      </c>
      <c r="V476" s="81" t="e">
        <f>Tableau119[[#This Row],[Day ILN Order]]+Tableau119[[#This Row],[Delivery time to ILN/Shipper]]-1</f>
        <v>#N/A</v>
      </c>
      <c r="W476" s="81" t="e">
        <f>IFERROR(VLOOKUP(Tableau119[[#This Row],[Key(Compte ILN - shipper - POL - plant)]],'DATA ILN'!A:N,14,FALSE),VLOOKUP(Tableau119[[#This Row],[Key(Compte ILN - shipper - POL)]],'DATA ILN'!B:N,13,FALSE))</f>
        <v>#N/A</v>
      </c>
      <c r="X476" s="81" t="e">
        <f>IFERROR(VLOOKUP(Tableau119[[#This Row],[Key(Compte ILN - shipper - POL - plant)]],'DATA ILN'!A:P,16,FALSE),VLOOKUP(Tableau119[[#This Row],[Key(Compte ILN - shipper - POL)]],'DATA ILN'!B:P,15,FALSE))</f>
        <v>#N/A</v>
      </c>
      <c r="Y476" s="102" t="s">
        <v>163</v>
      </c>
      <c r="Z476" s="417">
        <f>IFERROR(VLOOKUP(Tableau119[[#This Row],[Name Shipper]],Plant_AILN!L:M,2,FALSE),0)</f>
        <v>95207</v>
      </c>
      <c r="AA476" s="416">
        <v>163</v>
      </c>
      <c r="AB476" s="396" t="b">
        <f>_xlfn.XLOOKUP(Tableau119[[#This Row],[Key(ID-date)]],'DATA BTO'!S:S,'DATA BTO'!E:E,FALSE)</f>
        <v>0</v>
      </c>
      <c r="AC476" s="3" t="b">
        <f>_xlfn.XLOOKUP(Tableau119[[#This Row],[Key(ID-date)]],'DATA BTO'!S:S,'DATA BTO'!F:F,FALSE)</f>
        <v>0</v>
      </c>
      <c r="AD476" s="50" t="b">
        <f>_xlfn.XLOOKUP(Tableau119[[#This Row],[Key(ID-date)]],'DATA BTO'!S:S,'DATA BTO'!G:G,FALSE)</f>
        <v>0</v>
      </c>
      <c r="AE476" s="50" t="b">
        <f>_xlfn.XLOOKUP(Tableau119[[#This Row],[Key(ID-date)]],'DATA BTO'!S:S,'DATA BTO'!H:H,FALSE)</f>
        <v>0</v>
      </c>
      <c r="AF476" s="447" t="e">
        <f>IF(Tableau119[[#This Row],[First Day to POL]]&lt;=Tableau119[[#This Row],[Day Cut Off]],Tableau119[[#This Row],[Day ETD]],Tableau119[[#This Row],[Day ETD]]+7)</f>
        <v>#N/A</v>
      </c>
      <c r="AG476" s="50" t="b">
        <f>_xlfn.XLOOKUP(Tableau119[[#This Row],[Key(ID-date)]],'DATA BTO'!S:S,'DATA BTO'!I:I,FALSE)</f>
        <v>0</v>
      </c>
      <c r="AH476" s="3" t="b">
        <f>_xlfn.XLOOKUP(Tableau119[[#This Row],[Key(ID-date)]],'DATA BTO'!S:S,'DATA BTO'!J:J,FALSE)</f>
        <v>0</v>
      </c>
      <c r="AI476" s="3" t="b">
        <f>_xlfn.XLOOKUP(Tableau119[[#This Row],[Key(ID-date)]],'DATA BTO'!S:S,'DATA BTO'!K:K,FALSE)</f>
        <v>0</v>
      </c>
      <c r="AJ476" s="50" t="b">
        <f>_xlfn.XLOOKUP(Tableau119[[#This Row],[Key(ID-date)]],'DATA BTO'!S:S,'DATA BTO'!L:L,FALSE)</f>
        <v>0</v>
      </c>
      <c r="AK476" s="53" t="b">
        <f>_xlfn.XLOOKUP(Tableau119[[#This Row],[Key(ID-date)]],'DATA BTO'!S:S,'DATA BTO'!N:N,FALSE)</f>
        <v>0</v>
      </c>
      <c r="AL476" s="54" t="e">
        <f>VLOOKUP(Tableau119[[#This Row],[Key(POD -PFI- Usine)]],'DATA Consignee'!A:F,6,FALSE)</f>
        <v>#N/A</v>
      </c>
      <c r="AM476" s="102" t="s">
        <v>155</v>
      </c>
      <c r="AN476" s="375">
        <f>IF(Tableau119[[#This Row],[Name PFI/CDD]]="","-",VLOOKUP(Tableau119[[#This Row],[Name PFI/CDD]],Plant_AILN!I:J,2,FALSE))</f>
        <v>90016600</v>
      </c>
      <c r="AO47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6" s="110" t="e">
        <f>VLOOKUP(Tableau119[[#This Row],[Key(POD -PFI- Usine)]],'DATA Consignee'!A:J,10,FALSE)</f>
        <v>#N/A</v>
      </c>
      <c r="AR476" s="81" t="e">
        <f>VLOOKUP(Tableau119[[#This Row],[Key(POD -PFI- Usine)]],'DATA Consignee'!A:N,14,FALSE)</f>
        <v>#N/A</v>
      </c>
      <c r="AS47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6" s="81">
        <f>Tableau119[[#This Row],[Transit time]]+Tableau119[[#This Row],[Time for security]]+Tableau119[[#This Row],[Time for security2 buffer]]</f>
        <v>0</v>
      </c>
      <c r="AV4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6" s="50" t="e">
        <f>Tableau119[[#This Row],[Leadtime SI2C]]+Tableau119[[#This Row],[First Receipt Days]]-Tableau119[[#This Row],[Day Customer Order]]+1</f>
        <v>#N/A</v>
      </c>
      <c r="AX476" s="119" t="e">
        <f>IF(Tableau119[[#This Row],[Name ILN]]&lt;&gt;"SFK Freight Forwarder",Tableau119[[#This Row],[Cust. Leadtime]],Tableau119[[#This Row],[Leadtime SI2C]])</f>
        <v>#N/A</v>
      </c>
      <c r="AY476" s="51" t="b">
        <f>_xlfn.XLOOKUP(Tableau119[[#This Row],[Key(ID-date)]],'DATA BTO'!S:S,'DATA BTO'!P:P,FALSE)</f>
        <v>0</v>
      </c>
      <c r="AZ476" s="388">
        <v>46142</v>
      </c>
      <c r="BA476" s="81"/>
    </row>
    <row r="477" spans="2:53">
      <c r="B477" s="66" t="str">
        <f>_xlfn.CONCAT(Tableau119[[#This Row],[Name ILN]],"-",Tableau119[[#This Row],[Name Shipper]],"-",Tableau119[[#This Row],[Name Site]])</f>
        <v>ILN Curitiba-ILN Curitiba-SEVILLA</v>
      </c>
      <c r="C477" s="66" t="str">
        <f>_xlfn.CONCAT(Tableau119[[#This Row],[Compte ILN]],"-",Tableau119[[#This Row],[Compte Shipper]],"-",Tableau119[[#This Row],[POL]],"-",Tableau119[[#This Row],[Compte Consignee]])</f>
        <v>95207-95207-FALSO-91017500</v>
      </c>
      <c r="D477" s="66" t="str">
        <f>_xlfn.CONCAT(Tableau119[[#This Row],[Compte ILN]],"-",Tableau119[[#This Row],[Compte Shipper]],"-",Tableau119[[#This Row],[POL]])</f>
        <v>95207-95207-FALSO</v>
      </c>
      <c r="E477" s="130" t="str">
        <f>_xlfn.CONCAT(Tableau119[[#This Row],[POL]],"-",Tableau119[[#This Row],[Carrier]],"-",Tableau119[[#This Row],[POD]])</f>
        <v>FALSO-FALSO-FALSO</v>
      </c>
      <c r="F477" s="66" t="str">
        <f>_xlfn.CONCAT(Tableau119[[#This Row],[ID]],"-","Actif")</f>
        <v>163-Actif</v>
      </c>
      <c r="G477" s="66" t="str">
        <f>_xlfn.CONCAT(Tableau119[[#This Row],[POD]],"-",Tableau119[[#This Row],[Code PFI]],"-",Tableau119[[#This Row],[Compte Consignee]])</f>
        <v>FALSO-90016600-91017500</v>
      </c>
      <c r="H4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CuritibaFALSOSEVILLA</v>
      </c>
      <c r="I477" s="434" t="str">
        <f>_xlfn.CONCAT(Tableau119[[#This Row],[ID]],"-",Tableau119[[#This Row],[Expiration Date]])</f>
        <v>163-46142</v>
      </c>
      <c r="J4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Curitiba-ILN Curitiba-163-FALSO-FALSO-FALSO-CDD FR-46142</v>
      </c>
      <c r="K477" s="119" t="str">
        <f ca="1">IF(COUNTIF(J:J,Tableau119[[#This Row],[Plant-ILN-shipper-POL-Carrier-POD-PFI]])=1,"Non","Oui")</f>
        <v>Non</v>
      </c>
      <c r="L477" s="440" t="str">
        <f>VLOOKUP(Tableau119[[#This Row],[Name Site]],Plant_AILN!A:D,4,FALSE)</f>
        <v>SPAIN</v>
      </c>
      <c r="M477" s="10" t="s">
        <v>172</v>
      </c>
      <c r="N477" s="454">
        <f>VLOOKUP(Tableau119[[#This Row],[Name Site]],Plant_AILN!A:C,3,FALSE)</f>
        <v>91017500</v>
      </c>
      <c r="O477" s="55">
        <f>IF(Tableau119[[#This Row],[Name PFI/CDD]]="PFI VLL",2,VLOOKUP(Tableau119[[#This Row],[Compte Consignee]],Order!C:D,2,FALSE))</f>
        <v>7</v>
      </c>
      <c r="P477" s="124" t="s">
        <v>163</v>
      </c>
      <c r="Q477" s="365">
        <f>VLOOKUP(Tableau119[[#This Row],[Name ILN]],Plant_AILN!F:G,2,FALSE)</f>
        <v>95207</v>
      </c>
      <c r="R477" s="50">
        <f>VLOOKUP(Tableau119[[#This Row],[Compte ILN]],'DATA ILN'!D:I,6,FALSE)</f>
        <v>9</v>
      </c>
      <c r="S477" s="50" t="e">
        <f>IFERROR(VLOOKUP(Tableau119[[#This Row],[Key(Compte ILN - shipper - POL - plant)]],'DATA ILN'!A:J,10,FALSE),VLOOKUP(Tableau119[[#This Row],[Key(Compte ILN - shipper - POL)]],'DATA ILN'!B:J,9,FALSE))</f>
        <v>#N/A</v>
      </c>
      <c r="T477" s="50" t="e">
        <f>IFERROR(VLOOKUP(Tableau119[[#This Row],[Key(Compte ILN - shipper - POL - plant)]],'DATA ILN'!A:K,11,FALSE),VLOOKUP(Tableau119[[#This Row],[Key(Compte ILN - shipper - POL)]],'DATA ILN'!B:K,10,FALSE))</f>
        <v>#N/A</v>
      </c>
      <c r="U477" s="50" t="e">
        <f>IFERROR(VLOOKUP(Tableau119[[#This Row],[Key(Compte ILN - shipper - POL - plant)]],'DATA ILN'!A:L,12,FALSE),VLOOKUP(Tableau119[[#This Row],[Key(Compte ILN - shipper - POL)]],'DATA ILN'!B:L,11,FALSE))</f>
        <v>#N/A</v>
      </c>
      <c r="V477" s="50" t="e">
        <f>Tableau119[[#This Row],[Day ILN Order]]+Tableau119[[#This Row],[Delivery time to ILN/Shipper]]-1</f>
        <v>#N/A</v>
      </c>
      <c r="W477" s="50" t="e">
        <f>IFERROR(VLOOKUP(Tableau119[[#This Row],[Key(Compte ILN - shipper - POL - plant)]],'DATA ILN'!A:N,14,FALSE),VLOOKUP(Tableau119[[#This Row],[Key(Compte ILN - shipper - POL)]],'DATA ILN'!B:N,13,FALSE))</f>
        <v>#N/A</v>
      </c>
      <c r="X477" s="50" t="e">
        <f>IFERROR(VLOOKUP(Tableau119[[#This Row],[Key(Compte ILN - shipper - POL - plant)]],'DATA ILN'!A:P,16,FALSE),VLOOKUP(Tableau119[[#This Row],[Key(Compte ILN - shipper - POL)]],'DATA ILN'!B:P,15,FALSE))</f>
        <v>#N/A</v>
      </c>
      <c r="Y477" s="284" t="s">
        <v>163</v>
      </c>
      <c r="Z477" s="430">
        <f>IFERROR(VLOOKUP(Tableau119[[#This Row],[Name Shipper]],Plant_AILN!L:M,2,FALSE),0)</f>
        <v>95207</v>
      </c>
      <c r="AA477" s="406">
        <v>163</v>
      </c>
      <c r="AB477" s="396" t="b">
        <f>_xlfn.XLOOKUP(Tableau119[[#This Row],[Key(ID-date)]],'DATA BTO'!S:S,'DATA BTO'!E:E,FALSE)</f>
        <v>0</v>
      </c>
      <c r="AC477" s="3" t="b">
        <f>_xlfn.XLOOKUP(Tableau119[[#This Row],[Key(ID-date)]],'DATA BTO'!S:S,'DATA BTO'!F:F,FALSE)</f>
        <v>0</v>
      </c>
      <c r="AD477" s="50" t="b">
        <f>_xlfn.XLOOKUP(Tableau119[[#This Row],[Key(ID-date)]],'DATA BTO'!S:S,'DATA BTO'!G:G,FALSE)</f>
        <v>0</v>
      </c>
      <c r="AE477" s="50" t="b">
        <f>_xlfn.XLOOKUP(Tableau119[[#This Row],[Key(ID-date)]],'DATA BTO'!S:S,'DATA BTO'!H:H,FALSE)</f>
        <v>0</v>
      </c>
      <c r="AF477" s="447" t="e">
        <f>IF(Tableau119[[#This Row],[First Day to POL]]&lt;=Tableau119[[#This Row],[Day Cut Off]],Tableau119[[#This Row],[Day ETD]],Tableau119[[#This Row],[Day ETD]]+7)</f>
        <v>#N/A</v>
      </c>
      <c r="AG477" s="50" t="b">
        <f>_xlfn.XLOOKUP(Tableau119[[#This Row],[Key(ID-date)]],'DATA BTO'!S:S,'DATA BTO'!I:I,FALSE)</f>
        <v>0</v>
      </c>
      <c r="AH477" s="3" t="b">
        <f>_xlfn.XLOOKUP(Tableau119[[#This Row],[Key(ID-date)]],'DATA BTO'!S:S,'DATA BTO'!J:J,FALSE)</f>
        <v>0</v>
      </c>
      <c r="AI477" s="3" t="b">
        <f>_xlfn.XLOOKUP(Tableau119[[#This Row],[Key(ID-date)]],'DATA BTO'!S:S,'DATA BTO'!K:K,FALSE)</f>
        <v>0</v>
      </c>
      <c r="AJ477" s="50" t="b">
        <f>_xlfn.XLOOKUP(Tableau119[[#This Row],[Key(ID-date)]],'DATA BTO'!S:S,'DATA BTO'!L:L,FALSE)</f>
        <v>0</v>
      </c>
      <c r="AK477" s="53" t="b">
        <f>_xlfn.XLOOKUP(Tableau119[[#This Row],[Key(ID-date)]],'DATA BTO'!S:S,'DATA BTO'!N:N,FALSE)</f>
        <v>0</v>
      </c>
      <c r="AL477" s="54" t="e">
        <f>VLOOKUP(Tableau119[[#This Row],[Key(POD -PFI- Usine)]],'DATA Consignee'!A:F,6,FALSE)</f>
        <v>#N/A</v>
      </c>
      <c r="AM477" s="284" t="s">
        <v>155</v>
      </c>
      <c r="AN477" s="376">
        <f>IF(Tableau119[[#This Row],[Name PFI/CDD]]="","-",VLOOKUP(Tableau119[[#This Row],[Name PFI/CDD]],Plant_AILN!I:J,2,FALSE))</f>
        <v>90016600</v>
      </c>
      <c r="AO4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7" s="2" t="e">
        <f>VLOOKUP(Tableau119[[#This Row],[Key(POD -PFI- Usine)]],'DATA Consignee'!A:J,10,FALSE)</f>
        <v>#N/A</v>
      </c>
      <c r="AR477" s="50" t="e">
        <f>VLOOKUP(Tableau119[[#This Row],[Key(POD -PFI- Usine)]],'DATA Consignee'!A:N,14,FALSE)</f>
        <v>#N/A</v>
      </c>
      <c r="AS4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7" s="50">
        <f>Tableau119[[#This Row],[Transit time]]+Tableau119[[#This Row],[Time for security]]+Tableau119[[#This Row],[Time for security2 buffer]]</f>
        <v>0</v>
      </c>
      <c r="AV4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7" s="50" t="e">
        <f>Tableau119[[#This Row],[Leadtime SI2C]]+Tableau119[[#This Row],[First Receipt Days]]-Tableau119[[#This Row],[Day Customer Order]]+1</f>
        <v>#N/A</v>
      </c>
      <c r="AX477" s="119" t="e">
        <f>IF(Tableau119[[#This Row],[Name ILN]]&lt;&gt;"SFK Freight Forwarder",Tableau119[[#This Row],[Cust. Leadtime]],Tableau119[[#This Row],[Leadtime SI2C]])</f>
        <v>#N/A</v>
      </c>
      <c r="AY477" s="51" t="b">
        <f>_xlfn.XLOOKUP(Tableau119[[#This Row],[Key(ID-date)]],'DATA BTO'!S:S,'DATA BTO'!P:P,FALSE)</f>
        <v>0</v>
      </c>
      <c r="AZ477" s="338">
        <v>46142</v>
      </c>
      <c r="BA477" s="50"/>
    </row>
    <row r="478" spans="2:53">
      <c r="B478" s="66" t="str">
        <f>_xlfn.CONCAT(Tableau119[[#This Row],[Name ILN]],"-",Tableau119[[#This Row],[Name Shipper]],"-",Tableau119[[#This Row],[Name Site]])</f>
        <v>ILN Curitiba-ILN Curitiba-SOVAB</v>
      </c>
      <c r="C478" s="66" t="str">
        <f>_xlfn.CONCAT(Tableau119[[#This Row],[Compte ILN]],"-",Tableau119[[#This Row],[Compte Shipper]],"-",Tableau119[[#This Row],[POL]],"-",Tableau119[[#This Row],[Compte Consignee]])</f>
        <v>95207-95207-FALSO-90016900</v>
      </c>
      <c r="D478" s="66" t="str">
        <f>_xlfn.CONCAT(Tableau119[[#This Row],[Compte ILN]],"-",Tableau119[[#This Row],[Compte Shipper]],"-",Tableau119[[#This Row],[POL]])</f>
        <v>95207-95207-FALSO</v>
      </c>
      <c r="E478" s="130" t="str">
        <f>_xlfn.CONCAT(Tableau119[[#This Row],[POL]],"-",Tableau119[[#This Row],[Carrier]],"-",Tableau119[[#This Row],[POD]])</f>
        <v>FALSO-FALSO-FALSO</v>
      </c>
      <c r="F478" s="66" t="str">
        <f>_xlfn.CONCAT(Tableau119[[#This Row],[ID]],"-","Actif")</f>
        <v>163-Actif</v>
      </c>
      <c r="G478" s="66" t="str">
        <f>_xlfn.CONCAT(Tableau119[[#This Row],[POD]],"-",Tableau119[[#This Row],[Code PFI]],"-",Tableau119[[#This Row],[Compte Consignee]])</f>
        <v>FALSO-90016600-90016900</v>
      </c>
      <c r="H4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CuritibaFALSOSOVAB</v>
      </c>
      <c r="I478" s="434" t="str">
        <f>_xlfn.CONCAT(Tableau119[[#This Row],[ID]],"-",Tableau119[[#This Row],[Expiration Date]])</f>
        <v>163-46142</v>
      </c>
      <c r="J4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Curitiba-ILN Curitiba-163-FALSO-FALSO-FALSO-CDD FR-46142</v>
      </c>
      <c r="K478" s="119" t="str">
        <f ca="1">IF(COUNTIF(J:J,Tableau119[[#This Row],[Plant-ILN-shipper-POL-Carrier-POD-PFI]])=1,"Non","Oui")</f>
        <v>Non</v>
      </c>
      <c r="L478" s="440" t="str">
        <f>VLOOKUP(Tableau119[[#This Row],[Name Site]],Plant_AILN!A:D,4,FALSE)</f>
        <v>FRANCE</v>
      </c>
      <c r="M478" s="483" t="s">
        <v>154</v>
      </c>
      <c r="N478" s="455">
        <f>VLOOKUP(Tableau119[[#This Row],[Name Site]],Plant_AILN!A:C,3,FALSE)</f>
        <v>90016900</v>
      </c>
      <c r="O478" s="104">
        <f>IF(Tableau119[[#This Row],[Name PFI/CDD]]="PFI VLL",2,VLOOKUP(Tableau119[[#This Row],[Compte Consignee]],Order!C:D,2,FALSE))</f>
        <v>7</v>
      </c>
      <c r="P478" s="126" t="s">
        <v>163</v>
      </c>
      <c r="Q478" s="366">
        <f>VLOOKUP(Tableau119[[#This Row],[Name ILN]],Plant_AILN!F:G,2,FALSE)</f>
        <v>95207</v>
      </c>
      <c r="R478" s="81">
        <f>VLOOKUP(Tableau119[[#This Row],[Compte ILN]],'DATA ILN'!D:I,6,FALSE)</f>
        <v>9</v>
      </c>
      <c r="S478" s="81" t="e">
        <f>IFERROR(VLOOKUP(Tableau119[[#This Row],[Key(Compte ILN - shipper - POL - plant)]],'DATA ILN'!A:J,10,FALSE),VLOOKUP(Tableau119[[#This Row],[Key(Compte ILN - shipper - POL)]],'DATA ILN'!B:J,9,FALSE))</f>
        <v>#N/A</v>
      </c>
      <c r="T478" s="81" t="e">
        <f>IFERROR(VLOOKUP(Tableau119[[#This Row],[Key(Compte ILN - shipper - POL - plant)]],'DATA ILN'!A:K,11,FALSE),VLOOKUP(Tableau119[[#This Row],[Key(Compte ILN - shipper - POL)]],'DATA ILN'!B:K,10,FALSE))</f>
        <v>#N/A</v>
      </c>
      <c r="U478" s="81" t="e">
        <f>IFERROR(VLOOKUP(Tableau119[[#This Row],[Key(Compte ILN - shipper - POL - plant)]],'DATA ILN'!A:L,12,FALSE),VLOOKUP(Tableau119[[#This Row],[Key(Compte ILN - shipper - POL)]],'DATA ILN'!B:L,11,FALSE))</f>
        <v>#N/A</v>
      </c>
      <c r="V478" s="81" t="e">
        <f>Tableau119[[#This Row],[Day ILN Order]]+Tableau119[[#This Row],[Delivery time to ILN/Shipper]]-1</f>
        <v>#N/A</v>
      </c>
      <c r="W478" s="81" t="e">
        <f>IFERROR(VLOOKUP(Tableau119[[#This Row],[Key(Compte ILN - shipper - POL - plant)]],'DATA ILN'!A:N,14,FALSE),VLOOKUP(Tableau119[[#This Row],[Key(Compte ILN - shipper - POL)]],'DATA ILN'!B:N,13,FALSE))</f>
        <v>#N/A</v>
      </c>
      <c r="X478" s="81" t="e">
        <f>IFERROR(VLOOKUP(Tableau119[[#This Row],[Key(Compte ILN - shipper - POL - plant)]],'DATA ILN'!A:P,16,FALSE),VLOOKUP(Tableau119[[#This Row],[Key(Compte ILN - shipper - POL)]],'DATA ILN'!B:P,15,FALSE))</f>
        <v>#N/A</v>
      </c>
      <c r="Y478" s="102" t="s">
        <v>163</v>
      </c>
      <c r="Z478" s="417">
        <f>IFERROR(VLOOKUP(Tableau119[[#This Row],[Name Shipper]],Plant_AILN!L:M,2,FALSE),0)</f>
        <v>95207</v>
      </c>
      <c r="AA478" s="416">
        <v>163</v>
      </c>
      <c r="AB478" s="396" t="b">
        <f>_xlfn.XLOOKUP(Tableau119[[#This Row],[Key(ID-date)]],'DATA BTO'!S:S,'DATA BTO'!E:E,FALSE)</f>
        <v>0</v>
      </c>
      <c r="AC478" s="3" t="b">
        <f>_xlfn.XLOOKUP(Tableau119[[#This Row],[Key(ID-date)]],'DATA BTO'!S:S,'DATA BTO'!F:F,FALSE)</f>
        <v>0</v>
      </c>
      <c r="AD478" s="50" t="b">
        <f>_xlfn.XLOOKUP(Tableau119[[#This Row],[Key(ID-date)]],'DATA BTO'!S:S,'DATA BTO'!G:G,FALSE)</f>
        <v>0</v>
      </c>
      <c r="AE478" s="50" t="b">
        <f>_xlfn.XLOOKUP(Tableau119[[#This Row],[Key(ID-date)]],'DATA BTO'!S:S,'DATA BTO'!H:H,FALSE)</f>
        <v>0</v>
      </c>
      <c r="AF478" s="447" t="e">
        <f>IF(Tableau119[[#This Row],[First Day to POL]]&lt;=Tableau119[[#This Row],[Day Cut Off]],Tableau119[[#This Row],[Day ETD]],Tableau119[[#This Row],[Day ETD]]+7)</f>
        <v>#N/A</v>
      </c>
      <c r="AG478" s="50" t="b">
        <f>_xlfn.XLOOKUP(Tableau119[[#This Row],[Key(ID-date)]],'DATA BTO'!S:S,'DATA BTO'!I:I,FALSE)</f>
        <v>0</v>
      </c>
      <c r="AH478" s="3" t="b">
        <f>_xlfn.XLOOKUP(Tableau119[[#This Row],[Key(ID-date)]],'DATA BTO'!S:S,'DATA BTO'!J:J,FALSE)</f>
        <v>0</v>
      </c>
      <c r="AI478" s="3" t="b">
        <f>_xlfn.XLOOKUP(Tableau119[[#This Row],[Key(ID-date)]],'DATA BTO'!S:S,'DATA BTO'!K:K,FALSE)</f>
        <v>0</v>
      </c>
      <c r="AJ478" s="50" t="b">
        <f>_xlfn.XLOOKUP(Tableau119[[#This Row],[Key(ID-date)]],'DATA BTO'!S:S,'DATA BTO'!L:L,FALSE)</f>
        <v>0</v>
      </c>
      <c r="AK478" s="53" t="b">
        <f>_xlfn.XLOOKUP(Tableau119[[#This Row],[Key(ID-date)]],'DATA BTO'!S:S,'DATA BTO'!N:N,FALSE)</f>
        <v>0</v>
      </c>
      <c r="AL478" s="54" t="e">
        <f>VLOOKUP(Tableau119[[#This Row],[Key(POD -PFI- Usine)]],'DATA Consignee'!A:F,6,FALSE)</f>
        <v>#N/A</v>
      </c>
      <c r="AM478" s="102" t="s">
        <v>155</v>
      </c>
      <c r="AN478" s="375">
        <f>IF(Tableau119[[#This Row],[Name PFI/CDD]]="","-",VLOOKUP(Tableau119[[#This Row],[Name PFI/CDD]],Plant_AILN!I:J,2,FALSE))</f>
        <v>90016600</v>
      </c>
      <c r="AO47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8" s="110" t="e">
        <f>VLOOKUP(Tableau119[[#This Row],[Key(POD -PFI- Usine)]],'DATA Consignee'!A:J,10,FALSE)</f>
        <v>#N/A</v>
      </c>
      <c r="AR478" s="81" t="e">
        <f>VLOOKUP(Tableau119[[#This Row],[Key(POD -PFI- Usine)]],'DATA Consignee'!A:N,14,FALSE)</f>
        <v>#N/A</v>
      </c>
      <c r="AS47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8" s="81">
        <f>Tableau119[[#This Row],[Transit time]]+Tableau119[[#This Row],[Time for security]]+Tableau119[[#This Row],[Time for security2 buffer]]</f>
        <v>0</v>
      </c>
      <c r="AV4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8" s="50" t="e">
        <f>Tableau119[[#This Row],[Leadtime SI2C]]+Tableau119[[#This Row],[First Receipt Days]]-Tableau119[[#This Row],[Day Customer Order]]+1</f>
        <v>#N/A</v>
      </c>
      <c r="AX478" s="119" t="e">
        <f>IF(Tableau119[[#This Row],[Name ILN]]&lt;&gt;"SFK Freight Forwarder",Tableau119[[#This Row],[Cust. Leadtime]],Tableau119[[#This Row],[Leadtime SI2C]])</f>
        <v>#N/A</v>
      </c>
      <c r="AY478" s="51" t="b">
        <f>_xlfn.XLOOKUP(Tableau119[[#This Row],[Key(ID-date)]],'DATA BTO'!S:S,'DATA BTO'!P:P,FALSE)</f>
        <v>0</v>
      </c>
      <c r="AZ478" s="388">
        <v>46142</v>
      </c>
      <c r="BA478" s="81"/>
    </row>
    <row r="479" spans="2:53">
      <c r="B479" s="66" t="str">
        <f>_xlfn.CONCAT(Tableau119[[#This Row],[Name ILN]],"-",Tableau119[[#This Row],[Name Shipper]],"-",Tableau119[[#This Row],[Name Site]])</f>
        <v>ILN Curitiba-ILN Curitiba-STA</v>
      </c>
      <c r="C479" s="66" t="str">
        <f>_xlfn.CONCAT(Tableau119[[#This Row],[Compte ILN]],"-",Tableau119[[#This Row],[Compte Shipper]],"-",Tableau119[[#This Row],[POL]],"-",Tableau119[[#This Row],[Compte Consignee]])</f>
        <v>95207-95207-FALSO-90018400</v>
      </c>
      <c r="D479" s="66" t="str">
        <f>_xlfn.CONCAT(Tableau119[[#This Row],[Compte ILN]],"-",Tableau119[[#This Row],[Compte Shipper]],"-",Tableau119[[#This Row],[POL]])</f>
        <v>95207-95207-FALSO</v>
      </c>
      <c r="E479" s="130" t="str">
        <f>_xlfn.CONCAT(Tableau119[[#This Row],[POL]],"-",Tableau119[[#This Row],[Carrier]],"-",Tableau119[[#This Row],[POD]])</f>
        <v>FALSO-FALSO-FALSO</v>
      </c>
      <c r="F479" s="66" t="str">
        <f>_xlfn.CONCAT(Tableau119[[#This Row],[ID]],"-","Actif")</f>
        <v>163-Actif</v>
      </c>
      <c r="G479" s="66" t="str">
        <f>_xlfn.CONCAT(Tableau119[[#This Row],[POD]],"-",Tableau119[[#This Row],[Code PFI]],"-",Tableau119[[#This Row],[Compte Consignee]])</f>
        <v>FALSO-90016600-90018400</v>
      </c>
      <c r="H4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CuritibaFALSOSTA</v>
      </c>
      <c r="I479" s="434" t="str">
        <f>_xlfn.CONCAT(Tableau119[[#This Row],[ID]],"-",Tableau119[[#This Row],[Expiration Date]])</f>
        <v>163-46142</v>
      </c>
      <c r="J4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Curitiba-ILN Curitiba-163-FALSO-FALSO-FALSO-CDD FR-46142</v>
      </c>
      <c r="K479" s="119" t="str">
        <f ca="1">IF(COUNTIF(J:J,Tableau119[[#This Row],[Plant-ILN-shipper-POL-Carrier-POD-PFI]])=1,"Non","Oui")</f>
        <v>Non</v>
      </c>
      <c r="L479" s="440" t="str">
        <f>VLOOKUP(Tableau119[[#This Row],[Name Site]],Plant_AILN!A:D,4,FALSE)</f>
        <v>FRANCE</v>
      </c>
      <c r="M479" s="10" t="s">
        <v>219</v>
      </c>
      <c r="N479" s="454">
        <f>VLOOKUP(Tableau119[[#This Row],[Name Site]],Plant_AILN!A:C,3,FALSE)</f>
        <v>90018400</v>
      </c>
      <c r="O479" s="55">
        <f>IF(Tableau119[[#This Row],[Name PFI/CDD]]="PFI VLL",2,VLOOKUP(Tableau119[[#This Row],[Compte Consignee]],Order!C:D,2,FALSE))</f>
        <v>7</v>
      </c>
      <c r="P479" s="124" t="s">
        <v>163</v>
      </c>
      <c r="Q479" s="365">
        <f>VLOOKUP(Tableau119[[#This Row],[Name ILN]],Plant_AILN!F:G,2,FALSE)</f>
        <v>95207</v>
      </c>
      <c r="R479" s="50">
        <f>VLOOKUP(Tableau119[[#This Row],[Compte ILN]],'DATA ILN'!D:I,6,FALSE)</f>
        <v>9</v>
      </c>
      <c r="S479" s="50" t="e">
        <f>IFERROR(VLOOKUP(Tableau119[[#This Row],[Key(Compte ILN - shipper - POL - plant)]],'DATA ILN'!A:J,10,FALSE),VLOOKUP(Tableau119[[#This Row],[Key(Compte ILN - shipper - POL)]],'DATA ILN'!B:J,9,FALSE))</f>
        <v>#N/A</v>
      </c>
      <c r="T479" s="50" t="e">
        <f>IFERROR(VLOOKUP(Tableau119[[#This Row],[Key(Compte ILN - shipper - POL - plant)]],'DATA ILN'!A:K,11,FALSE),VLOOKUP(Tableau119[[#This Row],[Key(Compte ILN - shipper - POL)]],'DATA ILN'!B:K,10,FALSE))</f>
        <v>#N/A</v>
      </c>
      <c r="U479" s="50" t="e">
        <f>IFERROR(VLOOKUP(Tableau119[[#This Row],[Key(Compte ILN - shipper - POL - plant)]],'DATA ILN'!A:L,12,FALSE),VLOOKUP(Tableau119[[#This Row],[Key(Compte ILN - shipper - POL)]],'DATA ILN'!B:L,11,FALSE))</f>
        <v>#N/A</v>
      </c>
      <c r="V479" s="50" t="e">
        <f>Tableau119[[#This Row],[Day ILN Order]]+Tableau119[[#This Row],[Delivery time to ILN/Shipper]]-1</f>
        <v>#N/A</v>
      </c>
      <c r="W479" s="50" t="e">
        <f>IFERROR(VLOOKUP(Tableau119[[#This Row],[Key(Compte ILN - shipper - POL - plant)]],'DATA ILN'!A:N,14,FALSE),VLOOKUP(Tableau119[[#This Row],[Key(Compte ILN - shipper - POL)]],'DATA ILN'!B:N,13,FALSE))</f>
        <v>#N/A</v>
      </c>
      <c r="X479" s="50" t="e">
        <f>IFERROR(VLOOKUP(Tableau119[[#This Row],[Key(Compte ILN - shipper - POL - plant)]],'DATA ILN'!A:P,16,FALSE),VLOOKUP(Tableau119[[#This Row],[Key(Compte ILN - shipper - POL)]],'DATA ILN'!B:P,15,FALSE))</f>
        <v>#N/A</v>
      </c>
      <c r="Y479" s="284" t="s">
        <v>163</v>
      </c>
      <c r="Z479" s="430">
        <f>IFERROR(VLOOKUP(Tableau119[[#This Row],[Name Shipper]],Plant_AILN!L:M,2,FALSE),0)</f>
        <v>95207</v>
      </c>
      <c r="AA479" s="406">
        <v>163</v>
      </c>
      <c r="AB479" s="396" t="b">
        <f>_xlfn.XLOOKUP(Tableau119[[#This Row],[Key(ID-date)]],'DATA BTO'!S:S,'DATA BTO'!E:E,FALSE)</f>
        <v>0</v>
      </c>
      <c r="AC479" s="3" t="b">
        <f>_xlfn.XLOOKUP(Tableau119[[#This Row],[Key(ID-date)]],'DATA BTO'!S:S,'DATA BTO'!F:F,FALSE)</f>
        <v>0</v>
      </c>
      <c r="AD479" s="50" t="b">
        <f>_xlfn.XLOOKUP(Tableau119[[#This Row],[Key(ID-date)]],'DATA BTO'!S:S,'DATA BTO'!G:G,FALSE)</f>
        <v>0</v>
      </c>
      <c r="AE479" s="50" t="b">
        <f>_xlfn.XLOOKUP(Tableau119[[#This Row],[Key(ID-date)]],'DATA BTO'!S:S,'DATA BTO'!H:H,FALSE)</f>
        <v>0</v>
      </c>
      <c r="AF479" s="447" t="e">
        <f>IF(Tableau119[[#This Row],[First Day to POL]]&lt;=Tableau119[[#This Row],[Day Cut Off]],Tableau119[[#This Row],[Day ETD]],Tableau119[[#This Row],[Day ETD]]+7)</f>
        <v>#N/A</v>
      </c>
      <c r="AG479" s="50" t="b">
        <f>_xlfn.XLOOKUP(Tableau119[[#This Row],[Key(ID-date)]],'DATA BTO'!S:S,'DATA BTO'!I:I,FALSE)</f>
        <v>0</v>
      </c>
      <c r="AH479" s="3" t="b">
        <f>_xlfn.XLOOKUP(Tableau119[[#This Row],[Key(ID-date)]],'DATA BTO'!S:S,'DATA BTO'!J:J,FALSE)</f>
        <v>0</v>
      </c>
      <c r="AI479" s="3" t="b">
        <f>_xlfn.XLOOKUP(Tableau119[[#This Row],[Key(ID-date)]],'DATA BTO'!S:S,'DATA BTO'!K:K,FALSE)</f>
        <v>0</v>
      </c>
      <c r="AJ479" s="50" t="b">
        <f>_xlfn.XLOOKUP(Tableau119[[#This Row],[Key(ID-date)]],'DATA BTO'!S:S,'DATA BTO'!L:L,FALSE)</f>
        <v>0</v>
      </c>
      <c r="AK479" s="53" t="b">
        <f>_xlfn.XLOOKUP(Tableau119[[#This Row],[Key(ID-date)]],'DATA BTO'!S:S,'DATA BTO'!N:N,FALSE)</f>
        <v>0</v>
      </c>
      <c r="AL479" s="54" t="e">
        <f>VLOOKUP(Tableau119[[#This Row],[Key(POD -PFI- Usine)]],'DATA Consignee'!A:F,6,FALSE)</f>
        <v>#N/A</v>
      </c>
      <c r="AM479" s="284" t="s">
        <v>155</v>
      </c>
      <c r="AN479" s="376">
        <f>IF(Tableau119[[#This Row],[Name PFI/CDD]]="","-",VLOOKUP(Tableau119[[#This Row],[Name PFI/CDD]],Plant_AILN!I:J,2,FALSE))</f>
        <v>90016600</v>
      </c>
      <c r="AO4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79" s="2" t="e">
        <f>VLOOKUP(Tableau119[[#This Row],[Key(POD -PFI- Usine)]],'DATA Consignee'!A:J,10,FALSE)</f>
        <v>#N/A</v>
      </c>
      <c r="AR479" s="50" t="e">
        <f>VLOOKUP(Tableau119[[#This Row],[Key(POD -PFI- Usine)]],'DATA Consignee'!A:N,14,FALSE)</f>
        <v>#N/A</v>
      </c>
      <c r="AS4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79" s="50">
        <f>Tableau119[[#This Row],[Transit time]]+Tableau119[[#This Row],[Time for security]]+Tableau119[[#This Row],[Time for security2 buffer]]</f>
        <v>0</v>
      </c>
      <c r="AV4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79" s="50" t="e">
        <f>Tableau119[[#This Row],[Leadtime SI2C]]+Tableau119[[#This Row],[First Receipt Days]]-Tableau119[[#This Row],[Day Customer Order]]+1</f>
        <v>#N/A</v>
      </c>
      <c r="AX479" s="119" t="e">
        <f>IF(Tableau119[[#This Row],[Name ILN]]&lt;&gt;"SFK Freight Forwarder",Tableau119[[#This Row],[Cust. Leadtime]],Tableau119[[#This Row],[Leadtime SI2C]])</f>
        <v>#N/A</v>
      </c>
      <c r="AY479" s="51" t="b">
        <f>_xlfn.XLOOKUP(Tableau119[[#This Row],[Key(ID-date)]],'DATA BTO'!S:S,'DATA BTO'!P:P,FALSE)</f>
        <v>0</v>
      </c>
      <c r="AZ479" s="338">
        <v>46142</v>
      </c>
      <c r="BA479" s="50"/>
    </row>
    <row r="480" spans="2:53">
      <c r="B480" s="446" t="str">
        <f>_xlfn.CONCAT(Tableau119[[#This Row],[Name ILN]],"-",Tableau119[[#This Row],[Name Shipper]],"-",Tableau119[[#This Row],[Name Site]])</f>
        <v>ILN Curitiba-ILN Curitiba-FLINS</v>
      </c>
      <c r="C480" s="66" t="str">
        <f>_xlfn.CONCAT(Tableau119[[#This Row],[Compte ILN]],"-",Tableau119[[#This Row],[Compte Shipper]],"-",Tableau119[[#This Row],[POL]],"-",Tableau119[[#This Row],[Compte Consignee]])</f>
        <v>95207-95207-FALSO-90015100</v>
      </c>
      <c r="D480" s="66" t="str">
        <f>_xlfn.CONCAT(Tableau119[[#This Row],[Compte ILN]],"-",Tableau119[[#This Row],[Compte Shipper]],"-",Tableau119[[#This Row],[POL]])</f>
        <v>95207-95207-FALSO</v>
      </c>
      <c r="E480" s="130" t="str">
        <f>_xlfn.CONCAT(Tableau119[[#This Row],[POL]],"-",Tableau119[[#This Row],[Carrier]],"-",Tableau119[[#This Row],[POD]])</f>
        <v>FALSO-FALSO-FALSO</v>
      </c>
      <c r="F480" s="66" t="str">
        <f>_xlfn.CONCAT(Tableau119[[#This Row],[ID]],"-","Actif")</f>
        <v>163-Actif</v>
      </c>
      <c r="G480" s="66" t="str">
        <f>_xlfn.CONCAT(Tableau119[[#This Row],[POD]],"-",Tableau119[[#This Row],[Code PFI]],"-",Tableau119[[#This Row],[Compte Consignee]])</f>
        <v>FALSO---90015100</v>
      </c>
      <c r="H4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CuritibaFALSOFLINS</v>
      </c>
      <c r="I480" s="434" t="str">
        <f>_xlfn.CONCAT(Tableau119[[#This Row],[ID]],"-",Tableau119[[#This Row],[Expiration Date]])</f>
        <v>163-45777</v>
      </c>
      <c r="J4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Curitiba-ILN Curitiba-163-FALSO-FALSO-FALSO--45777</v>
      </c>
      <c r="K480" s="119" t="str">
        <f ca="1">IF(COUNTIF(J:J,Tableau119[[#This Row],[Plant-ILN-shipper-POL-Carrier-POD-PFI]])=1,"Non","Oui")</f>
        <v>Non</v>
      </c>
      <c r="L480" s="128" t="str">
        <f>VLOOKUP(Tableau119[[#This Row],[Name Site]],Plant_AILN!A:D,4,FALSE)</f>
        <v>FRANCE</v>
      </c>
      <c r="M480" s="415" t="s">
        <v>209</v>
      </c>
      <c r="N480" s="455">
        <f>VLOOKUP(Tableau119[[#This Row],[Name Site]],Plant_AILN!A:C,3,FALSE)</f>
        <v>90015100</v>
      </c>
      <c r="O480" s="104">
        <f>VLOOKUP(Tableau119[[#This Row],[Compte Consignee]],Order!C:D,2,FALSE)</f>
        <v>7</v>
      </c>
      <c r="P480" s="126" t="s">
        <v>163</v>
      </c>
      <c r="Q480" s="366">
        <f>VLOOKUP(Tableau119[[#This Row],[Name ILN]],Plant_AILN!F:G,2,FALSE)</f>
        <v>95207</v>
      </c>
      <c r="R480" s="81">
        <f>VLOOKUP(Tableau119[[#This Row],[Compte ILN]],'DATA ILN'!D:I,6,FALSE)</f>
        <v>9</v>
      </c>
      <c r="S480" s="81" t="e">
        <f>IFERROR(VLOOKUP(Tableau119[[#This Row],[Key(Compte ILN - shipper - POL - plant)]],'DATA ILN'!A:J,10,FALSE),VLOOKUP(Tableau119[[#This Row],[Key(Compte ILN - shipper - POL)]],'DATA ILN'!B:J,9,FALSE))</f>
        <v>#N/A</v>
      </c>
      <c r="T480" s="81" t="e">
        <f>IFERROR(VLOOKUP(Tableau119[[#This Row],[Key(Compte ILN - shipper - POL - plant)]],'DATA ILN'!A:K,11,FALSE),VLOOKUP(Tableau119[[#This Row],[Key(Compte ILN - shipper - POL)]],'DATA ILN'!B:K,10,FALSE))</f>
        <v>#N/A</v>
      </c>
      <c r="U480" s="81" t="e">
        <f>IFERROR(VLOOKUP(Tableau119[[#This Row],[Key(Compte ILN - shipper - POL - plant)]],'DATA ILN'!A:L,12,FALSE),VLOOKUP(Tableau119[[#This Row],[Key(Compte ILN - shipper - POL)]],'DATA ILN'!B:L,11,FALSE))</f>
        <v>#N/A</v>
      </c>
      <c r="V480" s="81" t="e">
        <f>Tableau119[[#This Row],[Day ILN Order]]+Tableau119[[#This Row],[Delivery time to ILN/Shipper]]-1</f>
        <v>#N/A</v>
      </c>
      <c r="W480" s="81" t="e">
        <f>IFERROR(VLOOKUP(Tableau119[[#This Row],[Key(Compte ILN - shipper - POL - plant)]],'DATA ILN'!A:N,14,FALSE),VLOOKUP(Tableau119[[#This Row],[Key(Compte ILN - shipper - POL)]],'DATA ILN'!B:N,13,FALSE))</f>
        <v>#N/A</v>
      </c>
      <c r="X480" s="81" t="e">
        <f>IFERROR(VLOOKUP(Tableau119[[#This Row],[Key(Compte ILN - shipper - POL - plant)]],'DATA ILN'!A:P,16,FALSE),VLOOKUP(Tableau119[[#This Row],[Key(Compte ILN - shipper - POL)]],'DATA ILN'!B:P,15,FALSE))</f>
        <v>#N/A</v>
      </c>
      <c r="Y480" s="102" t="s">
        <v>163</v>
      </c>
      <c r="Z480" s="417">
        <f>IFERROR(VLOOKUP(Tableau119[[#This Row],[Name Shipper]],Plant_AILN!L:M,2,FALSE),0)</f>
        <v>95207</v>
      </c>
      <c r="AA480" s="416">
        <v>163</v>
      </c>
      <c r="AB480" s="396" t="b">
        <f>_xlfn.XLOOKUP(Tableau119[[#This Row],[Key(ID-date)]],'DATA BTO'!S:S,'DATA BTO'!E:E,FALSE)</f>
        <v>0</v>
      </c>
      <c r="AC480" s="3" t="b">
        <f>_xlfn.XLOOKUP(Tableau119[[#This Row],[Key(ID-date)]],'DATA BTO'!S:S,'DATA BTO'!F:F,FALSE)</f>
        <v>0</v>
      </c>
      <c r="AD480" s="50" t="b">
        <f>_xlfn.XLOOKUP(Tableau119[[#This Row],[Key(ID-date)]],'DATA BTO'!S:S,'DATA BTO'!G:G,FALSE)</f>
        <v>0</v>
      </c>
      <c r="AE480" s="50" t="b">
        <f>_xlfn.XLOOKUP(Tableau119[[#This Row],[Key(ID-date)]],'DATA BTO'!S:S,'DATA BTO'!H:H,FALSE)</f>
        <v>0</v>
      </c>
      <c r="AF480" s="447" t="e">
        <f>IF(Tableau119[[#This Row],[First Day to POL]]&lt;=Tableau119[[#This Row],[Day Cut Off]],Tableau119[[#This Row],[Day ETD]],Tableau119[[#This Row],[Day ETD]]+7)</f>
        <v>#N/A</v>
      </c>
      <c r="AG480" s="50" t="b">
        <f>_xlfn.XLOOKUP(Tableau119[[#This Row],[Key(ID-date)]],'DATA BTO'!S:S,'DATA BTO'!I:I,FALSE)</f>
        <v>0</v>
      </c>
      <c r="AH480" s="3" t="b">
        <f>_xlfn.XLOOKUP(Tableau119[[#This Row],[Key(ID-date)]],'DATA BTO'!S:S,'DATA BTO'!J:J,FALSE)</f>
        <v>0</v>
      </c>
      <c r="AI480" s="3" t="b">
        <f>_xlfn.XLOOKUP(Tableau119[[#This Row],[Key(ID-date)]],'DATA BTO'!S:S,'DATA BTO'!K:K,FALSE)</f>
        <v>0</v>
      </c>
      <c r="AJ480" s="50" t="b">
        <f>_xlfn.XLOOKUP(Tableau119[[#This Row],[Key(ID-date)]],'DATA BTO'!S:S,'DATA BTO'!L:L,FALSE)</f>
        <v>0</v>
      </c>
      <c r="AK480" s="53" t="b">
        <f>_xlfn.XLOOKUP(Tableau119[[#This Row],[Key(ID-date)]],'DATA BTO'!S:S,'DATA BTO'!N:N,FALSE)</f>
        <v>0</v>
      </c>
      <c r="AL480" s="54" t="e">
        <f>VLOOKUP(Tableau119[[#This Row],[Key(POD -PFI- Usine)]],'DATA Consignee'!A:F,6,FALSE)</f>
        <v>#N/A</v>
      </c>
      <c r="AM480" s="102"/>
      <c r="AN480" s="375" t="str">
        <f>IF(Tableau119[[#This Row],[Name PFI/CDD]]="","-",VLOOKUP(Tableau119[[#This Row],[Name PFI/CDD]],Plant_AILN!I:J,2,FALSE))</f>
        <v>-</v>
      </c>
      <c r="AO48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0" s="110" t="e">
        <f>VLOOKUP(Tableau119[[#This Row],[Key(POD -PFI- Usine)]],'DATA Consignee'!A:J,10,FALSE)</f>
        <v>#N/A</v>
      </c>
      <c r="AR480" s="81" t="e">
        <f>VLOOKUP(Tableau119[[#This Row],[Key(POD -PFI- Usine)]],'DATA Consignee'!A:N,14,FALSE)</f>
        <v>#N/A</v>
      </c>
      <c r="AS48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0" s="81">
        <f>Tableau119[[#This Row],[Transit time]]+Tableau119[[#This Row],[Time for security]]+Tableau119[[#This Row],[Time for security2 buffer]]</f>
        <v>0</v>
      </c>
      <c r="AV4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0" s="50" t="e">
        <f>Tableau119[[#This Row],[Leadtime SI2C]]+Tableau119[[#This Row],[First Receipt Days]]-Tableau119[[#This Row],[Day Customer Order]]+1</f>
        <v>#N/A</v>
      </c>
      <c r="AX480" s="119" t="e">
        <f>IF(Tableau119[[#This Row],[Name ILN]]&lt;&gt;"SFK Freight Forwarder",Tableau119[[#This Row],[Cust. Leadtime]],Tableau119[[#This Row],[Leadtime SI2C]])</f>
        <v>#N/A</v>
      </c>
      <c r="AY480" s="51" t="b">
        <f>_xlfn.XLOOKUP(Tableau119[[#This Row],[Key(ID-date)]],'DATA BTO'!S:S,'DATA BTO'!P:P,FALSE)</f>
        <v>0</v>
      </c>
      <c r="AZ480" s="388">
        <v>45777</v>
      </c>
      <c r="BA480" s="81"/>
    </row>
    <row r="481" spans="2:53">
      <c r="B481" s="446" t="str">
        <f>_xlfn.CONCAT(Tableau119[[#This Row],[Name ILN]],"-",Tableau119[[#This Row],[Name Shipper]],"-",Tableau119[[#This Row],[Name Site]])</f>
        <v>ILN Curitiba-ILN Curitiba-MAUBEUGE</v>
      </c>
      <c r="C481" s="66" t="str">
        <f>_xlfn.CONCAT(Tableau119[[#This Row],[Compte ILN]],"-",Tableau119[[#This Row],[Compte Shipper]],"-",Tableau119[[#This Row],[POL]],"-",Tableau119[[#This Row],[Compte Consignee]])</f>
        <v>95207-95207-FALSO-90016200</v>
      </c>
      <c r="D481" s="66" t="str">
        <f>_xlfn.CONCAT(Tableau119[[#This Row],[Compte ILN]],"-",Tableau119[[#This Row],[Compte Shipper]],"-",Tableau119[[#This Row],[POL]])</f>
        <v>95207-95207-FALSO</v>
      </c>
      <c r="E481" s="130" t="str">
        <f>_xlfn.CONCAT(Tableau119[[#This Row],[POL]],"-",Tableau119[[#This Row],[Carrier]],"-",Tableau119[[#This Row],[POD]])</f>
        <v>FALSO-FALSO-FALSO</v>
      </c>
      <c r="F481" s="66" t="str">
        <f>_xlfn.CONCAT(Tableau119[[#This Row],[ID]],"-","Actif")</f>
        <v>163-Actif</v>
      </c>
      <c r="G481" s="66" t="str">
        <f>_xlfn.CONCAT(Tableau119[[#This Row],[POD]],"-",Tableau119[[#This Row],[Code PFI]],"-",Tableau119[[#This Row],[Compte Consignee]])</f>
        <v>FALSO-90016600-90016200</v>
      </c>
      <c r="H4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CuritibaFALSOMAUBEUGE</v>
      </c>
      <c r="I481" s="434" t="str">
        <f>_xlfn.CONCAT(Tableau119[[#This Row],[ID]],"-",Tableau119[[#This Row],[Expiration Date]])</f>
        <v>163-45777</v>
      </c>
      <c r="J4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Curitiba-ILN Curitiba-163-FALSO-FALSO-FALSO-CDD FR-45777</v>
      </c>
      <c r="K481" s="119" t="str">
        <f ca="1">IF(COUNTIF(J:J,Tableau119[[#This Row],[Plant-ILN-shipper-POL-Carrier-POD-PFI]])=1,"Non","Oui")</f>
        <v>Non</v>
      </c>
      <c r="L481" s="128" t="str">
        <f>VLOOKUP(Tableau119[[#This Row],[Name Site]],Plant_AILN!A:D,4,FALSE)</f>
        <v>FRANCE</v>
      </c>
      <c r="M481" s="411" t="s">
        <v>210</v>
      </c>
      <c r="N481" s="454">
        <f>VLOOKUP(Tableau119[[#This Row],[Name Site]],Plant_AILN!A:C,3,FALSE)</f>
        <v>90016200</v>
      </c>
      <c r="O481" s="55">
        <f>VLOOKUP(Tableau119[[#This Row],[Compte Consignee]],Order!C:D,2,FALSE)</f>
        <v>7</v>
      </c>
      <c r="P481" s="124" t="s">
        <v>163</v>
      </c>
      <c r="Q481" s="365">
        <f>VLOOKUP(Tableau119[[#This Row],[Name ILN]],Plant_AILN!F:G,2,FALSE)</f>
        <v>95207</v>
      </c>
      <c r="R481" s="50">
        <f>VLOOKUP(Tableau119[[#This Row],[Compte ILN]],'DATA ILN'!D:I,6,FALSE)</f>
        <v>9</v>
      </c>
      <c r="S481" s="50" t="e">
        <f>IFERROR(VLOOKUP(Tableau119[[#This Row],[Key(Compte ILN - shipper - POL - plant)]],'DATA ILN'!A:J,10,FALSE),VLOOKUP(Tableau119[[#This Row],[Key(Compte ILN - shipper - POL)]],'DATA ILN'!B:J,9,FALSE))</f>
        <v>#N/A</v>
      </c>
      <c r="T481" s="50" t="e">
        <f>IFERROR(VLOOKUP(Tableau119[[#This Row],[Key(Compte ILN - shipper - POL - plant)]],'DATA ILN'!A:K,11,FALSE),VLOOKUP(Tableau119[[#This Row],[Key(Compte ILN - shipper - POL)]],'DATA ILN'!B:K,10,FALSE))</f>
        <v>#N/A</v>
      </c>
      <c r="U481" s="50" t="e">
        <f>IFERROR(VLOOKUP(Tableau119[[#This Row],[Key(Compte ILN - shipper - POL - plant)]],'DATA ILN'!A:L,12,FALSE),VLOOKUP(Tableau119[[#This Row],[Key(Compte ILN - shipper - POL)]],'DATA ILN'!B:L,11,FALSE))</f>
        <v>#N/A</v>
      </c>
      <c r="V481" s="50" t="e">
        <f>Tableau119[[#This Row],[Day ILN Order]]+Tableau119[[#This Row],[Delivery time to ILN/Shipper]]-1</f>
        <v>#N/A</v>
      </c>
      <c r="W481" s="50" t="e">
        <f>IFERROR(VLOOKUP(Tableau119[[#This Row],[Key(Compte ILN - shipper - POL - plant)]],'DATA ILN'!A:N,14,FALSE),VLOOKUP(Tableau119[[#This Row],[Key(Compte ILN - shipper - POL)]],'DATA ILN'!B:N,13,FALSE))</f>
        <v>#N/A</v>
      </c>
      <c r="X481" s="50" t="e">
        <f>IFERROR(VLOOKUP(Tableau119[[#This Row],[Key(Compte ILN - shipper - POL - plant)]],'DATA ILN'!A:P,16,FALSE),VLOOKUP(Tableau119[[#This Row],[Key(Compte ILN - shipper - POL)]],'DATA ILN'!B:P,15,FALSE))</f>
        <v>#N/A</v>
      </c>
      <c r="Y481" s="284" t="s">
        <v>163</v>
      </c>
      <c r="Z481" s="430">
        <f>IFERROR(VLOOKUP(Tableau119[[#This Row],[Name Shipper]],Plant_AILN!L:M,2,FALSE),0)</f>
        <v>95207</v>
      </c>
      <c r="AA481" s="406">
        <v>163</v>
      </c>
      <c r="AB481" s="396" t="b">
        <f>_xlfn.XLOOKUP(Tableau119[[#This Row],[Key(ID-date)]],'DATA BTO'!S:S,'DATA BTO'!E:E,FALSE)</f>
        <v>0</v>
      </c>
      <c r="AC481" s="3" t="b">
        <f>_xlfn.XLOOKUP(Tableau119[[#This Row],[Key(ID-date)]],'DATA BTO'!S:S,'DATA BTO'!F:F,FALSE)</f>
        <v>0</v>
      </c>
      <c r="AD481" s="50" t="b">
        <f>_xlfn.XLOOKUP(Tableau119[[#This Row],[Key(ID-date)]],'DATA BTO'!S:S,'DATA BTO'!G:G,FALSE)</f>
        <v>0</v>
      </c>
      <c r="AE481" s="50" t="b">
        <f>_xlfn.XLOOKUP(Tableau119[[#This Row],[Key(ID-date)]],'DATA BTO'!S:S,'DATA BTO'!H:H,FALSE)</f>
        <v>0</v>
      </c>
      <c r="AF481" s="447" t="e">
        <f>IF(Tableau119[[#This Row],[First Day to POL]]&lt;=Tableau119[[#This Row],[Day Cut Off]],Tableau119[[#This Row],[Day ETD]],Tableau119[[#This Row],[Day ETD]]+7)</f>
        <v>#N/A</v>
      </c>
      <c r="AG481" s="50" t="b">
        <f>_xlfn.XLOOKUP(Tableau119[[#This Row],[Key(ID-date)]],'DATA BTO'!S:S,'DATA BTO'!I:I,FALSE)</f>
        <v>0</v>
      </c>
      <c r="AH481" s="3" t="b">
        <f>_xlfn.XLOOKUP(Tableau119[[#This Row],[Key(ID-date)]],'DATA BTO'!S:S,'DATA BTO'!J:J,FALSE)</f>
        <v>0</v>
      </c>
      <c r="AI481" s="3" t="b">
        <f>_xlfn.XLOOKUP(Tableau119[[#This Row],[Key(ID-date)]],'DATA BTO'!S:S,'DATA BTO'!K:K,FALSE)</f>
        <v>0</v>
      </c>
      <c r="AJ481" s="50" t="b">
        <f>_xlfn.XLOOKUP(Tableau119[[#This Row],[Key(ID-date)]],'DATA BTO'!S:S,'DATA BTO'!L:L,FALSE)</f>
        <v>0</v>
      </c>
      <c r="AK481" s="53" t="b">
        <f>_xlfn.XLOOKUP(Tableau119[[#This Row],[Key(ID-date)]],'DATA BTO'!S:S,'DATA BTO'!N:N,FALSE)</f>
        <v>0</v>
      </c>
      <c r="AL481" s="54" t="e">
        <f>VLOOKUP(Tableau119[[#This Row],[Key(POD -PFI- Usine)]],'DATA Consignee'!A:F,6,FALSE)</f>
        <v>#N/A</v>
      </c>
      <c r="AM481" s="284" t="s">
        <v>155</v>
      </c>
      <c r="AN481" s="376">
        <f>IF(Tableau119[[#This Row],[Name PFI/CDD]]="","-",VLOOKUP(Tableau119[[#This Row],[Name PFI/CDD]],Plant_AILN!I:J,2,FALSE))</f>
        <v>90016600</v>
      </c>
      <c r="AO4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1" s="2" t="e">
        <f>VLOOKUP(Tableau119[[#This Row],[Key(POD -PFI- Usine)]],'DATA Consignee'!A:J,10,FALSE)</f>
        <v>#N/A</v>
      </c>
      <c r="AR481" s="50" t="e">
        <f>VLOOKUP(Tableau119[[#This Row],[Key(POD -PFI- Usine)]],'DATA Consignee'!A:N,14,FALSE)</f>
        <v>#N/A</v>
      </c>
      <c r="AS4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1" s="50">
        <f>Tableau119[[#This Row],[Transit time]]+Tableau119[[#This Row],[Time for security]]+Tableau119[[#This Row],[Time for security2 buffer]]</f>
        <v>0</v>
      </c>
      <c r="AV4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1" s="50" t="e">
        <f>Tableau119[[#This Row],[Leadtime SI2C]]+Tableau119[[#This Row],[First Receipt Days]]-Tableau119[[#This Row],[Day Customer Order]]+1</f>
        <v>#N/A</v>
      </c>
      <c r="AX481" s="119" t="e">
        <f>IF(Tableau119[[#This Row],[Name ILN]]&lt;&gt;"SFK Freight Forwarder",Tableau119[[#This Row],[Cust. Leadtime]],Tableau119[[#This Row],[Leadtime SI2C]])</f>
        <v>#N/A</v>
      </c>
      <c r="AY481" s="51" t="b">
        <f>_xlfn.XLOOKUP(Tableau119[[#This Row],[Key(ID-date)]],'DATA BTO'!S:S,'DATA BTO'!P:P,FALSE)</f>
        <v>0</v>
      </c>
      <c r="AZ481" s="338">
        <v>45777</v>
      </c>
      <c r="BA481" s="50"/>
    </row>
    <row r="482" spans="2:53">
      <c r="B482" s="446" t="str">
        <f>_xlfn.CONCAT(Tableau119[[#This Row],[Name ILN]],"-",Tableau119[[#This Row],[Name Shipper]],"-",Tableau119[[#This Row],[Name Site]])</f>
        <v>ILN Curitiba-ILN Curitiba-CACIA</v>
      </c>
      <c r="C482" s="66" t="str">
        <f>_xlfn.CONCAT(Tableau119[[#This Row],[Compte ILN]],"-",Tableau119[[#This Row],[Compte Shipper]],"-",Tableau119[[#This Row],[POL]],"-",Tableau119[[#This Row],[Compte Consignee]])</f>
        <v>95207-95207-FALSO-90016500</v>
      </c>
      <c r="D482" s="66" t="str">
        <f>_xlfn.CONCAT(Tableau119[[#This Row],[Compte ILN]],"-",Tableau119[[#This Row],[Compte Shipper]],"-",Tableau119[[#This Row],[POL]])</f>
        <v>95207-95207-FALSO</v>
      </c>
      <c r="E482" s="130" t="str">
        <f>_xlfn.CONCAT(Tableau119[[#This Row],[POL]],"-",Tableau119[[#This Row],[Carrier]],"-",Tableau119[[#This Row],[POD]])</f>
        <v>FALSO-FALSO-FALSO</v>
      </c>
      <c r="F482" s="66" t="str">
        <f>_xlfn.CONCAT(Tableau119[[#This Row],[ID]],"-","Actif")</f>
        <v>163-Actif</v>
      </c>
      <c r="G482" s="66" t="str">
        <f>_xlfn.CONCAT(Tableau119[[#This Row],[POD]],"-",Tableau119[[#This Row],[Code PFI]],"-",Tableau119[[#This Row],[Compte Consignee]])</f>
        <v>FALSO-90016600-90016500</v>
      </c>
      <c r="H4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CuritibaFALSOCACIA</v>
      </c>
      <c r="I482" s="434" t="str">
        <f>_xlfn.CONCAT(Tableau119[[#This Row],[ID]],"-",Tableau119[[#This Row],[Expiration Date]])</f>
        <v>163-45777</v>
      </c>
      <c r="J4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Curitiba-ILN Curitiba-163-FALSO-FALSO-FALSO-CDD FR-45777</v>
      </c>
      <c r="K482" s="119" t="str">
        <f ca="1">IF(COUNTIF(J:J,Tableau119[[#This Row],[Plant-ILN-shipper-POL-Carrier-POD-PFI]])=1,"Non","Oui")</f>
        <v>Non</v>
      </c>
      <c r="L482" s="128" t="str">
        <f>VLOOKUP(Tableau119[[#This Row],[Name Site]],Plant_AILN!A:D,4,FALSE)</f>
        <v>PORTUGAL</v>
      </c>
      <c r="M482" s="415" t="s">
        <v>170</v>
      </c>
      <c r="N482" s="455">
        <f>VLOOKUP(Tableau119[[#This Row],[Name Site]],Plant_AILN!A:C,3,FALSE)</f>
        <v>90016500</v>
      </c>
      <c r="O482" s="104">
        <f>VLOOKUP(Tableau119[[#This Row],[Compte Consignee]],Order!C:D,2,FALSE)</f>
        <v>5</v>
      </c>
      <c r="P482" s="126" t="s">
        <v>163</v>
      </c>
      <c r="Q482" s="366">
        <f>VLOOKUP(Tableau119[[#This Row],[Name ILN]],Plant_AILN!F:G,2,FALSE)</f>
        <v>95207</v>
      </c>
      <c r="R482" s="81">
        <f>VLOOKUP(Tableau119[[#This Row],[Compte ILN]],'DATA ILN'!D:I,6,FALSE)</f>
        <v>9</v>
      </c>
      <c r="S482" s="81" t="e">
        <f>IFERROR(VLOOKUP(Tableau119[[#This Row],[Key(Compte ILN - shipper - POL - plant)]],'DATA ILN'!A:J,10,FALSE),VLOOKUP(Tableau119[[#This Row],[Key(Compte ILN - shipper - POL)]],'DATA ILN'!B:J,9,FALSE))</f>
        <v>#N/A</v>
      </c>
      <c r="T482" s="81" t="e">
        <f>IFERROR(VLOOKUP(Tableau119[[#This Row],[Key(Compte ILN - shipper - POL - plant)]],'DATA ILN'!A:K,11,FALSE),VLOOKUP(Tableau119[[#This Row],[Key(Compte ILN - shipper - POL)]],'DATA ILN'!B:K,10,FALSE))</f>
        <v>#N/A</v>
      </c>
      <c r="U482" s="81" t="e">
        <f>IFERROR(VLOOKUP(Tableau119[[#This Row],[Key(Compte ILN - shipper - POL - plant)]],'DATA ILN'!A:L,12,FALSE),VLOOKUP(Tableau119[[#This Row],[Key(Compte ILN - shipper - POL)]],'DATA ILN'!B:L,11,FALSE))</f>
        <v>#N/A</v>
      </c>
      <c r="V482" s="81" t="e">
        <f>Tableau119[[#This Row],[Day ILN Order]]+Tableau119[[#This Row],[Delivery time to ILN/Shipper]]-1</f>
        <v>#N/A</v>
      </c>
      <c r="W482" s="81" t="e">
        <f>IFERROR(VLOOKUP(Tableau119[[#This Row],[Key(Compte ILN - shipper - POL - plant)]],'DATA ILN'!A:N,14,FALSE),VLOOKUP(Tableau119[[#This Row],[Key(Compte ILN - shipper - POL)]],'DATA ILN'!B:N,13,FALSE))</f>
        <v>#N/A</v>
      </c>
      <c r="X482" s="81" t="e">
        <f>IFERROR(VLOOKUP(Tableau119[[#This Row],[Key(Compte ILN - shipper - POL - plant)]],'DATA ILN'!A:P,16,FALSE),VLOOKUP(Tableau119[[#This Row],[Key(Compte ILN - shipper - POL)]],'DATA ILN'!B:P,15,FALSE))</f>
        <v>#N/A</v>
      </c>
      <c r="Y482" s="102" t="s">
        <v>163</v>
      </c>
      <c r="Z482" s="417">
        <f>IFERROR(VLOOKUP(Tableau119[[#This Row],[Name Shipper]],Plant_AILN!L:M,2,FALSE),0)</f>
        <v>95207</v>
      </c>
      <c r="AA482" s="416">
        <v>163</v>
      </c>
      <c r="AB482" s="396" t="b">
        <f>_xlfn.XLOOKUP(Tableau119[[#This Row],[Key(ID-date)]],'DATA BTO'!S:S,'DATA BTO'!E:E,FALSE)</f>
        <v>0</v>
      </c>
      <c r="AC482" s="3" t="b">
        <f>_xlfn.XLOOKUP(Tableau119[[#This Row],[Key(ID-date)]],'DATA BTO'!S:S,'DATA BTO'!F:F,FALSE)</f>
        <v>0</v>
      </c>
      <c r="AD482" s="50" t="b">
        <f>_xlfn.XLOOKUP(Tableau119[[#This Row],[Key(ID-date)]],'DATA BTO'!S:S,'DATA BTO'!G:G,FALSE)</f>
        <v>0</v>
      </c>
      <c r="AE482" s="50" t="b">
        <f>_xlfn.XLOOKUP(Tableau119[[#This Row],[Key(ID-date)]],'DATA BTO'!S:S,'DATA BTO'!H:H,FALSE)</f>
        <v>0</v>
      </c>
      <c r="AF482" s="447" t="e">
        <f>IF(Tableau119[[#This Row],[First Day to POL]]&lt;=Tableau119[[#This Row],[Day Cut Off]],Tableau119[[#This Row],[Day ETD]],Tableau119[[#This Row],[Day ETD]]+7)</f>
        <v>#N/A</v>
      </c>
      <c r="AG482" s="50" t="b">
        <f>_xlfn.XLOOKUP(Tableau119[[#This Row],[Key(ID-date)]],'DATA BTO'!S:S,'DATA BTO'!I:I,FALSE)</f>
        <v>0</v>
      </c>
      <c r="AH482" s="3" t="b">
        <f>_xlfn.XLOOKUP(Tableau119[[#This Row],[Key(ID-date)]],'DATA BTO'!S:S,'DATA BTO'!J:J,FALSE)</f>
        <v>0</v>
      </c>
      <c r="AI482" s="3" t="b">
        <f>_xlfn.XLOOKUP(Tableau119[[#This Row],[Key(ID-date)]],'DATA BTO'!S:S,'DATA BTO'!K:K,FALSE)</f>
        <v>0</v>
      </c>
      <c r="AJ482" s="50" t="b">
        <f>_xlfn.XLOOKUP(Tableau119[[#This Row],[Key(ID-date)]],'DATA BTO'!S:S,'DATA BTO'!L:L,FALSE)</f>
        <v>0</v>
      </c>
      <c r="AK482" s="53" t="b">
        <f>_xlfn.XLOOKUP(Tableau119[[#This Row],[Key(ID-date)]],'DATA BTO'!S:S,'DATA BTO'!N:N,FALSE)</f>
        <v>0</v>
      </c>
      <c r="AL482" s="54" t="e">
        <f>VLOOKUP(Tableau119[[#This Row],[Key(POD -PFI- Usine)]],'DATA Consignee'!A:F,6,FALSE)</f>
        <v>#N/A</v>
      </c>
      <c r="AM482" s="102" t="s">
        <v>155</v>
      </c>
      <c r="AN482" s="375">
        <f>IF(Tableau119[[#This Row],[Name PFI/CDD]]="","-",VLOOKUP(Tableau119[[#This Row],[Name PFI/CDD]],Plant_AILN!I:J,2,FALSE))</f>
        <v>90016600</v>
      </c>
      <c r="AO48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2" s="110" t="e">
        <f>VLOOKUP(Tableau119[[#This Row],[Key(POD -PFI- Usine)]],'DATA Consignee'!A:J,10,FALSE)</f>
        <v>#N/A</v>
      </c>
      <c r="AR482" s="81" t="e">
        <f>VLOOKUP(Tableau119[[#This Row],[Key(POD -PFI- Usine)]],'DATA Consignee'!A:N,14,FALSE)</f>
        <v>#N/A</v>
      </c>
      <c r="AS48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2" s="81">
        <f>Tableau119[[#This Row],[Transit time]]+Tableau119[[#This Row],[Time for security]]+Tableau119[[#This Row],[Time for security2 buffer]]</f>
        <v>0</v>
      </c>
      <c r="AV4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2" s="50" t="e">
        <f>Tableau119[[#This Row],[Leadtime SI2C]]+Tableau119[[#This Row],[First Receipt Days]]-Tableau119[[#This Row],[Day Customer Order]]+1</f>
        <v>#N/A</v>
      </c>
      <c r="AX482" s="119" t="e">
        <f>IF(Tableau119[[#This Row],[Name ILN]]&lt;&gt;"SFK Freight Forwarder",Tableau119[[#This Row],[Cust. Leadtime]],Tableau119[[#This Row],[Leadtime SI2C]])</f>
        <v>#N/A</v>
      </c>
      <c r="AY482" s="51" t="b">
        <f>_xlfn.XLOOKUP(Tableau119[[#This Row],[Key(ID-date)]],'DATA BTO'!S:S,'DATA BTO'!P:P,FALSE)</f>
        <v>0</v>
      </c>
      <c r="AZ482" s="388">
        <v>45777</v>
      </c>
      <c r="BA482" s="81"/>
    </row>
    <row r="483" spans="2:53">
      <c r="B483" s="446" t="str">
        <f>_xlfn.CONCAT(Tableau119[[#This Row],[Name ILN]],"-",Tableau119[[#This Row],[Name Shipper]],"-",Tableau119[[#This Row],[Name Site]])</f>
        <v>ILN Curitiba-ILN Curitiba-SOVAB</v>
      </c>
      <c r="C483" s="66" t="str">
        <f>_xlfn.CONCAT(Tableau119[[#This Row],[Compte ILN]],"-",Tableau119[[#This Row],[Compte Shipper]],"-",Tableau119[[#This Row],[POL]],"-",Tableau119[[#This Row],[Compte Consignee]])</f>
        <v>95207-95207-FALSO-90016900</v>
      </c>
      <c r="D483" s="66" t="str">
        <f>_xlfn.CONCAT(Tableau119[[#This Row],[Compte ILN]],"-",Tableau119[[#This Row],[Compte Shipper]],"-",Tableau119[[#This Row],[POL]])</f>
        <v>95207-95207-FALSO</v>
      </c>
      <c r="E483" s="130" t="str">
        <f>_xlfn.CONCAT(Tableau119[[#This Row],[POL]],"-",Tableau119[[#This Row],[Carrier]],"-",Tableau119[[#This Row],[POD]])</f>
        <v>FALSO-FALSO-FALSO</v>
      </c>
      <c r="F483" s="66" t="str">
        <f>_xlfn.CONCAT(Tableau119[[#This Row],[ID]],"-","Actif")</f>
        <v>163-Actif</v>
      </c>
      <c r="G483" s="66" t="str">
        <f>_xlfn.CONCAT(Tableau119[[#This Row],[POD]],"-",Tableau119[[#This Row],[Code PFI]],"-",Tableau119[[#This Row],[Compte Consignee]])</f>
        <v>FALSO-90016600-90016900</v>
      </c>
      <c r="H4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CuritibaFALSOSOVAB</v>
      </c>
      <c r="I483" s="434" t="str">
        <f>_xlfn.CONCAT(Tableau119[[#This Row],[ID]],"-",Tableau119[[#This Row],[Expiration Date]])</f>
        <v>163-45777</v>
      </c>
      <c r="J4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Curitiba-ILN Curitiba-163-FALSO-FALSO-FALSO-CDD FR-45777</v>
      </c>
      <c r="K483" s="119" t="str">
        <f ca="1">IF(COUNTIF(J:J,Tableau119[[#This Row],[Plant-ILN-shipper-POL-Carrier-POD-PFI]])=1,"Non","Oui")</f>
        <v>Non</v>
      </c>
      <c r="L483" s="128" t="str">
        <f>VLOOKUP(Tableau119[[#This Row],[Name Site]],Plant_AILN!A:D,4,FALSE)</f>
        <v>FRANCE</v>
      </c>
      <c r="M483" s="411" t="s">
        <v>154</v>
      </c>
      <c r="N483" s="454">
        <f>VLOOKUP(Tableau119[[#This Row],[Name Site]],Plant_AILN!A:C,3,FALSE)</f>
        <v>90016900</v>
      </c>
      <c r="O483" s="55">
        <f>VLOOKUP(Tableau119[[#This Row],[Compte Consignee]],Order!C:D,2,FALSE)</f>
        <v>7</v>
      </c>
      <c r="P483" s="124" t="s">
        <v>163</v>
      </c>
      <c r="Q483" s="365">
        <f>VLOOKUP(Tableau119[[#This Row],[Name ILN]],Plant_AILN!F:G,2,FALSE)</f>
        <v>95207</v>
      </c>
      <c r="R483" s="50">
        <f>VLOOKUP(Tableau119[[#This Row],[Compte ILN]],'DATA ILN'!D:I,6,FALSE)</f>
        <v>9</v>
      </c>
      <c r="S483" s="50" t="e">
        <f>IFERROR(VLOOKUP(Tableau119[[#This Row],[Key(Compte ILN - shipper - POL - plant)]],'DATA ILN'!A:J,10,FALSE),VLOOKUP(Tableau119[[#This Row],[Key(Compte ILN - shipper - POL)]],'DATA ILN'!B:J,9,FALSE))</f>
        <v>#N/A</v>
      </c>
      <c r="T483" s="50" t="e">
        <f>IFERROR(VLOOKUP(Tableau119[[#This Row],[Key(Compte ILN - shipper - POL - plant)]],'DATA ILN'!A:K,11,FALSE),VLOOKUP(Tableau119[[#This Row],[Key(Compte ILN - shipper - POL)]],'DATA ILN'!B:K,10,FALSE))</f>
        <v>#N/A</v>
      </c>
      <c r="U483" s="50" t="e">
        <f>IFERROR(VLOOKUP(Tableau119[[#This Row],[Key(Compte ILN - shipper - POL - plant)]],'DATA ILN'!A:L,12,FALSE),VLOOKUP(Tableau119[[#This Row],[Key(Compte ILN - shipper - POL)]],'DATA ILN'!B:L,11,FALSE))</f>
        <v>#N/A</v>
      </c>
      <c r="V483" s="50" t="e">
        <f>Tableau119[[#This Row],[Day ILN Order]]+Tableau119[[#This Row],[Delivery time to ILN/Shipper]]-1</f>
        <v>#N/A</v>
      </c>
      <c r="W483" s="50" t="e">
        <f>IFERROR(VLOOKUP(Tableau119[[#This Row],[Key(Compte ILN - shipper - POL - plant)]],'DATA ILN'!A:N,14,FALSE),VLOOKUP(Tableau119[[#This Row],[Key(Compte ILN - shipper - POL)]],'DATA ILN'!B:N,13,FALSE))</f>
        <v>#N/A</v>
      </c>
      <c r="X483" s="50" t="e">
        <f>IFERROR(VLOOKUP(Tableau119[[#This Row],[Key(Compte ILN - shipper - POL - plant)]],'DATA ILN'!A:P,16,FALSE),VLOOKUP(Tableau119[[#This Row],[Key(Compte ILN - shipper - POL)]],'DATA ILN'!B:P,15,FALSE))</f>
        <v>#N/A</v>
      </c>
      <c r="Y483" s="284" t="s">
        <v>163</v>
      </c>
      <c r="Z483" s="430">
        <f>IFERROR(VLOOKUP(Tableau119[[#This Row],[Name Shipper]],Plant_AILN!L:M,2,FALSE),0)</f>
        <v>95207</v>
      </c>
      <c r="AA483" s="406">
        <v>163</v>
      </c>
      <c r="AB483" s="396" t="b">
        <f>_xlfn.XLOOKUP(Tableau119[[#This Row],[Key(ID-date)]],'DATA BTO'!S:S,'DATA BTO'!E:E,FALSE)</f>
        <v>0</v>
      </c>
      <c r="AC483" s="3" t="b">
        <f>_xlfn.XLOOKUP(Tableau119[[#This Row],[Key(ID-date)]],'DATA BTO'!S:S,'DATA BTO'!F:F,FALSE)</f>
        <v>0</v>
      </c>
      <c r="AD483" s="50" t="b">
        <f>_xlfn.XLOOKUP(Tableau119[[#This Row],[Key(ID-date)]],'DATA BTO'!S:S,'DATA BTO'!G:G,FALSE)</f>
        <v>0</v>
      </c>
      <c r="AE483" s="50" t="b">
        <f>_xlfn.XLOOKUP(Tableau119[[#This Row],[Key(ID-date)]],'DATA BTO'!S:S,'DATA BTO'!H:H,FALSE)</f>
        <v>0</v>
      </c>
      <c r="AF483" s="447" t="e">
        <f>IF(Tableau119[[#This Row],[First Day to POL]]&lt;=Tableau119[[#This Row],[Day Cut Off]],Tableau119[[#This Row],[Day ETD]],Tableau119[[#This Row],[Day ETD]]+7)</f>
        <v>#N/A</v>
      </c>
      <c r="AG483" s="50" t="b">
        <f>_xlfn.XLOOKUP(Tableau119[[#This Row],[Key(ID-date)]],'DATA BTO'!S:S,'DATA BTO'!I:I,FALSE)</f>
        <v>0</v>
      </c>
      <c r="AH483" s="3" t="b">
        <f>_xlfn.XLOOKUP(Tableau119[[#This Row],[Key(ID-date)]],'DATA BTO'!S:S,'DATA BTO'!J:J,FALSE)</f>
        <v>0</v>
      </c>
      <c r="AI483" s="3" t="b">
        <f>_xlfn.XLOOKUP(Tableau119[[#This Row],[Key(ID-date)]],'DATA BTO'!S:S,'DATA BTO'!K:K,FALSE)</f>
        <v>0</v>
      </c>
      <c r="AJ483" s="50" t="b">
        <f>_xlfn.XLOOKUP(Tableau119[[#This Row],[Key(ID-date)]],'DATA BTO'!S:S,'DATA BTO'!L:L,FALSE)</f>
        <v>0</v>
      </c>
      <c r="AK483" s="53" t="b">
        <f>_xlfn.XLOOKUP(Tableau119[[#This Row],[Key(ID-date)]],'DATA BTO'!S:S,'DATA BTO'!N:N,FALSE)</f>
        <v>0</v>
      </c>
      <c r="AL483" s="54" t="e">
        <f>VLOOKUP(Tableau119[[#This Row],[Key(POD -PFI- Usine)]],'DATA Consignee'!A:F,6,FALSE)</f>
        <v>#N/A</v>
      </c>
      <c r="AM483" s="284" t="s">
        <v>155</v>
      </c>
      <c r="AN483" s="376">
        <f>IF(Tableau119[[#This Row],[Name PFI/CDD]]="","-",VLOOKUP(Tableau119[[#This Row],[Name PFI/CDD]],Plant_AILN!I:J,2,FALSE))</f>
        <v>90016600</v>
      </c>
      <c r="AO4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3" s="2" t="e">
        <f>VLOOKUP(Tableau119[[#This Row],[Key(POD -PFI- Usine)]],'DATA Consignee'!A:J,10,FALSE)</f>
        <v>#N/A</v>
      </c>
      <c r="AR483" s="50" t="e">
        <f>VLOOKUP(Tableau119[[#This Row],[Key(POD -PFI- Usine)]],'DATA Consignee'!A:N,14,FALSE)</f>
        <v>#N/A</v>
      </c>
      <c r="AS4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3" s="50">
        <f>Tableau119[[#This Row],[Transit time]]+Tableau119[[#This Row],[Time for security]]+Tableau119[[#This Row],[Time for security2 buffer]]</f>
        <v>0</v>
      </c>
      <c r="AV4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3" s="50" t="e">
        <f>Tableau119[[#This Row],[Leadtime SI2C]]+Tableau119[[#This Row],[First Receipt Days]]-Tableau119[[#This Row],[Day Customer Order]]+1</f>
        <v>#N/A</v>
      </c>
      <c r="AX483" s="119" t="e">
        <f>IF(Tableau119[[#This Row],[Name ILN]]&lt;&gt;"SFK Freight Forwarder",Tableau119[[#This Row],[Cust. Leadtime]],Tableau119[[#This Row],[Leadtime SI2C]])</f>
        <v>#N/A</v>
      </c>
      <c r="AY483" s="51" t="b">
        <f>_xlfn.XLOOKUP(Tableau119[[#This Row],[Key(ID-date)]],'DATA BTO'!S:S,'DATA BTO'!P:P,FALSE)</f>
        <v>0</v>
      </c>
      <c r="AZ483" s="338">
        <v>45777</v>
      </c>
      <c r="BA483" s="50"/>
    </row>
    <row r="484" spans="2:53">
      <c r="B484" s="446" t="str">
        <f>_xlfn.CONCAT(Tableau119[[#This Row],[Name ILN]],"-",Tableau119[[#This Row],[Name Shipper]],"-",Tableau119[[#This Row],[Name Site]])</f>
        <v>ILN Curitiba-ILN Curitiba-SANDOUVILLE</v>
      </c>
      <c r="C484" s="66" t="str">
        <f>_xlfn.CONCAT(Tableau119[[#This Row],[Compte ILN]],"-",Tableau119[[#This Row],[Compte Shipper]],"-",Tableau119[[#This Row],[POL]],"-",Tableau119[[#This Row],[Compte Consignee]])</f>
        <v>95207-95207-FALSO-90017100</v>
      </c>
      <c r="D484" s="66" t="str">
        <f>_xlfn.CONCAT(Tableau119[[#This Row],[Compte ILN]],"-",Tableau119[[#This Row],[Compte Shipper]],"-",Tableau119[[#This Row],[POL]])</f>
        <v>95207-95207-FALSO</v>
      </c>
      <c r="E484" s="130" t="str">
        <f>_xlfn.CONCAT(Tableau119[[#This Row],[POL]],"-",Tableau119[[#This Row],[Carrier]],"-",Tableau119[[#This Row],[POD]])</f>
        <v>FALSO-FALSO-FALSO</v>
      </c>
      <c r="F484" s="66" t="str">
        <f>_xlfn.CONCAT(Tableau119[[#This Row],[ID]],"-","Actif")</f>
        <v>163-Actif</v>
      </c>
      <c r="G484" s="66" t="str">
        <f>_xlfn.CONCAT(Tableau119[[#This Row],[POD]],"-",Tableau119[[#This Row],[Code PFI]],"-",Tableau119[[#This Row],[Compte Consignee]])</f>
        <v>FALSO-90016600-90017100</v>
      </c>
      <c r="H4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CuritibaFALSOSANDOUVILLE</v>
      </c>
      <c r="I484" s="434" t="str">
        <f>_xlfn.CONCAT(Tableau119[[#This Row],[ID]],"-",Tableau119[[#This Row],[Expiration Date]])</f>
        <v>163-45777</v>
      </c>
      <c r="J4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Curitiba-ILN Curitiba-163-FALSO-FALSO-FALSO-CDD FR-45777</v>
      </c>
      <c r="K484" s="119" t="str">
        <f ca="1">IF(COUNTIF(J:J,Tableau119[[#This Row],[Plant-ILN-shipper-POL-Carrier-POD-PFI]])=1,"Non","Oui")</f>
        <v>Non</v>
      </c>
      <c r="L484" s="128" t="str">
        <f>VLOOKUP(Tableau119[[#This Row],[Name Site]],Plant_AILN!A:D,4,FALSE)</f>
        <v>FRANCE</v>
      </c>
      <c r="M484" s="411" t="s">
        <v>196</v>
      </c>
      <c r="N484" s="454">
        <f>VLOOKUP(Tableau119[[#This Row],[Name Site]],Plant_AILN!A:C,3,FALSE)</f>
        <v>90017100</v>
      </c>
      <c r="O484" s="55">
        <f>VLOOKUP(Tableau119[[#This Row],[Compte Consignee]],Order!C:D,2,FALSE)</f>
        <v>7</v>
      </c>
      <c r="P484" s="124" t="s">
        <v>163</v>
      </c>
      <c r="Q484" s="365">
        <f>VLOOKUP(Tableau119[[#This Row],[Name ILN]],Plant_AILN!F:G,2,FALSE)</f>
        <v>95207</v>
      </c>
      <c r="R484" s="50">
        <f>VLOOKUP(Tableau119[[#This Row],[Compte ILN]],'DATA ILN'!D:I,6,FALSE)</f>
        <v>9</v>
      </c>
      <c r="S484" s="50" t="e">
        <f>IFERROR(VLOOKUP(Tableau119[[#This Row],[Key(Compte ILN - shipper - POL - plant)]],'DATA ILN'!A:J,10,FALSE),VLOOKUP(Tableau119[[#This Row],[Key(Compte ILN - shipper - POL)]],'DATA ILN'!B:J,9,FALSE))</f>
        <v>#N/A</v>
      </c>
      <c r="T484" s="50" t="e">
        <f>IFERROR(VLOOKUP(Tableau119[[#This Row],[Key(Compte ILN - shipper - POL - plant)]],'DATA ILN'!A:K,11,FALSE),VLOOKUP(Tableau119[[#This Row],[Key(Compte ILN - shipper - POL)]],'DATA ILN'!B:K,10,FALSE))</f>
        <v>#N/A</v>
      </c>
      <c r="U484" s="50" t="e">
        <f>IFERROR(VLOOKUP(Tableau119[[#This Row],[Key(Compte ILN - shipper - POL - plant)]],'DATA ILN'!A:L,12,FALSE),VLOOKUP(Tableau119[[#This Row],[Key(Compte ILN - shipper - POL)]],'DATA ILN'!B:L,11,FALSE))</f>
        <v>#N/A</v>
      </c>
      <c r="V484" s="50" t="e">
        <f>Tableau119[[#This Row],[Day ILN Order]]+Tableau119[[#This Row],[Delivery time to ILN/Shipper]]-1</f>
        <v>#N/A</v>
      </c>
      <c r="W484" s="50" t="e">
        <f>IFERROR(VLOOKUP(Tableau119[[#This Row],[Key(Compte ILN - shipper - POL - plant)]],'DATA ILN'!A:N,14,FALSE),VLOOKUP(Tableau119[[#This Row],[Key(Compte ILN - shipper - POL)]],'DATA ILN'!B:N,13,FALSE))</f>
        <v>#N/A</v>
      </c>
      <c r="X484" s="50" t="e">
        <f>IFERROR(VLOOKUP(Tableau119[[#This Row],[Key(Compte ILN - shipper - POL - plant)]],'DATA ILN'!A:P,16,FALSE),VLOOKUP(Tableau119[[#This Row],[Key(Compte ILN - shipper - POL)]],'DATA ILN'!B:P,15,FALSE))</f>
        <v>#N/A</v>
      </c>
      <c r="Y484" s="284" t="s">
        <v>163</v>
      </c>
      <c r="Z484" s="430">
        <f>IFERROR(VLOOKUP(Tableau119[[#This Row],[Name Shipper]],Plant_AILN!L:M,2,FALSE),0)</f>
        <v>95207</v>
      </c>
      <c r="AA484" s="406">
        <v>163</v>
      </c>
      <c r="AB484" s="396" t="b">
        <f>_xlfn.XLOOKUP(Tableau119[[#This Row],[Key(ID-date)]],'DATA BTO'!S:S,'DATA BTO'!E:E,FALSE)</f>
        <v>0</v>
      </c>
      <c r="AC484" s="3" t="b">
        <f>_xlfn.XLOOKUP(Tableau119[[#This Row],[Key(ID-date)]],'DATA BTO'!S:S,'DATA BTO'!F:F,FALSE)</f>
        <v>0</v>
      </c>
      <c r="AD484" s="50" t="b">
        <f>_xlfn.XLOOKUP(Tableau119[[#This Row],[Key(ID-date)]],'DATA BTO'!S:S,'DATA BTO'!G:G,FALSE)</f>
        <v>0</v>
      </c>
      <c r="AE484" s="50" t="b">
        <f>_xlfn.XLOOKUP(Tableau119[[#This Row],[Key(ID-date)]],'DATA BTO'!S:S,'DATA BTO'!H:H,FALSE)</f>
        <v>0</v>
      </c>
      <c r="AF484" s="447" t="e">
        <f>IF(Tableau119[[#This Row],[First Day to POL]]&lt;=Tableau119[[#This Row],[Day Cut Off]],Tableau119[[#This Row],[Day ETD]],Tableau119[[#This Row],[Day ETD]]+7)</f>
        <v>#N/A</v>
      </c>
      <c r="AG484" s="50" t="b">
        <f>_xlfn.XLOOKUP(Tableau119[[#This Row],[Key(ID-date)]],'DATA BTO'!S:S,'DATA BTO'!I:I,FALSE)</f>
        <v>0</v>
      </c>
      <c r="AH484" s="3" t="b">
        <f>_xlfn.XLOOKUP(Tableau119[[#This Row],[Key(ID-date)]],'DATA BTO'!S:S,'DATA BTO'!J:J,FALSE)</f>
        <v>0</v>
      </c>
      <c r="AI484" s="3" t="b">
        <f>_xlfn.XLOOKUP(Tableau119[[#This Row],[Key(ID-date)]],'DATA BTO'!S:S,'DATA BTO'!K:K,FALSE)</f>
        <v>0</v>
      </c>
      <c r="AJ484" s="50" t="b">
        <f>_xlfn.XLOOKUP(Tableau119[[#This Row],[Key(ID-date)]],'DATA BTO'!S:S,'DATA BTO'!L:L,FALSE)</f>
        <v>0</v>
      </c>
      <c r="AK484" s="53" t="b">
        <f>_xlfn.XLOOKUP(Tableau119[[#This Row],[Key(ID-date)]],'DATA BTO'!S:S,'DATA BTO'!N:N,FALSE)</f>
        <v>0</v>
      </c>
      <c r="AL484" s="54" t="e">
        <f>VLOOKUP(Tableau119[[#This Row],[Key(POD -PFI- Usine)]],'DATA Consignee'!A:F,6,FALSE)</f>
        <v>#N/A</v>
      </c>
      <c r="AM484" s="284" t="s">
        <v>155</v>
      </c>
      <c r="AN484" s="376">
        <f>IF(Tableau119[[#This Row],[Name PFI/CDD]]="","-",VLOOKUP(Tableau119[[#This Row],[Name PFI/CDD]],Plant_AILN!I:J,2,FALSE))</f>
        <v>90016600</v>
      </c>
      <c r="AO4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4" s="2" t="e">
        <f>VLOOKUP(Tableau119[[#This Row],[Key(POD -PFI- Usine)]],'DATA Consignee'!A:J,10,FALSE)</f>
        <v>#N/A</v>
      </c>
      <c r="AR484" s="50" t="e">
        <f>VLOOKUP(Tableau119[[#This Row],[Key(POD -PFI- Usine)]],'DATA Consignee'!A:N,14,FALSE)</f>
        <v>#N/A</v>
      </c>
      <c r="AS4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4" s="50">
        <f>Tableau119[[#This Row],[Transit time]]+Tableau119[[#This Row],[Time for security]]+Tableau119[[#This Row],[Time for security2 buffer]]</f>
        <v>0</v>
      </c>
      <c r="AV4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4" s="50" t="e">
        <f>Tableau119[[#This Row],[Leadtime SI2C]]+Tableau119[[#This Row],[First Receipt Days]]-Tableau119[[#This Row],[Day Customer Order]]+1</f>
        <v>#N/A</v>
      </c>
      <c r="AX484" s="119" t="e">
        <f>IF(Tableau119[[#This Row],[Name ILN]]&lt;&gt;"SFK Freight Forwarder",Tableau119[[#This Row],[Cust. Leadtime]],Tableau119[[#This Row],[Leadtime SI2C]])</f>
        <v>#N/A</v>
      </c>
      <c r="AY484" s="51" t="b">
        <f>_xlfn.XLOOKUP(Tableau119[[#This Row],[Key(ID-date)]],'DATA BTO'!S:S,'DATA BTO'!P:P,FALSE)</f>
        <v>0</v>
      </c>
      <c r="AZ484" s="338">
        <v>45777</v>
      </c>
      <c r="BA484" s="50"/>
    </row>
    <row r="485" spans="2:53">
      <c r="B485" s="446" t="str">
        <f>_xlfn.CONCAT(Tableau119[[#This Row],[Name ILN]],"-",Tableau119[[#This Row],[Name Shipper]],"-",Tableau119[[#This Row],[Name Site]])</f>
        <v>ILN Curitiba-ILN Curitiba-ALPINE</v>
      </c>
      <c r="C485" s="66" t="str">
        <f>_xlfn.CONCAT(Tableau119[[#This Row],[Compte ILN]],"-",Tableau119[[#This Row],[Compte Shipper]],"-",Tableau119[[#This Row],[POL]],"-",Tableau119[[#This Row],[Compte Consignee]])</f>
        <v>95207-95207-FALSO-90018300</v>
      </c>
      <c r="D485" s="66" t="str">
        <f>_xlfn.CONCAT(Tableau119[[#This Row],[Compte ILN]],"-",Tableau119[[#This Row],[Compte Shipper]],"-",Tableau119[[#This Row],[POL]])</f>
        <v>95207-95207-FALSO</v>
      </c>
      <c r="E485" s="130" t="str">
        <f>_xlfn.CONCAT(Tableau119[[#This Row],[POL]],"-",Tableau119[[#This Row],[Carrier]],"-",Tableau119[[#This Row],[POD]])</f>
        <v>FALSO-FALSO-FALSO</v>
      </c>
      <c r="F485" s="66" t="str">
        <f>_xlfn.CONCAT(Tableau119[[#This Row],[ID]],"-","Actif")</f>
        <v>163-Actif</v>
      </c>
      <c r="G485" s="66" t="str">
        <f>_xlfn.CONCAT(Tableau119[[#This Row],[POD]],"-",Tableau119[[#This Row],[Code PFI]],"-",Tableau119[[#This Row],[Compte Consignee]])</f>
        <v>FALSO-90016600-90018300</v>
      </c>
      <c r="H4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CuritibaFALSOALPINE</v>
      </c>
      <c r="I485" s="434" t="str">
        <f>_xlfn.CONCAT(Tableau119[[#This Row],[ID]],"-",Tableau119[[#This Row],[Expiration Date]])</f>
        <v>163-45777</v>
      </c>
      <c r="J4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Curitiba-ILN Curitiba-163-FALSO-FALSO-FALSO-CDD FR-45777</v>
      </c>
      <c r="K485" s="119" t="str">
        <f ca="1">IF(COUNTIF(J:J,Tableau119[[#This Row],[Plant-ILN-shipper-POL-Carrier-POD-PFI]])=1,"Non","Oui")</f>
        <v>Non</v>
      </c>
      <c r="L485" s="128" t="str">
        <f>VLOOKUP(Tableau119[[#This Row],[Name Site]],Plant_AILN!A:D,4,FALSE)</f>
        <v>FRANCE</v>
      </c>
      <c r="M485" s="411" t="s">
        <v>220</v>
      </c>
      <c r="N485" s="454">
        <f>VLOOKUP(Tableau119[[#This Row],[Name Site]],Plant_AILN!A:C,3,FALSE)</f>
        <v>90018300</v>
      </c>
      <c r="O485" s="55">
        <f>VLOOKUP(Tableau119[[#This Row],[Compte Consignee]],Order!C:D,2,FALSE)</f>
        <v>7</v>
      </c>
      <c r="P485" s="124" t="s">
        <v>163</v>
      </c>
      <c r="Q485" s="365">
        <f>VLOOKUP(Tableau119[[#This Row],[Name ILN]],Plant_AILN!F:G,2,FALSE)</f>
        <v>95207</v>
      </c>
      <c r="R485" s="50">
        <f>VLOOKUP(Tableau119[[#This Row],[Compte ILN]],'DATA ILN'!D:I,6,FALSE)</f>
        <v>9</v>
      </c>
      <c r="S485" s="50" t="e">
        <f>IFERROR(VLOOKUP(Tableau119[[#This Row],[Key(Compte ILN - shipper - POL - plant)]],'DATA ILN'!A:J,10,FALSE),VLOOKUP(Tableau119[[#This Row],[Key(Compte ILN - shipper - POL)]],'DATA ILN'!B:J,9,FALSE))</f>
        <v>#N/A</v>
      </c>
      <c r="T485" s="50" t="e">
        <f>IFERROR(VLOOKUP(Tableau119[[#This Row],[Key(Compte ILN - shipper - POL - plant)]],'DATA ILN'!A:K,11,FALSE),VLOOKUP(Tableau119[[#This Row],[Key(Compte ILN - shipper - POL)]],'DATA ILN'!B:K,10,FALSE))</f>
        <v>#N/A</v>
      </c>
      <c r="U485" s="50" t="e">
        <f>IFERROR(VLOOKUP(Tableau119[[#This Row],[Key(Compte ILN - shipper - POL - plant)]],'DATA ILN'!A:L,12,FALSE),VLOOKUP(Tableau119[[#This Row],[Key(Compte ILN - shipper - POL)]],'DATA ILN'!B:L,11,FALSE))</f>
        <v>#N/A</v>
      </c>
      <c r="V485" s="50" t="e">
        <f>Tableau119[[#This Row],[Day ILN Order]]+Tableau119[[#This Row],[Delivery time to ILN/Shipper]]-1</f>
        <v>#N/A</v>
      </c>
      <c r="W485" s="50" t="e">
        <f>IFERROR(VLOOKUP(Tableau119[[#This Row],[Key(Compte ILN - shipper - POL - plant)]],'DATA ILN'!A:N,14,FALSE),VLOOKUP(Tableau119[[#This Row],[Key(Compte ILN - shipper - POL)]],'DATA ILN'!B:N,13,FALSE))</f>
        <v>#N/A</v>
      </c>
      <c r="X485" s="50" t="e">
        <f>IFERROR(VLOOKUP(Tableau119[[#This Row],[Key(Compte ILN - shipper - POL - plant)]],'DATA ILN'!A:P,16,FALSE),VLOOKUP(Tableau119[[#This Row],[Key(Compte ILN - shipper - POL)]],'DATA ILN'!B:P,15,FALSE))</f>
        <v>#N/A</v>
      </c>
      <c r="Y485" s="284" t="s">
        <v>163</v>
      </c>
      <c r="Z485" s="430">
        <f>IFERROR(VLOOKUP(Tableau119[[#This Row],[Name Shipper]],Plant_AILN!L:M,2,FALSE),0)</f>
        <v>95207</v>
      </c>
      <c r="AA485" s="406">
        <v>163</v>
      </c>
      <c r="AB485" s="396" t="b">
        <f>_xlfn.XLOOKUP(Tableau119[[#This Row],[Key(ID-date)]],'DATA BTO'!S:S,'DATA BTO'!E:E,FALSE)</f>
        <v>0</v>
      </c>
      <c r="AC485" s="3" t="b">
        <f>_xlfn.XLOOKUP(Tableau119[[#This Row],[Key(ID-date)]],'DATA BTO'!S:S,'DATA BTO'!F:F,FALSE)</f>
        <v>0</v>
      </c>
      <c r="AD485" s="50" t="b">
        <f>_xlfn.XLOOKUP(Tableau119[[#This Row],[Key(ID-date)]],'DATA BTO'!S:S,'DATA BTO'!G:G,FALSE)</f>
        <v>0</v>
      </c>
      <c r="AE485" s="50" t="b">
        <f>_xlfn.XLOOKUP(Tableau119[[#This Row],[Key(ID-date)]],'DATA BTO'!S:S,'DATA BTO'!H:H,FALSE)</f>
        <v>0</v>
      </c>
      <c r="AF485" s="447" t="e">
        <f>IF(Tableau119[[#This Row],[First Day to POL]]&lt;=Tableau119[[#This Row],[Day Cut Off]],Tableau119[[#This Row],[Day ETD]],Tableau119[[#This Row],[Day ETD]]+7)</f>
        <v>#N/A</v>
      </c>
      <c r="AG485" s="50" t="b">
        <f>_xlfn.XLOOKUP(Tableau119[[#This Row],[Key(ID-date)]],'DATA BTO'!S:S,'DATA BTO'!I:I,FALSE)</f>
        <v>0</v>
      </c>
      <c r="AH485" s="3" t="b">
        <f>_xlfn.XLOOKUP(Tableau119[[#This Row],[Key(ID-date)]],'DATA BTO'!S:S,'DATA BTO'!J:J,FALSE)</f>
        <v>0</v>
      </c>
      <c r="AI485" s="3" t="b">
        <f>_xlfn.XLOOKUP(Tableau119[[#This Row],[Key(ID-date)]],'DATA BTO'!S:S,'DATA BTO'!K:K,FALSE)</f>
        <v>0</v>
      </c>
      <c r="AJ485" s="50" t="b">
        <f>_xlfn.XLOOKUP(Tableau119[[#This Row],[Key(ID-date)]],'DATA BTO'!S:S,'DATA BTO'!L:L,FALSE)</f>
        <v>0</v>
      </c>
      <c r="AK485" s="53" t="b">
        <f>_xlfn.XLOOKUP(Tableau119[[#This Row],[Key(ID-date)]],'DATA BTO'!S:S,'DATA BTO'!N:N,FALSE)</f>
        <v>0</v>
      </c>
      <c r="AL485" s="54" t="e">
        <f>VLOOKUP(Tableau119[[#This Row],[Key(POD -PFI- Usine)]],'DATA Consignee'!A:F,6,FALSE)</f>
        <v>#N/A</v>
      </c>
      <c r="AM485" s="284" t="s">
        <v>155</v>
      </c>
      <c r="AN485" s="376">
        <f>IF(Tableau119[[#This Row],[Name PFI/CDD]]="","-",VLOOKUP(Tableau119[[#This Row],[Name PFI/CDD]],Plant_AILN!I:J,2,FALSE))</f>
        <v>90016600</v>
      </c>
      <c r="AO4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5" s="2" t="e">
        <f>VLOOKUP(Tableau119[[#This Row],[Key(POD -PFI- Usine)]],'DATA Consignee'!A:J,10,FALSE)</f>
        <v>#N/A</v>
      </c>
      <c r="AR485" s="50" t="e">
        <f>VLOOKUP(Tableau119[[#This Row],[Key(POD -PFI- Usine)]],'DATA Consignee'!A:N,14,FALSE)</f>
        <v>#N/A</v>
      </c>
      <c r="AS4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5" s="50">
        <f>Tableau119[[#This Row],[Transit time]]+Tableau119[[#This Row],[Time for security]]+Tableau119[[#This Row],[Time for security2 buffer]]</f>
        <v>0</v>
      </c>
      <c r="AV4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5" s="50" t="e">
        <f>Tableau119[[#This Row],[Leadtime SI2C]]+Tableau119[[#This Row],[First Receipt Days]]-Tableau119[[#This Row],[Day Customer Order]]+1</f>
        <v>#N/A</v>
      </c>
      <c r="AX485" s="119" t="e">
        <f>IF(Tableau119[[#This Row],[Name ILN]]&lt;&gt;"SFK Freight Forwarder",Tableau119[[#This Row],[Cust. Leadtime]],Tableau119[[#This Row],[Leadtime SI2C]])</f>
        <v>#N/A</v>
      </c>
      <c r="AY485" s="51" t="b">
        <f>_xlfn.XLOOKUP(Tableau119[[#This Row],[Key(ID-date)]],'DATA BTO'!S:S,'DATA BTO'!P:P,FALSE)</f>
        <v>0</v>
      </c>
      <c r="AZ485" s="338">
        <v>45777</v>
      </c>
      <c r="BA485" s="50"/>
    </row>
    <row r="486" spans="2:53">
      <c r="B486" s="446" t="str">
        <f>_xlfn.CONCAT(Tableau119[[#This Row],[Name ILN]],"-",Tableau119[[#This Row],[Name Shipper]],"-",Tableau119[[#This Row],[Name Site]])</f>
        <v>ILN Curitiba-ILN Curitiba-STA</v>
      </c>
      <c r="C486" s="66" t="str">
        <f>_xlfn.CONCAT(Tableau119[[#This Row],[Compte ILN]],"-",Tableau119[[#This Row],[Compte Shipper]],"-",Tableau119[[#This Row],[POL]],"-",Tableau119[[#This Row],[Compte Consignee]])</f>
        <v>95207-95207-FALSO-90018400</v>
      </c>
      <c r="D486" s="66" t="str">
        <f>_xlfn.CONCAT(Tableau119[[#This Row],[Compte ILN]],"-",Tableau119[[#This Row],[Compte Shipper]],"-",Tableau119[[#This Row],[POL]])</f>
        <v>95207-95207-FALSO</v>
      </c>
      <c r="E486" s="130" t="str">
        <f>_xlfn.CONCAT(Tableau119[[#This Row],[POL]],"-",Tableau119[[#This Row],[Carrier]],"-",Tableau119[[#This Row],[POD]])</f>
        <v>FALSO-FALSO-FALSO</v>
      </c>
      <c r="F486" s="66" t="str">
        <f>_xlfn.CONCAT(Tableau119[[#This Row],[ID]],"-","Actif")</f>
        <v>163-Actif</v>
      </c>
      <c r="G486" s="66" t="str">
        <f>_xlfn.CONCAT(Tableau119[[#This Row],[POD]],"-",Tableau119[[#This Row],[Code PFI]],"-",Tableau119[[#This Row],[Compte Consignee]])</f>
        <v>FALSO-90016600-90018400</v>
      </c>
      <c r="H4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CuritibaFALSOSTA</v>
      </c>
      <c r="I486" s="434" t="str">
        <f>_xlfn.CONCAT(Tableau119[[#This Row],[ID]],"-",Tableau119[[#This Row],[Expiration Date]])</f>
        <v>163-45777</v>
      </c>
      <c r="J4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Curitiba-ILN Curitiba-163-FALSO-FALSO-FALSO-CDD FR-45777</v>
      </c>
      <c r="K486" s="119" t="str">
        <f ca="1">IF(COUNTIF(J:J,Tableau119[[#This Row],[Plant-ILN-shipper-POL-Carrier-POD-PFI]])=1,"Non","Oui")</f>
        <v>Non</v>
      </c>
      <c r="L486" s="128" t="str">
        <f>VLOOKUP(Tableau119[[#This Row],[Name Site]],Plant_AILN!A:D,4,FALSE)</f>
        <v>FRANCE</v>
      </c>
      <c r="M486" s="411" t="s">
        <v>219</v>
      </c>
      <c r="N486" s="454">
        <f>VLOOKUP(Tableau119[[#This Row],[Name Site]],Plant_AILN!A:C,3,FALSE)</f>
        <v>90018400</v>
      </c>
      <c r="O486" s="55">
        <f>VLOOKUP(Tableau119[[#This Row],[Compte Consignee]],Order!C:D,2,FALSE)</f>
        <v>7</v>
      </c>
      <c r="P486" s="124" t="s">
        <v>163</v>
      </c>
      <c r="Q486" s="365">
        <f>VLOOKUP(Tableau119[[#This Row],[Name ILN]],Plant_AILN!F:G,2,FALSE)</f>
        <v>95207</v>
      </c>
      <c r="R486" s="50">
        <f>VLOOKUP(Tableau119[[#This Row],[Compte ILN]],'DATA ILN'!D:I,6,FALSE)</f>
        <v>9</v>
      </c>
      <c r="S486" s="50" t="e">
        <f>IFERROR(VLOOKUP(Tableau119[[#This Row],[Key(Compte ILN - shipper - POL - plant)]],'DATA ILN'!A:J,10,FALSE),VLOOKUP(Tableau119[[#This Row],[Key(Compte ILN - shipper - POL)]],'DATA ILN'!B:J,9,FALSE))</f>
        <v>#N/A</v>
      </c>
      <c r="T486" s="50" t="e">
        <f>IFERROR(VLOOKUP(Tableau119[[#This Row],[Key(Compte ILN - shipper - POL - plant)]],'DATA ILN'!A:K,11,FALSE),VLOOKUP(Tableau119[[#This Row],[Key(Compte ILN - shipper - POL)]],'DATA ILN'!B:K,10,FALSE))</f>
        <v>#N/A</v>
      </c>
      <c r="U486" s="50" t="e">
        <f>IFERROR(VLOOKUP(Tableau119[[#This Row],[Key(Compte ILN - shipper - POL - plant)]],'DATA ILN'!A:L,12,FALSE),VLOOKUP(Tableau119[[#This Row],[Key(Compte ILN - shipper - POL)]],'DATA ILN'!B:L,11,FALSE))</f>
        <v>#N/A</v>
      </c>
      <c r="V486" s="50" t="e">
        <f>Tableau119[[#This Row],[Day ILN Order]]+Tableau119[[#This Row],[Delivery time to ILN/Shipper]]-1</f>
        <v>#N/A</v>
      </c>
      <c r="W486" s="50" t="e">
        <f>IFERROR(VLOOKUP(Tableau119[[#This Row],[Key(Compte ILN - shipper - POL - plant)]],'DATA ILN'!A:N,14,FALSE),VLOOKUP(Tableau119[[#This Row],[Key(Compte ILN - shipper - POL)]],'DATA ILN'!B:N,13,FALSE))</f>
        <v>#N/A</v>
      </c>
      <c r="X486" s="50" t="e">
        <f>IFERROR(VLOOKUP(Tableau119[[#This Row],[Key(Compte ILN - shipper - POL - plant)]],'DATA ILN'!A:P,16,FALSE),VLOOKUP(Tableau119[[#This Row],[Key(Compte ILN - shipper - POL)]],'DATA ILN'!B:P,15,FALSE))</f>
        <v>#N/A</v>
      </c>
      <c r="Y486" s="284" t="s">
        <v>163</v>
      </c>
      <c r="Z486" s="430">
        <f>IFERROR(VLOOKUP(Tableau119[[#This Row],[Name Shipper]],Plant_AILN!L:M,2,FALSE),0)</f>
        <v>95207</v>
      </c>
      <c r="AA486" s="406">
        <v>163</v>
      </c>
      <c r="AB486" s="396" t="b">
        <f>_xlfn.XLOOKUP(Tableau119[[#This Row],[Key(ID-date)]],'DATA BTO'!S:S,'DATA BTO'!E:E,FALSE)</f>
        <v>0</v>
      </c>
      <c r="AC486" s="3" t="b">
        <f>_xlfn.XLOOKUP(Tableau119[[#This Row],[Key(ID-date)]],'DATA BTO'!S:S,'DATA BTO'!F:F,FALSE)</f>
        <v>0</v>
      </c>
      <c r="AD486" s="50" t="b">
        <f>_xlfn.XLOOKUP(Tableau119[[#This Row],[Key(ID-date)]],'DATA BTO'!S:S,'DATA BTO'!G:G,FALSE)</f>
        <v>0</v>
      </c>
      <c r="AE486" s="50" t="b">
        <f>_xlfn.XLOOKUP(Tableau119[[#This Row],[Key(ID-date)]],'DATA BTO'!S:S,'DATA BTO'!H:H,FALSE)</f>
        <v>0</v>
      </c>
      <c r="AF486" s="447" t="e">
        <f>IF(Tableau119[[#This Row],[First Day to POL]]&lt;=Tableau119[[#This Row],[Day Cut Off]],Tableau119[[#This Row],[Day ETD]],Tableau119[[#This Row],[Day ETD]]+7)</f>
        <v>#N/A</v>
      </c>
      <c r="AG486" s="50" t="b">
        <f>_xlfn.XLOOKUP(Tableau119[[#This Row],[Key(ID-date)]],'DATA BTO'!S:S,'DATA BTO'!I:I,FALSE)</f>
        <v>0</v>
      </c>
      <c r="AH486" s="3" t="b">
        <f>_xlfn.XLOOKUP(Tableau119[[#This Row],[Key(ID-date)]],'DATA BTO'!S:S,'DATA BTO'!J:J,FALSE)</f>
        <v>0</v>
      </c>
      <c r="AI486" s="3" t="b">
        <f>_xlfn.XLOOKUP(Tableau119[[#This Row],[Key(ID-date)]],'DATA BTO'!S:S,'DATA BTO'!K:K,FALSE)</f>
        <v>0</v>
      </c>
      <c r="AJ486" s="50" t="b">
        <f>_xlfn.XLOOKUP(Tableau119[[#This Row],[Key(ID-date)]],'DATA BTO'!S:S,'DATA BTO'!L:L,FALSE)</f>
        <v>0</v>
      </c>
      <c r="AK486" s="53" t="b">
        <f>_xlfn.XLOOKUP(Tableau119[[#This Row],[Key(ID-date)]],'DATA BTO'!S:S,'DATA BTO'!N:N,FALSE)</f>
        <v>0</v>
      </c>
      <c r="AL486" s="54" t="e">
        <f>VLOOKUP(Tableau119[[#This Row],[Key(POD -PFI- Usine)]],'DATA Consignee'!A:F,6,FALSE)</f>
        <v>#N/A</v>
      </c>
      <c r="AM486" s="284" t="s">
        <v>155</v>
      </c>
      <c r="AN486" s="376">
        <f>IF(Tableau119[[#This Row],[Name PFI/CDD]]="","-",VLOOKUP(Tableau119[[#This Row],[Name PFI/CDD]],Plant_AILN!I:J,2,FALSE))</f>
        <v>90016600</v>
      </c>
      <c r="AO4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6" s="2" t="e">
        <f>VLOOKUP(Tableau119[[#This Row],[Key(POD -PFI- Usine)]],'DATA Consignee'!A:J,10,FALSE)</f>
        <v>#N/A</v>
      </c>
      <c r="AR486" s="50" t="e">
        <f>VLOOKUP(Tableau119[[#This Row],[Key(POD -PFI- Usine)]],'DATA Consignee'!A:N,14,FALSE)</f>
        <v>#N/A</v>
      </c>
      <c r="AS4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6" s="50">
        <f>Tableau119[[#This Row],[Transit time]]+Tableau119[[#This Row],[Time for security]]+Tableau119[[#This Row],[Time for security2 buffer]]</f>
        <v>0</v>
      </c>
      <c r="AV4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6" s="50" t="e">
        <f>Tableau119[[#This Row],[Leadtime SI2C]]+Tableau119[[#This Row],[First Receipt Days]]-Tableau119[[#This Row],[Day Customer Order]]+1</f>
        <v>#N/A</v>
      </c>
      <c r="AX486" s="119" t="e">
        <f>IF(Tableau119[[#This Row],[Name ILN]]&lt;&gt;"SFK Freight Forwarder",Tableau119[[#This Row],[Cust. Leadtime]],Tableau119[[#This Row],[Leadtime SI2C]])</f>
        <v>#N/A</v>
      </c>
      <c r="AY486" s="51" t="b">
        <f>_xlfn.XLOOKUP(Tableau119[[#This Row],[Key(ID-date)]],'DATA BTO'!S:S,'DATA BTO'!P:P,FALSE)</f>
        <v>0</v>
      </c>
      <c r="AZ486" s="338">
        <v>45777</v>
      </c>
      <c r="BA486" s="50"/>
    </row>
    <row r="487" spans="2:53">
      <c r="B487" s="446" t="str">
        <f>_xlfn.CONCAT(Tableau119[[#This Row],[Name ILN]],"-",Tableau119[[#This Row],[Name Shipper]],"-",Tableau119[[#This Row],[Name Site]])</f>
        <v>ILN Curitiba-ILN Curitiba-DOUAI</v>
      </c>
      <c r="C487" s="66" t="str">
        <f>_xlfn.CONCAT(Tableau119[[#This Row],[Compte ILN]],"-",Tableau119[[#This Row],[Compte Shipper]],"-",Tableau119[[#This Row],[POL]],"-",Tableau119[[#This Row],[Compte Consignee]])</f>
        <v>95207-95207-FALSO-90019100</v>
      </c>
      <c r="D487" s="66" t="str">
        <f>_xlfn.CONCAT(Tableau119[[#This Row],[Compte ILN]],"-",Tableau119[[#This Row],[Compte Shipper]],"-",Tableau119[[#This Row],[POL]])</f>
        <v>95207-95207-FALSO</v>
      </c>
      <c r="E487" s="130" t="str">
        <f>_xlfn.CONCAT(Tableau119[[#This Row],[POL]],"-",Tableau119[[#This Row],[Carrier]],"-",Tableau119[[#This Row],[POD]])</f>
        <v>FALSO-FALSO-FALSO</v>
      </c>
      <c r="F487" s="66" t="str">
        <f>_xlfn.CONCAT(Tableau119[[#This Row],[ID]],"-","Actif")</f>
        <v>163-Actif</v>
      </c>
      <c r="G487" s="66" t="str">
        <f>_xlfn.CONCAT(Tableau119[[#This Row],[POD]],"-",Tableau119[[#This Row],[Code PFI]],"-",Tableau119[[#This Row],[Compte Consignee]])</f>
        <v>FALSO-90016600-90019100</v>
      </c>
      <c r="H4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CuritibaFALSODOUAI</v>
      </c>
      <c r="I487" s="434" t="str">
        <f>_xlfn.CONCAT(Tableau119[[#This Row],[ID]],"-",Tableau119[[#This Row],[Expiration Date]])</f>
        <v>163-45777</v>
      </c>
      <c r="J4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Curitiba-ILN Curitiba-163-FALSO-FALSO-FALSO-CDD FR-45777</v>
      </c>
      <c r="K487" s="119" t="str">
        <f ca="1">IF(COUNTIF(J:J,Tableau119[[#This Row],[Plant-ILN-shipper-POL-Carrier-POD-PFI]])=1,"Non","Oui")</f>
        <v>Non</v>
      </c>
      <c r="L487" s="128" t="str">
        <f>VLOOKUP(Tableau119[[#This Row],[Name Site]],Plant_AILN!A:D,4,FALSE)</f>
        <v>FRANCE</v>
      </c>
      <c r="M487" s="415" t="s">
        <v>188</v>
      </c>
      <c r="N487" s="455">
        <f>VLOOKUP(Tableau119[[#This Row],[Name Site]],Plant_AILN!A:C,3,FALSE)</f>
        <v>90019100</v>
      </c>
      <c r="O487" s="104">
        <f>VLOOKUP(Tableau119[[#This Row],[Compte Consignee]],Order!C:D,2,FALSE)</f>
        <v>7</v>
      </c>
      <c r="P487" s="126" t="s">
        <v>163</v>
      </c>
      <c r="Q487" s="366">
        <f>VLOOKUP(Tableau119[[#This Row],[Name ILN]],Plant_AILN!F:G,2,FALSE)</f>
        <v>95207</v>
      </c>
      <c r="R487" s="81">
        <f>VLOOKUP(Tableau119[[#This Row],[Compte ILN]],'DATA ILN'!D:I,6,FALSE)</f>
        <v>9</v>
      </c>
      <c r="S487" s="81" t="e">
        <f>IFERROR(VLOOKUP(Tableau119[[#This Row],[Key(Compte ILN - shipper - POL - plant)]],'DATA ILN'!A:J,10,FALSE),VLOOKUP(Tableau119[[#This Row],[Key(Compte ILN - shipper - POL)]],'DATA ILN'!B:J,9,FALSE))</f>
        <v>#N/A</v>
      </c>
      <c r="T487" s="81" t="e">
        <f>IFERROR(VLOOKUP(Tableau119[[#This Row],[Key(Compte ILN - shipper - POL - plant)]],'DATA ILN'!A:K,11,FALSE),VLOOKUP(Tableau119[[#This Row],[Key(Compte ILN - shipper - POL)]],'DATA ILN'!B:K,10,FALSE))</f>
        <v>#N/A</v>
      </c>
      <c r="U487" s="81" t="e">
        <f>IFERROR(VLOOKUP(Tableau119[[#This Row],[Key(Compte ILN - shipper - POL - plant)]],'DATA ILN'!A:L,12,FALSE),VLOOKUP(Tableau119[[#This Row],[Key(Compte ILN - shipper - POL)]],'DATA ILN'!B:L,11,FALSE))</f>
        <v>#N/A</v>
      </c>
      <c r="V487" s="81" t="e">
        <f>Tableau119[[#This Row],[Day ILN Order]]+Tableau119[[#This Row],[Delivery time to ILN/Shipper]]-1</f>
        <v>#N/A</v>
      </c>
      <c r="W487" s="81" t="e">
        <f>IFERROR(VLOOKUP(Tableau119[[#This Row],[Key(Compte ILN - shipper - POL - plant)]],'DATA ILN'!A:N,14,FALSE),VLOOKUP(Tableau119[[#This Row],[Key(Compte ILN - shipper - POL)]],'DATA ILN'!B:N,13,FALSE))</f>
        <v>#N/A</v>
      </c>
      <c r="X487" s="81" t="e">
        <f>IFERROR(VLOOKUP(Tableau119[[#This Row],[Key(Compte ILN - shipper - POL - plant)]],'DATA ILN'!A:P,16,FALSE),VLOOKUP(Tableau119[[#This Row],[Key(Compte ILN - shipper - POL)]],'DATA ILN'!B:P,15,FALSE))</f>
        <v>#N/A</v>
      </c>
      <c r="Y487" s="102" t="s">
        <v>163</v>
      </c>
      <c r="Z487" s="417">
        <f>IFERROR(VLOOKUP(Tableau119[[#This Row],[Name Shipper]],Plant_AILN!L:M,2,FALSE),0)</f>
        <v>95207</v>
      </c>
      <c r="AA487" s="416">
        <v>163</v>
      </c>
      <c r="AB487" s="396" t="b">
        <f>_xlfn.XLOOKUP(Tableau119[[#This Row],[Key(ID-date)]],'DATA BTO'!S:S,'DATA BTO'!E:E,FALSE)</f>
        <v>0</v>
      </c>
      <c r="AC487" s="3" t="b">
        <f>_xlfn.XLOOKUP(Tableau119[[#This Row],[Key(ID-date)]],'DATA BTO'!S:S,'DATA BTO'!F:F,FALSE)</f>
        <v>0</v>
      </c>
      <c r="AD487" s="50" t="b">
        <f>_xlfn.XLOOKUP(Tableau119[[#This Row],[Key(ID-date)]],'DATA BTO'!S:S,'DATA BTO'!G:G,FALSE)</f>
        <v>0</v>
      </c>
      <c r="AE487" s="50" t="b">
        <f>_xlfn.XLOOKUP(Tableau119[[#This Row],[Key(ID-date)]],'DATA BTO'!S:S,'DATA BTO'!H:H,FALSE)</f>
        <v>0</v>
      </c>
      <c r="AF487" s="447" t="e">
        <f>IF(Tableau119[[#This Row],[First Day to POL]]&lt;=Tableau119[[#This Row],[Day Cut Off]],Tableau119[[#This Row],[Day ETD]],Tableau119[[#This Row],[Day ETD]]+7)</f>
        <v>#N/A</v>
      </c>
      <c r="AG487" s="50" t="b">
        <f>_xlfn.XLOOKUP(Tableau119[[#This Row],[Key(ID-date)]],'DATA BTO'!S:S,'DATA BTO'!I:I,FALSE)</f>
        <v>0</v>
      </c>
      <c r="AH487" s="3" t="b">
        <f>_xlfn.XLOOKUP(Tableau119[[#This Row],[Key(ID-date)]],'DATA BTO'!S:S,'DATA BTO'!J:J,FALSE)</f>
        <v>0</v>
      </c>
      <c r="AI487" s="3" t="b">
        <f>_xlfn.XLOOKUP(Tableau119[[#This Row],[Key(ID-date)]],'DATA BTO'!S:S,'DATA BTO'!K:K,FALSE)</f>
        <v>0</v>
      </c>
      <c r="AJ487" s="50" t="b">
        <f>_xlfn.XLOOKUP(Tableau119[[#This Row],[Key(ID-date)]],'DATA BTO'!S:S,'DATA BTO'!L:L,FALSE)</f>
        <v>0</v>
      </c>
      <c r="AK487" s="53" t="b">
        <f>_xlfn.XLOOKUP(Tableau119[[#This Row],[Key(ID-date)]],'DATA BTO'!S:S,'DATA BTO'!N:N,FALSE)</f>
        <v>0</v>
      </c>
      <c r="AL487" s="54" t="e">
        <f>VLOOKUP(Tableau119[[#This Row],[Key(POD -PFI- Usine)]],'DATA Consignee'!A:F,6,FALSE)</f>
        <v>#N/A</v>
      </c>
      <c r="AM487" s="102" t="s">
        <v>155</v>
      </c>
      <c r="AN487" s="375">
        <f>IF(Tableau119[[#This Row],[Name PFI/CDD]]="","-",VLOOKUP(Tableau119[[#This Row],[Name PFI/CDD]],Plant_AILN!I:J,2,FALSE))</f>
        <v>90016600</v>
      </c>
      <c r="AO48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7" s="110" t="e">
        <f>VLOOKUP(Tableau119[[#This Row],[Key(POD -PFI- Usine)]],'DATA Consignee'!A:J,10,FALSE)</f>
        <v>#N/A</v>
      </c>
      <c r="AR487" s="81" t="e">
        <f>VLOOKUP(Tableau119[[#This Row],[Key(POD -PFI- Usine)]],'DATA Consignee'!A:N,14,FALSE)</f>
        <v>#N/A</v>
      </c>
      <c r="AS48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7" s="81">
        <f>Tableau119[[#This Row],[Transit time]]+Tableau119[[#This Row],[Time for security]]+Tableau119[[#This Row],[Time for security2 buffer]]</f>
        <v>0</v>
      </c>
      <c r="AV4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7" s="50" t="e">
        <f>Tableau119[[#This Row],[Leadtime SI2C]]+Tableau119[[#This Row],[First Receipt Days]]-Tableau119[[#This Row],[Day Customer Order]]+1</f>
        <v>#N/A</v>
      </c>
      <c r="AX487" s="119" t="e">
        <f>IF(Tableau119[[#This Row],[Name ILN]]&lt;&gt;"SFK Freight Forwarder",Tableau119[[#This Row],[Cust. Leadtime]],Tableau119[[#This Row],[Leadtime SI2C]])</f>
        <v>#N/A</v>
      </c>
      <c r="AY487" s="51" t="b">
        <f>_xlfn.XLOOKUP(Tableau119[[#This Row],[Key(ID-date)]],'DATA BTO'!S:S,'DATA BTO'!P:P,FALSE)</f>
        <v>0</v>
      </c>
      <c r="AZ487" s="388">
        <v>45777</v>
      </c>
      <c r="BA487" s="81"/>
    </row>
    <row r="488" spans="2:53">
      <c r="B488" s="446" t="str">
        <f>_xlfn.CONCAT(Tableau119[[#This Row],[Name ILN]],"-",Tableau119[[#This Row],[Name Shipper]],"-",Tableau119[[#This Row],[Name Site]])</f>
        <v>ILN Curitiba-ILN Curitiba-PALENCIA</v>
      </c>
      <c r="C488" s="66" t="str">
        <f>_xlfn.CONCAT(Tableau119[[#This Row],[Compte ILN]],"-",Tableau119[[#This Row],[Compte Shipper]],"-",Tableau119[[#This Row],[POL]],"-",Tableau119[[#This Row],[Compte Consignee]])</f>
        <v>95207-95207-FALSO-91017200</v>
      </c>
      <c r="D488" s="66" t="str">
        <f>_xlfn.CONCAT(Tableau119[[#This Row],[Compte ILN]],"-",Tableau119[[#This Row],[Compte Shipper]],"-",Tableau119[[#This Row],[POL]])</f>
        <v>95207-95207-FALSO</v>
      </c>
      <c r="E488" s="130" t="str">
        <f>_xlfn.CONCAT(Tableau119[[#This Row],[POL]],"-",Tableau119[[#This Row],[Carrier]],"-",Tableau119[[#This Row],[POD]])</f>
        <v>FALSO-FALSO-FALSO</v>
      </c>
      <c r="F488" s="66" t="str">
        <f>_xlfn.CONCAT(Tableau119[[#This Row],[ID]],"-","Actif")</f>
        <v>163-Actif</v>
      </c>
      <c r="G488" s="66" t="str">
        <f>_xlfn.CONCAT(Tableau119[[#This Row],[POD]],"-",Tableau119[[#This Row],[Code PFI]],"-",Tableau119[[#This Row],[Compte Consignee]])</f>
        <v>FALSO-90016600-91017200</v>
      </c>
      <c r="H4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CuritibaFALSOPALENCIA</v>
      </c>
      <c r="I488" s="434" t="str">
        <f>_xlfn.CONCAT(Tableau119[[#This Row],[ID]],"-",Tableau119[[#This Row],[Expiration Date]])</f>
        <v>163-45777</v>
      </c>
      <c r="J4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Curitiba-ILN Curitiba-163-FALSO-FALSO-FALSO-CDD FR-45777</v>
      </c>
      <c r="K488" s="119" t="str">
        <f ca="1">IF(COUNTIF(J:J,Tableau119[[#This Row],[Plant-ILN-shipper-POL-Carrier-POD-PFI]])=1,"Non","Oui")</f>
        <v>Non</v>
      </c>
      <c r="L488" s="128" t="str">
        <f>VLOOKUP(Tableau119[[#This Row],[Name Site]],Plant_AILN!A:D,4,FALSE)</f>
        <v>SPAIN</v>
      </c>
      <c r="M488" s="411" t="s">
        <v>184</v>
      </c>
      <c r="N488" s="454">
        <f>VLOOKUP(Tableau119[[#This Row],[Name Site]],Plant_AILN!A:C,3,FALSE)</f>
        <v>91017200</v>
      </c>
      <c r="O488" s="55">
        <f>VLOOKUP(Tableau119[[#This Row],[Compte Consignee]],Order!C:D,2,FALSE)</f>
        <v>7</v>
      </c>
      <c r="P488" s="124" t="s">
        <v>163</v>
      </c>
      <c r="Q488" s="365">
        <f>VLOOKUP(Tableau119[[#This Row],[Name ILN]],Plant_AILN!F:G,2,FALSE)</f>
        <v>95207</v>
      </c>
      <c r="R488" s="50">
        <f>VLOOKUP(Tableau119[[#This Row],[Compte ILN]],'DATA ILN'!D:I,6,FALSE)</f>
        <v>9</v>
      </c>
      <c r="S488" s="50" t="e">
        <f>IFERROR(VLOOKUP(Tableau119[[#This Row],[Key(Compte ILN - shipper - POL - plant)]],'DATA ILN'!A:J,10,FALSE),VLOOKUP(Tableau119[[#This Row],[Key(Compte ILN - shipper - POL)]],'DATA ILN'!B:J,9,FALSE))</f>
        <v>#N/A</v>
      </c>
      <c r="T488" s="50" t="e">
        <f>IFERROR(VLOOKUP(Tableau119[[#This Row],[Key(Compte ILN - shipper - POL - plant)]],'DATA ILN'!A:K,11,FALSE),VLOOKUP(Tableau119[[#This Row],[Key(Compte ILN - shipper - POL)]],'DATA ILN'!B:K,10,FALSE))</f>
        <v>#N/A</v>
      </c>
      <c r="U488" s="50" t="e">
        <f>IFERROR(VLOOKUP(Tableau119[[#This Row],[Key(Compte ILN - shipper - POL - plant)]],'DATA ILN'!A:L,12,FALSE),VLOOKUP(Tableau119[[#This Row],[Key(Compte ILN - shipper - POL)]],'DATA ILN'!B:L,11,FALSE))</f>
        <v>#N/A</v>
      </c>
      <c r="V488" s="50" t="e">
        <f>Tableau119[[#This Row],[Day ILN Order]]+Tableau119[[#This Row],[Delivery time to ILN/Shipper]]-1</f>
        <v>#N/A</v>
      </c>
      <c r="W488" s="50" t="e">
        <f>IFERROR(VLOOKUP(Tableau119[[#This Row],[Key(Compte ILN - shipper - POL - plant)]],'DATA ILN'!A:N,14,FALSE),VLOOKUP(Tableau119[[#This Row],[Key(Compte ILN - shipper - POL)]],'DATA ILN'!B:N,13,FALSE))</f>
        <v>#N/A</v>
      </c>
      <c r="X488" s="50" t="e">
        <f>IFERROR(VLOOKUP(Tableau119[[#This Row],[Key(Compte ILN - shipper - POL - plant)]],'DATA ILN'!A:P,16,FALSE),VLOOKUP(Tableau119[[#This Row],[Key(Compte ILN - shipper - POL)]],'DATA ILN'!B:P,15,FALSE))</f>
        <v>#N/A</v>
      </c>
      <c r="Y488" s="284" t="s">
        <v>163</v>
      </c>
      <c r="Z488" s="430">
        <f>IFERROR(VLOOKUP(Tableau119[[#This Row],[Name Shipper]],Plant_AILN!L:M,2,FALSE),0)</f>
        <v>95207</v>
      </c>
      <c r="AA488" s="406">
        <v>163</v>
      </c>
      <c r="AB488" s="396" t="b">
        <f>_xlfn.XLOOKUP(Tableau119[[#This Row],[Key(ID-date)]],'DATA BTO'!S:S,'DATA BTO'!E:E,FALSE)</f>
        <v>0</v>
      </c>
      <c r="AC488" s="3" t="b">
        <f>_xlfn.XLOOKUP(Tableau119[[#This Row],[Key(ID-date)]],'DATA BTO'!S:S,'DATA BTO'!F:F,FALSE)</f>
        <v>0</v>
      </c>
      <c r="AD488" s="50" t="b">
        <f>_xlfn.XLOOKUP(Tableau119[[#This Row],[Key(ID-date)]],'DATA BTO'!S:S,'DATA BTO'!G:G,FALSE)</f>
        <v>0</v>
      </c>
      <c r="AE488" s="50" t="b">
        <f>_xlfn.XLOOKUP(Tableau119[[#This Row],[Key(ID-date)]],'DATA BTO'!S:S,'DATA BTO'!H:H,FALSE)</f>
        <v>0</v>
      </c>
      <c r="AF488" s="447" t="e">
        <f>IF(Tableau119[[#This Row],[First Day to POL]]&lt;=Tableau119[[#This Row],[Day Cut Off]],Tableau119[[#This Row],[Day ETD]],Tableau119[[#This Row],[Day ETD]]+7)</f>
        <v>#N/A</v>
      </c>
      <c r="AG488" s="50" t="b">
        <f>_xlfn.XLOOKUP(Tableau119[[#This Row],[Key(ID-date)]],'DATA BTO'!S:S,'DATA BTO'!I:I,FALSE)</f>
        <v>0</v>
      </c>
      <c r="AH488" s="3" t="b">
        <f>_xlfn.XLOOKUP(Tableau119[[#This Row],[Key(ID-date)]],'DATA BTO'!S:S,'DATA BTO'!J:J,FALSE)</f>
        <v>0</v>
      </c>
      <c r="AI488" s="3" t="b">
        <f>_xlfn.XLOOKUP(Tableau119[[#This Row],[Key(ID-date)]],'DATA BTO'!S:S,'DATA BTO'!K:K,FALSE)</f>
        <v>0</v>
      </c>
      <c r="AJ488" s="50" t="b">
        <f>_xlfn.XLOOKUP(Tableau119[[#This Row],[Key(ID-date)]],'DATA BTO'!S:S,'DATA BTO'!L:L,FALSE)</f>
        <v>0</v>
      </c>
      <c r="AK488" s="53" t="b">
        <f>_xlfn.XLOOKUP(Tableau119[[#This Row],[Key(ID-date)]],'DATA BTO'!S:S,'DATA BTO'!N:N,FALSE)</f>
        <v>0</v>
      </c>
      <c r="AL488" s="54" t="e">
        <f>VLOOKUP(Tableau119[[#This Row],[Key(POD -PFI- Usine)]],'DATA Consignee'!A:F,6,FALSE)</f>
        <v>#N/A</v>
      </c>
      <c r="AM488" s="284" t="s">
        <v>155</v>
      </c>
      <c r="AN488" s="376">
        <f>IF(Tableau119[[#This Row],[Name PFI/CDD]]="","-",VLOOKUP(Tableau119[[#This Row],[Name PFI/CDD]],Plant_AILN!I:J,2,FALSE))</f>
        <v>90016600</v>
      </c>
      <c r="AO48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8" s="2" t="e">
        <f>VLOOKUP(Tableau119[[#This Row],[Key(POD -PFI- Usine)]],'DATA Consignee'!A:J,10,FALSE)</f>
        <v>#N/A</v>
      </c>
      <c r="AR488" s="50" t="e">
        <f>VLOOKUP(Tableau119[[#This Row],[Key(POD -PFI- Usine)]],'DATA Consignee'!A:N,14,FALSE)</f>
        <v>#N/A</v>
      </c>
      <c r="AS48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8" s="50">
        <f>Tableau119[[#This Row],[Transit time]]+Tableau119[[#This Row],[Time for security]]+Tableau119[[#This Row],[Time for security2 buffer]]</f>
        <v>0</v>
      </c>
      <c r="AV4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8" s="50" t="e">
        <f>Tableau119[[#This Row],[Leadtime SI2C]]+Tableau119[[#This Row],[First Receipt Days]]-Tableau119[[#This Row],[Day Customer Order]]+1</f>
        <v>#N/A</v>
      </c>
      <c r="AX488" s="119" t="e">
        <f>IF(Tableau119[[#This Row],[Name ILN]]&lt;&gt;"SFK Freight Forwarder",Tableau119[[#This Row],[Cust. Leadtime]],Tableau119[[#This Row],[Leadtime SI2C]])</f>
        <v>#N/A</v>
      </c>
      <c r="AY488" s="51" t="b">
        <f>_xlfn.XLOOKUP(Tableau119[[#This Row],[Key(ID-date)]],'DATA BTO'!S:S,'DATA BTO'!P:P,FALSE)</f>
        <v>0</v>
      </c>
      <c r="AZ488" s="338">
        <v>45777</v>
      </c>
      <c r="BA488" s="50"/>
    </row>
    <row r="489" spans="2:53">
      <c r="B489" s="446" t="str">
        <f>_xlfn.CONCAT(Tableau119[[#This Row],[Name ILN]],"-",Tableau119[[#This Row],[Name Shipper]],"-",Tableau119[[#This Row],[Name Site]])</f>
        <v>ILN Curitiba-ILN Curitiba-SEVILLA</v>
      </c>
      <c r="C489" s="66" t="str">
        <f>_xlfn.CONCAT(Tableau119[[#This Row],[Compte ILN]],"-",Tableau119[[#This Row],[Compte Shipper]],"-",Tableau119[[#This Row],[POL]],"-",Tableau119[[#This Row],[Compte Consignee]])</f>
        <v>95207-95207-FALSO-91017500</v>
      </c>
      <c r="D489" s="66" t="str">
        <f>_xlfn.CONCAT(Tableau119[[#This Row],[Compte ILN]],"-",Tableau119[[#This Row],[Compte Shipper]],"-",Tableau119[[#This Row],[POL]])</f>
        <v>95207-95207-FALSO</v>
      </c>
      <c r="E489" s="130" t="str">
        <f>_xlfn.CONCAT(Tableau119[[#This Row],[POL]],"-",Tableau119[[#This Row],[Carrier]],"-",Tableau119[[#This Row],[POD]])</f>
        <v>FALSO-FALSO-FALSO</v>
      </c>
      <c r="F489" s="66" t="str">
        <f>_xlfn.CONCAT(Tableau119[[#This Row],[ID]],"-","Actif")</f>
        <v>163-Actif</v>
      </c>
      <c r="G489" s="66" t="str">
        <f>_xlfn.CONCAT(Tableau119[[#This Row],[POD]],"-",Tableau119[[#This Row],[Code PFI]],"-",Tableau119[[#This Row],[Compte Consignee]])</f>
        <v>FALSO-90016600-91017500</v>
      </c>
      <c r="H4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CuritibaFALSOSEVILLA</v>
      </c>
      <c r="I489" s="434" t="str">
        <f>_xlfn.CONCAT(Tableau119[[#This Row],[ID]],"-",Tableau119[[#This Row],[Expiration Date]])</f>
        <v>163-45777</v>
      </c>
      <c r="J4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Curitiba-ILN Curitiba-163-FALSO-FALSO-FALSO-CDD FR-45777</v>
      </c>
      <c r="K489" s="119" t="str">
        <f ca="1">IF(COUNTIF(J:J,Tableau119[[#This Row],[Plant-ILN-shipper-POL-Carrier-POD-PFI]])=1,"Non","Oui")</f>
        <v>Non</v>
      </c>
      <c r="L489" s="128" t="str">
        <f>VLOOKUP(Tableau119[[#This Row],[Name Site]],Plant_AILN!A:D,4,FALSE)</f>
        <v>SPAIN</v>
      </c>
      <c r="M489" s="411" t="s">
        <v>172</v>
      </c>
      <c r="N489" s="454">
        <f>VLOOKUP(Tableau119[[#This Row],[Name Site]],Plant_AILN!A:C,3,FALSE)</f>
        <v>91017500</v>
      </c>
      <c r="O489" s="55">
        <f>VLOOKUP(Tableau119[[#This Row],[Compte Consignee]],Order!C:D,2,FALSE)</f>
        <v>7</v>
      </c>
      <c r="P489" s="124" t="s">
        <v>163</v>
      </c>
      <c r="Q489" s="365">
        <f>VLOOKUP(Tableau119[[#This Row],[Name ILN]],Plant_AILN!F:G,2,FALSE)</f>
        <v>95207</v>
      </c>
      <c r="R489" s="50">
        <f>VLOOKUP(Tableau119[[#This Row],[Compte ILN]],'DATA ILN'!D:I,6,FALSE)</f>
        <v>9</v>
      </c>
      <c r="S489" s="50" t="e">
        <f>IFERROR(VLOOKUP(Tableau119[[#This Row],[Key(Compte ILN - shipper - POL - plant)]],'DATA ILN'!A:J,10,FALSE),VLOOKUP(Tableau119[[#This Row],[Key(Compte ILN - shipper - POL)]],'DATA ILN'!B:J,9,FALSE))</f>
        <v>#N/A</v>
      </c>
      <c r="T489" s="50" t="e">
        <f>IFERROR(VLOOKUP(Tableau119[[#This Row],[Key(Compte ILN - shipper - POL - plant)]],'DATA ILN'!A:K,11,FALSE),VLOOKUP(Tableau119[[#This Row],[Key(Compte ILN - shipper - POL)]],'DATA ILN'!B:K,10,FALSE))</f>
        <v>#N/A</v>
      </c>
      <c r="U489" s="50" t="e">
        <f>IFERROR(VLOOKUP(Tableau119[[#This Row],[Key(Compte ILN - shipper - POL - plant)]],'DATA ILN'!A:L,12,FALSE),VLOOKUP(Tableau119[[#This Row],[Key(Compte ILN - shipper - POL)]],'DATA ILN'!B:L,11,FALSE))</f>
        <v>#N/A</v>
      </c>
      <c r="V489" s="50" t="e">
        <f>Tableau119[[#This Row],[Day ILN Order]]+Tableau119[[#This Row],[Delivery time to ILN/Shipper]]-1</f>
        <v>#N/A</v>
      </c>
      <c r="W489" s="50" t="e">
        <f>IFERROR(VLOOKUP(Tableau119[[#This Row],[Key(Compte ILN - shipper - POL - plant)]],'DATA ILN'!A:N,14,FALSE),VLOOKUP(Tableau119[[#This Row],[Key(Compte ILN - shipper - POL)]],'DATA ILN'!B:N,13,FALSE))</f>
        <v>#N/A</v>
      </c>
      <c r="X489" s="50" t="e">
        <f>IFERROR(VLOOKUP(Tableau119[[#This Row],[Key(Compte ILN - shipper - POL - plant)]],'DATA ILN'!A:P,16,FALSE),VLOOKUP(Tableau119[[#This Row],[Key(Compte ILN - shipper - POL)]],'DATA ILN'!B:P,15,FALSE))</f>
        <v>#N/A</v>
      </c>
      <c r="Y489" s="284" t="s">
        <v>163</v>
      </c>
      <c r="Z489" s="430">
        <f>IFERROR(VLOOKUP(Tableau119[[#This Row],[Name Shipper]],Plant_AILN!L:M,2,FALSE),0)</f>
        <v>95207</v>
      </c>
      <c r="AA489" s="406">
        <v>163</v>
      </c>
      <c r="AB489" s="396" t="b">
        <f>_xlfn.XLOOKUP(Tableau119[[#This Row],[Key(ID-date)]],'DATA BTO'!S:S,'DATA BTO'!E:E,FALSE)</f>
        <v>0</v>
      </c>
      <c r="AC489" s="3" t="b">
        <f>_xlfn.XLOOKUP(Tableau119[[#This Row],[Key(ID-date)]],'DATA BTO'!S:S,'DATA BTO'!F:F,FALSE)</f>
        <v>0</v>
      </c>
      <c r="AD489" s="50" t="b">
        <f>_xlfn.XLOOKUP(Tableau119[[#This Row],[Key(ID-date)]],'DATA BTO'!S:S,'DATA BTO'!G:G,FALSE)</f>
        <v>0</v>
      </c>
      <c r="AE489" s="50" t="b">
        <f>_xlfn.XLOOKUP(Tableau119[[#This Row],[Key(ID-date)]],'DATA BTO'!S:S,'DATA BTO'!H:H,FALSE)</f>
        <v>0</v>
      </c>
      <c r="AF489" s="447" t="e">
        <f>IF(Tableau119[[#This Row],[First Day to POL]]&lt;=Tableau119[[#This Row],[Day Cut Off]],Tableau119[[#This Row],[Day ETD]],Tableau119[[#This Row],[Day ETD]]+7)</f>
        <v>#N/A</v>
      </c>
      <c r="AG489" s="50" t="b">
        <f>_xlfn.XLOOKUP(Tableau119[[#This Row],[Key(ID-date)]],'DATA BTO'!S:S,'DATA BTO'!I:I,FALSE)</f>
        <v>0</v>
      </c>
      <c r="AH489" s="3" t="b">
        <f>_xlfn.XLOOKUP(Tableau119[[#This Row],[Key(ID-date)]],'DATA BTO'!S:S,'DATA BTO'!J:J,FALSE)</f>
        <v>0</v>
      </c>
      <c r="AI489" s="3" t="b">
        <f>_xlfn.XLOOKUP(Tableau119[[#This Row],[Key(ID-date)]],'DATA BTO'!S:S,'DATA BTO'!K:K,FALSE)</f>
        <v>0</v>
      </c>
      <c r="AJ489" s="50" t="b">
        <f>_xlfn.XLOOKUP(Tableau119[[#This Row],[Key(ID-date)]],'DATA BTO'!S:S,'DATA BTO'!L:L,FALSE)</f>
        <v>0</v>
      </c>
      <c r="AK489" s="53" t="b">
        <f>_xlfn.XLOOKUP(Tableau119[[#This Row],[Key(ID-date)]],'DATA BTO'!S:S,'DATA BTO'!N:N,FALSE)</f>
        <v>0</v>
      </c>
      <c r="AL489" s="54" t="e">
        <f>VLOOKUP(Tableau119[[#This Row],[Key(POD -PFI- Usine)]],'DATA Consignee'!A:F,6,FALSE)</f>
        <v>#N/A</v>
      </c>
      <c r="AM489" s="284" t="s">
        <v>155</v>
      </c>
      <c r="AN489" s="376">
        <f>IF(Tableau119[[#This Row],[Name PFI/CDD]]="","-",VLOOKUP(Tableau119[[#This Row],[Name PFI/CDD]],Plant_AILN!I:J,2,FALSE))</f>
        <v>90016600</v>
      </c>
      <c r="AO4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89" s="2" t="e">
        <f>VLOOKUP(Tableau119[[#This Row],[Key(POD -PFI- Usine)]],'DATA Consignee'!A:J,10,FALSE)</f>
        <v>#N/A</v>
      </c>
      <c r="AR489" s="50" t="e">
        <f>VLOOKUP(Tableau119[[#This Row],[Key(POD -PFI- Usine)]],'DATA Consignee'!A:N,14,FALSE)</f>
        <v>#N/A</v>
      </c>
      <c r="AS4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89" s="50">
        <f>Tableau119[[#This Row],[Transit time]]+Tableau119[[#This Row],[Time for security]]+Tableau119[[#This Row],[Time for security2 buffer]]</f>
        <v>0</v>
      </c>
      <c r="AV4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89" s="50" t="e">
        <f>Tableau119[[#This Row],[Leadtime SI2C]]+Tableau119[[#This Row],[First Receipt Days]]-Tableau119[[#This Row],[Day Customer Order]]+1</f>
        <v>#N/A</v>
      </c>
      <c r="AX489" s="119" t="e">
        <f>IF(Tableau119[[#This Row],[Name ILN]]&lt;&gt;"SFK Freight Forwarder",Tableau119[[#This Row],[Cust. Leadtime]],Tableau119[[#This Row],[Leadtime SI2C]])</f>
        <v>#N/A</v>
      </c>
      <c r="AY489" s="51" t="b">
        <f>_xlfn.XLOOKUP(Tableau119[[#This Row],[Key(ID-date)]],'DATA BTO'!S:S,'DATA BTO'!P:P,FALSE)</f>
        <v>0</v>
      </c>
      <c r="AZ489" s="338">
        <v>45777</v>
      </c>
      <c r="BA489" s="50"/>
    </row>
    <row r="490" spans="2:53">
      <c r="B490" s="446" t="str">
        <f>_xlfn.CONCAT(Tableau119[[#This Row],[Name ILN]],"-",Tableau119[[#This Row],[Name Shipper]],"-",Tableau119[[#This Row],[Name Site]])</f>
        <v>ILN Curitiba-ILN Curitiba-CLEON</v>
      </c>
      <c r="C490" s="66" t="str">
        <f>_xlfn.CONCAT(Tableau119[[#This Row],[Compte ILN]],"-",Tableau119[[#This Row],[Compte Shipper]],"-",Tableau119[[#This Row],[POL]],"-",Tableau119[[#This Row],[Compte Consignee]])</f>
        <v>95207-95207-FALSO-92000100</v>
      </c>
      <c r="D490" s="66" t="str">
        <f>_xlfn.CONCAT(Tableau119[[#This Row],[Compte ILN]],"-",Tableau119[[#This Row],[Compte Shipper]],"-",Tableau119[[#This Row],[POL]])</f>
        <v>95207-95207-FALSO</v>
      </c>
      <c r="E490" s="130" t="str">
        <f>_xlfn.CONCAT(Tableau119[[#This Row],[POL]],"-",Tableau119[[#This Row],[Carrier]],"-",Tableau119[[#This Row],[POD]])</f>
        <v>FALSO-FALSO-FALSO</v>
      </c>
      <c r="F490" s="66" t="str">
        <f>_xlfn.CONCAT(Tableau119[[#This Row],[ID]],"-","Actif")</f>
        <v>163-Actif</v>
      </c>
      <c r="G490" s="66" t="str">
        <f>_xlfn.CONCAT(Tableau119[[#This Row],[POD]],"-",Tableau119[[#This Row],[Code PFI]],"-",Tableau119[[#This Row],[Compte Consignee]])</f>
        <v>FALSO---92000100</v>
      </c>
      <c r="H4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CuritibaFALSOCLEON</v>
      </c>
      <c r="I490" s="434" t="str">
        <f>_xlfn.CONCAT(Tableau119[[#This Row],[ID]],"-",Tableau119[[#This Row],[Expiration Date]])</f>
        <v>163-45777</v>
      </c>
      <c r="J4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Curitiba-ILN Curitiba-163-FALSO-FALSO-FALSO--45777</v>
      </c>
      <c r="K490" s="119" t="str">
        <f ca="1">IF(COUNTIF(J:J,Tableau119[[#This Row],[Plant-ILN-shipper-POL-Carrier-POD-PFI]])=1,"Non","Oui")</f>
        <v>Non</v>
      </c>
      <c r="L490" s="128" t="str">
        <f>VLOOKUP(Tableau119[[#This Row],[Name Site]],Plant_AILN!A:D,4,FALSE)</f>
        <v>FRANCE</v>
      </c>
      <c r="M490" s="411" t="s">
        <v>183</v>
      </c>
      <c r="N490" s="454">
        <f>VLOOKUP(Tableau119[[#This Row],[Name Site]],Plant_AILN!A:C,3,FALSE)</f>
        <v>92000100</v>
      </c>
      <c r="O490" s="55">
        <f>VLOOKUP(Tableau119[[#This Row],[Compte Consignee]],Order!C:D,2,FALSE)</f>
        <v>7</v>
      </c>
      <c r="P490" s="124" t="s">
        <v>163</v>
      </c>
      <c r="Q490" s="365">
        <f>VLOOKUP(Tableau119[[#This Row],[Name ILN]],Plant_AILN!F:G,2,FALSE)</f>
        <v>95207</v>
      </c>
      <c r="R490" s="50">
        <f>VLOOKUP(Tableau119[[#This Row],[Compte ILN]],'DATA ILN'!D:I,6,FALSE)</f>
        <v>9</v>
      </c>
      <c r="S490" s="50" t="e">
        <f>IFERROR(VLOOKUP(Tableau119[[#This Row],[Key(Compte ILN - shipper - POL - plant)]],'DATA ILN'!A:J,10,FALSE),VLOOKUP(Tableau119[[#This Row],[Key(Compte ILN - shipper - POL)]],'DATA ILN'!B:J,9,FALSE))</f>
        <v>#N/A</v>
      </c>
      <c r="T490" s="50" t="e">
        <f>IFERROR(VLOOKUP(Tableau119[[#This Row],[Key(Compte ILN - shipper - POL - plant)]],'DATA ILN'!A:K,11,FALSE),VLOOKUP(Tableau119[[#This Row],[Key(Compte ILN - shipper - POL)]],'DATA ILN'!B:K,10,FALSE))</f>
        <v>#N/A</v>
      </c>
      <c r="U490" s="50" t="e">
        <f>IFERROR(VLOOKUP(Tableau119[[#This Row],[Key(Compte ILN - shipper - POL - plant)]],'DATA ILN'!A:L,12,FALSE),VLOOKUP(Tableau119[[#This Row],[Key(Compte ILN - shipper - POL)]],'DATA ILN'!B:L,11,FALSE))</f>
        <v>#N/A</v>
      </c>
      <c r="V490" s="50" t="e">
        <f>Tableau119[[#This Row],[Day ILN Order]]+Tableau119[[#This Row],[Delivery time to ILN/Shipper]]-1</f>
        <v>#N/A</v>
      </c>
      <c r="W490" s="50" t="e">
        <f>IFERROR(VLOOKUP(Tableau119[[#This Row],[Key(Compte ILN - shipper - POL - plant)]],'DATA ILN'!A:N,14,FALSE),VLOOKUP(Tableau119[[#This Row],[Key(Compte ILN - shipper - POL)]],'DATA ILN'!B:N,13,FALSE))</f>
        <v>#N/A</v>
      </c>
      <c r="X490" s="50" t="e">
        <f>IFERROR(VLOOKUP(Tableau119[[#This Row],[Key(Compte ILN - shipper - POL - plant)]],'DATA ILN'!A:P,16,FALSE),VLOOKUP(Tableau119[[#This Row],[Key(Compte ILN - shipper - POL)]],'DATA ILN'!B:P,15,FALSE))</f>
        <v>#N/A</v>
      </c>
      <c r="Y490" s="284" t="s">
        <v>163</v>
      </c>
      <c r="Z490" s="430">
        <f>IFERROR(VLOOKUP(Tableau119[[#This Row],[Name Shipper]],Plant_AILN!L:M,2,FALSE),0)</f>
        <v>95207</v>
      </c>
      <c r="AA490" s="406">
        <v>163</v>
      </c>
      <c r="AB490" s="396" t="b">
        <f>_xlfn.XLOOKUP(Tableau119[[#This Row],[Key(ID-date)]],'DATA BTO'!S:S,'DATA BTO'!E:E,FALSE)</f>
        <v>0</v>
      </c>
      <c r="AC490" s="3" t="b">
        <f>_xlfn.XLOOKUP(Tableau119[[#This Row],[Key(ID-date)]],'DATA BTO'!S:S,'DATA BTO'!F:F,FALSE)</f>
        <v>0</v>
      </c>
      <c r="AD490" s="50" t="b">
        <f>_xlfn.XLOOKUP(Tableau119[[#This Row],[Key(ID-date)]],'DATA BTO'!S:S,'DATA BTO'!G:G,FALSE)</f>
        <v>0</v>
      </c>
      <c r="AE490" s="50" t="b">
        <f>_xlfn.XLOOKUP(Tableau119[[#This Row],[Key(ID-date)]],'DATA BTO'!S:S,'DATA BTO'!H:H,FALSE)</f>
        <v>0</v>
      </c>
      <c r="AF490" s="447" t="e">
        <f>IF(Tableau119[[#This Row],[First Day to POL]]&lt;=Tableau119[[#This Row],[Day Cut Off]],Tableau119[[#This Row],[Day ETD]],Tableau119[[#This Row],[Day ETD]]+7)</f>
        <v>#N/A</v>
      </c>
      <c r="AG490" s="50" t="b">
        <f>_xlfn.XLOOKUP(Tableau119[[#This Row],[Key(ID-date)]],'DATA BTO'!S:S,'DATA BTO'!I:I,FALSE)</f>
        <v>0</v>
      </c>
      <c r="AH490" s="3" t="b">
        <f>_xlfn.XLOOKUP(Tableau119[[#This Row],[Key(ID-date)]],'DATA BTO'!S:S,'DATA BTO'!J:J,FALSE)</f>
        <v>0</v>
      </c>
      <c r="AI490" s="3" t="b">
        <f>_xlfn.XLOOKUP(Tableau119[[#This Row],[Key(ID-date)]],'DATA BTO'!S:S,'DATA BTO'!K:K,FALSE)</f>
        <v>0</v>
      </c>
      <c r="AJ490" s="50" t="b">
        <f>_xlfn.XLOOKUP(Tableau119[[#This Row],[Key(ID-date)]],'DATA BTO'!S:S,'DATA BTO'!L:L,FALSE)</f>
        <v>0</v>
      </c>
      <c r="AK490" s="53" t="b">
        <f>_xlfn.XLOOKUP(Tableau119[[#This Row],[Key(ID-date)]],'DATA BTO'!S:S,'DATA BTO'!N:N,FALSE)</f>
        <v>0</v>
      </c>
      <c r="AL490" s="54" t="e">
        <f>VLOOKUP(Tableau119[[#This Row],[Key(POD -PFI- Usine)]],'DATA Consignee'!A:F,6,FALSE)</f>
        <v>#N/A</v>
      </c>
      <c r="AM490" s="284"/>
      <c r="AN490" s="376" t="str">
        <f>IF(Tableau119[[#This Row],[Name PFI/CDD]]="","-",VLOOKUP(Tableau119[[#This Row],[Name PFI/CDD]],Plant_AILN!I:J,2,FALSE))</f>
        <v>-</v>
      </c>
      <c r="AO4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0" s="2" t="e">
        <f>VLOOKUP(Tableau119[[#This Row],[Key(POD -PFI- Usine)]],'DATA Consignee'!A:J,10,FALSE)</f>
        <v>#N/A</v>
      </c>
      <c r="AR490" s="50" t="e">
        <f>VLOOKUP(Tableau119[[#This Row],[Key(POD -PFI- Usine)]],'DATA Consignee'!A:N,14,FALSE)</f>
        <v>#N/A</v>
      </c>
      <c r="AS4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0" s="50">
        <f>Tableau119[[#This Row],[Transit time]]+Tableau119[[#This Row],[Time for security]]+Tableau119[[#This Row],[Time for security2 buffer]]</f>
        <v>0</v>
      </c>
      <c r="AV4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0" s="50" t="e">
        <f>Tableau119[[#This Row],[Leadtime SI2C]]+Tableau119[[#This Row],[First Receipt Days]]-Tableau119[[#This Row],[Day Customer Order]]+1</f>
        <v>#N/A</v>
      </c>
      <c r="AX490" s="119" t="e">
        <f>IF(Tableau119[[#This Row],[Name ILN]]&lt;&gt;"SFK Freight Forwarder",Tableau119[[#This Row],[Cust. Leadtime]],Tableau119[[#This Row],[Leadtime SI2C]])</f>
        <v>#N/A</v>
      </c>
      <c r="AY490" s="51" t="b">
        <f>_xlfn.XLOOKUP(Tableau119[[#This Row],[Key(ID-date)]],'DATA BTO'!S:S,'DATA BTO'!P:P,FALSE)</f>
        <v>0</v>
      </c>
      <c r="AZ490" s="338">
        <v>45777</v>
      </c>
      <c r="BA490" s="50"/>
    </row>
    <row r="491" spans="2:53">
      <c r="B491" s="446" t="str">
        <f>_xlfn.CONCAT(Tableau119[[#This Row],[Name ILN]],"-",Tableau119[[#This Row],[Name Shipper]],"-",Tableau119[[#This Row],[Name Site]])</f>
        <v>ILN Curitiba-ILN Curitiba-FLINS</v>
      </c>
      <c r="C491" s="66" t="str">
        <f>_xlfn.CONCAT(Tableau119[[#This Row],[Compte ILN]],"-",Tableau119[[#This Row],[Compte Shipper]],"-",Tableau119[[#This Row],[POL]],"-",Tableau119[[#This Row],[Compte Consignee]])</f>
        <v>95207-95207-FALSO-90015100</v>
      </c>
      <c r="D491" s="66" t="str">
        <f>_xlfn.CONCAT(Tableau119[[#This Row],[Compte ILN]],"-",Tableau119[[#This Row],[Compte Shipper]],"-",Tableau119[[#This Row],[POL]])</f>
        <v>95207-95207-FALSO</v>
      </c>
      <c r="E491" s="130" t="str">
        <f>_xlfn.CONCAT(Tableau119[[#This Row],[POL]],"-",Tableau119[[#This Row],[Carrier]],"-",Tableau119[[#This Row],[POD]])</f>
        <v>FALSO-FALSO-FALSO</v>
      </c>
      <c r="F491" s="66" t="str">
        <f>_xlfn.CONCAT(Tableau119[[#This Row],[ID]],"-","Actif")</f>
        <v>163-Actif</v>
      </c>
      <c r="G491" s="66" t="str">
        <f>_xlfn.CONCAT(Tableau119[[#This Row],[POD]],"-",Tableau119[[#This Row],[Code PFI]],"-",Tableau119[[#This Row],[Compte Consignee]])</f>
        <v>FALSO---90015100</v>
      </c>
      <c r="H4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CuritibaFALSOFLINS</v>
      </c>
      <c r="I491" s="434" t="str">
        <f>_xlfn.CONCAT(Tableau119[[#This Row],[ID]],"-",Tableau119[[#This Row],[Expiration Date]])</f>
        <v>163-45473</v>
      </c>
      <c r="J4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Curitiba-ILN Curitiba-163-FALSO-FALSO-FALSO--45473</v>
      </c>
      <c r="K491" s="119" t="str">
        <f ca="1">IF(COUNTIF(J:J,Tableau119[[#This Row],[Plant-ILN-shipper-POL-Carrier-POD-PFI]])=1,"Non","Oui")</f>
        <v>Non</v>
      </c>
      <c r="L491" s="128" t="str">
        <f>VLOOKUP(Tableau119[[#This Row],[Name Site]],Plant_AILN!A:D,4,FALSE)</f>
        <v>FRANCE</v>
      </c>
      <c r="M491" s="411" t="s">
        <v>209</v>
      </c>
      <c r="N491" s="454">
        <f>VLOOKUP(Tableau119[[#This Row],[Name Site]],Plant_AILN!A:C,3,FALSE)</f>
        <v>90015100</v>
      </c>
      <c r="O491" s="55">
        <f>VLOOKUP(Tableau119[[#This Row],[Compte Consignee]],Order!C:D,2,FALSE)</f>
        <v>7</v>
      </c>
      <c r="P491" s="124" t="s">
        <v>163</v>
      </c>
      <c r="Q491" s="365">
        <f>VLOOKUP(Tableau119[[#This Row],[Name ILN]],Plant_AILN!F:G,2,FALSE)</f>
        <v>95207</v>
      </c>
      <c r="R491" s="50">
        <f>VLOOKUP(Tableau119[[#This Row],[Compte ILN]],'DATA ILN'!D:I,6,FALSE)</f>
        <v>9</v>
      </c>
      <c r="S491" s="50" t="e">
        <f>IFERROR(VLOOKUP(Tableau119[[#This Row],[Key(Compte ILN - shipper - POL - plant)]],'DATA ILN'!A:J,10,FALSE),VLOOKUP(Tableau119[[#This Row],[Key(Compte ILN - shipper - POL)]],'DATA ILN'!B:J,9,FALSE))</f>
        <v>#N/A</v>
      </c>
      <c r="T491" s="50" t="e">
        <f>IFERROR(VLOOKUP(Tableau119[[#This Row],[Key(Compte ILN - shipper - POL - plant)]],'DATA ILN'!A:K,11,FALSE),VLOOKUP(Tableau119[[#This Row],[Key(Compte ILN - shipper - POL)]],'DATA ILN'!B:K,10,FALSE))</f>
        <v>#N/A</v>
      </c>
      <c r="U491" s="50" t="e">
        <f>IFERROR(VLOOKUP(Tableau119[[#This Row],[Key(Compte ILN - shipper - POL - plant)]],'DATA ILN'!A:L,12,FALSE),VLOOKUP(Tableau119[[#This Row],[Key(Compte ILN - shipper - POL)]],'DATA ILN'!B:L,11,FALSE))</f>
        <v>#N/A</v>
      </c>
      <c r="V491" s="50" t="e">
        <f>Tableau119[[#This Row],[Day ILN Order]]+Tableau119[[#This Row],[Delivery time to ILN/Shipper]]-1</f>
        <v>#N/A</v>
      </c>
      <c r="W491" s="50" t="e">
        <f>IFERROR(VLOOKUP(Tableau119[[#This Row],[Key(Compte ILN - shipper - POL - plant)]],'DATA ILN'!A:N,14,FALSE),VLOOKUP(Tableau119[[#This Row],[Key(Compte ILN - shipper - POL)]],'DATA ILN'!B:N,13,FALSE))</f>
        <v>#N/A</v>
      </c>
      <c r="X491" s="50" t="e">
        <f>IFERROR(VLOOKUP(Tableau119[[#This Row],[Key(Compte ILN - shipper - POL - plant)]],'DATA ILN'!A:P,16,FALSE),VLOOKUP(Tableau119[[#This Row],[Key(Compte ILN - shipper - POL)]],'DATA ILN'!B:P,15,FALSE))</f>
        <v>#N/A</v>
      </c>
      <c r="Y491" s="284" t="s">
        <v>163</v>
      </c>
      <c r="Z491" s="430">
        <f>IFERROR(VLOOKUP(Tableau119[[#This Row],[Name Shipper]],Plant_AILN!L:M,2,FALSE),0)</f>
        <v>95207</v>
      </c>
      <c r="AA491" s="406">
        <v>163</v>
      </c>
      <c r="AB491" s="396" t="b">
        <f>_xlfn.XLOOKUP(Tableau119[[#This Row],[Key(ID-date)]],'DATA BTO'!S:S,'DATA BTO'!E:E,FALSE)</f>
        <v>0</v>
      </c>
      <c r="AC491" s="3" t="b">
        <f>_xlfn.XLOOKUP(Tableau119[[#This Row],[Key(ID-date)]],'DATA BTO'!S:S,'DATA BTO'!F:F,FALSE)</f>
        <v>0</v>
      </c>
      <c r="AD491" s="50" t="b">
        <f>_xlfn.XLOOKUP(Tableau119[[#This Row],[Key(ID-date)]],'DATA BTO'!S:S,'DATA BTO'!G:G,FALSE)</f>
        <v>0</v>
      </c>
      <c r="AE491" s="50" t="b">
        <f>_xlfn.XLOOKUP(Tableau119[[#This Row],[Key(ID-date)]],'DATA BTO'!S:S,'DATA BTO'!H:H,FALSE)</f>
        <v>0</v>
      </c>
      <c r="AF491" s="447" t="e">
        <f>IF(Tableau119[[#This Row],[First Day to POL]]&lt;=Tableau119[[#This Row],[Day Cut Off]],Tableau119[[#This Row],[Day ETD]],Tableau119[[#This Row],[Day ETD]]+7)</f>
        <v>#N/A</v>
      </c>
      <c r="AG491" s="50" t="b">
        <f>_xlfn.XLOOKUP(Tableau119[[#This Row],[Key(ID-date)]],'DATA BTO'!S:S,'DATA BTO'!I:I,FALSE)</f>
        <v>0</v>
      </c>
      <c r="AH491" s="3" t="b">
        <f>_xlfn.XLOOKUP(Tableau119[[#This Row],[Key(ID-date)]],'DATA BTO'!S:S,'DATA BTO'!J:J,FALSE)</f>
        <v>0</v>
      </c>
      <c r="AI491" s="3" t="b">
        <f>_xlfn.XLOOKUP(Tableau119[[#This Row],[Key(ID-date)]],'DATA BTO'!S:S,'DATA BTO'!K:K,FALSE)</f>
        <v>0</v>
      </c>
      <c r="AJ491" s="50" t="b">
        <f>_xlfn.XLOOKUP(Tableau119[[#This Row],[Key(ID-date)]],'DATA BTO'!S:S,'DATA BTO'!L:L,FALSE)</f>
        <v>0</v>
      </c>
      <c r="AK491" s="53" t="b">
        <f>_xlfn.XLOOKUP(Tableau119[[#This Row],[Key(ID-date)]],'DATA BTO'!S:S,'DATA BTO'!N:N,FALSE)</f>
        <v>0</v>
      </c>
      <c r="AL491" s="54" t="e">
        <f>VLOOKUP(Tableau119[[#This Row],[Key(POD -PFI- Usine)]],'DATA Consignee'!A:F,6,FALSE)</f>
        <v>#N/A</v>
      </c>
      <c r="AM491" s="284"/>
      <c r="AN491" s="376" t="str">
        <f>IF(Tableau119[[#This Row],[Name PFI/CDD]]="","-",VLOOKUP(Tableau119[[#This Row],[Name PFI/CDD]],Plant_AILN!I:J,2,FALSE))</f>
        <v>-</v>
      </c>
      <c r="AO4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1" s="2" t="e">
        <f>VLOOKUP(Tableau119[[#This Row],[Key(POD -PFI- Usine)]],'DATA Consignee'!A:J,10,FALSE)</f>
        <v>#N/A</v>
      </c>
      <c r="AR491" s="50" t="e">
        <f>VLOOKUP(Tableau119[[#This Row],[Key(POD -PFI- Usine)]],'DATA Consignee'!A:N,14,FALSE)</f>
        <v>#N/A</v>
      </c>
      <c r="AS4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1" s="50">
        <f>Tableau119[[#This Row],[Transit time]]+Tableau119[[#This Row],[Time for security]]+Tableau119[[#This Row],[Time for security2 buffer]]</f>
        <v>0</v>
      </c>
      <c r="AV4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1" s="50" t="e">
        <f>Tableau119[[#This Row],[Leadtime SI2C]]+Tableau119[[#This Row],[First Receipt Days]]-Tableau119[[#This Row],[Day Customer Order]]+1</f>
        <v>#N/A</v>
      </c>
      <c r="AX491" s="119" t="e">
        <f>IF(Tableau119[[#This Row],[Name ILN]]&lt;&gt;"SFK Freight Forwarder",Tableau119[[#This Row],[Cust. Leadtime]],Tableau119[[#This Row],[Leadtime SI2C]])</f>
        <v>#N/A</v>
      </c>
      <c r="AY491" s="51" t="b">
        <f>_xlfn.XLOOKUP(Tableau119[[#This Row],[Key(ID-date)]],'DATA BTO'!S:S,'DATA BTO'!P:P,FALSE)</f>
        <v>0</v>
      </c>
      <c r="AZ491" s="338">
        <v>45473</v>
      </c>
      <c r="BA491" s="50"/>
    </row>
    <row r="492" spans="2:53">
      <c r="B492" s="446" t="str">
        <f>_xlfn.CONCAT(Tableau119[[#This Row],[Name ILN]],"-",Tableau119[[#This Row],[Name Shipper]],"-",Tableau119[[#This Row],[Name Site]])</f>
        <v>ILN Curitiba-ILN Curitiba-MAUBEUGE</v>
      </c>
      <c r="C492" s="66" t="str">
        <f>_xlfn.CONCAT(Tableau119[[#This Row],[Compte ILN]],"-",Tableau119[[#This Row],[Compte Shipper]],"-",Tableau119[[#This Row],[POL]],"-",Tableau119[[#This Row],[Compte Consignee]])</f>
        <v>95207-95207-FALSO-90016200</v>
      </c>
      <c r="D492" s="66" t="str">
        <f>_xlfn.CONCAT(Tableau119[[#This Row],[Compte ILN]],"-",Tableau119[[#This Row],[Compte Shipper]],"-",Tableau119[[#This Row],[POL]])</f>
        <v>95207-95207-FALSO</v>
      </c>
      <c r="E492" s="130" t="str">
        <f>_xlfn.CONCAT(Tableau119[[#This Row],[POL]],"-",Tableau119[[#This Row],[Carrier]],"-",Tableau119[[#This Row],[POD]])</f>
        <v>FALSO-FALSO-FALSO</v>
      </c>
      <c r="F492" s="66" t="str">
        <f>_xlfn.CONCAT(Tableau119[[#This Row],[ID]],"-","Actif")</f>
        <v>163-Actif</v>
      </c>
      <c r="G492" s="66" t="str">
        <f>_xlfn.CONCAT(Tableau119[[#This Row],[POD]],"-",Tableau119[[#This Row],[Code PFI]],"-",Tableau119[[#This Row],[Compte Consignee]])</f>
        <v>FALSO-90016600-90016200</v>
      </c>
      <c r="H4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CuritibaFALSOMAUBEUGE</v>
      </c>
      <c r="I492" s="434" t="str">
        <f>_xlfn.CONCAT(Tableau119[[#This Row],[ID]],"-",Tableau119[[#This Row],[Expiration Date]])</f>
        <v>163-45473</v>
      </c>
      <c r="J4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Curitiba-ILN Curitiba-163-FALSO-FALSO-FALSO-CDD FR-45473</v>
      </c>
      <c r="K492" s="119" t="str">
        <f ca="1">IF(COUNTIF(J:J,Tableau119[[#This Row],[Plant-ILN-shipper-POL-Carrier-POD-PFI]])=1,"Non","Oui")</f>
        <v>Non</v>
      </c>
      <c r="L492" s="128" t="str">
        <f>VLOOKUP(Tableau119[[#This Row],[Name Site]],Plant_AILN!A:D,4,FALSE)</f>
        <v>FRANCE</v>
      </c>
      <c r="M492" s="411" t="s">
        <v>210</v>
      </c>
      <c r="N492" s="454">
        <f>VLOOKUP(Tableau119[[#This Row],[Name Site]],Plant_AILN!A:C,3,FALSE)</f>
        <v>90016200</v>
      </c>
      <c r="O492" s="55">
        <f>VLOOKUP(Tableau119[[#This Row],[Compte Consignee]],Order!C:D,2,FALSE)</f>
        <v>7</v>
      </c>
      <c r="P492" s="124" t="s">
        <v>163</v>
      </c>
      <c r="Q492" s="365">
        <f>VLOOKUP(Tableau119[[#This Row],[Name ILN]],Plant_AILN!F:G,2,FALSE)</f>
        <v>95207</v>
      </c>
      <c r="R492" s="50">
        <f>VLOOKUP(Tableau119[[#This Row],[Compte ILN]],'DATA ILN'!D:I,6,FALSE)</f>
        <v>9</v>
      </c>
      <c r="S492" s="50" t="e">
        <f>IFERROR(VLOOKUP(Tableau119[[#This Row],[Key(Compte ILN - shipper - POL - plant)]],'DATA ILN'!A:J,10,FALSE),VLOOKUP(Tableau119[[#This Row],[Key(Compte ILN - shipper - POL)]],'DATA ILN'!B:J,9,FALSE))</f>
        <v>#N/A</v>
      </c>
      <c r="T492" s="50" t="e">
        <f>IFERROR(VLOOKUP(Tableau119[[#This Row],[Key(Compte ILN - shipper - POL - plant)]],'DATA ILN'!A:K,11,FALSE),VLOOKUP(Tableau119[[#This Row],[Key(Compte ILN - shipper - POL)]],'DATA ILN'!B:K,10,FALSE))</f>
        <v>#N/A</v>
      </c>
      <c r="U492" s="50" t="e">
        <f>IFERROR(VLOOKUP(Tableau119[[#This Row],[Key(Compte ILN - shipper - POL - plant)]],'DATA ILN'!A:L,12,FALSE),VLOOKUP(Tableau119[[#This Row],[Key(Compte ILN - shipper - POL)]],'DATA ILN'!B:L,11,FALSE))</f>
        <v>#N/A</v>
      </c>
      <c r="V492" s="50" t="e">
        <f>Tableau119[[#This Row],[Day ILN Order]]+Tableau119[[#This Row],[Delivery time to ILN/Shipper]]-1</f>
        <v>#N/A</v>
      </c>
      <c r="W492" s="50" t="e">
        <f>IFERROR(VLOOKUP(Tableau119[[#This Row],[Key(Compte ILN - shipper - POL - plant)]],'DATA ILN'!A:N,14,FALSE),VLOOKUP(Tableau119[[#This Row],[Key(Compte ILN - shipper - POL)]],'DATA ILN'!B:N,13,FALSE))</f>
        <v>#N/A</v>
      </c>
      <c r="X492" s="50" t="e">
        <f>IFERROR(VLOOKUP(Tableau119[[#This Row],[Key(Compte ILN - shipper - POL - plant)]],'DATA ILN'!A:P,16,FALSE),VLOOKUP(Tableau119[[#This Row],[Key(Compte ILN - shipper - POL)]],'DATA ILN'!B:P,15,FALSE))</f>
        <v>#N/A</v>
      </c>
      <c r="Y492" s="284" t="s">
        <v>163</v>
      </c>
      <c r="Z492" s="430">
        <f>IFERROR(VLOOKUP(Tableau119[[#This Row],[Name Shipper]],Plant_AILN!L:M,2,FALSE),0)</f>
        <v>95207</v>
      </c>
      <c r="AA492" s="406">
        <v>163</v>
      </c>
      <c r="AB492" s="396" t="b">
        <f>_xlfn.XLOOKUP(Tableau119[[#This Row],[Key(ID-date)]],'DATA BTO'!S:S,'DATA BTO'!E:E,FALSE)</f>
        <v>0</v>
      </c>
      <c r="AC492" s="3" t="b">
        <f>_xlfn.XLOOKUP(Tableau119[[#This Row],[Key(ID-date)]],'DATA BTO'!S:S,'DATA BTO'!F:F,FALSE)</f>
        <v>0</v>
      </c>
      <c r="AD492" s="50" t="b">
        <f>_xlfn.XLOOKUP(Tableau119[[#This Row],[Key(ID-date)]],'DATA BTO'!S:S,'DATA BTO'!G:G,FALSE)</f>
        <v>0</v>
      </c>
      <c r="AE492" s="50" t="b">
        <f>_xlfn.XLOOKUP(Tableau119[[#This Row],[Key(ID-date)]],'DATA BTO'!S:S,'DATA BTO'!H:H,FALSE)</f>
        <v>0</v>
      </c>
      <c r="AF492" s="447" t="e">
        <f>IF(Tableau119[[#This Row],[First Day to POL]]&lt;=Tableau119[[#This Row],[Day Cut Off]],Tableau119[[#This Row],[Day ETD]],Tableau119[[#This Row],[Day ETD]]+7)</f>
        <v>#N/A</v>
      </c>
      <c r="AG492" s="50" t="b">
        <f>_xlfn.XLOOKUP(Tableau119[[#This Row],[Key(ID-date)]],'DATA BTO'!S:S,'DATA BTO'!I:I,FALSE)</f>
        <v>0</v>
      </c>
      <c r="AH492" s="3" t="b">
        <f>_xlfn.XLOOKUP(Tableau119[[#This Row],[Key(ID-date)]],'DATA BTO'!S:S,'DATA BTO'!J:J,FALSE)</f>
        <v>0</v>
      </c>
      <c r="AI492" s="3" t="b">
        <f>_xlfn.XLOOKUP(Tableau119[[#This Row],[Key(ID-date)]],'DATA BTO'!S:S,'DATA BTO'!K:K,FALSE)</f>
        <v>0</v>
      </c>
      <c r="AJ492" s="50" t="b">
        <f>_xlfn.XLOOKUP(Tableau119[[#This Row],[Key(ID-date)]],'DATA BTO'!S:S,'DATA BTO'!L:L,FALSE)</f>
        <v>0</v>
      </c>
      <c r="AK492" s="53" t="b">
        <f>_xlfn.XLOOKUP(Tableau119[[#This Row],[Key(ID-date)]],'DATA BTO'!S:S,'DATA BTO'!N:N,FALSE)</f>
        <v>0</v>
      </c>
      <c r="AL492" s="54" t="e">
        <f>VLOOKUP(Tableau119[[#This Row],[Key(POD -PFI- Usine)]],'DATA Consignee'!A:F,6,FALSE)</f>
        <v>#N/A</v>
      </c>
      <c r="AM492" s="284" t="s">
        <v>155</v>
      </c>
      <c r="AN492" s="376">
        <f>IF(Tableau119[[#This Row],[Name PFI/CDD]]="","-",VLOOKUP(Tableau119[[#This Row],[Name PFI/CDD]],Plant_AILN!I:J,2,FALSE))</f>
        <v>90016600</v>
      </c>
      <c r="AO49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2" s="2" t="e">
        <f>VLOOKUP(Tableau119[[#This Row],[Key(POD -PFI- Usine)]],'DATA Consignee'!A:J,10,FALSE)</f>
        <v>#N/A</v>
      </c>
      <c r="AR492" s="50" t="e">
        <f>VLOOKUP(Tableau119[[#This Row],[Key(POD -PFI- Usine)]],'DATA Consignee'!A:N,14,FALSE)</f>
        <v>#N/A</v>
      </c>
      <c r="AS49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2" s="50">
        <f>Tableau119[[#This Row],[Transit time]]+Tableau119[[#This Row],[Time for security]]+Tableau119[[#This Row],[Time for security2 buffer]]</f>
        <v>0</v>
      </c>
      <c r="AV4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2" s="50" t="e">
        <f>Tableau119[[#This Row],[Leadtime SI2C]]+Tableau119[[#This Row],[First Receipt Days]]-Tableau119[[#This Row],[Day Customer Order]]+1</f>
        <v>#N/A</v>
      </c>
      <c r="AX492" s="119" t="e">
        <f>IF(Tableau119[[#This Row],[Name ILN]]&lt;&gt;"SFK Freight Forwarder",Tableau119[[#This Row],[Cust. Leadtime]],Tableau119[[#This Row],[Leadtime SI2C]])</f>
        <v>#N/A</v>
      </c>
      <c r="AY492" s="51" t="b">
        <f>_xlfn.XLOOKUP(Tableau119[[#This Row],[Key(ID-date)]],'DATA BTO'!S:S,'DATA BTO'!P:P,FALSE)</f>
        <v>0</v>
      </c>
      <c r="AZ492" s="338">
        <v>45473</v>
      </c>
      <c r="BA492" s="50"/>
    </row>
    <row r="493" spans="2:53">
      <c r="B493" s="446" t="str">
        <f>_xlfn.CONCAT(Tableau119[[#This Row],[Name ILN]],"-",Tableau119[[#This Row],[Name Shipper]],"-",Tableau119[[#This Row],[Name Site]])</f>
        <v>ILN Curitiba-ILN Curitiba-CACIA</v>
      </c>
      <c r="C493" s="66" t="str">
        <f>_xlfn.CONCAT(Tableau119[[#This Row],[Compte ILN]],"-",Tableau119[[#This Row],[Compte Shipper]],"-",Tableau119[[#This Row],[POL]],"-",Tableau119[[#This Row],[Compte Consignee]])</f>
        <v>95207-95207-FALSO-90016500</v>
      </c>
      <c r="D493" s="66" t="str">
        <f>_xlfn.CONCAT(Tableau119[[#This Row],[Compte ILN]],"-",Tableau119[[#This Row],[Compte Shipper]],"-",Tableau119[[#This Row],[POL]])</f>
        <v>95207-95207-FALSO</v>
      </c>
      <c r="E493" s="130" t="str">
        <f>_xlfn.CONCAT(Tableau119[[#This Row],[POL]],"-",Tableau119[[#This Row],[Carrier]],"-",Tableau119[[#This Row],[POD]])</f>
        <v>FALSO-FALSO-FALSO</v>
      </c>
      <c r="F493" s="66" t="str">
        <f>_xlfn.CONCAT(Tableau119[[#This Row],[ID]],"-","Actif")</f>
        <v>163-Actif</v>
      </c>
      <c r="G493" s="66" t="str">
        <f>_xlfn.CONCAT(Tableau119[[#This Row],[POD]],"-",Tableau119[[#This Row],[Code PFI]],"-",Tableau119[[#This Row],[Compte Consignee]])</f>
        <v>FALSO-90016600-90016500</v>
      </c>
      <c r="H4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CuritibaFALSOCACIA</v>
      </c>
      <c r="I493" s="434" t="str">
        <f>_xlfn.CONCAT(Tableau119[[#This Row],[ID]],"-",Tableau119[[#This Row],[Expiration Date]])</f>
        <v>163-45473</v>
      </c>
      <c r="J4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Curitiba-ILN Curitiba-163-FALSO-FALSO-FALSO-CDD FR-45473</v>
      </c>
      <c r="K493" s="119" t="str">
        <f ca="1">IF(COUNTIF(J:J,Tableau119[[#This Row],[Plant-ILN-shipper-POL-Carrier-POD-PFI]])=1,"Non","Oui")</f>
        <v>Non</v>
      </c>
      <c r="L493" s="128" t="str">
        <f>VLOOKUP(Tableau119[[#This Row],[Name Site]],Plant_AILN!A:D,4,FALSE)</f>
        <v>PORTUGAL</v>
      </c>
      <c r="M493" s="411" t="s">
        <v>170</v>
      </c>
      <c r="N493" s="454">
        <f>VLOOKUP(Tableau119[[#This Row],[Name Site]],Plant_AILN!A:C,3,FALSE)</f>
        <v>90016500</v>
      </c>
      <c r="O493" s="55">
        <f>VLOOKUP(Tableau119[[#This Row],[Compte Consignee]],Order!C:D,2,FALSE)</f>
        <v>5</v>
      </c>
      <c r="P493" s="124" t="s">
        <v>163</v>
      </c>
      <c r="Q493" s="365">
        <f>VLOOKUP(Tableau119[[#This Row],[Name ILN]],Plant_AILN!F:G,2,FALSE)</f>
        <v>95207</v>
      </c>
      <c r="R493" s="50">
        <f>VLOOKUP(Tableau119[[#This Row],[Compte ILN]],'DATA ILN'!D:I,6,FALSE)</f>
        <v>9</v>
      </c>
      <c r="S493" s="50" t="e">
        <f>IFERROR(VLOOKUP(Tableau119[[#This Row],[Key(Compte ILN - shipper - POL - plant)]],'DATA ILN'!A:J,10,FALSE),VLOOKUP(Tableau119[[#This Row],[Key(Compte ILN - shipper - POL)]],'DATA ILN'!B:J,9,FALSE))</f>
        <v>#N/A</v>
      </c>
      <c r="T493" s="50" t="e">
        <f>IFERROR(VLOOKUP(Tableau119[[#This Row],[Key(Compte ILN - shipper - POL - plant)]],'DATA ILN'!A:K,11,FALSE),VLOOKUP(Tableau119[[#This Row],[Key(Compte ILN - shipper - POL)]],'DATA ILN'!B:K,10,FALSE))</f>
        <v>#N/A</v>
      </c>
      <c r="U493" s="50" t="e">
        <f>IFERROR(VLOOKUP(Tableau119[[#This Row],[Key(Compte ILN - shipper - POL - plant)]],'DATA ILN'!A:L,12,FALSE),VLOOKUP(Tableau119[[#This Row],[Key(Compte ILN - shipper - POL)]],'DATA ILN'!B:L,11,FALSE))</f>
        <v>#N/A</v>
      </c>
      <c r="V493" s="50" t="e">
        <f>Tableau119[[#This Row],[Day ILN Order]]+Tableau119[[#This Row],[Delivery time to ILN/Shipper]]-1</f>
        <v>#N/A</v>
      </c>
      <c r="W493" s="50" t="e">
        <f>IFERROR(VLOOKUP(Tableau119[[#This Row],[Key(Compte ILN - shipper - POL - plant)]],'DATA ILN'!A:N,14,FALSE),VLOOKUP(Tableau119[[#This Row],[Key(Compte ILN - shipper - POL)]],'DATA ILN'!B:N,13,FALSE))</f>
        <v>#N/A</v>
      </c>
      <c r="X493" s="50" t="e">
        <f>IFERROR(VLOOKUP(Tableau119[[#This Row],[Key(Compte ILN - shipper - POL - plant)]],'DATA ILN'!A:P,16,FALSE),VLOOKUP(Tableau119[[#This Row],[Key(Compte ILN - shipper - POL)]],'DATA ILN'!B:P,15,FALSE))</f>
        <v>#N/A</v>
      </c>
      <c r="Y493" s="284" t="s">
        <v>163</v>
      </c>
      <c r="Z493" s="430">
        <f>IFERROR(VLOOKUP(Tableau119[[#This Row],[Name Shipper]],Plant_AILN!L:M,2,FALSE),0)</f>
        <v>95207</v>
      </c>
      <c r="AA493" s="406">
        <v>163</v>
      </c>
      <c r="AB493" s="396" t="b">
        <f>_xlfn.XLOOKUP(Tableau119[[#This Row],[Key(ID-date)]],'DATA BTO'!S:S,'DATA BTO'!E:E,FALSE)</f>
        <v>0</v>
      </c>
      <c r="AC493" s="3" t="b">
        <f>_xlfn.XLOOKUP(Tableau119[[#This Row],[Key(ID-date)]],'DATA BTO'!S:S,'DATA BTO'!F:F,FALSE)</f>
        <v>0</v>
      </c>
      <c r="AD493" s="50" t="b">
        <f>_xlfn.XLOOKUP(Tableau119[[#This Row],[Key(ID-date)]],'DATA BTO'!S:S,'DATA BTO'!G:G,FALSE)</f>
        <v>0</v>
      </c>
      <c r="AE493" s="50" t="b">
        <f>_xlfn.XLOOKUP(Tableau119[[#This Row],[Key(ID-date)]],'DATA BTO'!S:S,'DATA BTO'!H:H,FALSE)</f>
        <v>0</v>
      </c>
      <c r="AF493" s="447" t="e">
        <f>IF(Tableau119[[#This Row],[First Day to POL]]&lt;=Tableau119[[#This Row],[Day Cut Off]],Tableau119[[#This Row],[Day ETD]],Tableau119[[#This Row],[Day ETD]]+7)</f>
        <v>#N/A</v>
      </c>
      <c r="AG493" s="50" t="b">
        <f>_xlfn.XLOOKUP(Tableau119[[#This Row],[Key(ID-date)]],'DATA BTO'!S:S,'DATA BTO'!I:I,FALSE)</f>
        <v>0</v>
      </c>
      <c r="AH493" s="3" t="b">
        <f>_xlfn.XLOOKUP(Tableau119[[#This Row],[Key(ID-date)]],'DATA BTO'!S:S,'DATA BTO'!J:J,FALSE)</f>
        <v>0</v>
      </c>
      <c r="AI493" s="3" t="b">
        <f>_xlfn.XLOOKUP(Tableau119[[#This Row],[Key(ID-date)]],'DATA BTO'!S:S,'DATA BTO'!K:K,FALSE)</f>
        <v>0</v>
      </c>
      <c r="AJ493" s="50" t="b">
        <f>_xlfn.XLOOKUP(Tableau119[[#This Row],[Key(ID-date)]],'DATA BTO'!S:S,'DATA BTO'!L:L,FALSE)</f>
        <v>0</v>
      </c>
      <c r="AK493" s="53" t="b">
        <f>_xlfn.XLOOKUP(Tableau119[[#This Row],[Key(ID-date)]],'DATA BTO'!S:S,'DATA BTO'!N:N,FALSE)</f>
        <v>0</v>
      </c>
      <c r="AL493" s="54" t="e">
        <f>VLOOKUP(Tableau119[[#This Row],[Key(POD -PFI- Usine)]],'DATA Consignee'!A:F,6,FALSE)</f>
        <v>#N/A</v>
      </c>
      <c r="AM493" s="284" t="s">
        <v>155</v>
      </c>
      <c r="AN493" s="376">
        <f>IF(Tableau119[[#This Row],[Name PFI/CDD]]="","-",VLOOKUP(Tableau119[[#This Row],[Name PFI/CDD]],Plant_AILN!I:J,2,FALSE))</f>
        <v>90016600</v>
      </c>
      <c r="AO4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3" s="2" t="e">
        <f>VLOOKUP(Tableau119[[#This Row],[Key(POD -PFI- Usine)]],'DATA Consignee'!A:J,10,FALSE)</f>
        <v>#N/A</v>
      </c>
      <c r="AR493" s="50" t="e">
        <f>VLOOKUP(Tableau119[[#This Row],[Key(POD -PFI- Usine)]],'DATA Consignee'!A:N,14,FALSE)</f>
        <v>#N/A</v>
      </c>
      <c r="AS4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3" s="50">
        <f>Tableau119[[#This Row],[Transit time]]+Tableau119[[#This Row],[Time for security]]+Tableau119[[#This Row],[Time for security2 buffer]]</f>
        <v>0</v>
      </c>
      <c r="AV4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3" s="50" t="e">
        <f>Tableau119[[#This Row],[Leadtime SI2C]]+Tableau119[[#This Row],[First Receipt Days]]-Tableau119[[#This Row],[Day Customer Order]]+1</f>
        <v>#N/A</v>
      </c>
      <c r="AX493" s="119" t="e">
        <f>IF(Tableau119[[#This Row],[Name ILN]]&lt;&gt;"SFK Freight Forwarder",Tableau119[[#This Row],[Cust. Leadtime]],Tableau119[[#This Row],[Leadtime SI2C]])</f>
        <v>#N/A</v>
      </c>
      <c r="AY493" s="51" t="b">
        <f>_xlfn.XLOOKUP(Tableau119[[#This Row],[Key(ID-date)]],'DATA BTO'!S:S,'DATA BTO'!P:P,FALSE)</f>
        <v>0</v>
      </c>
      <c r="AZ493" s="338">
        <v>45473</v>
      </c>
      <c r="BA493" s="50"/>
    </row>
    <row r="494" spans="2:53">
      <c r="B494" s="446" t="str">
        <f>_xlfn.CONCAT(Tableau119[[#This Row],[Name ILN]],"-",Tableau119[[#This Row],[Name Shipper]],"-",Tableau119[[#This Row],[Name Site]])</f>
        <v>ILN Curitiba-ILN Curitiba-SOVAB</v>
      </c>
      <c r="C494" s="66" t="str">
        <f>_xlfn.CONCAT(Tableau119[[#This Row],[Compte ILN]],"-",Tableau119[[#This Row],[Compte Shipper]],"-",Tableau119[[#This Row],[POL]],"-",Tableau119[[#This Row],[Compte Consignee]])</f>
        <v>95207-95207-FALSO-90016900</v>
      </c>
      <c r="D494" s="66" t="str">
        <f>_xlfn.CONCAT(Tableau119[[#This Row],[Compte ILN]],"-",Tableau119[[#This Row],[Compte Shipper]],"-",Tableau119[[#This Row],[POL]])</f>
        <v>95207-95207-FALSO</v>
      </c>
      <c r="E494" s="130" t="str">
        <f>_xlfn.CONCAT(Tableau119[[#This Row],[POL]],"-",Tableau119[[#This Row],[Carrier]],"-",Tableau119[[#This Row],[POD]])</f>
        <v>FALSO-FALSO-FALSO</v>
      </c>
      <c r="F494" s="66" t="str">
        <f>_xlfn.CONCAT(Tableau119[[#This Row],[ID]],"-","Actif")</f>
        <v>163-Actif</v>
      </c>
      <c r="G494" s="66" t="str">
        <f>_xlfn.CONCAT(Tableau119[[#This Row],[POD]],"-",Tableau119[[#This Row],[Code PFI]],"-",Tableau119[[#This Row],[Compte Consignee]])</f>
        <v>FALSO-90016600-90016900</v>
      </c>
      <c r="H4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CuritibaFALSOSOVAB</v>
      </c>
      <c r="I494" s="434" t="str">
        <f>_xlfn.CONCAT(Tableau119[[#This Row],[ID]],"-",Tableau119[[#This Row],[Expiration Date]])</f>
        <v>163-45473</v>
      </c>
      <c r="J4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Curitiba-ILN Curitiba-163-FALSO-FALSO-FALSO-CDD FR-45473</v>
      </c>
      <c r="K494" s="119" t="str">
        <f ca="1">IF(COUNTIF(J:J,Tableau119[[#This Row],[Plant-ILN-shipper-POL-Carrier-POD-PFI]])=1,"Non","Oui")</f>
        <v>Non</v>
      </c>
      <c r="L494" s="128" t="str">
        <f>VLOOKUP(Tableau119[[#This Row],[Name Site]],Plant_AILN!A:D,4,FALSE)</f>
        <v>FRANCE</v>
      </c>
      <c r="M494" s="411" t="s">
        <v>154</v>
      </c>
      <c r="N494" s="454">
        <f>VLOOKUP(Tableau119[[#This Row],[Name Site]],Plant_AILN!A:C,3,FALSE)</f>
        <v>90016900</v>
      </c>
      <c r="O494" s="55">
        <f>VLOOKUP(Tableau119[[#This Row],[Compte Consignee]],Order!C:D,2,FALSE)</f>
        <v>7</v>
      </c>
      <c r="P494" s="124" t="s">
        <v>163</v>
      </c>
      <c r="Q494" s="365">
        <f>VLOOKUP(Tableau119[[#This Row],[Name ILN]],Plant_AILN!F:G,2,FALSE)</f>
        <v>95207</v>
      </c>
      <c r="R494" s="50">
        <f>VLOOKUP(Tableau119[[#This Row],[Compte ILN]],'DATA ILN'!D:I,6,FALSE)</f>
        <v>9</v>
      </c>
      <c r="S494" s="50" t="e">
        <f>IFERROR(VLOOKUP(Tableau119[[#This Row],[Key(Compte ILN - shipper - POL - plant)]],'DATA ILN'!A:J,10,FALSE),VLOOKUP(Tableau119[[#This Row],[Key(Compte ILN - shipper - POL)]],'DATA ILN'!B:J,9,FALSE))</f>
        <v>#N/A</v>
      </c>
      <c r="T494" s="50" t="e">
        <f>IFERROR(VLOOKUP(Tableau119[[#This Row],[Key(Compte ILN - shipper - POL - plant)]],'DATA ILN'!A:K,11,FALSE),VLOOKUP(Tableau119[[#This Row],[Key(Compte ILN - shipper - POL)]],'DATA ILN'!B:K,10,FALSE))</f>
        <v>#N/A</v>
      </c>
      <c r="U494" s="50" t="e">
        <f>IFERROR(VLOOKUP(Tableau119[[#This Row],[Key(Compte ILN - shipper - POL - plant)]],'DATA ILN'!A:L,12,FALSE),VLOOKUP(Tableau119[[#This Row],[Key(Compte ILN - shipper - POL)]],'DATA ILN'!B:L,11,FALSE))</f>
        <v>#N/A</v>
      </c>
      <c r="V494" s="50" t="e">
        <f>Tableau119[[#This Row],[Day ILN Order]]+Tableau119[[#This Row],[Delivery time to ILN/Shipper]]-1</f>
        <v>#N/A</v>
      </c>
      <c r="W494" s="50" t="e">
        <f>IFERROR(VLOOKUP(Tableau119[[#This Row],[Key(Compte ILN - shipper - POL - plant)]],'DATA ILN'!A:N,14,FALSE),VLOOKUP(Tableau119[[#This Row],[Key(Compte ILN - shipper - POL)]],'DATA ILN'!B:N,13,FALSE))</f>
        <v>#N/A</v>
      </c>
      <c r="X494" s="50" t="e">
        <f>IFERROR(VLOOKUP(Tableau119[[#This Row],[Key(Compte ILN - shipper - POL - plant)]],'DATA ILN'!A:P,16,FALSE),VLOOKUP(Tableau119[[#This Row],[Key(Compte ILN - shipper - POL)]],'DATA ILN'!B:P,15,FALSE))</f>
        <v>#N/A</v>
      </c>
      <c r="Y494" s="284" t="s">
        <v>163</v>
      </c>
      <c r="Z494" s="430">
        <f>IFERROR(VLOOKUP(Tableau119[[#This Row],[Name Shipper]],Plant_AILN!L:M,2,FALSE),0)</f>
        <v>95207</v>
      </c>
      <c r="AA494" s="406">
        <v>163</v>
      </c>
      <c r="AB494" s="396" t="b">
        <f>_xlfn.XLOOKUP(Tableau119[[#This Row],[Key(ID-date)]],'DATA BTO'!S:S,'DATA BTO'!E:E,FALSE)</f>
        <v>0</v>
      </c>
      <c r="AC494" s="3" t="b">
        <f>_xlfn.XLOOKUP(Tableau119[[#This Row],[Key(ID-date)]],'DATA BTO'!S:S,'DATA BTO'!F:F,FALSE)</f>
        <v>0</v>
      </c>
      <c r="AD494" s="50" t="b">
        <f>_xlfn.XLOOKUP(Tableau119[[#This Row],[Key(ID-date)]],'DATA BTO'!S:S,'DATA BTO'!G:G,FALSE)</f>
        <v>0</v>
      </c>
      <c r="AE494" s="50" t="b">
        <f>_xlfn.XLOOKUP(Tableau119[[#This Row],[Key(ID-date)]],'DATA BTO'!S:S,'DATA BTO'!H:H,FALSE)</f>
        <v>0</v>
      </c>
      <c r="AF494" s="447" t="e">
        <f>IF(Tableau119[[#This Row],[First Day to POL]]&lt;=Tableau119[[#This Row],[Day Cut Off]],Tableau119[[#This Row],[Day ETD]],Tableau119[[#This Row],[Day ETD]]+7)</f>
        <v>#N/A</v>
      </c>
      <c r="AG494" s="50" t="b">
        <f>_xlfn.XLOOKUP(Tableau119[[#This Row],[Key(ID-date)]],'DATA BTO'!S:S,'DATA BTO'!I:I,FALSE)</f>
        <v>0</v>
      </c>
      <c r="AH494" s="3" t="b">
        <f>_xlfn.XLOOKUP(Tableau119[[#This Row],[Key(ID-date)]],'DATA BTO'!S:S,'DATA BTO'!J:J,FALSE)</f>
        <v>0</v>
      </c>
      <c r="AI494" s="3" t="b">
        <f>_xlfn.XLOOKUP(Tableau119[[#This Row],[Key(ID-date)]],'DATA BTO'!S:S,'DATA BTO'!K:K,FALSE)</f>
        <v>0</v>
      </c>
      <c r="AJ494" s="50" t="b">
        <f>_xlfn.XLOOKUP(Tableau119[[#This Row],[Key(ID-date)]],'DATA BTO'!S:S,'DATA BTO'!L:L,FALSE)</f>
        <v>0</v>
      </c>
      <c r="AK494" s="53" t="b">
        <f>_xlfn.XLOOKUP(Tableau119[[#This Row],[Key(ID-date)]],'DATA BTO'!S:S,'DATA BTO'!N:N,FALSE)</f>
        <v>0</v>
      </c>
      <c r="AL494" s="54" t="e">
        <f>VLOOKUP(Tableau119[[#This Row],[Key(POD -PFI- Usine)]],'DATA Consignee'!A:F,6,FALSE)</f>
        <v>#N/A</v>
      </c>
      <c r="AM494" s="284" t="s">
        <v>155</v>
      </c>
      <c r="AN494" s="376">
        <f>IF(Tableau119[[#This Row],[Name PFI/CDD]]="","-",VLOOKUP(Tableau119[[#This Row],[Name PFI/CDD]],Plant_AILN!I:J,2,FALSE))</f>
        <v>90016600</v>
      </c>
      <c r="AO4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4" s="2" t="e">
        <f>VLOOKUP(Tableau119[[#This Row],[Key(POD -PFI- Usine)]],'DATA Consignee'!A:J,10,FALSE)</f>
        <v>#N/A</v>
      </c>
      <c r="AR494" s="50" t="e">
        <f>VLOOKUP(Tableau119[[#This Row],[Key(POD -PFI- Usine)]],'DATA Consignee'!A:N,14,FALSE)</f>
        <v>#N/A</v>
      </c>
      <c r="AS49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4" s="50">
        <f>Tableau119[[#This Row],[Transit time]]+Tableau119[[#This Row],[Time for security]]+Tableau119[[#This Row],[Time for security2 buffer]]</f>
        <v>0</v>
      </c>
      <c r="AV4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4" s="50" t="e">
        <f>Tableau119[[#This Row],[Leadtime SI2C]]+Tableau119[[#This Row],[First Receipt Days]]-Tableau119[[#This Row],[Day Customer Order]]+1</f>
        <v>#N/A</v>
      </c>
      <c r="AX494" s="119" t="e">
        <f>IF(Tableau119[[#This Row],[Name ILN]]&lt;&gt;"SFK Freight Forwarder",Tableau119[[#This Row],[Cust. Leadtime]],Tableau119[[#This Row],[Leadtime SI2C]])</f>
        <v>#N/A</v>
      </c>
      <c r="AY494" s="51" t="b">
        <f>_xlfn.XLOOKUP(Tableau119[[#This Row],[Key(ID-date)]],'DATA BTO'!S:S,'DATA BTO'!P:P,FALSE)</f>
        <v>0</v>
      </c>
      <c r="AZ494" s="338">
        <v>45473</v>
      </c>
      <c r="BA494" s="50"/>
    </row>
    <row r="495" spans="2:53">
      <c r="B495" s="446" t="str">
        <f>_xlfn.CONCAT(Tableau119[[#This Row],[Name ILN]],"-",Tableau119[[#This Row],[Name Shipper]],"-",Tableau119[[#This Row],[Name Site]])</f>
        <v>ILN Curitiba-ILN Curitiba-SANDOUVILLE</v>
      </c>
      <c r="C495" s="66" t="str">
        <f>_xlfn.CONCAT(Tableau119[[#This Row],[Compte ILN]],"-",Tableau119[[#This Row],[Compte Shipper]],"-",Tableau119[[#This Row],[POL]],"-",Tableau119[[#This Row],[Compte Consignee]])</f>
        <v>95207-95207-FALSO-90017100</v>
      </c>
      <c r="D495" s="66" t="str">
        <f>_xlfn.CONCAT(Tableau119[[#This Row],[Compte ILN]],"-",Tableau119[[#This Row],[Compte Shipper]],"-",Tableau119[[#This Row],[POL]])</f>
        <v>95207-95207-FALSO</v>
      </c>
      <c r="E495" s="130" t="str">
        <f>_xlfn.CONCAT(Tableau119[[#This Row],[POL]],"-",Tableau119[[#This Row],[Carrier]],"-",Tableau119[[#This Row],[POD]])</f>
        <v>FALSO-FALSO-FALSO</v>
      </c>
      <c r="F495" s="66" t="str">
        <f>_xlfn.CONCAT(Tableau119[[#This Row],[ID]],"-","Actif")</f>
        <v>163-Actif</v>
      </c>
      <c r="G495" s="66" t="str">
        <f>_xlfn.CONCAT(Tableau119[[#This Row],[POD]],"-",Tableau119[[#This Row],[Code PFI]],"-",Tableau119[[#This Row],[Compte Consignee]])</f>
        <v>FALSO-90016600-90017100</v>
      </c>
      <c r="H4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CuritibaFALSOSANDOUVILLE</v>
      </c>
      <c r="I495" s="434" t="str">
        <f>_xlfn.CONCAT(Tableau119[[#This Row],[ID]],"-",Tableau119[[#This Row],[Expiration Date]])</f>
        <v>163-45473</v>
      </c>
      <c r="J4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Curitiba-ILN Curitiba-163-FALSO-FALSO-FALSO-CDD FR-45473</v>
      </c>
      <c r="K495" s="119" t="str">
        <f ca="1">IF(COUNTIF(J:J,Tableau119[[#This Row],[Plant-ILN-shipper-POL-Carrier-POD-PFI]])=1,"Non","Oui")</f>
        <v>Non</v>
      </c>
      <c r="L495" s="128" t="str">
        <f>VLOOKUP(Tableau119[[#This Row],[Name Site]],Plant_AILN!A:D,4,FALSE)</f>
        <v>FRANCE</v>
      </c>
      <c r="M495" s="411" t="s">
        <v>196</v>
      </c>
      <c r="N495" s="454">
        <f>VLOOKUP(Tableau119[[#This Row],[Name Site]],Plant_AILN!A:C,3,FALSE)</f>
        <v>90017100</v>
      </c>
      <c r="O495" s="55">
        <f>VLOOKUP(Tableau119[[#This Row],[Compte Consignee]],Order!C:D,2,FALSE)</f>
        <v>7</v>
      </c>
      <c r="P495" s="124" t="s">
        <v>163</v>
      </c>
      <c r="Q495" s="365">
        <f>VLOOKUP(Tableau119[[#This Row],[Name ILN]],Plant_AILN!F:G,2,FALSE)</f>
        <v>95207</v>
      </c>
      <c r="R495" s="50">
        <f>VLOOKUP(Tableau119[[#This Row],[Compte ILN]],'DATA ILN'!D:I,6,FALSE)</f>
        <v>9</v>
      </c>
      <c r="S495" s="50" t="e">
        <f>IFERROR(VLOOKUP(Tableau119[[#This Row],[Key(Compte ILN - shipper - POL - plant)]],'DATA ILN'!A:J,10,FALSE),VLOOKUP(Tableau119[[#This Row],[Key(Compte ILN - shipper - POL)]],'DATA ILN'!B:J,9,FALSE))</f>
        <v>#N/A</v>
      </c>
      <c r="T495" s="50" t="e">
        <f>IFERROR(VLOOKUP(Tableau119[[#This Row],[Key(Compte ILN - shipper - POL - plant)]],'DATA ILN'!A:K,11,FALSE),VLOOKUP(Tableau119[[#This Row],[Key(Compte ILN - shipper - POL)]],'DATA ILN'!B:K,10,FALSE))</f>
        <v>#N/A</v>
      </c>
      <c r="U495" s="50" t="e">
        <f>IFERROR(VLOOKUP(Tableau119[[#This Row],[Key(Compte ILN - shipper - POL - plant)]],'DATA ILN'!A:L,12,FALSE),VLOOKUP(Tableau119[[#This Row],[Key(Compte ILN - shipper - POL)]],'DATA ILN'!B:L,11,FALSE))</f>
        <v>#N/A</v>
      </c>
      <c r="V495" s="50" t="e">
        <f>Tableau119[[#This Row],[Day ILN Order]]+Tableau119[[#This Row],[Delivery time to ILN/Shipper]]-1</f>
        <v>#N/A</v>
      </c>
      <c r="W495" s="50" t="e">
        <f>IFERROR(VLOOKUP(Tableau119[[#This Row],[Key(Compte ILN - shipper - POL - plant)]],'DATA ILN'!A:N,14,FALSE),VLOOKUP(Tableau119[[#This Row],[Key(Compte ILN - shipper - POL)]],'DATA ILN'!B:N,13,FALSE))</f>
        <v>#N/A</v>
      </c>
      <c r="X495" s="50" t="e">
        <f>IFERROR(VLOOKUP(Tableau119[[#This Row],[Key(Compte ILN - shipper - POL - plant)]],'DATA ILN'!A:P,16,FALSE),VLOOKUP(Tableau119[[#This Row],[Key(Compte ILN - shipper - POL)]],'DATA ILN'!B:P,15,FALSE))</f>
        <v>#N/A</v>
      </c>
      <c r="Y495" s="284" t="s">
        <v>163</v>
      </c>
      <c r="Z495" s="430">
        <f>IFERROR(VLOOKUP(Tableau119[[#This Row],[Name Shipper]],Plant_AILN!L:M,2,FALSE),0)</f>
        <v>95207</v>
      </c>
      <c r="AA495" s="406">
        <v>163</v>
      </c>
      <c r="AB495" s="396" t="b">
        <f>_xlfn.XLOOKUP(Tableau119[[#This Row],[Key(ID-date)]],'DATA BTO'!S:S,'DATA BTO'!E:E,FALSE)</f>
        <v>0</v>
      </c>
      <c r="AC495" s="3" t="b">
        <f>_xlfn.XLOOKUP(Tableau119[[#This Row],[Key(ID-date)]],'DATA BTO'!S:S,'DATA BTO'!F:F,FALSE)</f>
        <v>0</v>
      </c>
      <c r="AD495" s="50" t="b">
        <f>_xlfn.XLOOKUP(Tableau119[[#This Row],[Key(ID-date)]],'DATA BTO'!S:S,'DATA BTO'!G:G,FALSE)</f>
        <v>0</v>
      </c>
      <c r="AE495" s="50" t="b">
        <f>_xlfn.XLOOKUP(Tableau119[[#This Row],[Key(ID-date)]],'DATA BTO'!S:S,'DATA BTO'!H:H,FALSE)</f>
        <v>0</v>
      </c>
      <c r="AF495" s="447" t="e">
        <f>IF(Tableau119[[#This Row],[First Day to POL]]&lt;=Tableau119[[#This Row],[Day Cut Off]],Tableau119[[#This Row],[Day ETD]],Tableau119[[#This Row],[Day ETD]]+7)</f>
        <v>#N/A</v>
      </c>
      <c r="AG495" s="50" t="b">
        <f>_xlfn.XLOOKUP(Tableau119[[#This Row],[Key(ID-date)]],'DATA BTO'!S:S,'DATA BTO'!I:I,FALSE)</f>
        <v>0</v>
      </c>
      <c r="AH495" s="3" t="b">
        <f>_xlfn.XLOOKUP(Tableau119[[#This Row],[Key(ID-date)]],'DATA BTO'!S:S,'DATA BTO'!J:J,FALSE)</f>
        <v>0</v>
      </c>
      <c r="AI495" s="3" t="b">
        <f>_xlfn.XLOOKUP(Tableau119[[#This Row],[Key(ID-date)]],'DATA BTO'!S:S,'DATA BTO'!K:K,FALSE)</f>
        <v>0</v>
      </c>
      <c r="AJ495" s="50" t="b">
        <f>_xlfn.XLOOKUP(Tableau119[[#This Row],[Key(ID-date)]],'DATA BTO'!S:S,'DATA BTO'!L:L,FALSE)</f>
        <v>0</v>
      </c>
      <c r="AK495" s="53" t="b">
        <f>_xlfn.XLOOKUP(Tableau119[[#This Row],[Key(ID-date)]],'DATA BTO'!S:S,'DATA BTO'!N:N,FALSE)</f>
        <v>0</v>
      </c>
      <c r="AL495" s="54" t="e">
        <f>VLOOKUP(Tableau119[[#This Row],[Key(POD -PFI- Usine)]],'DATA Consignee'!A:F,6,FALSE)</f>
        <v>#N/A</v>
      </c>
      <c r="AM495" s="284" t="s">
        <v>155</v>
      </c>
      <c r="AN495" s="376">
        <f>IF(Tableau119[[#This Row],[Name PFI/CDD]]="","-",VLOOKUP(Tableau119[[#This Row],[Name PFI/CDD]],Plant_AILN!I:J,2,FALSE))</f>
        <v>90016600</v>
      </c>
      <c r="AO49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5" s="2" t="e">
        <f>VLOOKUP(Tableau119[[#This Row],[Key(POD -PFI- Usine)]],'DATA Consignee'!A:J,10,FALSE)</f>
        <v>#N/A</v>
      </c>
      <c r="AR495" s="50" t="e">
        <f>VLOOKUP(Tableau119[[#This Row],[Key(POD -PFI- Usine)]],'DATA Consignee'!A:N,14,FALSE)</f>
        <v>#N/A</v>
      </c>
      <c r="AS49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5" s="50">
        <f>Tableau119[[#This Row],[Transit time]]+Tableau119[[#This Row],[Time for security]]+Tableau119[[#This Row],[Time for security2 buffer]]</f>
        <v>0</v>
      </c>
      <c r="AV4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5" s="50" t="e">
        <f>Tableau119[[#This Row],[Leadtime SI2C]]+Tableau119[[#This Row],[First Receipt Days]]-Tableau119[[#This Row],[Day Customer Order]]+1</f>
        <v>#N/A</v>
      </c>
      <c r="AX495" s="119" t="e">
        <f>IF(Tableau119[[#This Row],[Name ILN]]&lt;&gt;"SFK Freight Forwarder",Tableau119[[#This Row],[Cust. Leadtime]],Tableau119[[#This Row],[Leadtime SI2C]])</f>
        <v>#N/A</v>
      </c>
      <c r="AY495" s="51" t="b">
        <f>_xlfn.XLOOKUP(Tableau119[[#This Row],[Key(ID-date)]],'DATA BTO'!S:S,'DATA BTO'!P:P,FALSE)</f>
        <v>0</v>
      </c>
      <c r="AZ495" s="338">
        <v>45473</v>
      </c>
      <c r="BA495" s="50"/>
    </row>
    <row r="496" spans="2:53">
      <c r="B496" s="446" t="str">
        <f>_xlfn.CONCAT(Tableau119[[#This Row],[Name ILN]],"-",Tableau119[[#This Row],[Name Shipper]],"-",Tableau119[[#This Row],[Name Site]])</f>
        <v>ILN Curitiba-ILN Curitiba-ALPINE</v>
      </c>
      <c r="C496" s="66" t="str">
        <f>_xlfn.CONCAT(Tableau119[[#This Row],[Compte ILN]],"-",Tableau119[[#This Row],[Compte Shipper]],"-",Tableau119[[#This Row],[POL]],"-",Tableau119[[#This Row],[Compte Consignee]])</f>
        <v>95207-95207-FALSO-90018300</v>
      </c>
      <c r="D496" s="66" t="str">
        <f>_xlfn.CONCAT(Tableau119[[#This Row],[Compte ILN]],"-",Tableau119[[#This Row],[Compte Shipper]],"-",Tableau119[[#This Row],[POL]])</f>
        <v>95207-95207-FALSO</v>
      </c>
      <c r="E496" s="130" t="str">
        <f>_xlfn.CONCAT(Tableau119[[#This Row],[POL]],"-",Tableau119[[#This Row],[Carrier]],"-",Tableau119[[#This Row],[POD]])</f>
        <v>FALSO-FALSO-FALSO</v>
      </c>
      <c r="F496" s="66" t="str">
        <f>_xlfn.CONCAT(Tableau119[[#This Row],[ID]],"-","Actif")</f>
        <v>163-Actif</v>
      </c>
      <c r="G496" s="66" t="str">
        <f>_xlfn.CONCAT(Tableau119[[#This Row],[POD]],"-",Tableau119[[#This Row],[Code PFI]],"-",Tableau119[[#This Row],[Compte Consignee]])</f>
        <v>FALSO-90016600-90018300</v>
      </c>
      <c r="H4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CuritibaFALSOALPINE</v>
      </c>
      <c r="I496" s="434" t="str">
        <f>_xlfn.CONCAT(Tableau119[[#This Row],[ID]],"-",Tableau119[[#This Row],[Expiration Date]])</f>
        <v>163-45473</v>
      </c>
      <c r="J4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Curitiba-ILN Curitiba-163-FALSO-FALSO-FALSO-CDD FR-45473</v>
      </c>
      <c r="K496" s="119" t="str">
        <f ca="1">IF(COUNTIF(J:J,Tableau119[[#This Row],[Plant-ILN-shipper-POL-Carrier-POD-PFI]])=1,"Non","Oui")</f>
        <v>Non</v>
      </c>
      <c r="L496" s="128" t="str">
        <f>VLOOKUP(Tableau119[[#This Row],[Name Site]],Plant_AILN!A:D,4,FALSE)</f>
        <v>FRANCE</v>
      </c>
      <c r="M496" s="411" t="s">
        <v>220</v>
      </c>
      <c r="N496" s="454">
        <f>VLOOKUP(Tableau119[[#This Row],[Name Site]],Plant_AILN!A:C,3,FALSE)</f>
        <v>90018300</v>
      </c>
      <c r="O496" s="55">
        <f>VLOOKUP(Tableau119[[#This Row],[Compte Consignee]],Order!C:D,2,FALSE)</f>
        <v>7</v>
      </c>
      <c r="P496" s="124" t="s">
        <v>163</v>
      </c>
      <c r="Q496" s="365">
        <f>VLOOKUP(Tableau119[[#This Row],[Name ILN]],Plant_AILN!F:G,2,FALSE)</f>
        <v>95207</v>
      </c>
      <c r="R496" s="50">
        <f>VLOOKUP(Tableau119[[#This Row],[Compte ILN]],'DATA ILN'!D:I,6,FALSE)</f>
        <v>9</v>
      </c>
      <c r="S496" s="50" t="e">
        <f>IFERROR(VLOOKUP(Tableau119[[#This Row],[Key(Compte ILN - shipper - POL - plant)]],'DATA ILN'!A:J,10,FALSE),VLOOKUP(Tableau119[[#This Row],[Key(Compte ILN - shipper - POL)]],'DATA ILN'!B:J,9,FALSE))</f>
        <v>#N/A</v>
      </c>
      <c r="T496" s="50" t="e">
        <f>IFERROR(VLOOKUP(Tableau119[[#This Row],[Key(Compte ILN - shipper - POL - plant)]],'DATA ILN'!A:K,11,FALSE),VLOOKUP(Tableau119[[#This Row],[Key(Compte ILN - shipper - POL)]],'DATA ILN'!B:K,10,FALSE))</f>
        <v>#N/A</v>
      </c>
      <c r="U496" s="50" t="e">
        <f>IFERROR(VLOOKUP(Tableau119[[#This Row],[Key(Compte ILN - shipper - POL - plant)]],'DATA ILN'!A:L,12,FALSE),VLOOKUP(Tableau119[[#This Row],[Key(Compte ILN - shipper - POL)]],'DATA ILN'!B:L,11,FALSE))</f>
        <v>#N/A</v>
      </c>
      <c r="V496" s="50" t="e">
        <f>Tableau119[[#This Row],[Day ILN Order]]+Tableau119[[#This Row],[Delivery time to ILN/Shipper]]-1</f>
        <v>#N/A</v>
      </c>
      <c r="W496" s="50" t="e">
        <f>IFERROR(VLOOKUP(Tableau119[[#This Row],[Key(Compte ILN - shipper - POL - plant)]],'DATA ILN'!A:N,14,FALSE),VLOOKUP(Tableau119[[#This Row],[Key(Compte ILN - shipper - POL)]],'DATA ILN'!B:N,13,FALSE))</f>
        <v>#N/A</v>
      </c>
      <c r="X496" s="50" t="e">
        <f>IFERROR(VLOOKUP(Tableau119[[#This Row],[Key(Compte ILN - shipper - POL - plant)]],'DATA ILN'!A:P,16,FALSE),VLOOKUP(Tableau119[[#This Row],[Key(Compte ILN - shipper - POL)]],'DATA ILN'!B:P,15,FALSE))</f>
        <v>#N/A</v>
      </c>
      <c r="Y496" s="284" t="s">
        <v>163</v>
      </c>
      <c r="Z496" s="430">
        <f>IFERROR(VLOOKUP(Tableau119[[#This Row],[Name Shipper]],Plant_AILN!L:M,2,FALSE),0)</f>
        <v>95207</v>
      </c>
      <c r="AA496" s="406">
        <v>163</v>
      </c>
      <c r="AB496" s="396" t="b">
        <f>_xlfn.XLOOKUP(Tableau119[[#This Row],[Key(ID-date)]],'DATA BTO'!S:S,'DATA BTO'!E:E,FALSE)</f>
        <v>0</v>
      </c>
      <c r="AC496" s="3" t="b">
        <f>_xlfn.XLOOKUP(Tableau119[[#This Row],[Key(ID-date)]],'DATA BTO'!S:S,'DATA BTO'!F:F,FALSE)</f>
        <v>0</v>
      </c>
      <c r="AD496" s="50" t="b">
        <f>_xlfn.XLOOKUP(Tableau119[[#This Row],[Key(ID-date)]],'DATA BTO'!S:S,'DATA BTO'!G:G,FALSE)</f>
        <v>0</v>
      </c>
      <c r="AE496" s="50" t="b">
        <f>_xlfn.XLOOKUP(Tableau119[[#This Row],[Key(ID-date)]],'DATA BTO'!S:S,'DATA BTO'!H:H,FALSE)</f>
        <v>0</v>
      </c>
      <c r="AF496" s="447" t="e">
        <f>IF(Tableau119[[#This Row],[First Day to POL]]&lt;=Tableau119[[#This Row],[Day Cut Off]],Tableau119[[#This Row],[Day ETD]],Tableau119[[#This Row],[Day ETD]]+7)</f>
        <v>#N/A</v>
      </c>
      <c r="AG496" s="50" t="b">
        <f>_xlfn.XLOOKUP(Tableau119[[#This Row],[Key(ID-date)]],'DATA BTO'!S:S,'DATA BTO'!I:I,FALSE)</f>
        <v>0</v>
      </c>
      <c r="AH496" s="3" t="b">
        <f>_xlfn.XLOOKUP(Tableau119[[#This Row],[Key(ID-date)]],'DATA BTO'!S:S,'DATA BTO'!J:J,FALSE)</f>
        <v>0</v>
      </c>
      <c r="AI496" s="3" t="b">
        <f>_xlfn.XLOOKUP(Tableau119[[#This Row],[Key(ID-date)]],'DATA BTO'!S:S,'DATA BTO'!K:K,FALSE)</f>
        <v>0</v>
      </c>
      <c r="AJ496" s="50" t="b">
        <f>_xlfn.XLOOKUP(Tableau119[[#This Row],[Key(ID-date)]],'DATA BTO'!S:S,'DATA BTO'!L:L,FALSE)</f>
        <v>0</v>
      </c>
      <c r="AK496" s="53" t="b">
        <f>_xlfn.XLOOKUP(Tableau119[[#This Row],[Key(ID-date)]],'DATA BTO'!S:S,'DATA BTO'!N:N,FALSE)</f>
        <v>0</v>
      </c>
      <c r="AL496" s="54" t="e">
        <f>VLOOKUP(Tableau119[[#This Row],[Key(POD -PFI- Usine)]],'DATA Consignee'!A:F,6,FALSE)</f>
        <v>#N/A</v>
      </c>
      <c r="AM496" s="284" t="s">
        <v>155</v>
      </c>
      <c r="AN496" s="376">
        <f>IF(Tableau119[[#This Row],[Name PFI/CDD]]="","-",VLOOKUP(Tableau119[[#This Row],[Name PFI/CDD]],Plant_AILN!I:J,2,FALSE))</f>
        <v>90016600</v>
      </c>
      <c r="AO4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6" s="2" t="e">
        <f>VLOOKUP(Tableau119[[#This Row],[Key(POD -PFI- Usine)]],'DATA Consignee'!A:J,10,FALSE)</f>
        <v>#N/A</v>
      </c>
      <c r="AR496" s="50" t="e">
        <f>VLOOKUP(Tableau119[[#This Row],[Key(POD -PFI- Usine)]],'DATA Consignee'!A:N,14,FALSE)</f>
        <v>#N/A</v>
      </c>
      <c r="AS49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6" s="50">
        <f>Tableau119[[#This Row],[Transit time]]+Tableau119[[#This Row],[Time for security]]+Tableau119[[#This Row],[Time for security2 buffer]]</f>
        <v>0</v>
      </c>
      <c r="AV4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6" s="50" t="e">
        <f>Tableau119[[#This Row],[Leadtime SI2C]]+Tableau119[[#This Row],[First Receipt Days]]-Tableau119[[#This Row],[Day Customer Order]]+1</f>
        <v>#N/A</v>
      </c>
      <c r="AX496" s="119" t="e">
        <f>IF(Tableau119[[#This Row],[Name ILN]]&lt;&gt;"SFK Freight Forwarder",Tableau119[[#This Row],[Cust. Leadtime]],Tableau119[[#This Row],[Leadtime SI2C]])</f>
        <v>#N/A</v>
      </c>
      <c r="AY496" s="51" t="b">
        <f>_xlfn.XLOOKUP(Tableau119[[#This Row],[Key(ID-date)]],'DATA BTO'!S:S,'DATA BTO'!P:P,FALSE)</f>
        <v>0</v>
      </c>
      <c r="AZ496" s="338">
        <v>45473</v>
      </c>
      <c r="BA496" s="50"/>
    </row>
    <row r="497" spans="2:53">
      <c r="B497" s="446" t="str">
        <f>_xlfn.CONCAT(Tableau119[[#This Row],[Name ILN]],"-",Tableau119[[#This Row],[Name Shipper]],"-",Tableau119[[#This Row],[Name Site]])</f>
        <v>ILN Curitiba-ILN Curitiba-STA</v>
      </c>
      <c r="C497" s="66" t="str">
        <f>_xlfn.CONCAT(Tableau119[[#This Row],[Compte ILN]],"-",Tableau119[[#This Row],[Compte Shipper]],"-",Tableau119[[#This Row],[POL]],"-",Tableau119[[#This Row],[Compte Consignee]])</f>
        <v>95207-95207-FALSO-90018400</v>
      </c>
      <c r="D497" s="66" t="str">
        <f>_xlfn.CONCAT(Tableau119[[#This Row],[Compte ILN]],"-",Tableau119[[#This Row],[Compte Shipper]],"-",Tableau119[[#This Row],[POL]])</f>
        <v>95207-95207-FALSO</v>
      </c>
      <c r="E497" s="130" t="str">
        <f>_xlfn.CONCAT(Tableau119[[#This Row],[POL]],"-",Tableau119[[#This Row],[Carrier]],"-",Tableau119[[#This Row],[POD]])</f>
        <v>FALSO-FALSO-FALSO</v>
      </c>
      <c r="F497" s="66" t="str">
        <f>_xlfn.CONCAT(Tableau119[[#This Row],[ID]],"-","Actif")</f>
        <v>163-Actif</v>
      </c>
      <c r="G497" s="66" t="str">
        <f>_xlfn.CONCAT(Tableau119[[#This Row],[POD]],"-",Tableau119[[#This Row],[Code PFI]],"-",Tableau119[[#This Row],[Compte Consignee]])</f>
        <v>FALSO-90016600-90018400</v>
      </c>
      <c r="H4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CuritibaFALSOSTA</v>
      </c>
      <c r="I497" s="434" t="str">
        <f>_xlfn.CONCAT(Tableau119[[#This Row],[ID]],"-",Tableau119[[#This Row],[Expiration Date]])</f>
        <v>163-45473</v>
      </c>
      <c r="J4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Curitiba-ILN Curitiba-163-FALSO-FALSO-FALSO-CDD FR-45473</v>
      </c>
      <c r="K497" s="119" t="str">
        <f ca="1">IF(COUNTIF(J:J,Tableau119[[#This Row],[Plant-ILN-shipper-POL-Carrier-POD-PFI]])=1,"Non","Oui")</f>
        <v>Non</v>
      </c>
      <c r="L497" s="128" t="str">
        <f>VLOOKUP(Tableau119[[#This Row],[Name Site]],Plant_AILN!A:D,4,FALSE)</f>
        <v>FRANCE</v>
      </c>
      <c r="M497" s="415" t="s">
        <v>219</v>
      </c>
      <c r="N497" s="455">
        <f>VLOOKUP(Tableau119[[#This Row],[Name Site]],Plant_AILN!A:C,3,FALSE)</f>
        <v>90018400</v>
      </c>
      <c r="O497" s="104">
        <f>VLOOKUP(Tableau119[[#This Row],[Compte Consignee]],Order!C:D,2,FALSE)</f>
        <v>7</v>
      </c>
      <c r="P497" s="126" t="s">
        <v>163</v>
      </c>
      <c r="Q497" s="366">
        <f>VLOOKUP(Tableau119[[#This Row],[Name ILN]],Plant_AILN!F:G,2,FALSE)</f>
        <v>95207</v>
      </c>
      <c r="R497" s="81">
        <f>VLOOKUP(Tableau119[[#This Row],[Compte ILN]],'DATA ILN'!D:I,6,FALSE)</f>
        <v>9</v>
      </c>
      <c r="S497" s="81" t="e">
        <f>IFERROR(VLOOKUP(Tableau119[[#This Row],[Key(Compte ILN - shipper - POL - plant)]],'DATA ILN'!A:J,10,FALSE),VLOOKUP(Tableau119[[#This Row],[Key(Compte ILN - shipper - POL)]],'DATA ILN'!B:J,9,FALSE))</f>
        <v>#N/A</v>
      </c>
      <c r="T497" s="81" t="e">
        <f>IFERROR(VLOOKUP(Tableau119[[#This Row],[Key(Compte ILN - shipper - POL - plant)]],'DATA ILN'!A:K,11,FALSE),VLOOKUP(Tableau119[[#This Row],[Key(Compte ILN - shipper - POL)]],'DATA ILN'!B:K,10,FALSE))</f>
        <v>#N/A</v>
      </c>
      <c r="U497" s="81" t="e">
        <f>IFERROR(VLOOKUP(Tableau119[[#This Row],[Key(Compte ILN - shipper - POL - plant)]],'DATA ILN'!A:L,12,FALSE),VLOOKUP(Tableau119[[#This Row],[Key(Compte ILN - shipper - POL)]],'DATA ILN'!B:L,11,FALSE))</f>
        <v>#N/A</v>
      </c>
      <c r="V497" s="81" t="e">
        <f>Tableau119[[#This Row],[Day ILN Order]]+Tableau119[[#This Row],[Delivery time to ILN/Shipper]]-1</f>
        <v>#N/A</v>
      </c>
      <c r="W497" s="81" t="e">
        <f>IFERROR(VLOOKUP(Tableau119[[#This Row],[Key(Compte ILN - shipper - POL - plant)]],'DATA ILN'!A:N,14,FALSE),VLOOKUP(Tableau119[[#This Row],[Key(Compte ILN - shipper - POL)]],'DATA ILN'!B:N,13,FALSE))</f>
        <v>#N/A</v>
      </c>
      <c r="X497" s="81" t="e">
        <f>IFERROR(VLOOKUP(Tableau119[[#This Row],[Key(Compte ILN - shipper - POL - plant)]],'DATA ILN'!A:P,16,FALSE),VLOOKUP(Tableau119[[#This Row],[Key(Compte ILN - shipper - POL)]],'DATA ILN'!B:P,15,FALSE))</f>
        <v>#N/A</v>
      </c>
      <c r="Y497" s="102" t="s">
        <v>163</v>
      </c>
      <c r="Z497" s="417">
        <f>IFERROR(VLOOKUP(Tableau119[[#This Row],[Name Shipper]],Plant_AILN!L:M,2,FALSE),0)</f>
        <v>95207</v>
      </c>
      <c r="AA497" s="416">
        <v>163</v>
      </c>
      <c r="AB497" s="396" t="b">
        <f>_xlfn.XLOOKUP(Tableau119[[#This Row],[Key(ID-date)]],'DATA BTO'!S:S,'DATA BTO'!E:E,FALSE)</f>
        <v>0</v>
      </c>
      <c r="AC497" s="3" t="b">
        <f>_xlfn.XLOOKUP(Tableau119[[#This Row],[Key(ID-date)]],'DATA BTO'!S:S,'DATA BTO'!F:F,FALSE)</f>
        <v>0</v>
      </c>
      <c r="AD497" s="50" t="b">
        <f>_xlfn.XLOOKUP(Tableau119[[#This Row],[Key(ID-date)]],'DATA BTO'!S:S,'DATA BTO'!G:G,FALSE)</f>
        <v>0</v>
      </c>
      <c r="AE497" s="50" t="b">
        <f>_xlfn.XLOOKUP(Tableau119[[#This Row],[Key(ID-date)]],'DATA BTO'!S:S,'DATA BTO'!H:H,FALSE)</f>
        <v>0</v>
      </c>
      <c r="AF497" s="447" t="e">
        <f>IF(Tableau119[[#This Row],[First Day to POL]]&lt;=Tableau119[[#This Row],[Day Cut Off]],Tableau119[[#This Row],[Day ETD]],Tableau119[[#This Row],[Day ETD]]+7)</f>
        <v>#N/A</v>
      </c>
      <c r="AG497" s="50" t="b">
        <f>_xlfn.XLOOKUP(Tableau119[[#This Row],[Key(ID-date)]],'DATA BTO'!S:S,'DATA BTO'!I:I,FALSE)</f>
        <v>0</v>
      </c>
      <c r="AH497" s="3" t="b">
        <f>_xlfn.XLOOKUP(Tableau119[[#This Row],[Key(ID-date)]],'DATA BTO'!S:S,'DATA BTO'!J:J,FALSE)</f>
        <v>0</v>
      </c>
      <c r="AI497" s="3" t="b">
        <f>_xlfn.XLOOKUP(Tableau119[[#This Row],[Key(ID-date)]],'DATA BTO'!S:S,'DATA BTO'!K:K,FALSE)</f>
        <v>0</v>
      </c>
      <c r="AJ497" s="50" t="b">
        <f>_xlfn.XLOOKUP(Tableau119[[#This Row],[Key(ID-date)]],'DATA BTO'!S:S,'DATA BTO'!L:L,FALSE)</f>
        <v>0</v>
      </c>
      <c r="AK497" s="53" t="b">
        <f>_xlfn.XLOOKUP(Tableau119[[#This Row],[Key(ID-date)]],'DATA BTO'!S:S,'DATA BTO'!N:N,FALSE)</f>
        <v>0</v>
      </c>
      <c r="AL497" s="54" t="e">
        <f>VLOOKUP(Tableau119[[#This Row],[Key(POD -PFI- Usine)]],'DATA Consignee'!A:F,6,FALSE)</f>
        <v>#N/A</v>
      </c>
      <c r="AM497" s="102" t="s">
        <v>155</v>
      </c>
      <c r="AN497" s="375">
        <f>IF(Tableau119[[#This Row],[Name PFI/CDD]]="","-",VLOOKUP(Tableau119[[#This Row],[Name PFI/CDD]],Plant_AILN!I:J,2,FALSE))</f>
        <v>90016600</v>
      </c>
      <c r="AO49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7" s="110" t="e">
        <f>VLOOKUP(Tableau119[[#This Row],[Key(POD -PFI- Usine)]],'DATA Consignee'!A:J,10,FALSE)</f>
        <v>#N/A</v>
      </c>
      <c r="AR497" s="81" t="e">
        <f>VLOOKUP(Tableau119[[#This Row],[Key(POD -PFI- Usine)]],'DATA Consignee'!A:N,14,FALSE)</f>
        <v>#N/A</v>
      </c>
      <c r="AS49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7" s="81">
        <f>Tableau119[[#This Row],[Transit time]]+Tableau119[[#This Row],[Time for security]]+Tableau119[[#This Row],[Time for security2 buffer]]</f>
        <v>0</v>
      </c>
      <c r="AV4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7" s="50" t="e">
        <f>Tableau119[[#This Row],[Leadtime SI2C]]+Tableau119[[#This Row],[First Receipt Days]]-Tableau119[[#This Row],[Day Customer Order]]+1</f>
        <v>#N/A</v>
      </c>
      <c r="AX497" s="119" t="e">
        <f>IF(Tableau119[[#This Row],[Name ILN]]&lt;&gt;"SFK Freight Forwarder",Tableau119[[#This Row],[Cust. Leadtime]],Tableau119[[#This Row],[Leadtime SI2C]])</f>
        <v>#N/A</v>
      </c>
      <c r="AY497" s="51" t="b">
        <f>_xlfn.XLOOKUP(Tableau119[[#This Row],[Key(ID-date)]],'DATA BTO'!S:S,'DATA BTO'!P:P,FALSE)</f>
        <v>0</v>
      </c>
      <c r="AZ497" s="388">
        <v>45473</v>
      </c>
      <c r="BA497" s="81"/>
    </row>
    <row r="498" spans="2:53">
      <c r="B498" s="446" t="str">
        <f>_xlfn.CONCAT(Tableau119[[#This Row],[Name ILN]],"-",Tableau119[[#This Row],[Name Shipper]],"-",Tableau119[[#This Row],[Name Site]])</f>
        <v>ILN Curitiba-ILN Curitiba-DOUAI</v>
      </c>
      <c r="C498" s="66" t="str">
        <f>_xlfn.CONCAT(Tableau119[[#This Row],[Compte ILN]],"-",Tableau119[[#This Row],[Compte Shipper]],"-",Tableau119[[#This Row],[POL]],"-",Tableau119[[#This Row],[Compte Consignee]])</f>
        <v>95207-95207-FALSO-90019100</v>
      </c>
      <c r="D498" s="66" t="str">
        <f>_xlfn.CONCAT(Tableau119[[#This Row],[Compte ILN]],"-",Tableau119[[#This Row],[Compte Shipper]],"-",Tableau119[[#This Row],[POL]])</f>
        <v>95207-95207-FALSO</v>
      </c>
      <c r="E498" s="130" t="str">
        <f>_xlfn.CONCAT(Tableau119[[#This Row],[POL]],"-",Tableau119[[#This Row],[Carrier]],"-",Tableau119[[#This Row],[POD]])</f>
        <v>FALSO-FALSO-FALSO</v>
      </c>
      <c r="F498" s="66" t="str">
        <f>_xlfn.CONCAT(Tableau119[[#This Row],[ID]],"-","Actif")</f>
        <v>163-Actif</v>
      </c>
      <c r="G498" s="66" t="str">
        <f>_xlfn.CONCAT(Tableau119[[#This Row],[POD]],"-",Tableau119[[#This Row],[Code PFI]],"-",Tableau119[[#This Row],[Compte Consignee]])</f>
        <v>FALSO-90016600-90019100</v>
      </c>
      <c r="H4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CuritibaFALSODOUAI</v>
      </c>
      <c r="I498" s="434" t="str">
        <f>_xlfn.CONCAT(Tableau119[[#This Row],[ID]],"-",Tableau119[[#This Row],[Expiration Date]])</f>
        <v>163-45473</v>
      </c>
      <c r="J4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Curitiba-ILN Curitiba-163-FALSO-FALSO-FALSO-CDD FR-45473</v>
      </c>
      <c r="K498" s="119" t="str">
        <f ca="1">IF(COUNTIF(J:J,Tableau119[[#This Row],[Plant-ILN-shipper-POL-Carrier-POD-PFI]])=1,"Non","Oui")</f>
        <v>Non</v>
      </c>
      <c r="L498" s="128" t="str">
        <f>VLOOKUP(Tableau119[[#This Row],[Name Site]],Plant_AILN!A:D,4,FALSE)</f>
        <v>FRANCE</v>
      </c>
      <c r="M498" s="411" t="s">
        <v>188</v>
      </c>
      <c r="N498" s="454">
        <f>VLOOKUP(Tableau119[[#This Row],[Name Site]],Plant_AILN!A:C,3,FALSE)</f>
        <v>90019100</v>
      </c>
      <c r="O498" s="55">
        <f>VLOOKUP(Tableau119[[#This Row],[Compte Consignee]],Order!C:D,2,FALSE)</f>
        <v>7</v>
      </c>
      <c r="P498" s="124" t="s">
        <v>163</v>
      </c>
      <c r="Q498" s="365">
        <f>VLOOKUP(Tableau119[[#This Row],[Name ILN]],Plant_AILN!F:G,2,FALSE)</f>
        <v>95207</v>
      </c>
      <c r="R498" s="50">
        <f>VLOOKUP(Tableau119[[#This Row],[Compte ILN]],'DATA ILN'!D:I,6,FALSE)</f>
        <v>9</v>
      </c>
      <c r="S498" s="50" t="e">
        <f>IFERROR(VLOOKUP(Tableau119[[#This Row],[Key(Compte ILN - shipper - POL - plant)]],'DATA ILN'!A:J,10,FALSE),VLOOKUP(Tableau119[[#This Row],[Key(Compte ILN - shipper - POL)]],'DATA ILN'!B:J,9,FALSE))</f>
        <v>#N/A</v>
      </c>
      <c r="T498" s="50" t="e">
        <f>IFERROR(VLOOKUP(Tableau119[[#This Row],[Key(Compte ILN - shipper - POL - plant)]],'DATA ILN'!A:K,11,FALSE),VLOOKUP(Tableau119[[#This Row],[Key(Compte ILN - shipper - POL)]],'DATA ILN'!B:K,10,FALSE))</f>
        <v>#N/A</v>
      </c>
      <c r="U498" s="50" t="e">
        <f>IFERROR(VLOOKUP(Tableau119[[#This Row],[Key(Compte ILN - shipper - POL - plant)]],'DATA ILN'!A:L,12,FALSE),VLOOKUP(Tableau119[[#This Row],[Key(Compte ILN - shipper - POL)]],'DATA ILN'!B:L,11,FALSE))</f>
        <v>#N/A</v>
      </c>
      <c r="V498" s="50" t="e">
        <f>Tableau119[[#This Row],[Day ILN Order]]+Tableau119[[#This Row],[Delivery time to ILN/Shipper]]-1</f>
        <v>#N/A</v>
      </c>
      <c r="W498" s="50" t="e">
        <f>IFERROR(VLOOKUP(Tableau119[[#This Row],[Key(Compte ILN - shipper - POL - plant)]],'DATA ILN'!A:N,14,FALSE),VLOOKUP(Tableau119[[#This Row],[Key(Compte ILN - shipper - POL)]],'DATA ILN'!B:N,13,FALSE))</f>
        <v>#N/A</v>
      </c>
      <c r="X498" s="50" t="e">
        <f>IFERROR(VLOOKUP(Tableau119[[#This Row],[Key(Compte ILN - shipper - POL - plant)]],'DATA ILN'!A:P,16,FALSE),VLOOKUP(Tableau119[[#This Row],[Key(Compte ILN - shipper - POL)]],'DATA ILN'!B:P,15,FALSE))</f>
        <v>#N/A</v>
      </c>
      <c r="Y498" s="284" t="s">
        <v>163</v>
      </c>
      <c r="Z498" s="430">
        <f>IFERROR(VLOOKUP(Tableau119[[#This Row],[Name Shipper]],Plant_AILN!L:M,2,FALSE),0)</f>
        <v>95207</v>
      </c>
      <c r="AA498" s="406">
        <v>163</v>
      </c>
      <c r="AB498" s="396" t="b">
        <f>_xlfn.XLOOKUP(Tableau119[[#This Row],[Key(ID-date)]],'DATA BTO'!S:S,'DATA BTO'!E:E,FALSE)</f>
        <v>0</v>
      </c>
      <c r="AC498" s="3" t="b">
        <f>_xlfn.XLOOKUP(Tableau119[[#This Row],[Key(ID-date)]],'DATA BTO'!S:S,'DATA BTO'!F:F,FALSE)</f>
        <v>0</v>
      </c>
      <c r="AD498" s="50" t="b">
        <f>_xlfn.XLOOKUP(Tableau119[[#This Row],[Key(ID-date)]],'DATA BTO'!S:S,'DATA BTO'!G:G,FALSE)</f>
        <v>0</v>
      </c>
      <c r="AE498" s="50" t="b">
        <f>_xlfn.XLOOKUP(Tableau119[[#This Row],[Key(ID-date)]],'DATA BTO'!S:S,'DATA BTO'!H:H,FALSE)</f>
        <v>0</v>
      </c>
      <c r="AF498" s="447" t="e">
        <f>IF(Tableau119[[#This Row],[First Day to POL]]&lt;=Tableau119[[#This Row],[Day Cut Off]],Tableau119[[#This Row],[Day ETD]],Tableau119[[#This Row],[Day ETD]]+7)</f>
        <v>#N/A</v>
      </c>
      <c r="AG498" s="50" t="b">
        <f>_xlfn.XLOOKUP(Tableau119[[#This Row],[Key(ID-date)]],'DATA BTO'!S:S,'DATA BTO'!I:I,FALSE)</f>
        <v>0</v>
      </c>
      <c r="AH498" s="3" t="b">
        <f>_xlfn.XLOOKUP(Tableau119[[#This Row],[Key(ID-date)]],'DATA BTO'!S:S,'DATA BTO'!J:J,FALSE)</f>
        <v>0</v>
      </c>
      <c r="AI498" s="3" t="b">
        <f>_xlfn.XLOOKUP(Tableau119[[#This Row],[Key(ID-date)]],'DATA BTO'!S:S,'DATA BTO'!K:K,FALSE)</f>
        <v>0</v>
      </c>
      <c r="AJ498" s="50" t="b">
        <f>_xlfn.XLOOKUP(Tableau119[[#This Row],[Key(ID-date)]],'DATA BTO'!S:S,'DATA BTO'!L:L,FALSE)</f>
        <v>0</v>
      </c>
      <c r="AK498" s="53" t="b">
        <f>_xlfn.XLOOKUP(Tableau119[[#This Row],[Key(ID-date)]],'DATA BTO'!S:S,'DATA BTO'!N:N,FALSE)</f>
        <v>0</v>
      </c>
      <c r="AL498" s="54" t="e">
        <f>VLOOKUP(Tableau119[[#This Row],[Key(POD -PFI- Usine)]],'DATA Consignee'!A:F,6,FALSE)</f>
        <v>#N/A</v>
      </c>
      <c r="AM498" s="284" t="s">
        <v>155</v>
      </c>
      <c r="AN498" s="376">
        <f>IF(Tableau119[[#This Row],[Name PFI/CDD]]="","-",VLOOKUP(Tableau119[[#This Row],[Name PFI/CDD]],Plant_AILN!I:J,2,FALSE))</f>
        <v>90016600</v>
      </c>
      <c r="AO49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8" s="2" t="e">
        <f>VLOOKUP(Tableau119[[#This Row],[Key(POD -PFI- Usine)]],'DATA Consignee'!A:J,10,FALSE)</f>
        <v>#N/A</v>
      </c>
      <c r="AR498" s="50" t="e">
        <f>VLOOKUP(Tableau119[[#This Row],[Key(POD -PFI- Usine)]],'DATA Consignee'!A:N,14,FALSE)</f>
        <v>#N/A</v>
      </c>
      <c r="AS49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8" s="50">
        <f>Tableau119[[#This Row],[Transit time]]+Tableau119[[#This Row],[Time for security]]+Tableau119[[#This Row],[Time for security2 buffer]]</f>
        <v>0</v>
      </c>
      <c r="AV4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8" s="50" t="e">
        <f>Tableau119[[#This Row],[Leadtime SI2C]]+Tableau119[[#This Row],[First Receipt Days]]-Tableau119[[#This Row],[Day Customer Order]]+1</f>
        <v>#N/A</v>
      </c>
      <c r="AX498" s="119" t="e">
        <f>IF(Tableau119[[#This Row],[Name ILN]]&lt;&gt;"SFK Freight Forwarder",Tableau119[[#This Row],[Cust. Leadtime]],Tableau119[[#This Row],[Leadtime SI2C]])</f>
        <v>#N/A</v>
      </c>
      <c r="AY498" s="51" t="b">
        <f>_xlfn.XLOOKUP(Tableau119[[#This Row],[Key(ID-date)]],'DATA BTO'!S:S,'DATA BTO'!P:P,FALSE)</f>
        <v>0</v>
      </c>
      <c r="AZ498" s="338">
        <v>45473</v>
      </c>
      <c r="BA498" s="50"/>
    </row>
    <row r="499" spans="2:53">
      <c r="B499" s="446" t="str">
        <f>_xlfn.CONCAT(Tableau119[[#This Row],[Name ILN]],"-",Tableau119[[#This Row],[Name Shipper]],"-",Tableau119[[#This Row],[Name Site]])</f>
        <v>ILN Curitiba-ILN Curitiba-PALENCIA</v>
      </c>
      <c r="C499" s="66" t="str">
        <f>_xlfn.CONCAT(Tableau119[[#This Row],[Compte ILN]],"-",Tableau119[[#This Row],[Compte Shipper]],"-",Tableau119[[#This Row],[POL]],"-",Tableau119[[#This Row],[Compte Consignee]])</f>
        <v>95207-95207-FALSO-91017200</v>
      </c>
      <c r="D499" s="66" t="str">
        <f>_xlfn.CONCAT(Tableau119[[#This Row],[Compte ILN]],"-",Tableau119[[#This Row],[Compte Shipper]],"-",Tableau119[[#This Row],[POL]])</f>
        <v>95207-95207-FALSO</v>
      </c>
      <c r="E499" s="130" t="str">
        <f>_xlfn.CONCAT(Tableau119[[#This Row],[POL]],"-",Tableau119[[#This Row],[Carrier]],"-",Tableau119[[#This Row],[POD]])</f>
        <v>FALSO-FALSO-FALSO</v>
      </c>
      <c r="F499" s="66" t="str">
        <f>_xlfn.CONCAT(Tableau119[[#This Row],[ID]],"-","Actif")</f>
        <v>163-Actif</v>
      </c>
      <c r="G499" s="66" t="str">
        <f>_xlfn.CONCAT(Tableau119[[#This Row],[POD]],"-",Tableau119[[#This Row],[Code PFI]],"-",Tableau119[[#This Row],[Compte Consignee]])</f>
        <v>FALSO-90016600-91017200</v>
      </c>
      <c r="H4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CuritibaFALSOPALENCIA</v>
      </c>
      <c r="I499" s="434" t="str">
        <f>_xlfn.CONCAT(Tableau119[[#This Row],[ID]],"-",Tableau119[[#This Row],[Expiration Date]])</f>
        <v>163-45473</v>
      </c>
      <c r="J4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Curitiba-ILN Curitiba-163-FALSO-FALSO-FALSO-CDD FR-45473</v>
      </c>
      <c r="K499" s="119" t="str">
        <f ca="1">IF(COUNTIF(J:J,Tableau119[[#This Row],[Plant-ILN-shipper-POL-Carrier-POD-PFI]])=1,"Non","Oui")</f>
        <v>Non</v>
      </c>
      <c r="L499" s="128" t="str">
        <f>VLOOKUP(Tableau119[[#This Row],[Name Site]],Plant_AILN!A:D,4,FALSE)</f>
        <v>SPAIN</v>
      </c>
      <c r="M499" s="411" t="s">
        <v>184</v>
      </c>
      <c r="N499" s="454">
        <f>VLOOKUP(Tableau119[[#This Row],[Name Site]],Plant_AILN!A:C,3,FALSE)</f>
        <v>91017200</v>
      </c>
      <c r="O499" s="55">
        <f>VLOOKUP(Tableau119[[#This Row],[Compte Consignee]],Order!C:D,2,FALSE)</f>
        <v>7</v>
      </c>
      <c r="P499" s="124" t="s">
        <v>163</v>
      </c>
      <c r="Q499" s="365">
        <f>VLOOKUP(Tableau119[[#This Row],[Name ILN]],Plant_AILN!F:G,2,FALSE)</f>
        <v>95207</v>
      </c>
      <c r="R499" s="50">
        <f>VLOOKUP(Tableau119[[#This Row],[Compte ILN]],'DATA ILN'!D:I,6,FALSE)</f>
        <v>9</v>
      </c>
      <c r="S499" s="50" t="e">
        <f>IFERROR(VLOOKUP(Tableau119[[#This Row],[Key(Compte ILN - shipper - POL - plant)]],'DATA ILN'!A:J,10,FALSE),VLOOKUP(Tableau119[[#This Row],[Key(Compte ILN - shipper - POL)]],'DATA ILN'!B:J,9,FALSE))</f>
        <v>#N/A</v>
      </c>
      <c r="T499" s="50" t="e">
        <f>IFERROR(VLOOKUP(Tableau119[[#This Row],[Key(Compte ILN - shipper - POL - plant)]],'DATA ILN'!A:K,11,FALSE),VLOOKUP(Tableau119[[#This Row],[Key(Compte ILN - shipper - POL)]],'DATA ILN'!B:K,10,FALSE))</f>
        <v>#N/A</v>
      </c>
      <c r="U499" s="50" t="e">
        <f>IFERROR(VLOOKUP(Tableau119[[#This Row],[Key(Compte ILN - shipper - POL - plant)]],'DATA ILN'!A:L,12,FALSE),VLOOKUP(Tableau119[[#This Row],[Key(Compte ILN - shipper - POL)]],'DATA ILN'!B:L,11,FALSE))</f>
        <v>#N/A</v>
      </c>
      <c r="V499" s="50" t="e">
        <f>Tableau119[[#This Row],[Day ILN Order]]+Tableau119[[#This Row],[Delivery time to ILN/Shipper]]-1</f>
        <v>#N/A</v>
      </c>
      <c r="W499" s="50" t="e">
        <f>IFERROR(VLOOKUP(Tableau119[[#This Row],[Key(Compte ILN - shipper - POL - plant)]],'DATA ILN'!A:N,14,FALSE),VLOOKUP(Tableau119[[#This Row],[Key(Compte ILN - shipper - POL)]],'DATA ILN'!B:N,13,FALSE))</f>
        <v>#N/A</v>
      </c>
      <c r="X499" s="50" t="e">
        <f>IFERROR(VLOOKUP(Tableau119[[#This Row],[Key(Compte ILN - shipper - POL - plant)]],'DATA ILN'!A:P,16,FALSE),VLOOKUP(Tableau119[[#This Row],[Key(Compte ILN - shipper - POL)]],'DATA ILN'!B:P,15,FALSE))</f>
        <v>#N/A</v>
      </c>
      <c r="Y499" s="284" t="s">
        <v>163</v>
      </c>
      <c r="Z499" s="430">
        <f>IFERROR(VLOOKUP(Tableau119[[#This Row],[Name Shipper]],Plant_AILN!L:M,2,FALSE),0)</f>
        <v>95207</v>
      </c>
      <c r="AA499" s="406">
        <v>163</v>
      </c>
      <c r="AB499" s="396" t="b">
        <f>_xlfn.XLOOKUP(Tableau119[[#This Row],[Key(ID-date)]],'DATA BTO'!S:S,'DATA BTO'!E:E,FALSE)</f>
        <v>0</v>
      </c>
      <c r="AC499" s="3" t="b">
        <f>_xlfn.XLOOKUP(Tableau119[[#This Row],[Key(ID-date)]],'DATA BTO'!S:S,'DATA BTO'!F:F,FALSE)</f>
        <v>0</v>
      </c>
      <c r="AD499" s="50" t="b">
        <f>_xlfn.XLOOKUP(Tableau119[[#This Row],[Key(ID-date)]],'DATA BTO'!S:S,'DATA BTO'!G:G,FALSE)</f>
        <v>0</v>
      </c>
      <c r="AE499" s="50" t="b">
        <f>_xlfn.XLOOKUP(Tableau119[[#This Row],[Key(ID-date)]],'DATA BTO'!S:S,'DATA BTO'!H:H,FALSE)</f>
        <v>0</v>
      </c>
      <c r="AF499" s="447" t="e">
        <f>IF(Tableau119[[#This Row],[First Day to POL]]&lt;=Tableau119[[#This Row],[Day Cut Off]],Tableau119[[#This Row],[Day ETD]],Tableau119[[#This Row],[Day ETD]]+7)</f>
        <v>#N/A</v>
      </c>
      <c r="AG499" s="50" t="b">
        <f>_xlfn.XLOOKUP(Tableau119[[#This Row],[Key(ID-date)]],'DATA BTO'!S:S,'DATA BTO'!I:I,FALSE)</f>
        <v>0</v>
      </c>
      <c r="AH499" s="3" t="b">
        <f>_xlfn.XLOOKUP(Tableau119[[#This Row],[Key(ID-date)]],'DATA BTO'!S:S,'DATA BTO'!J:J,FALSE)</f>
        <v>0</v>
      </c>
      <c r="AI499" s="3" t="b">
        <f>_xlfn.XLOOKUP(Tableau119[[#This Row],[Key(ID-date)]],'DATA BTO'!S:S,'DATA BTO'!K:K,FALSE)</f>
        <v>0</v>
      </c>
      <c r="AJ499" s="50" t="b">
        <f>_xlfn.XLOOKUP(Tableau119[[#This Row],[Key(ID-date)]],'DATA BTO'!S:S,'DATA BTO'!L:L,FALSE)</f>
        <v>0</v>
      </c>
      <c r="AK499" s="53" t="b">
        <f>_xlfn.XLOOKUP(Tableau119[[#This Row],[Key(ID-date)]],'DATA BTO'!S:S,'DATA BTO'!N:N,FALSE)</f>
        <v>0</v>
      </c>
      <c r="AL499" s="54" t="e">
        <f>VLOOKUP(Tableau119[[#This Row],[Key(POD -PFI- Usine)]],'DATA Consignee'!A:F,6,FALSE)</f>
        <v>#N/A</v>
      </c>
      <c r="AM499" s="284" t="s">
        <v>155</v>
      </c>
      <c r="AN499" s="376">
        <f>IF(Tableau119[[#This Row],[Name PFI/CDD]]="","-",VLOOKUP(Tableau119[[#This Row],[Name PFI/CDD]],Plant_AILN!I:J,2,FALSE))</f>
        <v>90016600</v>
      </c>
      <c r="AO4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4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499" s="2" t="e">
        <f>VLOOKUP(Tableau119[[#This Row],[Key(POD -PFI- Usine)]],'DATA Consignee'!A:J,10,FALSE)</f>
        <v>#N/A</v>
      </c>
      <c r="AR499" s="50" t="e">
        <f>VLOOKUP(Tableau119[[#This Row],[Key(POD -PFI- Usine)]],'DATA Consignee'!A:N,14,FALSE)</f>
        <v>#N/A</v>
      </c>
      <c r="AS49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49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499" s="50">
        <f>Tableau119[[#This Row],[Transit time]]+Tableau119[[#This Row],[Time for security]]+Tableau119[[#This Row],[Time for security2 buffer]]</f>
        <v>0</v>
      </c>
      <c r="AV49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499" s="50" t="e">
        <f>Tableau119[[#This Row],[Leadtime SI2C]]+Tableau119[[#This Row],[First Receipt Days]]-Tableau119[[#This Row],[Day Customer Order]]+1</f>
        <v>#N/A</v>
      </c>
      <c r="AX499" s="119" t="e">
        <f>IF(Tableau119[[#This Row],[Name ILN]]&lt;&gt;"SFK Freight Forwarder",Tableau119[[#This Row],[Cust. Leadtime]],Tableau119[[#This Row],[Leadtime SI2C]])</f>
        <v>#N/A</v>
      </c>
      <c r="AY499" s="51" t="b">
        <f>_xlfn.XLOOKUP(Tableau119[[#This Row],[Key(ID-date)]],'DATA BTO'!S:S,'DATA BTO'!P:P,FALSE)</f>
        <v>0</v>
      </c>
      <c r="AZ499" s="338">
        <v>45473</v>
      </c>
      <c r="BA499" s="50"/>
    </row>
    <row r="500" spans="2:53">
      <c r="B500" s="446" t="str">
        <f>_xlfn.CONCAT(Tableau119[[#This Row],[Name ILN]],"-",Tableau119[[#This Row],[Name Shipper]],"-",Tableau119[[#This Row],[Name Site]])</f>
        <v>ILN Curitiba-ILN Curitiba-SEVILLA</v>
      </c>
      <c r="C500" s="66" t="str">
        <f>_xlfn.CONCAT(Tableau119[[#This Row],[Compte ILN]],"-",Tableau119[[#This Row],[Compte Shipper]],"-",Tableau119[[#This Row],[POL]],"-",Tableau119[[#This Row],[Compte Consignee]])</f>
        <v>95207-95207-FALSO-91017500</v>
      </c>
      <c r="D500" s="66" t="str">
        <f>_xlfn.CONCAT(Tableau119[[#This Row],[Compte ILN]],"-",Tableau119[[#This Row],[Compte Shipper]],"-",Tableau119[[#This Row],[POL]])</f>
        <v>95207-95207-FALSO</v>
      </c>
      <c r="E500" s="130" t="str">
        <f>_xlfn.CONCAT(Tableau119[[#This Row],[POL]],"-",Tableau119[[#This Row],[Carrier]],"-",Tableau119[[#This Row],[POD]])</f>
        <v>FALSO-FALSO-FALSO</v>
      </c>
      <c r="F500" s="66" t="str">
        <f>_xlfn.CONCAT(Tableau119[[#This Row],[ID]],"-","Actif")</f>
        <v>163-Actif</v>
      </c>
      <c r="G500" s="66" t="str">
        <f>_xlfn.CONCAT(Tableau119[[#This Row],[POD]],"-",Tableau119[[#This Row],[Code PFI]],"-",Tableau119[[#This Row],[Compte Consignee]])</f>
        <v>FALSO-90016600-91017500</v>
      </c>
      <c r="H5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CuritibaFALSOSEVILLA</v>
      </c>
      <c r="I500" s="434" t="str">
        <f>_xlfn.CONCAT(Tableau119[[#This Row],[ID]],"-",Tableau119[[#This Row],[Expiration Date]])</f>
        <v>163-45473</v>
      </c>
      <c r="J5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Curitiba-ILN Curitiba-163-FALSO-FALSO-FALSO-CDD FR-45473</v>
      </c>
      <c r="K500" s="119" t="str">
        <f ca="1">IF(COUNTIF(J:J,Tableau119[[#This Row],[Plant-ILN-shipper-POL-Carrier-POD-PFI]])=1,"Non","Oui")</f>
        <v>Non</v>
      </c>
      <c r="L500" s="128" t="str">
        <f>VLOOKUP(Tableau119[[#This Row],[Name Site]],Plant_AILN!A:D,4,FALSE)</f>
        <v>SPAIN</v>
      </c>
      <c r="M500" s="411" t="s">
        <v>172</v>
      </c>
      <c r="N500" s="454">
        <f>VLOOKUP(Tableau119[[#This Row],[Name Site]],Plant_AILN!A:C,3,FALSE)</f>
        <v>91017500</v>
      </c>
      <c r="O500" s="55">
        <f>VLOOKUP(Tableau119[[#This Row],[Compte Consignee]],Order!C:D,2,FALSE)</f>
        <v>7</v>
      </c>
      <c r="P500" s="124" t="s">
        <v>163</v>
      </c>
      <c r="Q500" s="365">
        <f>VLOOKUP(Tableau119[[#This Row],[Name ILN]],Plant_AILN!F:G,2,FALSE)</f>
        <v>95207</v>
      </c>
      <c r="R500" s="50">
        <f>VLOOKUP(Tableau119[[#This Row],[Compte ILN]],'DATA ILN'!D:I,6,FALSE)</f>
        <v>9</v>
      </c>
      <c r="S500" s="50" t="e">
        <f>IFERROR(VLOOKUP(Tableau119[[#This Row],[Key(Compte ILN - shipper - POL - plant)]],'DATA ILN'!A:J,10,FALSE),VLOOKUP(Tableau119[[#This Row],[Key(Compte ILN - shipper - POL)]],'DATA ILN'!B:J,9,FALSE))</f>
        <v>#N/A</v>
      </c>
      <c r="T500" s="50" t="e">
        <f>IFERROR(VLOOKUP(Tableau119[[#This Row],[Key(Compte ILN - shipper - POL - plant)]],'DATA ILN'!A:K,11,FALSE),VLOOKUP(Tableau119[[#This Row],[Key(Compte ILN - shipper - POL)]],'DATA ILN'!B:K,10,FALSE))</f>
        <v>#N/A</v>
      </c>
      <c r="U500" s="50" t="e">
        <f>IFERROR(VLOOKUP(Tableau119[[#This Row],[Key(Compte ILN - shipper - POL - plant)]],'DATA ILN'!A:L,12,FALSE),VLOOKUP(Tableau119[[#This Row],[Key(Compte ILN - shipper - POL)]],'DATA ILN'!B:L,11,FALSE))</f>
        <v>#N/A</v>
      </c>
      <c r="V500" s="50" t="e">
        <f>Tableau119[[#This Row],[Day ILN Order]]+Tableau119[[#This Row],[Delivery time to ILN/Shipper]]-1</f>
        <v>#N/A</v>
      </c>
      <c r="W500" s="50" t="e">
        <f>IFERROR(VLOOKUP(Tableau119[[#This Row],[Key(Compte ILN - shipper - POL - plant)]],'DATA ILN'!A:N,14,FALSE),VLOOKUP(Tableau119[[#This Row],[Key(Compte ILN - shipper - POL)]],'DATA ILN'!B:N,13,FALSE))</f>
        <v>#N/A</v>
      </c>
      <c r="X500" s="50" t="e">
        <f>IFERROR(VLOOKUP(Tableau119[[#This Row],[Key(Compte ILN - shipper - POL - plant)]],'DATA ILN'!A:P,16,FALSE),VLOOKUP(Tableau119[[#This Row],[Key(Compte ILN - shipper - POL)]],'DATA ILN'!B:P,15,FALSE))</f>
        <v>#N/A</v>
      </c>
      <c r="Y500" s="284" t="s">
        <v>163</v>
      </c>
      <c r="Z500" s="430">
        <f>IFERROR(VLOOKUP(Tableau119[[#This Row],[Name Shipper]],Plant_AILN!L:M,2,FALSE),0)</f>
        <v>95207</v>
      </c>
      <c r="AA500" s="406">
        <v>163</v>
      </c>
      <c r="AB500" s="396" t="b">
        <f>_xlfn.XLOOKUP(Tableau119[[#This Row],[Key(ID-date)]],'DATA BTO'!S:S,'DATA BTO'!E:E,FALSE)</f>
        <v>0</v>
      </c>
      <c r="AC500" s="3" t="b">
        <f>_xlfn.XLOOKUP(Tableau119[[#This Row],[Key(ID-date)]],'DATA BTO'!S:S,'DATA BTO'!F:F,FALSE)</f>
        <v>0</v>
      </c>
      <c r="AD500" s="50" t="b">
        <f>_xlfn.XLOOKUP(Tableau119[[#This Row],[Key(ID-date)]],'DATA BTO'!S:S,'DATA BTO'!G:G,FALSE)</f>
        <v>0</v>
      </c>
      <c r="AE500" s="50" t="b">
        <f>_xlfn.XLOOKUP(Tableau119[[#This Row],[Key(ID-date)]],'DATA BTO'!S:S,'DATA BTO'!H:H,FALSE)</f>
        <v>0</v>
      </c>
      <c r="AF500" s="447" t="e">
        <f>IF(Tableau119[[#This Row],[First Day to POL]]&lt;=Tableau119[[#This Row],[Day Cut Off]],Tableau119[[#This Row],[Day ETD]],Tableau119[[#This Row],[Day ETD]]+7)</f>
        <v>#N/A</v>
      </c>
      <c r="AG500" s="50" t="b">
        <f>_xlfn.XLOOKUP(Tableau119[[#This Row],[Key(ID-date)]],'DATA BTO'!S:S,'DATA BTO'!I:I,FALSE)</f>
        <v>0</v>
      </c>
      <c r="AH500" s="3" t="b">
        <f>_xlfn.XLOOKUP(Tableau119[[#This Row],[Key(ID-date)]],'DATA BTO'!S:S,'DATA BTO'!J:J,FALSE)</f>
        <v>0</v>
      </c>
      <c r="AI500" s="3" t="b">
        <f>_xlfn.XLOOKUP(Tableau119[[#This Row],[Key(ID-date)]],'DATA BTO'!S:S,'DATA BTO'!K:K,FALSE)</f>
        <v>0</v>
      </c>
      <c r="AJ500" s="50" t="b">
        <f>_xlfn.XLOOKUP(Tableau119[[#This Row],[Key(ID-date)]],'DATA BTO'!S:S,'DATA BTO'!L:L,FALSE)</f>
        <v>0</v>
      </c>
      <c r="AK500" s="53" t="b">
        <f>_xlfn.XLOOKUP(Tableau119[[#This Row],[Key(ID-date)]],'DATA BTO'!S:S,'DATA BTO'!N:N,FALSE)</f>
        <v>0</v>
      </c>
      <c r="AL500" s="54" t="e">
        <f>VLOOKUP(Tableau119[[#This Row],[Key(POD -PFI- Usine)]],'DATA Consignee'!A:F,6,FALSE)</f>
        <v>#N/A</v>
      </c>
      <c r="AM500" s="284" t="s">
        <v>155</v>
      </c>
      <c r="AN500" s="376">
        <f>IF(Tableau119[[#This Row],[Name PFI/CDD]]="","-",VLOOKUP(Tableau119[[#This Row],[Name PFI/CDD]],Plant_AILN!I:J,2,FALSE))</f>
        <v>90016600</v>
      </c>
      <c r="AO5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0" s="2" t="e">
        <f>VLOOKUP(Tableau119[[#This Row],[Key(POD -PFI- Usine)]],'DATA Consignee'!A:J,10,FALSE)</f>
        <v>#N/A</v>
      </c>
      <c r="AR500" s="50" t="e">
        <f>VLOOKUP(Tableau119[[#This Row],[Key(POD -PFI- Usine)]],'DATA Consignee'!A:N,14,FALSE)</f>
        <v>#N/A</v>
      </c>
      <c r="AS50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0" s="50">
        <f>Tableau119[[#This Row],[Transit time]]+Tableau119[[#This Row],[Time for security]]+Tableau119[[#This Row],[Time for security2 buffer]]</f>
        <v>0</v>
      </c>
      <c r="AV50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0" s="50" t="e">
        <f>Tableau119[[#This Row],[Leadtime SI2C]]+Tableau119[[#This Row],[First Receipt Days]]-Tableau119[[#This Row],[Day Customer Order]]+1</f>
        <v>#N/A</v>
      </c>
      <c r="AX500" s="119" t="e">
        <f>IF(Tableau119[[#This Row],[Name ILN]]&lt;&gt;"SFK Freight Forwarder",Tableau119[[#This Row],[Cust. Leadtime]],Tableau119[[#This Row],[Leadtime SI2C]])</f>
        <v>#N/A</v>
      </c>
      <c r="AY500" s="51" t="b">
        <f>_xlfn.XLOOKUP(Tableau119[[#This Row],[Key(ID-date)]],'DATA BTO'!S:S,'DATA BTO'!P:P,FALSE)</f>
        <v>0</v>
      </c>
      <c r="AZ500" s="338">
        <v>45473</v>
      </c>
      <c r="BA500" s="50"/>
    </row>
    <row r="501" spans="2:53">
      <c r="B501" s="446" t="str">
        <f>_xlfn.CONCAT(Tableau119[[#This Row],[Name ILN]],"-",Tableau119[[#This Row],[Name Shipper]],"-",Tableau119[[#This Row],[Name Site]])</f>
        <v>ILN Curitiba-ILN Curitiba-CLEON</v>
      </c>
      <c r="C501" s="66" t="str">
        <f>_xlfn.CONCAT(Tableau119[[#This Row],[Compte ILN]],"-",Tableau119[[#This Row],[Compte Shipper]],"-",Tableau119[[#This Row],[POL]],"-",Tableau119[[#This Row],[Compte Consignee]])</f>
        <v>95207-95207-FALSO-92000100</v>
      </c>
      <c r="D501" s="66" t="str">
        <f>_xlfn.CONCAT(Tableau119[[#This Row],[Compte ILN]],"-",Tableau119[[#This Row],[Compte Shipper]],"-",Tableau119[[#This Row],[POL]])</f>
        <v>95207-95207-FALSO</v>
      </c>
      <c r="E501" s="130" t="str">
        <f>_xlfn.CONCAT(Tableau119[[#This Row],[POL]],"-",Tableau119[[#This Row],[Carrier]],"-",Tableau119[[#This Row],[POD]])</f>
        <v>FALSO-FALSO-FALSO</v>
      </c>
      <c r="F501" s="66" t="str">
        <f>_xlfn.CONCAT(Tableau119[[#This Row],[ID]],"-","Actif")</f>
        <v>163-Actif</v>
      </c>
      <c r="G501" s="66" t="str">
        <f>_xlfn.CONCAT(Tableau119[[#This Row],[POD]],"-",Tableau119[[#This Row],[Code PFI]],"-",Tableau119[[#This Row],[Compte Consignee]])</f>
        <v>FALSO---92000100</v>
      </c>
      <c r="H5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CuritibaFALSOCLEON</v>
      </c>
      <c r="I501" s="434" t="str">
        <f>_xlfn.CONCAT(Tableau119[[#This Row],[ID]],"-",Tableau119[[#This Row],[Expiration Date]])</f>
        <v>163-45473</v>
      </c>
      <c r="J5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Curitiba-ILN Curitiba-163-FALSO-FALSO-FALSO--45473</v>
      </c>
      <c r="K501" s="119" t="str">
        <f ca="1">IF(COUNTIF(J:J,Tableau119[[#This Row],[Plant-ILN-shipper-POL-Carrier-POD-PFI]])=1,"Non","Oui")</f>
        <v>Non</v>
      </c>
      <c r="L501" s="128" t="str">
        <f>VLOOKUP(Tableau119[[#This Row],[Name Site]],Plant_AILN!A:D,4,FALSE)</f>
        <v>FRANCE</v>
      </c>
      <c r="M501" s="411" t="s">
        <v>183</v>
      </c>
      <c r="N501" s="454">
        <f>VLOOKUP(Tableau119[[#This Row],[Name Site]],Plant_AILN!A:C,3,FALSE)</f>
        <v>92000100</v>
      </c>
      <c r="O501" s="55">
        <f>VLOOKUP(Tableau119[[#This Row],[Compte Consignee]],Order!C:D,2,FALSE)</f>
        <v>7</v>
      </c>
      <c r="P501" s="124" t="s">
        <v>163</v>
      </c>
      <c r="Q501" s="365">
        <f>VLOOKUP(Tableau119[[#This Row],[Name ILN]],Plant_AILN!F:G,2,FALSE)</f>
        <v>95207</v>
      </c>
      <c r="R501" s="50">
        <f>VLOOKUP(Tableau119[[#This Row],[Compte ILN]],'DATA ILN'!D:I,6,FALSE)</f>
        <v>9</v>
      </c>
      <c r="S501" s="50" t="e">
        <f>IFERROR(VLOOKUP(Tableau119[[#This Row],[Key(Compte ILN - shipper - POL - plant)]],'DATA ILN'!A:J,10,FALSE),VLOOKUP(Tableau119[[#This Row],[Key(Compte ILN - shipper - POL)]],'DATA ILN'!B:J,9,FALSE))</f>
        <v>#N/A</v>
      </c>
      <c r="T501" s="50" t="e">
        <f>IFERROR(VLOOKUP(Tableau119[[#This Row],[Key(Compte ILN - shipper - POL - plant)]],'DATA ILN'!A:K,11,FALSE),VLOOKUP(Tableau119[[#This Row],[Key(Compte ILN - shipper - POL)]],'DATA ILN'!B:K,10,FALSE))</f>
        <v>#N/A</v>
      </c>
      <c r="U501" s="50" t="e">
        <f>IFERROR(VLOOKUP(Tableau119[[#This Row],[Key(Compte ILN - shipper - POL - plant)]],'DATA ILN'!A:L,12,FALSE),VLOOKUP(Tableau119[[#This Row],[Key(Compte ILN - shipper - POL)]],'DATA ILN'!B:L,11,FALSE))</f>
        <v>#N/A</v>
      </c>
      <c r="V501" s="50" t="e">
        <f>Tableau119[[#This Row],[Day ILN Order]]+Tableau119[[#This Row],[Delivery time to ILN/Shipper]]-1</f>
        <v>#N/A</v>
      </c>
      <c r="W501" s="50" t="e">
        <f>IFERROR(VLOOKUP(Tableau119[[#This Row],[Key(Compte ILN - shipper - POL - plant)]],'DATA ILN'!A:N,14,FALSE),VLOOKUP(Tableau119[[#This Row],[Key(Compte ILN - shipper - POL)]],'DATA ILN'!B:N,13,FALSE))</f>
        <v>#N/A</v>
      </c>
      <c r="X501" s="50" t="e">
        <f>IFERROR(VLOOKUP(Tableau119[[#This Row],[Key(Compte ILN - shipper - POL - plant)]],'DATA ILN'!A:P,16,FALSE),VLOOKUP(Tableau119[[#This Row],[Key(Compte ILN - shipper - POL)]],'DATA ILN'!B:P,15,FALSE))</f>
        <v>#N/A</v>
      </c>
      <c r="Y501" s="284" t="s">
        <v>163</v>
      </c>
      <c r="Z501" s="430">
        <f>IFERROR(VLOOKUP(Tableau119[[#This Row],[Name Shipper]],Plant_AILN!L:M,2,FALSE),0)</f>
        <v>95207</v>
      </c>
      <c r="AA501" s="406">
        <v>163</v>
      </c>
      <c r="AB501" s="396" t="b">
        <f>_xlfn.XLOOKUP(Tableau119[[#This Row],[Key(ID-date)]],'DATA BTO'!S:S,'DATA BTO'!E:E,FALSE)</f>
        <v>0</v>
      </c>
      <c r="AC501" s="3" t="b">
        <f>_xlfn.XLOOKUP(Tableau119[[#This Row],[Key(ID-date)]],'DATA BTO'!S:S,'DATA BTO'!F:F,FALSE)</f>
        <v>0</v>
      </c>
      <c r="AD501" s="50" t="b">
        <f>_xlfn.XLOOKUP(Tableau119[[#This Row],[Key(ID-date)]],'DATA BTO'!S:S,'DATA BTO'!G:G,FALSE)</f>
        <v>0</v>
      </c>
      <c r="AE501" s="50" t="b">
        <f>_xlfn.XLOOKUP(Tableau119[[#This Row],[Key(ID-date)]],'DATA BTO'!S:S,'DATA BTO'!H:H,FALSE)</f>
        <v>0</v>
      </c>
      <c r="AF501" s="447" t="e">
        <f>IF(Tableau119[[#This Row],[First Day to POL]]&lt;=Tableau119[[#This Row],[Day Cut Off]],Tableau119[[#This Row],[Day ETD]],Tableau119[[#This Row],[Day ETD]]+7)</f>
        <v>#N/A</v>
      </c>
      <c r="AG501" s="50" t="b">
        <f>_xlfn.XLOOKUP(Tableau119[[#This Row],[Key(ID-date)]],'DATA BTO'!S:S,'DATA BTO'!I:I,FALSE)</f>
        <v>0</v>
      </c>
      <c r="AH501" s="3" t="b">
        <f>_xlfn.XLOOKUP(Tableau119[[#This Row],[Key(ID-date)]],'DATA BTO'!S:S,'DATA BTO'!J:J,FALSE)</f>
        <v>0</v>
      </c>
      <c r="AI501" s="3" t="b">
        <f>_xlfn.XLOOKUP(Tableau119[[#This Row],[Key(ID-date)]],'DATA BTO'!S:S,'DATA BTO'!K:K,FALSE)</f>
        <v>0</v>
      </c>
      <c r="AJ501" s="50" t="b">
        <f>_xlfn.XLOOKUP(Tableau119[[#This Row],[Key(ID-date)]],'DATA BTO'!S:S,'DATA BTO'!L:L,FALSE)</f>
        <v>0</v>
      </c>
      <c r="AK501" s="53" t="b">
        <f>_xlfn.XLOOKUP(Tableau119[[#This Row],[Key(ID-date)]],'DATA BTO'!S:S,'DATA BTO'!N:N,FALSE)</f>
        <v>0</v>
      </c>
      <c r="AL501" s="54" t="e">
        <f>VLOOKUP(Tableau119[[#This Row],[Key(POD -PFI- Usine)]],'DATA Consignee'!A:F,6,FALSE)</f>
        <v>#N/A</v>
      </c>
      <c r="AM501" s="284"/>
      <c r="AN501" s="376" t="str">
        <f>IF(Tableau119[[#This Row],[Name PFI/CDD]]="","-",VLOOKUP(Tableau119[[#This Row],[Name PFI/CDD]],Plant_AILN!I:J,2,FALSE))</f>
        <v>-</v>
      </c>
      <c r="AO50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1" s="2" t="e">
        <f>VLOOKUP(Tableau119[[#This Row],[Key(POD -PFI- Usine)]],'DATA Consignee'!A:J,10,FALSE)</f>
        <v>#N/A</v>
      </c>
      <c r="AR501" s="50" t="e">
        <f>VLOOKUP(Tableau119[[#This Row],[Key(POD -PFI- Usine)]],'DATA Consignee'!A:N,14,FALSE)</f>
        <v>#N/A</v>
      </c>
      <c r="AS50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1" s="50">
        <f>Tableau119[[#This Row],[Transit time]]+Tableau119[[#This Row],[Time for security]]+Tableau119[[#This Row],[Time for security2 buffer]]</f>
        <v>0</v>
      </c>
      <c r="AV5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1" s="50" t="e">
        <f>Tableau119[[#This Row],[Leadtime SI2C]]+Tableau119[[#This Row],[First Receipt Days]]-Tableau119[[#This Row],[Day Customer Order]]+1</f>
        <v>#N/A</v>
      </c>
      <c r="AX501" s="119" t="e">
        <f>IF(Tableau119[[#This Row],[Name ILN]]&lt;&gt;"SFK Freight Forwarder",Tableau119[[#This Row],[Cust. Leadtime]],Tableau119[[#This Row],[Leadtime SI2C]])</f>
        <v>#N/A</v>
      </c>
      <c r="AY501" s="51" t="b">
        <f>_xlfn.XLOOKUP(Tableau119[[#This Row],[Key(ID-date)]],'DATA BTO'!S:S,'DATA BTO'!P:P,FALSE)</f>
        <v>0</v>
      </c>
      <c r="AZ501" s="338">
        <v>45473</v>
      </c>
      <c r="BA501" s="50"/>
    </row>
    <row r="502" spans="2:53">
      <c r="B502" s="446" t="str">
        <f>_xlfn.CONCAT(Tableau119[[#This Row],[Name ILN]],"-",Tableau119[[#This Row],[Name Shipper]],"-",Tableau119[[#This Row],[Name Site]])</f>
        <v>ILN Curitiba-ILN Curitiba-FLINS</v>
      </c>
      <c r="C502" s="66" t="str">
        <f>_xlfn.CONCAT(Tableau119[[#This Row],[Compte ILN]],"-",Tableau119[[#This Row],[Compte Shipper]],"-",Tableau119[[#This Row],[POL]],"-",Tableau119[[#This Row],[Compte Consignee]])</f>
        <v>95207-95207-FALSO-90015100</v>
      </c>
      <c r="D502" s="66" t="str">
        <f>_xlfn.CONCAT(Tableau119[[#This Row],[Compte ILN]],"-",Tableau119[[#This Row],[Compte Shipper]],"-",Tableau119[[#This Row],[POL]])</f>
        <v>95207-95207-FALSO</v>
      </c>
      <c r="E502" s="130" t="str">
        <f>_xlfn.CONCAT(Tableau119[[#This Row],[POL]],"-",Tableau119[[#This Row],[Carrier]],"-",Tableau119[[#This Row],[POD]])</f>
        <v>FALSO-FALSO-FALSO</v>
      </c>
      <c r="F502" s="66" t="str">
        <f>_xlfn.CONCAT(Tableau119[[#This Row],[ID]],"-","Actif")</f>
        <v>163-Actif</v>
      </c>
      <c r="G502" s="66" t="str">
        <f>_xlfn.CONCAT(Tableau119[[#This Row],[POD]],"-",Tableau119[[#This Row],[Code PFI]],"-",Tableau119[[#This Row],[Compte Consignee]])</f>
        <v>FALSO---90015100</v>
      </c>
      <c r="H5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CuritibaFALSOFLINS</v>
      </c>
      <c r="I502" s="434" t="str">
        <f>_xlfn.CONCAT(Tableau119[[#This Row],[ID]],"-",Tableau119[[#This Row],[Expiration Date]])</f>
        <v>163-45382</v>
      </c>
      <c r="J5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Curitiba-ILN Curitiba-163-FALSO-FALSO-FALSO--45382</v>
      </c>
      <c r="K502" s="119" t="str">
        <f ca="1">IF(COUNTIF(J:J,Tableau119[[#This Row],[Plant-ILN-shipper-POL-Carrier-POD-PFI]])=1,"Non","Oui")</f>
        <v>Non</v>
      </c>
      <c r="L502" s="128" t="str">
        <f>VLOOKUP(Tableau119[[#This Row],[Name Site]],Plant_AILN!A:D,4,FALSE)</f>
        <v>FRANCE</v>
      </c>
      <c r="M502" s="415" t="s">
        <v>209</v>
      </c>
      <c r="N502" s="455">
        <f>VLOOKUP(Tableau119[[#This Row],[Name Site]],Plant_AILN!A:C,3,FALSE)</f>
        <v>90015100</v>
      </c>
      <c r="O502" s="104">
        <f>VLOOKUP(Tableau119[[#This Row],[Compte Consignee]],Order!C:D,2,FALSE)</f>
        <v>7</v>
      </c>
      <c r="P502" s="126" t="s">
        <v>163</v>
      </c>
      <c r="Q502" s="366">
        <f>VLOOKUP(Tableau119[[#This Row],[Name ILN]],Plant_AILN!F:G,2,FALSE)</f>
        <v>95207</v>
      </c>
      <c r="R502" s="81">
        <f>VLOOKUP(Tableau119[[#This Row],[Compte ILN]],'DATA ILN'!D:I,6,FALSE)</f>
        <v>9</v>
      </c>
      <c r="S502" s="81" t="e">
        <f>IFERROR(VLOOKUP(Tableau119[[#This Row],[Key(Compte ILN - shipper - POL - plant)]],'DATA ILN'!A:J,10,FALSE),VLOOKUP(Tableau119[[#This Row],[Key(Compte ILN - shipper - POL)]],'DATA ILN'!B:J,9,FALSE))</f>
        <v>#N/A</v>
      </c>
      <c r="T502" s="81" t="e">
        <f>IFERROR(VLOOKUP(Tableau119[[#This Row],[Key(Compte ILN - shipper - POL - plant)]],'DATA ILN'!A:K,11,FALSE),VLOOKUP(Tableau119[[#This Row],[Key(Compte ILN - shipper - POL)]],'DATA ILN'!B:K,10,FALSE))</f>
        <v>#N/A</v>
      </c>
      <c r="U502" s="81" t="e">
        <f>IFERROR(VLOOKUP(Tableau119[[#This Row],[Key(Compte ILN - shipper - POL - plant)]],'DATA ILN'!A:L,12,FALSE),VLOOKUP(Tableau119[[#This Row],[Key(Compte ILN - shipper - POL)]],'DATA ILN'!B:L,11,FALSE))</f>
        <v>#N/A</v>
      </c>
      <c r="V502" s="81" t="e">
        <f>Tableau119[[#This Row],[Day ILN Order]]+Tableau119[[#This Row],[Delivery time to ILN/Shipper]]-1</f>
        <v>#N/A</v>
      </c>
      <c r="W502" s="81" t="e">
        <f>IFERROR(VLOOKUP(Tableau119[[#This Row],[Key(Compte ILN - shipper - POL - plant)]],'DATA ILN'!A:N,14,FALSE),VLOOKUP(Tableau119[[#This Row],[Key(Compte ILN - shipper - POL)]],'DATA ILN'!B:N,13,FALSE))</f>
        <v>#N/A</v>
      </c>
      <c r="X502" s="81" t="e">
        <f>IFERROR(VLOOKUP(Tableau119[[#This Row],[Key(Compte ILN - shipper - POL - plant)]],'DATA ILN'!A:P,16,FALSE),VLOOKUP(Tableau119[[#This Row],[Key(Compte ILN - shipper - POL)]],'DATA ILN'!B:P,15,FALSE))</f>
        <v>#N/A</v>
      </c>
      <c r="Y502" s="102" t="s">
        <v>163</v>
      </c>
      <c r="Z502" s="417">
        <f>IFERROR(VLOOKUP(Tableau119[[#This Row],[Name Shipper]],Plant_AILN!L:M,2,FALSE),0)</f>
        <v>95207</v>
      </c>
      <c r="AA502" s="416">
        <v>163</v>
      </c>
      <c r="AB502" s="396" t="b">
        <f>_xlfn.XLOOKUP(Tableau119[[#This Row],[Key(ID-date)]],'DATA BTO'!S:S,'DATA BTO'!E:E,FALSE)</f>
        <v>0</v>
      </c>
      <c r="AC502" s="3" t="b">
        <f>_xlfn.XLOOKUP(Tableau119[[#This Row],[Key(ID-date)]],'DATA BTO'!S:S,'DATA BTO'!F:F,FALSE)</f>
        <v>0</v>
      </c>
      <c r="AD502" s="50" t="b">
        <f>_xlfn.XLOOKUP(Tableau119[[#This Row],[Key(ID-date)]],'DATA BTO'!S:S,'DATA BTO'!G:G,FALSE)</f>
        <v>0</v>
      </c>
      <c r="AE502" s="50" t="b">
        <f>_xlfn.XLOOKUP(Tableau119[[#This Row],[Key(ID-date)]],'DATA BTO'!S:S,'DATA BTO'!H:H,FALSE)</f>
        <v>0</v>
      </c>
      <c r="AF502" s="447" t="e">
        <f>IF(Tableau119[[#This Row],[First Day to POL]]&lt;=Tableau119[[#This Row],[Day Cut Off]],Tableau119[[#This Row],[Day ETD]],Tableau119[[#This Row],[Day ETD]]+7)</f>
        <v>#N/A</v>
      </c>
      <c r="AG502" s="50" t="b">
        <f>_xlfn.XLOOKUP(Tableau119[[#This Row],[Key(ID-date)]],'DATA BTO'!S:S,'DATA BTO'!I:I,FALSE)</f>
        <v>0</v>
      </c>
      <c r="AH502" s="3" t="b">
        <f>_xlfn.XLOOKUP(Tableau119[[#This Row],[Key(ID-date)]],'DATA BTO'!S:S,'DATA BTO'!J:J,FALSE)</f>
        <v>0</v>
      </c>
      <c r="AI502" s="3" t="b">
        <f>_xlfn.XLOOKUP(Tableau119[[#This Row],[Key(ID-date)]],'DATA BTO'!S:S,'DATA BTO'!K:K,FALSE)</f>
        <v>0</v>
      </c>
      <c r="AJ502" s="50" t="b">
        <f>_xlfn.XLOOKUP(Tableau119[[#This Row],[Key(ID-date)]],'DATA BTO'!S:S,'DATA BTO'!L:L,FALSE)</f>
        <v>0</v>
      </c>
      <c r="AK502" s="53" t="b">
        <f>_xlfn.XLOOKUP(Tableau119[[#This Row],[Key(ID-date)]],'DATA BTO'!S:S,'DATA BTO'!N:N,FALSE)</f>
        <v>0</v>
      </c>
      <c r="AL502" s="54" t="e">
        <f>VLOOKUP(Tableau119[[#This Row],[Key(POD -PFI- Usine)]],'DATA Consignee'!A:F,6,FALSE)</f>
        <v>#N/A</v>
      </c>
      <c r="AM502" s="102"/>
      <c r="AN502" s="375" t="str">
        <f>IF(Tableau119[[#This Row],[Name PFI/CDD]]="","-",VLOOKUP(Tableau119[[#This Row],[Name PFI/CDD]],Plant_AILN!I:J,2,FALSE))</f>
        <v>-</v>
      </c>
      <c r="AO50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2" s="110" t="e">
        <f>VLOOKUP(Tableau119[[#This Row],[Key(POD -PFI- Usine)]],'DATA Consignee'!A:J,10,FALSE)</f>
        <v>#N/A</v>
      </c>
      <c r="AR502" s="81" t="e">
        <f>VLOOKUP(Tableau119[[#This Row],[Key(POD -PFI- Usine)]],'DATA Consignee'!A:N,14,FALSE)</f>
        <v>#N/A</v>
      </c>
      <c r="AS50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2" s="81">
        <f>Tableau119[[#This Row],[Transit time]]+Tableau119[[#This Row],[Time for security]]+Tableau119[[#This Row],[Time for security2 buffer]]</f>
        <v>0</v>
      </c>
      <c r="AV5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2" s="50" t="e">
        <f>Tableau119[[#This Row],[Leadtime SI2C]]+Tableau119[[#This Row],[First Receipt Days]]-Tableau119[[#This Row],[Day Customer Order]]+1</f>
        <v>#N/A</v>
      </c>
      <c r="AX502" s="119" t="e">
        <f>IF(Tableau119[[#This Row],[Name ILN]]&lt;&gt;"SFK Freight Forwarder",Tableau119[[#This Row],[Cust. Leadtime]],Tableau119[[#This Row],[Leadtime SI2C]])</f>
        <v>#N/A</v>
      </c>
      <c r="AY502" s="51" t="b">
        <f>_xlfn.XLOOKUP(Tableau119[[#This Row],[Key(ID-date)]],'DATA BTO'!S:S,'DATA BTO'!P:P,FALSE)</f>
        <v>0</v>
      </c>
      <c r="AZ502" s="388">
        <v>45382</v>
      </c>
      <c r="BA502" s="81"/>
    </row>
    <row r="503" spans="2:53">
      <c r="B503" s="446" t="str">
        <f>_xlfn.CONCAT(Tableau119[[#This Row],[Name ILN]],"-",Tableau119[[#This Row],[Name Shipper]],"-",Tableau119[[#This Row],[Name Site]])</f>
        <v>ILN Curitiba-ILN Curitiba-MAUBEUGE</v>
      </c>
      <c r="C503" s="66" t="str">
        <f>_xlfn.CONCAT(Tableau119[[#This Row],[Compte ILN]],"-",Tableau119[[#This Row],[Compte Shipper]],"-",Tableau119[[#This Row],[POL]],"-",Tableau119[[#This Row],[Compte Consignee]])</f>
        <v>95207-95207-FALSO-90016200</v>
      </c>
      <c r="D503" s="66" t="str">
        <f>_xlfn.CONCAT(Tableau119[[#This Row],[Compte ILN]],"-",Tableau119[[#This Row],[Compte Shipper]],"-",Tableau119[[#This Row],[POL]])</f>
        <v>95207-95207-FALSO</v>
      </c>
      <c r="E503" s="130" t="str">
        <f>_xlfn.CONCAT(Tableau119[[#This Row],[POL]],"-",Tableau119[[#This Row],[Carrier]],"-",Tableau119[[#This Row],[POD]])</f>
        <v>FALSO-FALSO-FALSO</v>
      </c>
      <c r="F503" s="66" t="str">
        <f>_xlfn.CONCAT(Tableau119[[#This Row],[ID]],"-","Actif")</f>
        <v>163-Actif</v>
      </c>
      <c r="G503" s="66" t="str">
        <f>_xlfn.CONCAT(Tableau119[[#This Row],[POD]],"-",Tableau119[[#This Row],[Code PFI]],"-",Tableau119[[#This Row],[Compte Consignee]])</f>
        <v>FALSO-90016600-90016200</v>
      </c>
      <c r="H5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CuritibaFALSOMAUBEUGE</v>
      </c>
      <c r="I503" s="434" t="str">
        <f>_xlfn.CONCAT(Tableau119[[#This Row],[ID]],"-",Tableau119[[#This Row],[Expiration Date]])</f>
        <v>163-45382</v>
      </c>
      <c r="J5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Curitiba-ILN Curitiba-163-FALSO-FALSO-FALSO-CDD FR-45382</v>
      </c>
      <c r="K503" s="119" t="str">
        <f ca="1">IF(COUNTIF(J:J,Tableau119[[#This Row],[Plant-ILN-shipper-POL-Carrier-POD-PFI]])=1,"Non","Oui")</f>
        <v>Non</v>
      </c>
      <c r="L503" s="128" t="str">
        <f>VLOOKUP(Tableau119[[#This Row],[Name Site]],Plant_AILN!A:D,4,FALSE)</f>
        <v>FRANCE</v>
      </c>
      <c r="M503" s="411" t="s">
        <v>210</v>
      </c>
      <c r="N503" s="454">
        <f>VLOOKUP(Tableau119[[#This Row],[Name Site]],Plant_AILN!A:C,3,FALSE)</f>
        <v>90016200</v>
      </c>
      <c r="O503" s="55">
        <f>VLOOKUP(Tableau119[[#This Row],[Compte Consignee]],Order!C:D,2,FALSE)</f>
        <v>7</v>
      </c>
      <c r="P503" s="124" t="s">
        <v>163</v>
      </c>
      <c r="Q503" s="365">
        <f>VLOOKUP(Tableau119[[#This Row],[Name ILN]],Plant_AILN!F:G,2,FALSE)</f>
        <v>95207</v>
      </c>
      <c r="R503" s="50">
        <f>VLOOKUP(Tableau119[[#This Row],[Compte ILN]],'DATA ILN'!D:I,6,FALSE)</f>
        <v>9</v>
      </c>
      <c r="S503" s="50" t="e">
        <f>IFERROR(VLOOKUP(Tableau119[[#This Row],[Key(Compte ILN - shipper - POL - plant)]],'DATA ILN'!A:J,10,FALSE),VLOOKUP(Tableau119[[#This Row],[Key(Compte ILN - shipper - POL)]],'DATA ILN'!B:J,9,FALSE))</f>
        <v>#N/A</v>
      </c>
      <c r="T503" s="50" t="e">
        <f>IFERROR(VLOOKUP(Tableau119[[#This Row],[Key(Compte ILN - shipper - POL - plant)]],'DATA ILN'!A:K,11,FALSE),VLOOKUP(Tableau119[[#This Row],[Key(Compte ILN - shipper - POL)]],'DATA ILN'!B:K,10,FALSE))</f>
        <v>#N/A</v>
      </c>
      <c r="U503" s="50" t="e">
        <f>IFERROR(VLOOKUP(Tableau119[[#This Row],[Key(Compte ILN - shipper - POL - plant)]],'DATA ILN'!A:L,12,FALSE),VLOOKUP(Tableau119[[#This Row],[Key(Compte ILN - shipper - POL)]],'DATA ILN'!B:L,11,FALSE))</f>
        <v>#N/A</v>
      </c>
      <c r="V503" s="50" t="e">
        <f>Tableau119[[#This Row],[Day ILN Order]]+Tableau119[[#This Row],[Delivery time to ILN/Shipper]]-1</f>
        <v>#N/A</v>
      </c>
      <c r="W503" s="50" t="e">
        <f>IFERROR(VLOOKUP(Tableau119[[#This Row],[Key(Compte ILN - shipper - POL - plant)]],'DATA ILN'!A:N,14,FALSE),VLOOKUP(Tableau119[[#This Row],[Key(Compte ILN - shipper - POL)]],'DATA ILN'!B:N,13,FALSE))</f>
        <v>#N/A</v>
      </c>
      <c r="X503" s="50" t="e">
        <f>IFERROR(VLOOKUP(Tableau119[[#This Row],[Key(Compte ILN - shipper - POL - plant)]],'DATA ILN'!A:P,16,FALSE),VLOOKUP(Tableau119[[#This Row],[Key(Compte ILN - shipper - POL)]],'DATA ILN'!B:P,15,FALSE))</f>
        <v>#N/A</v>
      </c>
      <c r="Y503" s="284" t="s">
        <v>163</v>
      </c>
      <c r="Z503" s="430">
        <f>IFERROR(VLOOKUP(Tableau119[[#This Row],[Name Shipper]],Plant_AILN!L:M,2,FALSE),0)</f>
        <v>95207</v>
      </c>
      <c r="AA503" s="406">
        <v>163</v>
      </c>
      <c r="AB503" s="396" t="b">
        <f>_xlfn.XLOOKUP(Tableau119[[#This Row],[Key(ID-date)]],'DATA BTO'!S:S,'DATA BTO'!E:E,FALSE)</f>
        <v>0</v>
      </c>
      <c r="AC503" s="3" t="b">
        <f>_xlfn.XLOOKUP(Tableau119[[#This Row],[Key(ID-date)]],'DATA BTO'!S:S,'DATA BTO'!F:F,FALSE)</f>
        <v>0</v>
      </c>
      <c r="AD503" s="50" t="b">
        <f>_xlfn.XLOOKUP(Tableau119[[#This Row],[Key(ID-date)]],'DATA BTO'!S:S,'DATA BTO'!G:G,FALSE)</f>
        <v>0</v>
      </c>
      <c r="AE503" s="50" t="b">
        <f>_xlfn.XLOOKUP(Tableau119[[#This Row],[Key(ID-date)]],'DATA BTO'!S:S,'DATA BTO'!H:H,FALSE)</f>
        <v>0</v>
      </c>
      <c r="AF503" s="447" t="e">
        <f>IF(Tableau119[[#This Row],[First Day to POL]]&lt;=Tableau119[[#This Row],[Day Cut Off]],Tableau119[[#This Row],[Day ETD]],Tableau119[[#This Row],[Day ETD]]+7)</f>
        <v>#N/A</v>
      </c>
      <c r="AG503" s="50" t="b">
        <f>_xlfn.XLOOKUP(Tableau119[[#This Row],[Key(ID-date)]],'DATA BTO'!S:S,'DATA BTO'!I:I,FALSE)</f>
        <v>0</v>
      </c>
      <c r="AH503" s="3" t="b">
        <f>_xlfn.XLOOKUP(Tableau119[[#This Row],[Key(ID-date)]],'DATA BTO'!S:S,'DATA BTO'!J:J,FALSE)</f>
        <v>0</v>
      </c>
      <c r="AI503" s="3" t="b">
        <f>_xlfn.XLOOKUP(Tableau119[[#This Row],[Key(ID-date)]],'DATA BTO'!S:S,'DATA BTO'!K:K,FALSE)</f>
        <v>0</v>
      </c>
      <c r="AJ503" s="50" t="b">
        <f>_xlfn.XLOOKUP(Tableau119[[#This Row],[Key(ID-date)]],'DATA BTO'!S:S,'DATA BTO'!L:L,FALSE)</f>
        <v>0</v>
      </c>
      <c r="AK503" s="53" t="b">
        <f>_xlfn.XLOOKUP(Tableau119[[#This Row],[Key(ID-date)]],'DATA BTO'!S:S,'DATA BTO'!N:N,FALSE)</f>
        <v>0</v>
      </c>
      <c r="AL503" s="54" t="e">
        <f>VLOOKUP(Tableau119[[#This Row],[Key(POD -PFI- Usine)]],'DATA Consignee'!A:F,6,FALSE)</f>
        <v>#N/A</v>
      </c>
      <c r="AM503" s="284" t="s">
        <v>155</v>
      </c>
      <c r="AN503" s="376">
        <f>IF(Tableau119[[#This Row],[Name PFI/CDD]]="","-",VLOOKUP(Tableau119[[#This Row],[Name PFI/CDD]],Plant_AILN!I:J,2,FALSE))</f>
        <v>90016600</v>
      </c>
      <c r="AO50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3" s="2" t="e">
        <f>VLOOKUP(Tableau119[[#This Row],[Key(POD -PFI- Usine)]],'DATA Consignee'!A:J,10,FALSE)</f>
        <v>#N/A</v>
      </c>
      <c r="AR503" s="50" t="e">
        <f>VLOOKUP(Tableau119[[#This Row],[Key(POD -PFI- Usine)]],'DATA Consignee'!A:N,14,FALSE)</f>
        <v>#N/A</v>
      </c>
      <c r="AS50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3" s="50">
        <f>Tableau119[[#This Row],[Transit time]]+Tableau119[[#This Row],[Time for security]]+Tableau119[[#This Row],[Time for security2 buffer]]</f>
        <v>0</v>
      </c>
      <c r="AV5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3" s="50" t="e">
        <f>Tableau119[[#This Row],[Leadtime SI2C]]+Tableau119[[#This Row],[First Receipt Days]]-Tableau119[[#This Row],[Day Customer Order]]+1</f>
        <v>#N/A</v>
      </c>
      <c r="AX503" s="119" t="e">
        <f>IF(Tableau119[[#This Row],[Name ILN]]&lt;&gt;"SFK Freight Forwarder",Tableau119[[#This Row],[Cust. Leadtime]],Tableau119[[#This Row],[Leadtime SI2C]])</f>
        <v>#N/A</v>
      </c>
      <c r="AY503" s="51" t="b">
        <f>_xlfn.XLOOKUP(Tableau119[[#This Row],[Key(ID-date)]],'DATA BTO'!S:S,'DATA BTO'!P:P,FALSE)</f>
        <v>0</v>
      </c>
      <c r="AZ503" s="338">
        <v>45382</v>
      </c>
      <c r="BA503" s="50"/>
    </row>
    <row r="504" spans="2:53">
      <c r="B504" s="446" t="str">
        <f>_xlfn.CONCAT(Tableau119[[#This Row],[Name ILN]],"-",Tableau119[[#This Row],[Name Shipper]],"-",Tableau119[[#This Row],[Name Site]])</f>
        <v>ILN Curitiba-ILN Curitiba-CACIA</v>
      </c>
      <c r="C504" s="66" t="str">
        <f>_xlfn.CONCAT(Tableau119[[#This Row],[Compte ILN]],"-",Tableau119[[#This Row],[Compte Shipper]],"-",Tableau119[[#This Row],[POL]],"-",Tableau119[[#This Row],[Compte Consignee]])</f>
        <v>95207-95207-FALSO-90016500</v>
      </c>
      <c r="D504" s="66" t="str">
        <f>_xlfn.CONCAT(Tableau119[[#This Row],[Compte ILN]],"-",Tableau119[[#This Row],[Compte Shipper]],"-",Tableau119[[#This Row],[POL]])</f>
        <v>95207-95207-FALSO</v>
      </c>
      <c r="E504" s="130" t="str">
        <f>_xlfn.CONCAT(Tableau119[[#This Row],[POL]],"-",Tableau119[[#This Row],[Carrier]],"-",Tableau119[[#This Row],[POD]])</f>
        <v>FALSO-FALSO-FALSO</v>
      </c>
      <c r="F504" s="66" t="str">
        <f>_xlfn.CONCAT(Tableau119[[#This Row],[ID]],"-","Actif")</f>
        <v>163-Actif</v>
      </c>
      <c r="G504" s="66" t="str">
        <f>_xlfn.CONCAT(Tableau119[[#This Row],[POD]],"-",Tableau119[[#This Row],[Code PFI]],"-",Tableau119[[#This Row],[Compte Consignee]])</f>
        <v>FALSO-90016600-90016500</v>
      </c>
      <c r="H5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CuritibaFALSOCACIA</v>
      </c>
      <c r="I504" s="434" t="str">
        <f>_xlfn.CONCAT(Tableau119[[#This Row],[ID]],"-",Tableau119[[#This Row],[Expiration Date]])</f>
        <v>163-45382</v>
      </c>
      <c r="J5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Curitiba-ILN Curitiba-163-FALSO-FALSO-FALSO-CDD FR-45382</v>
      </c>
      <c r="K504" s="119" t="str">
        <f ca="1">IF(COUNTIF(J:J,Tableau119[[#This Row],[Plant-ILN-shipper-POL-Carrier-POD-PFI]])=1,"Non","Oui")</f>
        <v>Non</v>
      </c>
      <c r="L504" s="128" t="str">
        <f>VLOOKUP(Tableau119[[#This Row],[Name Site]],Plant_AILN!A:D,4,FALSE)</f>
        <v>PORTUGAL</v>
      </c>
      <c r="M504" s="415" t="s">
        <v>170</v>
      </c>
      <c r="N504" s="455">
        <f>VLOOKUP(Tableau119[[#This Row],[Name Site]],Plant_AILN!A:C,3,FALSE)</f>
        <v>90016500</v>
      </c>
      <c r="O504" s="104">
        <f>VLOOKUP(Tableau119[[#This Row],[Compte Consignee]],Order!C:D,2,FALSE)</f>
        <v>5</v>
      </c>
      <c r="P504" s="126" t="s">
        <v>163</v>
      </c>
      <c r="Q504" s="366">
        <f>VLOOKUP(Tableau119[[#This Row],[Name ILN]],Plant_AILN!F:G,2,FALSE)</f>
        <v>95207</v>
      </c>
      <c r="R504" s="81">
        <f>VLOOKUP(Tableau119[[#This Row],[Compte ILN]],'DATA ILN'!D:I,6,FALSE)</f>
        <v>9</v>
      </c>
      <c r="S504" s="81" t="e">
        <f>IFERROR(VLOOKUP(Tableau119[[#This Row],[Key(Compte ILN - shipper - POL - plant)]],'DATA ILN'!A:J,10,FALSE),VLOOKUP(Tableau119[[#This Row],[Key(Compte ILN - shipper - POL)]],'DATA ILN'!B:J,9,FALSE))</f>
        <v>#N/A</v>
      </c>
      <c r="T504" s="81" t="e">
        <f>IFERROR(VLOOKUP(Tableau119[[#This Row],[Key(Compte ILN - shipper - POL - plant)]],'DATA ILN'!A:K,11,FALSE),VLOOKUP(Tableau119[[#This Row],[Key(Compte ILN - shipper - POL)]],'DATA ILN'!B:K,10,FALSE))</f>
        <v>#N/A</v>
      </c>
      <c r="U504" s="81" t="e">
        <f>IFERROR(VLOOKUP(Tableau119[[#This Row],[Key(Compte ILN - shipper - POL - plant)]],'DATA ILN'!A:L,12,FALSE),VLOOKUP(Tableau119[[#This Row],[Key(Compte ILN - shipper - POL)]],'DATA ILN'!B:L,11,FALSE))</f>
        <v>#N/A</v>
      </c>
      <c r="V504" s="81" t="e">
        <f>Tableau119[[#This Row],[Day ILN Order]]+Tableau119[[#This Row],[Delivery time to ILN/Shipper]]-1</f>
        <v>#N/A</v>
      </c>
      <c r="W504" s="81" t="e">
        <f>IFERROR(VLOOKUP(Tableau119[[#This Row],[Key(Compte ILN - shipper - POL - plant)]],'DATA ILN'!A:N,14,FALSE),VLOOKUP(Tableau119[[#This Row],[Key(Compte ILN - shipper - POL)]],'DATA ILN'!B:N,13,FALSE))</f>
        <v>#N/A</v>
      </c>
      <c r="X504" s="81" t="e">
        <f>IFERROR(VLOOKUP(Tableau119[[#This Row],[Key(Compte ILN - shipper - POL - plant)]],'DATA ILN'!A:P,16,FALSE),VLOOKUP(Tableau119[[#This Row],[Key(Compte ILN - shipper - POL)]],'DATA ILN'!B:P,15,FALSE))</f>
        <v>#N/A</v>
      </c>
      <c r="Y504" s="102" t="s">
        <v>163</v>
      </c>
      <c r="Z504" s="417">
        <f>IFERROR(VLOOKUP(Tableau119[[#This Row],[Name Shipper]],Plant_AILN!L:M,2,FALSE),0)</f>
        <v>95207</v>
      </c>
      <c r="AA504" s="416">
        <v>163</v>
      </c>
      <c r="AB504" s="396" t="b">
        <f>_xlfn.XLOOKUP(Tableau119[[#This Row],[Key(ID-date)]],'DATA BTO'!S:S,'DATA BTO'!E:E,FALSE)</f>
        <v>0</v>
      </c>
      <c r="AC504" s="3" t="b">
        <f>_xlfn.XLOOKUP(Tableau119[[#This Row],[Key(ID-date)]],'DATA BTO'!S:S,'DATA BTO'!F:F,FALSE)</f>
        <v>0</v>
      </c>
      <c r="AD504" s="50" t="b">
        <f>_xlfn.XLOOKUP(Tableau119[[#This Row],[Key(ID-date)]],'DATA BTO'!S:S,'DATA BTO'!G:G,FALSE)</f>
        <v>0</v>
      </c>
      <c r="AE504" s="50" t="b">
        <f>_xlfn.XLOOKUP(Tableau119[[#This Row],[Key(ID-date)]],'DATA BTO'!S:S,'DATA BTO'!H:H,FALSE)</f>
        <v>0</v>
      </c>
      <c r="AF504" s="447" t="e">
        <f>IF(Tableau119[[#This Row],[First Day to POL]]&lt;=Tableau119[[#This Row],[Day Cut Off]],Tableau119[[#This Row],[Day ETD]],Tableau119[[#This Row],[Day ETD]]+7)</f>
        <v>#N/A</v>
      </c>
      <c r="AG504" s="50" t="b">
        <f>_xlfn.XLOOKUP(Tableau119[[#This Row],[Key(ID-date)]],'DATA BTO'!S:S,'DATA BTO'!I:I,FALSE)</f>
        <v>0</v>
      </c>
      <c r="AH504" s="3" t="b">
        <f>_xlfn.XLOOKUP(Tableau119[[#This Row],[Key(ID-date)]],'DATA BTO'!S:S,'DATA BTO'!J:J,FALSE)</f>
        <v>0</v>
      </c>
      <c r="AI504" s="3" t="b">
        <f>_xlfn.XLOOKUP(Tableau119[[#This Row],[Key(ID-date)]],'DATA BTO'!S:S,'DATA BTO'!K:K,FALSE)</f>
        <v>0</v>
      </c>
      <c r="AJ504" s="50" t="b">
        <f>_xlfn.XLOOKUP(Tableau119[[#This Row],[Key(ID-date)]],'DATA BTO'!S:S,'DATA BTO'!L:L,FALSE)</f>
        <v>0</v>
      </c>
      <c r="AK504" s="53" t="b">
        <f>_xlfn.XLOOKUP(Tableau119[[#This Row],[Key(ID-date)]],'DATA BTO'!S:S,'DATA BTO'!N:N,FALSE)</f>
        <v>0</v>
      </c>
      <c r="AL504" s="54" t="e">
        <f>VLOOKUP(Tableau119[[#This Row],[Key(POD -PFI- Usine)]],'DATA Consignee'!A:F,6,FALSE)</f>
        <v>#N/A</v>
      </c>
      <c r="AM504" s="102" t="s">
        <v>155</v>
      </c>
      <c r="AN504" s="375">
        <f>IF(Tableau119[[#This Row],[Name PFI/CDD]]="","-",VLOOKUP(Tableau119[[#This Row],[Name PFI/CDD]],Plant_AILN!I:J,2,FALSE))</f>
        <v>90016600</v>
      </c>
      <c r="AO50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4" s="110" t="e">
        <f>VLOOKUP(Tableau119[[#This Row],[Key(POD -PFI- Usine)]],'DATA Consignee'!A:J,10,FALSE)</f>
        <v>#N/A</v>
      </c>
      <c r="AR504" s="81" t="e">
        <f>VLOOKUP(Tableau119[[#This Row],[Key(POD -PFI- Usine)]],'DATA Consignee'!A:N,14,FALSE)</f>
        <v>#N/A</v>
      </c>
      <c r="AS50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4" s="81">
        <f>Tableau119[[#This Row],[Transit time]]+Tableau119[[#This Row],[Time for security]]+Tableau119[[#This Row],[Time for security2 buffer]]</f>
        <v>0</v>
      </c>
      <c r="AV5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4" s="50" t="e">
        <f>Tableau119[[#This Row],[Leadtime SI2C]]+Tableau119[[#This Row],[First Receipt Days]]-Tableau119[[#This Row],[Day Customer Order]]+1</f>
        <v>#N/A</v>
      </c>
      <c r="AX504" s="119" t="e">
        <f>IF(Tableau119[[#This Row],[Name ILN]]&lt;&gt;"SFK Freight Forwarder",Tableau119[[#This Row],[Cust. Leadtime]],Tableau119[[#This Row],[Leadtime SI2C]])</f>
        <v>#N/A</v>
      </c>
      <c r="AY504" s="51" t="b">
        <f>_xlfn.XLOOKUP(Tableau119[[#This Row],[Key(ID-date)]],'DATA BTO'!S:S,'DATA BTO'!P:P,FALSE)</f>
        <v>0</v>
      </c>
      <c r="AZ504" s="388">
        <v>45382</v>
      </c>
      <c r="BA504" s="81"/>
    </row>
    <row r="505" spans="2:53">
      <c r="B505" s="446" t="str">
        <f>_xlfn.CONCAT(Tableau119[[#This Row],[Name ILN]],"-",Tableau119[[#This Row],[Name Shipper]],"-",Tableau119[[#This Row],[Name Site]])</f>
        <v>ILN Curitiba-ILN Curitiba-SOVAB</v>
      </c>
      <c r="C505" s="66" t="str">
        <f>_xlfn.CONCAT(Tableau119[[#This Row],[Compte ILN]],"-",Tableau119[[#This Row],[Compte Shipper]],"-",Tableau119[[#This Row],[POL]],"-",Tableau119[[#This Row],[Compte Consignee]])</f>
        <v>95207-95207-FALSO-90016900</v>
      </c>
      <c r="D505" s="66" t="str">
        <f>_xlfn.CONCAT(Tableau119[[#This Row],[Compte ILN]],"-",Tableau119[[#This Row],[Compte Shipper]],"-",Tableau119[[#This Row],[POL]])</f>
        <v>95207-95207-FALSO</v>
      </c>
      <c r="E505" s="130" t="str">
        <f>_xlfn.CONCAT(Tableau119[[#This Row],[POL]],"-",Tableau119[[#This Row],[Carrier]],"-",Tableau119[[#This Row],[POD]])</f>
        <v>FALSO-FALSO-FALSO</v>
      </c>
      <c r="F505" s="66" t="str">
        <f>_xlfn.CONCAT(Tableau119[[#This Row],[ID]],"-","Actif")</f>
        <v>163-Actif</v>
      </c>
      <c r="G505" s="66" t="str">
        <f>_xlfn.CONCAT(Tableau119[[#This Row],[POD]],"-",Tableau119[[#This Row],[Code PFI]],"-",Tableau119[[#This Row],[Compte Consignee]])</f>
        <v>FALSO-90016600-90016900</v>
      </c>
      <c r="H5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CuritibaFALSOSOVAB</v>
      </c>
      <c r="I505" s="434" t="str">
        <f>_xlfn.CONCAT(Tableau119[[#This Row],[ID]],"-",Tableau119[[#This Row],[Expiration Date]])</f>
        <v>163-45382</v>
      </c>
      <c r="J5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Curitiba-ILN Curitiba-163-FALSO-FALSO-FALSO-CDD FR-45382</v>
      </c>
      <c r="K505" s="119" t="str">
        <f ca="1">IF(COUNTIF(J:J,Tableau119[[#This Row],[Plant-ILN-shipper-POL-Carrier-POD-PFI]])=1,"Non","Oui")</f>
        <v>Non</v>
      </c>
      <c r="L505" s="128" t="str">
        <f>VLOOKUP(Tableau119[[#This Row],[Name Site]],Plant_AILN!A:D,4,FALSE)</f>
        <v>FRANCE</v>
      </c>
      <c r="M505" s="411" t="s">
        <v>154</v>
      </c>
      <c r="N505" s="454">
        <f>VLOOKUP(Tableau119[[#This Row],[Name Site]],Plant_AILN!A:C,3,FALSE)</f>
        <v>90016900</v>
      </c>
      <c r="O505" s="55">
        <f>VLOOKUP(Tableau119[[#This Row],[Compte Consignee]],Order!C:D,2,FALSE)</f>
        <v>7</v>
      </c>
      <c r="P505" s="124" t="s">
        <v>163</v>
      </c>
      <c r="Q505" s="365">
        <f>VLOOKUP(Tableau119[[#This Row],[Name ILN]],Plant_AILN!F:G,2,FALSE)</f>
        <v>95207</v>
      </c>
      <c r="R505" s="50">
        <f>VLOOKUP(Tableau119[[#This Row],[Compte ILN]],'DATA ILN'!D:I,6,FALSE)</f>
        <v>9</v>
      </c>
      <c r="S505" s="50" t="e">
        <f>IFERROR(VLOOKUP(Tableau119[[#This Row],[Key(Compte ILN - shipper - POL - plant)]],'DATA ILN'!A:J,10,FALSE),VLOOKUP(Tableau119[[#This Row],[Key(Compte ILN - shipper - POL)]],'DATA ILN'!B:J,9,FALSE))</f>
        <v>#N/A</v>
      </c>
      <c r="T505" s="50" t="e">
        <f>IFERROR(VLOOKUP(Tableau119[[#This Row],[Key(Compte ILN - shipper - POL - plant)]],'DATA ILN'!A:K,11,FALSE),VLOOKUP(Tableau119[[#This Row],[Key(Compte ILN - shipper - POL)]],'DATA ILN'!B:K,10,FALSE))</f>
        <v>#N/A</v>
      </c>
      <c r="U505" s="50" t="e">
        <f>IFERROR(VLOOKUP(Tableau119[[#This Row],[Key(Compte ILN - shipper - POL - plant)]],'DATA ILN'!A:L,12,FALSE),VLOOKUP(Tableau119[[#This Row],[Key(Compte ILN - shipper - POL)]],'DATA ILN'!B:L,11,FALSE))</f>
        <v>#N/A</v>
      </c>
      <c r="V505" s="50" t="e">
        <f>Tableau119[[#This Row],[Day ILN Order]]+Tableau119[[#This Row],[Delivery time to ILN/Shipper]]-1</f>
        <v>#N/A</v>
      </c>
      <c r="W505" s="50" t="e">
        <f>IFERROR(VLOOKUP(Tableau119[[#This Row],[Key(Compte ILN - shipper - POL - plant)]],'DATA ILN'!A:N,14,FALSE),VLOOKUP(Tableau119[[#This Row],[Key(Compte ILN - shipper - POL)]],'DATA ILN'!B:N,13,FALSE))</f>
        <v>#N/A</v>
      </c>
      <c r="X505" s="50" t="e">
        <f>IFERROR(VLOOKUP(Tableau119[[#This Row],[Key(Compte ILN - shipper - POL - plant)]],'DATA ILN'!A:P,16,FALSE),VLOOKUP(Tableau119[[#This Row],[Key(Compte ILN - shipper - POL)]],'DATA ILN'!B:P,15,FALSE))</f>
        <v>#N/A</v>
      </c>
      <c r="Y505" s="284" t="s">
        <v>163</v>
      </c>
      <c r="Z505" s="430">
        <f>IFERROR(VLOOKUP(Tableau119[[#This Row],[Name Shipper]],Plant_AILN!L:M,2,FALSE),0)</f>
        <v>95207</v>
      </c>
      <c r="AA505" s="406">
        <v>163</v>
      </c>
      <c r="AB505" s="396" t="b">
        <f>_xlfn.XLOOKUP(Tableau119[[#This Row],[Key(ID-date)]],'DATA BTO'!S:S,'DATA BTO'!E:E,FALSE)</f>
        <v>0</v>
      </c>
      <c r="AC505" s="3" t="b">
        <f>_xlfn.XLOOKUP(Tableau119[[#This Row],[Key(ID-date)]],'DATA BTO'!S:S,'DATA BTO'!F:F,FALSE)</f>
        <v>0</v>
      </c>
      <c r="AD505" s="50" t="b">
        <f>_xlfn.XLOOKUP(Tableau119[[#This Row],[Key(ID-date)]],'DATA BTO'!S:S,'DATA BTO'!G:G,FALSE)</f>
        <v>0</v>
      </c>
      <c r="AE505" s="50" t="b">
        <f>_xlfn.XLOOKUP(Tableau119[[#This Row],[Key(ID-date)]],'DATA BTO'!S:S,'DATA BTO'!H:H,FALSE)</f>
        <v>0</v>
      </c>
      <c r="AF505" s="447" t="e">
        <f>IF(Tableau119[[#This Row],[First Day to POL]]&lt;=Tableau119[[#This Row],[Day Cut Off]],Tableau119[[#This Row],[Day ETD]],Tableau119[[#This Row],[Day ETD]]+7)</f>
        <v>#N/A</v>
      </c>
      <c r="AG505" s="50" t="b">
        <f>_xlfn.XLOOKUP(Tableau119[[#This Row],[Key(ID-date)]],'DATA BTO'!S:S,'DATA BTO'!I:I,FALSE)</f>
        <v>0</v>
      </c>
      <c r="AH505" s="3" t="b">
        <f>_xlfn.XLOOKUP(Tableau119[[#This Row],[Key(ID-date)]],'DATA BTO'!S:S,'DATA BTO'!J:J,FALSE)</f>
        <v>0</v>
      </c>
      <c r="AI505" s="3" t="b">
        <f>_xlfn.XLOOKUP(Tableau119[[#This Row],[Key(ID-date)]],'DATA BTO'!S:S,'DATA BTO'!K:K,FALSE)</f>
        <v>0</v>
      </c>
      <c r="AJ505" s="50" t="b">
        <f>_xlfn.XLOOKUP(Tableau119[[#This Row],[Key(ID-date)]],'DATA BTO'!S:S,'DATA BTO'!L:L,FALSE)</f>
        <v>0</v>
      </c>
      <c r="AK505" s="53" t="b">
        <f>_xlfn.XLOOKUP(Tableau119[[#This Row],[Key(ID-date)]],'DATA BTO'!S:S,'DATA BTO'!N:N,FALSE)</f>
        <v>0</v>
      </c>
      <c r="AL505" s="54" t="e">
        <f>VLOOKUP(Tableau119[[#This Row],[Key(POD -PFI- Usine)]],'DATA Consignee'!A:F,6,FALSE)</f>
        <v>#N/A</v>
      </c>
      <c r="AM505" s="284" t="s">
        <v>155</v>
      </c>
      <c r="AN505" s="376">
        <f>IF(Tableau119[[#This Row],[Name PFI/CDD]]="","-",VLOOKUP(Tableau119[[#This Row],[Name PFI/CDD]],Plant_AILN!I:J,2,FALSE))</f>
        <v>90016600</v>
      </c>
      <c r="AO50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5" s="2" t="e">
        <f>VLOOKUP(Tableau119[[#This Row],[Key(POD -PFI- Usine)]],'DATA Consignee'!A:J,10,FALSE)</f>
        <v>#N/A</v>
      </c>
      <c r="AR505" s="50" t="e">
        <f>VLOOKUP(Tableau119[[#This Row],[Key(POD -PFI- Usine)]],'DATA Consignee'!A:N,14,FALSE)</f>
        <v>#N/A</v>
      </c>
      <c r="AS5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5" s="50">
        <f>Tableau119[[#This Row],[Transit time]]+Tableau119[[#This Row],[Time for security]]+Tableau119[[#This Row],[Time for security2 buffer]]</f>
        <v>0</v>
      </c>
      <c r="AV5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5" s="50" t="e">
        <f>Tableau119[[#This Row],[Leadtime SI2C]]+Tableau119[[#This Row],[First Receipt Days]]-Tableau119[[#This Row],[Day Customer Order]]+1</f>
        <v>#N/A</v>
      </c>
      <c r="AX505" s="119" t="e">
        <f>IF(Tableau119[[#This Row],[Name ILN]]&lt;&gt;"SFK Freight Forwarder",Tableau119[[#This Row],[Cust. Leadtime]],Tableau119[[#This Row],[Leadtime SI2C]])</f>
        <v>#N/A</v>
      </c>
      <c r="AY505" s="51" t="b">
        <f>_xlfn.XLOOKUP(Tableau119[[#This Row],[Key(ID-date)]],'DATA BTO'!S:S,'DATA BTO'!P:P,FALSE)</f>
        <v>0</v>
      </c>
      <c r="AZ505" s="338">
        <v>45382</v>
      </c>
      <c r="BA505" s="50"/>
    </row>
    <row r="506" spans="2:53">
      <c r="B506" s="446" t="str">
        <f>_xlfn.CONCAT(Tableau119[[#This Row],[Name ILN]],"-",Tableau119[[#This Row],[Name Shipper]],"-",Tableau119[[#This Row],[Name Site]])</f>
        <v>ILN Curitiba-ILN Curitiba-SANDOUVILLE</v>
      </c>
      <c r="C506" s="66" t="str">
        <f>_xlfn.CONCAT(Tableau119[[#This Row],[Compte ILN]],"-",Tableau119[[#This Row],[Compte Shipper]],"-",Tableau119[[#This Row],[POL]],"-",Tableau119[[#This Row],[Compte Consignee]])</f>
        <v>95207-95207-FALSO-90017100</v>
      </c>
      <c r="D506" s="66" t="str">
        <f>_xlfn.CONCAT(Tableau119[[#This Row],[Compte ILN]],"-",Tableau119[[#This Row],[Compte Shipper]],"-",Tableau119[[#This Row],[POL]])</f>
        <v>95207-95207-FALSO</v>
      </c>
      <c r="E506" s="130" t="str">
        <f>_xlfn.CONCAT(Tableau119[[#This Row],[POL]],"-",Tableau119[[#This Row],[Carrier]],"-",Tableau119[[#This Row],[POD]])</f>
        <v>FALSO-FALSO-FALSO</v>
      </c>
      <c r="F506" s="66" t="str">
        <f>_xlfn.CONCAT(Tableau119[[#This Row],[ID]],"-","Actif")</f>
        <v>163-Actif</v>
      </c>
      <c r="G506" s="66" t="str">
        <f>_xlfn.CONCAT(Tableau119[[#This Row],[POD]],"-",Tableau119[[#This Row],[Code PFI]],"-",Tableau119[[#This Row],[Compte Consignee]])</f>
        <v>FALSO-90016600-90017100</v>
      </c>
      <c r="H5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CuritibaFALSOSANDOUVILLE</v>
      </c>
      <c r="I506" s="434" t="str">
        <f>_xlfn.CONCAT(Tableau119[[#This Row],[ID]],"-",Tableau119[[#This Row],[Expiration Date]])</f>
        <v>163-45382</v>
      </c>
      <c r="J5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Curitiba-ILN Curitiba-163-FALSO-FALSO-FALSO-CDD FR-45382</v>
      </c>
      <c r="K506" s="119" t="str">
        <f ca="1">IF(COUNTIF(J:J,Tableau119[[#This Row],[Plant-ILN-shipper-POL-Carrier-POD-PFI]])=1,"Non","Oui")</f>
        <v>Non</v>
      </c>
      <c r="L506" s="128" t="str">
        <f>VLOOKUP(Tableau119[[#This Row],[Name Site]],Plant_AILN!A:D,4,FALSE)</f>
        <v>FRANCE</v>
      </c>
      <c r="M506" s="411" t="s">
        <v>196</v>
      </c>
      <c r="N506" s="454">
        <f>VLOOKUP(Tableau119[[#This Row],[Name Site]],Plant_AILN!A:C,3,FALSE)</f>
        <v>90017100</v>
      </c>
      <c r="O506" s="55">
        <f>VLOOKUP(Tableau119[[#This Row],[Compte Consignee]],Order!C:D,2,FALSE)</f>
        <v>7</v>
      </c>
      <c r="P506" s="124" t="s">
        <v>163</v>
      </c>
      <c r="Q506" s="365">
        <f>VLOOKUP(Tableau119[[#This Row],[Name ILN]],Plant_AILN!F:G,2,FALSE)</f>
        <v>95207</v>
      </c>
      <c r="R506" s="50">
        <f>VLOOKUP(Tableau119[[#This Row],[Compte ILN]],'DATA ILN'!D:I,6,FALSE)</f>
        <v>9</v>
      </c>
      <c r="S506" s="50" t="e">
        <f>IFERROR(VLOOKUP(Tableau119[[#This Row],[Key(Compte ILN - shipper - POL - plant)]],'DATA ILN'!A:J,10,FALSE),VLOOKUP(Tableau119[[#This Row],[Key(Compte ILN - shipper - POL)]],'DATA ILN'!B:J,9,FALSE))</f>
        <v>#N/A</v>
      </c>
      <c r="T506" s="50" t="e">
        <f>IFERROR(VLOOKUP(Tableau119[[#This Row],[Key(Compte ILN - shipper - POL - plant)]],'DATA ILN'!A:K,11,FALSE),VLOOKUP(Tableau119[[#This Row],[Key(Compte ILN - shipper - POL)]],'DATA ILN'!B:K,10,FALSE))</f>
        <v>#N/A</v>
      </c>
      <c r="U506" s="50" t="e">
        <f>IFERROR(VLOOKUP(Tableau119[[#This Row],[Key(Compte ILN - shipper - POL - plant)]],'DATA ILN'!A:L,12,FALSE),VLOOKUP(Tableau119[[#This Row],[Key(Compte ILN - shipper - POL)]],'DATA ILN'!B:L,11,FALSE))</f>
        <v>#N/A</v>
      </c>
      <c r="V506" s="50" t="e">
        <f>Tableau119[[#This Row],[Day ILN Order]]+Tableau119[[#This Row],[Delivery time to ILN/Shipper]]-1</f>
        <v>#N/A</v>
      </c>
      <c r="W506" s="50" t="e">
        <f>IFERROR(VLOOKUP(Tableau119[[#This Row],[Key(Compte ILN - shipper - POL - plant)]],'DATA ILN'!A:N,14,FALSE),VLOOKUP(Tableau119[[#This Row],[Key(Compte ILN - shipper - POL)]],'DATA ILN'!B:N,13,FALSE))</f>
        <v>#N/A</v>
      </c>
      <c r="X506" s="50" t="e">
        <f>IFERROR(VLOOKUP(Tableau119[[#This Row],[Key(Compte ILN - shipper - POL - plant)]],'DATA ILN'!A:P,16,FALSE),VLOOKUP(Tableau119[[#This Row],[Key(Compte ILN - shipper - POL)]],'DATA ILN'!B:P,15,FALSE))</f>
        <v>#N/A</v>
      </c>
      <c r="Y506" s="284" t="s">
        <v>163</v>
      </c>
      <c r="Z506" s="430">
        <f>IFERROR(VLOOKUP(Tableau119[[#This Row],[Name Shipper]],Plant_AILN!L:M,2,FALSE),0)</f>
        <v>95207</v>
      </c>
      <c r="AA506" s="406">
        <v>163</v>
      </c>
      <c r="AB506" s="396" t="b">
        <f>_xlfn.XLOOKUP(Tableau119[[#This Row],[Key(ID-date)]],'DATA BTO'!S:S,'DATA BTO'!E:E,FALSE)</f>
        <v>0</v>
      </c>
      <c r="AC506" s="3" t="b">
        <f>_xlfn.XLOOKUP(Tableau119[[#This Row],[Key(ID-date)]],'DATA BTO'!S:S,'DATA BTO'!F:F,FALSE)</f>
        <v>0</v>
      </c>
      <c r="AD506" s="50" t="b">
        <f>_xlfn.XLOOKUP(Tableau119[[#This Row],[Key(ID-date)]],'DATA BTO'!S:S,'DATA BTO'!G:G,FALSE)</f>
        <v>0</v>
      </c>
      <c r="AE506" s="50" t="b">
        <f>_xlfn.XLOOKUP(Tableau119[[#This Row],[Key(ID-date)]],'DATA BTO'!S:S,'DATA BTO'!H:H,FALSE)</f>
        <v>0</v>
      </c>
      <c r="AF506" s="447" t="e">
        <f>IF(Tableau119[[#This Row],[First Day to POL]]&lt;=Tableau119[[#This Row],[Day Cut Off]],Tableau119[[#This Row],[Day ETD]],Tableau119[[#This Row],[Day ETD]]+7)</f>
        <v>#N/A</v>
      </c>
      <c r="AG506" s="50" t="b">
        <f>_xlfn.XLOOKUP(Tableau119[[#This Row],[Key(ID-date)]],'DATA BTO'!S:S,'DATA BTO'!I:I,FALSE)</f>
        <v>0</v>
      </c>
      <c r="AH506" s="3" t="b">
        <f>_xlfn.XLOOKUP(Tableau119[[#This Row],[Key(ID-date)]],'DATA BTO'!S:S,'DATA BTO'!J:J,FALSE)</f>
        <v>0</v>
      </c>
      <c r="AI506" s="3" t="b">
        <f>_xlfn.XLOOKUP(Tableau119[[#This Row],[Key(ID-date)]],'DATA BTO'!S:S,'DATA BTO'!K:K,FALSE)</f>
        <v>0</v>
      </c>
      <c r="AJ506" s="50" t="b">
        <f>_xlfn.XLOOKUP(Tableau119[[#This Row],[Key(ID-date)]],'DATA BTO'!S:S,'DATA BTO'!L:L,FALSE)</f>
        <v>0</v>
      </c>
      <c r="AK506" s="53" t="b">
        <f>_xlfn.XLOOKUP(Tableau119[[#This Row],[Key(ID-date)]],'DATA BTO'!S:S,'DATA BTO'!N:N,FALSE)</f>
        <v>0</v>
      </c>
      <c r="AL506" s="54" t="e">
        <f>VLOOKUP(Tableau119[[#This Row],[Key(POD -PFI- Usine)]],'DATA Consignee'!A:F,6,FALSE)</f>
        <v>#N/A</v>
      </c>
      <c r="AM506" s="284" t="s">
        <v>155</v>
      </c>
      <c r="AN506" s="376">
        <f>IF(Tableau119[[#This Row],[Name PFI/CDD]]="","-",VLOOKUP(Tableau119[[#This Row],[Name PFI/CDD]],Plant_AILN!I:J,2,FALSE))</f>
        <v>90016600</v>
      </c>
      <c r="AO50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6" s="2" t="e">
        <f>VLOOKUP(Tableau119[[#This Row],[Key(POD -PFI- Usine)]],'DATA Consignee'!A:J,10,FALSE)</f>
        <v>#N/A</v>
      </c>
      <c r="AR506" s="50" t="e">
        <f>VLOOKUP(Tableau119[[#This Row],[Key(POD -PFI- Usine)]],'DATA Consignee'!A:N,14,FALSE)</f>
        <v>#N/A</v>
      </c>
      <c r="AS50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6" s="50">
        <f>Tableau119[[#This Row],[Transit time]]+Tableau119[[#This Row],[Time for security]]+Tableau119[[#This Row],[Time for security2 buffer]]</f>
        <v>0</v>
      </c>
      <c r="AV5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6" s="50" t="e">
        <f>Tableau119[[#This Row],[Leadtime SI2C]]+Tableau119[[#This Row],[First Receipt Days]]-Tableau119[[#This Row],[Day Customer Order]]+1</f>
        <v>#N/A</v>
      </c>
      <c r="AX506" s="119" t="e">
        <f>IF(Tableau119[[#This Row],[Name ILN]]&lt;&gt;"SFK Freight Forwarder",Tableau119[[#This Row],[Cust. Leadtime]],Tableau119[[#This Row],[Leadtime SI2C]])</f>
        <v>#N/A</v>
      </c>
      <c r="AY506" s="51" t="b">
        <f>_xlfn.XLOOKUP(Tableau119[[#This Row],[Key(ID-date)]],'DATA BTO'!S:S,'DATA BTO'!P:P,FALSE)</f>
        <v>0</v>
      </c>
      <c r="AZ506" s="338">
        <v>45382</v>
      </c>
      <c r="BA506" s="50"/>
    </row>
    <row r="507" spans="2:53">
      <c r="B507" s="446" t="str">
        <f>_xlfn.CONCAT(Tableau119[[#This Row],[Name ILN]],"-",Tableau119[[#This Row],[Name Shipper]],"-",Tableau119[[#This Row],[Name Site]])</f>
        <v>ILN Curitiba-ILN Curitiba-ALPINE</v>
      </c>
      <c r="C507" s="66" t="str">
        <f>_xlfn.CONCAT(Tableau119[[#This Row],[Compte ILN]],"-",Tableau119[[#This Row],[Compte Shipper]],"-",Tableau119[[#This Row],[POL]],"-",Tableau119[[#This Row],[Compte Consignee]])</f>
        <v>95207-95207-FALSO-90018300</v>
      </c>
      <c r="D507" s="66" t="str">
        <f>_xlfn.CONCAT(Tableau119[[#This Row],[Compte ILN]],"-",Tableau119[[#This Row],[Compte Shipper]],"-",Tableau119[[#This Row],[POL]])</f>
        <v>95207-95207-FALSO</v>
      </c>
      <c r="E507" s="130" t="str">
        <f>_xlfn.CONCAT(Tableau119[[#This Row],[POL]],"-",Tableau119[[#This Row],[Carrier]],"-",Tableau119[[#This Row],[POD]])</f>
        <v>FALSO-FALSO-FALSO</v>
      </c>
      <c r="F507" s="66" t="str">
        <f>_xlfn.CONCAT(Tableau119[[#This Row],[ID]],"-","Actif")</f>
        <v>163-Actif</v>
      </c>
      <c r="G507" s="66" t="str">
        <f>_xlfn.CONCAT(Tableau119[[#This Row],[POD]],"-",Tableau119[[#This Row],[Code PFI]],"-",Tableau119[[#This Row],[Compte Consignee]])</f>
        <v>FALSO-90016600-90018300</v>
      </c>
      <c r="H5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CuritibaFALSOALPINE</v>
      </c>
      <c r="I507" s="434" t="str">
        <f>_xlfn.CONCAT(Tableau119[[#This Row],[ID]],"-",Tableau119[[#This Row],[Expiration Date]])</f>
        <v>163-45382</v>
      </c>
      <c r="J5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Curitiba-ILN Curitiba-163-FALSO-FALSO-FALSO-CDD FR-45382</v>
      </c>
      <c r="K507" s="119" t="str">
        <f ca="1">IF(COUNTIF(J:J,Tableau119[[#This Row],[Plant-ILN-shipper-POL-Carrier-POD-PFI]])=1,"Non","Oui")</f>
        <v>Non</v>
      </c>
      <c r="L507" s="128" t="str">
        <f>VLOOKUP(Tableau119[[#This Row],[Name Site]],Plant_AILN!A:D,4,FALSE)</f>
        <v>FRANCE</v>
      </c>
      <c r="M507" s="411" t="s">
        <v>220</v>
      </c>
      <c r="N507" s="454">
        <f>VLOOKUP(Tableau119[[#This Row],[Name Site]],Plant_AILN!A:C,3,FALSE)</f>
        <v>90018300</v>
      </c>
      <c r="O507" s="55">
        <f>VLOOKUP(Tableau119[[#This Row],[Compte Consignee]],Order!C:D,2,FALSE)</f>
        <v>7</v>
      </c>
      <c r="P507" s="124" t="s">
        <v>163</v>
      </c>
      <c r="Q507" s="365">
        <f>VLOOKUP(Tableau119[[#This Row],[Name ILN]],Plant_AILN!F:G,2,FALSE)</f>
        <v>95207</v>
      </c>
      <c r="R507" s="50">
        <f>VLOOKUP(Tableau119[[#This Row],[Compte ILN]],'DATA ILN'!D:I,6,FALSE)</f>
        <v>9</v>
      </c>
      <c r="S507" s="50" t="e">
        <f>IFERROR(VLOOKUP(Tableau119[[#This Row],[Key(Compte ILN - shipper - POL - plant)]],'DATA ILN'!A:J,10,FALSE),VLOOKUP(Tableau119[[#This Row],[Key(Compte ILN - shipper - POL)]],'DATA ILN'!B:J,9,FALSE))</f>
        <v>#N/A</v>
      </c>
      <c r="T507" s="50" t="e">
        <f>IFERROR(VLOOKUP(Tableau119[[#This Row],[Key(Compte ILN - shipper - POL - plant)]],'DATA ILN'!A:K,11,FALSE),VLOOKUP(Tableau119[[#This Row],[Key(Compte ILN - shipper - POL)]],'DATA ILN'!B:K,10,FALSE))</f>
        <v>#N/A</v>
      </c>
      <c r="U507" s="50" t="e">
        <f>IFERROR(VLOOKUP(Tableau119[[#This Row],[Key(Compte ILN - shipper - POL - plant)]],'DATA ILN'!A:L,12,FALSE),VLOOKUP(Tableau119[[#This Row],[Key(Compte ILN - shipper - POL)]],'DATA ILN'!B:L,11,FALSE))</f>
        <v>#N/A</v>
      </c>
      <c r="V507" s="50" t="e">
        <f>Tableau119[[#This Row],[Day ILN Order]]+Tableau119[[#This Row],[Delivery time to ILN/Shipper]]-1</f>
        <v>#N/A</v>
      </c>
      <c r="W507" s="50" t="e">
        <f>IFERROR(VLOOKUP(Tableau119[[#This Row],[Key(Compte ILN - shipper - POL - plant)]],'DATA ILN'!A:N,14,FALSE),VLOOKUP(Tableau119[[#This Row],[Key(Compte ILN - shipper - POL)]],'DATA ILN'!B:N,13,FALSE))</f>
        <v>#N/A</v>
      </c>
      <c r="X507" s="50" t="e">
        <f>IFERROR(VLOOKUP(Tableau119[[#This Row],[Key(Compte ILN - shipper - POL - plant)]],'DATA ILN'!A:P,16,FALSE),VLOOKUP(Tableau119[[#This Row],[Key(Compte ILN - shipper - POL)]],'DATA ILN'!B:P,15,FALSE))</f>
        <v>#N/A</v>
      </c>
      <c r="Y507" s="284" t="s">
        <v>163</v>
      </c>
      <c r="Z507" s="430">
        <f>IFERROR(VLOOKUP(Tableau119[[#This Row],[Name Shipper]],Plant_AILN!L:M,2,FALSE),0)</f>
        <v>95207</v>
      </c>
      <c r="AA507" s="406">
        <v>163</v>
      </c>
      <c r="AB507" s="396" t="b">
        <f>_xlfn.XLOOKUP(Tableau119[[#This Row],[Key(ID-date)]],'DATA BTO'!S:S,'DATA BTO'!E:E,FALSE)</f>
        <v>0</v>
      </c>
      <c r="AC507" s="3" t="b">
        <f>_xlfn.XLOOKUP(Tableau119[[#This Row],[Key(ID-date)]],'DATA BTO'!S:S,'DATA BTO'!F:F,FALSE)</f>
        <v>0</v>
      </c>
      <c r="AD507" s="50" t="b">
        <f>_xlfn.XLOOKUP(Tableau119[[#This Row],[Key(ID-date)]],'DATA BTO'!S:S,'DATA BTO'!G:G,FALSE)</f>
        <v>0</v>
      </c>
      <c r="AE507" s="50" t="b">
        <f>_xlfn.XLOOKUP(Tableau119[[#This Row],[Key(ID-date)]],'DATA BTO'!S:S,'DATA BTO'!H:H,FALSE)</f>
        <v>0</v>
      </c>
      <c r="AF507" s="447" t="e">
        <f>IF(Tableau119[[#This Row],[First Day to POL]]&lt;=Tableau119[[#This Row],[Day Cut Off]],Tableau119[[#This Row],[Day ETD]],Tableau119[[#This Row],[Day ETD]]+7)</f>
        <v>#N/A</v>
      </c>
      <c r="AG507" s="50" t="b">
        <f>_xlfn.XLOOKUP(Tableau119[[#This Row],[Key(ID-date)]],'DATA BTO'!S:S,'DATA BTO'!I:I,FALSE)</f>
        <v>0</v>
      </c>
      <c r="AH507" s="3" t="b">
        <f>_xlfn.XLOOKUP(Tableau119[[#This Row],[Key(ID-date)]],'DATA BTO'!S:S,'DATA BTO'!J:J,FALSE)</f>
        <v>0</v>
      </c>
      <c r="AI507" s="3" t="b">
        <f>_xlfn.XLOOKUP(Tableau119[[#This Row],[Key(ID-date)]],'DATA BTO'!S:S,'DATA BTO'!K:K,FALSE)</f>
        <v>0</v>
      </c>
      <c r="AJ507" s="50" t="b">
        <f>_xlfn.XLOOKUP(Tableau119[[#This Row],[Key(ID-date)]],'DATA BTO'!S:S,'DATA BTO'!L:L,FALSE)</f>
        <v>0</v>
      </c>
      <c r="AK507" s="53" t="b">
        <f>_xlfn.XLOOKUP(Tableau119[[#This Row],[Key(ID-date)]],'DATA BTO'!S:S,'DATA BTO'!N:N,FALSE)</f>
        <v>0</v>
      </c>
      <c r="AL507" s="54" t="e">
        <f>VLOOKUP(Tableau119[[#This Row],[Key(POD -PFI- Usine)]],'DATA Consignee'!A:F,6,FALSE)</f>
        <v>#N/A</v>
      </c>
      <c r="AM507" s="284" t="s">
        <v>155</v>
      </c>
      <c r="AN507" s="376">
        <f>IF(Tableau119[[#This Row],[Name PFI/CDD]]="","-",VLOOKUP(Tableau119[[#This Row],[Name PFI/CDD]],Plant_AILN!I:J,2,FALSE))</f>
        <v>90016600</v>
      </c>
      <c r="AO50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7" s="2" t="e">
        <f>VLOOKUP(Tableau119[[#This Row],[Key(POD -PFI- Usine)]],'DATA Consignee'!A:J,10,FALSE)</f>
        <v>#N/A</v>
      </c>
      <c r="AR507" s="50" t="e">
        <f>VLOOKUP(Tableau119[[#This Row],[Key(POD -PFI- Usine)]],'DATA Consignee'!A:N,14,FALSE)</f>
        <v>#N/A</v>
      </c>
      <c r="AS50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7" s="50">
        <f>Tableau119[[#This Row],[Transit time]]+Tableau119[[#This Row],[Time for security]]+Tableau119[[#This Row],[Time for security2 buffer]]</f>
        <v>0</v>
      </c>
      <c r="AV5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7" s="50" t="e">
        <f>Tableau119[[#This Row],[Leadtime SI2C]]+Tableau119[[#This Row],[First Receipt Days]]-Tableau119[[#This Row],[Day Customer Order]]+1</f>
        <v>#N/A</v>
      </c>
      <c r="AX507" s="119" t="e">
        <f>IF(Tableau119[[#This Row],[Name ILN]]&lt;&gt;"SFK Freight Forwarder",Tableau119[[#This Row],[Cust. Leadtime]],Tableau119[[#This Row],[Leadtime SI2C]])</f>
        <v>#N/A</v>
      </c>
      <c r="AY507" s="51" t="b">
        <f>_xlfn.XLOOKUP(Tableau119[[#This Row],[Key(ID-date)]],'DATA BTO'!S:S,'DATA BTO'!P:P,FALSE)</f>
        <v>0</v>
      </c>
      <c r="AZ507" s="338">
        <v>45382</v>
      </c>
      <c r="BA507" s="50"/>
    </row>
    <row r="508" spans="2:53">
      <c r="B508" s="446" t="str">
        <f>_xlfn.CONCAT(Tableau119[[#This Row],[Name ILN]],"-",Tableau119[[#This Row],[Name Shipper]],"-",Tableau119[[#This Row],[Name Site]])</f>
        <v>ILN Curitiba-ILN Curitiba-STA</v>
      </c>
      <c r="C508" s="66" t="str">
        <f>_xlfn.CONCAT(Tableau119[[#This Row],[Compte ILN]],"-",Tableau119[[#This Row],[Compte Shipper]],"-",Tableau119[[#This Row],[POL]],"-",Tableau119[[#This Row],[Compte Consignee]])</f>
        <v>95207-95207-FALSO-90018400</v>
      </c>
      <c r="D508" s="66" t="str">
        <f>_xlfn.CONCAT(Tableau119[[#This Row],[Compte ILN]],"-",Tableau119[[#This Row],[Compte Shipper]],"-",Tableau119[[#This Row],[POL]])</f>
        <v>95207-95207-FALSO</v>
      </c>
      <c r="E508" s="130" t="str">
        <f>_xlfn.CONCAT(Tableau119[[#This Row],[POL]],"-",Tableau119[[#This Row],[Carrier]],"-",Tableau119[[#This Row],[POD]])</f>
        <v>FALSO-FALSO-FALSO</v>
      </c>
      <c r="F508" s="66" t="str">
        <f>_xlfn.CONCAT(Tableau119[[#This Row],[ID]],"-","Actif")</f>
        <v>163-Actif</v>
      </c>
      <c r="G508" s="66" t="str">
        <f>_xlfn.CONCAT(Tableau119[[#This Row],[POD]],"-",Tableau119[[#This Row],[Code PFI]],"-",Tableau119[[#This Row],[Compte Consignee]])</f>
        <v>FALSO-90016600-90018400</v>
      </c>
      <c r="H5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CuritibaFALSOSTA</v>
      </c>
      <c r="I508" s="434" t="str">
        <f>_xlfn.CONCAT(Tableau119[[#This Row],[ID]],"-",Tableau119[[#This Row],[Expiration Date]])</f>
        <v>163-45382</v>
      </c>
      <c r="J5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Curitiba-ILN Curitiba-163-FALSO-FALSO-FALSO-CDD FR-45382</v>
      </c>
      <c r="K508" s="119" t="str">
        <f ca="1">IF(COUNTIF(J:J,Tableau119[[#This Row],[Plant-ILN-shipper-POL-Carrier-POD-PFI]])=1,"Non","Oui")</f>
        <v>Non</v>
      </c>
      <c r="L508" s="128" t="str">
        <f>VLOOKUP(Tableau119[[#This Row],[Name Site]],Plant_AILN!A:D,4,FALSE)</f>
        <v>FRANCE</v>
      </c>
      <c r="M508" s="415" t="s">
        <v>219</v>
      </c>
      <c r="N508" s="455">
        <f>VLOOKUP(Tableau119[[#This Row],[Name Site]],Plant_AILN!A:C,3,FALSE)</f>
        <v>90018400</v>
      </c>
      <c r="O508" s="104">
        <f>VLOOKUP(Tableau119[[#This Row],[Compte Consignee]],Order!C:D,2,FALSE)</f>
        <v>7</v>
      </c>
      <c r="P508" s="126" t="s">
        <v>163</v>
      </c>
      <c r="Q508" s="366">
        <f>VLOOKUP(Tableau119[[#This Row],[Name ILN]],Plant_AILN!F:G,2,FALSE)</f>
        <v>95207</v>
      </c>
      <c r="R508" s="81">
        <f>VLOOKUP(Tableau119[[#This Row],[Compte ILN]],'DATA ILN'!D:I,6,FALSE)</f>
        <v>9</v>
      </c>
      <c r="S508" s="81" t="e">
        <f>IFERROR(VLOOKUP(Tableau119[[#This Row],[Key(Compte ILN - shipper - POL - plant)]],'DATA ILN'!A:J,10,FALSE),VLOOKUP(Tableau119[[#This Row],[Key(Compte ILN - shipper - POL)]],'DATA ILN'!B:J,9,FALSE))</f>
        <v>#N/A</v>
      </c>
      <c r="T508" s="81" t="e">
        <f>IFERROR(VLOOKUP(Tableau119[[#This Row],[Key(Compte ILN - shipper - POL - plant)]],'DATA ILN'!A:K,11,FALSE),VLOOKUP(Tableau119[[#This Row],[Key(Compte ILN - shipper - POL)]],'DATA ILN'!B:K,10,FALSE))</f>
        <v>#N/A</v>
      </c>
      <c r="U508" s="81" t="e">
        <f>IFERROR(VLOOKUP(Tableau119[[#This Row],[Key(Compte ILN - shipper - POL - plant)]],'DATA ILN'!A:L,12,FALSE),VLOOKUP(Tableau119[[#This Row],[Key(Compte ILN - shipper - POL)]],'DATA ILN'!B:L,11,FALSE))</f>
        <v>#N/A</v>
      </c>
      <c r="V508" s="81" t="e">
        <f>Tableau119[[#This Row],[Day ILN Order]]+Tableau119[[#This Row],[Delivery time to ILN/Shipper]]-1</f>
        <v>#N/A</v>
      </c>
      <c r="W508" s="81" t="e">
        <f>IFERROR(VLOOKUP(Tableau119[[#This Row],[Key(Compte ILN - shipper - POL - plant)]],'DATA ILN'!A:N,14,FALSE),VLOOKUP(Tableau119[[#This Row],[Key(Compte ILN - shipper - POL)]],'DATA ILN'!B:N,13,FALSE))</f>
        <v>#N/A</v>
      </c>
      <c r="X508" s="81" t="e">
        <f>IFERROR(VLOOKUP(Tableau119[[#This Row],[Key(Compte ILN - shipper - POL - plant)]],'DATA ILN'!A:P,16,FALSE),VLOOKUP(Tableau119[[#This Row],[Key(Compte ILN - shipper - POL)]],'DATA ILN'!B:P,15,FALSE))</f>
        <v>#N/A</v>
      </c>
      <c r="Y508" s="102" t="s">
        <v>163</v>
      </c>
      <c r="Z508" s="417">
        <f>IFERROR(VLOOKUP(Tableau119[[#This Row],[Name Shipper]],Plant_AILN!L:M,2,FALSE),0)</f>
        <v>95207</v>
      </c>
      <c r="AA508" s="416">
        <v>163</v>
      </c>
      <c r="AB508" s="396" t="b">
        <f>_xlfn.XLOOKUP(Tableau119[[#This Row],[Key(ID-date)]],'DATA BTO'!S:S,'DATA BTO'!E:E,FALSE)</f>
        <v>0</v>
      </c>
      <c r="AC508" s="3" t="b">
        <f>_xlfn.XLOOKUP(Tableau119[[#This Row],[Key(ID-date)]],'DATA BTO'!S:S,'DATA BTO'!F:F,FALSE)</f>
        <v>0</v>
      </c>
      <c r="AD508" s="50" t="b">
        <f>_xlfn.XLOOKUP(Tableau119[[#This Row],[Key(ID-date)]],'DATA BTO'!S:S,'DATA BTO'!G:G,FALSE)</f>
        <v>0</v>
      </c>
      <c r="AE508" s="50" t="b">
        <f>_xlfn.XLOOKUP(Tableau119[[#This Row],[Key(ID-date)]],'DATA BTO'!S:S,'DATA BTO'!H:H,FALSE)</f>
        <v>0</v>
      </c>
      <c r="AF508" s="447" t="e">
        <f>IF(Tableau119[[#This Row],[First Day to POL]]&lt;=Tableau119[[#This Row],[Day Cut Off]],Tableau119[[#This Row],[Day ETD]],Tableau119[[#This Row],[Day ETD]]+7)</f>
        <v>#N/A</v>
      </c>
      <c r="AG508" s="50" t="b">
        <f>_xlfn.XLOOKUP(Tableau119[[#This Row],[Key(ID-date)]],'DATA BTO'!S:S,'DATA BTO'!I:I,FALSE)</f>
        <v>0</v>
      </c>
      <c r="AH508" s="3" t="b">
        <f>_xlfn.XLOOKUP(Tableau119[[#This Row],[Key(ID-date)]],'DATA BTO'!S:S,'DATA BTO'!J:J,FALSE)</f>
        <v>0</v>
      </c>
      <c r="AI508" s="3" t="b">
        <f>_xlfn.XLOOKUP(Tableau119[[#This Row],[Key(ID-date)]],'DATA BTO'!S:S,'DATA BTO'!K:K,FALSE)</f>
        <v>0</v>
      </c>
      <c r="AJ508" s="50" t="b">
        <f>_xlfn.XLOOKUP(Tableau119[[#This Row],[Key(ID-date)]],'DATA BTO'!S:S,'DATA BTO'!L:L,FALSE)</f>
        <v>0</v>
      </c>
      <c r="AK508" s="53" t="b">
        <f>_xlfn.XLOOKUP(Tableau119[[#This Row],[Key(ID-date)]],'DATA BTO'!S:S,'DATA BTO'!N:N,FALSE)</f>
        <v>0</v>
      </c>
      <c r="AL508" s="54" t="e">
        <f>VLOOKUP(Tableau119[[#This Row],[Key(POD -PFI- Usine)]],'DATA Consignee'!A:F,6,FALSE)</f>
        <v>#N/A</v>
      </c>
      <c r="AM508" s="102" t="s">
        <v>155</v>
      </c>
      <c r="AN508" s="375">
        <f>IF(Tableau119[[#This Row],[Name PFI/CDD]]="","-",VLOOKUP(Tableau119[[#This Row],[Name PFI/CDD]],Plant_AILN!I:J,2,FALSE))</f>
        <v>90016600</v>
      </c>
      <c r="AO50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8" s="110" t="e">
        <f>VLOOKUP(Tableau119[[#This Row],[Key(POD -PFI- Usine)]],'DATA Consignee'!A:J,10,FALSE)</f>
        <v>#N/A</v>
      </c>
      <c r="AR508" s="81" t="e">
        <f>VLOOKUP(Tableau119[[#This Row],[Key(POD -PFI- Usine)]],'DATA Consignee'!A:N,14,FALSE)</f>
        <v>#N/A</v>
      </c>
      <c r="AS50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8" s="81">
        <f>Tableau119[[#This Row],[Transit time]]+Tableau119[[#This Row],[Time for security]]+Tableau119[[#This Row],[Time for security2 buffer]]</f>
        <v>0</v>
      </c>
      <c r="AV5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8" s="50" t="e">
        <f>Tableau119[[#This Row],[Leadtime SI2C]]+Tableau119[[#This Row],[First Receipt Days]]-Tableau119[[#This Row],[Day Customer Order]]+1</f>
        <v>#N/A</v>
      </c>
      <c r="AX508" s="119" t="e">
        <f>IF(Tableau119[[#This Row],[Name ILN]]&lt;&gt;"SFK Freight Forwarder",Tableau119[[#This Row],[Cust. Leadtime]],Tableau119[[#This Row],[Leadtime SI2C]])</f>
        <v>#N/A</v>
      </c>
      <c r="AY508" s="51" t="b">
        <f>_xlfn.XLOOKUP(Tableau119[[#This Row],[Key(ID-date)]],'DATA BTO'!S:S,'DATA BTO'!P:P,FALSE)</f>
        <v>0</v>
      </c>
      <c r="AZ508" s="388">
        <v>45382</v>
      </c>
      <c r="BA508" s="81"/>
    </row>
    <row r="509" spans="2:53">
      <c r="B509" s="446" t="str">
        <f>_xlfn.CONCAT(Tableau119[[#This Row],[Name ILN]],"-",Tableau119[[#This Row],[Name Shipper]],"-",Tableau119[[#This Row],[Name Site]])</f>
        <v>ILN Curitiba-ILN Curitiba-DOUAI</v>
      </c>
      <c r="C509" s="66" t="str">
        <f>_xlfn.CONCAT(Tableau119[[#This Row],[Compte ILN]],"-",Tableau119[[#This Row],[Compte Shipper]],"-",Tableau119[[#This Row],[POL]],"-",Tableau119[[#This Row],[Compte Consignee]])</f>
        <v>95207-95207-FALSO-90019100</v>
      </c>
      <c r="D509" s="66" t="str">
        <f>_xlfn.CONCAT(Tableau119[[#This Row],[Compte ILN]],"-",Tableau119[[#This Row],[Compte Shipper]],"-",Tableau119[[#This Row],[POL]])</f>
        <v>95207-95207-FALSO</v>
      </c>
      <c r="E509" s="130" t="str">
        <f>_xlfn.CONCAT(Tableau119[[#This Row],[POL]],"-",Tableau119[[#This Row],[Carrier]],"-",Tableau119[[#This Row],[POD]])</f>
        <v>FALSO-FALSO-FALSO</v>
      </c>
      <c r="F509" s="66" t="str">
        <f>_xlfn.CONCAT(Tableau119[[#This Row],[ID]],"-","Actif")</f>
        <v>163-Actif</v>
      </c>
      <c r="G509" s="66" t="str">
        <f>_xlfn.CONCAT(Tableau119[[#This Row],[POD]],"-",Tableau119[[#This Row],[Code PFI]],"-",Tableau119[[#This Row],[Compte Consignee]])</f>
        <v>FALSO-90016600-90019100</v>
      </c>
      <c r="H5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CuritibaFALSODOUAI</v>
      </c>
      <c r="I509" s="434" t="str">
        <f>_xlfn.CONCAT(Tableau119[[#This Row],[ID]],"-",Tableau119[[#This Row],[Expiration Date]])</f>
        <v>163-45382</v>
      </c>
      <c r="J5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Curitiba-ILN Curitiba-163-FALSO-FALSO-FALSO-CDD FR-45382</v>
      </c>
      <c r="K509" s="119" t="str">
        <f ca="1">IF(COUNTIF(J:J,Tableau119[[#This Row],[Plant-ILN-shipper-POL-Carrier-POD-PFI]])=1,"Non","Oui")</f>
        <v>Non</v>
      </c>
      <c r="L509" s="128" t="str">
        <f>VLOOKUP(Tableau119[[#This Row],[Name Site]],Plant_AILN!A:D,4,FALSE)</f>
        <v>FRANCE</v>
      </c>
      <c r="M509" s="411" t="s">
        <v>188</v>
      </c>
      <c r="N509" s="454">
        <f>VLOOKUP(Tableau119[[#This Row],[Name Site]],Plant_AILN!A:C,3,FALSE)</f>
        <v>90019100</v>
      </c>
      <c r="O509" s="55">
        <f>VLOOKUP(Tableau119[[#This Row],[Compte Consignee]],Order!C:D,2,FALSE)</f>
        <v>7</v>
      </c>
      <c r="P509" s="124" t="s">
        <v>163</v>
      </c>
      <c r="Q509" s="365">
        <f>VLOOKUP(Tableau119[[#This Row],[Name ILN]],Plant_AILN!F:G,2,FALSE)</f>
        <v>95207</v>
      </c>
      <c r="R509" s="50">
        <f>VLOOKUP(Tableau119[[#This Row],[Compte ILN]],'DATA ILN'!D:I,6,FALSE)</f>
        <v>9</v>
      </c>
      <c r="S509" s="50" t="e">
        <f>IFERROR(VLOOKUP(Tableau119[[#This Row],[Key(Compte ILN - shipper - POL - plant)]],'DATA ILN'!A:J,10,FALSE),VLOOKUP(Tableau119[[#This Row],[Key(Compte ILN - shipper - POL)]],'DATA ILN'!B:J,9,FALSE))</f>
        <v>#N/A</v>
      </c>
      <c r="T509" s="50" t="e">
        <f>IFERROR(VLOOKUP(Tableau119[[#This Row],[Key(Compte ILN - shipper - POL - plant)]],'DATA ILN'!A:K,11,FALSE),VLOOKUP(Tableau119[[#This Row],[Key(Compte ILN - shipper - POL)]],'DATA ILN'!B:K,10,FALSE))</f>
        <v>#N/A</v>
      </c>
      <c r="U509" s="50" t="e">
        <f>IFERROR(VLOOKUP(Tableau119[[#This Row],[Key(Compte ILN - shipper - POL - plant)]],'DATA ILN'!A:L,12,FALSE),VLOOKUP(Tableau119[[#This Row],[Key(Compte ILN - shipper - POL)]],'DATA ILN'!B:L,11,FALSE))</f>
        <v>#N/A</v>
      </c>
      <c r="V509" s="50" t="e">
        <f>Tableau119[[#This Row],[Day ILN Order]]+Tableau119[[#This Row],[Delivery time to ILN/Shipper]]-1</f>
        <v>#N/A</v>
      </c>
      <c r="W509" s="50" t="e">
        <f>IFERROR(VLOOKUP(Tableau119[[#This Row],[Key(Compte ILN - shipper - POL - plant)]],'DATA ILN'!A:N,14,FALSE),VLOOKUP(Tableau119[[#This Row],[Key(Compte ILN - shipper - POL)]],'DATA ILN'!B:N,13,FALSE))</f>
        <v>#N/A</v>
      </c>
      <c r="X509" s="50" t="e">
        <f>IFERROR(VLOOKUP(Tableau119[[#This Row],[Key(Compte ILN - shipper - POL - plant)]],'DATA ILN'!A:P,16,FALSE),VLOOKUP(Tableau119[[#This Row],[Key(Compte ILN - shipper - POL)]],'DATA ILN'!B:P,15,FALSE))</f>
        <v>#N/A</v>
      </c>
      <c r="Y509" s="284" t="s">
        <v>163</v>
      </c>
      <c r="Z509" s="430">
        <f>IFERROR(VLOOKUP(Tableau119[[#This Row],[Name Shipper]],Plant_AILN!L:M,2,FALSE),0)</f>
        <v>95207</v>
      </c>
      <c r="AA509" s="406">
        <v>163</v>
      </c>
      <c r="AB509" s="396" t="b">
        <f>_xlfn.XLOOKUP(Tableau119[[#This Row],[Key(ID-date)]],'DATA BTO'!S:S,'DATA BTO'!E:E,FALSE)</f>
        <v>0</v>
      </c>
      <c r="AC509" s="3" t="b">
        <f>_xlfn.XLOOKUP(Tableau119[[#This Row],[Key(ID-date)]],'DATA BTO'!S:S,'DATA BTO'!F:F,FALSE)</f>
        <v>0</v>
      </c>
      <c r="AD509" s="50" t="b">
        <f>_xlfn.XLOOKUP(Tableau119[[#This Row],[Key(ID-date)]],'DATA BTO'!S:S,'DATA BTO'!G:G,FALSE)</f>
        <v>0</v>
      </c>
      <c r="AE509" s="50" t="b">
        <f>_xlfn.XLOOKUP(Tableau119[[#This Row],[Key(ID-date)]],'DATA BTO'!S:S,'DATA BTO'!H:H,FALSE)</f>
        <v>0</v>
      </c>
      <c r="AF509" s="447" t="e">
        <f>IF(Tableau119[[#This Row],[First Day to POL]]&lt;=Tableau119[[#This Row],[Day Cut Off]],Tableau119[[#This Row],[Day ETD]],Tableau119[[#This Row],[Day ETD]]+7)</f>
        <v>#N/A</v>
      </c>
      <c r="AG509" s="50" t="b">
        <f>_xlfn.XLOOKUP(Tableau119[[#This Row],[Key(ID-date)]],'DATA BTO'!S:S,'DATA BTO'!I:I,FALSE)</f>
        <v>0</v>
      </c>
      <c r="AH509" s="3" t="b">
        <f>_xlfn.XLOOKUP(Tableau119[[#This Row],[Key(ID-date)]],'DATA BTO'!S:S,'DATA BTO'!J:J,FALSE)</f>
        <v>0</v>
      </c>
      <c r="AI509" s="3" t="b">
        <f>_xlfn.XLOOKUP(Tableau119[[#This Row],[Key(ID-date)]],'DATA BTO'!S:S,'DATA BTO'!K:K,FALSE)</f>
        <v>0</v>
      </c>
      <c r="AJ509" s="50" t="b">
        <f>_xlfn.XLOOKUP(Tableau119[[#This Row],[Key(ID-date)]],'DATA BTO'!S:S,'DATA BTO'!L:L,FALSE)</f>
        <v>0</v>
      </c>
      <c r="AK509" s="53" t="b">
        <f>_xlfn.XLOOKUP(Tableau119[[#This Row],[Key(ID-date)]],'DATA BTO'!S:S,'DATA BTO'!N:N,FALSE)</f>
        <v>0</v>
      </c>
      <c r="AL509" s="54" t="e">
        <f>VLOOKUP(Tableau119[[#This Row],[Key(POD -PFI- Usine)]],'DATA Consignee'!A:F,6,FALSE)</f>
        <v>#N/A</v>
      </c>
      <c r="AM509" s="284" t="s">
        <v>155</v>
      </c>
      <c r="AN509" s="376">
        <f>IF(Tableau119[[#This Row],[Name PFI/CDD]]="","-",VLOOKUP(Tableau119[[#This Row],[Name PFI/CDD]],Plant_AILN!I:J,2,FALSE))</f>
        <v>90016600</v>
      </c>
      <c r="AO50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0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09" s="2" t="e">
        <f>VLOOKUP(Tableau119[[#This Row],[Key(POD -PFI- Usine)]],'DATA Consignee'!A:J,10,FALSE)</f>
        <v>#N/A</v>
      </c>
      <c r="AR509" s="50" t="e">
        <f>VLOOKUP(Tableau119[[#This Row],[Key(POD -PFI- Usine)]],'DATA Consignee'!A:N,14,FALSE)</f>
        <v>#N/A</v>
      </c>
      <c r="AS5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09" s="50">
        <f>Tableau119[[#This Row],[Transit time]]+Tableau119[[#This Row],[Time for security]]+Tableau119[[#This Row],[Time for security2 buffer]]</f>
        <v>0</v>
      </c>
      <c r="AV5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09" s="50" t="e">
        <f>Tableau119[[#This Row],[Leadtime SI2C]]+Tableau119[[#This Row],[First Receipt Days]]-Tableau119[[#This Row],[Day Customer Order]]+1</f>
        <v>#N/A</v>
      </c>
      <c r="AX509" s="119" t="e">
        <f>IF(Tableau119[[#This Row],[Name ILN]]&lt;&gt;"SFK Freight Forwarder",Tableau119[[#This Row],[Cust. Leadtime]],Tableau119[[#This Row],[Leadtime SI2C]])</f>
        <v>#N/A</v>
      </c>
      <c r="AY509" s="51" t="b">
        <f>_xlfn.XLOOKUP(Tableau119[[#This Row],[Key(ID-date)]],'DATA BTO'!S:S,'DATA BTO'!P:P,FALSE)</f>
        <v>0</v>
      </c>
      <c r="AZ509" s="338">
        <v>45382</v>
      </c>
      <c r="BA509" s="50"/>
    </row>
    <row r="510" spans="2:53">
      <c r="B510" s="446" t="str">
        <f>_xlfn.CONCAT(Tableau119[[#This Row],[Name ILN]],"-",Tableau119[[#This Row],[Name Shipper]],"-",Tableau119[[#This Row],[Name Site]])</f>
        <v>ILN Curitiba-ILN Curitiba-PALENCIA</v>
      </c>
      <c r="C510" s="66" t="str">
        <f>_xlfn.CONCAT(Tableau119[[#This Row],[Compte ILN]],"-",Tableau119[[#This Row],[Compte Shipper]],"-",Tableau119[[#This Row],[POL]],"-",Tableau119[[#This Row],[Compte Consignee]])</f>
        <v>95207-95207-FALSO-91017200</v>
      </c>
      <c r="D510" s="66" t="str">
        <f>_xlfn.CONCAT(Tableau119[[#This Row],[Compte ILN]],"-",Tableau119[[#This Row],[Compte Shipper]],"-",Tableau119[[#This Row],[POL]])</f>
        <v>95207-95207-FALSO</v>
      </c>
      <c r="E510" s="130" t="str">
        <f>_xlfn.CONCAT(Tableau119[[#This Row],[POL]],"-",Tableau119[[#This Row],[Carrier]],"-",Tableau119[[#This Row],[POD]])</f>
        <v>FALSO-FALSO-FALSO</v>
      </c>
      <c r="F510" s="66" t="str">
        <f>_xlfn.CONCAT(Tableau119[[#This Row],[ID]],"-","Actif")</f>
        <v>163-Actif</v>
      </c>
      <c r="G510" s="66" t="str">
        <f>_xlfn.CONCAT(Tableau119[[#This Row],[POD]],"-",Tableau119[[#This Row],[Code PFI]],"-",Tableau119[[#This Row],[Compte Consignee]])</f>
        <v>FALSO-90016600-91017200</v>
      </c>
      <c r="H5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CuritibaFALSOPALENCIA</v>
      </c>
      <c r="I510" s="434" t="str">
        <f>_xlfn.CONCAT(Tableau119[[#This Row],[ID]],"-",Tableau119[[#This Row],[Expiration Date]])</f>
        <v>163-45382</v>
      </c>
      <c r="J5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Curitiba-ILN Curitiba-163-FALSO-FALSO-FALSO-CDD FR-45382</v>
      </c>
      <c r="K510" s="119" t="str">
        <f ca="1">IF(COUNTIF(J:J,Tableau119[[#This Row],[Plant-ILN-shipper-POL-Carrier-POD-PFI]])=1,"Non","Oui")</f>
        <v>Non</v>
      </c>
      <c r="L510" s="128" t="str">
        <f>VLOOKUP(Tableau119[[#This Row],[Name Site]],Plant_AILN!A:D,4,FALSE)</f>
        <v>SPAIN</v>
      </c>
      <c r="M510" s="411" t="s">
        <v>184</v>
      </c>
      <c r="N510" s="454">
        <f>VLOOKUP(Tableau119[[#This Row],[Name Site]],Plant_AILN!A:C,3,FALSE)</f>
        <v>91017200</v>
      </c>
      <c r="O510" s="55">
        <f>VLOOKUP(Tableau119[[#This Row],[Compte Consignee]],Order!C:D,2,FALSE)</f>
        <v>7</v>
      </c>
      <c r="P510" s="124" t="s">
        <v>163</v>
      </c>
      <c r="Q510" s="365">
        <f>VLOOKUP(Tableau119[[#This Row],[Name ILN]],Plant_AILN!F:G,2,FALSE)</f>
        <v>95207</v>
      </c>
      <c r="R510" s="50">
        <f>VLOOKUP(Tableau119[[#This Row],[Compte ILN]],'DATA ILN'!D:I,6,FALSE)</f>
        <v>9</v>
      </c>
      <c r="S510" s="50" t="e">
        <f>IFERROR(VLOOKUP(Tableau119[[#This Row],[Key(Compte ILN - shipper - POL - plant)]],'DATA ILN'!A:J,10,FALSE),VLOOKUP(Tableau119[[#This Row],[Key(Compte ILN - shipper - POL)]],'DATA ILN'!B:J,9,FALSE))</f>
        <v>#N/A</v>
      </c>
      <c r="T510" s="50" t="e">
        <f>IFERROR(VLOOKUP(Tableau119[[#This Row],[Key(Compte ILN - shipper - POL - plant)]],'DATA ILN'!A:K,11,FALSE),VLOOKUP(Tableau119[[#This Row],[Key(Compte ILN - shipper - POL)]],'DATA ILN'!B:K,10,FALSE))</f>
        <v>#N/A</v>
      </c>
      <c r="U510" s="50" t="e">
        <f>IFERROR(VLOOKUP(Tableau119[[#This Row],[Key(Compte ILN - shipper - POL - plant)]],'DATA ILN'!A:L,12,FALSE),VLOOKUP(Tableau119[[#This Row],[Key(Compte ILN - shipper - POL)]],'DATA ILN'!B:L,11,FALSE))</f>
        <v>#N/A</v>
      </c>
      <c r="V510" s="50" t="e">
        <f>Tableau119[[#This Row],[Day ILN Order]]+Tableau119[[#This Row],[Delivery time to ILN/Shipper]]-1</f>
        <v>#N/A</v>
      </c>
      <c r="W510" s="50" t="e">
        <f>IFERROR(VLOOKUP(Tableau119[[#This Row],[Key(Compte ILN - shipper - POL - plant)]],'DATA ILN'!A:N,14,FALSE),VLOOKUP(Tableau119[[#This Row],[Key(Compte ILN - shipper - POL)]],'DATA ILN'!B:N,13,FALSE))</f>
        <v>#N/A</v>
      </c>
      <c r="X510" s="50" t="e">
        <f>IFERROR(VLOOKUP(Tableau119[[#This Row],[Key(Compte ILN - shipper - POL - plant)]],'DATA ILN'!A:P,16,FALSE),VLOOKUP(Tableau119[[#This Row],[Key(Compte ILN - shipper - POL)]],'DATA ILN'!B:P,15,FALSE))</f>
        <v>#N/A</v>
      </c>
      <c r="Y510" s="284" t="s">
        <v>163</v>
      </c>
      <c r="Z510" s="430">
        <f>IFERROR(VLOOKUP(Tableau119[[#This Row],[Name Shipper]],Plant_AILN!L:M,2,FALSE),0)</f>
        <v>95207</v>
      </c>
      <c r="AA510" s="406">
        <v>163</v>
      </c>
      <c r="AB510" s="396" t="b">
        <f>_xlfn.XLOOKUP(Tableau119[[#This Row],[Key(ID-date)]],'DATA BTO'!S:S,'DATA BTO'!E:E,FALSE)</f>
        <v>0</v>
      </c>
      <c r="AC510" s="3" t="b">
        <f>_xlfn.XLOOKUP(Tableau119[[#This Row],[Key(ID-date)]],'DATA BTO'!S:S,'DATA BTO'!F:F,FALSE)</f>
        <v>0</v>
      </c>
      <c r="AD510" s="50" t="b">
        <f>_xlfn.XLOOKUP(Tableau119[[#This Row],[Key(ID-date)]],'DATA BTO'!S:S,'DATA BTO'!G:G,FALSE)</f>
        <v>0</v>
      </c>
      <c r="AE510" s="50" t="b">
        <f>_xlfn.XLOOKUP(Tableau119[[#This Row],[Key(ID-date)]],'DATA BTO'!S:S,'DATA BTO'!H:H,FALSE)</f>
        <v>0</v>
      </c>
      <c r="AF510" s="447" t="e">
        <f>IF(Tableau119[[#This Row],[First Day to POL]]&lt;=Tableau119[[#This Row],[Day Cut Off]],Tableau119[[#This Row],[Day ETD]],Tableau119[[#This Row],[Day ETD]]+7)</f>
        <v>#N/A</v>
      </c>
      <c r="AG510" s="50" t="b">
        <f>_xlfn.XLOOKUP(Tableau119[[#This Row],[Key(ID-date)]],'DATA BTO'!S:S,'DATA BTO'!I:I,FALSE)</f>
        <v>0</v>
      </c>
      <c r="AH510" s="3" t="b">
        <f>_xlfn.XLOOKUP(Tableau119[[#This Row],[Key(ID-date)]],'DATA BTO'!S:S,'DATA BTO'!J:J,FALSE)</f>
        <v>0</v>
      </c>
      <c r="AI510" s="3" t="b">
        <f>_xlfn.XLOOKUP(Tableau119[[#This Row],[Key(ID-date)]],'DATA BTO'!S:S,'DATA BTO'!K:K,FALSE)</f>
        <v>0</v>
      </c>
      <c r="AJ510" s="50" t="b">
        <f>_xlfn.XLOOKUP(Tableau119[[#This Row],[Key(ID-date)]],'DATA BTO'!S:S,'DATA BTO'!L:L,FALSE)</f>
        <v>0</v>
      </c>
      <c r="AK510" s="53" t="b">
        <f>_xlfn.XLOOKUP(Tableau119[[#This Row],[Key(ID-date)]],'DATA BTO'!S:S,'DATA BTO'!N:N,FALSE)</f>
        <v>0</v>
      </c>
      <c r="AL510" s="54" t="e">
        <f>VLOOKUP(Tableau119[[#This Row],[Key(POD -PFI- Usine)]],'DATA Consignee'!A:F,6,FALSE)</f>
        <v>#N/A</v>
      </c>
      <c r="AM510" s="284" t="s">
        <v>155</v>
      </c>
      <c r="AN510" s="376">
        <f>IF(Tableau119[[#This Row],[Name PFI/CDD]]="","-",VLOOKUP(Tableau119[[#This Row],[Name PFI/CDD]],Plant_AILN!I:J,2,FALSE))</f>
        <v>90016600</v>
      </c>
      <c r="AO5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0" s="2" t="e">
        <f>VLOOKUP(Tableau119[[#This Row],[Key(POD -PFI- Usine)]],'DATA Consignee'!A:J,10,FALSE)</f>
        <v>#N/A</v>
      </c>
      <c r="AR510" s="50" t="e">
        <f>VLOOKUP(Tableau119[[#This Row],[Key(POD -PFI- Usine)]],'DATA Consignee'!A:N,14,FALSE)</f>
        <v>#N/A</v>
      </c>
      <c r="AS5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0" s="50">
        <f>Tableau119[[#This Row],[Transit time]]+Tableau119[[#This Row],[Time for security]]+Tableau119[[#This Row],[Time for security2 buffer]]</f>
        <v>0</v>
      </c>
      <c r="AV5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0" s="50" t="e">
        <f>Tableau119[[#This Row],[Leadtime SI2C]]+Tableau119[[#This Row],[First Receipt Days]]-Tableau119[[#This Row],[Day Customer Order]]+1</f>
        <v>#N/A</v>
      </c>
      <c r="AX510" s="119" t="e">
        <f>IF(Tableau119[[#This Row],[Name ILN]]&lt;&gt;"SFK Freight Forwarder",Tableau119[[#This Row],[Cust. Leadtime]],Tableau119[[#This Row],[Leadtime SI2C]])</f>
        <v>#N/A</v>
      </c>
      <c r="AY510" s="51" t="b">
        <f>_xlfn.XLOOKUP(Tableau119[[#This Row],[Key(ID-date)]],'DATA BTO'!S:S,'DATA BTO'!P:P,FALSE)</f>
        <v>0</v>
      </c>
      <c r="AZ510" s="338">
        <v>45382</v>
      </c>
      <c r="BA510" s="50"/>
    </row>
    <row r="511" spans="2:53">
      <c r="B511" s="446" t="str">
        <f>_xlfn.CONCAT(Tableau119[[#This Row],[Name ILN]],"-",Tableau119[[#This Row],[Name Shipper]],"-",Tableau119[[#This Row],[Name Site]])</f>
        <v>ILN Curitiba-ILN Curitiba-SEVILLA</v>
      </c>
      <c r="C511" s="66" t="str">
        <f>_xlfn.CONCAT(Tableau119[[#This Row],[Compte ILN]],"-",Tableau119[[#This Row],[Compte Shipper]],"-",Tableau119[[#This Row],[POL]],"-",Tableau119[[#This Row],[Compte Consignee]])</f>
        <v>95207-95207-FALSO-91017500</v>
      </c>
      <c r="D511" s="66" t="str">
        <f>_xlfn.CONCAT(Tableau119[[#This Row],[Compte ILN]],"-",Tableau119[[#This Row],[Compte Shipper]],"-",Tableau119[[#This Row],[POL]])</f>
        <v>95207-95207-FALSO</v>
      </c>
      <c r="E511" s="130" t="str">
        <f>_xlfn.CONCAT(Tableau119[[#This Row],[POL]],"-",Tableau119[[#This Row],[Carrier]],"-",Tableau119[[#This Row],[POD]])</f>
        <v>FALSO-FALSO-FALSO</v>
      </c>
      <c r="F511" s="66" t="str">
        <f>_xlfn.CONCAT(Tableau119[[#This Row],[ID]],"-","Actif")</f>
        <v>163-Actif</v>
      </c>
      <c r="G511" s="66" t="str">
        <f>_xlfn.CONCAT(Tableau119[[#This Row],[POD]],"-",Tableau119[[#This Row],[Code PFI]],"-",Tableau119[[#This Row],[Compte Consignee]])</f>
        <v>FALSO-90016600-91017500</v>
      </c>
      <c r="H5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CuritibaFALSOSEVILLA</v>
      </c>
      <c r="I511" s="434" t="str">
        <f>_xlfn.CONCAT(Tableau119[[#This Row],[ID]],"-",Tableau119[[#This Row],[Expiration Date]])</f>
        <v>163-45382</v>
      </c>
      <c r="J5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Curitiba-ILN Curitiba-163-FALSO-FALSO-FALSO-CDD FR-45382</v>
      </c>
      <c r="K511" s="119" t="str">
        <f ca="1">IF(COUNTIF(J:J,Tableau119[[#This Row],[Plant-ILN-shipper-POL-Carrier-POD-PFI]])=1,"Non","Oui")</f>
        <v>Non</v>
      </c>
      <c r="L511" s="128" t="str">
        <f>VLOOKUP(Tableau119[[#This Row],[Name Site]],Plant_AILN!A:D,4,FALSE)</f>
        <v>SPAIN</v>
      </c>
      <c r="M511" s="411" t="s">
        <v>172</v>
      </c>
      <c r="N511" s="454">
        <f>VLOOKUP(Tableau119[[#This Row],[Name Site]],Plant_AILN!A:C,3,FALSE)</f>
        <v>91017500</v>
      </c>
      <c r="O511" s="55">
        <f>VLOOKUP(Tableau119[[#This Row],[Compte Consignee]],Order!C:D,2,FALSE)</f>
        <v>7</v>
      </c>
      <c r="P511" s="124" t="s">
        <v>163</v>
      </c>
      <c r="Q511" s="365">
        <f>VLOOKUP(Tableau119[[#This Row],[Name ILN]],Plant_AILN!F:G,2,FALSE)</f>
        <v>95207</v>
      </c>
      <c r="R511" s="50">
        <f>VLOOKUP(Tableau119[[#This Row],[Compte ILN]],'DATA ILN'!D:I,6,FALSE)</f>
        <v>9</v>
      </c>
      <c r="S511" s="50" t="e">
        <f>IFERROR(VLOOKUP(Tableau119[[#This Row],[Key(Compte ILN - shipper - POL - plant)]],'DATA ILN'!A:J,10,FALSE),VLOOKUP(Tableau119[[#This Row],[Key(Compte ILN - shipper - POL)]],'DATA ILN'!B:J,9,FALSE))</f>
        <v>#N/A</v>
      </c>
      <c r="T511" s="50" t="e">
        <f>IFERROR(VLOOKUP(Tableau119[[#This Row],[Key(Compte ILN - shipper - POL - plant)]],'DATA ILN'!A:K,11,FALSE),VLOOKUP(Tableau119[[#This Row],[Key(Compte ILN - shipper - POL)]],'DATA ILN'!B:K,10,FALSE))</f>
        <v>#N/A</v>
      </c>
      <c r="U511" s="50" t="e">
        <f>IFERROR(VLOOKUP(Tableau119[[#This Row],[Key(Compte ILN - shipper - POL - plant)]],'DATA ILN'!A:L,12,FALSE),VLOOKUP(Tableau119[[#This Row],[Key(Compte ILN - shipper - POL)]],'DATA ILN'!B:L,11,FALSE))</f>
        <v>#N/A</v>
      </c>
      <c r="V511" s="50" t="e">
        <f>Tableau119[[#This Row],[Day ILN Order]]+Tableau119[[#This Row],[Delivery time to ILN/Shipper]]-1</f>
        <v>#N/A</v>
      </c>
      <c r="W511" s="50" t="e">
        <f>IFERROR(VLOOKUP(Tableau119[[#This Row],[Key(Compte ILN - shipper - POL - plant)]],'DATA ILN'!A:N,14,FALSE),VLOOKUP(Tableau119[[#This Row],[Key(Compte ILN - shipper - POL)]],'DATA ILN'!B:N,13,FALSE))</f>
        <v>#N/A</v>
      </c>
      <c r="X511" s="50" t="e">
        <f>IFERROR(VLOOKUP(Tableau119[[#This Row],[Key(Compte ILN - shipper - POL - plant)]],'DATA ILN'!A:P,16,FALSE),VLOOKUP(Tableau119[[#This Row],[Key(Compte ILN - shipper - POL)]],'DATA ILN'!B:P,15,FALSE))</f>
        <v>#N/A</v>
      </c>
      <c r="Y511" s="284" t="s">
        <v>163</v>
      </c>
      <c r="Z511" s="430">
        <f>IFERROR(VLOOKUP(Tableau119[[#This Row],[Name Shipper]],Plant_AILN!L:M,2,FALSE),0)</f>
        <v>95207</v>
      </c>
      <c r="AA511" s="406">
        <v>163</v>
      </c>
      <c r="AB511" s="396" t="b">
        <f>_xlfn.XLOOKUP(Tableau119[[#This Row],[Key(ID-date)]],'DATA BTO'!S:S,'DATA BTO'!E:E,FALSE)</f>
        <v>0</v>
      </c>
      <c r="AC511" s="3" t="b">
        <f>_xlfn.XLOOKUP(Tableau119[[#This Row],[Key(ID-date)]],'DATA BTO'!S:S,'DATA BTO'!F:F,FALSE)</f>
        <v>0</v>
      </c>
      <c r="AD511" s="50" t="b">
        <f>_xlfn.XLOOKUP(Tableau119[[#This Row],[Key(ID-date)]],'DATA BTO'!S:S,'DATA BTO'!G:G,FALSE)</f>
        <v>0</v>
      </c>
      <c r="AE511" s="50" t="b">
        <f>_xlfn.XLOOKUP(Tableau119[[#This Row],[Key(ID-date)]],'DATA BTO'!S:S,'DATA BTO'!H:H,FALSE)</f>
        <v>0</v>
      </c>
      <c r="AF511" s="447" t="e">
        <f>IF(Tableau119[[#This Row],[First Day to POL]]&lt;=Tableau119[[#This Row],[Day Cut Off]],Tableau119[[#This Row],[Day ETD]],Tableau119[[#This Row],[Day ETD]]+7)</f>
        <v>#N/A</v>
      </c>
      <c r="AG511" s="50" t="b">
        <f>_xlfn.XLOOKUP(Tableau119[[#This Row],[Key(ID-date)]],'DATA BTO'!S:S,'DATA BTO'!I:I,FALSE)</f>
        <v>0</v>
      </c>
      <c r="AH511" s="3" t="b">
        <f>_xlfn.XLOOKUP(Tableau119[[#This Row],[Key(ID-date)]],'DATA BTO'!S:S,'DATA BTO'!J:J,FALSE)</f>
        <v>0</v>
      </c>
      <c r="AI511" s="3" t="b">
        <f>_xlfn.XLOOKUP(Tableau119[[#This Row],[Key(ID-date)]],'DATA BTO'!S:S,'DATA BTO'!K:K,FALSE)</f>
        <v>0</v>
      </c>
      <c r="AJ511" s="50" t="b">
        <f>_xlfn.XLOOKUP(Tableau119[[#This Row],[Key(ID-date)]],'DATA BTO'!S:S,'DATA BTO'!L:L,FALSE)</f>
        <v>0</v>
      </c>
      <c r="AK511" s="53" t="b">
        <f>_xlfn.XLOOKUP(Tableau119[[#This Row],[Key(ID-date)]],'DATA BTO'!S:S,'DATA BTO'!N:N,FALSE)</f>
        <v>0</v>
      </c>
      <c r="AL511" s="54" t="e">
        <f>VLOOKUP(Tableau119[[#This Row],[Key(POD -PFI- Usine)]],'DATA Consignee'!A:F,6,FALSE)</f>
        <v>#N/A</v>
      </c>
      <c r="AM511" s="284" t="s">
        <v>155</v>
      </c>
      <c r="AN511" s="376">
        <f>IF(Tableau119[[#This Row],[Name PFI/CDD]]="","-",VLOOKUP(Tableau119[[#This Row],[Name PFI/CDD]],Plant_AILN!I:J,2,FALSE))</f>
        <v>90016600</v>
      </c>
      <c r="AO5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1" s="2" t="e">
        <f>VLOOKUP(Tableau119[[#This Row],[Key(POD -PFI- Usine)]],'DATA Consignee'!A:J,10,FALSE)</f>
        <v>#N/A</v>
      </c>
      <c r="AR511" s="50" t="e">
        <f>VLOOKUP(Tableau119[[#This Row],[Key(POD -PFI- Usine)]],'DATA Consignee'!A:N,14,FALSE)</f>
        <v>#N/A</v>
      </c>
      <c r="AS5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1" s="50">
        <f>Tableau119[[#This Row],[Transit time]]+Tableau119[[#This Row],[Time for security]]+Tableau119[[#This Row],[Time for security2 buffer]]</f>
        <v>0</v>
      </c>
      <c r="AV5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1" s="50" t="e">
        <f>Tableau119[[#This Row],[Leadtime SI2C]]+Tableau119[[#This Row],[First Receipt Days]]-Tableau119[[#This Row],[Day Customer Order]]+1</f>
        <v>#N/A</v>
      </c>
      <c r="AX511" s="119" t="e">
        <f>IF(Tableau119[[#This Row],[Name ILN]]&lt;&gt;"SFK Freight Forwarder",Tableau119[[#This Row],[Cust. Leadtime]],Tableau119[[#This Row],[Leadtime SI2C]])</f>
        <v>#N/A</v>
      </c>
      <c r="AY511" s="51" t="b">
        <f>_xlfn.XLOOKUP(Tableau119[[#This Row],[Key(ID-date)]],'DATA BTO'!S:S,'DATA BTO'!P:P,FALSE)</f>
        <v>0</v>
      </c>
      <c r="AZ511" s="338">
        <v>45382</v>
      </c>
      <c r="BA511" s="50"/>
    </row>
    <row r="512" spans="2:53">
      <c r="B512" s="446" t="str">
        <f>_xlfn.CONCAT(Tableau119[[#This Row],[Name ILN]],"-",Tableau119[[#This Row],[Name Shipper]],"-",Tableau119[[#This Row],[Name Site]])</f>
        <v>ILN Curitiba-ILN Curitiba-CLEON</v>
      </c>
      <c r="C512" s="66" t="str">
        <f>_xlfn.CONCAT(Tableau119[[#This Row],[Compte ILN]],"-",Tableau119[[#This Row],[Compte Shipper]],"-",Tableau119[[#This Row],[POL]],"-",Tableau119[[#This Row],[Compte Consignee]])</f>
        <v>95207-95207-FALSO-92000100</v>
      </c>
      <c r="D512" s="66" t="str">
        <f>_xlfn.CONCAT(Tableau119[[#This Row],[Compte ILN]],"-",Tableau119[[#This Row],[Compte Shipper]],"-",Tableau119[[#This Row],[POL]])</f>
        <v>95207-95207-FALSO</v>
      </c>
      <c r="E512" s="130" t="str">
        <f>_xlfn.CONCAT(Tableau119[[#This Row],[POL]],"-",Tableau119[[#This Row],[Carrier]],"-",Tableau119[[#This Row],[POD]])</f>
        <v>FALSO-FALSO-FALSO</v>
      </c>
      <c r="F512" s="66" t="str">
        <f>_xlfn.CONCAT(Tableau119[[#This Row],[ID]],"-","Actif")</f>
        <v>163-Actif</v>
      </c>
      <c r="G512" s="66" t="str">
        <f>_xlfn.CONCAT(Tableau119[[#This Row],[POD]],"-",Tableau119[[#This Row],[Code PFI]],"-",Tableau119[[#This Row],[Compte Consignee]])</f>
        <v>FALSO---92000100</v>
      </c>
      <c r="H5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CuritibaFALSOCLEON</v>
      </c>
      <c r="I512" s="434" t="str">
        <f>_xlfn.CONCAT(Tableau119[[#This Row],[ID]],"-",Tableau119[[#This Row],[Expiration Date]])</f>
        <v>163-45382</v>
      </c>
      <c r="J5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Curitiba-ILN Curitiba-163-FALSO-FALSO-FALSO--45382</v>
      </c>
      <c r="K512" s="119" t="str">
        <f ca="1">IF(COUNTIF(J:J,Tableau119[[#This Row],[Plant-ILN-shipper-POL-Carrier-POD-PFI]])=1,"Non","Oui")</f>
        <v>Non</v>
      </c>
      <c r="L512" s="128" t="str">
        <f>VLOOKUP(Tableau119[[#This Row],[Name Site]],Plant_AILN!A:D,4,FALSE)</f>
        <v>FRANCE</v>
      </c>
      <c r="M512" s="415" t="s">
        <v>183</v>
      </c>
      <c r="N512" s="455">
        <f>VLOOKUP(Tableau119[[#This Row],[Name Site]],Plant_AILN!A:C,3,FALSE)</f>
        <v>92000100</v>
      </c>
      <c r="O512" s="104">
        <f>VLOOKUP(Tableau119[[#This Row],[Compte Consignee]],Order!C:D,2,FALSE)</f>
        <v>7</v>
      </c>
      <c r="P512" s="126" t="s">
        <v>163</v>
      </c>
      <c r="Q512" s="366">
        <f>VLOOKUP(Tableau119[[#This Row],[Name ILN]],Plant_AILN!F:G,2,FALSE)</f>
        <v>95207</v>
      </c>
      <c r="R512" s="81">
        <f>VLOOKUP(Tableau119[[#This Row],[Compte ILN]],'DATA ILN'!D:I,6,FALSE)</f>
        <v>9</v>
      </c>
      <c r="S512" s="81" t="e">
        <f>IFERROR(VLOOKUP(Tableau119[[#This Row],[Key(Compte ILN - shipper - POL - plant)]],'DATA ILN'!A:J,10,FALSE),VLOOKUP(Tableau119[[#This Row],[Key(Compte ILN - shipper - POL)]],'DATA ILN'!B:J,9,FALSE))</f>
        <v>#N/A</v>
      </c>
      <c r="T512" s="81" t="e">
        <f>IFERROR(VLOOKUP(Tableau119[[#This Row],[Key(Compte ILN - shipper - POL - plant)]],'DATA ILN'!A:K,11,FALSE),VLOOKUP(Tableau119[[#This Row],[Key(Compte ILN - shipper - POL)]],'DATA ILN'!B:K,10,FALSE))</f>
        <v>#N/A</v>
      </c>
      <c r="U512" s="81" t="e">
        <f>IFERROR(VLOOKUP(Tableau119[[#This Row],[Key(Compte ILN - shipper - POL - plant)]],'DATA ILN'!A:L,12,FALSE),VLOOKUP(Tableau119[[#This Row],[Key(Compte ILN - shipper - POL)]],'DATA ILN'!B:L,11,FALSE))</f>
        <v>#N/A</v>
      </c>
      <c r="V512" s="81" t="e">
        <f>Tableau119[[#This Row],[Day ILN Order]]+Tableau119[[#This Row],[Delivery time to ILN/Shipper]]-1</f>
        <v>#N/A</v>
      </c>
      <c r="W512" s="81" t="e">
        <f>IFERROR(VLOOKUP(Tableau119[[#This Row],[Key(Compte ILN - shipper - POL - plant)]],'DATA ILN'!A:N,14,FALSE),VLOOKUP(Tableau119[[#This Row],[Key(Compte ILN - shipper - POL)]],'DATA ILN'!B:N,13,FALSE))</f>
        <v>#N/A</v>
      </c>
      <c r="X512" s="81" t="e">
        <f>IFERROR(VLOOKUP(Tableau119[[#This Row],[Key(Compte ILN - shipper - POL - plant)]],'DATA ILN'!A:P,16,FALSE),VLOOKUP(Tableau119[[#This Row],[Key(Compte ILN - shipper - POL)]],'DATA ILN'!B:P,15,FALSE))</f>
        <v>#N/A</v>
      </c>
      <c r="Y512" s="102" t="s">
        <v>163</v>
      </c>
      <c r="Z512" s="417">
        <f>IFERROR(VLOOKUP(Tableau119[[#This Row],[Name Shipper]],Plant_AILN!L:M,2,FALSE),0)</f>
        <v>95207</v>
      </c>
      <c r="AA512" s="416">
        <v>163</v>
      </c>
      <c r="AB512" s="396" t="b">
        <f>_xlfn.XLOOKUP(Tableau119[[#This Row],[Key(ID-date)]],'DATA BTO'!S:S,'DATA BTO'!E:E,FALSE)</f>
        <v>0</v>
      </c>
      <c r="AC512" s="3" t="b">
        <f>_xlfn.XLOOKUP(Tableau119[[#This Row],[Key(ID-date)]],'DATA BTO'!S:S,'DATA BTO'!F:F,FALSE)</f>
        <v>0</v>
      </c>
      <c r="AD512" s="50" t="b">
        <f>_xlfn.XLOOKUP(Tableau119[[#This Row],[Key(ID-date)]],'DATA BTO'!S:S,'DATA BTO'!G:G,FALSE)</f>
        <v>0</v>
      </c>
      <c r="AE512" s="50" t="b">
        <f>_xlfn.XLOOKUP(Tableau119[[#This Row],[Key(ID-date)]],'DATA BTO'!S:S,'DATA BTO'!H:H,FALSE)</f>
        <v>0</v>
      </c>
      <c r="AF512" s="447" t="e">
        <f>IF(Tableau119[[#This Row],[First Day to POL]]&lt;=Tableau119[[#This Row],[Day Cut Off]],Tableau119[[#This Row],[Day ETD]],Tableau119[[#This Row],[Day ETD]]+7)</f>
        <v>#N/A</v>
      </c>
      <c r="AG512" s="50" t="b">
        <f>_xlfn.XLOOKUP(Tableau119[[#This Row],[Key(ID-date)]],'DATA BTO'!S:S,'DATA BTO'!I:I,FALSE)</f>
        <v>0</v>
      </c>
      <c r="AH512" s="3" t="b">
        <f>_xlfn.XLOOKUP(Tableau119[[#This Row],[Key(ID-date)]],'DATA BTO'!S:S,'DATA BTO'!J:J,FALSE)</f>
        <v>0</v>
      </c>
      <c r="AI512" s="3" t="b">
        <f>_xlfn.XLOOKUP(Tableau119[[#This Row],[Key(ID-date)]],'DATA BTO'!S:S,'DATA BTO'!K:K,FALSE)</f>
        <v>0</v>
      </c>
      <c r="AJ512" s="50" t="b">
        <f>_xlfn.XLOOKUP(Tableau119[[#This Row],[Key(ID-date)]],'DATA BTO'!S:S,'DATA BTO'!L:L,FALSE)</f>
        <v>0</v>
      </c>
      <c r="AK512" s="53" t="b">
        <f>_xlfn.XLOOKUP(Tableau119[[#This Row],[Key(ID-date)]],'DATA BTO'!S:S,'DATA BTO'!N:N,FALSE)</f>
        <v>0</v>
      </c>
      <c r="AL512" s="54" t="e">
        <f>VLOOKUP(Tableau119[[#This Row],[Key(POD -PFI- Usine)]],'DATA Consignee'!A:F,6,FALSE)</f>
        <v>#N/A</v>
      </c>
      <c r="AM512" s="102"/>
      <c r="AN512" s="375" t="str">
        <f>IF(Tableau119[[#This Row],[Name PFI/CDD]]="","-",VLOOKUP(Tableau119[[#This Row],[Name PFI/CDD]],Plant_AILN!I:J,2,FALSE))</f>
        <v>-</v>
      </c>
      <c r="AO51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2" s="110" t="e">
        <f>VLOOKUP(Tableau119[[#This Row],[Key(POD -PFI- Usine)]],'DATA Consignee'!A:J,10,FALSE)</f>
        <v>#N/A</v>
      </c>
      <c r="AR512" s="81" t="e">
        <f>VLOOKUP(Tableau119[[#This Row],[Key(POD -PFI- Usine)]],'DATA Consignee'!A:N,14,FALSE)</f>
        <v>#N/A</v>
      </c>
      <c r="AS51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2" s="81">
        <f>Tableau119[[#This Row],[Transit time]]+Tableau119[[#This Row],[Time for security]]+Tableau119[[#This Row],[Time for security2 buffer]]</f>
        <v>0</v>
      </c>
      <c r="AV5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2" s="50" t="e">
        <f>Tableau119[[#This Row],[Leadtime SI2C]]+Tableau119[[#This Row],[First Receipt Days]]-Tableau119[[#This Row],[Day Customer Order]]+1</f>
        <v>#N/A</v>
      </c>
      <c r="AX512" s="119" t="e">
        <f>IF(Tableau119[[#This Row],[Name ILN]]&lt;&gt;"SFK Freight Forwarder",Tableau119[[#This Row],[Cust. Leadtime]],Tableau119[[#This Row],[Leadtime SI2C]])</f>
        <v>#N/A</v>
      </c>
      <c r="AY512" s="51" t="b">
        <f>_xlfn.XLOOKUP(Tableau119[[#This Row],[Key(ID-date)]],'DATA BTO'!S:S,'DATA BTO'!P:P,FALSE)</f>
        <v>0</v>
      </c>
      <c r="AZ512" s="388">
        <v>45382</v>
      </c>
      <c r="BA512" s="81"/>
    </row>
    <row r="513" spans="2:53">
      <c r="B513" s="66" t="str">
        <f>_xlfn.CONCAT(Tableau119[[#This Row],[Name ILN]],"-",Tableau119[[#This Row],[Name Shipper]],"-",Tableau119[[#This Row],[Name Site]])</f>
        <v>ILN Chennai-ILN Chennai-ALPINE</v>
      </c>
      <c r="C513" s="66" t="str">
        <f>_xlfn.CONCAT(Tableau119[[#This Row],[Compte ILN]],"-",Tableau119[[#This Row],[Compte Shipper]],"-",Tableau119[[#This Row],[POL]],"-",Tableau119[[#This Row],[Compte Consignee]])</f>
        <v>2533780546-2533780546-FALSO-90018300</v>
      </c>
      <c r="D513" s="66" t="str">
        <f>_xlfn.CONCAT(Tableau119[[#This Row],[Compte ILN]],"-",Tableau119[[#This Row],[Compte Shipper]],"-",Tableau119[[#This Row],[POL]])</f>
        <v>2533780546-2533780546-FALSO</v>
      </c>
      <c r="E513" s="130" t="str">
        <f>_xlfn.CONCAT(Tableau119[[#This Row],[POL]],"-",Tableau119[[#This Row],[Carrier]],"-",Tableau119[[#This Row],[POD]])</f>
        <v>FALSO-FALSO-FALSO</v>
      </c>
      <c r="F513" s="66" t="str">
        <f>_xlfn.CONCAT(Tableau119[[#This Row],[ID]],"-","Actif")</f>
        <v>165-Actif</v>
      </c>
      <c r="G513" s="66" t="str">
        <f>_xlfn.CONCAT(Tableau119[[#This Row],[POD]],"-",Tableau119[[#This Row],[Code PFI]],"-",Tableau119[[#This Row],[Compte Consignee]])</f>
        <v>FALSO-90016600-90018300</v>
      </c>
      <c r="H5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ChennaiFALSOALPINE</v>
      </c>
      <c r="I513" s="434" t="str">
        <f>_xlfn.CONCAT(Tableau119[[#This Row],[ID]],"-",Tableau119[[#This Row],[Expiration Date]])</f>
        <v>165-46142</v>
      </c>
      <c r="J5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Chennai-ILN Chennai-165-FALSO-FALSO-FALSO-CDD FR-46142</v>
      </c>
      <c r="K513" s="119" t="str">
        <f ca="1">IF(COUNTIF(J:J,Tableau119[[#This Row],[Plant-ILN-shipper-POL-Carrier-POD-PFI]])=1,"Non","Oui")</f>
        <v>Non</v>
      </c>
      <c r="L513" s="128" t="str">
        <f>VLOOKUP(Tableau119[[#This Row],[Name Site]],Plant_AILN!A:D,4,FALSE)</f>
        <v>FRANCE</v>
      </c>
      <c r="M513" s="412" t="s">
        <v>220</v>
      </c>
      <c r="N513" s="454">
        <f>VLOOKUP(Tableau119[[#This Row],[Name Site]],Plant_AILN!A:C,3,FALSE)</f>
        <v>90018300</v>
      </c>
      <c r="O513" s="55">
        <f>IF(Tableau119[[#This Row],[Name PFI/CDD]]="PFI VLL",2,VLOOKUP(Tableau119[[#This Row],[Compte Consignee]],Order!C:D,2,FALSE))</f>
        <v>7</v>
      </c>
      <c r="P513" s="124" t="s">
        <v>149</v>
      </c>
      <c r="Q513" s="365">
        <f>VLOOKUP(Tableau119[[#This Row],[Name ILN]],Plant_AILN!F:G,2,FALSE)</f>
        <v>2533780546</v>
      </c>
      <c r="R513" s="50">
        <f>VLOOKUP(Tableau119[[#This Row],[Compte ILN]],'DATA ILN'!D:I,6,FALSE)</f>
        <v>9</v>
      </c>
      <c r="S513" s="50" t="e">
        <f>IFERROR(VLOOKUP(Tableau119[[#This Row],[Key(Compte ILN - shipper - POL - plant)]],'DATA ILN'!A:J,10,FALSE),VLOOKUP(Tableau119[[#This Row],[Key(Compte ILN - shipper - POL)]],'DATA ILN'!B:J,9,FALSE))</f>
        <v>#N/A</v>
      </c>
      <c r="T513" s="50" t="e">
        <f>IFERROR(VLOOKUP(Tableau119[[#This Row],[Key(Compte ILN - shipper - POL - plant)]],'DATA ILN'!A:K,11,FALSE),VLOOKUP(Tableau119[[#This Row],[Key(Compte ILN - shipper - POL)]],'DATA ILN'!B:K,10,FALSE))</f>
        <v>#N/A</v>
      </c>
      <c r="U513" s="50" t="e">
        <f>IFERROR(VLOOKUP(Tableau119[[#This Row],[Key(Compte ILN - shipper - POL - plant)]],'DATA ILN'!A:L,12,FALSE),VLOOKUP(Tableau119[[#This Row],[Key(Compte ILN - shipper - POL)]],'DATA ILN'!B:L,11,FALSE))</f>
        <v>#N/A</v>
      </c>
      <c r="V513" s="50" t="e">
        <f>Tableau119[[#This Row],[Day ILN Order]]+Tableau119[[#This Row],[Delivery time to ILN/Shipper]]-1</f>
        <v>#N/A</v>
      </c>
      <c r="W513" s="50" t="e">
        <f>IFERROR(VLOOKUP(Tableau119[[#This Row],[Key(Compte ILN - shipper - POL - plant)]],'DATA ILN'!A:N,14,FALSE),VLOOKUP(Tableau119[[#This Row],[Key(Compte ILN - shipper - POL)]],'DATA ILN'!B:N,13,FALSE))</f>
        <v>#N/A</v>
      </c>
      <c r="X513" s="50" t="e">
        <f>IFERROR(VLOOKUP(Tableau119[[#This Row],[Key(Compte ILN - shipper - POL - plant)]],'DATA ILN'!A:P,16,FALSE),VLOOKUP(Tableau119[[#This Row],[Key(Compte ILN - shipper - POL)]],'DATA ILN'!B:P,15,FALSE))</f>
        <v>#N/A</v>
      </c>
      <c r="Y513" s="284" t="s">
        <v>149</v>
      </c>
      <c r="Z513" s="430">
        <f>IFERROR(VLOOKUP(Tableau119[[#This Row],[Name Shipper]],Plant_AILN!L:M,2,FALSE),0)</f>
        <v>2533780546</v>
      </c>
      <c r="AA513" s="406">
        <v>165</v>
      </c>
      <c r="AB513" s="396" t="b">
        <f>_xlfn.XLOOKUP(Tableau119[[#This Row],[Key(ID-date)]],'DATA BTO'!S:S,'DATA BTO'!E:E,FALSE)</f>
        <v>0</v>
      </c>
      <c r="AC513" s="3" t="b">
        <f>_xlfn.XLOOKUP(Tableau119[[#This Row],[Key(ID-date)]],'DATA BTO'!S:S,'DATA BTO'!F:F,FALSE)</f>
        <v>0</v>
      </c>
      <c r="AD513" s="50" t="b">
        <f>_xlfn.XLOOKUP(Tableau119[[#This Row],[Key(ID-date)]],'DATA BTO'!S:S,'DATA BTO'!G:G,FALSE)</f>
        <v>0</v>
      </c>
      <c r="AE513" s="50" t="b">
        <f>_xlfn.XLOOKUP(Tableau119[[#This Row],[Key(ID-date)]],'DATA BTO'!S:S,'DATA BTO'!H:H,FALSE)</f>
        <v>0</v>
      </c>
      <c r="AF513" s="447" t="e">
        <f>IF(Tableau119[[#This Row],[First Day to POL]]&lt;=Tableau119[[#This Row],[Day Cut Off]],Tableau119[[#This Row],[Day ETD]],Tableau119[[#This Row],[Day ETD]]+7)</f>
        <v>#N/A</v>
      </c>
      <c r="AG513" s="50" t="b">
        <f>_xlfn.XLOOKUP(Tableau119[[#This Row],[Key(ID-date)]],'DATA BTO'!S:S,'DATA BTO'!I:I,FALSE)</f>
        <v>0</v>
      </c>
      <c r="AH513" s="3" t="b">
        <f>_xlfn.XLOOKUP(Tableau119[[#This Row],[Key(ID-date)]],'DATA BTO'!S:S,'DATA BTO'!J:J,FALSE)</f>
        <v>0</v>
      </c>
      <c r="AI513" s="3" t="b">
        <f>_xlfn.XLOOKUP(Tableau119[[#This Row],[Key(ID-date)]],'DATA BTO'!S:S,'DATA BTO'!K:K,FALSE)</f>
        <v>0</v>
      </c>
      <c r="AJ513" s="50" t="b">
        <f>_xlfn.XLOOKUP(Tableau119[[#This Row],[Key(ID-date)]],'DATA BTO'!S:S,'DATA BTO'!L:L,FALSE)</f>
        <v>0</v>
      </c>
      <c r="AK513" s="53" t="b">
        <f>_xlfn.XLOOKUP(Tableau119[[#This Row],[Key(ID-date)]],'DATA BTO'!S:S,'DATA BTO'!N:N,FALSE)</f>
        <v>0</v>
      </c>
      <c r="AL513" s="54" t="e">
        <f>VLOOKUP(Tableau119[[#This Row],[Key(POD -PFI- Usine)]],'DATA Consignee'!A:F,6,FALSE)</f>
        <v>#N/A</v>
      </c>
      <c r="AM513" s="284" t="s">
        <v>155</v>
      </c>
      <c r="AN513" s="376">
        <f>IF(Tableau119[[#This Row],[Name PFI/CDD]]="","-",VLOOKUP(Tableau119[[#This Row],[Name PFI/CDD]],Plant_AILN!I:J,2,FALSE))</f>
        <v>90016600</v>
      </c>
      <c r="AO5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3" s="2" t="e">
        <f>VLOOKUP(Tableau119[[#This Row],[Key(POD -PFI- Usine)]],'DATA Consignee'!A:J,10,FALSE)</f>
        <v>#N/A</v>
      </c>
      <c r="AR513" s="50" t="e">
        <f>VLOOKUP(Tableau119[[#This Row],[Key(POD -PFI- Usine)]],'DATA Consignee'!A:N,14,FALSE)</f>
        <v>#N/A</v>
      </c>
      <c r="AS5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3" s="50">
        <f>Tableau119[[#This Row],[Transit time]]+Tableau119[[#This Row],[Time for security]]+Tableau119[[#This Row],[Time for security2 buffer]]</f>
        <v>0</v>
      </c>
      <c r="AV5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3" s="50" t="e">
        <f>Tableau119[[#This Row],[Leadtime SI2C]]+Tableau119[[#This Row],[First Receipt Days]]-Tableau119[[#This Row],[Day Customer Order]]+1</f>
        <v>#N/A</v>
      </c>
      <c r="AX513" s="119" t="e">
        <f>IF(Tableau119[[#This Row],[Name ILN]]&lt;&gt;"SFK Freight Forwarder",Tableau119[[#This Row],[Cust. Leadtime]],Tableau119[[#This Row],[Leadtime SI2C]])</f>
        <v>#N/A</v>
      </c>
      <c r="AY513" s="51" t="b">
        <f>_xlfn.XLOOKUP(Tableau119[[#This Row],[Key(ID-date)]],'DATA BTO'!S:S,'DATA BTO'!P:P,FALSE)</f>
        <v>0</v>
      </c>
      <c r="AZ513" s="338">
        <v>46142</v>
      </c>
      <c r="BA513" s="50"/>
    </row>
    <row r="514" spans="2:53">
      <c r="B514" s="66" t="str">
        <f>_xlfn.CONCAT(Tableau119[[#This Row],[Name ILN]],"-",Tableau119[[#This Row],[Name Shipper]],"-",Tableau119[[#This Row],[Name Site]])</f>
        <v>ILN Chennai-ILN Chennai-CLEON</v>
      </c>
      <c r="C514" s="66" t="str">
        <f>_xlfn.CONCAT(Tableau119[[#This Row],[Compte ILN]],"-",Tableau119[[#This Row],[Compte Shipper]],"-",Tableau119[[#This Row],[POL]],"-",Tableau119[[#This Row],[Compte Consignee]])</f>
        <v>2533780546-2533780546-FALSO-92000100</v>
      </c>
      <c r="D514" s="66" t="str">
        <f>_xlfn.CONCAT(Tableau119[[#This Row],[Compte ILN]],"-",Tableau119[[#This Row],[Compte Shipper]],"-",Tableau119[[#This Row],[POL]])</f>
        <v>2533780546-2533780546-FALSO</v>
      </c>
      <c r="E514" s="130" t="str">
        <f>_xlfn.CONCAT(Tableau119[[#This Row],[POL]],"-",Tableau119[[#This Row],[Carrier]],"-",Tableau119[[#This Row],[POD]])</f>
        <v>FALSO-FALSO-FALSO</v>
      </c>
      <c r="F514" s="66" t="str">
        <f>_xlfn.CONCAT(Tableau119[[#This Row],[ID]],"-","Actif")</f>
        <v>165-Actif</v>
      </c>
      <c r="G514" s="66" t="str">
        <f>_xlfn.CONCAT(Tableau119[[#This Row],[POD]],"-",Tableau119[[#This Row],[Code PFI]],"-",Tableau119[[#This Row],[Compte Consignee]])</f>
        <v>FALSO---92000100</v>
      </c>
      <c r="H5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ChennaiFALSOCLEON</v>
      </c>
      <c r="I514" s="434" t="str">
        <f>_xlfn.CONCAT(Tableau119[[#This Row],[ID]],"-",Tableau119[[#This Row],[Expiration Date]])</f>
        <v>165-46142</v>
      </c>
      <c r="J5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Chennai-ILN Chennai-165-FALSO-FALSO-FALSO--46142</v>
      </c>
      <c r="K514" s="119" t="str">
        <f ca="1">IF(COUNTIF(J:J,Tableau119[[#This Row],[Plant-ILN-shipper-POL-Carrier-POD-PFI]])=1,"Non","Oui")</f>
        <v>Non</v>
      </c>
      <c r="L514" s="128" t="str">
        <f>VLOOKUP(Tableau119[[#This Row],[Name Site]],Plant_AILN!A:D,4,FALSE)</f>
        <v>FRANCE</v>
      </c>
      <c r="M514" s="412" t="s">
        <v>183</v>
      </c>
      <c r="N514" s="454">
        <f>VLOOKUP(Tableau119[[#This Row],[Name Site]],Plant_AILN!A:C,3,FALSE)</f>
        <v>92000100</v>
      </c>
      <c r="O514" s="55">
        <f>IF(Tableau119[[#This Row],[Name PFI/CDD]]="PFI VLL",2,VLOOKUP(Tableau119[[#This Row],[Compte Consignee]],Order!C:D,2,FALSE))</f>
        <v>7</v>
      </c>
      <c r="P514" s="124" t="s">
        <v>149</v>
      </c>
      <c r="Q514" s="365">
        <f>VLOOKUP(Tableau119[[#This Row],[Name ILN]],Plant_AILN!F:G,2,FALSE)</f>
        <v>2533780546</v>
      </c>
      <c r="R514" s="50">
        <f>VLOOKUP(Tableau119[[#This Row],[Compte ILN]],'DATA ILN'!D:I,6,FALSE)</f>
        <v>9</v>
      </c>
      <c r="S514" s="50" t="e">
        <f>IFERROR(VLOOKUP(Tableau119[[#This Row],[Key(Compte ILN - shipper - POL - plant)]],'DATA ILN'!A:J,10,FALSE),VLOOKUP(Tableau119[[#This Row],[Key(Compte ILN - shipper - POL)]],'DATA ILN'!B:J,9,FALSE))</f>
        <v>#N/A</v>
      </c>
      <c r="T514" s="50" t="e">
        <f>IFERROR(VLOOKUP(Tableau119[[#This Row],[Key(Compte ILN - shipper - POL - plant)]],'DATA ILN'!A:K,11,FALSE),VLOOKUP(Tableau119[[#This Row],[Key(Compte ILN - shipper - POL)]],'DATA ILN'!B:K,10,FALSE))</f>
        <v>#N/A</v>
      </c>
      <c r="U514" s="50" t="e">
        <f>IFERROR(VLOOKUP(Tableau119[[#This Row],[Key(Compte ILN - shipper - POL - plant)]],'DATA ILN'!A:L,12,FALSE),VLOOKUP(Tableau119[[#This Row],[Key(Compte ILN - shipper - POL)]],'DATA ILN'!B:L,11,FALSE))</f>
        <v>#N/A</v>
      </c>
      <c r="V514" s="50" t="e">
        <f>Tableau119[[#This Row],[Day ILN Order]]+Tableau119[[#This Row],[Delivery time to ILN/Shipper]]-1</f>
        <v>#N/A</v>
      </c>
      <c r="W514" s="50" t="e">
        <f>IFERROR(VLOOKUP(Tableau119[[#This Row],[Key(Compte ILN - shipper - POL - plant)]],'DATA ILN'!A:N,14,FALSE),VLOOKUP(Tableau119[[#This Row],[Key(Compte ILN - shipper - POL)]],'DATA ILN'!B:N,13,FALSE))</f>
        <v>#N/A</v>
      </c>
      <c r="X514" s="50" t="e">
        <f>IFERROR(VLOOKUP(Tableau119[[#This Row],[Key(Compte ILN - shipper - POL - plant)]],'DATA ILN'!A:P,16,FALSE),VLOOKUP(Tableau119[[#This Row],[Key(Compte ILN - shipper - POL)]],'DATA ILN'!B:P,15,FALSE))</f>
        <v>#N/A</v>
      </c>
      <c r="Y514" s="284" t="s">
        <v>149</v>
      </c>
      <c r="Z514" s="430">
        <f>IFERROR(VLOOKUP(Tableau119[[#This Row],[Name Shipper]],Plant_AILN!L:M,2,FALSE),0)</f>
        <v>2533780546</v>
      </c>
      <c r="AA514" s="406">
        <v>165</v>
      </c>
      <c r="AB514" s="396" t="b">
        <f>_xlfn.XLOOKUP(Tableau119[[#This Row],[Key(ID-date)]],'DATA BTO'!S:S,'DATA BTO'!E:E,FALSE)</f>
        <v>0</v>
      </c>
      <c r="AC514" s="3" t="b">
        <f>_xlfn.XLOOKUP(Tableau119[[#This Row],[Key(ID-date)]],'DATA BTO'!S:S,'DATA BTO'!F:F,FALSE)</f>
        <v>0</v>
      </c>
      <c r="AD514" s="50" t="b">
        <f>_xlfn.XLOOKUP(Tableau119[[#This Row],[Key(ID-date)]],'DATA BTO'!S:S,'DATA BTO'!G:G,FALSE)</f>
        <v>0</v>
      </c>
      <c r="AE514" s="50" t="b">
        <f>_xlfn.XLOOKUP(Tableau119[[#This Row],[Key(ID-date)]],'DATA BTO'!S:S,'DATA BTO'!H:H,FALSE)</f>
        <v>0</v>
      </c>
      <c r="AF514" s="447" t="e">
        <f>IF(Tableau119[[#This Row],[First Day to POL]]&lt;=Tableau119[[#This Row],[Day Cut Off]],Tableau119[[#This Row],[Day ETD]],Tableau119[[#This Row],[Day ETD]]+7)</f>
        <v>#N/A</v>
      </c>
      <c r="AG514" s="50" t="b">
        <f>_xlfn.XLOOKUP(Tableau119[[#This Row],[Key(ID-date)]],'DATA BTO'!S:S,'DATA BTO'!I:I,FALSE)</f>
        <v>0</v>
      </c>
      <c r="AH514" s="3" t="b">
        <f>_xlfn.XLOOKUP(Tableau119[[#This Row],[Key(ID-date)]],'DATA BTO'!S:S,'DATA BTO'!J:J,FALSE)</f>
        <v>0</v>
      </c>
      <c r="AI514" s="3" t="b">
        <f>_xlfn.XLOOKUP(Tableau119[[#This Row],[Key(ID-date)]],'DATA BTO'!S:S,'DATA BTO'!K:K,FALSE)</f>
        <v>0</v>
      </c>
      <c r="AJ514" s="50" t="b">
        <f>_xlfn.XLOOKUP(Tableau119[[#This Row],[Key(ID-date)]],'DATA BTO'!S:S,'DATA BTO'!L:L,FALSE)</f>
        <v>0</v>
      </c>
      <c r="AK514" s="53" t="b">
        <f>_xlfn.XLOOKUP(Tableau119[[#This Row],[Key(ID-date)]],'DATA BTO'!S:S,'DATA BTO'!N:N,FALSE)</f>
        <v>0</v>
      </c>
      <c r="AL514" s="54" t="e">
        <f>VLOOKUP(Tableau119[[#This Row],[Key(POD -PFI- Usine)]],'DATA Consignee'!A:F,6,FALSE)</f>
        <v>#N/A</v>
      </c>
      <c r="AM514" s="284"/>
      <c r="AN514" s="376" t="str">
        <f>IF(Tableau119[[#This Row],[Name PFI/CDD]]="","-",VLOOKUP(Tableau119[[#This Row],[Name PFI/CDD]],Plant_AILN!I:J,2,FALSE))</f>
        <v>-</v>
      </c>
      <c r="AO5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4" s="2" t="e">
        <f>VLOOKUP(Tableau119[[#This Row],[Key(POD -PFI- Usine)]],'DATA Consignee'!A:J,10,FALSE)</f>
        <v>#N/A</v>
      </c>
      <c r="AR514" s="50" t="e">
        <f>VLOOKUP(Tableau119[[#This Row],[Key(POD -PFI- Usine)]],'DATA Consignee'!A:N,14,FALSE)</f>
        <v>#N/A</v>
      </c>
      <c r="AS5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4" s="50">
        <f>Tableau119[[#This Row],[Transit time]]+Tableau119[[#This Row],[Time for security]]+Tableau119[[#This Row],[Time for security2 buffer]]</f>
        <v>0</v>
      </c>
      <c r="AV5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4" s="50" t="e">
        <f>Tableau119[[#This Row],[Leadtime SI2C]]+Tableau119[[#This Row],[First Receipt Days]]-Tableau119[[#This Row],[Day Customer Order]]+1</f>
        <v>#N/A</v>
      </c>
      <c r="AX514" s="119" t="e">
        <f>IF(Tableau119[[#This Row],[Name ILN]]&lt;&gt;"SFK Freight Forwarder",Tableau119[[#This Row],[Cust. Leadtime]],Tableau119[[#This Row],[Leadtime SI2C]])</f>
        <v>#N/A</v>
      </c>
      <c r="AY514" s="51" t="b">
        <f>_xlfn.XLOOKUP(Tableau119[[#This Row],[Key(ID-date)]],'DATA BTO'!S:S,'DATA BTO'!P:P,FALSE)</f>
        <v>0</v>
      </c>
      <c r="AZ514" s="338">
        <v>46142</v>
      </c>
      <c r="BA514" s="50"/>
    </row>
    <row r="515" spans="2:53">
      <c r="B515" s="66" t="str">
        <f>_xlfn.CONCAT(Tableau119[[#This Row],[Name ILN]],"-",Tableau119[[#This Row],[Name Shipper]],"-",Tableau119[[#This Row],[Name Site]])</f>
        <v>ILN Chennai-ILN Chennai-DOUAI</v>
      </c>
      <c r="C515" s="66" t="str">
        <f>_xlfn.CONCAT(Tableau119[[#This Row],[Compte ILN]],"-",Tableau119[[#This Row],[Compte Shipper]],"-",Tableau119[[#This Row],[POL]],"-",Tableau119[[#This Row],[Compte Consignee]])</f>
        <v>2533780546-2533780546-FALSO-90019100</v>
      </c>
      <c r="D515" s="66" t="str">
        <f>_xlfn.CONCAT(Tableau119[[#This Row],[Compte ILN]],"-",Tableau119[[#This Row],[Compte Shipper]],"-",Tableau119[[#This Row],[POL]])</f>
        <v>2533780546-2533780546-FALSO</v>
      </c>
      <c r="E515" s="130" t="str">
        <f>_xlfn.CONCAT(Tableau119[[#This Row],[POL]],"-",Tableau119[[#This Row],[Carrier]],"-",Tableau119[[#This Row],[POD]])</f>
        <v>FALSO-FALSO-FALSO</v>
      </c>
      <c r="F515" s="66" t="str">
        <f>_xlfn.CONCAT(Tableau119[[#This Row],[ID]],"-","Actif")</f>
        <v>165-Actif</v>
      </c>
      <c r="G515" s="66" t="str">
        <f>_xlfn.CONCAT(Tableau119[[#This Row],[POD]],"-",Tableau119[[#This Row],[Code PFI]],"-",Tableau119[[#This Row],[Compte Consignee]])</f>
        <v>FALSO-90016600-90019100</v>
      </c>
      <c r="H5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ChennaiFALSODOUAI</v>
      </c>
      <c r="I515" s="434" t="str">
        <f>_xlfn.CONCAT(Tableau119[[#This Row],[ID]],"-",Tableau119[[#This Row],[Expiration Date]])</f>
        <v>165-46142</v>
      </c>
      <c r="J5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Chennai-ILN Chennai-165-FALSO-FALSO-FALSO-CDD FR-46142</v>
      </c>
      <c r="K515" s="119" t="str">
        <f ca="1">IF(COUNTIF(J:J,Tableau119[[#This Row],[Plant-ILN-shipper-POL-Carrier-POD-PFI]])=1,"Non","Oui")</f>
        <v>Non</v>
      </c>
      <c r="L515" s="436" t="str">
        <f>VLOOKUP(Tableau119[[#This Row],[Name Site]],Plant_AILN!A:D,4,FALSE)</f>
        <v>FRANCE</v>
      </c>
      <c r="M515" s="411" t="s">
        <v>188</v>
      </c>
      <c r="N515" s="454">
        <f>VLOOKUP(Tableau119[[#This Row],[Name Site]],Plant_AILN!A:C,3,FALSE)</f>
        <v>90019100</v>
      </c>
      <c r="O515" s="55">
        <f>IF(Tableau119[[#This Row],[Name PFI/CDD]]="PFI VLL",2,VLOOKUP(Tableau119[[#This Row],[Compte Consignee]],Order!C:D,2,FALSE))</f>
        <v>7</v>
      </c>
      <c r="P515" s="124" t="s">
        <v>149</v>
      </c>
      <c r="Q515" s="365">
        <f>VLOOKUP(Tableau119[[#This Row],[Name ILN]],Plant_AILN!F:G,2,FALSE)</f>
        <v>2533780546</v>
      </c>
      <c r="R515" s="50">
        <f>VLOOKUP(Tableau119[[#This Row],[Compte ILN]],'DATA ILN'!D:I,6,FALSE)</f>
        <v>9</v>
      </c>
      <c r="S515" s="50" t="e">
        <f>IFERROR(VLOOKUP(Tableau119[[#This Row],[Key(Compte ILN - shipper - POL - plant)]],'DATA ILN'!A:J,10,FALSE),VLOOKUP(Tableau119[[#This Row],[Key(Compte ILN - shipper - POL)]],'DATA ILN'!B:J,9,FALSE))</f>
        <v>#N/A</v>
      </c>
      <c r="T515" s="50" t="e">
        <f>IFERROR(VLOOKUP(Tableau119[[#This Row],[Key(Compte ILN - shipper - POL - plant)]],'DATA ILN'!A:K,11,FALSE),VLOOKUP(Tableau119[[#This Row],[Key(Compte ILN - shipper - POL)]],'DATA ILN'!B:K,10,FALSE))</f>
        <v>#N/A</v>
      </c>
      <c r="U515" s="50" t="e">
        <f>IFERROR(VLOOKUP(Tableau119[[#This Row],[Key(Compte ILN - shipper - POL - plant)]],'DATA ILN'!A:L,12,FALSE),VLOOKUP(Tableau119[[#This Row],[Key(Compte ILN - shipper - POL)]],'DATA ILN'!B:L,11,FALSE))</f>
        <v>#N/A</v>
      </c>
      <c r="V515" s="50" t="e">
        <f>Tableau119[[#This Row],[Day ILN Order]]+Tableau119[[#This Row],[Delivery time to ILN/Shipper]]-1</f>
        <v>#N/A</v>
      </c>
      <c r="W515" s="50" t="e">
        <f>IFERROR(VLOOKUP(Tableau119[[#This Row],[Key(Compte ILN - shipper - POL - plant)]],'DATA ILN'!A:N,14,FALSE),VLOOKUP(Tableau119[[#This Row],[Key(Compte ILN - shipper - POL)]],'DATA ILN'!B:N,13,FALSE))</f>
        <v>#N/A</v>
      </c>
      <c r="X515" s="50" t="e">
        <f>IFERROR(VLOOKUP(Tableau119[[#This Row],[Key(Compte ILN - shipper - POL - plant)]],'DATA ILN'!A:P,16,FALSE),VLOOKUP(Tableau119[[#This Row],[Key(Compte ILN - shipper - POL)]],'DATA ILN'!B:P,15,FALSE))</f>
        <v>#N/A</v>
      </c>
      <c r="Y515" s="284" t="s">
        <v>149</v>
      </c>
      <c r="Z515" s="430">
        <f>IFERROR(VLOOKUP(Tableau119[[#This Row],[Name Shipper]],Plant_AILN!L:M,2,FALSE),0)</f>
        <v>2533780546</v>
      </c>
      <c r="AA515" s="406">
        <v>165</v>
      </c>
      <c r="AB515" s="396" t="b">
        <f>_xlfn.XLOOKUP(Tableau119[[#This Row],[Key(ID-date)]],'DATA BTO'!S:S,'DATA BTO'!E:E,FALSE)</f>
        <v>0</v>
      </c>
      <c r="AC515" s="3" t="b">
        <f>_xlfn.XLOOKUP(Tableau119[[#This Row],[Key(ID-date)]],'DATA BTO'!S:S,'DATA BTO'!F:F,FALSE)</f>
        <v>0</v>
      </c>
      <c r="AD515" s="50" t="b">
        <f>_xlfn.XLOOKUP(Tableau119[[#This Row],[Key(ID-date)]],'DATA BTO'!S:S,'DATA BTO'!G:G,FALSE)</f>
        <v>0</v>
      </c>
      <c r="AE515" s="50" t="b">
        <f>_xlfn.XLOOKUP(Tableau119[[#This Row],[Key(ID-date)]],'DATA BTO'!S:S,'DATA BTO'!H:H,FALSE)</f>
        <v>0</v>
      </c>
      <c r="AF515" s="447" t="e">
        <f>IF(Tableau119[[#This Row],[First Day to POL]]&lt;=Tableau119[[#This Row],[Day Cut Off]],Tableau119[[#This Row],[Day ETD]],Tableau119[[#This Row],[Day ETD]]+7)</f>
        <v>#N/A</v>
      </c>
      <c r="AG515" s="50" t="b">
        <f>_xlfn.XLOOKUP(Tableau119[[#This Row],[Key(ID-date)]],'DATA BTO'!S:S,'DATA BTO'!I:I,FALSE)</f>
        <v>0</v>
      </c>
      <c r="AH515" s="3" t="b">
        <f>_xlfn.XLOOKUP(Tableau119[[#This Row],[Key(ID-date)]],'DATA BTO'!S:S,'DATA BTO'!J:J,FALSE)</f>
        <v>0</v>
      </c>
      <c r="AI515" s="3" t="b">
        <f>_xlfn.XLOOKUP(Tableau119[[#This Row],[Key(ID-date)]],'DATA BTO'!S:S,'DATA BTO'!K:K,FALSE)</f>
        <v>0</v>
      </c>
      <c r="AJ515" s="50" t="b">
        <f>_xlfn.XLOOKUP(Tableau119[[#This Row],[Key(ID-date)]],'DATA BTO'!S:S,'DATA BTO'!L:L,FALSE)</f>
        <v>0</v>
      </c>
      <c r="AK515" s="53" t="b">
        <f>_xlfn.XLOOKUP(Tableau119[[#This Row],[Key(ID-date)]],'DATA BTO'!S:S,'DATA BTO'!N:N,FALSE)</f>
        <v>0</v>
      </c>
      <c r="AL515" s="54" t="e">
        <f>VLOOKUP(Tableau119[[#This Row],[Key(POD -PFI- Usine)]],'DATA Consignee'!A:F,6,FALSE)</f>
        <v>#N/A</v>
      </c>
      <c r="AM515" s="284" t="s">
        <v>155</v>
      </c>
      <c r="AN515" s="376">
        <f>IF(Tableau119[[#This Row],[Name PFI/CDD]]="","-",VLOOKUP(Tableau119[[#This Row],[Name PFI/CDD]],Plant_AILN!I:J,2,FALSE))</f>
        <v>90016600</v>
      </c>
      <c r="AO5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5" s="2" t="e">
        <f>VLOOKUP(Tableau119[[#This Row],[Key(POD -PFI- Usine)]],'DATA Consignee'!A:J,10,FALSE)</f>
        <v>#N/A</v>
      </c>
      <c r="AR515" s="50" t="e">
        <f>VLOOKUP(Tableau119[[#This Row],[Key(POD -PFI- Usine)]],'DATA Consignee'!A:N,14,FALSE)</f>
        <v>#N/A</v>
      </c>
      <c r="AS5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5" s="50">
        <f>Tableau119[[#This Row],[Transit time]]+Tableau119[[#This Row],[Time for security]]+Tableau119[[#This Row],[Time for security2 buffer]]</f>
        <v>0</v>
      </c>
      <c r="AV5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5" s="50" t="e">
        <f>Tableau119[[#This Row],[Leadtime SI2C]]+Tableau119[[#This Row],[First Receipt Days]]-Tableau119[[#This Row],[Day Customer Order]]+1</f>
        <v>#N/A</v>
      </c>
      <c r="AX515" s="119" t="e">
        <f>IF(Tableau119[[#This Row],[Name ILN]]&lt;&gt;"SFK Freight Forwarder",Tableau119[[#This Row],[Cust. Leadtime]],Tableau119[[#This Row],[Leadtime SI2C]])</f>
        <v>#N/A</v>
      </c>
      <c r="AY515" s="51" t="b">
        <f>_xlfn.XLOOKUP(Tableau119[[#This Row],[Key(ID-date)]],'DATA BTO'!S:S,'DATA BTO'!P:P,FALSE)</f>
        <v>0</v>
      </c>
      <c r="AZ515" s="338">
        <v>46142</v>
      </c>
      <c r="BA515" s="50"/>
    </row>
    <row r="516" spans="2:53">
      <c r="B516" s="66" t="str">
        <f>_xlfn.CONCAT(Tableau119[[#This Row],[Name ILN]],"-",Tableau119[[#This Row],[Name Shipper]],"-",Tableau119[[#This Row],[Name Site]])</f>
        <v>ILN Chennai-ILN Chennai-FLINS</v>
      </c>
      <c r="C516" s="66" t="str">
        <f>_xlfn.CONCAT(Tableau119[[#This Row],[Compte ILN]],"-",Tableau119[[#This Row],[Compte Shipper]],"-",Tableau119[[#This Row],[POL]],"-",Tableau119[[#This Row],[Compte Consignee]])</f>
        <v>2533780546-2533780546-FALSO-90015100</v>
      </c>
      <c r="D516" s="66" t="str">
        <f>_xlfn.CONCAT(Tableau119[[#This Row],[Compte ILN]],"-",Tableau119[[#This Row],[Compte Shipper]],"-",Tableau119[[#This Row],[POL]])</f>
        <v>2533780546-2533780546-FALSO</v>
      </c>
      <c r="E516" s="130" t="str">
        <f>_xlfn.CONCAT(Tableau119[[#This Row],[POL]],"-",Tableau119[[#This Row],[Carrier]],"-",Tableau119[[#This Row],[POD]])</f>
        <v>FALSO-FALSO-FALSO</v>
      </c>
      <c r="F516" s="66" t="str">
        <f>_xlfn.CONCAT(Tableau119[[#This Row],[ID]],"-","Actif")</f>
        <v>165-Actif</v>
      </c>
      <c r="G516" s="66" t="str">
        <f>_xlfn.CONCAT(Tableau119[[#This Row],[POD]],"-",Tableau119[[#This Row],[Code PFI]],"-",Tableau119[[#This Row],[Compte Consignee]])</f>
        <v>FALSO-90016600-90015100</v>
      </c>
      <c r="H5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ChennaiFALSOFLINS</v>
      </c>
      <c r="I516" s="434" t="str">
        <f>_xlfn.CONCAT(Tableau119[[#This Row],[ID]],"-",Tableau119[[#This Row],[Expiration Date]])</f>
        <v>165-46142</v>
      </c>
      <c r="J5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Chennai-ILN Chennai-165-FALSO-FALSO-FALSO-CDD FR-46142</v>
      </c>
      <c r="K516" s="119" t="str">
        <f ca="1">IF(COUNTIF(J:J,Tableau119[[#This Row],[Plant-ILN-shipper-POL-Carrier-POD-PFI]])=1,"Non","Oui")</f>
        <v>Non</v>
      </c>
      <c r="L516" s="436" t="str">
        <f>VLOOKUP(Tableau119[[#This Row],[Name Site]],Plant_AILN!A:D,4,FALSE)</f>
        <v>FRANCE</v>
      </c>
      <c r="M516" s="415" t="s">
        <v>209</v>
      </c>
      <c r="N516" s="455">
        <f>VLOOKUP(Tableau119[[#This Row],[Name Site]],Plant_AILN!A:C,3,FALSE)</f>
        <v>90015100</v>
      </c>
      <c r="O516" s="104">
        <f>IF(Tableau119[[#This Row],[Name PFI/CDD]]="PFI VLL",2,VLOOKUP(Tableau119[[#This Row],[Compte Consignee]],Order!C:D,2,FALSE))</f>
        <v>7</v>
      </c>
      <c r="P516" s="126" t="s">
        <v>149</v>
      </c>
      <c r="Q516" s="366">
        <f>VLOOKUP(Tableau119[[#This Row],[Name ILN]],Plant_AILN!F:G,2,FALSE)</f>
        <v>2533780546</v>
      </c>
      <c r="R516" s="81">
        <f>VLOOKUP(Tableau119[[#This Row],[Compte ILN]],'DATA ILN'!D:I,6,FALSE)</f>
        <v>9</v>
      </c>
      <c r="S516" s="81" t="e">
        <f>IFERROR(VLOOKUP(Tableau119[[#This Row],[Key(Compte ILN - shipper - POL - plant)]],'DATA ILN'!A:J,10,FALSE),VLOOKUP(Tableau119[[#This Row],[Key(Compte ILN - shipper - POL)]],'DATA ILN'!B:J,9,FALSE))</f>
        <v>#N/A</v>
      </c>
      <c r="T516" s="81" t="e">
        <f>IFERROR(VLOOKUP(Tableau119[[#This Row],[Key(Compte ILN - shipper - POL - plant)]],'DATA ILN'!A:K,11,FALSE),VLOOKUP(Tableau119[[#This Row],[Key(Compte ILN - shipper - POL)]],'DATA ILN'!B:K,10,FALSE))</f>
        <v>#N/A</v>
      </c>
      <c r="U516" s="81" t="e">
        <f>IFERROR(VLOOKUP(Tableau119[[#This Row],[Key(Compte ILN - shipper - POL - plant)]],'DATA ILN'!A:L,12,FALSE),VLOOKUP(Tableau119[[#This Row],[Key(Compte ILN - shipper - POL)]],'DATA ILN'!B:L,11,FALSE))</f>
        <v>#N/A</v>
      </c>
      <c r="V516" s="81" t="e">
        <f>Tableau119[[#This Row],[Day ILN Order]]+Tableau119[[#This Row],[Delivery time to ILN/Shipper]]-1</f>
        <v>#N/A</v>
      </c>
      <c r="W516" s="81" t="e">
        <f>IFERROR(VLOOKUP(Tableau119[[#This Row],[Key(Compte ILN - shipper - POL - plant)]],'DATA ILN'!A:N,14,FALSE),VLOOKUP(Tableau119[[#This Row],[Key(Compte ILN - shipper - POL)]],'DATA ILN'!B:N,13,FALSE))</f>
        <v>#N/A</v>
      </c>
      <c r="X516" s="81" t="e">
        <f>IFERROR(VLOOKUP(Tableau119[[#This Row],[Key(Compte ILN - shipper - POL - plant)]],'DATA ILN'!A:P,16,FALSE),VLOOKUP(Tableau119[[#This Row],[Key(Compte ILN - shipper - POL)]],'DATA ILN'!B:P,15,FALSE))</f>
        <v>#N/A</v>
      </c>
      <c r="Y516" s="102" t="s">
        <v>149</v>
      </c>
      <c r="Z516" s="417">
        <f>IFERROR(VLOOKUP(Tableau119[[#This Row],[Name Shipper]],Plant_AILN!L:M,2,FALSE),0)</f>
        <v>2533780546</v>
      </c>
      <c r="AA516" s="416">
        <v>165</v>
      </c>
      <c r="AB516" s="396" t="b">
        <f>_xlfn.XLOOKUP(Tableau119[[#This Row],[Key(ID-date)]],'DATA BTO'!S:S,'DATA BTO'!E:E,FALSE)</f>
        <v>0</v>
      </c>
      <c r="AC516" s="3" t="b">
        <f>_xlfn.XLOOKUP(Tableau119[[#This Row],[Key(ID-date)]],'DATA BTO'!S:S,'DATA BTO'!F:F,FALSE)</f>
        <v>0</v>
      </c>
      <c r="AD516" s="50" t="b">
        <f>_xlfn.XLOOKUP(Tableau119[[#This Row],[Key(ID-date)]],'DATA BTO'!S:S,'DATA BTO'!G:G,FALSE)</f>
        <v>0</v>
      </c>
      <c r="AE516" s="50" t="b">
        <f>_xlfn.XLOOKUP(Tableau119[[#This Row],[Key(ID-date)]],'DATA BTO'!S:S,'DATA BTO'!H:H,FALSE)</f>
        <v>0</v>
      </c>
      <c r="AF516" s="447" t="e">
        <f>IF(Tableau119[[#This Row],[First Day to POL]]&lt;=Tableau119[[#This Row],[Day Cut Off]],Tableau119[[#This Row],[Day ETD]],Tableau119[[#This Row],[Day ETD]]+7)</f>
        <v>#N/A</v>
      </c>
      <c r="AG516" s="50" t="b">
        <f>_xlfn.XLOOKUP(Tableau119[[#This Row],[Key(ID-date)]],'DATA BTO'!S:S,'DATA BTO'!I:I,FALSE)</f>
        <v>0</v>
      </c>
      <c r="AH516" s="3" t="b">
        <f>_xlfn.XLOOKUP(Tableau119[[#This Row],[Key(ID-date)]],'DATA BTO'!S:S,'DATA BTO'!J:J,FALSE)</f>
        <v>0</v>
      </c>
      <c r="AI516" s="3" t="b">
        <f>_xlfn.XLOOKUP(Tableau119[[#This Row],[Key(ID-date)]],'DATA BTO'!S:S,'DATA BTO'!K:K,FALSE)</f>
        <v>0</v>
      </c>
      <c r="AJ516" s="50" t="b">
        <f>_xlfn.XLOOKUP(Tableau119[[#This Row],[Key(ID-date)]],'DATA BTO'!S:S,'DATA BTO'!L:L,FALSE)</f>
        <v>0</v>
      </c>
      <c r="AK516" s="53" t="b">
        <f>_xlfn.XLOOKUP(Tableau119[[#This Row],[Key(ID-date)]],'DATA BTO'!S:S,'DATA BTO'!N:N,FALSE)</f>
        <v>0</v>
      </c>
      <c r="AL516" s="54" t="e">
        <f>VLOOKUP(Tableau119[[#This Row],[Key(POD -PFI- Usine)]],'DATA Consignee'!A:F,6,FALSE)</f>
        <v>#N/A</v>
      </c>
      <c r="AM516" s="102" t="s">
        <v>155</v>
      </c>
      <c r="AN516" s="375">
        <f>IF(Tableau119[[#This Row],[Name PFI/CDD]]="","-",VLOOKUP(Tableau119[[#This Row],[Name PFI/CDD]],Plant_AILN!I:J,2,FALSE))</f>
        <v>90016600</v>
      </c>
      <c r="AO51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6" s="110" t="e">
        <f>VLOOKUP(Tableau119[[#This Row],[Key(POD -PFI- Usine)]],'DATA Consignee'!A:J,10,FALSE)</f>
        <v>#N/A</v>
      </c>
      <c r="AR516" s="81" t="e">
        <f>VLOOKUP(Tableau119[[#This Row],[Key(POD -PFI- Usine)]],'DATA Consignee'!A:N,14,FALSE)</f>
        <v>#N/A</v>
      </c>
      <c r="AS51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6" s="81">
        <f>Tableau119[[#This Row],[Transit time]]+Tableau119[[#This Row],[Time for security]]+Tableau119[[#This Row],[Time for security2 buffer]]</f>
        <v>0</v>
      </c>
      <c r="AV5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6" s="50" t="e">
        <f>Tableau119[[#This Row],[Leadtime SI2C]]+Tableau119[[#This Row],[First Receipt Days]]-Tableau119[[#This Row],[Day Customer Order]]+1</f>
        <v>#N/A</v>
      </c>
      <c r="AX516" s="119" t="e">
        <f>IF(Tableau119[[#This Row],[Name ILN]]&lt;&gt;"SFK Freight Forwarder",Tableau119[[#This Row],[Cust. Leadtime]],Tableau119[[#This Row],[Leadtime SI2C]])</f>
        <v>#N/A</v>
      </c>
      <c r="AY516" s="51" t="b">
        <f>_xlfn.XLOOKUP(Tableau119[[#This Row],[Key(ID-date)]],'DATA BTO'!S:S,'DATA BTO'!P:P,FALSE)</f>
        <v>0</v>
      </c>
      <c r="AZ516" s="388">
        <v>46142</v>
      </c>
      <c r="BA516" s="81"/>
    </row>
    <row r="517" spans="2:53">
      <c r="B517" s="66" t="str">
        <f>_xlfn.CONCAT(Tableau119[[#This Row],[Name ILN]],"-",Tableau119[[#This Row],[Name Shipper]],"-",Tableau119[[#This Row],[Name Site]])</f>
        <v>ILN Chennai-ILN Chennai-MAUBEUGE</v>
      </c>
      <c r="C517" s="66" t="str">
        <f>_xlfn.CONCAT(Tableau119[[#This Row],[Compte ILN]],"-",Tableau119[[#This Row],[Compte Shipper]],"-",Tableau119[[#This Row],[POL]],"-",Tableau119[[#This Row],[Compte Consignee]])</f>
        <v>2533780546-2533780546-FALSO-90016200</v>
      </c>
      <c r="D517" s="66" t="str">
        <f>_xlfn.CONCAT(Tableau119[[#This Row],[Compte ILN]],"-",Tableau119[[#This Row],[Compte Shipper]],"-",Tableau119[[#This Row],[POL]])</f>
        <v>2533780546-2533780546-FALSO</v>
      </c>
      <c r="E517" s="130" t="str">
        <f>_xlfn.CONCAT(Tableau119[[#This Row],[POL]],"-",Tableau119[[#This Row],[Carrier]],"-",Tableau119[[#This Row],[POD]])</f>
        <v>FALSO-FALSO-FALSO</v>
      </c>
      <c r="F517" s="66" t="str">
        <f>_xlfn.CONCAT(Tableau119[[#This Row],[ID]],"-","Actif")</f>
        <v>165-Actif</v>
      </c>
      <c r="G517" s="66" t="str">
        <f>_xlfn.CONCAT(Tableau119[[#This Row],[POD]],"-",Tableau119[[#This Row],[Code PFI]],"-",Tableau119[[#This Row],[Compte Consignee]])</f>
        <v>FALSO-90016600-90016200</v>
      </c>
      <c r="H5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ChennaiFALSOMAUBEUGE</v>
      </c>
      <c r="I517" s="434" t="str">
        <f>_xlfn.CONCAT(Tableau119[[#This Row],[ID]],"-",Tableau119[[#This Row],[Expiration Date]])</f>
        <v>165-46142</v>
      </c>
      <c r="J5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Chennai-ILN Chennai-165-FALSO-FALSO-FALSO-CDD FR-46142</v>
      </c>
      <c r="K517" s="119" t="str">
        <f ca="1">IF(COUNTIF(J:J,Tableau119[[#This Row],[Plant-ILN-shipper-POL-Carrier-POD-PFI]])=1,"Non","Oui")</f>
        <v>Non</v>
      </c>
      <c r="L517" s="128" t="str">
        <f>VLOOKUP(Tableau119[[#This Row],[Name Site]],Plant_AILN!A:D,4,FALSE)</f>
        <v>FRANCE</v>
      </c>
      <c r="M517" s="412" t="s">
        <v>210</v>
      </c>
      <c r="N517" s="454">
        <f>VLOOKUP(Tableau119[[#This Row],[Name Site]],Plant_AILN!A:C,3,FALSE)</f>
        <v>90016200</v>
      </c>
      <c r="O517" s="55">
        <f>IF(Tableau119[[#This Row],[Name PFI/CDD]]="PFI VLL",2,VLOOKUP(Tableau119[[#This Row],[Compte Consignee]],Order!C:D,2,FALSE))</f>
        <v>7</v>
      </c>
      <c r="P517" s="124" t="s">
        <v>149</v>
      </c>
      <c r="Q517" s="365">
        <f>VLOOKUP(Tableau119[[#This Row],[Name ILN]],Plant_AILN!F:G,2,FALSE)</f>
        <v>2533780546</v>
      </c>
      <c r="R517" s="50">
        <f>VLOOKUP(Tableau119[[#This Row],[Compte ILN]],'DATA ILN'!D:I,6,FALSE)</f>
        <v>9</v>
      </c>
      <c r="S517" s="50" t="e">
        <f>IFERROR(VLOOKUP(Tableau119[[#This Row],[Key(Compte ILN - shipper - POL - plant)]],'DATA ILN'!A:J,10,FALSE),VLOOKUP(Tableau119[[#This Row],[Key(Compte ILN - shipper - POL)]],'DATA ILN'!B:J,9,FALSE))</f>
        <v>#N/A</v>
      </c>
      <c r="T517" s="50" t="e">
        <f>IFERROR(VLOOKUP(Tableau119[[#This Row],[Key(Compte ILN - shipper - POL - plant)]],'DATA ILN'!A:K,11,FALSE),VLOOKUP(Tableau119[[#This Row],[Key(Compte ILN - shipper - POL)]],'DATA ILN'!B:K,10,FALSE))</f>
        <v>#N/A</v>
      </c>
      <c r="U517" s="50" t="e">
        <f>IFERROR(VLOOKUP(Tableau119[[#This Row],[Key(Compte ILN - shipper - POL - plant)]],'DATA ILN'!A:L,12,FALSE),VLOOKUP(Tableau119[[#This Row],[Key(Compte ILN - shipper - POL)]],'DATA ILN'!B:L,11,FALSE))</f>
        <v>#N/A</v>
      </c>
      <c r="V517" s="50" t="e">
        <f>Tableau119[[#This Row],[Day ILN Order]]+Tableau119[[#This Row],[Delivery time to ILN/Shipper]]-1</f>
        <v>#N/A</v>
      </c>
      <c r="W517" s="50" t="e">
        <f>IFERROR(VLOOKUP(Tableau119[[#This Row],[Key(Compte ILN - shipper - POL - plant)]],'DATA ILN'!A:N,14,FALSE),VLOOKUP(Tableau119[[#This Row],[Key(Compte ILN - shipper - POL)]],'DATA ILN'!B:N,13,FALSE))</f>
        <v>#N/A</v>
      </c>
      <c r="X517" s="50" t="e">
        <f>IFERROR(VLOOKUP(Tableau119[[#This Row],[Key(Compte ILN - shipper - POL - plant)]],'DATA ILN'!A:P,16,FALSE),VLOOKUP(Tableau119[[#This Row],[Key(Compte ILN - shipper - POL)]],'DATA ILN'!B:P,15,FALSE))</f>
        <v>#N/A</v>
      </c>
      <c r="Y517" s="284" t="s">
        <v>149</v>
      </c>
      <c r="Z517" s="430">
        <f>IFERROR(VLOOKUP(Tableau119[[#This Row],[Name Shipper]],Plant_AILN!L:M,2,FALSE),0)</f>
        <v>2533780546</v>
      </c>
      <c r="AA517" s="406">
        <v>165</v>
      </c>
      <c r="AB517" s="396" t="b">
        <f>_xlfn.XLOOKUP(Tableau119[[#This Row],[Key(ID-date)]],'DATA BTO'!S:S,'DATA BTO'!E:E,FALSE)</f>
        <v>0</v>
      </c>
      <c r="AC517" s="3" t="b">
        <f>_xlfn.XLOOKUP(Tableau119[[#This Row],[Key(ID-date)]],'DATA BTO'!S:S,'DATA BTO'!F:F,FALSE)</f>
        <v>0</v>
      </c>
      <c r="AD517" s="50" t="b">
        <f>_xlfn.XLOOKUP(Tableau119[[#This Row],[Key(ID-date)]],'DATA BTO'!S:S,'DATA BTO'!G:G,FALSE)</f>
        <v>0</v>
      </c>
      <c r="AE517" s="50" t="b">
        <f>_xlfn.XLOOKUP(Tableau119[[#This Row],[Key(ID-date)]],'DATA BTO'!S:S,'DATA BTO'!H:H,FALSE)</f>
        <v>0</v>
      </c>
      <c r="AF517" s="447" t="e">
        <f>IF(Tableau119[[#This Row],[First Day to POL]]&lt;=Tableau119[[#This Row],[Day Cut Off]],Tableau119[[#This Row],[Day ETD]],Tableau119[[#This Row],[Day ETD]]+7)</f>
        <v>#N/A</v>
      </c>
      <c r="AG517" s="50" t="b">
        <f>_xlfn.XLOOKUP(Tableau119[[#This Row],[Key(ID-date)]],'DATA BTO'!S:S,'DATA BTO'!I:I,FALSE)</f>
        <v>0</v>
      </c>
      <c r="AH517" s="3" t="b">
        <f>_xlfn.XLOOKUP(Tableau119[[#This Row],[Key(ID-date)]],'DATA BTO'!S:S,'DATA BTO'!J:J,FALSE)</f>
        <v>0</v>
      </c>
      <c r="AI517" s="3" t="b">
        <f>_xlfn.XLOOKUP(Tableau119[[#This Row],[Key(ID-date)]],'DATA BTO'!S:S,'DATA BTO'!K:K,FALSE)</f>
        <v>0</v>
      </c>
      <c r="AJ517" s="50" t="b">
        <f>_xlfn.XLOOKUP(Tableau119[[#This Row],[Key(ID-date)]],'DATA BTO'!S:S,'DATA BTO'!L:L,FALSE)</f>
        <v>0</v>
      </c>
      <c r="AK517" s="53" t="b">
        <f>_xlfn.XLOOKUP(Tableau119[[#This Row],[Key(ID-date)]],'DATA BTO'!S:S,'DATA BTO'!N:N,FALSE)</f>
        <v>0</v>
      </c>
      <c r="AL517" s="54" t="e">
        <f>VLOOKUP(Tableau119[[#This Row],[Key(POD -PFI- Usine)]],'DATA Consignee'!A:F,6,FALSE)</f>
        <v>#N/A</v>
      </c>
      <c r="AM517" s="284" t="s">
        <v>155</v>
      </c>
      <c r="AN517" s="376">
        <f>IF(Tableau119[[#This Row],[Name PFI/CDD]]="","-",VLOOKUP(Tableau119[[#This Row],[Name PFI/CDD]],Plant_AILN!I:J,2,FALSE))</f>
        <v>90016600</v>
      </c>
      <c r="AO5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7" s="2" t="e">
        <f>VLOOKUP(Tableau119[[#This Row],[Key(POD -PFI- Usine)]],'DATA Consignee'!A:J,10,FALSE)</f>
        <v>#N/A</v>
      </c>
      <c r="AR517" s="50" t="e">
        <f>VLOOKUP(Tableau119[[#This Row],[Key(POD -PFI- Usine)]],'DATA Consignee'!A:N,14,FALSE)</f>
        <v>#N/A</v>
      </c>
      <c r="AS5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7" s="50">
        <f>Tableau119[[#This Row],[Transit time]]+Tableau119[[#This Row],[Time for security]]+Tableau119[[#This Row],[Time for security2 buffer]]</f>
        <v>0</v>
      </c>
      <c r="AV5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7" s="50" t="e">
        <f>Tableau119[[#This Row],[Leadtime SI2C]]+Tableau119[[#This Row],[First Receipt Days]]-Tableau119[[#This Row],[Day Customer Order]]+1</f>
        <v>#N/A</v>
      </c>
      <c r="AX517" s="119" t="e">
        <f>IF(Tableau119[[#This Row],[Name ILN]]&lt;&gt;"SFK Freight Forwarder",Tableau119[[#This Row],[Cust. Leadtime]],Tableau119[[#This Row],[Leadtime SI2C]])</f>
        <v>#N/A</v>
      </c>
      <c r="AY517" s="51" t="b">
        <f>_xlfn.XLOOKUP(Tableau119[[#This Row],[Key(ID-date)]],'DATA BTO'!S:S,'DATA BTO'!P:P,FALSE)</f>
        <v>0</v>
      </c>
      <c r="AZ517" s="338">
        <v>46142</v>
      </c>
      <c r="BA517" s="50"/>
    </row>
    <row r="518" spans="2:53">
      <c r="B518" s="66" t="str">
        <f>_xlfn.CONCAT(Tableau119[[#This Row],[Name ILN]],"-",Tableau119[[#This Row],[Name Shipper]],"-",Tableau119[[#This Row],[Name Site]])</f>
        <v>ILN Chennai-ILN Chennai-SANDOUVILLE</v>
      </c>
      <c r="C518" s="66" t="str">
        <f>_xlfn.CONCAT(Tableau119[[#This Row],[Compte ILN]],"-",Tableau119[[#This Row],[Compte Shipper]],"-",Tableau119[[#This Row],[POL]],"-",Tableau119[[#This Row],[Compte Consignee]])</f>
        <v>2533780546-2533780546-FALSO-90017100</v>
      </c>
      <c r="D518" s="66" t="str">
        <f>_xlfn.CONCAT(Tableau119[[#This Row],[Compte ILN]],"-",Tableau119[[#This Row],[Compte Shipper]],"-",Tableau119[[#This Row],[POL]])</f>
        <v>2533780546-2533780546-FALSO</v>
      </c>
      <c r="E518" s="130" t="str">
        <f>_xlfn.CONCAT(Tableau119[[#This Row],[POL]],"-",Tableau119[[#This Row],[Carrier]],"-",Tableau119[[#This Row],[POD]])</f>
        <v>FALSO-FALSO-FALSO</v>
      </c>
      <c r="F518" s="66" t="str">
        <f>_xlfn.CONCAT(Tableau119[[#This Row],[ID]],"-","Actif")</f>
        <v>165-Actif</v>
      </c>
      <c r="G518" s="66" t="str">
        <f>_xlfn.CONCAT(Tableau119[[#This Row],[POD]],"-",Tableau119[[#This Row],[Code PFI]],"-",Tableau119[[#This Row],[Compte Consignee]])</f>
        <v>FALSO-90016600-90017100</v>
      </c>
      <c r="H5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ChennaiFALSOSANDOUVILLE</v>
      </c>
      <c r="I518" s="434" t="str">
        <f>_xlfn.CONCAT(Tableau119[[#This Row],[ID]],"-",Tableau119[[#This Row],[Expiration Date]])</f>
        <v>165-46142</v>
      </c>
      <c r="J5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Chennai-ILN Chennai-165-FALSO-FALSO-FALSO-CDD FR-46142</v>
      </c>
      <c r="K518" s="119" t="str">
        <f ca="1">IF(COUNTIF(J:J,Tableau119[[#This Row],[Plant-ILN-shipper-POL-Carrier-POD-PFI]])=1,"Non","Oui")</f>
        <v>Non</v>
      </c>
      <c r="L518" s="128" t="str">
        <f>VLOOKUP(Tableau119[[#This Row],[Name Site]],Plant_AILN!A:D,4,FALSE)</f>
        <v>FRANCE</v>
      </c>
      <c r="M518" s="412" t="s">
        <v>196</v>
      </c>
      <c r="N518" s="454">
        <f>VLOOKUP(Tableau119[[#This Row],[Name Site]],Plant_AILN!A:C,3,FALSE)</f>
        <v>90017100</v>
      </c>
      <c r="O518" s="55">
        <f>IF(Tableau119[[#This Row],[Name PFI/CDD]]="PFI VLL",2,VLOOKUP(Tableau119[[#This Row],[Compte Consignee]],Order!C:D,2,FALSE))</f>
        <v>7</v>
      </c>
      <c r="P518" s="124" t="s">
        <v>149</v>
      </c>
      <c r="Q518" s="365">
        <f>VLOOKUP(Tableau119[[#This Row],[Name ILN]],Plant_AILN!F:G,2,FALSE)</f>
        <v>2533780546</v>
      </c>
      <c r="R518" s="50">
        <f>VLOOKUP(Tableau119[[#This Row],[Compte ILN]],'DATA ILN'!D:I,6,FALSE)</f>
        <v>9</v>
      </c>
      <c r="S518" s="50" t="e">
        <f>IFERROR(VLOOKUP(Tableau119[[#This Row],[Key(Compte ILN - shipper - POL - plant)]],'DATA ILN'!A:J,10,FALSE),VLOOKUP(Tableau119[[#This Row],[Key(Compte ILN - shipper - POL)]],'DATA ILN'!B:J,9,FALSE))</f>
        <v>#N/A</v>
      </c>
      <c r="T518" s="50" t="e">
        <f>IFERROR(VLOOKUP(Tableau119[[#This Row],[Key(Compte ILN - shipper - POL - plant)]],'DATA ILN'!A:K,11,FALSE),VLOOKUP(Tableau119[[#This Row],[Key(Compte ILN - shipper - POL)]],'DATA ILN'!B:K,10,FALSE))</f>
        <v>#N/A</v>
      </c>
      <c r="U518" s="50" t="e">
        <f>IFERROR(VLOOKUP(Tableau119[[#This Row],[Key(Compte ILN - shipper - POL - plant)]],'DATA ILN'!A:L,12,FALSE),VLOOKUP(Tableau119[[#This Row],[Key(Compte ILN - shipper - POL)]],'DATA ILN'!B:L,11,FALSE))</f>
        <v>#N/A</v>
      </c>
      <c r="V518" s="50" t="e">
        <f>Tableau119[[#This Row],[Day ILN Order]]+Tableau119[[#This Row],[Delivery time to ILN/Shipper]]-1</f>
        <v>#N/A</v>
      </c>
      <c r="W518" s="50" t="e">
        <f>IFERROR(VLOOKUP(Tableau119[[#This Row],[Key(Compte ILN - shipper - POL - plant)]],'DATA ILN'!A:N,14,FALSE),VLOOKUP(Tableau119[[#This Row],[Key(Compte ILN - shipper - POL)]],'DATA ILN'!B:N,13,FALSE))</f>
        <v>#N/A</v>
      </c>
      <c r="X518" s="50" t="e">
        <f>IFERROR(VLOOKUP(Tableau119[[#This Row],[Key(Compte ILN - shipper - POL - plant)]],'DATA ILN'!A:P,16,FALSE),VLOOKUP(Tableau119[[#This Row],[Key(Compte ILN - shipper - POL)]],'DATA ILN'!B:P,15,FALSE))</f>
        <v>#N/A</v>
      </c>
      <c r="Y518" s="284" t="s">
        <v>149</v>
      </c>
      <c r="Z518" s="430">
        <f>IFERROR(VLOOKUP(Tableau119[[#This Row],[Name Shipper]],Plant_AILN!L:M,2,FALSE),0)</f>
        <v>2533780546</v>
      </c>
      <c r="AA518" s="406">
        <v>165</v>
      </c>
      <c r="AB518" s="396" t="b">
        <f>_xlfn.XLOOKUP(Tableau119[[#This Row],[Key(ID-date)]],'DATA BTO'!S:S,'DATA BTO'!E:E,FALSE)</f>
        <v>0</v>
      </c>
      <c r="AC518" s="3" t="b">
        <f>_xlfn.XLOOKUP(Tableau119[[#This Row],[Key(ID-date)]],'DATA BTO'!S:S,'DATA BTO'!F:F,FALSE)</f>
        <v>0</v>
      </c>
      <c r="AD518" s="50" t="b">
        <f>_xlfn.XLOOKUP(Tableau119[[#This Row],[Key(ID-date)]],'DATA BTO'!S:S,'DATA BTO'!G:G,FALSE)</f>
        <v>0</v>
      </c>
      <c r="AE518" s="50" t="b">
        <f>_xlfn.XLOOKUP(Tableau119[[#This Row],[Key(ID-date)]],'DATA BTO'!S:S,'DATA BTO'!H:H,FALSE)</f>
        <v>0</v>
      </c>
      <c r="AF518" s="447" t="e">
        <f>IF(Tableau119[[#This Row],[First Day to POL]]&lt;=Tableau119[[#This Row],[Day Cut Off]],Tableau119[[#This Row],[Day ETD]],Tableau119[[#This Row],[Day ETD]]+7)</f>
        <v>#N/A</v>
      </c>
      <c r="AG518" s="50" t="b">
        <f>_xlfn.XLOOKUP(Tableau119[[#This Row],[Key(ID-date)]],'DATA BTO'!S:S,'DATA BTO'!I:I,FALSE)</f>
        <v>0</v>
      </c>
      <c r="AH518" s="3" t="b">
        <f>_xlfn.XLOOKUP(Tableau119[[#This Row],[Key(ID-date)]],'DATA BTO'!S:S,'DATA BTO'!J:J,FALSE)</f>
        <v>0</v>
      </c>
      <c r="AI518" s="3" t="b">
        <f>_xlfn.XLOOKUP(Tableau119[[#This Row],[Key(ID-date)]],'DATA BTO'!S:S,'DATA BTO'!K:K,FALSE)</f>
        <v>0</v>
      </c>
      <c r="AJ518" s="50" t="b">
        <f>_xlfn.XLOOKUP(Tableau119[[#This Row],[Key(ID-date)]],'DATA BTO'!S:S,'DATA BTO'!L:L,FALSE)</f>
        <v>0</v>
      </c>
      <c r="AK518" s="53" t="b">
        <f>_xlfn.XLOOKUP(Tableau119[[#This Row],[Key(ID-date)]],'DATA BTO'!S:S,'DATA BTO'!N:N,FALSE)</f>
        <v>0</v>
      </c>
      <c r="AL518" s="54" t="e">
        <f>VLOOKUP(Tableau119[[#This Row],[Key(POD -PFI- Usine)]],'DATA Consignee'!A:F,6,FALSE)</f>
        <v>#N/A</v>
      </c>
      <c r="AM518" s="284" t="s">
        <v>155</v>
      </c>
      <c r="AN518" s="376">
        <f>IF(Tableau119[[#This Row],[Name PFI/CDD]]="","-",VLOOKUP(Tableau119[[#This Row],[Name PFI/CDD]],Plant_AILN!I:J,2,FALSE))</f>
        <v>90016600</v>
      </c>
      <c r="AO5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8" s="2" t="e">
        <f>VLOOKUP(Tableau119[[#This Row],[Key(POD -PFI- Usine)]],'DATA Consignee'!A:J,10,FALSE)</f>
        <v>#N/A</v>
      </c>
      <c r="AR518" s="50" t="e">
        <f>VLOOKUP(Tableau119[[#This Row],[Key(POD -PFI- Usine)]],'DATA Consignee'!A:N,14,FALSE)</f>
        <v>#N/A</v>
      </c>
      <c r="AS51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8" s="50">
        <f>Tableau119[[#This Row],[Transit time]]+Tableau119[[#This Row],[Time for security]]+Tableau119[[#This Row],[Time for security2 buffer]]</f>
        <v>0</v>
      </c>
      <c r="AV5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8" s="50" t="e">
        <f>Tableau119[[#This Row],[Leadtime SI2C]]+Tableau119[[#This Row],[First Receipt Days]]-Tableau119[[#This Row],[Day Customer Order]]+1</f>
        <v>#N/A</v>
      </c>
      <c r="AX518" s="119" t="e">
        <f>IF(Tableau119[[#This Row],[Name ILN]]&lt;&gt;"SFK Freight Forwarder",Tableau119[[#This Row],[Cust. Leadtime]],Tableau119[[#This Row],[Leadtime SI2C]])</f>
        <v>#N/A</v>
      </c>
      <c r="AY518" s="51" t="b">
        <f>_xlfn.XLOOKUP(Tableau119[[#This Row],[Key(ID-date)]],'DATA BTO'!S:S,'DATA BTO'!P:P,FALSE)</f>
        <v>0</v>
      </c>
      <c r="AZ518" s="338">
        <v>46142</v>
      </c>
      <c r="BA518" s="50"/>
    </row>
    <row r="519" spans="2:53">
      <c r="B519" s="66" t="str">
        <f>_xlfn.CONCAT(Tableau119[[#This Row],[Name ILN]],"-",Tableau119[[#This Row],[Name Shipper]],"-",Tableau119[[#This Row],[Name Site]])</f>
        <v>ILN Chennai-ILN Chennai-SOVAB</v>
      </c>
      <c r="C519" s="66" t="str">
        <f>_xlfn.CONCAT(Tableau119[[#This Row],[Compte ILN]],"-",Tableau119[[#This Row],[Compte Shipper]],"-",Tableau119[[#This Row],[POL]],"-",Tableau119[[#This Row],[Compte Consignee]])</f>
        <v>2533780546-2533780546-FALSO-90016900</v>
      </c>
      <c r="D519" s="66" t="str">
        <f>_xlfn.CONCAT(Tableau119[[#This Row],[Compte ILN]],"-",Tableau119[[#This Row],[Compte Shipper]],"-",Tableau119[[#This Row],[POL]])</f>
        <v>2533780546-2533780546-FALSO</v>
      </c>
      <c r="E519" s="130" t="str">
        <f>_xlfn.CONCAT(Tableau119[[#This Row],[POL]],"-",Tableau119[[#This Row],[Carrier]],"-",Tableau119[[#This Row],[POD]])</f>
        <v>FALSO-FALSO-FALSO</v>
      </c>
      <c r="F519" s="66" t="str">
        <f>_xlfn.CONCAT(Tableau119[[#This Row],[ID]],"-","Actif")</f>
        <v>165-Actif</v>
      </c>
      <c r="G519" s="66" t="str">
        <f>_xlfn.CONCAT(Tableau119[[#This Row],[POD]],"-",Tableau119[[#This Row],[Code PFI]],"-",Tableau119[[#This Row],[Compte Consignee]])</f>
        <v>FALSO-90016600-90016900</v>
      </c>
      <c r="H5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ChennaiFALSOSOVAB</v>
      </c>
      <c r="I519" s="434" t="str">
        <f>_xlfn.CONCAT(Tableau119[[#This Row],[ID]],"-",Tableau119[[#This Row],[Expiration Date]])</f>
        <v>165-46142</v>
      </c>
      <c r="J5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Chennai-ILN Chennai-165-FALSO-FALSO-FALSO-CDD FR-46142</v>
      </c>
      <c r="K519" s="119" t="str">
        <f ca="1">IF(COUNTIF(J:J,Tableau119[[#This Row],[Plant-ILN-shipper-POL-Carrier-POD-PFI]])=1,"Non","Oui")</f>
        <v>Non</v>
      </c>
      <c r="L519" s="128" t="str">
        <f>VLOOKUP(Tableau119[[#This Row],[Name Site]],Plant_AILN!A:D,4,FALSE)</f>
        <v>FRANCE</v>
      </c>
      <c r="M519" s="484" t="s">
        <v>154</v>
      </c>
      <c r="N519" s="455">
        <f>VLOOKUP(Tableau119[[#This Row],[Name Site]],Plant_AILN!A:C,3,FALSE)</f>
        <v>90016900</v>
      </c>
      <c r="O519" s="104">
        <f>IF(Tableau119[[#This Row],[Name PFI/CDD]]="PFI VLL",2,VLOOKUP(Tableau119[[#This Row],[Compte Consignee]],Order!C:D,2,FALSE))</f>
        <v>7</v>
      </c>
      <c r="P519" s="126" t="s">
        <v>149</v>
      </c>
      <c r="Q519" s="366">
        <f>VLOOKUP(Tableau119[[#This Row],[Name ILN]],Plant_AILN!F:G,2,FALSE)</f>
        <v>2533780546</v>
      </c>
      <c r="R519" s="81">
        <f>VLOOKUP(Tableau119[[#This Row],[Compte ILN]],'DATA ILN'!D:I,6,FALSE)</f>
        <v>9</v>
      </c>
      <c r="S519" s="81" t="e">
        <f>IFERROR(VLOOKUP(Tableau119[[#This Row],[Key(Compte ILN - shipper - POL - plant)]],'DATA ILN'!A:J,10,FALSE),VLOOKUP(Tableau119[[#This Row],[Key(Compte ILN - shipper - POL)]],'DATA ILN'!B:J,9,FALSE))</f>
        <v>#N/A</v>
      </c>
      <c r="T519" s="81" t="e">
        <f>IFERROR(VLOOKUP(Tableau119[[#This Row],[Key(Compte ILN - shipper - POL - plant)]],'DATA ILN'!A:K,11,FALSE),VLOOKUP(Tableau119[[#This Row],[Key(Compte ILN - shipper - POL)]],'DATA ILN'!B:K,10,FALSE))</f>
        <v>#N/A</v>
      </c>
      <c r="U519" s="81" t="e">
        <f>IFERROR(VLOOKUP(Tableau119[[#This Row],[Key(Compte ILN - shipper - POL - plant)]],'DATA ILN'!A:L,12,FALSE),VLOOKUP(Tableau119[[#This Row],[Key(Compte ILN - shipper - POL)]],'DATA ILN'!B:L,11,FALSE))</f>
        <v>#N/A</v>
      </c>
      <c r="V519" s="81" t="e">
        <f>Tableau119[[#This Row],[Day ILN Order]]+Tableau119[[#This Row],[Delivery time to ILN/Shipper]]-1</f>
        <v>#N/A</v>
      </c>
      <c r="W519" s="81" t="e">
        <f>IFERROR(VLOOKUP(Tableau119[[#This Row],[Key(Compte ILN - shipper - POL - plant)]],'DATA ILN'!A:N,14,FALSE),VLOOKUP(Tableau119[[#This Row],[Key(Compte ILN - shipper - POL)]],'DATA ILN'!B:N,13,FALSE))</f>
        <v>#N/A</v>
      </c>
      <c r="X519" s="81" t="e">
        <f>IFERROR(VLOOKUP(Tableau119[[#This Row],[Key(Compte ILN - shipper - POL - plant)]],'DATA ILN'!A:P,16,FALSE),VLOOKUP(Tableau119[[#This Row],[Key(Compte ILN - shipper - POL)]],'DATA ILN'!B:P,15,FALSE))</f>
        <v>#N/A</v>
      </c>
      <c r="Y519" s="102" t="s">
        <v>149</v>
      </c>
      <c r="Z519" s="417">
        <f>IFERROR(VLOOKUP(Tableau119[[#This Row],[Name Shipper]],Plant_AILN!L:M,2,FALSE),0)</f>
        <v>2533780546</v>
      </c>
      <c r="AA519" s="416">
        <v>165</v>
      </c>
      <c r="AB519" s="396" t="b">
        <f>_xlfn.XLOOKUP(Tableau119[[#This Row],[Key(ID-date)]],'DATA BTO'!S:S,'DATA BTO'!E:E,FALSE)</f>
        <v>0</v>
      </c>
      <c r="AC519" s="3" t="b">
        <f>_xlfn.XLOOKUP(Tableau119[[#This Row],[Key(ID-date)]],'DATA BTO'!S:S,'DATA BTO'!F:F,FALSE)</f>
        <v>0</v>
      </c>
      <c r="AD519" s="50" t="b">
        <f>_xlfn.XLOOKUP(Tableau119[[#This Row],[Key(ID-date)]],'DATA BTO'!S:S,'DATA BTO'!G:G,FALSE)</f>
        <v>0</v>
      </c>
      <c r="AE519" s="50" t="b">
        <f>_xlfn.XLOOKUP(Tableau119[[#This Row],[Key(ID-date)]],'DATA BTO'!S:S,'DATA BTO'!H:H,FALSE)</f>
        <v>0</v>
      </c>
      <c r="AF519" s="447" t="e">
        <f>IF(Tableau119[[#This Row],[First Day to POL]]&lt;=Tableau119[[#This Row],[Day Cut Off]],Tableau119[[#This Row],[Day ETD]],Tableau119[[#This Row],[Day ETD]]+7)</f>
        <v>#N/A</v>
      </c>
      <c r="AG519" s="50" t="b">
        <f>_xlfn.XLOOKUP(Tableau119[[#This Row],[Key(ID-date)]],'DATA BTO'!S:S,'DATA BTO'!I:I,FALSE)</f>
        <v>0</v>
      </c>
      <c r="AH519" s="3" t="b">
        <f>_xlfn.XLOOKUP(Tableau119[[#This Row],[Key(ID-date)]],'DATA BTO'!S:S,'DATA BTO'!J:J,FALSE)</f>
        <v>0</v>
      </c>
      <c r="AI519" s="3" t="b">
        <f>_xlfn.XLOOKUP(Tableau119[[#This Row],[Key(ID-date)]],'DATA BTO'!S:S,'DATA BTO'!K:K,FALSE)</f>
        <v>0</v>
      </c>
      <c r="AJ519" s="50" t="b">
        <f>_xlfn.XLOOKUP(Tableau119[[#This Row],[Key(ID-date)]],'DATA BTO'!S:S,'DATA BTO'!L:L,FALSE)</f>
        <v>0</v>
      </c>
      <c r="AK519" s="53" t="b">
        <f>_xlfn.XLOOKUP(Tableau119[[#This Row],[Key(ID-date)]],'DATA BTO'!S:S,'DATA BTO'!N:N,FALSE)</f>
        <v>0</v>
      </c>
      <c r="AL519" s="54" t="e">
        <f>VLOOKUP(Tableau119[[#This Row],[Key(POD -PFI- Usine)]],'DATA Consignee'!A:F,6,FALSE)</f>
        <v>#N/A</v>
      </c>
      <c r="AM519" s="102" t="s">
        <v>155</v>
      </c>
      <c r="AN519" s="375">
        <f>IF(Tableau119[[#This Row],[Name PFI/CDD]]="","-",VLOOKUP(Tableau119[[#This Row],[Name PFI/CDD]],Plant_AILN!I:J,2,FALSE))</f>
        <v>90016600</v>
      </c>
      <c r="AO51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1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19" s="110" t="e">
        <f>VLOOKUP(Tableau119[[#This Row],[Key(POD -PFI- Usine)]],'DATA Consignee'!A:J,10,FALSE)</f>
        <v>#N/A</v>
      </c>
      <c r="AR519" s="81" t="e">
        <f>VLOOKUP(Tableau119[[#This Row],[Key(POD -PFI- Usine)]],'DATA Consignee'!A:N,14,FALSE)</f>
        <v>#N/A</v>
      </c>
      <c r="AS51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1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19" s="81">
        <f>Tableau119[[#This Row],[Transit time]]+Tableau119[[#This Row],[Time for security]]+Tableau119[[#This Row],[Time for security2 buffer]]</f>
        <v>0</v>
      </c>
      <c r="AV5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19" s="50" t="e">
        <f>Tableau119[[#This Row],[Leadtime SI2C]]+Tableau119[[#This Row],[First Receipt Days]]-Tableau119[[#This Row],[Day Customer Order]]+1</f>
        <v>#N/A</v>
      </c>
      <c r="AX519" s="119" t="e">
        <f>IF(Tableau119[[#This Row],[Name ILN]]&lt;&gt;"SFK Freight Forwarder",Tableau119[[#This Row],[Cust. Leadtime]],Tableau119[[#This Row],[Leadtime SI2C]])</f>
        <v>#N/A</v>
      </c>
      <c r="AY519" s="51" t="b">
        <f>_xlfn.XLOOKUP(Tableau119[[#This Row],[Key(ID-date)]],'DATA BTO'!S:S,'DATA BTO'!P:P,FALSE)</f>
        <v>0</v>
      </c>
      <c r="AZ519" s="388">
        <v>46142</v>
      </c>
      <c r="BA519" s="81"/>
    </row>
    <row r="520" spans="2:53">
      <c r="B520" s="66" t="str">
        <f>_xlfn.CONCAT(Tableau119[[#This Row],[Name ILN]],"-",Tableau119[[#This Row],[Name Shipper]],"-",Tableau119[[#This Row],[Name Site]])</f>
        <v>ILN Chennai-ILN Chennai-STA</v>
      </c>
      <c r="C520" s="66" t="str">
        <f>_xlfn.CONCAT(Tableau119[[#This Row],[Compte ILN]],"-",Tableau119[[#This Row],[Compte Shipper]],"-",Tableau119[[#This Row],[POL]],"-",Tableau119[[#This Row],[Compte Consignee]])</f>
        <v>2533780546-2533780546-FALSO-90018400</v>
      </c>
      <c r="D520" s="66" t="str">
        <f>_xlfn.CONCAT(Tableau119[[#This Row],[Compte ILN]],"-",Tableau119[[#This Row],[Compte Shipper]],"-",Tableau119[[#This Row],[POL]])</f>
        <v>2533780546-2533780546-FALSO</v>
      </c>
      <c r="E520" s="130" t="str">
        <f>_xlfn.CONCAT(Tableau119[[#This Row],[POL]],"-",Tableau119[[#This Row],[Carrier]],"-",Tableau119[[#This Row],[POD]])</f>
        <v>FALSO-FALSO-FALSO</v>
      </c>
      <c r="F520" s="66" t="str">
        <f>_xlfn.CONCAT(Tableau119[[#This Row],[ID]],"-","Actif")</f>
        <v>165-Actif</v>
      </c>
      <c r="G520" s="66" t="str">
        <f>_xlfn.CONCAT(Tableau119[[#This Row],[POD]],"-",Tableau119[[#This Row],[Code PFI]],"-",Tableau119[[#This Row],[Compte Consignee]])</f>
        <v>FALSO-90016600-90018400</v>
      </c>
      <c r="H5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ChennaiFALSOSTA</v>
      </c>
      <c r="I520" s="434" t="str">
        <f>_xlfn.CONCAT(Tableau119[[#This Row],[ID]],"-",Tableau119[[#This Row],[Expiration Date]])</f>
        <v>165-46142</v>
      </c>
      <c r="J5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Chennai-ILN Chennai-165-FALSO-FALSO-FALSO-PFI FR-46142</v>
      </c>
      <c r="K520" s="119" t="str">
        <f ca="1">IF(COUNTIF(J:J,Tableau119[[#This Row],[Plant-ILN-shipper-POL-Carrier-POD-PFI]])=1,"Non","Oui")</f>
        <v>Non</v>
      </c>
      <c r="L520" s="436" t="str">
        <f>VLOOKUP(Tableau119[[#This Row],[Name Site]],Plant_AILN!A:D,4,FALSE)</f>
        <v>FRANCE</v>
      </c>
      <c r="M520" s="411" t="s">
        <v>219</v>
      </c>
      <c r="N520" s="454">
        <f>VLOOKUP(Tableau119[[#This Row],[Name Site]],Plant_AILN!A:C,3,FALSE)</f>
        <v>90018400</v>
      </c>
      <c r="O520" s="55">
        <f>IF(Tableau119[[#This Row],[Name PFI/CDD]]="PFI VLL",2,VLOOKUP(Tableau119[[#This Row],[Compte Consignee]],Order!C:D,2,FALSE))</f>
        <v>7</v>
      </c>
      <c r="P520" s="124" t="s">
        <v>149</v>
      </c>
      <c r="Q520" s="365">
        <f>VLOOKUP(Tableau119[[#This Row],[Name ILN]],Plant_AILN!F:G,2,FALSE)</f>
        <v>2533780546</v>
      </c>
      <c r="R520" s="50">
        <f>VLOOKUP(Tableau119[[#This Row],[Compte ILN]],'DATA ILN'!D:I,6,FALSE)</f>
        <v>9</v>
      </c>
      <c r="S520" s="50" t="e">
        <f>IFERROR(VLOOKUP(Tableau119[[#This Row],[Key(Compte ILN - shipper - POL - plant)]],'DATA ILN'!A:J,10,FALSE),VLOOKUP(Tableau119[[#This Row],[Key(Compte ILN - shipper - POL)]],'DATA ILN'!B:J,9,FALSE))</f>
        <v>#N/A</v>
      </c>
      <c r="T520" s="50" t="e">
        <f>IFERROR(VLOOKUP(Tableau119[[#This Row],[Key(Compte ILN - shipper - POL - plant)]],'DATA ILN'!A:K,11,FALSE),VLOOKUP(Tableau119[[#This Row],[Key(Compte ILN - shipper - POL)]],'DATA ILN'!B:K,10,FALSE))</f>
        <v>#N/A</v>
      </c>
      <c r="U520" s="50" t="e">
        <f>IFERROR(VLOOKUP(Tableau119[[#This Row],[Key(Compte ILN - shipper - POL - plant)]],'DATA ILN'!A:L,12,FALSE),VLOOKUP(Tableau119[[#This Row],[Key(Compte ILN - shipper - POL)]],'DATA ILN'!B:L,11,FALSE))</f>
        <v>#N/A</v>
      </c>
      <c r="V520" s="50" t="e">
        <f>Tableau119[[#This Row],[Day ILN Order]]+Tableau119[[#This Row],[Delivery time to ILN/Shipper]]-1</f>
        <v>#N/A</v>
      </c>
      <c r="W520" s="50" t="e">
        <f>IFERROR(VLOOKUP(Tableau119[[#This Row],[Key(Compte ILN - shipper - POL - plant)]],'DATA ILN'!A:N,14,FALSE),VLOOKUP(Tableau119[[#This Row],[Key(Compte ILN - shipper - POL)]],'DATA ILN'!B:N,13,FALSE))</f>
        <v>#N/A</v>
      </c>
      <c r="X520" s="50" t="e">
        <f>IFERROR(VLOOKUP(Tableau119[[#This Row],[Key(Compte ILN - shipper - POL - plant)]],'DATA ILN'!A:P,16,FALSE),VLOOKUP(Tableau119[[#This Row],[Key(Compte ILN - shipper - POL)]],'DATA ILN'!B:P,15,FALSE))</f>
        <v>#N/A</v>
      </c>
      <c r="Y520" s="284" t="s">
        <v>149</v>
      </c>
      <c r="Z520" s="430">
        <f>IFERROR(VLOOKUP(Tableau119[[#This Row],[Name Shipper]],Plant_AILN!L:M,2,FALSE),0)</f>
        <v>2533780546</v>
      </c>
      <c r="AA520" s="406">
        <v>165</v>
      </c>
      <c r="AB520" s="396" t="b">
        <f>_xlfn.XLOOKUP(Tableau119[[#This Row],[Key(ID-date)]],'DATA BTO'!S:S,'DATA BTO'!E:E,FALSE)</f>
        <v>0</v>
      </c>
      <c r="AC520" s="3" t="b">
        <f>_xlfn.XLOOKUP(Tableau119[[#This Row],[Key(ID-date)]],'DATA BTO'!S:S,'DATA BTO'!F:F,FALSE)</f>
        <v>0</v>
      </c>
      <c r="AD520" s="50" t="b">
        <f>_xlfn.XLOOKUP(Tableau119[[#This Row],[Key(ID-date)]],'DATA BTO'!S:S,'DATA BTO'!G:G,FALSE)</f>
        <v>0</v>
      </c>
      <c r="AE520" s="50" t="b">
        <f>_xlfn.XLOOKUP(Tableau119[[#This Row],[Key(ID-date)]],'DATA BTO'!S:S,'DATA BTO'!H:H,FALSE)</f>
        <v>0</v>
      </c>
      <c r="AF520" s="447" t="e">
        <f>IF(Tableau119[[#This Row],[First Day to POL]]&lt;=Tableau119[[#This Row],[Day Cut Off]],Tableau119[[#This Row],[Day ETD]],Tableau119[[#This Row],[Day ETD]]+7)</f>
        <v>#N/A</v>
      </c>
      <c r="AG520" s="50" t="b">
        <f>_xlfn.XLOOKUP(Tableau119[[#This Row],[Key(ID-date)]],'DATA BTO'!S:S,'DATA BTO'!I:I,FALSE)</f>
        <v>0</v>
      </c>
      <c r="AH520" s="3" t="b">
        <f>_xlfn.XLOOKUP(Tableau119[[#This Row],[Key(ID-date)]],'DATA BTO'!S:S,'DATA BTO'!J:J,FALSE)</f>
        <v>0</v>
      </c>
      <c r="AI520" s="3" t="b">
        <f>_xlfn.XLOOKUP(Tableau119[[#This Row],[Key(ID-date)]],'DATA BTO'!S:S,'DATA BTO'!K:K,FALSE)</f>
        <v>0</v>
      </c>
      <c r="AJ520" s="50" t="b">
        <f>_xlfn.XLOOKUP(Tableau119[[#This Row],[Key(ID-date)]],'DATA BTO'!S:S,'DATA BTO'!L:L,FALSE)</f>
        <v>0</v>
      </c>
      <c r="AK520" s="53" t="b">
        <f>_xlfn.XLOOKUP(Tableau119[[#This Row],[Key(ID-date)]],'DATA BTO'!S:S,'DATA BTO'!N:N,FALSE)</f>
        <v>0</v>
      </c>
      <c r="AL520" s="54" t="e">
        <f>VLOOKUP(Tableau119[[#This Row],[Key(POD -PFI- Usine)]],'DATA Consignee'!A:F,6,FALSE)</f>
        <v>#N/A</v>
      </c>
      <c r="AM520" s="284" t="s">
        <v>270</v>
      </c>
      <c r="AN520" s="376">
        <f>IF(Tableau119[[#This Row],[Name PFI/CDD]]="","-",VLOOKUP(Tableau119[[#This Row],[Name PFI/CDD]],Plant_AILN!I:J,2,FALSE))</f>
        <v>90016600</v>
      </c>
      <c r="AO5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0" s="2" t="e">
        <f>VLOOKUP(Tableau119[[#This Row],[Key(POD -PFI- Usine)]],'DATA Consignee'!A:J,10,FALSE)</f>
        <v>#N/A</v>
      </c>
      <c r="AR520" s="50" t="e">
        <f>VLOOKUP(Tableau119[[#This Row],[Key(POD -PFI- Usine)]],'DATA Consignee'!A:N,14,FALSE)</f>
        <v>#N/A</v>
      </c>
      <c r="AS5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0" s="50">
        <f>Tableau119[[#This Row],[Transit time]]+Tableau119[[#This Row],[Time for security]]+Tableau119[[#This Row],[Time for security2 buffer]]</f>
        <v>0</v>
      </c>
      <c r="AV5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0" s="50" t="e">
        <f>Tableau119[[#This Row],[Leadtime SI2C]]+Tableau119[[#This Row],[First Receipt Days]]-Tableau119[[#This Row],[Day Customer Order]]+1</f>
        <v>#N/A</v>
      </c>
      <c r="AX520" s="119" t="e">
        <f>IF(Tableau119[[#This Row],[Name ILN]]&lt;&gt;"SFK Freight Forwarder",Tableau119[[#This Row],[Cust. Leadtime]],Tableau119[[#This Row],[Leadtime SI2C]])</f>
        <v>#N/A</v>
      </c>
      <c r="AY520" s="51" t="b">
        <f>_xlfn.XLOOKUP(Tableau119[[#This Row],[Key(ID-date)]],'DATA BTO'!S:S,'DATA BTO'!P:P,FALSE)</f>
        <v>0</v>
      </c>
      <c r="AZ520" s="338">
        <v>46142</v>
      </c>
      <c r="BA520" s="50"/>
    </row>
    <row r="521" spans="2:53">
      <c r="B521" s="446" t="str">
        <f>_xlfn.CONCAT(Tableau119[[#This Row],[Name ILN]],"-",Tableau119[[#This Row],[Name Shipper]],"-",Tableau119[[#This Row],[Name Site]])</f>
        <v>ILN Chennai-ILN Chennai-FLINS</v>
      </c>
      <c r="C521" s="66" t="str">
        <f>_xlfn.CONCAT(Tableau119[[#This Row],[Compte ILN]],"-",Tableau119[[#This Row],[Compte Shipper]],"-",Tableau119[[#This Row],[POL]],"-",Tableau119[[#This Row],[Compte Consignee]])</f>
        <v>2533780546-2533780546-FALSO-90015100</v>
      </c>
      <c r="D521" s="66" t="str">
        <f>_xlfn.CONCAT(Tableau119[[#This Row],[Compte ILN]],"-",Tableau119[[#This Row],[Compte Shipper]],"-",Tableau119[[#This Row],[POL]])</f>
        <v>2533780546-2533780546-FALSO</v>
      </c>
      <c r="E521" s="130" t="str">
        <f>_xlfn.CONCAT(Tableau119[[#This Row],[POL]],"-",Tableau119[[#This Row],[Carrier]],"-",Tableau119[[#This Row],[POD]])</f>
        <v>FALSO-FALSO-FALSO</v>
      </c>
      <c r="F521" s="66" t="str">
        <f>_xlfn.CONCAT(Tableau119[[#This Row],[ID]],"-","Actif")</f>
        <v>165-Actif</v>
      </c>
      <c r="G521" s="66" t="str">
        <f>_xlfn.CONCAT(Tableau119[[#This Row],[POD]],"-",Tableau119[[#This Row],[Code PFI]],"-",Tableau119[[#This Row],[Compte Consignee]])</f>
        <v>FALSO---90015100</v>
      </c>
      <c r="H5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ChennaiFALSOFLINS</v>
      </c>
      <c r="I521" s="434" t="str">
        <f>_xlfn.CONCAT(Tableau119[[#This Row],[ID]],"-",Tableau119[[#This Row],[Expiration Date]])</f>
        <v>165-45777</v>
      </c>
      <c r="J5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Chennai-ILN Chennai-165-FALSO-FALSO-FALSO--45777</v>
      </c>
      <c r="K521" s="119" t="str">
        <f ca="1">IF(COUNTIF(J:J,Tableau119[[#This Row],[Plant-ILN-shipper-POL-Carrier-POD-PFI]])=1,"Non","Oui")</f>
        <v>Non</v>
      </c>
      <c r="L521" s="128" t="str">
        <f>VLOOKUP(Tableau119[[#This Row],[Name Site]],Plant_AILN!A:D,4,FALSE)</f>
        <v>FRANCE</v>
      </c>
      <c r="M521" s="411" t="s">
        <v>209</v>
      </c>
      <c r="N521" s="454">
        <f>VLOOKUP(Tableau119[[#This Row],[Name Site]],Plant_AILN!A:C,3,FALSE)</f>
        <v>90015100</v>
      </c>
      <c r="O521" s="55">
        <f>VLOOKUP(Tableau119[[#This Row],[Compte Consignee]],Order!C:D,2,FALSE)</f>
        <v>7</v>
      </c>
      <c r="P521" s="124" t="s">
        <v>149</v>
      </c>
      <c r="Q521" s="365">
        <f>VLOOKUP(Tableau119[[#This Row],[Name ILN]],Plant_AILN!F:G,2,FALSE)</f>
        <v>2533780546</v>
      </c>
      <c r="R521" s="50">
        <f>VLOOKUP(Tableau119[[#This Row],[Compte ILN]],'DATA ILN'!D:I,6,FALSE)</f>
        <v>9</v>
      </c>
      <c r="S521" s="50" t="e">
        <f>IFERROR(VLOOKUP(Tableau119[[#This Row],[Key(Compte ILN - shipper - POL - plant)]],'DATA ILN'!A:J,10,FALSE),VLOOKUP(Tableau119[[#This Row],[Key(Compte ILN - shipper - POL)]],'DATA ILN'!B:J,9,FALSE))</f>
        <v>#N/A</v>
      </c>
      <c r="T521" s="50" t="e">
        <f>IFERROR(VLOOKUP(Tableau119[[#This Row],[Key(Compte ILN - shipper - POL - plant)]],'DATA ILN'!A:K,11,FALSE),VLOOKUP(Tableau119[[#This Row],[Key(Compte ILN - shipper - POL)]],'DATA ILN'!B:K,10,FALSE))</f>
        <v>#N/A</v>
      </c>
      <c r="U521" s="50" t="e">
        <f>IFERROR(VLOOKUP(Tableau119[[#This Row],[Key(Compte ILN - shipper - POL - plant)]],'DATA ILN'!A:L,12,FALSE),VLOOKUP(Tableau119[[#This Row],[Key(Compte ILN - shipper - POL)]],'DATA ILN'!B:L,11,FALSE))</f>
        <v>#N/A</v>
      </c>
      <c r="V521" s="50" t="e">
        <f>Tableau119[[#This Row],[Day ILN Order]]+Tableau119[[#This Row],[Delivery time to ILN/Shipper]]-1</f>
        <v>#N/A</v>
      </c>
      <c r="W521" s="50" t="e">
        <f>IFERROR(VLOOKUP(Tableau119[[#This Row],[Key(Compte ILN - shipper - POL - plant)]],'DATA ILN'!A:N,14,FALSE),VLOOKUP(Tableau119[[#This Row],[Key(Compte ILN - shipper - POL)]],'DATA ILN'!B:N,13,FALSE))</f>
        <v>#N/A</v>
      </c>
      <c r="X521" s="50" t="e">
        <f>IFERROR(VLOOKUP(Tableau119[[#This Row],[Key(Compte ILN - shipper - POL - plant)]],'DATA ILN'!A:P,16,FALSE),VLOOKUP(Tableau119[[#This Row],[Key(Compte ILN - shipper - POL)]],'DATA ILN'!B:P,15,FALSE))</f>
        <v>#N/A</v>
      </c>
      <c r="Y521" s="284" t="s">
        <v>149</v>
      </c>
      <c r="Z521" s="430">
        <f>IFERROR(VLOOKUP(Tableau119[[#This Row],[Name Shipper]],Plant_AILN!L:M,2,FALSE),0)</f>
        <v>2533780546</v>
      </c>
      <c r="AA521" s="406">
        <v>165</v>
      </c>
      <c r="AB521" s="396" t="b">
        <f>_xlfn.XLOOKUP(Tableau119[[#This Row],[Key(ID-date)]],'DATA BTO'!S:S,'DATA BTO'!E:E,FALSE)</f>
        <v>0</v>
      </c>
      <c r="AC521" s="3" t="b">
        <f>_xlfn.XLOOKUP(Tableau119[[#This Row],[Key(ID-date)]],'DATA BTO'!S:S,'DATA BTO'!F:F,FALSE)</f>
        <v>0</v>
      </c>
      <c r="AD521" s="50" t="b">
        <f>_xlfn.XLOOKUP(Tableau119[[#This Row],[Key(ID-date)]],'DATA BTO'!S:S,'DATA BTO'!G:G,FALSE)</f>
        <v>0</v>
      </c>
      <c r="AE521" s="50" t="b">
        <f>_xlfn.XLOOKUP(Tableau119[[#This Row],[Key(ID-date)]],'DATA BTO'!S:S,'DATA BTO'!H:H,FALSE)</f>
        <v>0</v>
      </c>
      <c r="AF521" s="447" t="e">
        <f>IF(Tableau119[[#This Row],[First Day to POL]]&lt;=Tableau119[[#This Row],[Day Cut Off]],Tableau119[[#This Row],[Day ETD]],Tableau119[[#This Row],[Day ETD]]+7)</f>
        <v>#N/A</v>
      </c>
      <c r="AG521" s="50" t="b">
        <f>_xlfn.XLOOKUP(Tableau119[[#This Row],[Key(ID-date)]],'DATA BTO'!S:S,'DATA BTO'!I:I,FALSE)</f>
        <v>0</v>
      </c>
      <c r="AH521" s="3" t="b">
        <f>_xlfn.XLOOKUP(Tableau119[[#This Row],[Key(ID-date)]],'DATA BTO'!S:S,'DATA BTO'!J:J,FALSE)</f>
        <v>0</v>
      </c>
      <c r="AI521" s="3" t="b">
        <f>_xlfn.XLOOKUP(Tableau119[[#This Row],[Key(ID-date)]],'DATA BTO'!S:S,'DATA BTO'!K:K,FALSE)</f>
        <v>0</v>
      </c>
      <c r="AJ521" s="50" t="b">
        <f>_xlfn.XLOOKUP(Tableau119[[#This Row],[Key(ID-date)]],'DATA BTO'!S:S,'DATA BTO'!L:L,FALSE)</f>
        <v>0</v>
      </c>
      <c r="AK521" s="53" t="b">
        <f>_xlfn.XLOOKUP(Tableau119[[#This Row],[Key(ID-date)]],'DATA BTO'!S:S,'DATA BTO'!N:N,FALSE)</f>
        <v>0</v>
      </c>
      <c r="AL521" s="54" t="e">
        <f>VLOOKUP(Tableau119[[#This Row],[Key(POD -PFI- Usine)]],'DATA Consignee'!A:F,6,FALSE)</f>
        <v>#N/A</v>
      </c>
      <c r="AM521" s="284"/>
      <c r="AN521" s="376" t="str">
        <f>IF(Tableau119[[#This Row],[Name PFI/CDD]]="","-",VLOOKUP(Tableau119[[#This Row],[Name PFI/CDD]],Plant_AILN!I:J,2,FALSE))</f>
        <v>-</v>
      </c>
      <c r="AO5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1" s="2" t="e">
        <f>VLOOKUP(Tableau119[[#This Row],[Key(POD -PFI- Usine)]],'DATA Consignee'!A:J,10,FALSE)</f>
        <v>#N/A</v>
      </c>
      <c r="AR521" s="50" t="e">
        <f>VLOOKUP(Tableau119[[#This Row],[Key(POD -PFI- Usine)]],'DATA Consignee'!A:N,14,FALSE)</f>
        <v>#N/A</v>
      </c>
      <c r="AS5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1" s="50">
        <f>Tableau119[[#This Row],[Transit time]]+Tableau119[[#This Row],[Time for security]]+Tableau119[[#This Row],[Time for security2 buffer]]</f>
        <v>0</v>
      </c>
      <c r="AV5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1" s="50" t="e">
        <f>Tableau119[[#This Row],[Leadtime SI2C]]+Tableau119[[#This Row],[First Receipt Days]]-Tableau119[[#This Row],[Day Customer Order]]+1</f>
        <v>#N/A</v>
      </c>
      <c r="AX521" s="119" t="e">
        <f>IF(Tableau119[[#This Row],[Name ILN]]&lt;&gt;"SFK Freight Forwarder",Tableau119[[#This Row],[Cust. Leadtime]],Tableau119[[#This Row],[Leadtime SI2C]])</f>
        <v>#N/A</v>
      </c>
      <c r="AY521" s="51" t="b">
        <f>_xlfn.XLOOKUP(Tableau119[[#This Row],[Key(ID-date)]],'DATA BTO'!S:S,'DATA BTO'!P:P,FALSE)</f>
        <v>0</v>
      </c>
      <c r="AZ521" s="338">
        <v>45777</v>
      </c>
      <c r="BA521" s="50"/>
    </row>
    <row r="522" spans="2:53">
      <c r="B522" s="446" t="str">
        <f>_xlfn.CONCAT(Tableau119[[#This Row],[Name ILN]],"-",Tableau119[[#This Row],[Name Shipper]],"-",Tableau119[[#This Row],[Name Site]])</f>
        <v>ILN Chennai-ILN Chennai-MAUBEUGE</v>
      </c>
      <c r="C522" s="66" t="str">
        <f>_xlfn.CONCAT(Tableau119[[#This Row],[Compte ILN]],"-",Tableau119[[#This Row],[Compte Shipper]],"-",Tableau119[[#This Row],[POL]],"-",Tableau119[[#This Row],[Compte Consignee]])</f>
        <v>2533780546-2533780546-FALSO-90016200</v>
      </c>
      <c r="D522" s="66" t="str">
        <f>_xlfn.CONCAT(Tableau119[[#This Row],[Compte ILN]],"-",Tableau119[[#This Row],[Compte Shipper]],"-",Tableau119[[#This Row],[POL]])</f>
        <v>2533780546-2533780546-FALSO</v>
      </c>
      <c r="E522" s="130" t="str">
        <f>_xlfn.CONCAT(Tableau119[[#This Row],[POL]],"-",Tableau119[[#This Row],[Carrier]],"-",Tableau119[[#This Row],[POD]])</f>
        <v>FALSO-FALSO-FALSO</v>
      </c>
      <c r="F522" s="66" t="str">
        <f>_xlfn.CONCAT(Tableau119[[#This Row],[ID]],"-","Actif")</f>
        <v>165-Actif</v>
      </c>
      <c r="G522" s="66" t="str">
        <f>_xlfn.CONCAT(Tableau119[[#This Row],[POD]],"-",Tableau119[[#This Row],[Code PFI]],"-",Tableau119[[#This Row],[Compte Consignee]])</f>
        <v>FALSO-90016600-90016200</v>
      </c>
      <c r="H5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ChennaiFALSOMAUBEUGE</v>
      </c>
      <c r="I522" s="434" t="str">
        <f>_xlfn.CONCAT(Tableau119[[#This Row],[ID]],"-",Tableau119[[#This Row],[Expiration Date]])</f>
        <v>165-45777</v>
      </c>
      <c r="J5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Chennai-ILN Chennai-165-FALSO-FALSO-FALSO-CDD FR-45777</v>
      </c>
      <c r="K522" s="119" t="str">
        <f ca="1">IF(COUNTIF(J:J,Tableau119[[#This Row],[Plant-ILN-shipper-POL-Carrier-POD-PFI]])=1,"Non","Oui")</f>
        <v>Non</v>
      </c>
      <c r="L522" s="128" t="str">
        <f>VLOOKUP(Tableau119[[#This Row],[Name Site]],Plant_AILN!A:D,4,FALSE)</f>
        <v>FRANCE</v>
      </c>
      <c r="M522" s="411" t="s">
        <v>210</v>
      </c>
      <c r="N522" s="454">
        <f>VLOOKUP(Tableau119[[#This Row],[Name Site]],Plant_AILN!A:C,3,FALSE)</f>
        <v>90016200</v>
      </c>
      <c r="O522" s="55">
        <f>VLOOKUP(Tableau119[[#This Row],[Compte Consignee]],Order!C:D,2,FALSE)</f>
        <v>7</v>
      </c>
      <c r="P522" s="124" t="s">
        <v>149</v>
      </c>
      <c r="Q522" s="365">
        <f>VLOOKUP(Tableau119[[#This Row],[Name ILN]],Plant_AILN!F:G,2,FALSE)</f>
        <v>2533780546</v>
      </c>
      <c r="R522" s="50">
        <f>VLOOKUP(Tableau119[[#This Row],[Compte ILN]],'DATA ILN'!D:I,6,FALSE)</f>
        <v>9</v>
      </c>
      <c r="S522" s="50" t="e">
        <f>IFERROR(VLOOKUP(Tableau119[[#This Row],[Key(Compte ILN - shipper - POL - plant)]],'DATA ILN'!A:J,10,FALSE),VLOOKUP(Tableau119[[#This Row],[Key(Compte ILN - shipper - POL)]],'DATA ILN'!B:J,9,FALSE))</f>
        <v>#N/A</v>
      </c>
      <c r="T522" s="50" t="e">
        <f>IFERROR(VLOOKUP(Tableau119[[#This Row],[Key(Compte ILN - shipper - POL - plant)]],'DATA ILN'!A:K,11,FALSE),VLOOKUP(Tableau119[[#This Row],[Key(Compte ILN - shipper - POL)]],'DATA ILN'!B:K,10,FALSE))</f>
        <v>#N/A</v>
      </c>
      <c r="U522" s="50" t="e">
        <f>IFERROR(VLOOKUP(Tableau119[[#This Row],[Key(Compte ILN - shipper - POL - plant)]],'DATA ILN'!A:L,12,FALSE),VLOOKUP(Tableau119[[#This Row],[Key(Compte ILN - shipper - POL)]],'DATA ILN'!B:L,11,FALSE))</f>
        <v>#N/A</v>
      </c>
      <c r="V522" s="50" t="e">
        <f>Tableau119[[#This Row],[Day ILN Order]]+Tableau119[[#This Row],[Delivery time to ILN/Shipper]]-1</f>
        <v>#N/A</v>
      </c>
      <c r="W522" s="50" t="e">
        <f>IFERROR(VLOOKUP(Tableau119[[#This Row],[Key(Compte ILN - shipper - POL - plant)]],'DATA ILN'!A:N,14,FALSE),VLOOKUP(Tableau119[[#This Row],[Key(Compte ILN - shipper - POL)]],'DATA ILN'!B:N,13,FALSE))</f>
        <v>#N/A</v>
      </c>
      <c r="X522" s="50" t="e">
        <f>IFERROR(VLOOKUP(Tableau119[[#This Row],[Key(Compte ILN - shipper - POL - plant)]],'DATA ILN'!A:P,16,FALSE),VLOOKUP(Tableau119[[#This Row],[Key(Compte ILN - shipper - POL)]],'DATA ILN'!B:P,15,FALSE))</f>
        <v>#N/A</v>
      </c>
      <c r="Y522" s="284" t="s">
        <v>149</v>
      </c>
      <c r="Z522" s="430">
        <f>IFERROR(VLOOKUP(Tableau119[[#This Row],[Name Shipper]],Plant_AILN!L:M,2,FALSE),0)</f>
        <v>2533780546</v>
      </c>
      <c r="AA522" s="406">
        <v>165</v>
      </c>
      <c r="AB522" s="396" t="b">
        <f>_xlfn.XLOOKUP(Tableau119[[#This Row],[Key(ID-date)]],'DATA BTO'!S:S,'DATA BTO'!E:E,FALSE)</f>
        <v>0</v>
      </c>
      <c r="AC522" s="3" t="b">
        <f>_xlfn.XLOOKUP(Tableau119[[#This Row],[Key(ID-date)]],'DATA BTO'!S:S,'DATA BTO'!F:F,FALSE)</f>
        <v>0</v>
      </c>
      <c r="AD522" s="50" t="b">
        <f>_xlfn.XLOOKUP(Tableau119[[#This Row],[Key(ID-date)]],'DATA BTO'!S:S,'DATA BTO'!G:G,FALSE)</f>
        <v>0</v>
      </c>
      <c r="AE522" s="50" t="b">
        <f>_xlfn.XLOOKUP(Tableau119[[#This Row],[Key(ID-date)]],'DATA BTO'!S:S,'DATA BTO'!H:H,FALSE)</f>
        <v>0</v>
      </c>
      <c r="AF522" s="447" t="e">
        <f>IF(Tableau119[[#This Row],[First Day to POL]]&lt;=Tableau119[[#This Row],[Day Cut Off]],Tableau119[[#This Row],[Day ETD]],Tableau119[[#This Row],[Day ETD]]+7)</f>
        <v>#N/A</v>
      </c>
      <c r="AG522" s="50" t="b">
        <f>_xlfn.XLOOKUP(Tableau119[[#This Row],[Key(ID-date)]],'DATA BTO'!S:S,'DATA BTO'!I:I,FALSE)</f>
        <v>0</v>
      </c>
      <c r="AH522" s="3" t="b">
        <f>_xlfn.XLOOKUP(Tableau119[[#This Row],[Key(ID-date)]],'DATA BTO'!S:S,'DATA BTO'!J:J,FALSE)</f>
        <v>0</v>
      </c>
      <c r="AI522" s="3" t="b">
        <f>_xlfn.XLOOKUP(Tableau119[[#This Row],[Key(ID-date)]],'DATA BTO'!S:S,'DATA BTO'!K:K,FALSE)</f>
        <v>0</v>
      </c>
      <c r="AJ522" s="50" t="b">
        <f>_xlfn.XLOOKUP(Tableau119[[#This Row],[Key(ID-date)]],'DATA BTO'!S:S,'DATA BTO'!L:L,FALSE)</f>
        <v>0</v>
      </c>
      <c r="AK522" s="53" t="b">
        <f>_xlfn.XLOOKUP(Tableau119[[#This Row],[Key(ID-date)]],'DATA BTO'!S:S,'DATA BTO'!N:N,FALSE)</f>
        <v>0</v>
      </c>
      <c r="AL522" s="54" t="e">
        <f>VLOOKUP(Tableau119[[#This Row],[Key(POD -PFI- Usine)]],'DATA Consignee'!A:F,6,FALSE)</f>
        <v>#N/A</v>
      </c>
      <c r="AM522" s="284" t="s">
        <v>155</v>
      </c>
      <c r="AN522" s="376">
        <f>IF(Tableau119[[#This Row],[Name PFI/CDD]]="","-",VLOOKUP(Tableau119[[#This Row],[Name PFI/CDD]],Plant_AILN!I:J,2,FALSE))</f>
        <v>90016600</v>
      </c>
      <c r="AO5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2" s="2" t="e">
        <f>VLOOKUP(Tableau119[[#This Row],[Key(POD -PFI- Usine)]],'DATA Consignee'!A:J,10,FALSE)</f>
        <v>#N/A</v>
      </c>
      <c r="AR522" s="50" t="e">
        <f>VLOOKUP(Tableau119[[#This Row],[Key(POD -PFI- Usine)]],'DATA Consignee'!A:N,14,FALSE)</f>
        <v>#N/A</v>
      </c>
      <c r="AS5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2" s="50">
        <f>Tableau119[[#This Row],[Transit time]]+Tableau119[[#This Row],[Time for security]]+Tableau119[[#This Row],[Time for security2 buffer]]</f>
        <v>0</v>
      </c>
      <c r="AV5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2" s="50" t="e">
        <f>Tableau119[[#This Row],[Leadtime SI2C]]+Tableau119[[#This Row],[First Receipt Days]]-Tableau119[[#This Row],[Day Customer Order]]+1</f>
        <v>#N/A</v>
      </c>
      <c r="AX522" s="119" t="e">
        <f>IF(Tableau119[[#This Row],[Name ILN]]&lt;&gt;"SFK Freight Forwarder",Tableau119[[#This Row],[Cust. Leadtime]],Tableau119[[#This Row],[Leadtime SI2C]])</f>
        <v>#N/A</v>
      </c>
      <c r="AY522" s="51" t="b">
        <f>_xlfn.XLOOKUP(Tableau119[[#This Row],[Key(ID-date)]],'DATA BTO'!S:S,'DATA BTO'!P:P,FALSE)</f>
        <v>0</v>
      </c>
      <c r="AZ522" s="338">
        <v>45777</v>
      </c>
      <c r="BA522" s="50"/>
    </row>
    <row r="523" spans="2:53">
      <c r="B523" s="446" t="str">
        <f>_xlfn.CONCAT(Tableau119[[#This Row],[Name ILN]],"-",Tableau119[[#This Row],[Name Shipper]],"-",Tableau119[[#This Row],[Name Site]])</f>
        <v>ILN Chennai-ILN Chennai-SOVAB</v>
      </c>
      <c r="C523" s="66" t="str">
        <f>_xlfn.CONCAT(Tableau119[[#This Row],[Compte ILN]],"-",Tableau119[[#This Row],[Compte Shipper]],"-",Tableau119[[#This Row],[POL]],"-",Tableau119[[#This Row],[Compte Consignee]])</f>
        <v>2533780546-2533780546-FALSO-90016900</v>
      </c>
      <c r="D523" s="66" t="str">
        <f>_xlfn.CONCAT(Tableau119[[#This Row],[Compte ILN]],"-",Tableau119[[#This Row],[Compte Shipper]],"-",Tableau119[[#This Row],[POL]])</f>
        <v>2533780546-2533780546-FALSO</v>
      </c>
      <c r="E523" s="130" t="str">
        <f>_xlfn.CONCAT(Tableau119[[#This Row],[POL]],"-",Tableau119[[#This Row],[Carrier]],"-",Tableau119[[#This Row],[POD]])</f>
        <v>FALSO-FALSO-FALSO</v>
      </c>
      <c r="F523" s="66" t="str">
        <f>_xlfn.CONCAT(Tableau119[[#This Row],[ID]],"-","Actif")</f>
        <v>165-Actif</v>
      </c>
      <c r="G523" s="66" t="str">
        <f>_xlfn.CONCAT(Tableau119[[#This Row],[POD]],"-",Tableau119[[#This Row],[Code PFI]],"-",Tableau119[[#This Row],[Compte Consignee]])</f>
        <v>FALSO-90016600-90016900</v>
      </c>
      <c r="H5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ChennaiFALSOSOVAB</v>
      </c>
      <c r="I523" s="434" t="str">
        <f>_xlfn.CONCAT(Tableau119[[#This Row],[ID]],"-",Tableau119[[#This Row],[Expiration Date]])</f>
        <v>165-45777</v>
      </c>
      <c r="J5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Chennai-ILN Chennai-165-FALSO-FALSO-FALSO-CDD FR-45777</v>
      </c>
      <c r="K523" s="119" t="str">
        <f ca="1">IF(COUNTIF(J:J,Tableau119[[#This Row],[Plant-ILN-shipper-POL-Carrier-POD-PFI]])=1,"Non","Oui")</f>
        <v>Non</v>
      </c>
      <c r="L523" s="128" t="str">
        <f>VLOOKUP(Tableau119[[#This Row],[Name Site]],Plant_AILN!A:D,4,FALSE)</f>
        <v>FRANCE</v>
      </c>
      <c r="M523" s="411" t="s">
        <v>154</v>
      </c>
      <c r="N523" s="454">
        <f>VLOOKUP(Tableau119[[#This Row],[Name Site]],Plant_AILN!A:C,3,FALSE)</f>
        <v>90016900</v>
      </c>
      <c r="O523" s="55">
        <f>VLOOKUP(Tableau119[[#This Row],[Compte Consignee]],Order!C:D,2,FALSE)</f>
        <v>7</v>
      </c>
      <c r="P523" s="124" t="s">
        <v>149</v>
      </c>
      <c r="Q523" s="365">
        <f>VLOOKUP(Tableau119[[#This Row],[Name ILN]],Plant_AILN!F:G,2,FALSE)</f>
        <v>2533780546</v>
      </c>
      <c r="R523" s="50">
        <f>VLOOKUP(Tableau119[[#This Row],[Compte ILN]],'DATA ILN'!D:I,6,FALSE)</f>
        <v>9</v>
      </c>
      <c r="S523" s="50" t="e">
        <f>IFERROR(VLOOKUP(Tableau119[[#This Row],[Key(Compte ILN - shipper - POL - plant)]],'DATA ILN'!A:J,10,FALSE),VLOOKUP(Tableau119[[#This Row],[Key(Compte ILN - shipper - POL)]],'DATA ILN'!B:J,9,FALSE))</f>
        <v>#N/A</v>
      </c>
      <c r="T523" s="50" t="e">
        <f>IFERROR(VLOOKUP(Tableau119[[#This Row],[Key(Compte ILN - shipper - POL - plant)]],'DATA ILN'!A:K,11,FALSE),VLOOKUP(Tableau119[[#This Row],[Key(Compte ILN - shipper - POL)]],'DATA ILN'!B:K,10,FALSE))</f>
        <v>#N/A</v>
      </c>
      <c r="U523" s="50" t="e">
        <f>IFERROR(VLOOKUP(Tableau119[[#This Row],[Key(Compte ILN - shipper - POL - plant)]],'DATA ILN'!A:L,12,FALSE),VLOOKUP(Tableau119[[#This Row],[Key(Compte ILN - shipper - POL)]],'DATA ILN'!B:L,11,FALSE))</f>
        <v>#N/A</v>
      </c>
      <c r="V523" s="50" t="e">
        <f>Tableau119[[#This Row],[Day ILN Order]]+Tableau119[[#This Row],[Delivery time to ILN/Shipper]]-1</f>
        <v>#N/A</v>
      </c>
      <c r="W523" s="50" t="e">
        <f>IFERROR(VLOOKUP(Tableau119[[#This Row],[Key(Compte ILN - shipper - POL - plant)]],'DATA ILN'!A:N,14,FALSE),VLOOKUP(Tableau119[[#This Row],[Key(Compte ILN - shipper - POL)]],'DATA ILN'!B:N,13,FALSE))</f>
        <v>#N/A</v>
      </c>
      <c r="X523" s="50" t="e">
        <f>IFERROR(VLOOKUP(Tableau119[[#This Row],[Key(Compte ILN - shipper - POL - plant)]],'DATA ILN'!A:P,16,FALSE),VLOOKUP(Tableau119[[#This Row],[Key(Compte ILN - shipper - POL)]],'DATA ILN'!B:P,15,FALSE))</f>
        <v>#N/A</v>
      </c>
      <c r="Y523" s="284" t="s">
        <v>149</v>
      </c>
      <c r="Z523" s="430">
        <f>IFERROR(VLOOKUP(Tableau119[[#This Row],[Name Shipper]],Plant_AILN!L:M,2,FALSE),0)</f>
        <v>2533780546</v>
      </c>
      <c r="AA523" s="406">
        <v>165</v>
      </c>
      <c r="AB523" s="396" t="b">
        <f>_xlfn.XLOOKUP(Tableau119[[#This Row],[Key(ID-date)]],'DATA BTO'!S:S,'DATA BTO'!E:E,FALSE)</f>
        <v>0</v>
      </c>
      <c r="AC523" s="3" t="b">
        <f>_xlfn.XLOOKUP(Tableau119[[#This Row],[Key(ID-date)]],'DATA BTO'!S:S,'DATA BTO'!F:F,FALSE)</f>
        <v>0</v>
      </c>
      <c r="AD523" s="50" t="b">
        <f>_xlfn.XLOOKUP(Tableau119[[#This Row],[Key(ID-date)]],'DATA BTO'!S:S,'DATA BTO'!G:G,FALSE)</f>
        <v>0</v>
      </c>
      <c r="AE523" s="50" t="b">
        <f>_xlfn.XLOOKUP(Tableau119[[#This Row],[Key(ID-date)]],'DATA BTO'!S:S,'DATA BTO'!H:H,FALSE)</f>
        <v>0</v>
      </c>
      <c r="AF523" s="447" t="e">
        <f>IF(Tableau119[[#This Row],[First Day to POL]]&lt;=Tableau119[[#This Row],[Day Cut Off]],Tableau119[[#This Row],[Day ETD]],Tableau119[[#This Row],[Day ETD]]+7)</f>
        <v>#N/A</v>
      </c>
      <c r="AG523" s="50" t="b">
        <f>_xlfn.XLOOKUP(Tableau119[[#This Row],[Key(ID-date)]],'DATA BTO'!S:S,'DATA BTO'!I:I,FALSE)</f>
        <v>0</v>
      </c>
      <c r="AH523" s="3" t="b">
        <f>_xlfn.XLOOKUP(Tableau119[[#This Row],[Key(ID-date)]],'DATA BTO'!S:S,'DATA BTO'!J:J,FALSE)</f>
        <v>0</v>
      </c>
      <c r="AI523" s="3" t="b">
        <f>_xlfn.XLOOKUP(Tableau119[[#This Row],[Key(ID-date)]],'DATA BTO'!S:S,'DATA BTO'!K:K,FALSE)</f>
        <v>0</v>
      </c>
      <c r="AJ523" s="50" t="b">
        <f>_xlfn.XLOOKUP(Tableau119[[#This Row],[Key(ID-date)]],'DATA BTO'!S:S,'DATA BTO'!L:L,FALSE)</f>
        <v>0</v>
      </c>
      <c r="AK523" s="53" t="b">
        <f>_xlfn.XLOOKUP(Tableau119[[#This Row],[Key(ID-date)]],'DATA BTO'!S:S,'DATA BTO'!N:N,FALSE)</f>
        <v>0</v>
      </c>
      <c r="AL523" s="54" t="e">
        <f>VLOOKUP(Tableau119[[#This Row],[Key(POD -PFI- Usine)]],'DATA Consignee'!A:F,6,FALSE)</f>
        <v>#N/A</v>
      </c>
      <c r="AM523" s="284" t="s">
        <v>155</v>
      </c>
      <c r="AN523" s="376">
        <f>IF(Tableau119[[#This Row],[Name PFI/CDD]]="","-",VLOOKUP(Tableau119[[#This Row],[Name PFI/CDD]],Plant_AILN!I:J,2,FALSE))</f>
        <v>90016600</v>
      </c>
      <c r="AO5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3" s="2" t="e">
        <f>VLOOKUP(Tableau119[[#This Row],[Key(POD -PFI- Usine)]],'DATA Consignee'!A:J,10,FALSE)</f>
        <v>#N/A</v>
      </c>
      <c r="AR523" s="50" t="e">
        <f>VLOOKUP(Tableau119[[#This Row],[Key(POD -PFI- Usine)]],'DATA Consignee'!A:N,14,FALSE)</f>
        <v>#N/A</v>
      </c>
      <c r="AS5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3" s="50">
        <f>Tableau119[[#This Row],[Transit time]]+Tableau119[[#This Row],[Time for security]]+Tableau119[[#This Row],[Time for security2 buffer]]</f>
        <v>0</v>
      </c>
      <c r="AV5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3" s="50" t="e">
        <f>Tableau119[[#This Row],[Leadtime SI2C]]+Tableau119[[#This Row],[First Receipt Days]]-Tableau119[[#This Row],[Day Customer Order]]+1</f>
        <v>#N/A</v>
      </c>
      <c r="AX523" s="119" t="e">
        <f>IF(Tableau119[[#This Row],[Name ILN]]&lt;&gt;"SFK Freight Forwarder",Tableau119[[#This Row],[Cust. Leadtime]],Tableau119[[#This Row],[Leadtime SI2C]])</f>
        <v>#N/A</v>
      </c>
      <c r="AY523" s="51" t="b">
        <f>_xlfn.XLOOKUP(Tableau119[[#This Row],[Key(ID-date)]],'DATA BTO'!S:S,'DATA BTO'!P:P,FALSE)</f>
        <v>0</v>
      </c>
      <c r="AZ523" s="338">
        <v>45777</v>
      </c>
      <c r="BA523" s="50"/>
    </row>
    <row r="524" spans="2:53">
      <c r="B524" s="446" t="str">
        <f>_xlfn.CONCAT(Tableau119[[#This Row],[Name ILN]],"-",Tableau119[[#This Row],[Name Shipper]],"-",Tableau119[[#This Row],[Name Site]])</f>
        <v>ILN Chennai-ILN Chennai-SANDOUVILLE</v>
      </c>
      <c r="C524" s="66" t="str">
        <f>_xlfn.CONCAT(Tableau119[[#This Row],[Compte ILN]],"-",Tableau119[[#This Row],[Compte Shipper]],"-",Tableau119[[#This Row],[POL]],"-",Tableau119[[#This Row],[Compte Consignee]])</f>
        <v>2533780546-2533780546-FALSO-90017100</v>
      </c>
      <c r="D524" s="66" t="str">
        <f>_xlfn.CONCAT(Tableau119[[#This Row],[Compte ILN]],"-",Tableau119[[#This Row],[Compte Shipper]],"-",Tableau119[[#This Row],[POL]])</f>
        <v>2533780546-2533780546-FALSO</v>
      </c>
      <c r="E524" s="130" t="str">
        <f>_xlfn.CONCAT(Tableau119[[#This Row],[POL]],"-",Tableau119[[#This Row],[Carrier]],"-",Tableau119[[#This Row],[POD]])</f>
        <v>FALSO-FALSO-FALSO</v>
      </c>
      <c r="F524" s="66" t="str">
        <f>_xlfn.CONCAT(Tableau119[[#This Row],[ID]],"-","Actif")</f>
        <v>165-Actif</v>
      </c>
      <c r="G524" s="66" t="str">
        <f>_xlfn.CONCAT(Tableau119[[#This Row],[POD]],"-",Tableau119[[#This Row],[Code PFI]],"-",Tableau119[[#This Row],[Compte Consignee]])</f>
        <v>FALSO-90016600-90017100</v>
      </c>
      <c r="H5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ChennaiFALSOSANDOUVILLE</v>
      </c>
      <c r="I524" s="434" t="str">
        <f>_xlfn.CONCAT(Tableau119[[#This Row],[ID]],"-",Tableau119[[#This Row],[Expiration Date]])</f>
        <v>165-45777</v>
      </c>
      <c r="J5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Chennai-ILN Chennai-165-FALSO-FALSO-FALSO-CDD FR-45777</v>
      </c>
      <c r="K524" s="119" t="str">
        <f ca="1">IF(COUNTIF(J:J,Tableau119[[#This Row],[Plant-ILN-shipper-POL-Carrier-POD-PFI]])=1,"Non","Oui")</f>
        <v>Non</v>
      </c>
      <c r="L524" s="128" t="str">
        <f>VLOOKUP(Tableau119[[#This Row],[Name Site]],Plant_AILN!A:D,4,FALSE)</f>
        <v>FRANCE</v>
      </c>
      <c r="M524" s="415" t="s">
        <v>196</v>
      </c>
      <c r="N524" s="455">
        <f>VLOOKUP(Tableau119[[#This Row],[Name Site]],Plant_AILN!A:C,3,FALSE)</f>
        <v>90017100</v>
      </c>
      <c r="O524" s="104">
        <f>VLOOKUP(Tableau119[[#This Row],[Compte Consignee]],Order!C:D,2,FALSE)</f>
        <v>7</v>
      </c>
      <c r="P524" s="126" t="s">
        <v>149</v>
      </c>
      <c r="Q524" s="366">
        <f>VLOOKUP(Tableau119[[#This Row],[Name ILN]],Plant_AILN!F:G,2,FALSE)</f>
        <v>2533780546</v>
      </c>
      <c r="R524" s="81">
        <f>VLOOKUP(Tableau119[[#This Row],[Compte ILN]],'DATA ILN'!D:I,6,FALSE)</f>
        <v>9</v>
      </c>
      <c r="S524" s="81" t="e">
        <f>IFERROR(VLOOKUP(Tableau119[[#This Row],[Key(Compte ILN - shipper - POL - plant)]],'DATA ILN'!A:J,10,FALSE),VLOOKUP(Tableau119[[#This Row],[Key(Compte ILN - shipper - POL)]],'DATA ILN'!B:J,9,FALSE))</f>
        <v>#N/A</v>
      </c>
      <c r="T524" s="81" t="e">
        <f>IFERROR(VLOOKUP(Tableau119[[#This Row],[Key(Compte ILN - shipper - POL - plant)]],'DATA ILN'!A:K,11,FALSE),VLOOKUP(Tableau119[[#This Row],[Key(Compte ILN - shipper - POL)]],'DATA ILN'!B:K,10,FALSE))</f>
        <v>#N/A</v>
      </c>
      <c r="U524" s="81" t="e">
        <f>IFERROR(VLOOKUP(Tableau119[[#This Row],[Key(Compte ILN - shipper - POL - plant)]],'DATA ILN'!A:L,12,FALSE),VLOOKUP(Tableau119[[#This Row],[Key(Compte ILN - shipper - POL)]],'DATA ILN'!B:L,11,FALSE))</f>
        <v>#N/A</v>
      </c>
      <c r="V524" s="81" t="e">
        <f>Tableau119[[#This Row],[Day ILN Order]]+Tableau119[[#This Row],[Delivery time to ILN/Shipper]]-1</f>
        <v>#N/A</v>
      </c>
      <c r="W524" s="81" t="e">
        <f>IFERROR(VLOOKUP(Tableau119[[#This Row],[Key(Compte ILN - shipper - POL - plant)]],'DATA ILN'!A:N,14,FALSE),VLOOKUP(Tableau119[[#This Row],[Key(Compte ILN - shipper - POL)]],'DATA ILN'!B:N,13,FALSE))</f>
        <v>#N/A</v>
      </c>
      <c r="X524" s="81" t="e">
        <f>IFERROR(VLOOKUP(Tableau119[[#This Row],[Key(Compte ILN - shipper - POL - plant)]],'DATA ILN'!A:P,16,FALSE),VLOOKUP(Tableau119[[#This Row],[Key(Compte ILN - shipper - POL)]],'DATA ILN'!B:P,15,FALSE))</f>
        <v>#N/A</v>
      </c>
      <c r="Y524" s="102" t="s">
        <v>149</v>
      </c>
      <c r="Z524" s="417">
        <f>IFERROR(VLOOKUP(Tableau119[[#This Row],[Name Shipper]],Plant_AILN!L:M,2,FALSE),0)</f>
        <v>2533780546</v>
      </c>
      <c r="AA524" s="416">
        <v>165</v>
      </c>
      <c r="AB524" s="396" t="b">
        <f>_xlfn.XLOOKUP(Tableau119[[#This Row],[Key(ID-date)]],'DATA BTO'!S:S,'DATA BTO'!E:E,FALSE)</f>
        <v>0</v>
      </c>
      <c r="AC524" s="3" t="b">
        <f>_xlfn.XLOOKUP(Tableau119[[#This Row],[Key(ID-date)]],'DATA BTO'!S:S,'DATA BTO'!F:F,FALSE)</f>
        <v>0</v>
      </c>
      <c r="AD524" s="50" t="b">
        <f>_xlfn.XLOOKUP(Tableau119[[#This Row],[Key(ID-date)]],'DATA BTO'!S:S,'DATA BTO'!G:G,FALSE)</f>
        <v>0</v>
      </c>
      <c r="AE524" s="50" t="b">
        <f>_xlfn.XLOOKUP(Tableau119[[#This Row],[Key(ID-date)]],'DATA BTO'!S:S,'DATA BTO'!H:H,FALSE)</f>
        <v>0</v>
      </c>
      <c r="AF524" s="447" t="e">
        <f>IF(Tableau119[[#This Row],[First Day to POL]]&lt;=Tableau119[[#This Row],[Day Cut Off]],Tableau119[[#This Row],[Day ETD]],Tableau119[[#This Row],[Day ETD]]+7)</f>
        <v>#N/A</v>
      </c>
      <c r="AG524" s="50" t="b">
        <f>_xlfn.XLOOKUP(Tableau119[[#This Row],[Key(ID-date)]],'DATA BTO'!S:S,'DATA BTO'!I:I,FALSE)</f>
        <v>0</v>
      </c>
      <c r="AH524" s="3" t="b">
        <f>_xlfn.XLOOKUP(Tableau119[[#This Row],[Key(ID-date)]],'DATA BTO'!S:S,'DATA BTO'!J:J,FALSE)</f>
        <v>0</v>
      </c>
      <c r="AI524" s="3" t="b">
        <f>_xlfn.XLOOKUP(Tableau119[[#This Row],[Key(ID-date)]],'DATA BTO'!S:S,'DATA BTO'!K:K,FALSE)</f>
        <v>0</v>
      </c>
      <c r="AJ524" s="50" t="b">
        <f>_xlfn.XLOOKUP(Tableau119[[#This Row],[Key(ID-date)]],'DATA BTO'!S:S,'DATA BTO'!L:L,FALSE)</f>
        <v>0</v>
      </c>
      <c r="AK524" s="53" t="b">
        <f>_xlfn.XLOOKUP(Tableau119[[#This Row],[Key(ID-date)]],'DATA BTO'!S:S,'DATA BTO'!N:N,FALSE)</f>
        <v>0</v>
      </c>
      <c r="AL524" s="54" t="e">
        <f>VLOOKUP(Tableau119[[#This Row],[Key(POD -PFI- Usine)]],'DATA Consignee'!A:F,6,FALSE)</f>
        <v>#N/A</v>
      </c>
      <c r="AM524" s="102" t="s">
        <v>155</v>
      </c>
      <c r="AN524" s="375">
        <f>IF(Tableau119[[#This Row],[Name PFI/CDD]]="","-",VLOOKUP(Tableau119[[#This Row],[Name PFI/CDD]],Plant_AILN!I:J,2,FALSE))</f>
        <v>90016600</v>
      </c>
      <c r="AO52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4" s="110" t="e">
        <f>VLOOKUP(Tableau119[[#This Row],[Key(POD -PFI- Usine)]],'DATA Consignee'!A:J,10,FALSE)</f>
        <v>#N/A</v>
      </c>
      <c r="AR524" s="81" t="e">
        <f>VLOOKUP(Tableau119[[#This Row],[Key(POD -PFI- Usine)]],'DATA Consignee'!A:N,14,FALSE)</f>
        <v>#N/A</v>
      </c>
      <c r="AS52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4" s="81">
        <f>Tableau119[[#This Row],[Transit time]]+Tableau119[[#This Row],[Time for security]]+Tableau119[[#This Row],[Time for security2 buffer]]</f>
        <v>0</v>
      </c>
      <c r="AV5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4" s="50" t="e">
        <f>Tableau119[[#This Row],[Leadtime SI2C]]+Tableau119[[#This Row],[First Receipt Days]]-Tableau119[[#This Row],[Day Customer Order]]+1</f>
        <v>#N/A</v>
      </c>
      <c r="AX524" s="119" t="e">
        <f>IF(Tableau119[[#This Row],[Name ILN]]&lt;&gt;"SFK Freight Forwarder",Tableau119[[#This Row],[Cust. Leadtime]],Tableau119[[#This Row],[Leadtime SI2C]])</f>
        <v>#N/A</v>
      </c>
      <c r="AY524" s="51" t="b">
        <f>_xlfn.XLOOKUP(Tableau119[[#This Row],[Key(ID-date)]],'DATA BTO'!S:S,'DATA BTO'!P:P,FALSE)</f>
        <v>0</v>
      </c>
      <c r="AZ524" s="388">
        <v>45777</v>
      </c>
      <c r="BA524" s="81"/>
    </row>
    <row r="525" spans="2:53">
      <c r="B525" s="446" t="str">
        <f>_xlfn.CONCAT(Tableau119[[#This Row],[Name ILN]],"-",Tableau119[[#This Row],[Name Shipper]],"-",Tableau119[[#This Row],[Name Site]])</f>
        <v>ILN Chennai-ILN Chennai-ALPINE</v>
      </c>
      <c r="C525" s="66" t="str">
        <f>_xlfn.CONCAT(Tableau119[[#This Row],[Compte ILN]],"-",Tableau119[[#This Row],[Compte Shipper]],"-",Tableau119[[#This Row],[POL]],"-",Tableau119[[#This Row],[Compte Consignee]])</f>
        <v>2533780546-2533780546-FALSO-90018300</v>
      </c>
      <c r="D525" s="66" t="str">
        <f>_xlfn.CONCAT(Tableau119[[#This Row],[Compte ILN]],"-",Tableau119[[#This Row],[Compte Shipper]],"-",Tableau119[[#This Row],[POL]])</f>
        <v>2533780546-2533780546-FALSO</v>
      </c>
      <c r="E525" s="130" t="str">
        <f>_xlfn.CONCAT(Tableau119[[#This Row],[POL]],"-",Tableau119[[#This Row],[Carrier]],"-",Tableau119[[#This Row],[POD]])</f>
        <v>FALSO-FALSO-FALSO</v>
      </c>
      <c r="F525" s="66" t="str">
        <f>_xlfn.CONCAT(Tableau119[[#This Row],[ID]],"-","Actif")</f>
        <v>165-Actif</v>
      </c>
      <c r="G525" s="66" t="str">
        <f>_xlfn.CONCAT(Tableau119[[#This Row],[POD]],"-",Tableau119[[#This Row],[Code PFI]],"-",Tableau119[[#This Row],[Compte Consignee]])</f>
        <v>FALSO-90016600-90018300</v>
      </c>
      <c r="H5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ChennaiFALSOALPINE</v>
      </c>
      <c r="I525" s="434" t="str">
        <f>_xlfn.CONCAT(Tableau119[[#This Row],[ID]],"-",Tableau119[[#This Row],[Expiration Date]])</f>
        <v>165-45777</v>
      </c>
      <c r="J5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Chennai-ILN Chennai-165-FALSO-FALSO-FALSO-CDD FR-45777</v>
      </c>
      <c r="K525" s="119" t="str">
        <f ca="1">IF(COUNTIF(J:J,Tableau119[[#This Row],[Plant-ILN-shipper-POL-Carrier-POD-PFI]])=1,"Non","Oui")</f>
        <v>Non</v>
      </c>
      <c r="L525" s="128" t="str">
        <f>VLOOKUP(Tableau119[[#This Row],[Name Site]],Plant_AILN!A:D,4,FALSE)</f>
        <v>FRANCE</v>
      </c>
      <c r="M525" s="411" t="s">
        <v>220</v>
      </c>
      <c r="N525" s="454">
        <f>VLOOKUP(Tableau119[[#This Row],[Name Site]],Plant_AILN!A:C,3,FALSE)</f>
        <v>90018300</v>
      </c>
      <c r="O525" s="55">
        <f>VLOOKUP(Tableau119[[#This Row],[Compte Consignee]],Order!C:D,2,FALSE)</f>
        <v>7</v>
      </c>
      <c r="P525" s="124" t="s">
        <v>149</v>
      </c>
      <c r="Q525" s="365">
        <f>VLOOKUP(Tableau119[[#This Row],[Name ILN]],Plant_AILN!F:G,2,FALSE)</f>
        <v>2533780546</v>
      </c>
      <c r="R525" s="50">
        <f>VLOOKUP(Tableau119[[#This Row],[Compte ILN]],'DATA ILN'!D:I,6,FALSE)</f>
        <v>9</v>
      </c>
      <c r="S525" s="50" t="e">
        <f>IFERROR(VLOOKUP(Tableau119[[#This Row],[Key(Compte ILN - shipper - POL - plant)]],'DATA ILN'!A:J,10,FALSE),VLOOKUP(Tableau119[[#This Row],[Key(Compte ILN - shipper - POL)]],'DATA ILN'!B:J,9,FALSE))</f>
        <v>#N/A</v>
      </c>
      <c r="T525" s="50" t="e">
        <f>IFERROR(VLOOKUP(Tableau119[[#This Row],[Key(Compte ILN - shipper - POL - plant)]],'DATA ILN'!A:K,11,FALSE),VLOOKUP(Tableau119[[#This Row],[Key(Compte ILN - shipper - POL)]],'DATA ILN'!B:K,10,FALSE))</f>
        <v>#N/A</v>
      </c>
      <c r="U525" s="50" t="e">
        <f>IFERROR(VLOOKUP(Tableau119[[#This Row],[Key(Compte ILN - shipper - POL - plant)]],'DATA ILN'!A:L,12,FALSE),VLOOKUP(Tableau119[[#This Row],[Key(Compte ILN - shipper - POL)]],'DATA ILN'!B:L,11,FALSE))</f>
        <v>#N/A</v>
      </c>
      <c r="V525" s="50" t="e">
        <f>Tableau119[[#This Row],[Day ILN Order]]+Tableau119[[#This Row],[Delivery time to ILN/Shipper]]-1</f>
        <v>#N/A</v>
      </c>
      <c r="W525" s="50" t="e">
        <f>IFERROR(VLOOKUP(Tableau119[[#This Row],[Key(Compte ILN - shipper - POL - plant)]],'DATA ILN'!A:N,14,FALSE),VLOOKUP(Tableau119[[#This Row],[Key(Compte ILN - shipper - POL)]],'DATA ILN'!B:N,13,FALSE))</f>
        <v>#N/A</v>
      </c>
      <c r="X525" s="50" t="e">
        <f>IFERROR(VLOOKUP(Tableau119[[#This Row],[Key(Compte ILN - shipper - POL - plant)]],'DATA ILN'!A:P,16,FALSE),VLOOKUP(Tableau119[[#This Row],[Key(Compte ILN - shipper - POL)]],'DATA ILN'!B:P,15,FALSE))</f>
        <v>#N/A</v>
      </c>
      <c r="Y525" s="284" t="s">
        <v>149</v>
      </c>
      <c r="Z525" s="430">
        <f>IFERROR(VLOOKUP(Tableau119[[#This Row],[Name Shipper]],Plant_AILN!L:M,2,FALSE),0)</f>
        <v>2533780546</v>
      </c>
      <c r="AA525" s="406">
        <v>165</v>
      </c>
      <c r="AB525" s="396" t="b">
        <f>_xlfn.XLOOKUP(Tableau119[[#This Row],[Key(ID-date)]],'DATA BTO'!S:S,'DATA BTO'!E:E,FALSE)</f>
        <v>0</v>
      </c>
      <c r="AC525" s="3" t="b">
        <f>_xlfn.XLOOKUP(Tableau119[[#This Row],[Key(ID-date)]],'DATA BTO'!S:S,'DATA BTO'!F:F,FALSE)</f>
        <v>0</v>
      </c>
      <c r="AD525" s="50" t="b">
        <f>_xlfn.XLOOKUP(Tableau119[[#This Row],[Key(ID-date)]],'DATA BTO'!S:S,'DATA BTO'!G:G,FALSE)</f>
        <v>0</v>
      </c>
      <c r="AE525" s="50" t="b">
        <f>_xlfn.XLOOKUP(Tableau119[[#This Row],[Key(ID-date)]],'DATA BTO'!S:S,'DATA BTO'!H:H,FALSE)</f>
        <v>0</v>
      </c>
      <c r="AF525" s="447" t="e">
        <f>IF(Tableau119[[#This Row],[First Day to POL]]&lt;=Tableau119[[#This Row],[Day Cut Off]],Tableau119[[#This Row],[Day ETD]],Tableau119[[#This Row],[Day ETD]]+7)</f>
        <v>#N/A</v>
      </c>
      <c r="AG525" s="50" t="b">
        <f>_xlfn.XLOOKUP(Tableau119[[#This Row],[Key(ID-date)]],'DATA BTO'!S:S,'DATA BTO'!I:I,FALSE)</f>
        <v>0</v>
      </c>
      <c r="AH525" s="3" t="b">
        <f>_xlfn.XLOOKUP(Tableau119[[#This Row],[Key(ID-date)]],'DATA BTO'!S:S,'DATA BTO'!J:J,FALSE)</f>
        <v>0</v>
      </c>
      <c r="AI525" s="3" t="b">
        <f>_xlfn.XLOOKUP(Tableau119[[#This Row],[Key(ID-date)]],'DATA BTO'!S:S,'DATA BTO'!K:K,FALSE)</f>
        <v>0</v>
      </c>
      <c r="AJ525" s="50" t="b">
        <f>_xlfn.XLOOKUP(Tableau119[[#This Row],[Key(ID-date)]],'DATA BTO'!S:S,'DATA BTO'!L:L,FALSE)</f>
        <v>0</v>
      </c>
      <c r="AK525" s="53" t="b">
        <f>_xlfn.XLOOKUP(Tableau119[[#This Row],[Key(ID-date)]],'DATA BTO'!S:S,'DATA BTO'!N:N,FALSE)</f>
        <v>0</v>
      </c>
      <c r="AL525" s="54" t="e">
        <f>VLOOKUP(Tableau119[[#This Row],[Key(POD -PFI- Usine)]],'DATA Consignee'!A:F,6,FALSE)</f>
        <v>#N/A</v>
      </c>
      <c r="AM525" s="284" t="s">
        <v>155</v>
      </c>
      <c r="AN525" s="376">
        <f>IF(Tableau119[[#This Row],[Name PFI/CDD]]="","-",VLOOKUP(Tableau119[[#This Row],[Name PFI/CDD]],Plant_AILN!I:J,2,FALSE))</f>
        <v>90016600</v>
      </c>
      <c r="AO5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5" s="2" t="e">
        <f>VLOOKUP(Tableau119[[#This Row],[Key(POD -PFI- Usine)]],'DATA Consignee'!A:J,10,FALSE)</f>
        <v>#N/A</v>
      </c>
      <c r="AR525" s="50" t="e">
        <f>VLOOKUP(Tableau119[[#This Row],[Key(POD -PFI- Usine)]],'DATA Consignee'!A:N,14,FALSE)</f>
        <v>#N/A</v>
      </c>
      <c r="AS5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5" s="50">
        <f>Tableau119[[#This Row],[Transit time]]+Tableau119[[#This Row],[Time for security]]+Tableau119[[#This Row],[Time for security2 buffer]]</f>
        <v>0</v>
      </c>
      <c r="AV5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5" s="50" t="e">
        <f>Tableau119[[#This Row],[Leadtime SI2C]]+Tableau119[[#This Row],[First Receipt Days]]-Tableau119[[#This Row],[Day Customer Order]]+1</f>
        <v>#N/A</v>
      </c>
      <c r="AX525" s="119" t="e">
        <f>IF(Tableau119[[#This Row],[Name ILN]]&lt;&gt;"SFK Freight Forwarder",Tableau119[[#This Row],[Cust. Leadtime]],Tableau119[[#This Row],[Leadtime SI2C]])</f>
        <v>#N/A</v>
      </c>
      <c r="AY525" s="51" t="b">
        <f>_xlfn.XLOOKUP(Tableau119[[#This Row],[Key(ID-date)]],'DATA BTO'!S:S,'DATA BTO'!P:P,FALSE)</f>
        <v>0</v>
      </c>
      <c r="AZ525" s="338">
        <v>45777</v>
      </c>
      <c r="BA525" s="50"/>
    </row>
    <row r="526" spans="2:53">
      <c r="B526" s="446" t="str">
        <f>_xlfn.CONCAT(Tableau119[[#This Row],[Name ILN]],"-",Tableau119[[#This Row],[Name Shipper]],"-",Tableau119[[#This Row],[Name Site]])</f>
        <v>ILN Chennai-ILN Chennai-STA</v>
      </c>
      <c r="C526" s="66" t="str">
        <f>_xlfn.CONCAT(Tableau119[[#This Row],[Compte ILN]],"-",Tableau119[[#This Row],[Compte Shipper]],"-",Tableau119[[#This Row],[POL]],"-",Tableau119[[#This Row],[Compte Consignee]])</f>
        <v>2533780546-2533780546-FALSO-90018400</v>
      </c>
      <c r="D526" s="66" t="str">
        <f>_xlfn.CONCAT(Tableau119[[#This Row],[Compte ILN]],"-",Tableau119[[#This Row],[Compte Shipper]],"-",Tableau119[[#This Row],[POL]])</f>
        <v>2533780546-2533780546-FALSO</v>
      </c>
      <c r="E526" s="130" t="str">
        <f>_xlfn.CONCAT(Tableau119[[#This Row],[POL]],"-",Tableau119[[#This Row],[Carrier]],"-",Tableau119[[#This Row],[POD]])</f>
        <v>FALSO-FALSO-FALSO</v>
      </c>
      <c r="F526" s="66" t="str">
        <f>_xlfn.CONCAT(Tableau119[[#This Row],[ID]],"-","Actif")</f>
        <v>165-Actif</v>
      </c>
      <c r="G526" s="66" t="str">
        <f>_xlfn.CONCAT(Tableau119[[#This Row],[POD]],"-",Tableau119[[#This Row],[Code PFI]],"-",Tableau119[[#This Row],[Compte Consignee]])</f>
        <v>FALSO-90016600-90018400</v>
      </c>
      <c r="H5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ChennaiFALSOSTA</v>
      </c>
      <c r="I526" s="434" t="str">
        <f>_xlfn.CONCAT(Tableau119[[#This Row],[ID]],"-",Tableau119[[#This Row],[Expiration Date]])</f>
        <v>165-45777</v>
      </c>
      <c r="J5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Chennai-ILN Chennai-165-FALSO-FALSO-FALSO-CDD FR-45777</v>
      </c>
      <c r="K526" s="119" t="str">
        <f ca="1">IF(COUNTIF(J:J,Tableau119[[#This Row],[Plant-ILN-shipper-POL-Carrier-POD-PFI]])=1,"Non","Oui")</f>
        <v>Non</v>
      </c>
      <c r="L526" s="128" t="str">
        <f>VLOOKUP(Tableau119[[#This Row],[Name Site]],Plant_AILN!A:D,4,FALSE)</f>
        <v>FRANCE</v>
      </c>
      <c r="M526" s="411" t="s">
        <v>219</v>
      </c>
      <c r="N526" s="454">
        <f>VLOOKUP(Tableau119[[#This Row],[Name Site]],Plant_AILN!A:C,3,FALSE)</f>
        <v>90018400</v>
      </c>
      <c r="O526" s="55">
        <f>VLOOKUP(Tableau119[[#This Row],[Compte Consignee]],Order!C:D,2,FALSE)</f>
        <v>7</v>
      </c>
      <c r="P526" s="124" t="s">
        <v>149</v>
      </c>
      <c r="Q526" s="365">
        <f>VLOOKUP(Tableau119[[#This Row],[Name ILN]],Plant_AILN!F:G,2,FALSE)</f>
        <v>2533780546</v>
      </c>
      <c r="R526" s="50">
        <f>VLOOKUP(Tableau119[[#This Row],[Compte ILN]],'DATA ILN'!D:I,6,FALSE)</f>
        <v>9</v>
      </c>
      <c r="S526" s="50" t="e">
        <f>IFERROR(VLOOKUP(Tableau119[[#This Row],[Key(Compte ILN - shipper - POL - plant)]],'DATA ILN'!A:J,10,FALSE),VLOOKUP(Tableau119[[#This Row],[Key(Compte ILN - shipper - POL)]],'DATA ILN'!B:J,9,FALSE))</f>
        <v>#N/A</v>
      </c>
      <c r="T526" s="50" t="e">
        <f>IFERROR(VLOOKUP(Tableau119[[#This Row],[Key(Compte ILN - shipper - POL - plant)]],'DATA ILN'!A:K,11,FALSE),VLOOKUP(Tableau119[[#This Row],[Key(Compte ILN - shipper - POL)]],'DATA ILN'!B:K,10,FALSE))</f>
        <v>#N/A</v>
      </c>
      <c r="U526" s="50" t="e">
        <f>IFERROR(VLOOKUP(Tableau119[[#This Row],[Key(Compte ILN - shipper - POL - plant)]],'DATA ILN'!A:L,12,FALSE),VLOOKUP(Tableau119[[#This Row],[Key(Compte ILN - shipper - POL)]],'DATA ILN'!B:L,11,FALSE))</f>
        <v>#N/A</v>
      </c>
      <c r="V526" s="50" t="e">
        <f>Tableau119[[#This Row],[Day ILN Order]]+Tableau119[[#This Row],[Delivery time to ILN/Shipper]]-1</f>
        <v>#N/A</v>
      </c>
      <c r="W526" s="50" t="e">
        <f>IFERROR(VLOOKUP(Tableau119[[#This Row],[Key(Compte ILN - shipper - POL - plant)]],'DATA ILN'!A:N,14,FALSE),VLOOKUP(Tableau119[[#This Row],[Key(Compte ILN - shipper - POL)]],'DATA ILN'!B:N,13,FALSE))</f>
        <v>#N/A</v>
      </c>
      <c r="X526" s="50" t="e">
        <f>IFERROR(VLOOKUP(Tableau119[[#This Row],[Key(Compte ILN - shipper - POL - plant)]],'DATA ILN'!A:P,16,FALSE),VLOOKUP(Tableau119[[#This Row],[Key(Compte ILN - shipper - POL)]],'DATA ILN'!B:P,15,FALSE))</f>
        <v>#N/A</v>
      </c>
      <c r="Y526" s="284" t="s">
        <v>149</v>
      </c>
      <c r="Z526" s="430">
        <f>IFERROR(VLOOKUP(Tableau119[[#This Row],[Name Shipper]],Plant_AILN!L:M,2,FALSE),0)</f>
        <v>2533780546</v>
      </c>
      <c r="AA526" s="406">
        <v>165</v>
      </c>
      <c r="AB526" s="396" t="b">
        <f>_xlfn.XLOOKUP(Tableau119[[#This Row],[Key(ID-date)]],'DATA BTO'!S:S,'DATA BTO'!E:E,FALSE)</f>
        <v>0</v>
      </c>
      <c r="AC526" s="3" t="b">
        <f>_xlfn.XLOOKUP(Tableau119[[#This Row],[Key(ID-date)]],'DATA BTO'!S:S,'DATA BTO'!F:F,FALSE)</f>
        <v>0</v>
      </c>
      <c r="AD526" s="50" t="b">
        <f>_xlfn.XLOOKUP(Tableau119[[#This Row],[Key(ID-date)]],'DATA BTO'!S:S,'DATA BTO'!G:G,FALSE)</f>
        <v>0</v>
      </c>
      <c r="AE526" s="50" t="b">
        <f>_xlfn.XLOOKUP(Tableau119[[#This Row],[Key(ID-date)]],'DATA BTO'!S:S,'DATA BTO'!H:H,FALSE)</f>
        <v>0</v>
      </c>
      <c r="AF526" s="447" t="e">
        <f>IF(Tableau119[[#This Row],[First Day to POL]]&lt;=Tableau119[[#This Row],[Day Cut Off]],Tableau119[[#This Row],[Day ETD]],Tableau119[[#This Row],[Day ETD]]+7)</f>
        <v>#N/A</v>
      </c>
      <c r="AG526" s="50" t="b">
        <f>_xlfn.XLOOKUP(Tableau119[[#This Row],[Key(ID-date)]],'DATA BTO'!S:S,'DATA BTO'!I:I,FALSE)</f>
        <v>0</v>
      </c>
      <c r="AH526" s="3" t="b">
        <f>_xlfn.XLOOKUP(Tableau119[[#This Row],[Key(ID-date)]],'DATA BTO'!S:S,'DATA BTO'!J:J,FALSE)</f>
        <v>0</v>
      </c>
      <c r="AI526" s="3" t="b">
        <f>_xlfn.XLOOKUP(Tableau119[[#This Row],[Key(ID-date)]],'DATA BTO'!S:S,'DATA BTO'!K:K,FALSE)</f>
        <v>0</v>
      </c>
      <c r="AJ526" s="50" t="b">
        <f>_xlfn.XLOOKUP(Tableau119[[#This Row],[Key(ID-date)]],'DATA BTO'!S:S,'DATA BTO'!L:L,FALSE)</f>
        <v>0</v>
      </c>
      <c r="AK526" s="53" t="b">
        <f>_xlfn.XLOOKUP(Tableau119[[#This Row],[Key(ID-date)]],'DATA BTO'!S:S,'DATA BTO'!N:N,FALSE)</f>
        <v>0</v>
      </c>
      <c r="AL526" s="54" t="e">
        <f>VLOOKUP(Tableau119[[#This Row],[Key(POD -PFI- Usine)]],'DATA Consignee'!A:F,6,FALSE)</f>
        <v>#N/A</v>
      </c>
      <c r="AM526" s="284" t="s">
        <v>155</v>
      </c>
      <c r="AN526" s="376">
        <f>IF(Tableau119[[#This Row],[Name PFI/CDD]]="","-",VLOOKUP(Tableau119[[#This Row],[Name PFI/CDD]],Plant_AILN!I:J,2,FALSE))</f>
        <v>90016600</v>
      </c>
      <c r="AO5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6" s="2" t="e">
        <f>VLOOKUP(Tableau119[[#This Row],[Key(POD -PFI- Usine)]],'DATA Consignee'!A:J,10,FALSE)</f>
        <v>#N/A</v>
      </c>
      <c r="AR526" s="50" t="e">
        <f>VLOOKUP(Tableau119[[#This Row],[Key(POD -PFI- Usine)]],'DATA Consignee'!A:N,14,FALSE)</f>
        <v>#N/A</v>
      </c>
      <c r="AS5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6" s="50">
        <f>Tableau119[[#This Row],[Transit time]]+Tableau119[[#This Row],[Time for security]]+Tableau119[[#This Row],[Time for security2 buffer]]</f>
        <v>0</v>
      </c>
      <c r="AV5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6" s="50" t="e">
        <f>Tableau119[[#This Row],[Leadtime SI2C]]+Tableau119[[#This Row],[First Receipt Days]]-Tableau119[[#This Row],[Day Customer Order]]+1</f>
        <v>#N/A</v>
      </c>
      <c r="AX526" s="119" t="e">
        <f>IF(Tableau119[[#This Row],[Name ILN]]&lt;&gt;"SFK Freight Forwarder",Tableau119[[#This Row],[Cust. Leadtime]],Tableau119[[#This Row],[Leadtime SI2C]])</f>
        <v>#N/A</v>
      </c>
      <c r="AY526" s="51" t="b">
        <f>_xlfn.XLOOKUP(Tableau119[[#This Row],[Key(ID-date)]],'DATA BTO'!S:S,'DATA BTO'!P:P,FALSE)</f>
        <v>0</v>
      </c>
      <c r="AZ526" s="338">
        <v>45777</v>
      </c>
      <c r="BA526" s="50"/>
    </row>
    <row r="527" spans="2:53">
      <c r="B527" s="446" t="str">
        <f>_xlfn.CONCAT(Tableau119[[#This Row],[Name ILN]],"-",Tableau119[[#This Row],[Name Shipper]],"-",Tableau119[[#This Row],[Name Site]])</f>
        <v>ILN Chennai-ILN Chennai-DOUAI</v>
      </c>
      <c r="C527" s="66" t="str">
        <f>_xlfn.CONCAT(Tableau119[[#This Row],[Compte ILN]],"-",Tableau119[[#This Row],[Compte Shipper]],"-",Tableau119[[#This Row],[POL]],"-",Tableau119[[#This Row],[Compte Consignee]])</f>
        <v>2533780546-2533780546-FALSO-90019100</v>
      </c>
      <c r="D527" s="66" t="str">
        <f>_xlfn.CONCAT(Tableau119[[#This Row],[Compte ILN]],"-",Tableau119[[#This Row],[Compte Shipper]],"-",Tableau119[[#This Row],[POL]])</f>
        <v>2533780546-2533780546-FALSO</v>
      </c>
      <c r="E527" s="130" t="str">
        <f>_xlfn.CONCAT(Tableau119[[#This Row],[POL]],"-",Tableau119[[#This Row],[Carrier]],"-",Tableau119[[#This Row],[POD]])</f>
        <v>FALSO-FALSO-FALSO</v>
      </c>
      <c r="F527" s="66" t="str">
        <f>_xlfn.CONCAT(Tableau119[[#This Row],[ID]],"-","Actif")</f>
        <v>165-Actif</v>
      </c>
      <c r="G527" s="66" t="str">
        <f>_xlfn.CONCAT(Tableau119[[#This Row],[POD]],"-",Tableau119[[#This Row],[Code PFI]],"-",Tableau119[[#This Row],[Compte Consignee]])</f>
        <v>FALSO-90016600-90019100</v>
      </c>
      <c r="H5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ChennaiFALSODOUAI</v>
      </c>
      <c r="I527" s="434" t="str">
        <f>_xlfn.CONCAT(Tableau119[[#This Row],[ID]],"-",Tableau119[[#This Row],[Expiration Date]])</f>
        <v>165-45777</v>
      </c>
      <c r="J5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Chennai-ILN Chennai-165-FALSO-FALSO-FALSO-CDD FR-45777</v>
      </c>
      <c r="K527" s="119" t="str">
        <f ca="1">IF(COUNTIF(J:J,Tableau119[[#This Row],[Plant-ILN-shipper-POL-Carrier-POD-PFI]])=1,"Non","Oui")</f>
        <v>Non</v>
      </c>
      <c r="L527" s="128" t="str">
        <f>VLOOKUP(Tableau119[[#This Row],[Name Site]],Plant_AILN!A:D,4,FALSE)</f>
        <v>FRANCE</v>
      </c>
      <c r="M527" s="415" t="s">
        <v>188</v>
      </c>
      <c r="N527" s="455">
        <f>VLOOKUP(Tableau119[[#This Row],[Name Site]],Plant_AILN!A:C,3,FALSE)</f>
        <v>90019100</v>
      </c>
      <c r="O527" s="104">
        <f>VLOOKUP(Tableau119[[#This Row],[Compte Consignee]],Order!C:D,2,FALSE)</f>
        <v>7</v>
      </c>
      <c r="P527" s="126" t="s">
        <v>149</v>
      </c>
      <c r="Q527" s="366">
        <f>VLOOKUP(Tableau119[[#This Row],[Name ILN]],Plant_AILN!F:G,2,FALSE)</f>
        <v>2533780546</v>
      </c>
      <c r="R527" s="81">
        <f>VLOOKUP(Tableau119[[#This Row],[Compte ILN]],'DATA ILN'!D:I,6,FALSE)</f>
        <v>9</v>
      </c>
      <c r="S527" s="81" t="e">
        <f>IFERROR(VLOOKUP(Tableau119[[#This Row],[Key(Compte ILN - shipper - POL - plant)]],'DATA ILN'!A:J,10,FALSE),VLOOKUP(Tableau119[[#This Row],[Key(Compte ILN - shipper - POL)]],'DATA ILN'!B:J,9,FALSE))</f>
        <v>#N/A</v>
      </c>
      <c r="T527" s="81" t="e">
        <f>IFERROR(VLOOKUP(Tableau119[[#This Row],[Key(Compte ILN - shipper - POL - plant)]],'DATA ILN'!A:K,11,FALSE),VLOOKUP(Tableau119[[#This Row],[Key(Compte ILN - shipper - POL)]],'DATA ILN'!B:K,10,FALSE))</f>
        <v>#N/A</v>
      </c>
      <c r="U527" s="81" t="e">
        <f>IFERROR(VLOOKUP(Tableau119[[#This Row],[Key(Compte ILN - shipper - POL - plant)]],'DATA ILN'!A:L,12,FALSE),VLOOKUP(Tableau119[[#This Row],[Key(Compte ILN - shipper - POL)]],'DATA ILN'!B:L,11,FALSE))</f>
        <v>#N/A</v>
      </c>
      <c r="V527" s="81" t="e">
        <f>Tableau119[[#This Row],[Day ILN Order]]+Tableau119[[#This Row],[Delivery time to ILN/Shipper]]-1</f>
        <v>#N/A</v>
      </c>
      <c r="W527" s="81" t="e">
        <f>IFERROR(VLOOKUP(Tableau119[[#This Row],[Key(Compte ILN - shipper - POL - plant)]],'DATA ILN'!A:N,14,FALSE),VLOOKUP(Tableau119[[#This Row],[Key(Compte ILN - shipper - POL)]],'DATA ILN'!B:N,13,FALSE))</f>
        <v>#N/A</v>
      </c>
      <c r="X527" s="81" t="e">
        <f>IFERROR(VLOOKUP(Tableau119[[#This Row],[Key(Compte ILN - shipper - POL - plant)]],'DATA ILN'!A:P,16,FALSE),VLOOKUP(Tableau119[[#This Row],[Key(Compte ILN - shipper - POL)]],'DATA ILN'!B:P,15,FALSE))</f>
        <v>#N/A</v>
      </c>
      <c r="Y527" s="102" t="s">
        <v>149</v>
      </c>
      <c r="Z527" s="417">
        <f>IFERROR(VLOOKUP(Tableau119[[#This Row],[Name Shipper]],Plant_AILN!L:M,2,FALSE),0)</f>
        <v>2533780546</v>
      </c>
      <c r="AA527" s="416">
        <v>165</v>
      </c>
      <c r="AB527" s="396" t="b">
        <f>_xlfn.XLOOKUP(Tableau119[[#This Row],[Key(ID-date)]],'DATA BTO'!S:S,'DATA BTO'!E:E,FALSE)</f>
        <v>0</v>
      </c>
      <c r="AC527" s="3" t="b">
        <f>_xlfn.XLOOKUP(Tableau119[[#This Row],[Key(ID-date)]],'DATA BTO'!S:S,'DATA BTO'!F:F,FALSE)</f>
        <v>0</v>
      </c>
      <c r="AD527" s="50" t="b">
        <f>_xlfn.XLOOKUP(Tableau119[[#This Row],[Key(ID-date)]],'DATA BTO'!S:S,'DATA BTO'!G:G,FALSE)</f>
        <v>0</v>
      </c>
      <c r="AE527" s="50" t="b">
        <f>_xlfn.XLOOKUP(Tableau119[[#This Row],[Key(ID-date)]],'DATA BTO'!S:S,'DATA BTO'!H:H,FALSE)</f>
        <v>0</v>
      </c>
      <c r="AF527" s="447" t="e">
        <f>IF(Tableau119[[#This Row],[First Day to POL]]&lt;=Tableau119[[#This Row],[Day Cut Off]],Tableau119[[#This Row],[Day ETD]],Tableau119[[#This Row],[Day ETD]]+7)</f>
        <v>#N/A</v>
      </c>
      <c r="AG527" s="50" t="b">
        <f>_xlfn.XLOOKUP(Tableau119[[#This Row],[Key(ID-date)]],'DATA BTO'!S:S,'DATA BTO'!I:I,FALSE)</f>
        <v>0</v>
      </c>
      <c r="AH527" s="3" t="b">
        <f>_xlfn.XLOOKUP(Tableau119[[#This Row],[Key(ID-date)]],'DATA BTO'!S:S,'DATA BTO'!J:J,FALSE)</f>
        <v>0</v>
      </c>
      <c r="AI527" s="3" t="b">
        <f>_xlfn.XLOOKUP(Tableau119[[#This Row],[Key(ID-date)]],'DATA BTO'!S:S,'DATA BTO'!K:K,FALSE)</f>
        <v>0</v>
      </c>
      <c r="AJ527" s="50" t="b">
        <f>_xlfn.XLOOKUP(Tableau119[[#This Row],[Key(ID-date)]],'DATA BTO'!S:S,'DATA BTO'!L:L,FALSE)</f>
        <v>0</v>
      </c>
      <c r="AK527" s="53" t="b">
        <f>_xlfn.XLOOKUP(Tableau119[[#This Row],[Key(ID-date)]],'DATA BTO'!S:S,'DATA BTO'!N:N,FALSE)</f>
        <v>0</v>
      </c>
      <c r="AL527" s="54" t="e">
        <f>VLOOKUP(Tableau119[[#This Row],[Key(POD -PFI- Usine)]],'DATA Consignee'!A:F,6,FALSE)</f>
        <v>#N/A</v>
      </c>
      <c r="AM527" s="102" t="s">
        <v>155</v>
      </c>
      <c r="AN527" s="375">
        <f>IF(Tableau119[[#This Row],[Name PFI/CDD]]="","-",VLOOKUP(Tableau119[[#This Row],[Name PFI/CDD]],Plant_AILN!I:J,2,FALSE))</f>
        <v>90016600</v>
      </c>
      <c r="AO52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7" s="110" t="e">
        <f>VLOOKUP(Tableau119[[#This Row],[Key(POD -PFI- Usine)]],'DATA Consignee'!A:J,10,FALSE)</f>
        <v>#N/A</v>
      </c>
      <c r="AR527" s="81" t="e">
        <f>VLOOKUP(Tableau119[[#This Row],[Key(POD -PFI- Usine)]],'DATA Consignee'!A:N,14,FALSE)</f>
        <v>#N/A</v>
      </c>
      <c r="AS52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7" s="81">
        <f>Tableau119[[#This Row],[Transit time]]+Tableau119[[#This Row],[Time for security]]+Tableau119[[#This Row],[Time for security2 buffer]]</f>
        <v>0</v>
      </c>
      <c r="AV5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7" s="50" t="e">
        <f>Tableau119[[#This Row],[Leadtime SI2C]]+Tableau119[[#This Row],[First Receipt Days]]-Tableau119[[#This Row],[Day Customer Order]]+1</f>
        <v>#N/A</v>
      </c>
      <c r="AX527" s="119" t="e">
        <f>IF(Tableau119[[#This Row],[Name ILN]]&lt;&gt;"SFK Freight Forwarder",Tableau119[[#This Row],[Cust. Leadtime]],Tableau119[[#This Row],[Leadtime SI2C]])</f>
        <v>#N/A</v>
      </c>
      <c r="AY527" s="51" t="b">
        <f>_xlfn.XLOOKUP(Tableau119[[#This Row],[Key(ID-date)]],'DATA BTO'!S:S,'DATA BTO'!P:P,FALSE)</f>
        <v>0</v>
      </c>
      <c r="AZ527" s="388">
        <v>45777</v>
      </c>
      <c r="BA527" s="81"/>
    </row>
    <row r="528" spans="2:53">
      <c r="B528" s="446" t="str">
        <f>_xlfn.CONCAT(Tableau119[[#This Row],[Name ILN]],"-",Tableau119[[#This Row],[Name Shipper]],"-",Tableau119[[#This Row],[Name Site]])</f>
        <v>ILN Chennai-ILN Chennai-CLEON</v>
      </c>
      <c r="C528" s="66" t="str">
        <f>_xlfn.CONCAT(Tableau119[[#This Row],[Compte ILN]],"-",Tableau119[[#This Row],[Compte Shipper]],"-",Tableau119[[#This Row],[POL]],"-",Tableau119[[#This Row],[Compte Consignee]])</f>
        <v>2533780546-2533780546-FALSO-92000100</v>
      </c>
      <c r="D528" s="66" t="str">
        <f>_xlfn.CONCAT(Tableau119[[#This Row],[Compte ILN]],"-",Tableau119[[#This Row],[Compte Shipper]],"-",Tableau119[[#This Row],[POL]])</f>
        <v>2533780546-2533780546-FALSO</v>
      </c>
      <c r="E528" s="130" t="str">
        <f>_xlfn.CONCAT(Tableau119[[#This Row],[POL]],"-",Tableau119[[#This Row],[Carrier]],"-",Tableau119[[#This Row],[POD]])</f>
        <v>FALSO-FALSO-FALSO</v>
      </c>
      <c r="F528" s="66" t="str">
        <f>_xlfn.CONCAT(Tableau119[[#This Row],[ID]],"-","Actif")</f>
        <v>165-Actif</v>
      </c>
      <c r="G528" s="66" t="str">
        <f>_xlfn.CONCAT(Tableau119[[#This Row],[POD]],"-",Tableau119[[#This Row],[Code PFI]],"-",Tableau119[[#This Row],[Compte Consignee]])</f>
        <v>FALSO---92000100</v>
      </c>
      <c r="H5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ChennaiFALSOCLEON</v>
      </c>
      <c r="I528" s="434" t="str">
        <f>_xlfn.CONCAT(Tableau119[[#This Row],[ID]],"-",Tableau119[[#This Row],[Expiration Date]])</f>
        <v>165-45777</v>
      </c>
      <c r="J5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Chennai-ILN Chennai-165-FALSO-FALSO-FALSO--45777</v>
      </c>
      <c r="K528" s="119" t="str">
        <f ca="1">IF(COUNTIF(J:J,Tableau119[[#This Row],[Plant-ILN-shipper-POL-Carrier-POD-PFI]])=1,"Non","Oui")</f>
        <v>Non</v>
      </c>
      <c r="L528" s="128" t="str">
        <f>VLOOKUP(Tableau119[[#This Row],[Name Site]],Plant_AILN!A:D,4,FALSE)</f>
        <v>FRANCE</v>
      </c>
      <c r="M528" s="411" t="s">
        <v>183</v>
      </c>
      <c r="N528" s="454">
        <f>VLOOKUP(Tableau119[[#This Row],[Name Site]],Plant_AILN!A:C,3,FALSE)</f>
        <v>92000100</v>
      </c>
      <c r="O528" s="55">
        <f>VLOOKUP(Tableau119[[#This Row],[Compte Consignee]],Order!C:D,2,FALSE)</f>
        <v>7</v>
      </c>
      <c r="P528" s="124" t="s">
        <v>149</v>
      </c>
      <c r="Q528" s="365">
        <f>VLOOKUP(Tableau119[[#This Row],[Name ILN]],Plant_AILN!F:G,2,FALSE)</f>
        <v>2533780546</v>
      </c>
      <c r="R528" s="50">
        <f>VLOOKUP(Tableau119[[#This Row],[Compte ILN]],'DATA ILN'!D:I,6,FALSE)</f>
        <v>9</v>
      </c>
      <c r="S528" s="50" t="e">
        <f>IFERROR(VLOOKUP(Tableau119[[#This Row],[Key(Compte ILN - shipper - POL - plant)]],'DATA ILN'!A:J,10,FALSE),VLOOKUP(Tableau119[[#This Row],[Key(Compte ILN - shipper - POL)]],'DATA ILN'!B:J,9,FALSE))</f>
        <v>#N/A</v>
      </c>
      <c r="T528" s="50" t="e">
        <f>IFERROR(VLOOKUP(Tableau119[[#This Row],[Key(Compte ILN - shipper - POL - plant)]],'DATA ILN'!A:K,11,FALSE),VLOOKUP(Tableau119[[#This Row],[Key(Compte ILN - shipper - POL)]],'DATA ILN'!B:K,10,FALSE))</f>
        <v>#N/A</v>
      </c>
      <c r="U528" s="50" t="e">
        <f>IFERROR(VLOOKUP(Tableau119[[#This Row],[Key(Compte ILN - shipper - POL - plant)]],'DATA ILN'!A:L,12,FALSE),VLOOKUP(Tableau119[[#This Row],[Key(Compte ILN - shipper - POL)]],'DATA ILN'!B:L,11,FALSE))</f>
        <v>#N/A</v>
      </c>
      <c r="V528" s="50" t="e">
        <f>Tableau119[[#This Row],[Day ILN Order]]+Tableau119[[#This Row],[Delivery time to ILN/Shipper]]-1</f>
        <v>#N/A</v>
      </c>
      <c r="W528" s="50" t="e">
        <f>IFERROR(VLOOKUP(Tableau119[[#This Row],[Key(Compte ILN - shipper - POL - plant)]],'DATA ILN'!A:N,14,FALSE),VLOOKUP(Tableau119[[#This Row],[Key(Compte ILN - shipper - POL)]],'DATA ILN'!B:N,13,FALSE))</f>
        <v>#N/A</v>
      </c>
      <c r="X528" s="50" t="e">
        <f>IFERROR(VLOOKUP(Tableau119[[#This Row],[Key(Compte ILN - shipper - POL - plant)]],'DATA ILN'!A:P,16,FALSE),VLOOKUP(Tableau119[[#This Row],[Key(Compte ILN - shipper - POL)]],'DATA ILN'!B:P,15,FALSE))</f>
        <v>#N/A</v>
      </c>
      <c r="Y528" s="284" t="s">
        <v>149</v>
      </c>
      <c r="Z528" s="430">
        <f>IFERROR(VLOOKUP(Tableau119[[#This Row],[Name Shipper]],Plant_AILN!L:M,2,FALSE),0)</f>
        <v>2533780546</v>
      </c>
      <c r="AA528" s="406">
        <v>165</v>
      </c>
      <c r="AB528" s="396" t="b">
        <f>_xlfn.XLOOKUP(Tableau119[[#This Row],[Key(ID-date)]],'DATA BTO'!S:S,'DATA BTO'!E:E,FALSE)</f>
        <v>0</v>
      </c>
      <c r="AC528" s="3" t="b">
        <f>_xlfn.XLOOKUP(Tableau119[[#This Row],[Key(ID-date)]],'DATA BTO'!S:S,'DATA BTO'!F:F,FALSE)</f>
        <v>0</v>
      </c>
      <c r="AD528" s="50" t="b">
        <f>_xlfn.XLOOKUP(Tableau119[[#This Row],[Key(ID-date)]],'DATA BTO'!S:S,'DATA BTO'!G:G,FALSE)</f>
        <v>0</v>
      </c>
      <c r="AE528" s="50" t="b">
        <f>_xlfn.XLOOKUP(Tableau119[[#This Row],[Key(ID-date)]],'DATA BTO'!S:S,'DATA BTO'!H:H,FALSE)</f>
        <v>0</v>
      </c>
      <c r="AF528" s="447" t="e">
        <f>IF(Tableau119[[#This Row],[First Day to POL]]&lt;=Tableau119[[#This Row],[Day Cut Off]],Tableau119[[#This Row],[Day ETD]],Tableau119[[#This Row],[Day ETD]]+7)</f>
        <v>#N/A</v>
      </c>
      <c r="AG528" s="50" t="b">
        <f>_xlfn.XLOOKUP(Tableau119[[#This Row],[Key(ID-date)]],'DATA BTO'!S:S,'DATA BTO'!I:I,FALSE)</f>
        <v>0</v>
      </c>
      <c r="AH528" s="3" t="b">
        <f>_xlfn.XLOOKUP(Tableau119[[#This Row],[Key(ID-date)]],'DATA BTO'!S:S,'DATA BTO'!J:J,FALSE)</f>
        <v>0</v>
      </c>
      <c r="AI528" s="3" t="b">
        <f>_xlfn.XLOOKUP(Tableau119[[#This Row],[Key(ID-date)]],'DATA BTO'!S:S,'DATA BTO'!K:K,FALSE)</f>
        <v>0</v>
      </c>
      <c r="AJ528" s="50" t="b">
        <f>_xlfn.XLOOKUP(Tableau119[[#This Row],[Key(ID-date)]],'DATA BTO'!S:S,'DATA BTO'!L:L,FALSE)</f>
        <v>0</v>
      </c>
      <c r="AK528" s="53" t="b">
        <f>_xlfn.XLOOKUP(Tableau119[[#This Row],[Key(ID-date)]],'DATA BTO'!S:S,'DATA BTO'!N:N,FALSE)</f>
        <v>0</v>
      </c>
      <c r="AL528" s="54" t="e">
        <f>VLOOKUP(Tableau119[[#This Row],[Key(POD -PFI- Usine)]],'DATA Consignee'!A:F,6,FALSE)</f>
        <v>#N/A</v>
      </c>
      <c r="AM528" s="284"/>
      <c r="AN528" s="376" t="str">
        <f>IF(Tableau119[[#This Row],[Name PFI/CDD]]="","-",VLOOKUP(Tableau119[[#This Row],[Name PFI/CDD]],Plant_AILN!I:J,2,FALSE))</f>
        <v>-</v>
      </c>
      <c r="AO5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8" s="2" t="e">
        <f>VLOOKUP(Tableau119[[#This Row],[Key(POD -PFI- Usine)]],'DATA Consignee'!A:J,10,FALSE)</f>
        <v>#N/A</v>
      </c>
      <c r="AR528" s="50" t="e">
        <f>VLOOKUP(Tableau119[[#This Row],[Key(POD -PFI- Usine)]],'DATA Consignee'!A:N,14,FALSE)</f>
        <v>#N/A</v>
      </c>
      <c r="AS5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8" s="50">
        <f>Tableau119[[#This Row],[Transit time]]+Tableau119[[#This Row],[Time for security]]+Tableau119[[#This Row],[Time for security2 buffer]]</f>
        <v>0</v>
      </c>
      <c r="AV5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8" s="50" t="e">
        <f>Tableau119[[#This Row],[Leadtime SI2C]]+Tableau119[[#This Row],[First Receipt Days]]-Tableau119[[#This Row],[Day Customer Order]]+1</f>
        <v>#N/A</v>
      </c>
      <c r="AX528" s="119" t="e">
        <f>IF(Tableau119[[#This Row],[Name ILN]]&lt;&gt;"SFK Freight Forwarder",Tableau119[[#This Row],[Cust. Leadtime]],Tableau119[[#This Row],[Leadtime SI2C]])</f>
        <v>#N/A</v>
      </c>
      <c r="AY528" s="51" t="b">
        <f>_xlfn.XLOOKUP(Tableau119[[#This Row],[Key(ID-date)]],'DATA BTO'!S:S,'DATA BTO'!P:P,FALSE)</f>
        <v>0</v>
      </c>
      <c r="AZ528" s="338">
        <v>45777</v>
      </c>
      <c r="BA528" s="50"/>
    </row>
    <row r="529" spans="2:53">
      <c r="B529" s="446" t="str">
        <f>_xlfn.CONCAT(Tableau119[[#This Row],[Name ILN]],"-",Tableau119[[#This Row],[Name Shipper]],"-",Tableau119[[#This Row],[Name Site]])</f>
        <v>ILN Chennai-ILN Chennai-FLINS</v>
      </c>
      <c r="C529" s="66" t="str">
        <f>_xlfn.CONCAT(Tableau119[[#This Row],[Compte ILN]],"-",Tableau119[[#This Row],[Compte Shipper]],"-",Tableau119[[#This Row],[POL]],"-",Tableau119[[#This Row],[Compte Consignee]])</f>
        <v>2533780546-2533780546-FALSO-90015100</v>
      </c>
      <c r="D529" s="66" t="str">
        <f>_xlfn.CONCAT(Tableau119[[#This Row],[Compte ILN]],"-",Tableau119[[#This Row],[Compte Shipper]],"-",Tableau119[[#This Row],[POL]])</f>
        <v>2533780546-2533780546-FALSO</v>
      </c>
      <c r="E529" s="130" t="str">
        <f>_xlfn.CONCAT(Tableau119[[#This Row],[POL]],"-",Tableau119[[#This Row],[Carrier]],"-",Tableau119[[#This Row],[POD]])</f>
        <v>FALSO-FALSO-FALSO</v>
      </c>
      <c r="F529" s="66" t="str">
        <f>_xlfn.CONCAT(Tableau119[[#This Row],[ID]],"-","Actif")</f>
        <v>165-Actif</v>
      </c>
      <c r="G529" s="66" t="str">
        <f>_xlfn.CONCAT(Tableau119[[#This Row],[POD]],"-",Tableau119[[#This Row],[Code PFI]],"-",Tableau119[[#This Row],[Compte Consignee]])</f>
        <v>FALSO---90015100</v>
      </c>
      <c r="H5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ChennaiFALSOFLINS</v>
      </c>
      <c r="I529" s="434" t="str">
        <f>_xlfn.CONCAT(Tableau119[[#This Row],[ID]],"-",Tableau119[[#This Row],[Expiration Date]])</f>
        <v>165-45473</v>
      </c>
      <c r="J5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Chennai-ILN Chennai-165-FALSO-FALSO-FALSO--45473</v>
      </c>
      <c r="K529" s="119" t="str">
        <f ca="1">IF(COUNTIF(J:J,Tableau119[[#This Row],[Plant-ILN-shipper-POL-Carrier-POD-PFI]])=1,"Non","Oui")</f>
        <v>Non</v>
      </c>
      <c r="L529" s="128" t="str">
        <f>VLOOKUP(Tableau119[[#This Row],[Name Site]],Plant_AILN!A:D,4,FALSE)</f>
        <v>FRANCE</v>
      </c>
      <c r="M529" s="411" t="s">
        <v>209</v>
      </c>
      <c r="N529" s="454">
        <f>VLOOKUP(Tableau119[[#This Row],[Name Site]],Plant_AILN!A:C,3,FALSE)</f>
        <v>90015100</v>
      </c>
      <c r="O529" s="55">
        <f>VLOOKUP(Tableau119[[#This Row],[Compte Consignee]],Order!C:D,2,FALSE)</f>
        <v>7</v>
      </c>
      <c r="P529" s="124" t="s">
        <v>149</v>
      </c>
      <c r="Q529" s="365">
        <f>VLOOKUP(Tableau119[[#This Row],[Name ILN]],Plant_AILN!F:G,2,FALSE)</f>
        <v>2533780546</v>
      </c>
      <c r="R529" s="50">
        <f>VLOOKUP(Tableau119[[#This Row],[Compte ILN]],'DATA ILN'!D:I,6,FALSE)</f>
        <v>9</v>
      </c>
      <c r="S529" s="50" t="e">
        <f>IFERROR(VLOOKUP(Tableau119[[#This Row],[Key(Compte ILN - shipper - POL - plant)]],'DATA ILN'!A:J,10,FALSE),VLOOKUP(Tableau119[[#This Row],[Key(Compte ILN - shipper - POL)]],'DATA ILN'!B:J,9,FALSE))</f>
        <v>#N/A</v>
      </c>
      <c r="T529" s="50" t="e">
        <f>IFERROR(VLOOKUP(Tableau119[[#This Row],[Key(Compte ILN - shipper - POL - plant)]],'DATA ILN'!A:K,11,FALSE),VLOOKUP(Tableau119[[#This Row],[Key(Compte ILN - shipper - POL)]],'DATA ILN'!B:K,10,FALSE))</f>
        <v>#N/A</v>
      </c>
      <c r="U529" s="50" t="e">
        <f>IFERROR(VLOOKUP(Tableau119[[#This Row],[Key(Compte ILN - shipper - POL - plant)]],'DATA ILN'!A:L,12,FALSE),VLOOKUP(Tableau119[[#This Row],[Key(Compte ILN - shipper - POL)]],'DATA ILN'!B:L,11,FALSE))</f>
        <v>#N/A</v>
      </c>
      <c r="V529" s="50" t="e">
        <f>Tableau119[[#This Row],[Day ILN Order]]+Tableau119[[#This Row],[Delivery time to ILN/Shipper]]-1</f>
        <v>#N/A</v>
      </c>
      <c r="W529" s="50" t="e">
        <f>IFERROR(VLOOKUP(Tableau119[[#This Row],[Key(Compte ILN - shipper - POL - plant)]],'DATA ILN'!A:N,14,FALSE),VLOOKUP(Tableau119[[#This Row],[Key(Compte ILN - shipper - POL)]],'DATA ILN'!B:N,13,FALSE))</f>
        <v>#N/A</v>
      </c>
      <c r="X529" s="50" t="e">
        <f>IFERROR(VLOOKUP(Tableau119[[#This Row],[Key(Compte ILN - shipper - POL - plant)]],'DATA ILN'!A:P,16,FALSE),VLOOKUP(Tableau119[[#This Row],[Key(Compte ILN - shipper - POL)]],'DATA ILN'!B:P,15,FALSE))</f>
        <v>#N/A</v>
      </c>
      <c r="Y529" s="284" t="s">
        <v>149</v>
      </c>
      <c r="Z529" s="430">
        <f>IFERROR(VLOOKUP(Tableau119[[#This Row],[Name Shipper]],Plant_AILN!L:M,2,FALSE),0)</f>
        <v>2533780546</v>
      </c>
      <c r="AA529" s="406">
        <v>165</v>
      </c>
      <c r="AB529" s="396" t="b">
        <f>_xlfn.XLOOKUP(Tableau119[[#This Row],[Key(ID-date)]],'DATA BTO'!S:S,'DATA BTO'!E:E,FALSE)</f>
        <v>0</v>
      </c>
      <c r="AC529" s="3" t="b">
        <f>_xlfn.XLOOKUP(Tableau119[[#This Row],[Key(ID-date)]],'DATA BTO'!S:S,'DATA BTO'!F:F,FALSE)</f>
        <v>0</v>
      </c>
      <c r="AD529" s="50" t="b">
        <f>_xlfn.XLOOKUP(Tableau119[[#This Row],[Key(ID-date)]],'DATA BTO'!S:S,'DATA BTO'!G:G,FALSE)</f>
        <v>0</v>
      </c>
      <c r="AE529" s="50" t="b">
        <f>_xlfn.XLOOKUP(Tableau119[[#This Row],[Key(ID-date)]],'DATA BTO'!S:S,'DATA BTO'!H:H,FALSE)</f>
        <v>0</v>
      </c>
      <c r="AF529" s="447" t="e">
        <f>IF(Tableau119[[#This Row],[First Day to POL]]&lt;=Tableau119[[#This Row],[Day Cut Off]],Tableau119[[#This Row],[Day ETD]],Tableau119[[#This Row],[Day ETD]]+7)</f>
        <v>#N/A</v>
      </c>
      <c r="AG529" s="50" t="b">
        <f>_xlfn.XLOOKUP(Tableau119[[#This Row],[Key(ID-date)]],'DATA BTO'!S:S,'DATA BTO'!I:I,FALSE)</f>
        <v>0</v>
      </c>
      <c r="AH529" s="3" t="b">
        <f>_xlfn.XLOOKUP(Tableau119[[#This Row],[Key(ID-date)]],'DATA BTO'!S:S,'DATA BTO'!J:J,FALSE)</f>
        <v>0</v>
      </c>
      <c r="AI529" s="3" t="b">
        <f>_xlfn.XLOOKUP(Tableau119[[#This Row],[Key(ID-date)]],'DATA BTO'!S:S,'DATA BTO'!K:K,FALSE)</f>
        <v>0</v>
      </c>
      <c r="AJ529" s="50" t="b">
        <f>_xlfn.XLOOKUP(Tableau119[[#This Row],[Key(ID-date)]],'DATA BTO'!S:S,'DATA BTO'!L:L,FALSE)</f>
        <v>0</v>
      </c>
      <c r="AK529" s="53" t="b">
        <f>_xlfn.XLOOKUP(Tableau119[[#This Row],[Key(ID-date)]],'DATA BTO'!S:S,'DATA BTO'!N:N,FALSE)</f>
        <v>0</v>
      </c>
      <c r="AL529" s="54" t="e">
        <f>VLOOKUP(Tableau119[[#This Row],[Key(POD -PFI- Usine)]],'DATA Consignee'!A:F,6,FALSE)</f>
        <v>#N/A</v>
      </c>
      <c r="AM529" s="284"/>
      <c r="AN529" s="376" t="str">
        <f>IF(Tableau119[[#This Row],[Name PFI/CDD]]="","-",VLOOKUP(Tableau119[[#This Row],[Name PFI/CDD]],Plant_AILN!I:J,2,FALSE))</f>
        <v>-</v>
      </c>
      <c r="AO5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29" s="2" t="e">
        <f>VLOOKUP(Tableau119[[#This Row],[Key(POD -PFI- Usine)]],'DATA Consignee'!A:J,10,FALSE)</f>
        <v>#N/A</v>
      </c>
      <c r="AR529" s="50" t="e">
        <f>VLOOKUP(Tableau119[[#This Row],[Key(POD -PFI- Usine)]],'DATA Consignee'!A:N,14,FALSE)</f>
        <v>#N/A</v>
      </c>
      <c r="AS5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29" s="50">
        <f>Tableau119[[#This Row],[Transit time]]+Tableau119[[#This Row],[Time for security]]+Tableau119[[#This Row],[Time for security2 buffer]]</f>
        <v>0</v>
      </c>
      <c r="AV5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29" s="50" t="e">
        <f>Tableau119[[#This Row],[Leadtime SI2C]]+Tableau119[[#This Row],[First Receipt Days]]-Tableau119[[#This Row],[Day Customer Order]]+1</f>
        <v>#N/A</v>
      </c>
      <c r="AX529" s="119" t="e">
        <f>IF(Tableau119[[#This Row],[Name ILN]]&lt;&gt;"SFK Freight Forwarder",Tableau119[[#This Row],[Cust. Leadtime]],Tableau119[[#This Row],[Leadtime SI2C]])</f>
        <v>#N/A</v>
      </c>
      <c r="AY529" s="51" t="b">
        <f>_xlfn.XLOOKUP(Tableau119[[#This Row],[Key(ID-date)]],'DATA BTO'!S:S,'DATA BTO'!P:P,FALSE)</f>
        <v>0</v>
      </c>
      <c r="AZ529" s="338">
        <v>45473</v>
      </c>
      <c r="BA529" s="50"/>
    </row>
    <row r="530" spans="2:53">
      <c r="B530" s="446" t="str">
        <f>_xlfn.CONCAT(Tableau119[[#This Row],[Name ILN]],"-",Tableau119[[#This Row],[Name Shipper]],"-",Tableau119[[#This Row],[Name Site]])</f>
        <v>ILN Chennai-ILN Chennai-MAUBEUGE</v>
      </c>
      <c r="C530" s="66" t="str">
        <f>_xlfn.CONCAT(Tableau119[[#This Row],[Compte ILN]],"-",Tableau119[[#This Row],[Compte Shipper]],"-",Tableau119[[#This Row],[POL]],"-",Tableau119[[#This Row],[Compte Consignee]])</f>
        <v>2533780546-2533780546-FALSO-90016200</v>
      </c>
      <c r="D530" s="66" t="str">
        <f>_xlfn.CONCAT(Tableau119[[#This Row],[Compte ILN]],"-",Tableau119[[#This Row],[Compte Shipper]],"-",Tableau119[[#This Row],[POL]])</f>
        <v>2533780546-2533780546-FALSO</v>
      </c>
      <c r="E530" s="130" t="str">
        <f>_xlfn.CONCAT(Tableau119[[#This Row],[POL]],"-",Tableau119[[#This Row],[Carrier]],"-",Tableau119[[#This Row],[POD]])</f>
        <v>FALSO-FALSO-FALSO</v>
      </c>
      <c r="F530" s="66" t="str">
        <f>_xlfn.CONCAT(Tableau119[[#This Row],[ID]],"-","Actif")</f>
        <v>165-Actif</v>
      </c>
      <c r="G530" s="66" t="str">
        <f>_xlfn.CONCAT(Tableau119[[#This Row],[POD]],"-",Tableau119[[#This Row],[Code PFI]],"-",Tableau119[[#This Row],[Compte Consignee]])</f>
        <v>FALSO-90016600-90016200</v>
      </c>
      <c r="H5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ChennaiFALSOMAUBEUGE</v>
      </c>
      <c r="I530" s="434" t="str">
        <f>_xlfn.CONCAT(Tableau119[[#This Row],[ID]],"-",Tableau119[[#This Row],[Expiration Date]])</f>
        <v>165-45473</v>
      </c>
      <c r="J5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Chennai-ILN Chennai-165-FALSO-FALSO-FALSO-CDD FR-45473</v>
      </c>
      <c r="K530" s="119" t="str">
        <f ca="1">IF(COUNTIF(J:J,Tableau119[[#This Row],[Plant-ILN-shipper-POL-Carrier-POD-PFI]])=1,"Non","Oui")</f>
        <v>Non</v>
      </c>
      <c r="L530" s="128" t="str">
        <f>VLOOKUP(Tableau119[[#This Row],[Name Site]],Plant_AILN!A:D,4,FALSE)</f>
        <v>FRANCE</v>
      </c>
      <c r="M530" s="411" t="s">
        <v>210</v>
      </c>
      <c r="N530" s="454">
        <f>VLOOKUP(Tableau119[[#This Row],[Name Site]],Plant_AILN!A:C,3,FALSE)</f>
        <v>90016200</v>
      </c>
      <c r="O530" s="55">
        <f>VLOOKUP(Tableau119[[#This Row],[Compte Consignee]],Order!C:D,2,FALSE)</f>
        <v>7</v>
      </c>
      <c r="P530" s="124" t="s">
        <v>149</v>
      </c>
      <c r="Q530" s="365">
        <f>VLOOKUP(Tableau119[[#This Row],[Name ILN]],Plant_AILN!F:G,2,FALSE)</f>
        <v>2533780546</v>
      </c>
      <c r="R530" s="50">
        <f>VLOOKUP(Tableau119[[#This Row],[Compte ILN]],'DATA ILN'!D:I,6,FALSE)</f>
        <v>9</v>
      </c>
      <c r="S530" s="50" t="e">
        <f>IFERROR(VLOOKUP(Tableau119[[#This Row],[Key(Compte ILN - shipper - POL - plant)]],'DATA ILN'!A:J,10,FALSE),VLOOKUP(Tableau119[[#This Row],[Key(Compte ILN - shipper - POL)]],'DATA ILN'!B:J,9,FALSE))</f>
        <v>#N/A</v>
      </c>
      <c r="T530" s="50" t="e">
        <f>IFERROR(VLOOKUP(Tableau119[[#This Row],[Key(Compte ILN - shipper - POL - plant)]],'DATA ILN'!A:K,11,FALSE),VLOOKUP(Tableau119[[#This Row],[Key(Compte ILN - shipper - POL)]],'DATA ILN'!B:K,10,FALSE))</f>
        <v>#N/A</v>
      </c>
      <c r="U530" s="50" t="e">
        <f>IFERROR(VLOOKUP(Tableau119[[#This Row],[Key(Compte ILN - shipper - POL - plant)]],'DATA ILN'!A:L,12,FALSE),VLOOKUP(Tableau119[[#This Row],[Key(Compte ILN - shipper - POL)]],'DATA ILN'!B:L,11,FALSE))</f>
        <v>#N/A</v>
      </c>
      <c r="V530" s="50" t="e">
        <f>Tableau119[[#This Row],[Day ILN Order]]+Tableau119[[#This Row],[Delivery time to ILN/Shipper]]-1</f>
        <v>#N/A</v>
      </c>
      <c r="W530" s="50" t="e">
        <f>IFERROR(VLOOKUP(Tableau119[[#This Row],[Key(Compte ILN - shipper - POL - plant)]],'DATA ILN'!A:N,14,FALSE),VLOOKUP(Tableau119[[#This Row],[Key(Compte ILN - shipper - POL)]],'DATA ILN'!B:N,13,FALSE))</f>
        <v>#N/A</v>
      </c>
      <c r="X530" s="50" t="e">
        <f>IFERROR(VLOOKUP(Tableau119[[#This Row],[Key(Compte ILN - shipper - POL - plant)]],'DATA ILN'!A:P,16,FALSE),VLOOKUP(Tableau119[[#This Row],[Key(Compte ILN - shipper - POL)]],'DATA ILN'!B:P,15,FALSE))</f>
        <v>#N/A</v>
      </c>
      <c r="Y530" s="284" t="s">
        <v>149</v>
      </c>
      <c r="Z530" s="430">
        <f>IFERROR(VLOOKUP(Tableau119[[#This Row],[Name Shipper]],Plant_AILN!L:M,2,FALSE),0)</f>
        <v>2533780546</v>
      </c>
      <c r="AA530" s="406">
        <v>165</v>
      </c>
      <c r="AB530" s="396" t="b">
        <f>_xlfn.XLOOKUP(Tableau119[[#This Row],[Key(ID-date)]],'DATA BTO'!S:S,'DATA BTO'!E:E,FALSE)</f>
        <v>0</v>
      </c>
      <c r="AC530" s="3" t="b">
        <f>_xlfn.XLOOKUP(Tableau119[[#This Row],[Key(ID-date)]],'DATA BTO'!S:S,'DATA BTO'!F:F,FALSE)</f>
        <v>0</v>
      </c>
      <c r="AD530" s="50" t="b">
        <f>_xlfn.XLOOKUP(Tableau119[[#This Row],[Key(ID-date)]],'DATA BTO'!S:S,'DATA BTO'!G:G,FALSE)</f>
        <v>0</v>
      </c>
      <c r="AE530" s="50" t="b">
        <f>_xlfn.XLOOKUP(Tableau119[[#This Row],[Key(ID-date)]],'DATA BTO'!S:S,'DATA BTO'!H:H,FALSE)</f>
        <v>0</v>
      </c>
      <c r="AF530" s="447" t="e">
        <f>IF(Tableau119[[#This Row],[First Day to POL]]&lt;=Tableau119[[#This Row],[Day Cut Off]],Tableau119[[#This Row],[Day ETD]],Tableau119[[#This Row],[Day ETD]]+7)</f>
        <v>#N/A</v>
      </c>
      <c r="AG530" s="50" t="b">
        <f>_xlfn.XLOOKUP(Tableau119[[#This Row],[Key(ID-date)]],'DATA BTO'!S:S,'DATA BTO'!I:I,FALSE)</f>
        <v>0</v>
      </c>
      <c r="AH530" s="3" t="b">
        <f>_xlfn.XLOOKUP(Tableau119[[#This Row],[Key(ID-date)]],'DATA BTO'!S:S,'DATA BTO'!J:J,FALSE)</f>
        <v>0</v>
      </c>
      <c r="AI530" s="3" t="b">
        <f>_xlfn.XLOOKUP(Tableau119[[#This Row],[Key(ID-date)]],'DATA BTO'!S:S,'DATA BTO'!K:K,FALSE)</f>
        <v>0</v>
      </c>
      <c r="AJ530" s="50" t="b">
        <f>_xlfn.XLOOKUP(Tableau119[[#This Row],[Key(ID-date)]],'DATA BTO'!S:S,'DATA BTO'!L:L,FALSE)</f>
        <v>0</v>
      </c>
      <c r="AK530" s="53" t="b">
        <f>_xlfn.XLOOKUP(Tableau119[[#This Row],[Key(ID-date)]],'DATA BTO'!S:S,'DATA BTO'!N:N,FALSE)</f>
        <v>0</v>
      </c>
      <c r="AL530" s="54" t="e">
        <f>VLOOKUP(Tableau119[[#This Row],[Key(POD -PFI- Usine)]],'DATA Consignee'!A:F,6,FALSE)</f>
        <v>#N/A</v>
      </c>
      <c r="AM530" s="284" t="s">
        <v>155</v>
      </c>
      <c r="AN530" s="376">
        <f>IF(Tableau119[[#This Row],[Name PFI/CDD]]="","-",VLOOKUP(Tableau119[[#This Row],[Name PFI/CDD]],Plant_AILN!I:J,2,FALSE))</f>
        <v>90016600</v>
      </c>
      <c r="AO5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0" s="2" t="e">
        <f>VLOOKUP(Tableau119[[#This Row],[Key(POD -PFI- Usine)]],'DATA Consignee'!A:J,10,FALSE)</f>
        <v>#N/A</v>
      </c>
      <c r="AR530" s="50" t="e">
        <f>VLOOKUP(Tableau119[[#This Row],[Key(POD -PFI- Usine)]],'DATA Consignee'!A:N,14,FALSE)</f>
        <v>#N/A</v>
      </c>
      <c r="AS5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0" s="50">
        <f>Tableau119[[#This Row],[Transit time]]+Tableau119[[#This Row],[Time for security]]+Tableau119[[#This Row],[Time for security2 buffer]]</f>
        <v>0</v>
      </c>
      <c r="AV5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0" s="50" t="e">
        <f>Tableau119[[#This Row],[Leadtime SI2C]]+Tableau119[[#This Row],[First Receipt Days]]-Tableau119[[#This Row],[Day Customer Order]]+1</f>
        <v>#N/A</v>
      </c>
      <c r="AX530" s="119" t="e">
        <f>IF(Tableau119[[#This Row],[Name ILN]]&lt;&gt;"SFK Freight Forwarder",Tableau119[[#This Row],[Cust. Leadtime]],Tableau119[[#This Row],[Leadtime SI2C]])</f>
        <v>#N/A</v>
      </c>
      <c r="AY530" s="51" t="b">
        <f>_xlfn.XLOOKUP(Tableau119[[#This Row],[Key(ID-date)]],'DATA BTO'!S:S,'DATA BTO'!P:P,FALSE)</f>
        <v>0</v>
      </c>
      <c r="AZ530" s="338">
        <v>45473</v>
      </c>
      <c r="BA530" s="50"/>
    </row>
    <row r="531" spans="2:53">
      <c r="B531" s="446" t="str">
        <f>_xlfn.CONCAT(Tableau119[[#This Row],[Name ILN]],"-",Tableau119[[#This Row],[Name Shipper]],"-",Tableau119[[#This Row],[Name Site]])</f>
        <v>ILN Chennai-ILN Chennai-SOVAB</v>
      </c>
      <c r="C531" s="66" t="str">
        <f>_xlfn.CONCAT(Tableau119[[#This Row],[Compte ILN]],"-",Tableau119[[#This Row],[Compte Shipper]],"-",Tableau119[[#This Row],[POL]],"-",Tableau119[[#This Row],[Compte Consignee]])</f>
        <v>2533780546-2533780546-FALSO-90016900</v>
      </c>
      <c r="D531" s="66" t="str">
        <f>_xlfn.CONCAT(Tableau119[[#This Row],[Compte ILN]],"-",Tableau119[[#This Row],[Compte Shipper]],"-",Tableau119[[#This Row],[POL]])</f>
        <v>2533780546-2533780546-FALSO</v>
      </c>
      <c r="E531" s="130" t="str">
        <f>_xlfn.CONCAT(Tableau119[[#This Row],[POL]],"-",Tableau119[[#This Row],[Carrier]],"-",Tableau119[[#This Row],[POD]])</f>
        <v>FALSO-FALSO-FALSO</v>
      </c>
      <c r="F531" s="66" t="str">
        <f>_xlfn.CONCAT(Tableau119[[#This Row],[ID]],"-","Actif")</f>
        <v>165-Actif</v>
      </c>
      <c r="G531" s="66" t="str">
        <f>_xlfn.CONCAT(Tableau119[[#This Row],[POD]],"-",Tableau119[[#This Row],[Code PFI]],"-",Tableau119[[#This Row],[Compte Consignee]])</f>
        <v>FALSO-90016600-90016900</v>
      </c>
      <c r="H5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ChennaiFALSOSOVAB</v>
      </c>
      <c r="I531" s="434" t="str">
        <f>_xlfn.CONCAT(Tableau119[[#This Row],[ID]],"-",Tableau119[[#This Row],[Expiration Date]])</f>
        <v>165-45473</v>
      </c>
      <c r="J5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Chennai-ILN Chennai-165-FALSO-FALSO-FALSO-CDD FR-45473</v>
      </c>
      <c r="K531" s="119" t="str">
        <f ca="1">IF(COUNTIF(J:J,Tableau119[[#This Row],[Plant-ILN-shipper-POL-Carrier-POD-PFI]])=1,"Non","Oui")</f>
        <v>Non</v>
      </c>
      <c r="L531" s="128" t="str">
        <f>VLOOKUP(Tableau119[[#This Row],[Name Site]],Plant_AILN!A:D,4,FALSE)</f>
        <v>FRANCE</v>
      </c>
      <c r="M531" s="415" t="s">
        <v>154</v>
      </c>
      <c r="N531" s="455">
        <f>VLOOKUP(Tableau119[[#This Row],[Name Site]],Plant_AILN!A:C,3,FALSE)</f>
        <v>90016900</v>
      </c>
      <c r="O531" s="104">
        <f>VLOOKUP(Tableau119[[#This Row],[Compte Consignee]],Order!C:D,2,FALSE)</f>
        <v>7</v>
      </c>
      <c r="P531" s="126" t="s">
        <v>149</v>
      </c>
      <c r="Q531" s="366">
        <f>VLOOKUP(Tableau119[[#This Row],[Name ILN]],Plant_AILN!F:G,2,FALSE)</f>
        <v>2533780546</v>
      </c>
      <c r="R531" s="81">
        <f>VLOOKUP(Tableau119[[#This Row],[Compte ILN]],'DATA ILN'!D:I,6,FALSE)</f>
        <v>9</v>
      </c>
      <c r="S531" s="81" t="e">
        <f>IFERROR(VLOOKUP(Tableau119[[#This Row],[Key(Compte ILN - shipper - POL - plant)]],'DATA ILN'!A:J,10,FALSE),VLOOKUP(Tableau119[[#This Row],[Key(Compte ILN - shipper - POL)]],'DATA ILN'!B:J,9,FALSE))</f>
        <v>#N/A</v>
      </c>
      <c r="T531" s="81" t="e">
        <f>IFERROR(VLOOKUP(Tableau119[[#This Row],[Key(Compte ILN - shipper - POL - plant)]],'DATA ILN'!A:K,11,FALSE),VLOOKUP(Tableau119[[#This Row],[Key(Compte ILN - shipper - POL)]],'DATA ILN'!B:K,10,FALSE))</f>
        <v>#N/A</v>
      </c>
      <c r="U531" s="81" t="e">
        <f>IFERROR(VLOOKUP(Tableau119[[#This Row],[Key(Compte ILN - shipper - POL - plant)]],'DATA ILN'!A:L,12,FALSE),VLOOKUP(Tableau119[[#This Row],[Key(Compte ILN - shipper - POL)]],'DATA ILN'!B:L,11,FALSE))</f>
        <v>#N/A</v>
      </c>
      <c r="V531" s="81" t="e">
        <f>Tableau119[[#This Row],[Day ILN Order]]+Tableau119[[#This Row],[Delivery time to ILN/Shipper]]-1</f>
        <v>#N/A</v>
      </c>
      <c r="W531" s="81" t="e">
        <f>IFERROR(VLOOKUP(Tableau119[[#This Row],[Key(Compte ILN - shipper - POL - plant)]],'DATA ILN'!A:N,14,FALSE),VLOOKUP(Tableau119[[#This Row],[Key(Compte ILN - shipper - POL)]],'DATA ILN'!B:N,13,FALSE))</f>
        <v>#N/A</v>
      </c>
      <c r="X531" s="81" t="e">
        <f>IFERROR(VLOOKUP(Tableau119[[#This Row],[Key(Compte ILN - shipper - POL - plant)]],'DATA ILN'!A:P,16,FALSE),VLOOKUP(Tableau119[[#This Row],[Key(Compte ILN - shipper - POL)]],'DATA ILN'!B:P,15,FALSE))</f>
        <v>#N/A</v>
      </c>
      <c r="Y531" s="102" t="s">
        <v>149</v>
      </c>
      <c r="Z531" s="417">
        <f>IFERROR(VLOOKUP(Tableau119[[#This Row],[Name Shipper]],Plant_AILN!L:M,2,FALSE),0)</f>
        <v>2533780546</v>
      </c>
      <c r="AA531" s="416">
        <v>165</v>
      </c>
      <c r="AB531" s="396" t="b">
        <f>_xlfn.XLOOKUP(Tableau119[[#This Row],[Key(ID-date)]],'DATA BTO'!S:S,'DATA BTO'!E:E,FALSE)</f>
        <v>0</v>
      </c>
      <c r="AC531" s="3" t="b">
        <f>_xlfn.XLOOKUP(Tableau119[[#This Row],[Key(ID-date)]],'DATA BTO'!S:S,'DATA BTO'!F:F,FALSE)</f>
        <v>0</v>
      </c>
      <c r="AD531" s="50" t="b">
        <f>_xlfn.XLOOKUP(Tableau119[[#This Row],[Key(ID-date)]],'DATA BTO'!S:S,'DATA BTO'!G:G,FALSE)</f>
        <v>0</v>
      </c>
      <c r="AE531" s="50" t="b">
        <f>_xlfn.XLOOKUP(Tableau119[[#This Row],[Key(ID-date)]],'DATA BTO'!S:S,'DATA BTO'!H:H,FALSE)</f>
        <v>0</v>
      </c>
      <c r="AF531" s="447" t="e">
        <f>IF(Tableau119[[#This Row],[First Day to POL]]&lt;=Tableau119[[#This Row],[Day Cut Off]],Tableau119[[#This Row],[Day ETD]],Tableau119[[#This Row],[Day ETD]]+7)</f>
        <v>#N/A</v>
      </c>
      <c r="AG531" s="50" t="b">
        <f>_xlfn.XLOOKUP(Tableau119[[#This Row],[Key(ID-date)]],'DATA BTO'!S:S,'DATA BTO'!I:I,FALSE)</f>
        <v>0</v>
      </c>
      <c r="AH531" s="3" t="b">
        <f>_xlfn.XLOOKUP(Tableau119[[#This Row],[Key(ID-date)]],'DATA BTO'!S:S,'DATA BTO'!J:J,FALSE)</f>
        <v>0</v>
      </c>
      <c r="AI531" s="3" t="b">
        <f>_xlfn.XLOOKUP(Tableau119[[#This Row],[Key(ID-date)]],'DATA BTO'!S:S,'DATA BTO'!K:K,FALSE)</f>
        <v>0</v>
      </c>
      <c r="AJ531" s="50" t="b">
        <f>_xlfn.XLOOKUP(Tableau119[[#This Row],[Key(ID-date)]],'DATA BTO'!S:S,'DATA BTO'!L:L,FALSE)</f>
        <v>0</v>
      </c>
      <c r="AK531" s="53" t="b">
        <f>_xlfn.XLOOKUP(Tableau119[[#This Row],[Key(ID-date)]],'DATA BTO'!S:S,'DATA BTO'!N:N,FALSE)</f>
        <v>0</v>
      </c>
      <c r="AL531" s="54" t="e">
        <f>VLOOKUP(Tableau119[[#This Row],[Key(POD -PFI- Usine)]],'DATA Consignee'!A:F,6,FALSE)</f>
        <v>#N/A</v>
      </c>
      <c r="AM531" s="102" t="s">
        <v>155</v>
      </c>
      <c r="AN531" s="375">
        <f>IF(Tableau119[[#This Row],[Name PFI/CDD]]="","-",VLOOKUP(Tableau119[[#This Row],[Name PFI/CDD]],Plant_AILN!I:J,2,FALSE))</f>
        <v>90016600</v>
      </c>
      <c r="AO53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1" s="110" t="e">
        <f>VLOOKUP(Tableau119[[#This Row],[Key(POD -PFI- Usine)]],'DATA Consignee'!A:J,10,FALSE)</f>
        <v>#N/A</v>
      </c>
      <c r="AR531" s="81" t="e">
        <f>VLOOKUP(Tableau119[[#This Row],[Key(POD -PFI- Usine)]],'DATA Consignee'!A:N,14,FALSE)</f>
        <v>#N/A</v>
      </c>
      <c r="AS53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1" s="81">
        <f>Tableau119[[#This Row],[Transit time]]+Tableau119[[#This Row],[Time for security]]+Tableau119[[#This Row],[Time for security2 buffer]]</f>
        <v>0</v>
      </c>
      <c r="AV5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1" s="50" t="e">
        <f>Tableau119[[#This Row],[Leadtime SI2C]]+Tableau119[[#This Row],[First Receipt Days]]-Tableau119[[#This Row],[Day Customer Order]]+1</f>
        <v>#N/A</v>
      </c>
      <c r="AX531" s="119" t="e">
        <f>IF(Tableau119[[#This Row],[Name ILN]]&lt;&gt;"SFK Freight Forwarder",Tableau119[[#This Row],[Cust. Leadtime]],Tableau119[[#This Row],[Leadtime SI2C]])</f>
        <v>#N/A</v>
      </c>
      <c r="AY531" s="51" t="b">
        <f>_xlfn.XLOOKUP(Tableau119[[#This Row],[Key(ID-date)]],'DATA BTO'!S:S,'DATA BTO'!P:P,FALSE)</f>
        <v>0</v>
      </c>
      <c r="AZ531" s="388">
        <v>45473</v>
      </c>
      <c r="BA531" s="81"/>
    </row>
    <row r="532" spans="2:53">
      <c r="B532" s="446" t="str">
        <f>_xlfn.CONCAT(Tableau119[[#This Row],[Name ILN]],"-",Tableau119[[#This Row],[Name Shipper]],"-",Tableau119[[#This Row],[Name Site]])</f>
        <v>ILN Chennai-ILN Chennai-SANDOUVILLE</v>
      </c>
      <c r="C532" s="66" t="str">
        <f>_xlfn.CONCAT(Tableau119[[#This Row],[Compte ILN]],"-",Tableau119[[#This Row],[Compte Shipper]],"-",Tableau119[[#This Row],[POL]],"-",Tableau119[[#This Row],[Compte Consignee]])</f>
        <v>2533780546-2533780546-FALSO-90017100</v>
      </c>
      <c r="D532" s="66" t="str">
        <f>_xlfn.CONCAT(Tableau119[[#This Row],[Compte ILN]],"-",Tableau119[[#This Row],[Compte Shipper]],"-",Tableau119[[#This Row],[POL]])</f>
        <v>2533780546-2533780546-FALSO</v>
      </c>
      <c r="E532" s="130" t="str">
        <f>_xlfn.CONCAT(Tableau119[[#This Row],[POL]],"-",Tableau119[[#This Row],[Carrier]],"-",Tableau119[[#This Row],[POD]])</f>
        <v>FALSO-FALSO-FALSO</v>
      </c>
      <c r="F532" s="66" t="str">
        <f>_xlfn.CONCAT(Tableau119[[#This Row],[ID]],"-","Actif")</f>
        <v>165-Actif</v>
      </c>
      <c r="G532" s="66" t="str">
        <f>_xlfn.CONCAT(Tableau119[[#This Row],[POD]],"-",Tableau119[[#This Row],[Code PFI]],"-",Tableau119[[#This Row],[Compte Consignee]])</f>
        <v>FALSO-90016600-90017100</v>
      </c>
      <c r="H5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ChennaiFALSOSANDOUVILLE</v>
      </c>
      <c r="I532" s="434" t="str">
        <f>_xlfn.CONCAT(Tableau119[[#This Row],[ID]],"-",Tableau119[[#This Row],[Expiration Date]])</f>
        <v>165-45473</v>
      </c>
      <c r="J5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Chennai-ILN Chennai-165-FALSO-FALSO-FALSO-CDD FR-45473</v>
      </c>
      <c r="K532" s="119" t="str">
        <f ca="1">IF(COUNTIF(J:J,Tableau119[[#This Row],[Plant-ILN-shipper-POL-Carrier-POD-PFI]])=1,"Non","Oui")</f>
        <v>Non</v>
      </c>
      <c r="L532" s="128" t="str">
        <f>VLOOKUP(Tableau119[[#This Row],[Name Site]],Plant_AILN!A:D,4,FALSE)</f>
        <v>FRANCE</v>
      </c>
      <c r="M532" s="411" t="s">
        <v>196</v>
      </c>
      <c r="N532" s="454">
        <f>VLOOKUP(Tableau119[[#This Row],[Name Site]],Plant_AILN!A:C,3,FALSE)</f>
        <v>90017100</v>
      </c>
      <c r="O532" s="55">
        <f>VLOOKUP(Tableau119[[#This Row],[Compte Consignee]],Order!C:D,2,FALSE)</f>
        <v>7</v>
      </c>
      <c r="P532" s="124" t="s">
        <v>149</v>
      </c>
      <c r="Q532" s="365">
        <f>VLOOKUP(Tableau119[[#This Row],[Name ILN]],Plant_AILN!F:G,2,FALSE)</f>
        <v>2533780546</v>
      </c>
      <c r="R532" s="50">
        <f>VLOOKUP(Tableau119[[#This Row],[Compte ILN]],'DATA ILN'!D:I,6,FALSE)</f>
        <v>9</v>
      </c>
      <c r="S532" s="50" t="e">
        <f>IFERROR(VLOOKUP(Tableau119[[#This Row],[Key(Compte ILN - shipper - POL - plant)]],'DATA ILN'!A:J,10,FALSE),VLOOKUP(Tableau119[[#This Row],[Key(Compte ILN - shipper - POL)]],'DATA ILN'!B:J,9,FALSE))</f>
        <v>#N/A</v>
      </c>
      <c r="T532" s="50" t="e">
        <f>IFERROR(VLOOKUP(Tableau119[[#This Row],[Key(Compte ILN - shipper - POL - plant)]],'DATA ILN'!A:K,11,FALSE),VLOOKUP(Tableau119[[#This Row],[Key(Compte ILN - shipper - POL)]],'DATA ILN'!B:K,10,FALSE))</f>
        <v>#N/A</v>
      </c>
      <c r="U532" s="50" t="e">
        <f>IFERROR(VLOOKUP(Tableau119[[#This Row],[Key(Compte ILN - shipper - POL - plant)]],'DATA ILN'!A:L,12,FALSE),VLOOKUP(Tableau119[[#This Row],[Key(Compte ILN - shipper - POL)]],'DATA ILN'!B:L,11,FALSE))</f>
        <v>#N/A</v>
      </c>
      <c r="V532" s="50" t="e">
        <f>Tableau119[[#This Row],[Day ILN Order]]+Tableau119[[#This Row],[Delivery time to ILN/Shipper]]-1</f>
        <v>#N/A</v>
      </c>
      <c r="W532" s="50" t="e">
        <f>IFERROR(VLOOKUP(Tableau119[[#This Row],[Key(Compte ILN - shipper - POL - plant)]],'DATA ILN'!A:N,14,FALSE),VLOOKUP(Tableau119[[#This Row],[Key(Compte ILN - shipper - POL)]],'DATA ILN'!B:N,13,FALSE))</f>
        <v>#N/A</v>
      </c>
      <c r="X532" s="50" t="e">
        <f>IFERROR(VLOOKUP(Tableau119[[#This Row],[Key(Compte ILN - shipper - POL - plant)]],'DATA ILN'!A:P,16,FALSE),VLOOKUP(Tableau119[[#This Row],[Key(Compte ILN - shipper - POL)]],'DATA ILN'!B:P,15,FALSE))</f>
        <v>#N/A</v>
      </c>
      <c r="Y532" s="284" t="s">
        <v>149</v>
      </c>
      <c r="Z532" s="430">
        <f>IFERROR(VLOOKUP(Tableau119[[#This Row],[Name Shipper]],Plant_AILN!L:M,2,FALSE),0)</f>
        <v>2533780546</v>
      </c>
      <c r="AA532" s="406">
        <v>165</v>
      </c>
      <c r="AB532" s="396" t="b">
        <f>_xlfn.XLOOKUP(Tableau119[[#This Row],[Key(ID-date)]],'DATA BTO'!S:S,'DATA BTO'!E:E,FALSE)</f>
        <v>0</v>
      </c>
      <c r="AC532" s="3" t="b">
        <f>_xlfn.XLOOKUP(Tableau119[[#This Row],[Key(ID-date)]],'DATA BTO'!S:S,'DATA BTO'!F:F,FALSE)</f>
        <v>0</v>
      </c>
      <c r="AD532" s="50" t="b">
        <f>_xlfn.XLOOKUP(Tableau119[[#This Row],[Key(ID-date)]],'DATA BTO'!S:S,'DATA BTO'!G:G,FALSE)</f>
        <v>0</v>
      </c>
      <c r="AE532" s="50" t="b">
        <f>_xlfn.XLOOKUP(Tableau119[[#This Row],[Key(ID-date)]],'DATA BTO'!S:S,'DATA BTO'!H:H,FALSE)</f>
        <v>0</v>
      </c>
      <c r="AF532" s="447" t="e">
        <f>IF(Tableau119[[#This Row],[First Day to POL]]&lt;=Tableau119[[#This Row],[Day Cut Off]],Tableau119[[#This Row],[Day ETD]],Tableau119[[#This Row],[Day ETD]]+7)</f>
        <v>#N/A</v>
      </c>
      <c r="AG532" s="50" t="b">
        <f>_xlfn.XLOOKUP(Tableau119[[#This Row],[Key(ID-date)]],'DATA BTO'!S:S,'DATA BTO'!I:I,FALSE)</f>
        <v>0</v>
      </c>
      <c r="AH532" s="3" t="b">
        <f>_xlfn.XLOOKUP(Tableau119[[#This Row],[Key(ID-date)]],'DATA BTO'!S:S,'DATA BTO'!J:J,FALSE)</f>
        <v>0</v>
      </c>
      <c r="AI532" s="3" t="b">
        <f>_xlfn.XLOOKUP(Tableau119[[#This Row],[Key(ID-date)]],'DATA BTO'!S:S,'DATA BTO'!K:K,FALSE)</f>
        <v>0</v>
      </c>
      <c r="AJ532" s="50" t="b">
        <f>_xlfn.XLOOKUP(Tableau119[[#This Row],[Key(ID-date)]],'DATA BTO'!S:S,'DATA BTO'!L:L,FALSE)</f>
        <v>0</v>
      </c>
      <c r="AK532" s="53" t="b">
        <f>_xlfn.XLOOKUP(Tableau119[[#This Row],[Key(ID-date)]],'DATA BTO'!S:S,'DATA BTO'!N:N,FALSE)</f>
        <v>0</v>
      </c>
      <c r="AL532" s="54" t="e">
        <f>VLOOKUP(Tableau119[[#This Row],[Key(POD -PFI- Usine)]],'DATA Consignee'!A:F,6,FALSE)</f>
        <v>#N/A</v>
      </c>
      <c r="AM532" s="284" t="s">
        <v>155</v>
      </c>
      <c r="AN532" s="376">
        <f>IF(Tableau119[[#This Row],[Name PFI/CDD]]="","-",VLOOKUP(Tableau119[[#This Row],[Name PFI/CDD]],Plant_AILN!I:J,2,FALSE))</f>
        <v>90016600</v>
      </c>
      <c r="AO5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2" s="2" t="e">
        <f>VLOOKUP(Tableau119[[#This Row],[Key(POD -PFI- Usine)]],'DATA Consignee'!A:J,10,FALSE)</f>
        <v>#N/A</v>
      </c>
      <c r="AR532" s="50" t="e">
        <f>VLOOKUP(Tableau119[[#This Row],[Key(POD -PFI- Usine)]],'DATA Consignee'!A:N,14,FALSE)</f>
        <v>#N/A</v>
      </c>
      <c r="AS5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2" s="50">
        <f>Tableau119[[#This Row],[Transit time]]+Tableau119[[#This Row],[Time for security]]+Tableau119[[#This Row],[Time for security2 buffer]]</f>
        <v>0</v>
      </c>
      <c r="AV5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2" s="50" t="e">
        <f>Tableau119[[#This Row],[Leadtime SI2C]]+Tableau119[[#This Row],[First Receipt Days]]-Tableau119[[#This Row],[Day Customer Order]]+1</f>
        <v>#N/A</v>
      </c>
      <c r="AX532" s="119" t="e">
        <f>IF(Tableau119[[#This Row],[Name ILN]]&lt;&gt;"SFK Freight Forwarder",Tableau119[[#This Row],[Cust. Leadtime]],Tableau119[[#This Row],[Leadtime SI2C]])</f>
        <v>#N/A</v>
      </c>
      <c r="AY532" s="51" t="b">
        <f>_xlfn.XLOOKUP(Tableau119[[#This Row],[Key(ID-date)]],'DATA BTO'!S:S,'DATA BTO'!P:P,FALSE)</f>
        <v>0</v>
      </c>
      <c r="AZ532" s="338">
        <v>45473</v>
      </c>
      <c r="BA532" s="50"/>
    </row>
    <row r="533" spans="2:53">
      <c r="B533" s="446" t="str">
        <f>_xlfn.CONCAT(Tableau119[[#This Row],[Name ILN]],"-",Tableau119[[#This Row],[Name Shipper]],"-",Tableau119[[#This Row],[Name Site]])</f>
        <v>ILN Chennai-ILN Chennai-ALPINE</v>
      </c>
      <c r="C533" s="66" t="str">
        <f>_xlfn.CONCAT(Tableau119[[#This Row],[Compte ILN]],"-",Tableau119[[#This Row],[Compte Shipper]],"-",Tableau119[[#This Row],[POL]],"-",Tableau119[[#This Row],[Compte Consignee]])</f>
        <v>2533780546-2533780546-FALSO-90018300</v>
      </c>
      <c r="D533" s="66" t="str">
        <f>_xlfn.CONCAT(Tableau119[[#This Row],[Compte ILN]],"-",Tableau119[[#This Row],[Compte Shipper]],"-",Tableau119[[#This Row],[POL]])</f>
        <v>2533780546-2533780546-FALSO</v>
      </c>
      <c r="E533" s="130" t="str">
        <f>_xlfn.CONCAT(Tableau119[[#This Row],[POL]],"-",Tableau119[[#This Row],[Carrier]],"-",Tableau119[[#This Row],[POD]])</f>
        <v>FALSO-FALSO-FALSO</v>
      </c>
      <c r="F533" s="66" t="str">
        <f>_xlfn.CONCAT(Tableau119[[#This Row],[ID]],"-","Actif")</f>
        <v>165-Actif</v>
      </c>
      <c r="G533" s="66" t="str">
        <f>_xlfn.CONCAT(Tableau119[[#This Row],[POD]],"-",Tableau119[[#This Row],[Code PFI]],"-",Tableau119[[#This Row],[Compte Consignee]])</f>
        <v>FALSO-90016600-90018300</v>
      </c>
      <c r="H5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ChennaiFALSOALPINE</v>
      </c>
      <c r="I533" s="434" t="str">
        <f>_xlfn.CONCAT(Tableau119[[#This Row],[ID]],"-",Tableau119[[#This Row],[Expiration Date]])</f>
        <v>165-45473</v>
      </c>
      <c r="J5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Chennai-ILN Chennai-165-FALSO-FALSO-FALSO-CDD FR-45473</v>
      </c>
      <c r="K533" s="119" t="str">
        <f ca="1">IF(COUNTIF(J:J,Tableau119[[#This Row],[Plant-ILN-shipper-POL-Carrier-POD-PFI]])=1,"Non","Oui")</f>
        <v>Non</v>
      </c>
      <c r="L533" s="128" t="str">
        <f>VLOOKUP(Tableau119[[#This Row],[Name Site]],Plant_AILN!A:D,4,FALSE)</f>
        <v>FRANCE</v>
      </c>
      <c r="M533" s="411" t="s">
        <v>220</v>
      </c>
      <c r="N533" s="454">
        <f>VLOOKUP(Tableau119[[#This Row],[Name Site]],Plant_AILN!A:C,3,FALSE)</f>
        <v>90018300</v>
      </c>
      <c r="O533" s="55">
        <f>VLOOKUP(Tableau119[[#This Row],[Compte Consignee]],Order!C:D,2,FALSE)</f>
        <v>7</v>
      </c>
      <c r="P533" s="124" t="s">
        <v>149</v>
      </c>
      <c r="Q533" s="365">
        <f>VLOOKUP(Tableau119[[#This Row],[Name ILN]],Plant_AILN!F:G,2,FALSE)</f>
        <v>2533780546</v>
      </c>
      <c r="R533" s="50">
        <f>VLOOKUP(Tableau119[[#This Row],[Compte ILN]],'DATA ILN'!D:I,6,FALSE)</f>
        <v>9</v>
      </c>
      <c r="S533" s="50" t="e">
        <f>IFERROR(VLOOKUP(Tableau119[[#This Row],[Key(Compte ILN - shipper - POL - plant)]],'DATA ILN'!A:J,10,FALSE),VLOOKUP(Tableau119[[#This Row],[Key(Compte ILN - shipper - POL)]],'DATA ILN'!B:J,9,FALSE))</f>
        <v>#N/A</v>
      </c>
      <c r="T533" s="50" t="e">
        <f>IFERROR(VLOOKUP(Tableau119[[#This Row],[Key(Compte ILN - shipper - POL - plant)]],'DATA ILN'!A:K,11,FALSE),VLOOKUP(Tableau119[[#This Row],[Key(Compte ILN - shipper - POL)]],'DATA ILN'!B:K,10,FALSE))</f>
        <v>#N/A</v>
      </c>
      <c r="U533" s="50" t="e">
        <f>IFERROR(VLOOKUP(Tableau119[[#This Row],[Key(Compte ILN - shipper - POL - plant)]],'DATA ILN'!A:L,12,FALSE),VLOOKUP(Tableau119[[#This Row],[Key(Compte ILN - shipper - POL)]],'DATA ILN'!B:L,11,FALSE))</f>
        <v>#N/A</v>
      </c>
      <c r="V533" s="50" t="e">
        <f>Tableau119[[#This Row],[Day ILN Order]]+Tableau119[[#This Row],[Delivery time to ILN/Shipper]]-1</f>
        <v>#N/A</v>
      </c>
      <c r="W533" s="50" t="e">
        <f>IFERROR(VLOOKUP(Tableau119[[#This Row],[Key(Compte ILN - shipper - POL - plant)]],'DATA ILN'!A:N,14,FALSE),VLOOKUP(Tableau119[[#This Row],[Key(Compte ILN - shipper - POL)]],'DATA ILN'!B:N,13,FALSE))</f>
        <v>#N/A</v>
      </c>
      <c r="X533" s="50" t="e">
        <f>IFERROR(VLOOKUP(Tableau119[[#This Row],[Key(Compte ILN - shipper - POL - plant)]],'DATA ILN'!A:P,16,FALSE),VLOOKUP(Tableau119[[#This Row],[Key(Compte ILN - shipper - POL)]],'DATA ILN'!B:P,15,FALSE))</f>
        <v>#N/A</v>
      </c>
      <c r="Y533" s="284" t="s">
        <v>149</v>
      </c>
      <c r="Z533" s="430">
        <f>IFERROR(VLOOKUP(Tableau119[[#This Row],[Name Shipper]],Plant_AILN!L:M,2,FALSE),0)</f>
        <v>2533780546</v>
      </c>
      <c r="AA533" s="406">
        <v>165</v>
      </c>
      <c r="AB533" s="396" t="b">
        <f>_xlfn.XLOOKUP(Tableau119[[#This Row],[Key(ID-date)]],'DATA BTO'!S:S,'DATA BTO'!E:E,FALSE)</f>
        <v>0</v>
      </c>
      <c r="AC533" s="3" t="b">
        <f>_xlfn.XLOOKUP(Tableau119[[#This Row],[Key(ID-date)]],'DATA BTO'!S:S,'DATA BTO'!F:F,FALSE)</f>
        <v>0</v>
      </c>
      <c r="AD533" s="50" t="b">
        <f>_xlfn.XLOOKUP(Tableau119[[#This Row],[Key(ID-date)]],'DATA BTO'!S:S,'DATA BTO'!G:G,FALSE)</f>
        <v>0</v>
      </c>
      <c r="AE533" s="50" t="b">
        <f>_xlfn.XLOOKUP(Tableau119[[#This Row],[Key(ID-date)]],'DATA BTO'!S:S,'DATA BTO'!H:H,FALSE)</f>
        <v>0</v>
      </c>
      <c r="AF533" s="447" t="e">
        <f>IF(Tableau119[[#This Row],[First Day to POL]]&lt;=Tableau119[[#This Row],[Day Cut Off]],Tableau119[[#This Row],[Day ETD]],Tableau119[[#This Row],[Day ETD]]+7)</f>
        <v>#N/A</v>
      </c>
      <c r="AG533" s="50" t="b">
        <f>_xlfn.XLOOKUP(Tableau119[[#This Row],[Key(ID-date)]],'DATA BTO'!S:S,'DATA BTO'!I:I,FALSE)</f>
        <v>0</v>
      </c>
      <c r="AH533" s="3" t="b">
        <f>_xlfn.XLOOKUP(Tableau119[[#This Row],[Key(ID-date)]],'DATA BTO'!S:S,'DATA BTO'!J:J,FALSE)</f>
        <v>0</v>
      </c>
      <c r="AI533" s="3" t="b">
        <f>_xlfn.XLOOKUP(Tableau119[[#This Row],[Key(ID-date)]],'DATA BTO'!S:S,'DATA BTO'!K:K,FALSE)</f>
        <v>0</v>
      </c>
      <c r="AJ533" s="50" t="b">
        <f>_xlfn.XLOOKUP(Tableau119[[#This Row],[Key(ID-date)]],'DATA BTO'!S:S,'DATA BTO'!L:L,FALSE)</f>
        <v>0</v>
      </c>
      <c r="AK533" s="53" t="b">
        <f>_xlfn.XLOOKUP(Tableau119[[#This Row],[Key(ID-date)]],'DATA BTO'!S:S,'DATA BTO'!N:N,FALSE)</f>
        <v>0</v>
      </c>
      <c r="AL533" s="54" t="e">
        <f>VLOOKUP(Tableau119[[#This Row],[Key(POD -PFI- Usine)]],'DATA Consignee'!A:F,6,FALSE)</f>
        <v>#N/A</v>
      </c>
      <c r="AM533" s="284" t="s">
        <v>155</v>
      </c>
      <c r="AN533" s="376">
        <f>IF(Tableau119[[#This Row],[Name PFI/CDD]]="","-",VLOOKUP(Tableau119[[#This Row],[Name PFI/CDD]],Plant_AILN!I:J,2,FALSE))</f>
        <v>90016600</v>
      </c>
      <c r="AO5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3" s="2" t="e">
        <f>VLOOKUP(Tableau119[[#This Row],[Key(POD -PFI- Usine)]],'DATA Consignee'!A:J,10,FALSE)</f>
        <v>#N/A</v>
      </c>
      <c r="AR533" s="50" t="e">
        <f>VLOOKUP(Tableau119[[#This Row],[Key(POD -PFI- Usine)]],'DATA Consignee'!A:N,14,FALSE)</f>
        <v>#N/A</v>
      </c>
      <c r="AS5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3" s="50">
        <f>Tableau119[[#This Row],[Transit time]]+Tableau119[[#This Row],[Time for security]]+Tableau119[[#This Row],[Time for security2 buffer]]</f>
        <v>0</v>
      </c>
      <c r="AV5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3" s="50" t="e">
        <f>Tableau119[[#This Row],[Leadtime SI2C]]+Tableau119[[#This Row],[First Receipt Days]]-Tableau119[[#This Row],[Day Customer Order]]+1</f>
        <v>#N/A</v>
      </c>
      <c r="AX533" s="119" t="e">
        <f>IF(Tableau119[[#This Row],[Name ILN]]&lt;&gt;"SFK Freight Forwarder",Tableau119[[#This Row],[Cust. Leadtime]],Tableau119[[#This Row],[Leadtime SI2C]])</f>
        <v>#N/A</v>
      </c>
      <c r="AY533" s="51" t="b">
        <f>_xlfn.XLOOKUP(Tableau119[[#This Row],[Key(ID-date)]],'DATA BTO'!S:S,'DATA BTO'!P:P,FALSE)</f>
        <v>0</v>
      </c>
      <c r="AZ533" s="338">
        <v>45473</v>
      </c>
      <c r="BA533" s="50"/>
    </row>
    <row r="534" spans="2:53">
      <c r="B534" s="446" t="str">
        <f>_xlfn.CONCAT(Tableau119[[#This Row],[Name ILN]],"-",Tableau119[[#This Row],[Name Shipper]],"-",Tableau119[[#This Row],[Name Site]])</f>
        <v>ILN Chennai-ILN Chennai-STA</v>
      </c>
      <c r="C534" s="66" t="str">
        <f>_xlfn.CONCAT(Tableau119[[#This Row],[Compte ILN]],"-",Tableau119[[#This Row],[Compte Shipper]],"-",Tableau119[[#This Row],[POL]],"-",Tableau119[[#This Row],[Compte Consignee]])</f>
        <v>2533780546-2533780546-FALSO-90018400</v>
      </c>
      <c r="D534" s="66" t="str">
        <f>_xlfn.CONCAT(Tableau119[[#This Row],[Compte ILN]],"-",Tableau119[[#This Row],[Compte Shipper]],"-",Tableau119[[#This Row],[POL]])</f>
        <v>2533780546-2533780546-FALSO</v>
      </c>
      <c r="E534" s="130" t="str">
        <f>_xlfn.CONCAT(Tableau119[[#This Row],[POL]],"-",Tableau119[[#This Row],[Carrier]],"-",Tableau119[[#This Row],[POD]])</f>
        <v>FALSO-FALSO-FALSO</v>
      </c>
      <c r="F534" s="66" t="str">
        <f>_xlfn.CONCAT(Tableau119[[#This Row],[ID]],"-","Actif")</f>
        <v>165-Actif</v>
      </c>
      <c r="G534" s="66" t="str">
        <f>_xlfn.CONCAT(Tableau119[[#This Row],[POD]],"-",Tableau119[[#This Row],[Code PFI]],"-",Tableau119[[#This Row],[Compte Consignee]])</f>
        <v>FALSO-90016600-90018400</v>
      </c>
      <c r="H5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ChennaiFALSOSTA</v>
      </c>
      <c r="I534" s="434" t="str">
        <f>_xlfn.CONCAT(Tableau119[[#This Row],[ID]],"-",Tableau119[[#This Row],[Expiration Date]])</f>
        <v>165-45473</v>
      </c>
      <c r="J5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Chennai-ILN Chennai-165-FALSO-FALSO-FALSO-CDD FR-45473</v>
      </c>
      <c r="K534" s="119" t="str">
        <f ca="1">IF(COUNTIF(J:J,Tableau119[[#This Row],[Plant-ILN-shipper-POL-Carrier-POD-PFI]])=1,"Non","Oui")</f>
        <v>Non</v>
      </c>
      <c r="L534" s="128" t="str">
        <f>VLOOKUP(Tableau119[[#This Row],[Name Site]],Plant_AILN!A:D,4,FALSE)</f>
        <v>FRANCE</v>
      </c>
      <c r="M534" s="411" t="s">
        <v>219</v>
      </c>
      <c r="N534" s="454">
        <f>VLOOKUP(Tableau119[[#This Row],[Name Site]],Plant_AILN!A:C,3,FALSE)</f>
        <v>90018400</v>
      </c>
      <c r="O534" s="55">
        <f>VLOOKUP(Tableau119[[#This Row],[Compte Consignee]],Order!C:D,2,FALSE)</f>
        <v>7</v>
      </c>
      <c r="P534" s="124" t="s">
        <v>149</v>
      </c>
      <c r="Q534" s="365">
        <f>VLOOKUP(Tableau119[[#This Row],[Name ILN]],Plant_AILN!F:G,2,FALSE)</f>
        <v>2533780546</v>
      </c>
      <c r="R534" s="50">
        <f>VLOOKUP(Tableau119[[#This Row],[Compte ILN]],'DATA ILN'!D:I,6,FALSE)</f>
        <v>9</v>
      </c>
      <c r="S534" s="50" t="e">
        <f>IFERROR(VLOOKUP(Tableau119[[#This Row],[Key(Compte ILN - shipper - POL - plant)]],'DATA ILN'!A:J,10,FALSE),VLOOKUP(Tableau119[[#This Row],[Key(Compte ILN - shipper - POL)]],'DATA ILN'!B:J,9,FALSE))</f>
        <v>#N/A</v>
      </c>
      <c r="T534" s="50" t="e">
        <f>IFERROR(VLOOKUP(Tableau119[[#This Row],[Key(Compte ILN - shipper - POL - plant)]],'DATA ILN'!A:K,11,FALSE),VLOOKUP(Tableau119[[#This Row],[Key(Compte ILN - shipper - POL)]],'DATA ILN'!B:K,10,FALSE))</f>
        <v>#N/A</v>
      </c>
      <c r="U534" s="50" t="e">
        <f>IFERROR(VLOOKUP(Tableau119[[#This Row],[Key(Compte ILN - shipper - POL - plant)]],'DATA ILN'!A:L,12,FALSE),VLOOKUP(Tableau119[[#This Row],[Key(Compte ILN - shipper - POL)]],'DATA ILN'!B:L,11,FALSE))</f>
        <v>#N/A</v>
      </c>
      <c r="V534" s="50" t="e">
        <f>Tableau119[[#This Row],[Day ILN Order]]+Tableau119[[#This Row],[Delivery time to ILN/Shipper]]-1</f>
        <v>#N/A</v>
      </c>
      <c r="W534" s="50" t="e">
        <f>IFERROR(VLOOKUP(Tableau119[[#This Row],[Key(Compte ILN - shipper - POL - plant)]],'DATA ILN'!A:N,14,FALSE),VLOOKUP(Tableau119[[#This Row],[Key(Compte ILN - shipper - POL)]],'DATA ILN'!B:N,13,FALSE))</f>
        <v>#N/A</v>
      </c>
      <c r="X534" s="50" t="e">
        <f>IFERROR(VLOOKUP(Tableau119[[#This Row],[Key(Compte ILN - shipper - POL - plant)]],'DATA ILN'!A:P,16,FALSE),VLOOKUP(Tableau119[[#This Row],[Key(Compte ILN - shipper - POL)]],'DATA ILN'!B:P,15,FALSE))</f>
        <v>#N/A</v>
      </c>
      <c r="Y534" s="284" t="s">
        <v>149</v>
      </c>
      <c r="Z534" s="430">
        <f>IFERROR(VLOOKUP(Tableau119[[#This Row],[Name Shipper]],Plant_AILN!L:M,2,FALSE),0)</f>
        <v>2533780546</v>
      </c>
      <c r="AA534" s="406">
        <v>165</v>
      </c>
      <c r="AB534" s="396" t="b">
        <f>_xlfn.XLOOKUP(Tableau119[[#This Row],[Key(ID-date)]],'DATA BTO'!S:S,'DATA BTO'!E:E,FALSE)</f>
        <v>0</v>
      </c>
      <c r="AC534" s="3" t="b">
        <f>_xlfn.XLOOKUP(Tableau119[[#This Row],[Key(ID-date)]],'DATA BTO'!S:S,'DATA BTO'!F:F,FALSE)</f>
        <v>0</v>
      </c>
      <c r="AD534" s="50" t="b">
        <f>_xlfn.XLOOKUP(Tableau119[[#This Row],[Key(ID-date)]],'DATA BTO'!S:S,'DATA BTO'!G:G,FALSE)</f>
        <v>0</v>
      </c>
      <c r="AE534" s="50" t="b">
        <f>_xlfn.XLOOKUP(Tableau119[[#This Row],[Key(ID-date)]],'DATA BTO'!S:S,'DATA BTO'!H:H,FALSE)</f>
        <v>0</v>
      </c>
      <c r="AF534" s="447" t="e">
        <f>IF(Tableau119[[#This Row],[First Day to POL]]&lt;=Tableau119[[#This Row],[Day Cut Off]],Tableau119[[#This Row],[Day ETD]],Tableau119[[#This Row],[Day ETD]]+7)</f>
        <v>#N/A</v>
      </c>
      <c r="AG534" s="50" t="b">
        <f>_xlfn.XLOOKUP(Tableau119[[#This Row],[Key(ID-date)]],'DATA BTO'!S:S,'DATA BTO'!I:I,FALSE)</f>
        <v>0</v>
      </c>
      <c r="AH534" s="3" t="b">
        <f>_xlfn.XLOOKUP(Tableau119[[#This Row],[Key(ID-date)]],'DATA BTO'!S:S,'DATA BTO'!J:J,FALSE)</f>
        <v>0</v>
      </c>
      <c r="AI534" s="3" t="b">
        <f>_xlfn.XLOOKUP(Tableau119[[#This Row],[Key(ID-date)]],'DATA BTO'!S:S,'DATA BTO'!K:K,FALSE)</f>
        <v>0</v>
      </c>
      <c r="AJ534" s="50" t="b">
        <f>_xlfn.XLOOKUP(Tableau119[[#This Row],[Key(ID-date)]],'DATA BTO'!S:S,'DATA BTO'!L:L,FALSE)</f>
        <v>0</v>
      </c>
      <c r="AK534" s="53" t="b">
        <f>_xlfn.XLOOKUP(Tableau119[[#This Row],[Key(ID-date)]],'DATA BTO'!S:S,'DATA BTO'!N:N,FALSE)</f>
        <v>0</v>
      </c>
      <c r="AL534" s="54" t="e">
        <f>VLOOKUP(Tableau119[[#This Row],[Key(POD -PFI- Usine)]],'DATA Consignee'!A:F,6,FALSE)</f>
        <v>#N/A</v>
      </c>
      <c r="AM534" s="284" t="s">
        <v>155</v>
      </c>
      <c r="AN534" s="376">
        <f>IF(Tableau119[[#This Row],[Name PFI/CDD]]="","-",VLOOKUP(Tableau119[[#This Row],[Name PFI/CDD]],Plant_AILN!I:J,2,FALSE))</f>
        <v>90016600</v>
      </c>
      <c r="AO5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4" s="2" t="e">
        <f>VLOOKUP(Tableau119[[#This Row],[Key(POD -PFI- Usine)]],'DATA Consignee'!A:J,10,FALSE)</f>
        <v>#N/A</v>
      </c>
      <c r="AR534" s="50" t="e">
        <f>VLOOKUP(Tableau119[[#This Row],[Key(POD -PFI- Usine)]],'DATA Consignee'!A:N,14,FALSE)</f>
        <v>#N/A</v>
      </c>
      <c r="AS5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4" s="50">
        <f>Tableau119[[#This Row],[Transit time]]+Tableau119[[#This Row],[Time for security]]+Tableau119[[#This Row],[Time for security2 buffer]]</f>
        <v>0</v>
      </c>
      <c r="AV5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4" s="50" t="e">
        <f>Tableau119[[#This Row],[Leadtime SI2C]]+Tableau119[[#This Row],[First Receipt Days]]-Tableau119[[#This Row],[Day Customer Order]]+1</f>
        <v>#N/A</v>
      </c>
      <c r="AX534" s="119" t="e">
        <f>IF(Tableau119[[#This Row],[Name ILN]]&lt;&gt;"SFK Freight Forwarder",Tableau119[[#This Row],[Cust. Leadtime]],Tableau119[[#This Row],[Leadtime SI2C]])</f>
        <v>#N/A</v>
      </c>
      <c r="AY534" s="51" t="b">
        <f>_xlfn.XLOOKUP(Tableau119[[#This Row],[Key(ID-date)]],'DATA BTO'!S:S,'DATA BTO'!P:P,FALSE)</f>
        <v>0</v>
      </c>
      <c r="AZ534" s="338">
        <v>45473</v>
      </c>
      <c r="BA534" s="50"/>
    </row>
    <row r="535" spans="2:53">
      <c r="B535" s="446" t="str">
        <f>_xlfn.CONCAT(Tableau119[[#This Row],[Name ILN]],"-",Tableau119[[#This Row],[Name Shipper]],"-",Tableau119[[#This Row],[Name Site]])</f>
        <v>ILN Chennai-ILN Chennai-DOUAI</v>
      </c>
      <c r="C535" s="66" t="str">
        <f>_xlfn.CONCAT(Tableau119[[#This Row],[Compte ILN]],"-",Tableau119[[#This Row],[Compte Shipper]],"-",Tableau119[[#This Row],[POL]],"-",Tableau119[[#This Row],[Compte Consignee]])</f>
        <v>2533780546-2533780546-FALSO-90019100</v>
      </c>
      <c r="D535" s="66" t="str">
        <f>_xlfn.CONCAT(Tableau119[[#This Row],[Compte ILN]],"-",Tableau119[[#This Row],[Compte Shipper]],"-",Tableau119[[#This Row],[POL]])</f>
        <v>2533780546-2533780546-FALSO</v>
      </c>
      <c r="E535" s="130" t="str">
        <f>_xlfn.CONCAT(Tableau119[[#This Row],[POL]],"-",Tableau119[[#This Row],[Carrier]],"-",Tableau119[[#This Row],[POD]])</f>
        <v>FALSO-FALSO-FALSO</v>
      </c>
      <c r="F535" s="66" t="str">
        <f>_xlfn.CONCAT(Tableau119[[#This Row],[ID]],"-","Actif")</f>
        <v>165-Actif</v>
      </c>
      <c r="G535" s="66" t="str">
        <f>_xlfn.CONCAT(Tableau119[[#This Row],[POD]],"-",Tableau119[[#This Row],[Code PFI]],"-",Tableau119[[#This Row],[Compte Consignee]])</f>
        <v>FALSO-90016600-90019100</v>
      </c>
      <c r="H5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ChennaiFALSODOUAI</v>
      </c>
      <c r="I535" s="434" t="str">
        <f>_xlfn.CONCAT(Tableau119[[#This Row],[ID]],"-",Tableau119[[#This Row],[Expiration Date]])</f>
        <v>165-45473</v>
      </c>
      <c r="J5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Chennai-ILN Chennai-165-FALSO-FALSO-FALSO-CDD FR-45473</v>
      </c>
      <c r="K535" s="119" t="str">
        <f ca="1">IF(COUNTIF(J:J,Tableau119[[#This Row],[Plant-ILN-shipper-POL-Carrier-POD-PFI]])=1,"Non","Oui")</f>
        <v>Non</v>
      </c>
      <c r="L535" s="128" t="str">
        <f>VLOOKUP(Tableau119[[#This Row],[Name Site]],Plant_AILN!A:D,4,FALSE)</f>
        <v>FRANCE</v>
      </c>
      <c r="M535" s="415" t="s">
        <v>188</v>
      </c>
      <c r="N535" s="455">
        <f>VLOOKUP(Tableau119[[#This Row],[Name Site]],Plant_AILN!A:C,3,FALSE)</f>
        <v>90019100</v>
      </c>
      <c r="O535" s="104">
        <f>VLOOKUP(Tableau119[[#This Row],[Compte Consignee]],Order!C:D,2,FALSE)</f>
        <v>7</v>
      </c>
      <c r="P535" s="126" t="s">
        <v>149</v>
      </c>
      <c r="Q535" s="366">
        <f>VLOOKUP(Tableau119[[#This Row],[Name ILN]],Plant_AILN!F:G,2,FALSE)</f>
        <v>2533780546</v>
      </c>
      <c r="R535" s="81">
        <f>VLOOKUP(Tableau119[[#This Row],[Compte ILN]],'DATA ILN'!D:I,6,FALSE)</f>
        <v>9</v>
      </c>
      <c r="S535" s="81" t="e">
        <f>IFERROR(VLOOKUP(Tableau119[[#This Row],[Key(Compte ILN - shipper - POL - plant)]],'DATA ILN'!A:J,10,FALSE),VLOOKUP(Tableau119[[#This Row],[Key(Compte ILN - shipper - POL)]],'DATA ILN'!B:J,9,FALSE))</f>
        <v>#N/A</v>
      </c>
      <c r="T535" s="81" t="e">
        <f>IFERROR(VLOOKUP(Tableau119[[#This Row],[Key(Compte ILN - shipper - POL - plant)]],'DATA ILN'!A:K,11,FALSE),VLOOKUP(Tableau119[[#This Row],[Key(Compte ILN - shipper - POL)]],'DATA ILN'!B:K,10,FALSE))</f>
        <v>#N/A</v>
      </c>
      <c r="U535" s="81" t="e">
        <f>IFERROR(VLOOKUP(Tableau119[[#This Row],[Key(Compte ILN - shipper - POL - plant)]],'DATA ILN'!A:L,12,FALSE),VLOOKUP(Tableau119[[#This Row],[Key(Compte ILN - shipper - POL)]],'DATA ILN'!B:L,11,FALSE))</f>
        <v>#N/A</v>
      </c>
      <c r="V535" s="81" t="e">
        <f>Tableau119[[#This Row],[Day ILN Order]]+Tableau119[[#This Row],[Delivery time to ILN/Shipper]]-1</f>
        <v>#N/A</v>
      </c>
      <c r="W535" s="81" t="e">
        <f>IFERROR(VLOOKUP(Tableau119[[#This Row],[Key(Compte ILN - shipper - POL - plant)]],'DATA ILN'!A:N,14,FALSE),VLOOKUP(Tableau119[[#This Row],[Key(Compte ILN - shipper - POL)]],'DATA ILN'!B:N,13,FALSE))</f>
        <v>#N/A</v>
      </c>
      <c r="X535" s="81" t="e">
        <f>IFERROR(VLOOKUP(Tableau119[[#This Row],[Key(Compte ILN - shipper - POL - plant)]],'DATA ILN'!A:P,16,FALSE),VLOOKUP(Tableau119[[#This Row],[Key(Compte ILN - shipper - POL)]],'DATA ILN'!B:P,15,FALSE))</f>
        <v>#N/A</v>
      </c>
      <c r="Y535" s="102" t="s">
        <v>149</v>
      </c>
      <c r="Z535" s="417">
        <f>IFERROR(VLOOKUP(Tableau119[[#This Row],[Name Shipper]],Plant_AILN!L:M,2,FALSE),0)</f>
        <v>2533780546</v>
      </c>
      <c r="AA535" s="416">
        <v>165</v>
      </c>
      <c r="AB535" s="396" t="b">
        <f>_xlfn.XLOOKUP(Tableau119[[#This Row],[Key(ID-date)]],'DATA BTO'!S:S,'DATA BTO'!E:E,FALSE)</f>
        <v>0</v>
      </c>
      <c r="AC535" s="3" t="b">
        <f>_xlfn.XLOOKUP(Tableau119[[#This Row],[Key(ID-date)]],'DATA BTO'!S:S,'DATA BTO'!F:F,FALSE)</f>
        <v>0</v>
      </c>
      <c r="AD535" s="50" t="b">
        <f>_xlfn.XLOOKUP(Tableau119[[#This Row],[Key(ID-date)]],'DATA BTO'!S:S,'DATA BTO'!G:G,FALSE)</f>
        <v>0</v>
      </c>
      <c r="AE535" s="50" t="b">
        <f>_xlfn.XLOOKUP(Tableau119[[#This Row],[Key(ID-date)]],'DATA BTO'!S:S,'DATA BTO'!H:H,FALSE)</f>
        <v>0</v>
      </c>
      <c r="AF535" s="447" t="e">
        <f>IF(Tableau119[[#This Row],[First Day to POL]]&lt;=Tableau119[[#This Row],[Day Cut Off]],Tableau119[[#This Row],[Day ETD]],Tableau119[[#This Row],[Day ETD]]+7)</f>
        <v>#N/A</v>
      </c>
      <c r="AG535" s="50" t="b">
        <f>_xlfn.XLOOKUP(Tableau119[[#This Row],[Key(ID-date)]],'DATA BTO'!S:S,'DATA BTO'!I:I,FALSE)</f>
        <v>0</v>
      </c>
      <c r="AH535" s="3" t="b">
        <f>_xlfn.XLOOKUP(Tableau119[[#This Row],[Key(ID-date)]],'DATA BTO'!S:S,'DATA BTO'!J:J,FALSE)</f>
        <v>0</v>
      </c>
      <c r="AI535" s="3" t="b">
        <f>_xlfn.XLOOKUP(Tableau119[[#This Row],[Key(ID-date)]],'DATA BTO'!S:S,'DATA BTO'!K:K,FALSE)</f>
        <v>0</v>
      </c>
      <c r="AJ535" s="50" t="b">
        <f>_xlfn.XLOOKUP(Tableau119[[#This Row],[Key(ID-date)]],'DATA BTO'!S:S,'DATA BTO'!L:L,FALSE)</f>
        <v>0</v>
      </c>
      <c r="AK535" s="53" t="b">
        <f>_xlfn.XLOOKUP(Tableau119[[#This Row],[Key(ID-date)]],'DATA BTO'!S:S,'DATA BTO'!N:N,FALSE)</f>
        <v>0</v>
      </c>
      <c r="AL535" s="54" t="e">
        <f>VLOOKUP(Tableau119[[#This Row],[Key(POD -PFI- Usine)]],'DATA Consignee'!A:F,6,FALSE)</f>
        <v>#N/A</v>
      </c>
      <c r="AM535" s="102" t="s">
        <v>155</v>
      </c>
      <c r="AN535" s="375">
        <f>IF(Tableau119[[#This Row],[Name PFI/CDD]]="","-",VLOOKUP(Tableau119[[#This Row],[Name PFI/CDD]],Plant_AILN!I:J,2,FALSE))</f>
        <v>90016600</v>
      </c>
      <c r="AO53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5" s="110" t="e">
        <f>VLOOKUP(Tableau119[[#This Row],[Key(POD -PFI- Usine)]],'DATA Consignee'!A:J,10,FALSE)</f>
        <v>#N/A</v>
      </c>
      <c r="AR535" s="81" t="e">
        <f>VLOOKUP(Tableau119[[#This Row],[Key(POD -PFI- Usine)]],'DATA Consignee'!A:N,14,FALSE)</f>
        <v>#N/A</v>
      </c>
      <c r="AS53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5" s="81">
        <f>Tableau119[[#This Row],[Transit time]]+Tableau119[[#This Row],[Time for security]]+Tableau119[[#This Row],[Time for security2 buffer]]</f>
        <v>0</v>
      </c>
      <c r="AV5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5" s="50" t="e">
        <f>Tableau119[[#This Row],[Leadtime SI2C]]+Tableau119[[#This Row],[First Receipt Days]]-Tableau119[[#This Row],[Day Customer Order]]+1</f>
        <v>#N/A</v>
      </c>
      <c r="AX535" s="119" t="e">
        <f>IF(Tableau119[[#This Row],[Name ILN]]&lt;&gt;"SFK Freight Forwarder",Tableau119[[#This Row],[Cust. Leadtime]],Tableau119[[#This Row],[Leadtime SI2C]])</f>
        <v>#N/A</v>
      </c>
      <c r="AY535" s="51" t="b">
        <f>_xlfn.XLOOKUP(Tableau119[[#This Row],[Key(ID-date)]],'DATA BTO'!S:S,'DATA BTO'!P:P,FALSE)</f>
        <v>0</v>
      </c>
      <c r="AZ535" s="388">
        <v>45473</v>
      </c>
      <c r="BA535" s="81"/>
    </row>
    <row r="536" spans="2:53">
      <c r="B536" s="446" t="str">
        <f>_xlfn.CONCAT(Tableau119[[#This Row],[Name ILN]],"-",Tableau119[[#This Row],[Name Shipper]],"-",Tableau119[[#This Row],[Name Site]])</f>
        <v>ILN Chennai-ILN Chennai-CLEON</v>
      </c>
      <c r="C536" s="66" t="str">
        <f>_xlfn.CONCAT(Tableau119[[#This Row],[Compte ILN]],"-",Tableau119[[#This Row],[Compte Shipper]],"-",Tableau119[[#This Row],[POL]],"-",Tableau119[[#This Row],[Compte Consignee]])</f>
        <v>2533780546-2533780546-FALSO-92000100</v>
      </c>
      <c r="D536" s="66" t="str">
        <f>_xlfn.CONCAT(Tableau119[[#This Row],[Compte ILN]],"-",Tableau119[[#This Row],[Compte Shipper]],"-",Tableau119[[#This Row],[POL]])</f>
        <v>2533780546-2533780546-FALSO</v>
      </c>
      <c r="E536" s="130" t="str">
        <f>_xlfn.CONCAT(Tableau119[[#This Row],[POL]],"-",Tableau119[[#This Row],[Carrier]],"-",Tableau119[[#This Row],[POD]])</f>
        <v>FALSO-FALSO-FALSO</v>
      </c>
      <c r="F536" s="66" t="str">
        <f>_xlfn.CONCAT(Tableau119[[#This Row],[ID]],"-","Actif")</f>
        <v>165-Actif</v>
      </c>
      <c r="G536" s="66" t="str">
        <f>_xlfn.CONCAT(Tableau119[[#This Row],[POD]],"-",Tableau119[[#This Row],[Code PFI]],"-",Tableau119[[#This Row],[Compte Consignee]])</f>
        <v>FALSO---92000100</v>
      </c>
      <c r="H5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ChennaiFALSOCLEON</v>
      </c>
      <c r="I536" s="434" t="str">
        <f>_xlfn.CONCAT(Tableau119[[#This Row],[ID]],"-",Tableau119[[#This Row],[Expiration Date]])</f>
        <v>165-45473</v>
      </c>
      <c r="J5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Chennai-ILN Chennai-165-FALSO-FALSO-FALSO--45473</v>
      </c>
      <c r="K536" s="119" t="str">
        <f ca="1">IF(COUNTIF(J:J,Tableau119[[#This Row],[Plant-ILN-shipper-POL-Carrier-POD-PFI]])=1,"Non","Oui")</f>
        <v>Non</v>
      </c>
      <c r="L536" s="128" t="str">
        <f>VLOOKUP(Tableau119[[#This Row],[Name Site]],Plant_AILN!A:D,4,FALSE)</f>
        <v>FRANCE</v>
      </c>
      <c r="M536" s="411" t="s">
        <v>183</v>
      </c>
      <c r="N536" s="454">
        <f>VLOOKUP(Tableau119[[#This Row],[Name Site]],Plant_AILN!A:C,3,FALSE)</f>
        <v>92000100</v>
      </c>
      <c r="O536" s="55">
        <f>VLOOKUP(Tableau119[[#This Row],[Compte Consignee]],Order!C:D,2,FALSE)</f>
        <v>7</v>
      </c>
      <c r="P536" s="124" t="s">
        <v>149</v>
      </c>
      <c r="Q536" s="365">
        <f>VLOOKUP(Tableau119[[#This Row],[Name ILN]],Plant_AILN!F:G,2,FALSE)</f>
        <v>2533780546</v>
      </c>
      <c r="R536" s="50">
        <f>VLOOKUP(Tableau119[[#This Row],[Compte ILN]],'DATA ILN'!D:I,6,FALSE)</f>
        <v>9</v>
      </c>
      <c r="S536" s="50" t="e">
        <f>IFERROR(VLOOKUP(Tableau119[[#This Row],[Key(Compte ILN - shipper - POL - plant)]],'DATA ILN'!A:J,10,FALSE),VLOOKUP(Tableau119[[#This Row],[Key(Compte ILN - shipper - POL)]],'DATA ILN'!B:J,9,FALSE))</f>
        <v>#N/A</v>
      </c>
      <c r="T536" s="50" t="e">
        <f>IFERROR(VLOOKUP(Tableau119[[#This Row],[Key(Compte ILN - shipper - POL - plant)]],'DATA ILN'!A:K,11,FALSE),VLOOKUP(Tableau119[[#This Row],[Key(Compte ILN - shipper - POL)]],'DATA ILN'!B:K,10,FALSE))</f>
        <v>#N/A</v>
      </c>
      <c r="U536" s="50" t="e">
        <f>IFERROR(VLOOKUP(Tableau119[[#This Row],[Key(Compte ILN - shipper - POL - plant)]],'DATA ILN'!A:L,12,FALSE),VLOOKUP(Tableau119[[#This Row],[Key(Compte ILN - shipper - POL)]],'DATA ILN'!B:L,11,FALSE))</f>
        <v>#N/A</v>
      </c>
      <c r="V536" s="50" t="e">
        <f>Tableau119[[#This Row],[Day ILN Order]]+Tableau119[[#This Row],[Delivery time to ILN/Shipper]]-1</f>
        <v>#N/A</v>
      </c>
      <c r="W536" s="50" t="e">
        <f>IFERROR(VLOOKUP(Tableau119[[#This Row],[Key(Compte ILN - shipper - POL - plant)]],'DATA ILN'!A:N,14,FALSE),VLOOKUP(Tableau119[[#This Row],[Key(Compte ILN - shipper - POL)]],'DATA ILN'!B:N,13,FALSE))</f>
        <v>#N/A</v>
      </c>
      <c r="X536" s="50" t="e">
        <f>IFERROR(VLOOKUP(Tableau119[[#This Row],[Key(Compte ILN - shipper - POL - plant)]],'DATA ILN'!A:P,16,FALSE),VLOOKUP(Tableau119[[#This Row],[Key(Compte ILN - shipper - POL)]],'DATA ILN'!B:P,15,FALSE))</f>
        <v>#N/A</v>
      </c>
      <c r="Y536" s="284" t="s">
        <v>149</v>
      </c>
      <c r="Z536" s="430">
        <f>IFERROR(VLOOKUP(Tableau119[[#This Row],[Name Shipper]],Plant_AILN!L:M,2,FALSE),0)</f>
        <v>2533780546</v>
      </c>
      <c r="AA536" s="406">
        <v>165</v>
      </c>
      <c r="AB536" s="396" t="b">
        <f>_xlfn.XLOOKUP(Tableau119[[#This Row],[Key(ID-date)]],'DATA BTO'!S:S,'DATA BTO'!E:E,FALSE)</f>
        <v>0</v>
      </c>
      <c r="AC536" s="3" t="b">
        <f>_xlfn.XLOOKUP(Tableau119[[#This Row],[Key(ID-date)]],'DATA BTO'!S:S,'DATA BTO'!F:F,FALSE)</f>
        <v>0</v>
      </c>
      <c r="AD536" s="50" t="b">
        <f>_xlfn.XLOOKUP(Tableau119[[#This Row],[Key(ID-date)]],'DATA BTO'!S:S,'DATA BTO'!G:G,FALSE)</f>
        <v>0</v>
      </c>
      <c r="AE536" s="50" t="b">
        <f>_xlfn.XLOOKUP(Tableau119[[#This Row],[Key(ID-date)]],'DATA BTO'!S:S,'DATA BTO'!H:H,FALSE)</f>
        <v>0</v>
      </c>
      <c r="AF536" s="447" t="e">
        <f>IF(Tableau119[[#This Row],[First Day to POL]]&lt;=Tableau119[[#This Row],[Day Cut Off]],Tableau119[[#This Row],[Day ETD]],Tableau119[[#This Row],[Day ETD]]+7)</f>
        <v>#N/A</v>
      </c>
      <c r="AG536" s="50" t="b">
        <f>_xlfn.XLOOKUP(Tableau119[[#This Row],[Key(ID-date)]],'DATA BTO'!S:S,'DATA BTO'!I:I,FALSE)</f>
        <v>0</v>
      </c>
      <c r="AH536" s="3" t="b">
        <f>_xlfn.XLOOKUP(Tableau119[[#This Row],[Key(ID-date)]],'DATA BTO'!S:S,'DATA BTO'!J:J,FALSE)</f>
        <v>0</v>
      </c>
      <c r="AI536" s="3" t="b">
        <f>_xlfn.XLOOKUP(Tableau119[[#This Row],[Key(ID-date)]],'DATA BTO'!S:S,'DATA BTO'!K:K,FALSE)</f>
        <v>0</v>
      </c>
      <c r="AJ536" s="50" t="b">
        <f>_xlfn.XLOOKUP(Tableau119[[#This Row],[Key(ID-date)]],'DATA BTO'!S:S,'DATA BTO'!L:L,FALSE)</f>
        <v>0</v>
      </c>
      <c r="AK536" s="53" t="b">
        <f>_xlfn.XLOOKUP(Tableau119[[#This Row],[Key(ID-date)]],'DATA BTO'!S:S,'DATA BTO'!N:N,FALSE)</f>
        <v>0</v>
      </c>
      <c r="AL536" s="54" t="e">
        <f>VLOOKUP(Tableau119[[#This Row],[Key(POD -PFI- Usine)]],'DATA Consignee'!A:F,6,FALSE)</f>
        <v>#N/A</v>
      </c>
      <c r="AM536" s="284"/>
      <c r="AN536" s="376" t="str">
        <f>IF(Tableau119[[#This Row],[Name PFI/CDD]]="","-",VLOOKUP(Tableau119[[#This Row],[Name PFI/CDD]],Plant_AILN!I:J,2,FALSE))</f>
        <v>-</v>
      </c>
      <c r="AO53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6" s="2" t="e">
        <f>VLOOKUP(Tableau119[[#This Row],[Key(POD -PFI- Usine)]],'DATA Consignee'!A:J,10,FALSE)</f>
        <v>#N/A</v>
      </c>
      <c r="AR536" s="50" t="e">
        <f>VLOOKUP(Tableau119[[#This Row],[Key(POD -PFI- Usine)]],'DATA Consignee'!A:N,14,FALSE)</f>
        <v>#N/A</v>
      </c>
      <c r="AS53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6" s="50">
        <f>Tableau119[[#This Row],[Transit time]]+Tableau119[[#This Row],[Time for security]]+Tableau119[[#This Row],[Time for security2 buffer]]</f>
        <v>0</v>
      </c>
      <c r="AV5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6" s="50" t="e">
        <f>Tableau119[[#This Row],[Leadtime SI2C]]+Tableau119[[#This Row],[First Receipt Days]]-Tableau119[[#This Row],[Day Customer Order]]+1</f>
        <v>#N/A</v>
      </c>
      <c r="AX536" s="119" t="e">
        <f>IF(Tableau119[[#This Row],[Name ILN]]&lt;&gt;"SFK Freight Forwarder",Tableau119[[#This Row],[Cust. Leadtime]],Tableau119[[#This Row],[Leadtime SI2C]])</f>
        <v>#N/A</v>
      </c>
      <c r="AY536" s="51" t="b">
        <f>_xlfn.XLOOKUP(Tableau119[[#This Row],[Key(ID-date)]],'DATA BTO'!S:S,'DATA BTO'!P:P,FALSE)</f>
        <v>0</v>
      </c>
      <c r="AZ536" s="338">
        <v>45473</v>
      </c>
      <c r="BA536" s="50"/>
    </row>
    <row r="537" spans="2:53">
      <c r="B537" s="446" t="str">
        <f>_xlfn.CONCAT(Tableau119[[#This Row],[Name ILN]],"-",Tableau119[[#This Row],[Name Shipper]],"-",Tableau119[[#This Row],[Name Site]])</f>
        <v>ILN Chennai-ILN Chennai-FLINS</v>
      </c>
      <c r="C537" s="66" t="str">
        <f>_xlfn.CONCAT(Tableau119[[#This Row],[Compte ILN]],"-",Tableau119[[#This Row],[Compte Shipper]],"-",Tableau119[[#This Row],[POL]],"-",Tableau119[[#This Row],[Compte Consignee]])</f>
        <v>2533780546-2533780546-FALSO-90015100</v>
      </c>
      <c r="D537" s="66" t="str">
        <f>_xlfn.CONCAT(Tableau119[[#This Row],[Compte ILN]],"-",Tableau119[[#This Row],[Compte Shipper]],"-",Tableau119[[#This Row],[POL]])</f>
        <v>2533780546-2533780546-FALSO</v>
      </c>
      <c r="E537" s="130" t="str">
        <f>_xlfn.CONCAT(Tableau119[[#This Row],[POL]],"-",Tableau119[[#This Row],[Carrier]],"-",Tableau119[[#This Row],[POD]])</f>
        <v>FALSO-FALSO-FALSO</v>
      </c>
      <c r="F537" s="66" t="str">
        <f>_xlfn.CONCAT(Tableau119[[#This Row],[ID]],"-","Actif")</f>
        <v>165-Actif</v>
      </c>
      <c r="G537" s="66" t="str">
        <f>_xlfn.CONCAT(Tableau119[[#This Row],[POD]],"-",Tableau119[[#This Row],[Code PFI]],"-",Tableau119[[#This Row],[Compte Consignee]])</f>
        <v>FALSO---90015100</v>
      </c>
      <c r="H5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ChennaiFALSOFLINS</v>
      </c>
      <c r="I537" s="434" t="str">
        <f>_xlfn.CONCAT(Tableau119[[#This Row],[ID]],"-",Tableau119[[#This Row],[Expiration Date]])</f>
        <v>165-45412</v>
      </c>
      <c r="J5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Chennai-ILN Chennai-165-FALSO-FALSO-FALSO--45412</v>
      </c>
      <c r="K537" s="119" t="str">
        <f ca="1">IF(COUNTIF(J:J,Tableau119[[#This Row],[Plant-ILN-shipper-POL-Carrier-POD-PFI]])=1,"Non","Oui")</f>
        <v>Non</v>
      </c>
      <c r="L537" s="128" t="str">
        <f>VLOOKUP(Tableau119[[#This Row],[Name Site]],Plant_AILN!A:D,4,FALSE)</f>
        <v>FRANCE</v>
      </c>
      <c r="M537" s="411" t="s">
        <v>209</v>
      </c>
      <c r="N537" s="454">
        <f>VLOOKUP(Tableau119[[#This Row],[Name Site]],Plant_AILN!A:C,3,FALSE)</f>
        <v>90015100</v>
      </c>
      <c r="O537" s="55">
        <f>VLOOKUP(Tableau119[[#This Row],[Compte Consignee]],Order!C:D,2,FALSE)</f>
        <v>7</v>
      </c>
      <c r="P537" s="124" t="s">
        <v>149</v>
      </c>
      <c r="Q537" s="365">
        <f>VLOOKUP(Tableau119[[#This Row],[Name ILN]],Plant_AILN!F:G,2,FALSE)</f>
        <v>2533780546</v>
      </c>
      <c r="R537" s="50">
        <f>VLOOKUP(Tableau119[[#This Row],[Compte ILN]],'DATA ILN'!D:I,6,FALSE)</f>
        <v>9</v>
      </c>
      <c r="S537" s="50" t="e">
        <f>IFERROR(VLOOKUP(Tableau119[[#This Row],[Key(Compte ILN - shipper - POL - plant)]],'DATA ILN'!A:J,10,FALSE),VLOOKUP(Tableau119[[#This Row],[Key(Compte ILN - shipper - POL)]],'DATA ILN'!B:J,9,FALSE))</f>
        <v>#N/A</v>
      </c>
      <c r="T537" s="50" t="e">
        <f>IFERROR(VLOOKUP(Tableau119[[#This Row],[Key(Compte ILN - shipper - POL - plant)]],'DATA ILN'!A:K,11,FALSE),VLOOKUP(Tableau119[[#This Row],[Key(Compte ILN - shipper - POL)]],'DATA ILN'!B:K,10,FALSE))</f>
        <v>#N/A</v>
      </c>
      <c r="U537" s="50" t="e">
        <f>IFERROR(VLOOKUP(Tableau119[[#This Row],[Key(Compte ILN - shipper - POL - plant)]],'DATA ILN'!A:L,12,FALSE),VLOOKUP(Tableau119[[#This Row],[Key(Compte ILN - shipper - POL)]],'DATA ILN'!B:L,11,FALSE))</f>
        <v>#N/A</v>
      </c>
      <c r="V537" s="50" t="e">
        <f>Tableau119[[#This Row],[Day ILN Order]]+Tableau119[[#This Row],[Delivery time to ILN/Shipper]]-1</f>
        <v>#N/A</v>
      </c>
      <c r="W537" s="50" t="e">
        <f>IFERROR(VLOOKUP(Tableau119[[#This Row],[Key(Compte ILN - shipper - POL - plant)]],'DATA ILN'!A:N,14,FALSE),VLOOKUP(Tableau119[[#This Row],[Key(Compte ILN - shipper - POL)]],'DATA ILN'!B:N,13,FALSE))</f>
        <v>#N/A</v>
      </c>
      <c r="X537" s="50" t="e">
        <f>IFERROR(VLOOKUP(Tableau119[[#This Row],[Key(Compte ILN - shipper - POL - plant)]],'DATA ILN'!A:P,16,FALSE),VLOOKUP(Tableau119[[#This Row],[Key(Compte ILN - shipper - POL)]],'DATA ILN'!B:P,15,FALSE))</f>
        <v>#N/A</v>
      </c>
      <c r="Y537" s="284" t="s">
        <v>149</v>
      </c>
      <c r="Z537" s="430">
        <f>IFERROR(VLOOKUP(Tableau119[[#This Row],[Name Shipper]],Plant_AILN!L:M,2,FALSE),0)</f>
        <v>2533780546</v>
      </c>
      <c r="AA537" s="406">
        <v>165</v>
      </c>
      <c r="AB537" s="396" t="b">
        <f>_xlfn.XLOOKUP(Tableau119[[#This Row],[Key(ID-date)]],'DATA BTO'!S:S,'DATA BTO'!E:E,FALSE)</f>
        <v>0</v>
      </c>
      <c r="AC537" s="3" t="b">
        <f>_xlfn.XLOOKUP(Tableau119[[#This Row],[Key(ID-date)]],'DATA BTO'!S:S,'DATA BTO'!F:F,FALSE)</f>
        <v>0</v>
      </c>
      <c r="AD537" s="50" t="b">
        <f>_xlfn.XLOOKUP(Tableau119[[#This Row],[Key(ID-date)]],'DATA BTO'!S:S,'DATA BTO'!G:G,FALSE)</f>
        <v>0</v>
      </c>
      <c r="AE537" s="50" t="b">
        <f>_xlfn.XLOOKUP(Tableau119[[#This Row],[Key(ID-date)]],'DATA BTO'!S:S,'DATA BTO'!H:H,FALSE)</f>
        <v>0</v>
      </c>
      <c r="AF537" s="447" t="e">
        <f>IF(Tableau119[[#This Row],[First Day to POL]]&lt;=Tableau119[[#This Row],[Day Cut Off]],Tableau119[[#This Row],[Day ETD]],Tableau119[[#This Row],[Day ETD]]+7)</f>
        <v>#N/A</v>
      </c>
      <c r="AG537" s="50" t="b">
        <f>_xlfn.XLOOKUP(Tableau119[[#This Row],[Key(ID-date)]],'DATA BTO'!S:S,'DATA BTO'!I:I,FALSE)</f>
        <v>0</v>
      </c>
      <c r="AH537" s="3" t="b">
        <f>_xlfn.XLOOKUP(Tableau119[[#This Row],[Key(ID-date)]],'DATA BTO'!S:S,'DATA BTO'!J:J,FALSE)</f>
        <v>0</v>
      </c>
      <c r="AI537" s="3" t="b">
        <f>_xlfn.XLOOKUP(Tableau119[[#This Row],[Key(ID-date)]],'DATA BTO'!S:S,'DATA BTO'!K:K,FALSE)</f>
        <v>0</v>
      </c>
      <c r="AJ537" s="50" t="b">
        <f>_xlfn.XLOOKUP(Tableau119[[#This Row],[Key(ID-date)]],'DATA BTO'!S:S,'DATA BTO'!L:L,FALSE)</f>
        <v>0</v>
      </c>
      <c r="AK537" s="53" t="b">
        <f>_xlfn.XLOOKUP(Tableau119[[#This Row],[Key(ID-date)]],'DATA BTO'!S:S,'DATA BTO'!N:N,FALSE)</f>
        <v>0</v>
      </c>
      <c r="AL537" s="54" t="e">
        <f>VLOOKUP(Tableau119[[#This Row],[Key(POD -PFI- Usine)]],'DATA Consignee'!A:F,6,FALSE)</f>
        <v>#N/A</v>
      </c>
      <c r="AM537" s="284"/>
      <c r="AN537" s="376" t="str">
        <f>IF(Tableau119[[#This Row],[Name PFI/CDD]]="","-",VLOOKUP(Tableau119[[#This Row],[Name PFI/CDD]],Plant_AILN!I:J,2,FALSE))</f>
        <v>-</v>
      </c>
      <c r="AO5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7" s="2" t="e">
        <f>VLOOKUP(Tableau119[[#This Row],[Key(POD -PFI- Usine)]],'DATA Consignee'!A:J,10,FALSE)</f>
        <v>#N/A</v>
      </c>
      <c r="AR537" s="50" t="e">
        <f>VLOOKUP(Tableau119[[#This Row],[Key(POD -PFI- Usine)]],'DATA Consignee'!A:N,14,FALSE)</f>
        <v>#N/A</v>
      </c>
      <c r="AS5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7" s="50">
        <f>Tableau119[[#This Row],[Transit time]]+Tableau119[[#This Row],[Time for security]]+Tableau119[[#This Row],[Time for security2 buffer]]</f>
        <v>0</v>
      </c>
      <c r="AV5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7" s="50" t="e">
        <f>Tableau119[[#This Row],[Leadtime SI2C]]+Tableau119[[#This Row],[First Receipt Days]]-Tableau119[[#This Row],[Day Customer Order]]+1</f>
        <v>#N/A</v>
      </c>
      <c r="AX537" s="119" t="e">
        <f>IF(Tableau119[[#This Row],[Name ILN]]&lt;&gt;"SFK Freight Forwarder",Tableau119[[#This Row],[Cust. Leadtime]],Tableau119[[#This Row],[Leadtime SI2C]])</f>
        <v>#N/A</v>
      </c>
      <c r="AY537" s="51" t="b">
        <f>_xlfn.XLOOKUP(Tableau119[[#This Row],[Key(ID-date)]],'DATA BTO'!S:S,'DATA BTO'!P:P,FALSE)</f>
        <v>0</v>
      </c>
      <c r="AZ537" s="338">
        <v>45412</v>
      </c>
      <c r="BA537" s="50"/>
    </row>
    <row r="538" spans="2:53">
      <c r="B538" s="446" t="str">
        <f>_xlfn.CONCAT(Tableau119[[#This Row],[Name ILN]],"-",Tableau119[[#This Row],[Name Shipper]],"-",Tableau119[[#This Row],[Name Site]])</f>
        <v>ILN Chennai-ILN Chennai-MAUBEUGE</v>
      </c>
      <c r="C538" s="66" t="str">
        <f>_xlfn.CONCAT(Tableau119[[#This Row],[Compte ILN]],"-",Tableau119[[#This Row],[Compte Shipper]],"-",Tableau119[[#This Row],[POL]],"-",Tableau119[[#This Row],[Compte Consignee]])</f>
        <v>2533780546-2533780546-FALSO-90016200</v>
      </c>
      <c r="D538" s="66" t="str">
        <f>_xlfn.CONCAT(Tableau119[[#This Row],[Compte ILN]],"-",Tableau119[[#This Row],[Compte Shipper]],"-",Tableau119[[#This Row],[POL]])</f>
        <v>2533780546-2533780546-FALSO</v>
      </c>
      <c r="E538" s="130" t="str">
        <f>_xlfn.CONCAT(Tableau119[[#This Row],[POL]],"-",Tableau119[[#This Row],[Carrier]],"-",Tableau119[[#This Row],[POD]])</f>
        <v>FALSO-FALSO-FALSO</v>
      </c>
      <c r="F538" s="66" t="str">
        <f>_xlfn.CONCAT(Tableau119[[#This Row],[ID]],"-","Actif")</f>
        <v>165-Actif</v>
      </c>
      <c r="G538" s="66" t="str">
        <f>_xlfn.CONCAT(Tableau119[[#This Row],[POD]],"-",Tableau119[[#This Row],[Code PFI]],"-",Tableau119[[#This Row],[Compte Consignee]])</f>
        <v>FALSO-90016600-90016200</v>
      </c>
      <c r="H5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ChennaiFALSOMAUBEUGE</v>
      </c>
      <c r="I538" s="434" t="str">
        <f>_xlfn.CONCAT(Tableau119[[#This Row],[ID]],"-",Tableau119[[#This Row],[Expiration Date]])</f>
        <v>165-45412</v>
      </c>
      <c r="J5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Chennai-ILN Chennai-165-FALSO-FALSO-FALSO-CDD FR-45412</v>
      </c>
      <c r="K538" s="119" t="str">
        <f ca="1">IF(COUNTIF(J:J,Tableau119[[#This Row],[Plant-ILN-shipper-POL-Carrier-POD-PFI]])=1,"Non","Oui")</f>
        <v>Non</v>
      </c>
      <c r="L538" s="128" t="str">
        <f>VLOOKUP(Tableau119[[#This Row],[Name Site]],Plant_AILN!A:D,4,FALSE)</f>
        <v>FRANCE</v>
      </c>
      <c r="M538" s="411" t="s">
        <v>210</v>
      </c>
      <c r="N538" s="454">
        <f>VLOOKUP(Tableau119[[#This Row],[Name Site]],Plant_AILN!A:C,3,FALSE)</f>
        <v>90016200</v>
      </c>
      <c r="O538" s="55">
        <f>VLOOKUP(Tableau119[[#This Row],[Compte Consignee]],Order!C:D,2,FALSE)</f>
        <v>7</v>
      </c>
      <c r="P538" s="124" t="s">
        <v>149</v>
      </c>
      <c r="Q538" s="365">
        <f>VLOOKUP(Tableau119[[#This Row],[Name ILN]],Plant_AILN!F:G,2,FALSE)</f>
        <v>2533780546</v>
      </c>
      <c r="R538" s="50">
        <f>VLOOKUP(Tableau119[[#This Row],[Compte ILN]],'DATA ILN'!D:I,6,FALSE)</f>
        <v>9</v>
      </c>
      <c r="S538" s="50" t="e">
        <f>IFERROR(VLOOKUP(Tableau119[[#This Row],[Key(Compte ILN - shipper - POL - plant)]],'DATA ILN'!A:J,10,FALSE),VLOOKUP(Tableau119[[#This Row],[Key(Compte ILN - shipper - POL)]],'DATA ILN'!B:J,9,FALSE))</f>
        <v>#N/A</v>
      </c>
      <c r="T538" s="50" t="e">
        <f>IFERROR(VLOOKUP(Tableau119[[#This Row],[Key(Compte ILN - shipper - POL - plant)]],'DATA ILN'!A:K,11,FALSE),VLOOKUP(Tableau119[[#This Row],[Key(Compte ILN - shipper - POL)]],'DATA ILN'!B:K,10,FALSE))</f>
        <v>#N/A</v>
      </c>
      <c r="U538" s="50" t="e">
        <f>IFERROR(VLOOKUP(Tableau119[[#This Row],[Key(Compte ILN - shipper - POL - plant)]],'DATA ILN'!A:L,12,FALSE),VLOOKUP(Tableau119[[#This Row],[Key(Compte ILN - shipper - POL)]],'DATA ILN'!B:L,11,FALSE))</f>
        <v>#N/A</v>
      </c>
      <c r="V538" s="50" t="e">
        <f>Tableau119[[#This Row],[Day ILN Order]]+Tableau119[[#This Row],[Delivery time to ILN/Shipper]]-1</f>
        <v>#N/A</v>
      </c>
      <c r="W538" s="50" t="e">
        <f>IFERROR(VLOOKUP(Tableau119[[#This Row],[Key(Compte ILN - shipper - POL - plant)]],'DATA ILN'!A:N,14,FALSE),VLOOKUP(Tableau119[[#This Row],[Key(Compte ILN - shipper - POL)]],'DATA ILN'!B:N,13,FALSE))</f>
        <v>#N/A</v>
      </c>
      <c r="X538" s="50" t="e">
        <f>IFERROR(VLOOKUP(Tableau119[[#This Row],[Key(Compte ILN - shipper - POL - plant)]],'DATA ILN'!A:P,16,FALSE),VLOOKUP(Tableau119[[#This Row],[Key(Compte ILN - shipper - POL)]],'DATA ILN'!B:P,15,FALSE))</f>
        <v>#N/A</v>
      </c>
      <c r="Y538" s="284" t="s">
        <v>149</v>
      </c>
      <c r="Z538" s="430">
        <f>IFERROR(VLOOKUP(Tableau119[[#This Row],[Name Shipper]],Plant_AILN!L:M,2,FALSE),0)</f>
        <v>2533780546</v>
      </c>
      <c r="AA538" s="406">
        <v>165</v>
      </c>
      <c r="AB538" s="396" t="b">
        <f>_xlfn.XLOOKUP(Tableau119[[#This Row],[Key(ID-date)]],'DATA BTO'!S:S,'DATA BTO'!E:E,FALSE)</f>
        <v>0</v>
      </c>
      <c r="AC538" s="3" t="b">
        <f>_xlfn.XLOOKUP(Tableau119[[#This Row],[Key(ID-date)]],'DATA BTO'!S:S,'DATA BTO'!F:F,FALSE)</f>
        <v>0</v>
      </c>
      <c r="AD538" s="50" t="b">
        <f>_xlfn.XLOOKUP(Tableau119[[#This Row],[Key(ID-date)]],'DATA BTO'!S:S,'DATA BTO'!G:G,FALSE)</f>
        <v>0</v>
      </c>
      <c r="AE538" s="50" t="b">
        <f>_xlfn.XLOOKUP(Tableau119[[#This Row],[Key(ID-date)]],'DATA BTO'!S:S,'DATA BTO'!H:H,FALSE)</f>
        <v>0</v>
      </c>
      <c r="AF538" s="447" t="e">
        <f>IF(Tableau119[[#This Row],[First Day to POL]]&lt;=Tableau119[[#This Row],[Day Cut Off]],Tableau119[[#This Row],[Day ETD]],Tableau119[[#This Row],[Day ETD]]+7)</f>
        <v>#N/A</v>
      </c>
      <c r="AG538" s="50" t="b">
        <f>_xlfn.XLOOKUP(Tableau119[[#This Row],[Key(ID-date)]],'DATA BTO'!S:S,'DATA BTO'!I:I,FALSE)</f>
        <v>0</v>
      </c>
      <c r="AH538" s="3" t="b">
        <f>_xlfn.XLOOKUP(Tableau119[[#This Row],[Key(ID-date)]],'DATA BTO'!S:S,'DATA BTO'!J:J,FALSE)</f>
        <v>0</v>
      </c>
      <c r="AI538" s="3" t="b">
        <f>_xlfn.XLOOKUP(Tableau119[[#This Row],[Key(ID-date)]],'DATA BTO'!S:S,'DATA BTO'!K:K,FALSE)</f>
        <v>0</v>
      </c>
      <c r="AJ538" s="50" t="b">
        <f>_xlfn.XLOOKUP(Tableau119[[#This Row],[Key(ID-date)]],'DATA BTO'!S:S,'DATA BTO'!L:L,FALSE)</f>
        <v>0</v>
      </c>
      <c r="AK538" s="53" t="b">
        <f>_xlfn.XLOOKUP(Tableau119[[#This Row],[Key(ID-date)]],'DATA BTO'!S:S,'DATA BTO'!N:N,FALSE)</f>
        <v>0</v>
      </c>
      <c r="AL538" s="54" t="e">
        <f>VLOOKUP(Tableau119[[#This Row],[Key(POD -PFI- Usine)]],'DATA Consignee'!A:F,6,FALSE)</f>
        <v>#N/A</v>
      </c>
      <c r="AM538" s="284" t="s">
        <v>155</v>
      </c>
      <c r="AN538" s="376">
        <f>IF(Tableau119[[#This Row],[Name PFI/CDD]]="","-",VLOOKUP(Tableau119[[#This Row],[Name PFI/CDD]],Plant_AILN!I:J,2,FALSE))</f>
        <v>90016600</v>
      </c>
      <c r="AO5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8" s="2" t="e">
        <f>VLOOKUP(Tableau119[[#This Row],[Key(POD -PFI- Usine)]],'DATA Consignee'!A:J,10,FALSE)</f>
        <v>#N/A</v>
      </c>
      <c r="AR538" s="50" t="e">
        <f>VLOOKUP(Tableau119[[#This Row],[Key(POD -PFI- Usine)]],'DATA Consignee'!A:N,14,FALSE)</f>
        <v>#N/A</v>
      </c>
      <c r="AS5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8" s="50">
        <f>Tableau119[[#This Row],[Transit time]]+Tableau119[[#This Row],[Time for security]]+Tableau119[[#This Row],[Time for security2 buffer]]</f>
        <v>0</v>
      </c>
      <c r="AV5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8" s="50" t="e">
        <f>Tableau119[[#This Row],[Leadtime SI2C]]+Tableau119[[#This Row],[First Receipt Days]]-Tableau119[[#This Row],[Day Customer Order]]+1</f>
        <v>#N/A</v>
      </c>
      <c r="AX538" s="119" t="e">
        <f>IF(Tableau119[[#This Row],[Name ILN]]&lt;&gt;"SFK Freight Forwarder",Tableau119[[#This Row],[Cust. Leadtime]],Tableau119[[#This Row],[Leadtime SI2C]])</f>
        <v>#N/A</v>
      </c>
      <c r="AY538" s="51" t="b">
        <f>_xlfn.XLOOKUP(Tableau119[[#This Row],[Key(ID-date)]],'DATA BTO'!S:S,'DATA BTO'!P:P,FALSE)</f>
        <v>0</v>
      </c>
      <c r="AZ538" s="338">
        <v>45412</v>
      </c>
      <c r="BA538" s="50"/>
    </row>
    <row r="539" spans="2:53">
      <c r="B539" s="446" t="str">
        <f>_xlfn.CONCAT(Tableau119[[#This Row],[Name ILN]],"-",Tableau119[[#This Row],[Name Shipper]],"-",Tableau119[[#This Row],[Name Site]])</f>
        <v>ILN Chennai-ILN Chennai-SOVAB</v>
      </c>
      <c r="C539" s="66" t="str">
        <f>_xlfn.CONCAT(Tableau119[[#This Row],[Compte ILN]],"-",Tableau119[[#This Row],[Compte Shipper]],"-",Tableau119[[#This Row],[POL]],"-",Tableau119[[#This Row],[Compte Consignee]])</f>
        <v>2533780546-2533780546-FALSO-90016900</v>
      </c>
      <c r="D539" s="66" t="str">
        <f>_xlfn.CONCAT(Tableau119[[#This Row],[Compte ILN]],"-",Tableau119[[#This Row],[Compte Shipper]],"-",Tableau119[[#This Row],[POL]])</f>
        <v>2533780546-2533780546-FALSO</v>
      </c>
      <c r="E539" s="130" t="str">
        <f>_xlfn.CONCAT(Tableau119[[#This Row],[POL]],"-",Tableau119[[#This Row],[Carrier]],"-",Tableau119[[#This Row],[POD]])</f>
        <v>FALSO-FALSO-FALSO</v>
      </c>
      <c r="F539" s="66" t="str">
        <f>_xlfn.CONCAT(Tableau119[[#This Row],[ID]],"-","Actif")</f>
        <v>165-Actif</v>
      </c>
      <c r="G539" s="66" t="str">
        <f>_xlfn.CONCAT(Tableau119[[#This Row],[POD]],"-",Tableau119[[#This Row],[Code PFI]],"-",Tableau119[[#This Row],[Compte Consignee]])</f>
        <v>FALSO-90016600-90016900</v>
      </c>
      <c r="H5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ChennaiFALSOSOVAB</v>
      </c>
      <c r="I539" s="434" t="str">
        <f>_xlfn.CONCAT(Tableau119[[#This Row],[ID]],"-",Tableau119[[#This Row],[Expiration Date]])</f>
        <v>165-45412</v>
      </c>
      <c r="J5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Chennai-ILN Chennai-165-FALSO-FALSO-FALSO-CDD FR-45412</v>
      </c>
      <c r="K539" s="119" t="str">
        <f ca="1">IF(COUNTIF(J:J,Tableau119[[#This Row],[Plant-ILN-shipper-POL-Carrier-POD-PFI]])=1,"Non","Oui")</f>
        <v>Non</v>
      </c>
      <c r="L539" s="128" t="str">
        <f>VLOOKUP(Tableau119[[#This Row],[Name Site]],Plant_AILN!A:D,4,FALSE)</f>
        <v>FRANCE</v>
      </c>
      <c r="M539" s="415" t="s">
        <v>154</v>
      </c>
      <c r="N539" s="455">
        <f>VLOOKUP(Tableau119[[#This Row],[Name Site]],Plant_AILN!A:C,3,FALSE)</f>
        <v>90016900</v>
      </c>
      <c r="O539" s="104">
        <f>VLOOKUP(Tableau119[[#This Row],[Compte Consignee]],Order!C:D,2,FALSE)</f>
        <v>7</v>
      </c>
      <c r="P539" s="126" t="s">
        <v>149</v>
      </c>
      <c r="Q539" s="366">
        <f>VLOOKUP(Tableau119[[#This Row],[Name ILN]],Plant_AILN!F:G,2,FALSE)</f>
        <v>2533780546</v>
      </c>
      <c r="R539" s="81">
        <f>VLOOKUP(Tableau119[[#This Row],[Compte ILN]],'DATA ILN'!D:I,6,FALSE)</f>
        <v>9</v>
      </c>
      <c r="S539" s="81" t="e">
        <f>IFERROR(VLOOKUP(Tableau119[[#This Row],[Key(Compte ILN - shipper - POL - plant)]],'DATA ILN'!A:J,10,FALSE),VLOOKUP(Tableau119[[#This Row],[Key(Compte ILN - shipper - POL)]],'DATA ILN'!B:J,9,FALSE))</f>
        <v>#N/A</v>
      </c>
      <c r="T539" s="81" t="e">
        <f>IFERROR(VLOOKUP(Tableau119[[#This Row],[Key(Compte ILN - shipper - POL - plant)]],'DATA ILN'!A:K,11,FALSE),VLOOKUP(Tableau119[[#This Row],[Key(Compte ILN - shipper - POL)]],'DATA ILN'!B:K,10,FALSE))</f>
        <v>#N/A</v>
      </c>
      <c r="U539" s="81" t="e">
        <f>IFERROR(VLOOKUP(Tableau119[[#This Row],[Key(Compte ILN - shipper - POL - plant)]],'DATA ILN'!A:L,12,FALSE),VLOOKUP(Tableau119[[#This Row],[Key(Compte ILN - shipper - POL)]],'DATA ILN'!B:L,11,FALSE))</f>
        <v>#N/A</v>
      </c>
      <c r="V539" s="81" t="e">
        <f>Tableau119[[#This Row],[Day ILN Order]]+Tableau119[[#This Row],[Delivery time to ILN/Shipper]]-1</f>
        <v>#N/A</v>
      </c>
      <c r="W539" s="81" t="e">
        <f>IFERROR(VLOOKUP(Tableau119[[#This Row],[Key(Compte ILN - shipper - POL - plant)]],'DATA ILN'!A:N,14,FALSE),VLOOKUP(Tableau119[[#This Row],[Key(Compte ILN - shipper - POL)]],'DATA ILN'!B:N,13,FALSE))</f>
        <v>#N/A</v>
      </c>
      <c r="X539" s="81" t="e">
        <f>IFERROR(VLOOKUP(Tableau119[[#This Row],[Key(Compte ILN - shipper - POL - plant)]],'DATA ILN'!A:P,16,FALSE),VLOOKUP(Tableau119[[#This Row],[Key(Compte ILN - shipper - POL)]],'DATA ILN'!B:P,15,FALSE))</f>
        <v>#N/A</v>
      </c>
      <c r="Y539" s="102" t="s">
        <v>149</v>
      </c>
      <c r="Z539" s="417">
        <f>IFERROR(VLOOKUP(Tableau119[[#This Row],[Name Shipper]],Plant_AILN!L:M,2,FALSE),0)</f>
        <v>2533780546</v>
      </c>
      <c r="AA539" s="416">
        <v>165</v>
      </c>
      <c r="AB539" s="396" t="b">
        <f>_xlfn.XLOOKUP(Tableau119[[#This Row],[Key(ID-date)]],'DATA BTO'!S:S,'DATA BTO'!E:E,FALSE)</f>
        <v>0</v>
      </c>
      <c r="AC539" s="3" t="b">
        <f>_xlfn.XLOOKUP(Tableau119[[#This Row],[Key(ID-date)]],'DATA BTO'!S:S,'DATA BTO'!F:F,FALSE)</f>
        <v>0</v>
      </c>
      <c r="AD539" s="50" t="b">
        <f>_xlfn.XLOOKUP(Tableau119[[#This Row],[Key(ID-date)]],'DATA BTO'!S:S,'DATA BTO'!G:G,FALSE)</f>
        <v>0</v>
      </c>
      <c r="AE539" s="50" t="b">
        <f>_xlfn.XLOOKUP(Tableau119[[#This Row],[Key(ID-date)]],'DATA BTO'!S:S,'DATA BTO'!H:H,FALSE)</f>
        <v>0</v>
      </c>
      <c r="AF539" s="447" t="e">
        <f>IF(Tableau119[[#This Row],[First Day to POL]]&lt;=Tableau119[[#This Row],[Day Cut Off]],Tableau119[[#This Row],[Day ETD]],Tableau119[[#This Row],[Day ETD]]+7)</f>
        <v>#N/A</v>
      </c>
      <c r="AG539" s="50" t="b">
        <f>_xlfn.XLOOKUP(Tableau119[[#This Row],[Key(ID-date)]],'DATA BTO'!S:S,'DATA BTO'!I:I,FALSE)</f>
        <v>0</v>
      </c>
      <c r="AH539" s="3" t="b">
        <f>_xlfn.XLOOKUP(Tableau119[[#This Row],[Key(ID-date)]],'DATA BTO'!S:S,'DATA BTO'!J:J,FALSE)</f>
        <v>0</v>
      </c>
      <c r="AI539" s="3" t="b">
        <f>_xlfn.XLOOKUP(Tableau119[[#This Row],[Key(ID-date)]],'DATA BTO'!S:S,'DATA BTO'!K:K,FALSE)</f>
        <v>0</v>
      </c>
      <c r="AJ539" s="50" t="b">
        <f>_xlfn.XLOOKUP(Tableau119[[#This Row],[Key(ID-date)]],'DATA BTO'!S:S,'DATA BTO'!L:L,FALSE)</f>
        <v>0</v>
      </c>
      <c r="AK539" s="53" t="b">
        <f>_xlfn.XLOOKUP(Tableau119[[#This Row],[Key(ID-date)]],'DATA BTO'!S:S,'DATA BTO'!N:N,FALSE)</f>
        <v>0</v>
      </c>
      <c r="AL539" s="54" t="e">
        <f>VLOOKUP(Tableau119[[#This Row],[Key(POD -PFI- Usine)]],'DATA Consignee'!A:F,6,FALSE)</f>
        <v>#N/A</v>
      </c>
      <c r="AM539" s="102" t="s">
        <v>155</v>
      </c>
      <c r="AN539" s="375">
        <f>IF(Tableau119[[#This Row],[Name PFI/CDD]]="","-",VLOOKUP(Tableau119[[#This Row],[Name PFI/CDD]],Plant_AILN!I:J,2,FALSE))</f>
        <v>90016600</v>
      </c>
      <c r="AO53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3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39" s="110" t="e">
        <f>VLOOKUP(Tableau119[[#This Row],[Key(POD -PFI- Usine)]],'DATA Consignee'!A:J,10,FALSE)</f>
        <v>#N/A</v>
      </c>
      <c r="AR539" s="81" t="e">
        <f>VLOOKUP(Tableau119[[#This Row],[Key(POD -PFI- Usine)]],'DATA Consignee'!A:N,14,FALSE)</f>
        <v>#N/A</v>
      </c>
      <c r="AS53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3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39" s="81">
        <f>Tableau119[[#This Row],[Transit time]]+Tableau119[[#This Row],[Time for security]]+Tableau119[[#This Row],[Time for security2 buffer]]</f>
        <v>0</v>
      </c>
      <c r="AV5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39" s="50" t="e">
        <f>Tableau119[[#This Row],[Leadtime SI2C]]+Tableau119[[#This Row],[First Receipt Days]]-Tableau119[[#This Row],[Day Customer Order]]+1</f>
        <v>#N/A</v>
      </c>
      <c r="AX539" s="119" t="e">
        <f>IF(Tableau119[[#This Row],[Name ILN]]&lt;&gt;"SFK Freight Forwarder",Tableau119[[#This Row],[Cust. Leadtime]],Tableau119[[#This Row],[Leadtime SI2C]])</f>
        <v>#N/A</v>
      </c>
      <c r="AY539" s="51" t="b">
        <f>_xlfn.XLOOKUP(Tableau119[[#This Row],[Key(ID-date)]],'DATA BTO'!S:S,'DATA BTO'!P:P,FALSE)</f>
        <v>0</v>
      </c>
      <c r="AZ539" s="388">
        <v>45412</v>
      </c>
      <c r="BA539" s="81"/>
    </row>
    <row r="540" spans="2:53">
      <c r="B540" s="446" t="str">
        <f>_xlfn.CONCAT(Tableau119[[#This Row],[Name ILN]],"-",Tableau119[[#This Row],[Name Shipper]],"-",Tableau119[[#This Row],[Name Site]])</f>
        <v>ILN Chennai-ILN Chennai-SANDOUVILLE</v>
      </c>
      <c r="C540" s="66" t="str">
        <f>_xlfn.CONCAT(Tableau119[[#This Row],[Compte ILN]],"-",Tableau119[[#This Row],[Compte Shipper]],"-",Tableau119[[#This Row],[POL]],"-",Tableau119[[#This Row],[Compte Consignee]])</f>
        <v>2533780546-2533780546-FALSO-90017100</v>
      </c>
      <c r="D540" s="66" t="str">
        <f>_xlfn.CONCAT(Tableau119[[#This Row],[Compte ILN]],"-",Tableau119[[#This Row],[Compte Shipper]],"-",Tableau119[[#This Row],[POL]])</f>
        <v>2533780546-2533780546-FALSO</v>
      </c>
      <c r="E540" s="130" t="str">
        <f>_xlfn.CONCAT(Tableau119[[#This Row],[POL]],"-",Tableau119[[#This Row],[Carrier]],"-",Tableau119[[#This Row],[POD]])</f>
        <v>FALSO-FALSO-FALSO</v>
      </c>
      <c r="F540" s="66" t="str">
        <f>_xlfn.CONCAT(Tableau119[[#This Row],[ID]],"-","Actif")</f>
        <v>165-Actif</v>
      </c>
      <c r="G540" s="66" t="str">
        <f>_xlfn.CONCAT(Tableau119[[#This Row],[POD]],"-",Tableau119[[#This Row],[Code PFI]],"-",Tableau119[[#This Row],[Compte Consignee]])</f>
        <v>FALSO-90016600-90017100</v>
      </c>
      <c r="H5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ChennaiFALSOSANDOUVILLE</v>
      </c>
      <c r="I540" s="434" t="str">
        <f>_xlfn.CONCAT(Tableau119[[#This Row],[ID]],"-",Tableau119[[#This Row],[Expiration Date]])</f>
        <v>165-45412</v>
      </c>
      <c r="J5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Chennai-ILN Chennai-165-FALSO-FALSO-FALSO-CDD FR-45412</v>
      </c>
      <c r="K540" s="119" t="str">
        <f ca="1">IF(COUNTIF(J:J,Tableau119[[#This Row],[Plant-ILN-shipper-POL-Carrier-POD-PFI]])=1,"Non","Oui")</f>
        <v>Non</v>
      </c>
      <c r="L540" s="128" t="str">
        <f>VLOOKUP(Tableau119[[#This Row],[Name Site]],Plant_AILN!A:D,4,FALSE)</f>
        <v>FRANCE</v>
      </c>
      <c r="M540" s="411" t="s">
        <v>196</v>
      </c>
      <c r="N540" s="454">
        <f>VLOOKUP(Tableau119[[#This Row],[Name Site]],Plant_AILN!A:C,3,FALSE)</f>
        <v>90017100</v>
      </c>
      <c r="O540" s="55">
        <f>VLOOKUP(Tableau119[[#This Row],[Compte Consignee]],Order!C:D,2,FALSE)</f>
        <v>7</v>
      </c>
      <c r="P540" s="124" t="s">
        <v>149</v>
      </c>
      <c r="Q540" s="365">
        <f>VLOOKUP(Tableau119[[#This Row],[Name ILN]],Plant_AILN!F:G,2,FALSE)</f>
        <v>2533780546</v>
      </c>
      <c r="R540" s="50">
        <f>VLOOKUP(Tableau119[[#This Row],[Compte ILN]],'DATA ILN'!D:I,6,FALSE)</f>
        <v>9</v>
      </c>
      <c r="S540" s="50" t="e">
        <f>IFERROR(VLOOKUP(Tableau119[[#This Row],[Key(Compte ILN - shipper - POL - plant)]],'DATA ILN'!A:J,10,FALSE),VLOOKUP(Tableau119[[#This Row],[Key(Compte ILN - shipper - POL)]],'DATA ILN'!B:J,9,FALSE))</f>
        <v>#N/A</v>
      </c>
      <c r="T540" s="50" t="e">
        <f>IFERROR(VLOOKUP(Tableau119[[#This Row],[Key(Compte ILN - shipper - POL - plant)]],'DATA ILN'!A:K,11,FALSE),VLOOKUP(Tableau119[[#This Row],[Key(Compte ILN - shipper - POL)]],'DATA ILN'!B:K,10,FALSE))</f>
        <v>#N/A</v>
      </c>
      <c r="U540" s="50" t="e">
        <f>IFERROR(VLOOKUP(Tableau119[[#This Row],[Key(Compte ILN - shipper - POL - plant)]],'DATA ILN'!A:L,12,FALSE),VLOOKUP(Tableau119[[#This Row],[Key(Compte ILN - shipper - POL)]],'DATA ILN'!B:L,11,FALSE))</f>
        <v>#N/A</v>
      </c>
      <c r="V540" s="50" t="e">
        <f>Tableau119[[#This Row],[Day ILN Order]]+Tableau119[[#This Row],[Delivery time to ILN/Shipper]]-1</f>
        <v>#N/A</v>
      </c>
      <c r="W540" s="50" t="e">
        <f>IFERROR(VLOOKUP(Tableau119[[#This Row],[Key(Compte ILN - shipper - POL - plant)]],'DATA ILN'!A:N,14,FALSE),VLOOKUP(Tableau119[[#This Row],[Key(Compte ILN - shipper - POL)]],'DATA ILN'!B:N,13,FALSE))</f>
        <v>#N/A</v>
      </c>
      <c r="X540" s="50" t="e">
        <f>IFERROR(VLOOKUP(Tableau119[[#This Row],[Key(Compte ILN - shipper - POL - plant)]],'DATA ILN'!A:P,16,FALSE),VLOOKUP(Tableau119[[#This Row],[Key(Compte ILN - shipper - POL)]],'DATA ILN'!B:P,15,FALSE))</f>
        <v>#N/A</v>
      </c>
      <c r="Y540" s="284" t="s">
        <v>149</v>
      </c>
      <c r="Z540" s="430">
        <f>IFERROR(VLOOKUP(Tableau119[[#This Row],[Name Shipper]],Plant_AILN!L:M,2,FALSE),0)</f>
        <v>2533780546</v>
      </c>
      <c r="AA540" s="406">
        <v>165</v>
      </c>
      <c r="AB540" s="396" t="b">
        <f>_xlfn.XLOOKUP(Tableau119[[#This Row],[Key(ID-date)]],'DATA BTO'!S:S,'DATA BTO'!E:E,FALSE)</f>
        <v>0</v>
      </c>
      <c r="AC540" s="3" t="b">
        <f>_xlfn.XLOOKUP(Tableau119[[#This Row],[Key(ID-date)]],'DATA BTO'!S:S,'DATA BTO'!F:F,FALSE)</f>
        <v>0</v>
      </c>
      <c r="AD540" s="50" t="b">
        <f>_xlfn.XLOOKUP(Tableau119[[#This Row],[Key(ID-date)]],'DATA BTO'!S:S,'DATA BTO'!G:G,FALSE)</f>
        <v>0</v>
      </c>
      <c r="AE540" s="50" t="b">
        <f>_xlfn.XLOOKUP(Tableau119[[#This Row],[Key(ID-date)]],'DATA BTO'!S:S,'DATA BTO'!H:H,FALSE)</f>
        <v>0</v>
      </c>
      <c r="AF540" s="447" t="e">
        <f>IF(Tableau119[[#This Row],[First Day to POL]]&lt;=Tableau119[[#This Row],[Day Cut Off]],Tableau119[[#This Row],[Day ETD]],Tableau119[[#This Row],[Day ETD]]+7)</f>
        <v>#N/A</v>
      </c>
      <c r="AG540" s="50" t="b">
        <f>_xlfn.XLOOKUP(Tableau119[[#This Row],[Key(ID-date)]],'DATA BTO'!S:S,'DATA BTO'!I:I,FALSE)</f>
        <v>0</v>
      </c>
      <c r="AH540" s="3" t="b">
        <f>_xlfn.XLOOKUP(Tableau119[[#This Row],[Key(ID-date)]],'DATA BTO'!S:S,'DATA BTO'!J:J,FALSE)</f>
        <v>0</v>
      </c>
      <c r="AI540" s="3" t="b">
        <f>_xlfn.XLOOKUP(Tableau119[[#This Row],[Key(ID-date)]],'DATA BTO'!S:S,'DATA BTO'!K:K,FALSE)</f>
        <v>0</v>
      </c>
      <c r="AJ540" s="50" t="b">
        <f>_xlfn.XLOOKUP(Tableau119[[#This Row],[Key(ID-date)]],'DATA BTO'!S:S,'DATA BTO'!L:L,FALSE)</f>
        <v>0</v>
      </c>
      <c r="AK540" s="53" t="b">
        <f>_xlfn.XLOOKUP(Tableau119[[#This Row],[Key(ID-date)]],'DATA BTO'!S:S,'DATA BTO'!N:N,FALSE)</f>
        <v>0</v>
      </c>
      <c r="AL540" s="54" t="e">
        <f>VLOOKUP(Tableau119[[#This Row],[Key(POD -PFI- Usine)]],'DATA Consignee'!A:F,6,FALSE)</f>
        <v>#N/A</v>
      </c>
      <c r="AM540" s="284" t="s">
        <v>155</v>
      </c>
      <c r="AN540" s="376">
        <f>IF(Tableau119[[#This Row],[Name PFI/CDD]]="","-",VLOOKUP(Tableau119[[#This Row],[Name PFI/CDD]],Plant_AILN!I:J,2,FALSE))</f>
        <v>90016600</v>
      </c>
      <c r="AO5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0" s="2" t="e">
        <f>VLOOKUP(Tableau119[[#This Row],[Key(POD -PFI- Usine)]],'DATA Consignee'!A:J,10,FALSE)</f>
        <v>#N/A</v>
      </c>
      <c r="AR540" s="50" t="e">
        <f>VLOOKUP(Tableau119[[#This Row],[Key(POD -PFI- Usine)]],'DATA Consignee'!A:N,14,FALSE)</f>
        <v>#N/A</v>
      </c>
      <c r="AS5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0" s="50">
        <f>Tableau119[[#This Row],[Transit time]]+Tableau119[[#This Row],[Time for security]]+Tableau119[[#This Row],[Time for security2 buffer]]</f>
        <v>0</v>
      </c>
      <c r="AV5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0" s="50" t="e">
        <f>Tableau119[[#This Row],[Leadtime SI2C]]+Tableau119[[#This Row],[First Receipt Days]]-Tableau119[[#This Row],[Day Customer Order]]+1</f>
        <v>#N/A</v>
      </c>
      <c r="AX540" s="119" t="e">
        <f>IF(Tableau119[[#This Row],[Name ILN]]&lt;&gt;"SFK Freight Forwarder",Tableau119[[#This Row],[Cust. Leadtime]],Tableau119[[#This Row],[Leadtime SI2C]])</f>
        <v>#N/A</v>
      </c>
      <c r="AY540" s="51" t="b">
        <f>_xlfn.XLOOKUP(Tableau119[[#This Row],[Key(ID-date)]],'DATA BTO'!S:S,'DATA BTO'!P:P,FALSE)</f>
        <v>0</v>
      </c>
      <c r="AZ540" s="338">
        <v>45412</v>
      </c>
      <c r="BA540" s="50"/>
    </row>
    <row r="541" spans="2:53">
      <c r="B541" s="446" t="str">
        <f>_xlfn.CONCAT(Tableau119[[#This Row],[Name ILN]],"-",Tableau119[[#This Row],[Name Shipper]],"-",Tableau119[[#This Row],[Name Site]])</f>
        <v>ILN Chennai-ILN Chennai-ALPINE</v>
      </c>
      <c r="C541" s="66" t="str">
        <f>_xlfn.CONCAT(Tableau119[[#This Row],[Compte ILN]],"-",Tableau119[[#This Row],[Compte Shipper]],"-",Tableau119[[#This Row],[POL]],"-",Tableau119[[#This Row],[Compte Consignee]])</f>
        <v>2533780546-2533780546-FALSO-90018300</v>
      </c>
      <c r="D541" s="66" t="str">
        <f>_xlfn.CONCAT(Tableau119[[#This Row],[Compte ILN]],"-",Tableau119[[#This Row],[Compte Shipper]],"-",Tableau119[[#This Row],[POL]])</f>
        <v>2533780546-2533780546-FALSO</v>
      </c>
      <c r="E541" s="130" t="str">
        <f>_xlfn.CONCAT(Tableau119[[#This Row],[POL]],"-",Tableau119[[#This Row],[Carrier]],"-",Tableau119[[#This Row],[POD]])</f>
        <v>FALSO-FALSO-FALSO</v>
      </c>
      <c r="F541" s="66" t="str">
        <f>_xlfn.CONCAT(Tableau119[[#This Row],[ID]],"-","Actif")</f>
        <v>165-Actif</v>
      </c>
      <c r="G541" s="66" t="str">
        <f>_xlfn.CONCAT(Tableau119[[#This Row],[POD]],"-",Tableau119[[#This Row],[Code PFI]],"-",Tableau119[[#This Row],[Compte Consignee]])</f>
        <v>FALSO-90016600-90018300</v>
      </c>
      <c r="H5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ChennaiFALSOALPINE</v>
      </c>
      <c r="I541" s="434" t="str">
        <f>_xlfn.CONCAT(Tableau119[[#This Row],[ID]],"-",Tableau119[[#This Row],[Expiration Date]])</f>
        <v>165-45412</v>
      </c>
      <c r="J5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Chennai-ILN Chennai-165-FALSO-FALSO-FALSO-CDD FR-45412</v>
      </c>
      <c r="K541" s="119" t="str">
        <f ca="1">IF(COUNTIF(J:J,Tableau119[[#This Row],[Plant-ILN-shipper-POL-Carrier-POD-PFI]])=1,"Non","Oui")</f>
        <v>Non</v>
      </c>
      <c r="L541" s="128" t="str">
        <f>VLOOKUP(Tableau119[[#This Row],[Name Site]],Plant_AILN!A:D,4,FALSE)</f>
        <v>FRANCE</v>
      </c>
      <c r="M541" s="411" t="s">
        <v>220</v>
      </c>
      <c r="N541" s="454">
        <f>VLOOKUP(Tableau119[[#This Row],[Name Site]],Plant_AILN!A:C,3,FALSE)</f>
        <v>90018300</v>
      </c>
      <c r="O541" s="55">
        <f>VLOOKUP(Tableau119[[#This Row],[Compte Consignee]],Order!C:D,2,FALSE)</f>
        <v>7</v>
      </c>
      <c r="P541" s="124" t="s">
        <v>149</v>
      </c>
      <c r="Q541" s="365">
        <f>VLOOKUP(Tableau119[[#This Row],[Name ILN]],Plant_AILN!F:G,2,FALSE)</f>
        <v>2533780546</v>
      </c>
      <c r="R541" s="50">
        <f>VLOOKUP(Tableau119[[#This Row],[Compte ILN]],'DATA ILN'!D:I,6,FALSE)</f>
        <v>9</v>
      </c>
      <c r="S541" s="50" t="e">
        <f>IFERROR(VLOOKUP(Tableau119[[#This Row],[Key(Compte ILN - shipper - POL - plant)]],'DATA ILN'!A:J,10,FALSE),VLOOKUP(Tableau119[[#This Row],[Key(Compte ILN - shipper - POL)]],'DATA ILN'!B:J,9,FALSE))</f>
        <v>#N/A</v>
      </c>
      <c r="T541" s="50" t="e">
        <f>IFERROR(VLOOKUP(Tableau119[[#This Row],[Key(Compte ILN - shipper - POL - plant)]],'DATA ILN'!A:K,11,FALSE),VLOOKUP(Tableau119[[#This Row],[Key(Compte ILN - shipper - POL)]],'DATA ILN'!B:K,10,FALSE))</f>
        <v>#N/A</v>
      </c>
      <c r="U541" s="50" t="e">
        <f>IFERROR(VLOOKUP(Tableau119[[#This Row],[Key(Compte ILN - shipper - POL - plant)]],'DATA ILN'!A:L,12,FALSE),VLOOKUP(Tableau119[[#This Row],[Key(Compte ILN - shipper - POL)]],'DATA ILN'!B:L,11,FALSE))</f>
        <v>#N/A</v>
      </c>
      <c r="V541" s="50" t="e">
        <f>Tableau119[[#This Row],[Day ILN Order]]+Tableau119[[#This Row],[Delivery time to ILN/Shipper]]-1</f>
        <v>#N/A</v>
      </c>
      <c r="W541" s="50" t="e">
        <f>IFERROR(VLOOKUP(Tableau119[[#This Row],[Key(Compte ILN - shipper - POL - plant)]],'DATA ILN'!A:N,14,FALSE),VLOOKUP(Tableau119[[#This Row],[Key(Compte ILN - shipper - POL)]],'DATA ILN'!B:N,13,FALSE))</f>
        <v>#N/A</v>
      </c>
      <c r="X541" s="50" t="e">
        <f>IFERROR(VLOOKUP(Tableau119[[#This Row],[Key(Compte ILN - shipper - POL - plant)]],'DATA ILN'!A:P,16,FALSE),VLOOKUP(Tableau119[[#This Row],[Key(Compte ILN - shipper - POL)]],'DATA ILN'!B:P,15,FALSE))</f>
        <v>#N/A</v>
      </c>
      <c r="Y541" s="284" t="s">
        <v>149</v>
      </c>
      <c r="Z541" s="430">
        <f>IFERROR(VLOOKUP(Tableau119[[#This Row],[Name Shipper]],Plant_AILN!L:M,2,FALSE),0)</f>
        <v>2533780546</v>
      </c>
      <c r="AA541" s="406">
        <v>165</v>
      </c>
      <c r="AB541" s="396" t="b">
        <f>_xlfn.XLOOKUP(Tableau119[[#This Row],[Key(ID-date)]],'DATA BTO'!S:S,'DATA BTO'!E:E,FALSE)</f>
        <v>0</v>
      </c>
      <c r="AC541" s="3" t="b">
        <f>_xlfn.XLOOKUP(Tableau119[[#This Row],[Key(ID-date)]],'DATA BTO'!S:S,'DATA BTO'!F:F,FALSE)</f>
        <v>0</v>
      </c>
      <c r="AD541" s="50" t="b">
        <f>_xlfn.XLOOKUP(Tableau119[[#This Row],[Key(ID-date)]],'DATA BTO'!S:S,'DATA BTO'!G:G,FALSE)</f>
        <v>0</v>
      </c>
      <c r="AE541" s="50" t="b">
        <f>_xlfn.XLOOKUP(Tableau119[[#This Row],[Key(ID-date)]],'DATA BTO'!S:S,'DATA BTO'!H:H,FALSE)</f>
        <v>0</v>
      </c>
      <c r="AF541" s="447" t="e">
        <f>IF(Tableau119[[#This Row],[First Day to POL]]&lt;=Tableau119[[#This Row],[Day Cut Off]],Tableau119[[#This Row],[Day ETD]],Tableau119[[#This Row],[Day ETD]]+7)</f>
        <v>#N/A</v>
      </c>
      <c r="AG541" s="50" t="b">
        <f>_xlfn.XLOOKUP(Tableau119[[#This Row],[Key(ID-date)]],'DATA BTO'!S:S,'DATA BTO'!I:I,FALSE)</f>
        <v>0</v>
      </c>
      <c r="AH541" s="3" t="b">
        <f>_xlfn.XLOOKUP(Tableau119[[#This Row],[Key(ID-date)]],'DATA BTO'!S:S,'DATA BTO'!J:J,FALSE)</f>
        <v>0</v>
      </c>
      <c r="AI541" s="3" t="b">
        <f>_xlfn.XLOOKUP(Tableau119[[#This Row],[Key(ID-date)]],'DATA BTO'!S:S,'DATA BTO'!K:K,FALSE)</f>
        <v>0</v>
      </c>
      <c r="AJ541" s="50" t="b">
        <f>_xlfn.XLOOKUP(Tableau119[[#This Row],[Key(ID-date)]],'DATA BTO'!S:S,'DATA BTO'!L:L,FALSE)</f>
        <v>0</v>
      </c>
      <c r="AK541" s="53" t="b">
        <f>_xlfn.XLOOKUP(Tableau119[[#This Row],[Key(ID-date)]],'DATA BTO'!S:S,'DATA BTO'!N:N,FALSE)</f>
        <v>0</v>
      </c>
      <c r="AL541" s="54" t="e">
        <f>VLOOKUP(Tableau119[[#This Row],[Key(POD -PFI- Usine)]],'DATA Consignee'!A:F,6,FALSE)</f>
        <v>#N/A</v>
      </c>
      <c r="AM541" s="284" t="s">
        <v>155</v>
      </c>
      <c r="AN541" s="376">
        <f>IF(Tableau119[[#This Row],[Name PFI/CDD]]="","-",VLOOKUP(Tableau119[[#This Row],[Name PFI/CDD]],Plant_AILN!I:J,2,FALSE))</f>
        <v>90016600</v>
      </c>
      <c r="AO5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1" s="2" t="e">
        <f>VLOOKUP(Tableau119[[#This Row],[Key(POD -PFI- Usine)]],'DATA Consignee'!A:J,10,FALSE)</f>
        <v>#N/A</v>
      </c>
      <c r="AR541" s="50" t="e">
        <f>VLOOKUP(Tableau119[[#This Row],[Key(POD -PFI- Usine)]],'DATA Consignee'!A:N,14,FALSE)</f>
        <v>#N/A</v>
      </c>
      <c r="AS54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1" s="50">
        <f>Tableau119[[#This Row],[Transit time]]+Tableau119[[#This Row],[Time for security]]+Tableau119[[#This Row],[Time for security2 buffer]]</f>
        <v>0</v>
      </c>
      <c r="AV5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1" s="50" t="e">
        <f>Tableau119[[#This Row],[Leadtime SI2C]]+Tableau119[[#This Row],[First Receipt Days]]-Tableau119[[#This Row],[Day Customer Order]]+1</f>
        <v>#N/A</v>
      </c>
      <c r="AX541" s="119" t="e">
        <f>IF(Tableau119[[#This Row],[Name ILN]]&lt;&gt;"SFK Freight Forwarder",Tableau119[[#This Row],[Cust. Leadtime]],Tableau119[[#This Row],[Leadtime SI2C]])</f>
        <v>#N/A</v>
      </c>
      <c r="AY541" s="51" t="b">
        <f>_xlfn.XLOOKUP(Tableau119[[#This Row],[Key(ID-date)]],'DATA BTO'!S:S,'DATA BTO'!P:P,FALSE)</f>
        <v>0</v>
      </c>
      <c r="AZ541" s="338">
        <v>45412</v>
      </c>
      <c r="BA541" s="50"/>
    </row>
    <row r="542" spans="2:53">
      <c r="B542" s="446" t="str">
        <f>_xlfn.CONCAT(Tableau119[[#This Row],[Name ILN]],"-",Tableau119[[#This Row],[Name Shipper]],"-",Tableau119[[#This Row],[Name Site]])</f>
        <v>ILN Chennai-ILN Chennai-STA</v>
      </c>
      <c r="C542" s="66" t="str">
        <f>_xlfn.CONCAT(Tableau119[[#This Row],[Compte ILN]],"-",Tableau119[[#This Row],[Compte Shipper]],"-",Tableau119[[#This Row],[POL]],"-",Tableau119[[#This Row],[Compte Consignee]])</f>
        <v>2533780546-2533780546-FALSO-90018400</v>
      </c>
      <c r="D542" s="66" t="str">
        <f>_xlfn.CONCAT(Tableau119[[#This Row],[Compte ILN]],"-",Tableau119[[#This Row],[Compte Shipper]],"-",Tableau119[[#This Row],[POL]])</f>
        <v>2533780546-2533780546-FALSO</v>
      </c>
      <c r="E542" s="130" t="str">
        <f>_xlfn.CONCAT(Tableau119[[#This Row],[POL]],"-",Tableau119[[#This Row],[Carrier]],"-",Tableau119[[#This Row],[POD]])</f>
        <v>FALSO-FALSO-FALSO</v>
      </c>
      <c r="F542" s="66" t="str">
        <f>_xlfn.CONCAT(Tableau119[[#This Row],[ID]],"-","Actif")</f>
        <v>165-Actif</v>
      </c>
      <c r="G542" s="66" t="str">
        <f>_xlfn.CONCAT(Tableau119[[#This Row],[POD]],"-",Tableau119[[#This Row],[Code PFI]],"-",Tableau119[[#This Row],[Compte Consignee]])</f>
        <v>FALSO-90016600-90018400</v>
      </c>
      <c r="H5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ChennaiFALSOSTA</v>
      </c>
      <c r="I542" s="434" t="str">
        <f>_xlfn.CONCAT(Tableau119[[#This Row],[ID]],"-",Tableau119[[#This Row],[Expiration Date]])</f>
        <v>165-45412</v>
      </c>
      <c r="J5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STA-ILN Chennai-ILN Chennai-165-FALSO-FALSO-FALSO-CDD FR-45412</v>
      </c>
      <c r="K542" s="119" t="str">
        <f ca="1">IF(COUNTIF(J:J,Tableau119[[#This Row],[Plant-ILN-shipper-POL-Carrier-POD-PFI]])=1,"Non","Oui")</f>
        <v>Non</v>
      </c>
      <c r="L542" s="128" t="str">
        <f>VLOOKUP(Tableau119[[#This Row],[Name Site]],Plant_AILN!A:D,4,FALSE)</f>
        <v>FRANCE</v>
      </c>
      <c r="M542" s="411" t="s">
        <v>219</v>
      </c>
      <c r="N542" s="454">
        <f>VLOOKUP(Tableau119[[#This Row],[Name Site]],Plant_AILN!A:C,3,FALSE)</f>
        <v>90018400</v>
      </c>
      <c r="O542" s="55">
        <f>VLOOKUP(Tableau119[[#This Row],[Compte Consignee]],Order!C:D,2,FALSE)</f>
        <v>7</v>
      </c>
      <c r="P542" s="124" t="s">
        <v>149</v>
      </c>
      <c r="Q542" s="365">
        <f>VLOOKUP(Tableau119[[#This Row],[Name ILN]],Plant_AILN!F:G,2,FALSE)</f>
        <v>2533780546</v>
      </c>
      <c r="R542" s="50">
        <f>VLOOKUP(Tableau119[[#This Row],[Compte ILN]],'DATA ILN'!D:I,6,FALSE)</f>
        <v>9</v>
      </c>
      <c r="S542" s="50" t="e">
        <f>IFERROR(VLOOKUP(Tableau119[[#This Row],[Key(Compte ILN - shipper - POL - plant)]],'DATA ILN'!A:J,10,FALSE),VLOOKUP(Tableau119[[#This Row],[Key(Compte ILN - shipper - POL)]],'DATA ILN'!B:J,9,FALSE))</f>
        <v>#N/A</v>
      </c>
      <c r="T542" s="50" t="e">
        <f>IFERROR(VLOOKUP(Tableau119[[#This Row],[Key(Compte ILN - shipper - POL - plant)]],'DATA ILN'!A:K,11,FALSE),VLOOKUP(Tableau119[[#This Row],[Key(Compte ILN - shipper - POL)]],'DATA ILN'!B:K,10,FALSE))</f>
        <v>#N/A</v>
      </c>
      <c r="U542" s="50" t="e">
        <f>IFERROR(VLOOKUP(Tableau119[[#This Row],[Key(Compte ILN - shipper - POL - plant)]],'DATA ILN'!A:L,12,FALSE),VLOOKUP(Tableau119[[#This Row],[Key(Compte ILN - shipper - POL)]],'DATA ILN'!B:L,11,FALSE))</f>
        <v>#N/A</v>
      </c>
      <c r="V542" s="50" t="e">
        <f>Tableau119[[#This Row],[Day ILN Order]]+Tableau119[[#This Row],[Delivery time to ILN/Shipper]]-1</f>
        <v>#N/A</v>
      </c>
      <c r="W542" s="50" t="e">
        <f>IFERROR(VLOOKUP(Tableau119[[#This Row],[Key(Compte ILN - shipper - POL - plant)]],'DATA ILN'!A:N,14,FALSE),VLOOKUP(Tableau119[[#This Row],[Key(Compte ILN - shipper - POL)]],'DATA ILN'!B:N,13,FALSE))</f>
        <v>#N/A</v>
      </c>
      <c r="X542" s="50" t="e">
        <f>IFERROR(VLOOKUP(Tableau119[[#This Row],[Key(Compte ILN - shipper - POL - plant)]],'DATA ILN'!A:P,16,FALSE),VLOOKUP(Tableau119[[#This Row],[Key(Compte ILN - shipper - POL)]],'DATA ILN'!B:P,15,FALSE))</f>
        <v>#N/A</v>
      </c>
      <c r="Y542" s="284" t="s">
        <v>149</v>
      </c>
      <c r="Z542" s="430">
        <f>IFERROR(VLOOKUP(Tableau119[[#This Row],[Name Shipper]],Plant_AILN!L:M,2,FALSE),0)</f>
        <v>2533780546</v>
      </c>
      <c r="AA542" s="406">
        <v>165</v>
      </c>
      <c r="AB542" s="396" t="b">
        <f>_xlfn.XLOOKUP(Tableau119[[#This Row],[Key(ID-date)]],'DATA BTO'!S:S,'DATA BTO'!E:E,FALSE)</f>
        <v>0</v>
      </c>
      <c r="AC542" s="3" t="b">
        <f>_xlfn.XLOOKUP(Tableau119[[#This Row],[Key(ID-date)]],'DATA BTO'!S:S,'DATA BTO'!F:F,FALSE)</f>
        <v>0</v>
      </c>
      <c r="AD542" s="50" t="b">
        <f>_xlfn.XLOOKUP(Tableau119[[#This Row],[Key(ID-date)]],'DATA BTO'!S:S,'DATA BTO'!G:G,FALSE)</f>
        <v>0</v>
      </c>
      <c r="AE542" s="50" t="b">
        <f>_xlfn.XLOOKUP(Tableau119[[#This Row],[Key(ID-date)]],'DATA BTO'!S:S,'DATA BTO'!H:H,FALSE)</f>
        <v>0</v>
      </c>
      <c r="AF542" s="447" t="e">
        <f>IF(Tableau119[[#This Row],[First Day to POL]]&lt;=Tableau119[[#This Row],[Day Cut Off]],Tableau119[[#This Row],[Day ETD]],Tableau119[[#This Row],[Day ETD]]+7)</f>
        <v>#N/A</v>
      </c>
      <c r="AG542" s="50" t="b">
        <f>_xlfn.XLOOKUP(Tableau119[[#This Row],[Key(ID-date)]],'DATA BTO'!S:S,'DATA BTO'!I:I,FALSE)</f>
        <v>0</v>
      </c>
      <c r="AH542" s="3" t="b">
        <f>_xlfn.XLOOKUP(Tableau119[[#This Row],[Key(ID-date)]],'DATA BTO'!S:S,'DATA BTO'!J:J,FALSE)</f>
        <v>0</v>
      </c>
      <c r="AI542" s="3" t="b">
        <f>_xlfn.XLOOKUP(Tableau119[[#This Row],[Key(ID-date)]],'DATA BTO'!S:S,'DATA BTO'!K:K,FALSE)</f>
        <v>0</v>
      </c>
      <c r="AJ542" s="50" t="b">
        <f>_xlfn.XLOOKUP(Tableau119[[#This Row],[Key(ID-date)]],'DATA BTO'!S:S,'DATA BTO'!L:L,FALSE)</f>
        <v>0</v>
      </c>
      <c r="AK542" s="53" t="b">
        <f>_xlfn.XLOOKUP(Tableau119[[#This Row],[Key(ID-date)]],'DATA BTO'!S:S,'DATA BTO'!N:N,FALSE)</f>
        <v>0</v>
      </c>
      <c r="AL542" s="54" t="e">
        <f>VLOOKUP(Tableau119[[#This Row],[Key(POD -PFI- Usine)]],'DATA Consignee'!A:F,6,FALSE)</f>
        <v>#N/A</v>
      </c>
      <c r="AM542" s="284" t="s">
        <v>155</v>
      </c>
      <c r="AN542" s="376">
        <f>IF(Tableau119[[#This Row],[Name PFI/CDD]]="","-",VLOOKUP(Tableau119[[#This Row],[Name PFI/CDD]],Plant_AILN!I:J,2,FALSE))</f>
        <v>90016600</v>
      </c>
      <c r="AO5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2" s="2" t="e">
        <f>VLOOKUP(Tableau119[[#This Row],[Key(POD -PFI- Usine)]],'DATA Consignee'!A:J,10,FALSE)</f>
        <v>#N/A</v>
      </c>
      <c r="AR542" s="50" t="e">
        <f>VLOOKUP(Tableau119[[#This Row],[Key(POD -PFI- Usine)]],'DATA Consignee'!A:N,14,FALSE)</f>
        <v>#N/A</v>
      </c>
      <c r="AS5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2" s="50">
        <f>Tableau119[[#This Row],[Transit time]]+Tableau119[[#This Row],[Time for security]]+Tableau119[[#This Row],[Time for security2 buffer]]</f>
        <v>0</v>
      </c>
      <c r="AV5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2" s="50" t="e">
        <f>Tableau119[[#This Row],[Leadtime SI2C]]+Tableau119[[#This Row],[First Receipt Days]]-Tableau119[[#This Row],[Day Customer Order]]+1</f>
        <v>#N/A</v>
      </c>
      <c r="AX542" s="119" t="e">
        <f>IF(Tableau119[[#This Row],[Name ILN]]&lt;&gt;"SFK Freight Forwarder",Tableau119[[#This Row],[Cust. Leadtime]],Tableau119[[#This Row],[Leadtime SI2C]])</f>
        <v>#N/A</v>
      </c>
      <c r="AY542" s="51" t="b">
        <f>_xlfn.XLOOKUP(Tableau119[[#This Row],[Key(ID-date)]],'DATA BTO'!S:S,'DATA BTO'!P:P,FALSE)</f>
        <v>0</v>
      </c>
      <c r="AZ542" s="338">
        <v>45412</v>
      </c>
      <c r="BA542" s="50"/>
    </row>
    <row r="543" spans="2:53">
      <c r="B543" s="446" t="str">
        <f>_xlfn.CONCAT(Tableau119[[#This Row],[Name ILN]],"-",Tableau119[[#This Row],[Name Shipper]],"-",Tableau119[[#This Row],[Name Site]])</f>
        <v>ILN Chennai-ILN Chennai-DOUAI</v>
      </c>
      <c r="C543" s="66" t="str">
        <f>_xlfn.CONCAT(Tableau119[[#This Row],[Compte ILN]],"-",Tableau119[[#This Row],[Compte Shipper]],"-",Tableau119[[#This Row],[POL]],"-",Tableau119[[#This Row],[Compte Consignee]])</f>
        <v>2533780546-2533780546-FALSO-90019100</v>
      </c>
      <c r="D543" s="66" t="str">
        <f>_xlfn.CONCAT(Tableau119[[#This Row],[Compte ILN]],"-",Tableau119[[#This Row],[Compte Shipper]],"-",Tableau119[[#This Row],[POL]])</f>
        <v>2533780546-2533780546-FALSO</v>
      </c>
      <c r="E543" s="130" t="str">
        <f>_xlfn.CONCAT(Tableau119[[#This Row],[POL]],"-",Tableau119[[#This Row],[Carrier]],"-",Tableau119[[#This Row],[POD]])</f>
        <v>FALSO-FALSO-FALSO</v>
      </c>
      <c r="F543" s="66" t="str">
        <f>_xlfn.CONCAT(Tableau119[[#This Row],[ID]],"-","Actif")</f>
        <v>165-Actif</v>
      </c>
      <c r="G543" s="66" t="str">
        <f>_xlfn.CONCAT(Tableau119[[#This Row],[POD]],"-",Tableau119[[#This Row],[Code PFI]],"-",Tableau119[[#This Row],[Compte Consignee]])</f>
        <v>FALSO-90016600-90019100</v>
      </c>
      <c r="H5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ChennaiFALSODOUAI</v>
      </c>
      <c r="I543" s="434" t="str">
        <f>_xlfn.CONCAT(Tableau119[[#This Row],[ID]],"-",Tableau119[[#This Row],[Expiration Date]])</f>
        <v>165-45412</v>
      </c>
      <c r="J5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Chennai-ILN Chennai-165-FALSO-FALSO-FALSO-CDD FR-45412</v>
      </c>
      <c r="K543" s="119" t="str">
        <f ca="1">IF(COUNTIF(J:J,Tableau119[[#This Row],[Plant-ILN-shipper-POL-Carrier-POD-PFI]])=1,"Non","Oui")</f>
        <v>Non</v>
      </c>
      <c r="L543" s="128" t="str">
        <f>VLOOKUP(Tableau119[[#This Row],[Name Site]],Plant_AILN!A:D,4,FALSE)</f>
        <v>FRANCE</v>
      </c>
      <c r="M543" s="415" t="s">
        <v>188</v>
      </c>
      <c r="N543" s="455">
        <f>VLOOKUP(Tableau119[[#This Row],[Name Site]],Plant_AILN!A:C,3,FALSE)</f>
        <v>90019100</v>
      </c>
      <c r="O543" s="104">
        <f>VLOOKUP(Tableau119[[#This Row],[Compte Consignee]],Order!C:D,2,FALSE)</f>
        <v>7</v>
      </c>
      <c r="P543" s="126" t="s">
        <v>149</v>
      </c>
      <c r="Q543" s="366">
        <f>VLOOKUP(Tableau119[[#This Row],[Name ILN]],Plant_AILN!F:G,2,FALSE)</f>
        <v>2533780546</v>
      </c>
      <c r="R543" s="81">
        <f>VLOOKUP(Tableau119[[#This Row],[Compte ILN]],'DATA ILN'!D:I,6,FALSE)</f>
        <v>9</v>
      </c>
      <c r="S543" s="81" t="e">
        <f>IFERROR(VLOOKUP(Tableau119[[#This Row],[Key(Compte ILN - shipper - POL - plant)]],'DATA ILN'!A:J,10,FALSE),VLOOKUP(Tableau119[[#This Row],[Key(Compte ILN - shipper - POL)]],'DATA ILN'!B:J,9,FALSE))</f>
        <v>#N/A</v>
      </c>
      <c r="T543" s="81" t="e">
        <f>IFERROR(VLOOKUP(Tableau119[[#This Row],[Key(Compte ILN - shipper - POL - plant)]],'DATA ILN'!A:K,11,FALSE),VLOOKUP(Tableau119[[#This Row],[Key(Compte ILN - shipper - POL)]],'DATA ILN'!B:K,10,FALSE))</f>
        <v>#N/A</v>
      </c>
      <c r="U543" s="81" t="e">
        <f>IFERROR(VLOOKUP(Tableau119[[#This Row],[Key(Compte ILN - shipper - POL - plant)]],'DATA ILN'!A:L,12,FALSE),VLOOKUP(Tableau119[[#This Row],[Key(Compte ILN - shipper - POL)]],'DATA ILN'!B:L,11,FALSE))</f>
        <v>#N/A</v>
      </c>
      <c r="V543" s="81" t="e">
        <f>Tableau119[[#This Row],[Day ILN Order]]+Tableau119[[#This Row],[Delivery time to ILN/Shipper]]-1</f>
        <v>#N/A</v>
      </c>
      <c r="W543" s="81" t="e">
        <f>IFERROR(VLOOKUP(Tableau119[[#This Row],[Key(Compte ILN - shipper - POL - plant)]],'DATA ILN'!A:N,14,FALSE),VLOOKUP(Tableau119[[#This Row],[Key(Compte ILN - shipper - POL)]],'DATA ILN'!B:N,13,FALSE))</f>
        <v>#N/A</v>
      </c>
      <c r="X543" s="81" t="e">
        <f>IFERROR(VLOOKUP(Tableau119[[#This Row],[Key(Compte ILN - shipper - POL - plant)]],'DATA ILN'!A:P,16,FALSE),VLOOKUP(Tableau119[[#This Row],[Key(Compte ILN - shipper - POL)]],'DATA ILN'!B:P,15,FALSE))</f>
        <v>#N/A</v>
      </c>
      <c r="Y543" s="102" t="s">
        <v>149</v>
      </c>
      <c r="Z543" s="417">
        <f>IFERROR(VLOOKUP(Tableau119[[#This Row],[Name Shipper]],Plant_AILN!L:M,2,FALSE),0)</f>
        <v>2533780546</v>
      </c>
      <c r="AA543" s="416">
        <v>165</v>
      </c>
      <c r="AB543" s="396" t="b">
        <f>_xlfn.XLOOKUP(Tableau119[[#This Row],[Key(ID-date)]],'DATA BTO'!S:S,'DATA BTO'!E:E,FALSE)</f>
        <v>0</v>
      </c>
      <c r="AC543" s="3" t="b">
        <f>_xlfn.XLOOKUP(Tableau119[[#This Row],[Key(ID-date)]],'DATA BTO'!S:S,'DATA BTO'!F:F,FALSE)</f>
        <v>0</v>
      </c>
      <c r="AD543" s="50" t="b">
        <f>_xlfn.XLOOKUP(Tableau119[[#This Row],[Key(ID-date)]],'DATA BTO'!S:S,'DATA BTO'!G:G,FALSE)</f>
        <v>0</v>
      </c>
      <c r="AE543" s="50" t="b">
        <f>_xlfn.XLOOKUP(Tableau119[[#This Row],[Key(ID-date)]],'DATA BTO'!S:S,'DATA BTO'!H:H,FALSE)</f>
        <v>0</v>
      </c>
      <c r="AF543" s="447" t="e">
        <f>IF(Tableau119[[#This Row],[First Day to POL]]&lt;=Tableau119[[#This Row],[Day Cut Off]],Tableau119[[#This Row],[Day ETD]],Tableau119[[#This Row],[Day ETD]]+7)</f>
        <v>#N/A</v>
      </c>
      <c r="AG543" s="50" t="b">
        <f>_xlfn.XLOOKUP(Tableau119[[#This Row],[Key(ID-date)]],'DATA BTO'!S:S,'DATA BTO'!I:I,FALSE)</f>
        <v>0</v>
      </c>
      <c r="AH543" s="3" t="b">
        <f>_xlfn.XLOOKUP(Tableau119[[#This Row],[Key(ID-date)]],'DATA BTO'!S:S,'DATA BTO'!J:J,FALSE)</f>
        <v>0</v>
      </c>
      <c r="AI543" s="3" t="b">
        <f>_xlfn.XLOOKUP(Tableau119[[#This Row],[Key(ID-date)]],'DATA BTO'!S:S,'DATA BTO'!K:K,FALSE)</f>
        <v>0</v>
      </c>
      <c r="AJ543" s="50" t="b">
        <f>_xlfn.XLOOKUP(Tableau119[[#This Row],[Key(ID-date)]],'DATA BTO'!S:S,'DATA BTO'!L:L,FALSE)</f>
        <v>0</v>
      </c>
      <c r="AK543" s="53" t="b">
        <f>_xlfn.XLOOKUP(Tableau119[[#This Row],[Key(ID-date)]],'DATA BTO'!S:S,'DATA BTO'!N:N,FALSE)</f>
        <v>0</v>
      </c>
      <c r="AL543" s="54" t="e">
        <f>VLOOKUP(Tableau119[[#This Row],[Key(POD -PFI- Usine)]],'DATA Consignee'!A:F,6,FALSE)</f>
        <v>#N/A</v>
      </c>
      <c r="AM543" s="102" t="s">
        <v>155</v>
      </c>
      <c r="AN543" s="375">
        <f>IF(Tableau119[[#This Row],[Name PFI/CDD]]="","-",VLOOKUP(Tableau119[[#This Row],[Name PFI/CDD]],Plant_AILN!I:J,2,FALSE))</f>
        <v>90016600</v>
      </c>
      <c r="AO54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3" s="110" t="e">
        <f>VLOOKUP(Tableau119[[#This Row],[Key(POD -PFI- Usine)]],'DATA Consignee'!A:J,10,FALSE)</f>
        <v>#N/A</v>
      </c>
      <c r="AR543" s="81" t="e">
        <f>VLOOKUP(Tableau119[[#This Row],[Key(POD -PFI- Usine)]],'DATA Consignee'!A:N,14,FALSE)</f>
        <v>#N/A</v>
      </c>
      <c r="AS54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3" s="81">
        <f>Tableau119[[#This Row],[Transit time]]+Tableau119[[#This Row],[Time for security]]+Tableau119[[#This Row],[Time for security2 buffer]]</f>
        <v>0</v>
      </c>
      <c r="AV5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3" s="50" t="e">
        <f>Tableau119[[#This Row],[Leadtime SI2C]]+Tableau119[[#This Row],[First Receipt Days]]-Tableau119[[#This Row],[Day Customer Order]]+1</f>
        <v>#N/A</v>
      </c>
      <c r="AX543" s="119" t="e">
        <f>IF(Tableau119[[#This Row],[Name ILN]]&lt;&gt;"SFK Freight Forwarder",Tableau119[[#This Row],[Cust. Leadtime]],Tableau119[[#This Row],[Leadtime SI2C]])</f>
        <v>#N/A</v>
      </c>
      <c r="AY543" s="51" t="b">
        <f>_xlfn.XLOOKUP(Tableau119[[#This Row],[Key(ID-date)]],'DATA BTO'!S:S,'DATA BTO'!P:P,FALSE)</f>
        <v>0</v>
      </c>
      <c r="AZ543" s="388">
        <v>45412</v>
      </c>
      <c r="BA543" s="81"/>
    </row>
    <row r="544" spans="2:53">
      <c r="B544" s="446" t="str">
        <f>_xlfn.CONCAT(Tableau119[[#This Row],[Name ILN]],"-",Tableau119[[#This Row],[Name Shipper]],"-",Tableau119[[#This Row],[Name Site]])</f>
        <v>ILN Chennai-ILN Chennai-CLEON</v>
      </c>
      <c r="C544" s="66" t="str">
        <f>_xlfn.CONCAT(Tableau119[[#This Row],[Compte ILN]],"-",Tableau119[[#This Row],[Compte Shipper]],"-",Tableau119[[#This Row],[POL]],"-",Tableau119[[#This Row],[Compte Consignee]])</f>
        <v>2533780546-2533780546-FALSO-92000100</v>
      </c>
      <c r="D544" s="66" t="str">
        <f>_xlfn.CONCAT(Tableau119[[#This Row],[Compte ILN]],"-",Tableau119[[#This Row],[Compte Shipper]],"-",Tableau119[[#This Row],[POL]])</f>
        <v>2533780546-2533780546-FALSO</v>
      </c>
      <c r="E544" s="130" t="str">
        <f>_xlfn.CONCAT(Tableau119[[#This Row],[POL]],"-",Tableau119[[#This Row],[Carrier]],"-",Tableau119[[#This Row],[POD]])</f>
        <v>FALSO-FALSO-FALSO</v>
      </c>
      <c r="F544" s="66" t="str">
        <f>_xlfn.CONCAT(Tableau119[[#This Row],[ID]],"-","Actif")</f>
        <v>165-Actif</v>
      </c>
      <c r="G544" s="66" t="str">
        <f>_xlfn.CONCAT(Tableau119[[#This Row],[POD]],"-",Tableau119[[#This Row],[Code PFI]],"-",Tableau119[[#This Row],[Compte Consignee]])</f>
        <v>FALSO---92000100</v>
      </c>
      <c r="H5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ChennaiFALSOCLEON</v>
      </c>
      <c r="I544" s="434" t="str">
        <f>_xlfn.CONCAT(Tableau119[[#This Row],[ID]],"-",Tableau119[[#This Row],[Expiration Date]])</f>
        <v>165-45412</v>
      </c>
      <c r="J5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Chennai-ILN Chennai-165-FALSO-FALSO-FALSO--45412</v>
      </c>
      <c r="K544" s="119" t="str">
        <f ca="1">IF(COUNTIF(J:J,Tableau119[[#This Row],[Plant-ILN-shipper-POL-Carrier-POD-PFI]])=1,"Non","Oui")</f>
        <v>Non</v>
      </c>
      <c r="L544" s="128" t="str">
        <f>VLOOKUP(Tableau119[[#This Row],[Name Site]],Plant_AILN!A:D,4,FALSE)</f>
        <v>FRANCE</v>
      </c>
      <c r="M544" s="411" t="s">
        <v>183</v>
      </c>
      <c r="N544" s="454">
        <f>VLOOKUP(Tableau119[[#This Row],[Name Site]],Plant_AILN!A:C,3,FALSE)</f>
        <v>92000100</v>
      </c>
      <c r="O544" s="55">
        <f>VLOOKUP(Tableau119[[#This Row],[Compte Consignee]],Order!C:D,2,FALSE)</f>
        <v>7</v>
      </c>
      <c r="P544" s="124" t="s">
        <v>149</v>
      </c>
      <c r="Q544" s="365">
        <f>VLOOKUP(Tableau119[[#This Row],[Name ILN]],Plant_AILN!F:G,2,FALSE)</f>
        <v>2533780546</v>
      </c>
      <c r="R544" s="50">
        <f>VLOOKUP(Tableau119[[#This Row],[Compte ILN]],'DATA ILN'!D:I,6,FALSE)</f>
        <v>9</v>
      </c>
      <c r="S544" s="50" t="e">
        <f>IFERROR(VLOOKUP(Tableau119[[#This Row],[Key(Compte ILN - shipper - POL - plant)]],'DATA ILN'!A:J,10,FALSE),VLOOKUP(Tableau119[[#This Row],[Key(Compte ILN - shipper - POL)]],'DATA ILN'!B:J,9,FALSE))</f>
        <v>#N/A</v>
      </c>
      <c r="T544" s="50" t="e">
        <f>IFERROR(VLOOKUP(Tableau119[[#This Row],[Key(Compte ILN - shipper - POL - plant)]],'DATA ILN'!A:K,11,FALSE),VLOOKUP(Tableau119[[#This Row],[Key(Compte ILN - shipper - POL)]],'DATA ILN'!B:K,10,FALSE))</f>
        <v>#N/A</v>
      </c>
      <c r="U544" s="50" t="e">
        <f>IFERROR(VLOOKUP(Tableau119[[#This Row],[Key(Compte ILN - shipper - POL - plant)]],'DATA ILN'!A:L,12,FALSE),VLOOKUP(Tableau119[[#This Row],[Key(Compte ILN - shipper - POL)]],'DATA ILN'!B:L,11,FALSE))</f>
        <v>#N/A</v>
      </c>
      <c r="V544" s="50" t="e">
        <f>Tableau119[[#This Row],[Day ILN Order]]+Tableau119[[#This Row],[Delivery time to ILN/Shipper]]-1</f>
        <v>#N/A</v>
      </c>
      <c r="W544" s="50" t="e">
        <f>IFERROR(VLOOKUP(Tableau119[[#This Row],[Key(Compte ILN - shipper - POL - plant)]],'DATA ILN'!A:N,14,FALSE),VLOOKUP(Tableau119[[#This Row],[Key(Compte ILN - shipper - POL)]],'DATA ILN'!B:N,13,FALSE))</f>
        <v>#N/A</v>
      </c>
      <c r="X544" s="50" t="e">
        <f>IFERROR(VLOOKUP(Tableau119[[#This Row],[Key(Compte ILN - shipper - POL - plant)]],'DATA ILN'!A:P,16,FALSE),VLOOKUP(Tableau119[[#This Row],[Key(Compte ILN - shipper - POL)]],'DATA ILN'!B:P,15,FALSE))</f>
        <v>#N/A</v>
      </c>
      <c r="Y544" s="284" t="s">
        <v>149</v>
      </c>
      <c r="Z544" s="430">
        <f>IFERROR(VLOOKUP(Tableau119[[#This Row],[Name Shipper]],Plant_AILN!L:M,2,FALSE),0)</f>
        <v>2533780546</v>
      </c>
      <c r="AA544" s="406">
        <v>165</v>
      </c>
      <c r="AB544" s="396" t="b">
        <f>_xlfn.XLOOKUP(Tableau119[[#This Row],[Key(ID-date)]],'DATA BTO'!S:S,'DATA BTO'!E:E,FALSE)</f>
        <v>0</v>
      </c>
      <c r="AC544" s="3" t="b">
        <f>_xlfn.XLOOKUP(Tableau119[[#This Row],[Key(ID-date)]],'DATA BTO'!S:S,'DATA BTO'!F:F,FALSE)</f>
        <v>0</v>
      </c>
      <c r="AD544" s="50" t="b">
        <f>_xlfn.XLOOKUP(Tableau119[[#This Row],[Key(ID-date)]],'DATA BTO'!S:S,'DATA BTO'!G:G,FALSE)</f>
        <v>0</v>
      </c>
      <c r="AE544" s="50" t="b">
        <f>_xlfn.XLOOKUP(Tableau119[[#This Row],[Key(ID-date)]],'DATA BTO'!S:S,'DATA BTO'!H:H,FALSE)</f>
        <v>0</v>
      </c>
      <c r="AF544" s="447" t="e">
        <f>IF(Tableau119[[#This Row],[First Day to POL]]&lt;=Tableau119[[#This Row],[Day Cut Off]],Tableau119[[#This Row],[Day ETD]],Tableau119[[#This Row],[Day ETD]]+7)</f>
        <v>#N/A</v>
      </c>
      <c r="AG544" s="50" t="b">
        <f>_xlfn.XLOOKUP(Tableau119[[#This Row],[Key(ID-date)]],'DATA BTO'!S:S,'DATA BTO'!I:I,FALSE)</f>
        <v>0</v>
      </c>
      <c r="AH544" s="3" t="b">
        <f>_xlfn.XLOOKUP(Tableau119[[#This Row],[Key(ID-date)]],'DATA BTO'!S:S,'DATA BTO'!J:J,FALSE)</f>
        <v>0</v>
      </c>
      <c r="AI544" s="3" t="b">
        <f>_xlfn.XLOOKUP(Tableau119[[#This Row],[Key(ID-date)]],'DATA BTO'!S:S,'DATA BTO'!K:K,FALSE)</f>
        <v>0</v>
      </c>
      <c r="AJ544" s="50" t="b">
        <f>_xlfn.XLOOKUP(Tableau119[[#This Row],[Key(ID-date)]],'DATA BTO'!S:S,'DATA BTO'!L:L,FALSE)</f>
        <v>0</v>
      </c>
      <c r="AK544" s="53" t="b">
        <f>_xlfn.XLOOKUP(Tableau119[[#This Row],[Key(ID-date)]],'DATA BTO'!S:S,'DATA BTO'!N:N,FALSE)</f>
        <v>0</v>
      </c>
      <c r="AL544" s="54" t="e">
        <f>VLOOKUP(Tableau119[[#This Row],[Key(POD -PFI- Usine)]],'DATA Consignee'!A:F,6,FALSE)</f>
        <v>#N/A</v>
      </c>
      <c r="AM544" s="284"/>
      <c r="AN544" s="376" t="str">
        <f>IF(Tableau119[[#This Row],[Name PFI/CDD]]="","-",VLOOKUP(Tableau119[[#This Row],[Name PFI/CDD]],Plant_AILN!I:J,2,FALSE))</f>
        <v>-</v>
      </c>
      <c r="AO5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4" s="2" t="e">
        <f>VLOOKUP(Tableau119[[#This Row],[Key(POD -PFI- Usine)]],'DATA Consignee'!A:J,10,FALSE)</f>
        <v>#N/A</v>
      </c>
      <c r="AR544" s="50" t="e">
        <f>VLOOKUP(Tableau119[[#This Row],[Key(POD -PFI- Usine)]],'DATA Consignee'!A:N,14,FALSE)</f>
        <v>#N/A</v>
      </c>
      <c r="AS5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4" s="50">
        <f>Tableau119[[#This Row],[Transit time]]+Tableau119[[#This Row],[Time for security]]+Tableau119[[#This Row],[Time for security2 buffer]]</f>
        <v>0</v>
      </c>
      <c r="AV5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4" s="50" t="e">
        <f>Tableau119[[#This Row],[Leadtime SI2C]]+Tableau119[[#This Row],[First Receipt Days]]-Tableau119[[#This Row],[Day Customer Order]]+1</f>
        <v>#N/A</v>
      </c>
      <c r="AX544" s="119" t="e">
        <f>IF(Tableau119[[#This Row],[Name ILN]]&lt;&gt;"SFK Freight Forwarder",Tableau119[[#This Row],[Cust. Leadtime]],Tableau119[[#This Row],[Leadtime SI2C]])</f>
        <v>#N/A</v>
      </c>
      <c r="AY544" s="51" t="b">
        <f>_xlfn.XLOOKUP(Tableau119[[#This Row],[Key(ID-date)]],'DATA BTO'!S:S,'DATA BTO'!P:P,FALSE)</f>
        <v>0</v>
      </c>
      <c r="AZ544" s="338">
        <v>45412</v>
      </c>
      <c r="BA544" s="50"/>
    </row>
    <row r="545" spans="2:53">
      <c r="B545" s="66" t="str">
        <f>_xlfn.CONCAT(Tableau119[[#This Row],[Name ILN]],"-",Tableau119[[#This Row],[Name Shipper]],"-",Tableau119[[#This Row],[Name Site]])</f>
        <v>ILN Curitiba-ILN Curitiba-CHENNAI Powertrain</v>
      </c>
      <c r="C545" s="66" t="str">
        <f>_xlfn.CONCAT(Tableau119[[#This Row],[Compte ILN]],"-",Tableau119[[#This Row],[Compte Shipper]],"-",Tableau119[[#This Row],[POL]],"-",Tableau119[[#This Row],[Compte Consignee]])</f>
        <v>95207-95207-FALSO-26549500</v>
      </c>
      <c r="D545" s="66" t="str">
        <f>_xlfn.CONCAT(Tableau119[[#This Row],[Compte ILN]],"-",Tableau119[[#This Row],[Compte Shipper]],"-",Tableau119[[#This Row],[POL]])</f>
        <v>95207-95207-FALSO</v>
      </c>
      <c r="E545" s="130" t="str">
        <f>_xlfn.CONCAT(Tableau119[[#This Row],[POL]],"-",Tableau119[[#This Row],[Carrier]],"-",Tableau119[[#This Row],[POD]])</f>
        <v>FALSO-FALSO-FALSO</v>
      </c>
      <c r="F545" s="66" t="str">
        <f>_xlfn.CONCAT(Tableau119[[#This Row],[ID]],"-","Actif")</f>
        <v>171-Actif</v>
      </c>
      <c r="G545" s="66" t="str">
        <f>_xlfn.CONCAT(Tableau119[[#This Row],[POD]],"-",Tableau119[[#This Row],[Code PFI]],"-",Tableau119[[#This Row],[Compte Consignee]])</f>
        <v>FALSO---26549500</v>
      </c>
      <c r="H5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Powertrain</v>
      </c>
      <c r="I545" s="434" t="str">
        <f>_xlfn.CONCAT(Tableau119[[#This Row],[ID]],"-",Tableau119[[#This Row],[Expiration Date]])</f>
        <v>171-46142</v>
      </c>
      <c r="J5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Curitiba-ILN Curitiba-171-FALSO-FALSO-FALSO--46142</v>
      </c>
      <c r="K545" s="119" t="str">
        <f ca="1">IF(COUNTIF(J:J,Tableau119[[#This Row],[Plant-ILN-shipper-POL-Carrier-POD-PFI]])=1,"Non","Oui")</f>
        <v>Non</v>
      </c>
      <c r="L545" s="436" t="str">
        <f>VLOOKUP(Tableau119[[#This Row],[Name Site]],Plant_AILN!A:D,4,FALSE)</f>
        <v>INDIA</v>
      </c>
      <c r="M545" s="285" t="s">
        <v>221</v>
      </c>
      <c r="N545" s="454">
        <f>VLOOKUP(Tableau119[[#This Row],[Name Site]],Plant_AILN!A:C,3,FALSE)</f>
        <v>26549500</v>
      </c>
      <c r="O545" s="55">
        <f>IF(Tableau119[[#This Row],[Name PFI/CDD]]="PFI VLL",2,VLOOKUP(Tableau119[[#This Row],[Compte Consignee]],Order!C:D,2,FALSE))</f>
        <v>5</v>
      </c>
      <c r="P545" s="124" t="s">
        <v>163</v>
      </c>
      <c r="Q545" s="365">
        <f>VLOOKUP(Tableau119[[#This Row],[Name ILN]],Plant_AILN!F:G,2,FALSE)</f>
        <v>95207</v>
      </c>
      <c r="R545" s="50">
        <f>VLOOKUP(Tableau119[[#This Row],[Compte ILN]],'DATA ILN'!D:I,6,FALSE)</f>
        <v>9</v>
      </c>
      <c r="S545" s="50" t="e">
        <f>IFERROR(VLOOKUP(Tableau119[[#This Row],[Key(Compte ILN - shipper - POL - plant)]],'DATA ILN'!A:J,10,FALSE),VLOOKUP(Tableau119[[#This Row],[Key(Compte ILN - shipper - POL)]],'DATA ILN'!B:J,9,FALSE))</f>
        <v>#N/A</v>
      </c>
      <c r="T545" s="50" t="e">
        <f>IFERROR(VLOOKUP(Tableau119[[#This Row],[Key(Compte ILN - shipper - POL - plant)]],'DATA ILN'!A:K,11,FALSE),VLOOKUP(Tableau119[[#This Row],[Key(Compte ILN - shipper - POL)]],'DATA ILN'!B:K,10,FALSE))</f>
        <v>#N/A</v>
      </c>
      <c r="U545" s="50" t="e">
        <f>IFERROR(VLOOKUP(Tableau119[[#This Row],[Key(Compte ILN - shipper - POL - plant)]],'DATA ILN'!A:L,12,FALSE),VLOOKUP(Tableau119[[#This Row],[Key(Compte ILN - shipper - POL)]],'DATA ILN'!B:L,11,FALSE))</f>
        <v>#N/A</v>
      </c>
      <c r="V545" s="50" t="e">
        <f>Tableau119[[#This Row],[Day ILN Order]]+Tableau119[[#This Row],[Delivery time to ILN/Shipper]]-1</f>
        <v>#N/A</v>
      </c>
      <c r="W545" s="50" t="e">
        <f>IFERROR(VLOOKUP(Tableau119[[#This Row],[Key(Compte ILN - shipper - POL - plant)]],'DATA ILN'!A:N,14,FALSE),VLOOKUP(Tableau119[[#This Row],[Key(Compte ILN - shipper - POL)]],'DATA ILN'!B:N,13,FALSE))</f>
        <v>#N/A</v>
      </c>
      <c r="X545" s="50" t="e">
        <f>IFERROR(VLOOKUP(Tableau119[[#This Row],[Key(Compte ILN - shipper - POL - plant)]],'DATA ILN'!A:P,16,FALSE),VLOOKUP(Tableau119[[#This Row],[Key(Compte ILN - shipper - POL)]],'DATA ILN'!B:P,15,FALSE))</f>
        <v>#N/A</v>
      </c>
      <c r="Y545" s="284" t="s">
        <v>163</v>
      </c>
      <c r="Z545" s="430">
        <f>IFERROR(VLOOKUP(Tableau119[[#This Row],[Name Shipper]],Plant_AILN!L:M,2,FALSE),0)</f>
        <v>95207</v>
      </c>
      <c r="AA545" s="406">
        <v>171</v>
      </c>
      <c r="AB545" s="396" t="b">
        <f>_xlfn.XLOOKUP(Tableau119[[#This Row],[Key(ID-date)]],'DATA BTO'!S:S,'DATA BTO'!E:E,FALSE)</f>
        <v>0</v>
      </c>
      <c r="AC545" s="3" t="b">
        <f>_xlfn.XLOOKUP(Tableau119[[#This Row],[Key(ID-date)]],'DATA BTO'!S:S,'DATA BTO'!F:F,FALSE)</f>
        <v>0</v>
      </c>
      <c r="AD545" s="50" t="b">
        <f>_xlfn.XLOOKUP(Tableau119[[#This Row],[Key(ID-date)]],'DATA BTO'!S:S,'DATA BTO'!G:G,FALSE)</f>
        <v>0</v>
      </c>
      <c r="AE545" s="50" t="b">
        <f>_xlfn.XLOOKUP(Tableau119[[#This Row],[Key(ID-date)]],'DATA BTO'!S:S,'DATA BTO'!H:H,FALSE)</f>
        <v>0</v>
      </c>
      <c r="AF545" s="447" t="e">
        <f>IF(Tableau119[[#This Row],[First Day to POL]]&lt;=Tableau119[[#This Row],[Day Cut Off]],Tableau119[[#This Row],[Day ETD]],Tableau119[[#This Row],[Day ETD]]+7)</f>
        <v>#N/A</v>
      </c>
      <c r="AG545" s="50" t="b">
        <f>_xlfn.XLOOKUP(Tableau119[[#This Row],[Key(ID-date)]],'DATA BTO'!S:S,'DATA BTO'!I:I,FALSE)</f>
        <v>0</v>
      </c>
      <c r="AH545" s="3" t="b">
        <f>_xlfn.XLOOKUP(Tableau119[[#This Row],[Key(ID-date)]],'DATA BTO'!S:S,'DATA BTO'!J:J,FALSE)</f>
        <v>0</v>
      </c>
      <c r="AI545" s="3" t="b">
        <f>_xlfn.XLOOKUP(Tableau119[[#This Row],[Key(ID-date)]],'DATA BTO'!S:S,'DATA BTO'!K:K,FALSE)</f>
        <v>0</v>
      </c>
      <c r="AJ545" s="50" t="b">
        <f>_xlfn.XLOOKUP(Tableau119[[#This Row],[Key(ID-date)]],'DATA BTO'!S:S,'DATA BTO'!L:L,FALSE)</f>
        <v>0</v>
      </c>
      <c r="AK545" s="53" t="b">
        <f>_xlfn.XLOOKUP(Tableau119[[#This Row],[Key(ID-date)]],'DATA BTO'!S:S,'DATA BTO'!N:N,FALSE)</f>
        <v>0</v>
      </c>
      <c r="AL545" s="54" t="e">
        <f>VLOOKUP(Tableau119[[#This Row],[Key(POD -PFI- Usine)]],'DATA Consignee'!A:F,6,FALSE)</f>
        <v>#N/A</v>
      </c>
      <c r="AM545" s="284"/>
      <c r="AN545" s="376" t="str">
        <f>IF(Tableau119[[#This Row],[Name PFI/CDD]]="","-",VLOOKUP(Tableau119[[#This Row],[Name PFI/CDD]],Plant_AILN!I:J,2,FALSE))</f>
        <v>-</v>
      </c>
      <c r="AO5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5" s="2" t="e">
        <f>VLOOKUP(Tableau119[[#This Row],[Key(POD -PFI- Usine)]],'DATA Consignee'!A:J,10,FALSE)</f>
        <v>#N/A</v>
      </c>
      <c r="AR545" s="50" t="e">
        <f>VLOOKUP(Tableau119[[#This Row],[Key(POD -PFI- Usine)]],'DATA Consignee'!A:N,14,FALSE)</f>
        <v>#N/A</v>
      </c>
      <c r="AS5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5" s="50">
        <f>Tableau119[[#This Row],[Transit time]]+Tableau119[[#This Row],[Time for security]]+Tableau119[[#This Row],[Time for security2 buffer]]</f>
        <v>0</v>
      </c>
      <c r="AV5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5" s="50" t="e">
        <f>Tableau119[[#This Row],[Leadtime SI2C]]+Tableau119[[#This Row],[First Receipt Days]]-Tableau119[[#This Row],[Day Customer Order]]+1</f>
        <v>#N/A</v>
      </c>
      <c r="AX545" s="119" t="e">
        <f>IF(Tableau119[[#This Row],[Name ILN]]&lt;&gt;"SFK Freight Forwarder",Tableau119[[#This Row],[Cust. Leadtime]],Tableau119[[#This Row],[Leadtime SI2C]])</f>
        <v>#N/A</v>
      </c>
      <c r="AY545" s="51" t="b">
        <f>_xlfn.XLOOKUP(Tableau119[[#This Row],[Key(ID-date)]],'DATA BTO'!S:S,'DATA BTO'!P:P,FALSE)</f>
        <v>0</v>
      </c>
      <c r="AZ545" s="338">
        <v>46142</v>
      </c>
      <c r="BA545" s="50"/>
    </row>
    <row r="546" spans="2:53">
      <c r="B546" s="66" t="str">
        <f>_xlfn.CONCAT(Tableau119[[#This Row],[Name ILN]],"-",Tableau119[[#This Row],[Name Shipper]],"-",Tableau119[[#This Row],[Name Site]])</f>
        <v>ILN Curitiba-ILN Curitiba-CHENNAI Vehicule</v>
      </c>
      <c r="C546" s="66" t="str">
        <f>_xlfn.CONCAT(Tableau119[[#This Row],[Compte ILN]],"-",Tableau119[[#This Row],[Compte Shipper]],"-",Tableau119[[#This Row],[POL]],"-",Tableau119[[#This Row],[Compte Consignee]])</f>
        <v>95207-95207-FALSO-26549502</v>
      </c>
      <c r="D546" s="66" t="str">
        <f>_xlfn.CONCAT(Tableau119[[#This Row],[Compte ILN]],"-",Tableau119[[#This Row],[Compte Shipper]],"-",Tableau119[[#This Row],[POL]])</f>
        <v>95207-95207-FALSO</v>
      </c>
      <c r="E546" s="130" t="str">
        <f>_xlfn.CONCAT(Tableau119[[#This Row],[POL]],"-",Tableau119[[#This Row],[Carrier]],"-",Tableau119[[#This Row],[POD]])</f>
        <v>FALSO-FALSO-FALSO</v>
      </c>
      <c r="F546" s="66" t="str">
        <f>_xlfn.CONCAT(Tableau119[[#This Row],[ID]],"-","Actif")</f>
        <v>171-Actif</v>
      </c>
      <c r="G546" s="66" t="str">
        <f>_xlfn.CONCAT(Tableau119[[#This Row],[POD]],"-",Tableau119[[#This Row],[Code PFI]],"-",Tableau119[[#This Row],[Compte Consignee]])</f>
        <v>FALSO---26549502</v>
      </c>
      <c r="H5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Vehicule</v>
      </c>
      <c r="I546" s="434" t="str">
        <f>_xlfn.CONCAT(Tableau119[[#This Row],[ID]],"-",Tableau119[[#This Row],[Expiration Date]])</f>
        <v>171-46142</v>
      </c>
      <c r="J5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Curitiba-ILN Curitiba-171-FALSO-FALSO-FALSO--46142</v>
      </c>
      <c r="K546" s="119" t="str">
        <f ca="1">IF(COUNTIF(J:J,Tableau119[[#This Row],[Plant-ILN-shipper-POL-Carrier-POD-PFI]])=1,"Non","Oui")</f>
        <v>Non</v>
      </c>
      <c r="L546" s="436" t="str">
        <f>VLOOKUP(Tableau119[[#This Row],[Name Site]],Plant_AILN!A:D,4,FALSE)</f>
        <v>INDIA</v>
      </c>
      <c r="M546" s="485" t="s">
        <v>159</v>
      </c>
      <c r="N546" s="455">
        <f>VLOOKUP(Tableau119[[#This Row],[Name Site]],Plant_AILN!A:C,3,FALSE)</f>
        <v>26549502</v>
      </c>
      <c r="O546" s="104">
        <f>IF(Tableau119[[#This Row],[Name PFI/CDD]]="PFI VLL",2,VLOOKUP(Tableau119[[#This Row],[Compte Consignee]],Order!C:D,2,FALSE))</f>
        <v>5</v>
      </c>
      <c r="P546" s="126" t="s">
        <v>163</v>
      </c>
      <c r="Q546" s="366">
        <f>VLOOKUP(Tableau119[[#This Row],[Name ILN]],Plant_AILN!F:G,2,FALSE)</f>
        <v>95207</v>
      </c>
      <c r="R546" s="81">
        <f>VLOOKUP(Tableau119[[#This Row],[Compte ILN]],'DATA ILN'!D:I,6,FALSE)</f>
        <v>9</v>
      </c>
      <c r="S546" s="81" t="e">
        <f>IFERROR(VLOOKUP(Tableau119[[#This Row],[Key(Compte ILN - shipper - POL - plant)]],'DATA ILN'!A:J,10,FALSE),VLOOKUP(Tableau119[[#This Row],[Key(Compte ILN - shipper - POL)]],'DATA ILN'!B:J,9,FALSE))</f>
        <v>#N/A</v>
      </c>
      <c r="T546" s="81" t="e">
        <f>IFERROR(VLOOKUP(Tableau119[[#This Row],[Key(Compte ILN - shipper - POL - plant)]],'DATA ILN'!A:K,11,FALSE),VLOOKUP(Tableau119[[#This Row],[Key(Compte ILN - shipper - POL)]],'DATA ILN'!B:K,10,FALSE))</f>
        <v>#N/A</v>
      </c>
      <c r="U546" s="81" t="e">
        <f>IFERROR(VLOOKUP(Tableau119[[#This Row],[Key(Compte ILN - shipper - POL - plant)]],'DATA ILN'!A:L,12,FALSE),VLOOKUP(Tableau119[[#This Row],[Key(Compte ILN - shipper - POL)]],'DATA ILN'!B:L,11,FALSE))</f>
        <v>#N/A</v>
      </c>
      <c r="V546" s="81" t="e">
        <f>Tableau119[[#This Row],[Day ILN Order]]+Tableau119[[#This Row],[Delivery time to ILN/Shipper]]-1</f>
        <v>#N/A</v>
      </c>
      <c r="W546" s="81" t="e">
        <f>IFERROR(VLOOKUP(Tableau119[[#This Row],[Key(Compte ILN - shipper - POL - plant)]],'DATA ILN'!A:N,14,FALSE),VLOOKUP(Tableau119[[#This Row],[Key(Compte ILN - shipper - POL)]],'DATA ILN'!B:N,13,FALSE))</f>
        <v>#N/A</v>
      </c>
      <c r="X546" s="81" t="e">
        <f>IFERROR(VLOOKUP(Tableau119[[#This Row],[Key(Compte ILN - shipper - POL - plant)]],'DATA ILN'!A:P,16,FALSE),VLOOKUP(Tableau119[[#This Row],[Key(Compte ILN - shipper - POL)]],'DATA ILN'!B:P,15,FALSE))</f>
        <v>#N/A</v>
      </c>
      <c r="Y546" s="102" t="s">
        <v>163</v>
      </c>
      <c r="Z546" s="417">
        <f>IFERROR(VLOOKUP(Tableau119[[#This Row],[Name Shipper]],Plant_AILN!L:M,2,FALSE),0)</f>
        <v>95207</v>
      </c>
      <c r="AA546" s="416">
        <v>171</v>
      </c>
      <c r="AB546" s="396" t="b">
        <f>_xlfn.XLOOKUP(Tableau119[[#This Row],[Key(ID-date)]],'DATA BTO'!S:S,'DATA BTO'!E:E,FALSE)</f>
        <v>0</v>
      </c>
      <c r="AC546" s="3" t="b">
        <f>_xlfn.XLOOKUP(Tableau119[[#This Row],[Key(ID-date)]],'DATA BTO'!S:S,'DATA BTO'!F:F,FALSE)</f>
        <v>0</v>
      </c>
      <c r="AD546" s="50" t="b">
        <f>_xlfn.XLOOKUP(Tableau119[[#This Row],[Key(ID-date)]],'DATA BTO'!S:S,'DATA BTO'!G:G,FALSE)</f>
        <v>0</v>
      </c>
      <c r="AE546" s="50" t="b">
        <f>_xlfn.XLOOKUP(Tableau119[[#This Row],[Key(ID-date)]],'DATA BTO'!S:S,'DATA BTO'!H:H,FALSE)</f>
        <v>0</v>
      </c>
      <c r="AF546" s="447" t="e">
        <f>IF(Tableau119[[#This Row],[First Day to POL]]&lt;=Tableau119[[#This Row],[Day Cut Off]],Tableau119[[#This Row],[Day ETD]],Tableau119[[#This Row],[Day ETD]]+7)</f>
        <v>#N/A</v>
      </c>
      <c r="AG546" s="50" t="b">
        <f>_xlfn.XLOOKUP(Tableau119[[#This Row],[Key(ID-date)]],'DATA BTO'!S:S,'DATA BTO'!I:I,FALSE)</f>
        <v>0</v>
      </c>
      <c r="AH546" s="3" t="b">
        <f>_xlfn.XLOOKUP(Tableau119[[#This Row],[Key(ID-date)]],'DATA BTO'!S:S,'DATA BTO'!J:J,FALSE)</f>
        <v>0</v>
      </c>
      <c r="AI546" s="3" t="b">
        <f>_xlfn.XLOOKUP(Tableau119[[#This Row],[Key(ID-date)]],'DATA BTO'!S:S,'DATA BTO'!K:K,FALSE)</f>
        <v>0</v>
      </c>
      <c r="AJ546" s="50" t="b">
        <f>_xlfn.XLOOKUP(Tableau119[[#This Row],[Key(ID-date)]],'DATA BTO'!S:S,'DATA BTO'!L:L,FALSE)</f>
        <v>0</v>
      </c>
      <c r="AK546" s="53" t="b">
        <f>_xlfn.XLOOKUP(Tableau119[[#This Row],[Key(ID-date)]],'DATA BTO'!S:S,'DATA BTO'!N:N,FALSE)</f>
        <v>0</v>
      </c>
      <c r="AL546" s="54" t="e">
        <f>VLOOKUP(Tableau119[[#This Row],[Key(POD -PFI- Usine)]],'DATA Consignee'!A:F,6,FALSE)</f>
        <v>#N/A</v>
      </c>
      <c r="AM546" s="102"/>
      <c r="AN546" s="375" t="str">
        <f>IF(Tableau119[[#This Row],[Name PFI/CDD]]="","-",VLOOKUP(Tableau119[[#This Row],[Name PFI/CDD]],Plant_AILN!I:J,2,FALSE))</f>
        <v>-</v>
      </c>
      <c r="AO54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6" s="110" t="e">
        <f>VLOOKUP(Tableau119[[#This Row],[Key(POD -PFI- Usine)]],'DATA Consignee'!A:J,10,FALSE)</f>
        <v>#N/A</v>
      </c>
      <c r="AR546" s="81" t="e">
        <f>VLOOKUP(Tableau119[[#This Row],[Key(POD -PFI- Usine)]],'DATA Consignee'!A:N,14,FALSE)</f>
        <v>#N/A</v>
      </c>
      <c r="AS54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6" s="81">
        <f>Tableau119[[#This Row],[Transit time]]+Tableau119[[#This Row],[Time for security]]+Tableau119[[#This Row],[Time for security2 buffer]]</f>
        <v>0</v>
      </c>
      <c r="AV5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6" s="50" t="e">
        <f>Tableau119[[#This Row],[Leadtime SI2C]]+Tableau119[[#This Row],[First Receipt Days]]-Tableau119[[#This Row],[Day Customer Order]]+1</f>
        <v>#N/A</v>
      </c>
      <c r="AX546" s="119" t="e">
        <f>IF(Tableau119[[#This Row],[Name ILN]]&lt;&gt;"SFK Freight Forwarder",Tableau119[[#This Row],[Cust. Leadtime]],Tableau119[[#This Row],[Leadtime SI2C]])</f>
        <v>#N/A</v>
      </c>
      <c r="AY546" s="51" t="b">
        <f>_xlfn.XLOOKUP(Tableau119[[#This Row],[Key(ID-date)]],'DATA BTO'!S:S,'DATA BTO'!P:P,FALSE)</f>
        <v>0</v>
      </c>
      <c r="AZ546" s="388">
        <v>46142</v>
      </c>
      <c r="BA546" s="81"/>
    </row>
    <row r="547" spans="2:53">
      <c r="B547" s="446" t="str">
        <f>_xlfn.CONCAT(Tableau119[[#This Row],[Name ILN]],"-",Tableau119[[#This Row],[Name Shipper]],"-",Tableau119[[#This Row],[Name Site]])</f>
        <v>ILN Curitiba-ILN Curitiba-CHENNAI Powertrain</v>
      </c>
      <c r="C547" s="66" t="str">
        <f>_xlfn.CONCAT(Tableau119[[#This Row],[Compte ILN]],"-",Tableau119[[#This Row],[Compte Shipper]],"-",Tableau119[[#This Row],[POL]],"-",Tableau119[[#This Row],[Compte Consignee]])</f>
        <v>95207-95207-FALSO-26549500</v>
      </c>
      <c r="D547" s="66" t="str">
        <f>_xlfn.CONCAT(Tableau119[[#This Row],[Compte ILN]],"-",Tableau119[[#This Row],[Compte Shipper]],"-",Tableau119[[#This Row],[POL]])</f>
        <v>95207-95207-FALSO</v>
      </c>
      <c r="E547" s="130" t="str">
        <f>_xlfn.CONCAT(Tableau119[[#This Row],[POL]],"-",Tableau119[[#This Row],[Carrier]],"-",Tableau119[[#This Row],[POD]])</f>
        <v>FALSO-FALSO-FALSO</v>
      </c>
      <c r="F547" s="66" t="str">
        <f>_xlfn.CONCAT(Tableau119[[#This Row],[ID]],"-","Actif")</f>
        <v>171-Actif</v>
      </c>
      <c r="G547" s="66" t="str">
        <f>_xlfn.CONCAT(Tableau119[[#This Row],[POD]],"-",Tableau119[[#This Row],[Code PFI]],"-",Tableau119[[#This Row],[Compte Consignee]])</f>
        <v>FALSO---26549500</v>
      </c>
      <c r="H5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Powertrain</v>
      </c>
      <c r="I547" s="434" t="str">
        <f>_xlfn.CONCAT(Tableau119[[#This Row],[ID]],"-",Tableau119[[#This Row],[Expiration Date]])</f>
        <v>171-45777</v>
      </c>
      <c r="J5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Curitiba-ILN Curitiba-171-FALSO-FALSO-FALSO--45777</v>
      </c>
      <c r="K547" s="119" t="str">
        <f ca="1">IF(COUNTIF(J:J,Tableau119[[#This Row],[Plant-ILN-shipper-POL-Carrier-POD-PFI]])=1,"Non","Oui")</f>
        <v>Non</v>
      </c>
      <c r="L547" s="128" t="str">
        <f>VLOOKUP(Tableau119[[#This Row],[Name Site]],Plant_AILN!A:D,4,FALSE)</f>
        <v>INDIA</v>
      </c>
      <c r="M547" s="411" t="s">
        <v>221</v>
      </c>
      <c r="N547" s="454">
        <f>VLOOKUP(Tableau119[[#This Row],[Name Site]],Plant_AILN!A:C,3,FALSE)</f>
        <v>26549500</v>
      </c>
      <c r="O547" s="55">
        <f>VLOOKUP(Tableau119[[#This Row],[Compte Consignee]],Order!C:D,2,FALSE)</f>
        <v>5</v>
      </c>
      <c r="P547" s="124" t="s">
        <v>163</v>
      </c>
      <c r="Q547" s="365">
        <f>VLOOKUP(Tableau119[[#This Row],[Name ILN]],Plant_AILN!F:G,2,FALSE)</f>
        <v>95207</v>
      </c>
      <c r="R547" s="50">
        <f>VLOOKUP(Tableau119[[#This Row],[Compte ILN]],'DATA ILN'!D:I,6,FALSE)</f>
        <v>9</v>
      </c>
      <c r="S547" s="50" t="e">
        <f>IFERROR(VLOOKUP(Tableau119[[#This Row],[Key(Compte ILN - shipper - POL - plant)]],'DATA ILN'!A:J,10,FALSE),VLOOKUP(Tableau119[[#This Row],[Key(Compte ILN - shipper - POL)]],'DATA ILN'!B:J,9,FALSE))</f>
        <v>#N/A</v>
      </c>
      <c r="T547" s="50" t="e">
        <f>IFERROR(VLOOKUP(Tableau119[[#This Row],[Key(Compte ILN - shipper - POL - plant)]],'DATA ILN'!A:K,11,FALSE),VLOOKUP(Tableau119[[#This Row],[Key(Compte ILN - shipper - POL)]],'DATA ILN'!B:K,10,FALSE))</f>
        <v>#N/A</v>
      </c>
      <c r="U547" s="50" t="e">
        <f>IFERROR(VLOOKUP(Tableau119[[#This Row],[Key(Compte ILN - shipper - POL - plant)]],'DATA ILN'!A:L,12,FALSE),VLOOKUP(Tableau119[[#This Row],[Key(Compte ILN - shipper - POL)]],'DATA ILN'!B:L,11,FALSE))</f>
        <v>#N/A</v>
      </c>
      <c r="V547" s="50" t="e">
        <f>Tableau119[[#This Row],[Day ILN Order]]+Tableau119[[#This Row],[Delivery time to ILN/Shipper]]-1</f>
        <v>#N/A</v>
      </c>
      <c r="W547" s="50" t="e">
        <f>IFERROR(VLOOKUP(Tableau119[[#This Row],[Key(Compte ILN - shipper - POL - plant)]],'DATA ILN'!A:N,14,FALSE),VLOOKUP(Tableau119[[#This Row],[Key(Compte ILN - shipper - POL)]],'DATA ILN'!B:N,13,FALSE))</f>
        <v>#N/A</v>
      </c>
      <c r="X547" s="50" t="e">
        <f>IFERROR(VLOOKUP(Tableau119[[#This Row],[Key(Compte ILN - shipper - POL - plant)]],'DATA ILN'!A:P,16,FALSE),VLOOKUP(Tableau119[[#This Row],[Key(Compte ILN - shipper - POL)]],'DATA ILN'!B:P,15,FALSE))</f>
        <v>#N/A</v>
      </c>
      <c r="Y547" s="284" t="s">
        <v>163</v>
      </c>
      <c r="Z547" s="430">
        <f>IFERROR(VLOOKUP(Tableau119[[#This Row],[Name Shipper]],Plant_AILN!L:M,2,FALSE),0)</f>
        <v>95207</v>
      </c>
      <c r="AA547" s="406">
        <v>171</v>
      </c>
      <c r="AB547" s="396" t="b">
        <f>_xlfn.XLOOKUP(Tableau119[[#This Row],[Key(ID-date)]],'DATA BTO'!S:S,'DATA BTO'!E:E,FALSE)</f>
        <v>0</v>
      </c>
      <c r="AC547" s="3" t="b">
        <f>_xlfn.XLOOKUP(Tableau119[[#This Row],[Key(ID-date)]],'DATA BTO'!S:S,'DATA BTO'!F:F,FALSE)</f>
        <v>0</v>
      </c>
      <c r="AD547" s="50" t="b">
        <f>_xlfn.XLOOKUP(Tableau119[[#This Row],[Key(ID-date)]],'DATA BTO'!S:S,'DATA BTO'!G:G,FALSE)</f>
        <v>0</v>
      </c>
      <c r="AE547" s="50" t="b">
        <f>_xlfn.XLOOKUP(Tableau119[[#This Row],[Key(ID-date)]],'DATA BTO'!S:S,'DATA BTO'!H:H,FALSE)</f>
        <v>0</v>
      </c>
      <c r="AF547" s="447" t="e">
        <f>IF(Tableau119[[#This Row],[First Day to POL]]&lt;=Tableau119[[#This Row],[Day Cut Off]],Tableau119[[#This Row],[Day ETD]],Tableau119[[#This Row],[Day ETD]]+7)</f>
        <v>#N/A</v>
      </c>
      <c r="AG547" s="50" t="b">
        <f>_xlfn.XLOOKUP(Tableau119[[#This Row],[Key(ID-date)]],'DATA BTO'!S:S,'DATA BTO'!I:I,FALSE)</f>
        <v>0</v>
      </c>
      <c r="AH547" s="3" t="b">
        <f>_xlfn.XLOOKUP(Tableau119[[#This Row],[Key(ID-date)]],'DATA BTO'!S:S,'DATA BTO'!J:J,FALSE)</f>
        <v>0</v>
      </c>
      <c r="AI547" s="3" t="b">
        <f>_xlfn.XLOOKUP(Tableau119[[#This Row],[Key(ID-date)]],'DATA BTO'!S:S,'DATA BTO'!K:K,FALSE)</f>
        <v>0</v>
      </c>
      <c r="AJ547" s="50" t="b">
        <f>_xlfn.XLOOKUP(Tableau119[[#This Row],[Key(ID-date)]],'DATA BTO'!S:S,'DATA BTO'!L:L,FALSE)</f>
        <v>0</v>
      </c>
      <c r="AK547" s="53" t="b">
        <f>_xlfn.XLOOKUP(Tableau119[[#This Row],[Key(ID-date)]],'DATA BTO'!S:S,'DATA BTO'!N:N,FALSE)</f>
        <v>0</v>
      </c>
      <c r="AL547" s="54" t="e">
        <f>VLOOKUP(Tableau119[[#This Row],[Key(POD -PFI- Usine)]],'DATA Consignee'!A:F,6,FALSE)</f>
        <v>#N/A</v>
      </c>
      <c r="AM547" s="284"/>
      <c r="AN547" s="376" t="str">
        <f>IF(Tableau119[[#This Row],[Name PFI/CDD]]="","-",VLOOKUP(Tableau119[[#This Row],[Name PFI/CDD]],Plant_AILN!I:J,2,FALSE))</f>
        <v>-</v>
      </c>
      <c r="AO5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7" s="2" t="e">
        <f>VLOOKUP(Tableau119[[#This Row],[Key(POD -PFI- Usine)]],'DATA Consignee'!A:J,10,FALSE)</f>
        <v>#N/A</v>
      </c>
      <c r="AR547" s="50" t="e">
        <f>VLOOKUP(Tableau119[[#This Row],[Key(POD -PFI- Usine)]],'DATA Consignee'!A:N,14,FALSE)</f>
        <v>#N/A</v>
      </c>
      <c r="AS5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7" s="50">
        <f>Tableau119[[#This Row],[Transit time]]+Tableau119[[#This Row],[Time for security]]+Tableau119[[#This Row],[Time for security2 buffer]]</f>
        <v>0</v>
      </c>
      <c r="AV5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7" s="50" t="e">
        <f>Tableau119[[#This Row],[Leadtime SI2C]]+Tableau119[[#This Row],[First Receipt Days]]-Tableau119[[#This Row],[Day Customer Order]]+1</f>
        <v>#N/A</v>
      </c>
      <c r="AX547" s="119" t="e">
        <f>IF(Tableau119[[#This Row],[Name ILN]]&lt;&gt;"SFK Freight Forwarder",Tableau119[[#This Row],[Cust. Leadtime]],Tableau119[[#This Row],[Leadtime SI2C]])</f>
        <v>#N/A</v>
      </c>
      <c r="AY547" s="51" t="b">
        <f>_xlfn.XLOOKUP(Tableau119[[#This Row],[Key(ID-date)]],'DATA BTO'!S:S,'DATA BTO'!P:P,FALSE)</f>
        <v>0</v>
      </c>
      <c r="AZ547" s="338">
        <v>45777</v>
      </c>
      <c r="BA547" s="50"/>
    </row>
    <row r="548" spans="2:53">
      <c r="B548" s="446" t="str">
        <f>_xlfn.CONCAT(Tableau119[[#This Row],[Name ILN]],"-",Tableau119[[#This Row],[Name Shipper]],"-",Tableau119[[#This Row],[Name Site]])</f>
        <v>ILN Curitiba-ILN Curitiba-CHENNAI Vehicule</v>
      </c>
      <c r="C548" s="66" t="str">
        <f>_xlfn.CONCAT(Tableau119[[#This Row],[Compte ILN]],"-",Tableau119[[#This Row],[Compte Shipper]],"-",Tableau119[[#This Row],[POL]],"-",Tableau119[[#This Row],[Compte Consignee]])</f>
        <v>95207-95207-FALSO-26549502</v>
      </c>
      <c r="D548" s="66" t="str">
        <f>_xlfn.CONCAT(Tableau119[[#This Row],[Compte ILN]],"-",Tableau119[[#This Row],[Compte Shipper]],"-",Tableau119[[#This Row],[POL]])</f>
        <v>95207-95207-FALSO</v>
      </c>
      <c r="E548" s="130" t="str">
        <f>_xlfn.CONCAT(Tableau119[[#This Row],[POL]],"-",Tableau119[[#This Row],[Carrier]],"-",Tableau119[[#This Row],[POD]])</f>
        <v>FALSO-FALSO-FALSO</v>
      </c>
      <c r="F548" s="66" t="str">
        <f>_xlfn.CONCAT(Tableau119[[#This Row],[ID]],"-","Actif")</f>
        <v>171-Actif</v>
      </c>
      <c r="G548" s="66" t="str">
        <f>_xlfn.CONCAT(Tableau119[[#This Row],[POD]],"-",Tableau119[[#This Row],[Code PFI]],"-",Tableau119[[#This Row],[Compte Consignee]])</f>
        <v>FALSO---26549502</v>
      </c>
      <c r="H5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Vehicule</v>
      </c>
      <c r="I548" s="434" t="str">
        <f>_xlfn.CONCAT(Tableau119[[#This Row],[ID]],"-",Tableau119[[#This Row],[Expiration Date]])</f>
        <v>171-45777</v>
      </c>
      <c r="J5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Curitiba-ILN Curitiba-171-FALSO-FALSO-FALSO--45777</v>
      </c>
      <c r="K548" s="119" t="str">
        <f ca="1">IF(COUNTIF(J:J,Tableau119[[#This Row],[Plant-ILN-shipper-POL-Carrier-POD-PFI]])=1,"Non","Oui")</f>
        <v>Non</v>
      </c>
      <c r="L548" s="128" t="str">
        <f>VLOOKUP(Tableau119[[#This Row],[Name Site]],Plant_AILN!A:D,4,FALSE)</f>
        <v>INDIA</v>
      </c>
      <c r="M548" s="415" t="s">
        <v>159</v>
      </c>
      <c r="N548" s="455">
        <f>VLOOKUP(Tableau119[[#This Row],[Name Site]],Plant_AILN!A:C,3,FALSE)</f>
        <v>26549502</v>
      </c>
      <c r="O548" s="104">
        <f>VLOOKUP(Tableau119[[#This Row],[Compte Consignee]],Order!C:D,2,FALSE)</f>
        <v>5</v>
      </c>
      <c r="P548" s="126" t="s">
        <v>163</v>
      </c>
      <c r="Q548" s="366">
        <f>VLOOKUP(Tableau119[[#This Row],[Name ILN]],Plant_AILN!F:G,2,FALSE)</f>
        <v>95207</v>
      </c>
      <c r="R548" s="81">
        <f>VLOOKUP(Tableau119[[#This Row],[Compte ILN]],'DATA ILN'!D:I,6,FALSE)</f>
        <v>9</v>
      </c>
      <c r="S548" s="81" t="e">
        <f>IFERROR(VLOOKUP(Tableau119[[#This Row],[Key(Compte ILN - shipper - POL - plant)]],'DATA ILN'!A:J,10,FALSE),VLOOKUP(Tableau119[[#This Row],[Key(Compte ILN - shipper - POL)]],'DATA ILN'!B:J,9,FALSE))</f>
        <v>#N/A</v>
      </c>
      <c r="T548" s="81" t="e">
        <f>IFERROR(VLOOKUP(Tableau119[[#This Row],[Key(Compte ILN - shipper - POL - plant)]],'DATA ILN'!A:K,11,FALSE),VLOOKUP(Tableau119[[#This Row],[Key(Compte ILN - shipper - POL)]],'DATA ILN'!B:K,10,FALSE))</f>
        <v>#N/A</v>
      </c>
      <c r="U548" s="81" t="e">
        <f>IFERROR(VLOOKUP(Tableau119[[#This Row],[Key(Compte ILN - shipper - POL - plant)]],'DATA ILN'!A:L,12,FALSE),VLOOKUP(Tableau119[[#This Row],[Key(Compte ILN - shipper - POL)]],'DATA ILN'!B:L,11,FALSE))</f>
        <v>#N/A</v>
      </c>
      <c r="V548" s="81" t="e">
        <f>Tableau119[[#This Row],[Day ILN Order]]+Tableau119[[#This Row],[Delivery time to ILN/Shipper]]-1</f>
        <v>#N/A</v>
      </c>
      <c r="W548" s="81" t="e">
        <f>IFERROR(VLOOKUP(Tableau119[[#This Row],[Key(Compte ILN - shipper - POL - plant)]],'DATA ILN'!A:N,14,FALSE),VLOOKUP(Tableau119[[#This Row],[Key(Compte ILN - shipper - POL)]],'DATA ILN'!B:N,13,FALSE))</f>
        <v>#N/A</v>
      </c>
      <c r="X548" s="81" t="e">
        <f>IFERROR(VLOOKUP(Tableau119[[#This Row],[Key(Compte ILN - shipper - POL - plant)]],'DATA ILN'!A:P,16,FALSE),VLOOKUP(Tableau119[[#This Row],[Key(Compte ILN - shipper - POL)]],'DATA ILN'!B:P,15,FALSE))</f>
        <v>#N/A</v>
      </c>
      <c r="Y548" s="102" t="s">
        <v>163</v>
      </c>
      <c r="Z548" s="417">
        <f>IFERROR(VLOOKUP(Tableau119[[#This Row],[Name Shipper]],Plant_AILN!L:M,2,FALSE),0)</f>
        <v>95207</v>
      </c>
      <c r="AA548" s="416">
        <v>171</v>
      </c>
      <c r="AB548" s="396" t="b">
        <f>_xlfn.XLOOKUP(Tableau119[[#This Row],[Key(ID-date)]],'DATA BTO'!S:S,'DATA BTO'!E:E,FALSE)</f>
        <v>0</v>
      </c>
      <c r="AC548" s="3" t="b">
        <f>_xlfn.XLOOKUP(Tableau119[[#This Row],[Key(ID-date)]],'DATA BTO'!S:S,'DATA BTO'!F:F,FALSE)</f>
        <v>0</v>
      </c>
      <c r="AD548" s="50" t="b">
        <f>_xlfn.XLOOKUP(Tableau119[[#This Row],[Key(ID-date)]],'DATA BTO'!S:S,'DATA BTO'!G:G,FALSE)</f>
        <v>0</v>
      </c>
      <c r="AE548" s="50" t="b">
        <f>_xlfn.XLOOKUP(Tableau119[[#This Row],[Key(ID-date)]],'DATA BTO'!S:S,'DATA BTO'!H:H,FALSE)</f>
        <v>0</v>
      </c>
      <c r="AF548" s="447" t="e">
        <f>IF(Tableau119[[#This Row],[First Day to POL]]&lt;=Tableau119[[#This Row],[Day Cut Off]],Tableau119[[#This Row],[Day ETD]],Tableau119[[#This Row],[Day ETD]]+7)</f>
        <v>#N/A</v>
      </c>
      <c r="AG548" s="50" t="b">
        <f>_xlfn.XLOOKUP(Tableau119[[#This Row],[Key(ID-date)]],'DATA BTO'!S:S,'DATA BTO'!I:I,FALSE)</f>
        <v>0</v>
      </c>
      <c r="AH548" s="3" t="b">
        <f>_xlfn.XLOOKUP(Tableau119[[#This Row],[Key(ID-date)]],'DATA BTO'!S:S,'DATA BTO'!J:J,FALSE)</f>
        <v>0</v>
      </c>
      <c r="AI548" s="3" t="b">
        <f>_xlfn.XLOOKUP(Tableau119[[#This Row],[Key(ID-date)]],'DATA BTO'!S:S,'DATA BTO'!K:K,FALSE)</f>
        <v>0</v>
      </c>
      <c r="AJ548" s="50" t="b">
        <f>_xlfn.XLOOKUP(Tableau119[[#This Row],[Key(ID-date)]],'DATA BTO'!S:S,'DATA BTO'!L:L,FALSE)</f>
        <v>0</v>
      </c>
      <c r="AK548" s="53" t="b">
        <f>_xlfn.XLOOKUP(Tableau119[[#This Row],[Key(ID-date)]],'DATA BTO'!S:S,'DATA BTO'!N:N,FALSE)</f>
        <v>0</v>
      </c>
      <c r="AL548" s="54" t="e">
        <f>VLOOKUP(Tableau119[[#This Row],[Key(POD -PFI- Usine)]],'DATA Consignee'!A:F,6,FALSE)</f>
        <v>#N/A</v>
      </c>
      <c r="AM548" s="102"/>
      <c r="AN548" s="375" t="str">
        <f>IF(Tableau119[[#This Row],[Name PFI/CDD]]="","-",VLOOKUP(Tableau119[[#This Row],[Name PFI/CDD]],Plant_AILN!I:J,2,FALSE))</f>
        <v>-</v>
      </c>
      <c r="AO54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8" s="110" t="e">
        <f>VLOOKUP(Tableau119[[#This Row],[Key(POD -PFI- Usine)]],'DATA Consignee'!A:J,10,FALSE)</f>
        <v>#N/A</v>
      </c>
      <c r="AR548" s="81" t="e">
        <f>VLOOKUP(Tableau119[[#This Row],[Key(POD -PFI- Usine)]],'DATA Consignee'!A:N,14,FALSE)</f>
        <v>#N/A</v>
      </c>
      <c r="AS54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8" s="81">
        <f>Tableau119[[#This Row],[Transit time]]+Tableau119[[#This Row],[Time for security]]+Tableau119[[#This Row],[Time for security2 buffer]]</f>
        <v>0</v>
      </c>
      <c r="AV5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8" s="50" t="e">
        <f>Tableau119[[#This Row],[Leadtime SI2C]]+Tableau119[[#This Row],[First Receipt Days]]-Tableau119[[#This Row],[Day Customer Order]]+1</f>
        <v>#N/A</v>
      </c>
      <c r="AX548" s="119" t="e">
        <f>IF(Tableau119[[#This Row],[Name ILN]]&lt;&gt;"SFK Freight Forwarder",Tableau119[[#This Row],[Cust. Leadtime]],Tableau119[[#This Row],[Leadtime SI2C]])</f>
        <v>#N/A</v>
      </c>
      <c r="AY548" s="51" t="b">
        <f>_xlfn.XLOOKUP(Tableau119[[#This Row],[Key(ID-date)]],'DATA BTO'!S:S,'DATA BTO'!P:P,FALSE)</f>
        <v>0</v>
      </c>
      <c r="AZ548" s="388">
        <v>45777</v>
      </c>
      <c r="BA548" s="81"/>
    </row>
    <row r="549" spans="2:53">
      <c r="B549" s="446" t="str">
        <f>_xlfn.CONCAT(Tableau119[[#This Row],[Name ILN]],"-",Tableau119[[#This Row],[Name Shipper]],"-",Tableau119[[#This Row],[Name Site]])</f>
        <v>ILN Curitiba-ILN Curitiba-CHENNAI Powertrain</v>
      </c>
      <c r="C549" s="66" t="str">
        <f>_xlfn.CONCAT(Tableau119[[#This Row],[Compte ILN]],"-",Tableau119[[#This Row],[Compte Shipper]],"-",Tableau119[[#This Row],[POL]],"-",Tableau119[[#This Row],[Compte Consignee]])</f>
        <v>95207-95207-FALSO-26549500</v>
      </c>
      <c r="D549" s="66" t="str">
        <f>_xlfn.CONCAT(Tableau119[[#This Row],[Compte ILN]],"-",Tableau119[[#This Row],[Compte Shipper]],"-",Tableau119[[#This Row],[POL]])</f>
        <v>95207-95207-FALSO</v>
      </c>
      <c r="E549" s="130" t="str">
        <f>_xlfn.CONCAT(Tableau119[[#This Row],[POL]],"-",Tableau119[[#This Row],[Carrier]],"-",Tableau119[[#This Row],[POD]])</f>
        <v>FALSO-FALSO-FALSO</v>
      </c>
      <c r="F549" s="66" t="str">
        <f>_xlfn.CONCAT(Tableau119[[#This Row],[ID]],"-","Actif")</f>
        <v>171-Actif</v>
      </c>
      <c r="G549" s="66" t="str">
        <f>_xlfn.CONCAT(Tableau119[[#This Row],[POD]],"-",Tableau119[[#This Row],[Code PFI]],"-",Tableau119[[#This Row],[Compte Consignee]])</f>
        <v>FALSO---26549500</v>
      </c>
      <c r="H5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Powertrain</v>
      </c>
      <c r="I549" s="434" t="str">
        <f>_xlfn.CONCAT(Tableau119[[#This Row],[ID]],"-",Tableau119[[#This Row],[Expiration Date]])</f>
        <v>171-45596</v>
      </c>
      <c r="J5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Curitiba-ILN Curitiba-171-FALSO-FALSO-FALSO--45596</v>
      </c>
      <c r="K549" s="119" t="str">
        <f ca="1">IF(COUNTIF(J:J,Tableau119[[#This Row],[Plant-ILN-shipper-POL-Carrier-POD-PFI]])=1,"Non","Oui")</f>
        <v>Non</v>
      </c>
      <c r="L549" s="128" t="str">
        <f>VLOOKUP(Tableau119[[#This Row],[Name Site]],Plant_AILN!A:D,4,FALSE)</f>
        <v>INDIA</v>
      </c>
      <c r="M549" s="411" t="s">
        <v>221</v>
      </c>
      <c r="N549" s="454">
        <f>VLOOKUP(Tableau119[[#This Row],[Name Site]],Plant_AILN!A:C,3,FALSE)</f>
        <v>26549500</v>
      </c>
      <c r="O549" s="55">
        <f>VLOOKUP(Tableau119[[#This Row],[Compte Consignee]],Order!C:D,2,FALSE)</f>
        <v>5</v>
      </c>
      <c r="P549" s="124" t="s">
        <v>163</v>
      </c>
      <c r="Q549" s="365">
        <f>VLOOKUP(Tableau119[[#This Row],[Name ILN]],Plant_AILN!F:G,2,FALSE)</f>
        <v>95207</v>
      </c>
      <c r="R549" s="50">
        <f>VLOOKUP(Tableau119[[#This Row],[Compte ILN]],'DATA ILN'!D:I,6,FALSE)</f>
        <v>9</v>
      </c>
      <c r="S549" s="50" t="e">
        <f>IFERROR(VLOOKUP(Tableau119[[#This Row],[Key(Compte ILN - shipper - POL - plant)]],'DATA ILN'!A:J,10,FALSE),VLOOKUP(Tableau119[[#This Row],[Key(Compte ILN - shipper - POL)]],'DATA ILN'!B:J,9,FALSE))</f>
        <v>#N/A</v>
      </c>
      <c r="T549" s="50" t="e">
        <f>IFERROR(VLOOKUP(Tableau119[[#This Row],[Key(Compte ILN - shipper - POL - plant)]],'DATA ILN'!A:K,11,FALSE),VLOOKUP(Tableau119[[#This Row],[Key(Compte ILN - shipper - POL)]],'DATA ILN'!B:K,10,FALSE))</f>
        <v>#N/A</v>
      </c>
      <c r="U549" s="50" t="e">
        <f>IFERROR(VLOOKUP(Tableau119[[#This Row],[Key(Compte ILN - shipper - POL - plant)]],'DATA ILN'!A:L,12,FALSE),VLOOKUP(Tableau119[[#This Row],[Key(Compte ILN - shipper - POL)]],'DATA ILN'!B:L,11,FALSE))</f>
        <v>#N/A</v>
      </c>
      <c r="V549" s="50" t="e">
        <f>Tableau119[[#This Row],[Day ILN Order]]+Tableau119[[#This Row],[Delivery time to ILN/Shipper]]-1</f>
        <v>#N/A</v>
      </c>
      <c r="W549" s="50" t="e">
        <f>IFERROR(VLOOKUP(Tableau119[[#This Row],[Key(Compte ILN - shipper - POL - plant)]],'DATA ILN'!A:N,14,FALSE),VLOOKUP(Tableau119[[#This Row],[Key(Compte ILN - shipper - POL)]],'DATA ILN'!B:N,13,FALSE))</f>
        <v>#N/A</v>
      </c>
      <c r="X549" s="50" t="e">
        <f>IFERROR(VLOOKUP(Tableau119[[#This Row],[Key(Compte ILN - shipper - POL - plant)]],'DATA ILN'!A:P,16,FALSE),VLOOKUP(Tableau119[[#This Row],[Key(Compte ILN - shipper - POL)]],'DATA ILN'!B:P,15,FALSE))</f>
        <v>#N/A</v>
      </c>
      <c r="Y549" s="284" t="s">
        <v>163</v>
      </c>
      <c r="Z549" s="430">
        <f>IFERROR(VLOOKUP(Tableau119[[#This Row],[Name Shipper]],Plant_AILN!L:M,2,FALSE),0)</f>
        <v>95207</v>
      </c>
      <c r="AA549" s="406">
        <v>171</v>
      </c>
      <c r="AB549" s="396" t="b">
        <f>_xlfn.XLOOKUP(Tableau119[[#This Row],[Key(ID-date)]],'DATA BTO'!S:S,'DATA BTO'!E:E,FALSE)</f>
        <v>0</v>
      </c>
      <c r="AC549" s="3" t="b">
        <f>_xlfn.XLOOKUP(Tableau119[[#This Row],[Key(ID-date)]],'DATA BTO'!S:S,'DATA BTO'!F:F,FALSE)</f>
        <v>0</v>
      </c>
      <c r="AD549" s="50" t="b">
        <f>_xlfn.XLOOKUP(Tableau119[[#This Row],[Key(ID-date)]],'DATA BTO'!S:S,'DATA BTO'!G:G,FALSE)</f>
        <v>0</v>
      </c>
      <c r="AE549" s="50" t="b">
        <f>_xlfn.XLOOKUP(Tableau119[[#This Row],[Key(ID-date)]],'DATA BTO'!S:S,'DATA BTO'!H:H,FALSE)</f>
        <v>0</v>
      </c>
      <c r="AF549" s="447" t="e">
        <f>IF(Tableau119[[#This Row],[First Day to POL]]&lt;=Tableau119[[#This Row],[Day Cut Off]],Tableau119[[#This Row],[Day ETD]],Tableau119[[#This Row],[Day ETD]]+7)</f>
        <v>#N/A</v>
      </c>
      <c r="AG549" s="50" t="b">
        <f>_xlfn.XLOOKUP(Tableau119[[#This Row],[Key(ID-date)]],'DATA BTO'!S:S,'DATA BTO'!I:I,FALSE)</f>
        <v>0</v>
      </c>
      <c r="AH549" s="3" t="b">
        <f>_xlfn.XLOOKUP(Tableau119[[#This Row],[Key(ID-date)]],'DATA BTO'!S:S,'DATA BTO'!J:J,FALSE)</f>
        <v>0</v>
      </c>
      <c r="AI549" s="3" t="b">
        <f>_xlfn.XLOOKUP(Tableau119[[#This Row],[Key(ID-date)]],'DATA BTO'!S:S,'DATA BTO'!K:K,FALSE)</f>
        <v>0</v>
      </c>
      <c r="AJ549" s="50" t="b">
        <f>_xlfn.XLOOKUP(Tableau119[[#This Row],[Key(ID-date)]],'DATA BTO'!S:S,'DATA BTO'!L:L,FALSE)</f>
        <v>0</v>
      </c>
      <c r="AK549" s="53" t="b">
        <f>_xlfn.XLOOKUP(Tableau119[[#This Row],[Key(ID-date)]],'DATA BTO'!S:S,'DATA BTO'!N:N,FALSE)</f>
        <v>0</v>
      </c>
      <c r="AL549" s="54" t="e">
        <f>VLOOKUP(Tableau119[[#This Row],[Key(POD -PFI- Usine)]],'DATA Consignee'!A:F,6,FALSE)</f>
        <v>#N/A</v>
      </c>
      <c r="AM549" s="284"/>
      <c r="AN549" s="376" t="str">
        <f>IF(Tableau119[[#This Row],[Name PFI/CDD]]="","-",VLOOKUP(Tableau119[[#This Row],[Name PFI/CDD]],Plant_AILN!I:J,2,FALSE))</f>
        <v>-</v>
      </c>
      <c r="AO5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49" s="2" t="e">
        <f>VLOOKUP(Tableau119[[#This Row],[Key(POD -PFI- Usine)]],'DATA Consignee'!A:J,10,FALSE)</f>
        <v>#N/A</v>
      </c>
      <c r="AR549" s="50" t="e">
        <f>VLOOKUP(Tableau119[[#This Row],[Key(POD -PFI- Usine)]],'DATA Consignee'!A:N,14,FALSE)</f>
        <v>#N/A</v>
      </c>
      <c r="AS5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49" s="50">
        <f>Tableau119[[#This Row],[Transit time]]+Tableau119[[#This Row],[Time for security]]+Tableau119[[#This Row],[Time for security2 buffer]]</f>
        <v>0</v>
      </c>
      <c r="AV5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49" s="50" t="e">
        <f>Tableau119[[#This Row],[Leadtime SI2C]]+Tableau119[[#This Row],[First Receipt Days]]-Tableau119[[#This Row],[Day Customer Order]]+1</f>
        <v>#N/A</v>
      </c>
      <c r="AX549" s="119" t="e">
        <f>IF(Tableau119[[#This Row],[Name ILN]]&lt;&gt;"SFK Freight Forwarder",Tableau119[[#This Row],[Cust. Leadtime]],Tableau119[[#This Row],[Leadtime SI2C]])</f>
        <v>#N/A</v>
      </c>
      <c r="AY549" s="51" t="b">
        <f>_xlfn.XLOOKUP(Tableau119[[#This Row],[Key(ID-date)]],'DATA BTO'!S:S,'DATA BTO'!P:P,FALSE)</f>
        <v>0</v>
      </c>
      <c r="AZ549" s="338">
        <v>45596</v>
      </c>
      <c r="BA549" s="50"/>
    </row>
    <row r="550" spans="2:53">
      <c r="B550" s="446" t="str">
        <f>_xlfn.CONCAT(Tableau119[[#This Row],[Name ILN]],"-",Tableau119[[#This Row],[Name Shipper]],"-",Tableau119[[#This Row],[Name Site]])</f>
        <v>ILN Curitiba-ILN Curitiba-CHENNAI Vehicule</v>
      </c>
      <c r="C550" s="66" t="str">
        <f>_xlfn.CONCAT(Tableau119[[#This Row],[Compte ILN]],"-",Tableau119[[#This Row],[Compte Shipper]],"-",Tableau119[[#This Row],[POL]],"-",Tableau119[[#This Row],[Compte Consignee]])</f>
        <v>95207-95207-FALSO-26549502</v>
      </c>
      <c r="D550" s="66" t="str">
        <f>_xlfn.CONCAT(Tableau119[[#This Row],[Compte ILN]],"-",Tableau119[[#This Row],[Compte Shipper]],"-",Tableau119[[#This Row],[POL]])</f>
        <v>95207-95207-FALSO</v>
      </c>
      <c r="E550" s="130" t="str">
        <f>_xlfn.CONCAT(Tableau119[[#This Row],[POL]],"-",Tableau119[[#This Row],[Carrier]],"-",Tableau119[[#This Row],[POD]])</f>
        <v>FALSO-FALSO-FALSO</v>
      </c>
      <c r="F550" s="66" t="str">
        <f>_xlfn.CONCAT(Tableau119[[#This Row],[ID]],"-","Actif")</f>
        <v>171-Actif</v>
      </c>
      <c r="G550" s="66" t="str">
        <f>_xlfn.CONCAT(Tableau119[[#This Row],[POD]],"-",Tableau119[[#This Row],[Code PFI]],"-",Tableau119[[#This Row],[Compte Consignee]])</f>
        <v>FALSO---26549502</v>
      </c>
      <c r="H5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Vehicule</v>
      </c>
      <c r="I550" s="434" t="str">
        <f>_xlfn.CONCAT(Tableau119[[#This Row],[ID]],"-",Tableau119[[#This Row],[Expiration Date]])</f>
        <v>171-45596</v>
      </c>
      <c r="J5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Curitiba-ILN Curitiba-171-FALSO-FALSO-FALSO--45596</v>
      </c>
      <c r="K550" s="119" t="str">
        <f ca="1">IF(COUNTIF(J:J,Tableau119[[#This Row],[Plant-ILN-shipper-POL-Carrier-POD-PFI]])=1,"Non","Oui")</f>
        <v>Non</v>
      </c>
      <c r="L550" s="128" t="str">
        <f>VLOOKUP(Tableau119[[#This Row],[Name Site]],Plant_AILN!A:D,4,FALSE)</f>
        <v>INDIA</v>
      </c>
      <c r="M550" s="411" t="s">
        <v>159</v>
      </c>
      <c r="N550" s="454">
        <f>VLOOKUP(Tableau119[[#This Row],[Name Site]],Plant_AILN!A:C,3,FALSE)</f>
        <v>26549502</v>
      </c>
      <c r="O550" s="55">
        <f>VLOOKUP(Tableau119[[#This Row],[Compte Consignee]],Order!C:D,2,FALSE)</f>
        <v>5</v>
      </c>
      <c r="P550" s="124" t="s">
        <v>163</v>
      </c>
      <c r="Q550" s="365">
        <f>VLOOKUP(Tableau119[[#This Row],[Name ILN]],Plant_AILN!F:G,2,FALSE)</f>
        <v>95207</v>
      </c>
      <c r="R550" s="50">
        <f>VLOOKUP(Tableau119[[#This Row],[Compte ILN]],'DATA ILN'!D:I,6,FALSE)</f>
        <v>9</v>
      </c>
      <c r="S550" s="50" t="e">
        <f>IFERROR(VLOOKUP(Tableau119[[#This Row],[Key(Compte ILN - shipper - POL - plant)]],'DATA ILN'!A:J,10,FALSE),VLOOKUP(Tableau119[[#This Row],[Key(Compte ILN - shipper - POL)]],'DATA ILN'!B:J,9,FALSE))</f>
        <v>#N/A</v>
      </c>
      <c r="T550" s="50" t="e">
        <f>IFERROR(VLOOKUP(Tableau119[[#This Row],[Key(Compte ILN - shipper - POL - plant)]],'DATA ILN'!A:K,11,FALSE),VLOOKUP(Tableau119[[#This Row],[Key(Compte ILN - shipper - POL)]],'DATA ILN'!B:K,10,FALSE))</f>
        <v>#N/A</v>
      </c>
      <c r="U550" s="50" t="e">
        <f>IFERROR(VLOOKUP(Tableau119[[#This Row],[Key(Compte ILN - shipper - POL - plant)]],'DATA ILN'!A:L,12,FALSE),VLOOKUP(Tableau119[[#This Row],[Key(Compte ILN - shipper - POL)]],'DATA ILN'!B:L,11,FALSE))</f>
        <v>#N/A</v>
      </c>
      <c r="V550" s="50" t="e">
        <f>Tableau119[[#This Row],[Day ILN Order]]+Tableau119[[#This Row],[Delivery time to ILN/Shipper]]-1</f>
        <v>#N/A</v>
      </c>
      <c r="W550" s="50" t="e">
        <f>IFERROR(VLOOKUP(Tableau119[[#This Row],[Key(Compte ILN - shipper - POL - plant)]],'DATA ILN'!A:N,14,FALSE),VLOOKUP(Tableau119[[#This Row],[Key(Compte ILN - shipper - POL)]],'DATA ILN'!B:N,13,FALSE))</f>
        <v>#N/A</v>
      </c>
      <c r="X550" s="50" t="e">
        <f>IFERROR(VLOOKUP(Tableau119[[#This Row],[Key(Compte ILN - shipper - POL - plant)]],'DATA ILN'!A:P,16,FALSE),VLOOKUP(Tableau119[[#This Row],[Key(Compte ILN - shipper - POL)]],'DATA ILN'!B:P,15,FALSE))</f>
        <v>#N/A</v>
      </c>
      <c r="Y550" s="284" t="s">
        <v>163</v>
      </c>
      <c r="Z550" s="430">
        <f>IFERROR(VLOOKUP(Tableau119[[#This Row],[Name Shipper]],Plant_AILN!L:M,2,FALSE),0)</f>
        <v>95207</v>
      </c>
      <c r="AA550" s="406">
        <v>171</v>
      </c>
      <c r="AB550" s="396" t="b">
        <f>_xlfn.XLOOKUP(Tableau119[[#This Row],[Key(ID-date)]],'DATA BTO'!S:S,'DATA BTO'!E:E,FALSE)</f>
        <v>0</v>
      </c>
      <c r="AC550" s="3" t="b">
        <f>_xlfn.XLOOKUP(Tableau119[[#This Row],[Key(ID-date)]],'DATA BTO'!S:S,'DATA BTO'!F:F,FALSE)</f>
        <v>0</v>
      </c>
      <c r="AD550" s="50" t="b">
        <f>_xlfn.XLOOKUP(Tableau119[[#This Row],[Key(ID-date)]],'DATA BTO'!S:S,'DATA BTO'!G:G,FALSE)</f>
        <v>0</v>
      </c>
      <c r="AE550" s="50" t="b">
        <f>_xlfn.XLOOKUP(Tableau119[[#This Row],[Key(ID-date)]],'DATA BTO'!S:S,'DATA BTO'!H:H,FALSE)</f>
        <v>0</v>
      </c>
      <c r="AF550" s="447" t="e">
        <f>IF(Tableau119[[#This Row],[First Day to POL]]&lt;=Tableau119[[#This Row],[Day Cut Off]],Tableau119[[#This Row],[Day ETD]],Tableau119[[#This Row],[Day ETD]]+7)</f>
        <v>#N/A</v>
      </c>
      <c r="AG550" s="50" t="b">
        <f>_xlfn.XLOOKUP(Tableau119[[#This Row],[Key(ID-date)]],'DATA BTO'!S:S,'DATA BTO'!I:I,FALSE)</f>
        <v>0</v>
      </c>
      <c r="AH550" s="3" t="b">
        <f>_xlfn.XLOOKUP(Tableau119[[#This Row],[Key(ID-date)]],'DATA BTO'!S:S,'DATA BTO'!J:J,FALSE)</f>
        <v>0</v>
      </c>
      <c r="AI550" s="3" t="b">
        <f>_xlfn.XLOOKUP(Tableau119[[#This Row],[Key(ID-date)]],'DATA BTO'!S:S,'DATA BTO'!K:K,FALSE)</f>
        <v>0</v>
      </c>
      <c r="AJ550" s="50" t="b">
        <f>_xlfn.XLOOKUP(Tableau119[[#This Row],[Key(ID-date)]],'DATA BTO'!S:S,'DATA BTO'!L:L,FALSE)</f>
        <v>0</v>
      </c>
      <c r="AK550" s="53" t="b">
        <f>_xlfn.XLOOKUP(Tableau119[[#This Row],[Key(ID-date)]],'DATA BTO'!S:S,'DATA BTO'!N:N,FALSE)</f>
        <v>0</v>
      </c>
      <c r="AL550" s="54" t="e">
        <f>VLOOKUP(Tableau119[[#This Row],[Key(POD -PFI- Usine)]],'DATA Consignee'!A:F,6,FALSE)</f>
        <v>#N/A</v>
      </c>
      <c r="AM550" s="284"/>
      <c r="AN550" s="376" t="str">
        <f>IF(Tableau119[[#This Row],[Name PFI/CDD]]="","-",VLOOKUP(Tableau119[[#This Row],[Name PFI/CDD]],Plant_AILN!I:J,2,FALSE))</f>
        <v>-</v>
      </c>
      <c r="AO5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0" s="2" t="e">
        <f>VLOOKUP(Tableau119[[#This Row],[Key(POD -PFI- Usine)]],'DATA Consignee'!A:J,10,FALSE)</f>
        <v>#N/A</v>
      </c>
      <c r="AR550" s="50" t="e">
        <f>VLOOKUP(Tableau119[[#This Row],[Key(POD -PFI- Usine)]],'DATA Consignee'!A:N,14,FALSE)</f>
        <v>#N/A</v>
      </c>
      <c r="AS5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0" s="50">
        <f>Tableau119[[#This Row],[Transit time]]+Tableau119[[#This Row],[Time for security]]+Tableau119[[#This Row],[Time for security2 buffer]]</f>
        <v>0</v>
      </c>
      <c r="AV5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0" s="50" t="e">
        <f>Tableau119[[#This Row],[Leadtime SI2C]]+Tableau119[[#This Row],[First Receipt Days]]-Tableau119[[#This Row],[Day Customer Order]]+1</f>
        <v>#N/A</v>
      </c>
      <c r="AX550" s="119" t="e">
        <f>IF(Tableau119[[#This Row],[Name ILN]]&lt;&gt;"SFK Freight Forwarder",Tableau119[[#This Row],[Cust. Leadtime]],Tableau119[[#This Row],[Leadtime SI2C]])</f>
        <v>#N/A</v>
      </c>
      <c r="AY550" s="51" t="b">
        <f>_xlfn.XLOOKUP(Tableau119[[#This Row],[Key(ID-date)]],'DATA BTO'!S:S,'DATA BTO'!P:P,FALSE)</f>
        <v>0</v>
      </c>
      <c r="AZ550" s="338">
        <v>45596</v>
      </c>
      <c r="BA550" s="50"/>
    </row>
    <row r="551" spans="2:53">
      <c r="B551" s="446" t="str">
        <f>_xlfn.CONCAT(Tableau119[[#This Row],[Name ILN]],"-",Tableau119[[#This Row],[Name Shipper]],"-",Tableau119[[#This Row],[Name Site]])</f>
        <v>ILN Curitiba-ILN Curitiba-CHENNAI Powertrain</v>
      </c>
      <c r="C551" s="66" t="str">
        <f>_xlfn.CONCAT(Tableau119[[#This Row],[Compte ILN]],"-",Tableau119[[#This Row],[Compte Shipper]],"-",Tableau119[[#This Row],[POL]],"-",Tableau119[[#This Row],[Compte Consignee]])</f>
        <v>95207-95207-FALSO-26549500</v>
      </c>
      <c r="D551" s="66" t="str">
        <f>_xlfn.CONCAT(Tableau119[[#This Row],[Compte ILN]],"-",Tableau119[[#This Row],[Compte Shipper]],"-",Tableau119[[#This Row],[POL]])</f>
        <v>95207-95207-FALSO</v>
      </c>
      <c r="E551" s="130" t="str">
        <f>_xlfn.CONCAT(Tableau119[[#This Row],[POL]],"-",Tableau119[[#This Row],[Carrier]],"-",Tableau119[[#This Row],[POD]])</f>
        <v>FALSO-FALSO-FALSO</v>
      </c>
      <c r="F551" s="66" t="str">
        <f>_xlfn.CONCAT(Tableau119[[#This Row],[ID]],"-","Actif")</f>
        <v>171-Actif</v>
      </c>
      <c r="G551" s="66" t="str">
        <f>_xlfn.CONCAT(Tableau119[[#This Row],[POD]],"-",Tableau119[[#This Row],[Code PFI]],"-",Tableau119[[#This Row],[Compte Consignee]])</f>
        <v>FALSO---26549500</v>
      </c>
      <c r="H5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Powertrain</v>
      </c>
      <c r="I551" s="434" t="str">
        <f>_xlfn.CONCAT(Tableau119[[#This Row],[ID]],"-",Tableau119[[#This Row],[Expiration Date]])</f>
        <v>171-45473</v>
      </c>
      <c r="J5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Curitiba-ILN Curitiba-171-FALSO-FALSO-FALSO--45473</v>
      </c>
      <c r="K551" s="119" t="str">
        <f ca="1">IF(COUNTIF(J:J,Tableau119[[#This Row],[Plant-ILN-shipper-POL-Carrier-POD-PFI]])=1,"Non","Oui")</f>
        <v>Non</v>
      </c>
      <c r="L551" s="128" t="str">
        <f>VLOOKUP(Tableau119[[#This Row],[Name Site]],Plant_AILN!A:D,4,FALSE)</f>
        <v>INDIA</v>
      </c>
      <c r="M551" s="411" t="s">
        <v>221</v>
      </c>
      <c r="N551" s="454">
        <f>VLOOKUP(Tableau119[[#This Row],[Name Site]],Plant_AILN!A:C,3,FALSE)</f>
        <v>26549500</v>
      </c>
      <c r="O551" s="55">
        <f>VLOOKUP(Tableau119[[#This Row],[Compte Consignee]],Order!C:D,2,FALSE)</f>
        <v>5</v>
      </c>
      <c r="P551" s="124" t="s">
        <v>163</v>
      </c>
      <c r="Q551" s="365">
        <f>VLOOKUP(Tableau119[[#This Row],[Name ILN]],Plant_AILN!F:G,2,FALSE)</f>
        <v>95207</v>
      </c>
      <c r="R551" s="50">
        <f>VLOOKUP(Tableau119[[#This Row],[Compte ILN]],'DATA ILN'!D:I,6,FALSE)</f>
        <v>9</v>
      </c>
      <c r="S551" s="50" t="e">
        <f>IFERROR(VLOOKUP(Tableau119[[#This Row],[Key(Compte ILN - shipper - POL - plant)]],'DATA ILN'!A:J,10,FALSE),VLOOKUP(Tableau119[[#This Row],[Key(Compte ILN - shipper - POL)]],'DATA ILN'!B:J,9,FALSE))</f>
        <v>#N/A</v>
      </c>
      <c r="T551" s="50" t="e">
        <f>IFERROR(VLOOKUP(Tableau119[[#This Row],[Key(Compte ILN - shipper - POL - plant)]],'DATA ILN'!A:K,11,FALSE),VLOOKUP(Tableau119[[#This Row],[Key(Compte ILN - shipper - POL)]],'DATA ILN'!B:K,10,FALSE))</f>
        <v>#N/A</v>
      </c>
      <c r="U551" s="50" t="e">
        <f>IFERROR(VLOOKUP(Tableau119[[#This Row],[Key(Compte ILN - shipper - POL - plant)]],'DATA ILN'!A:L,12,FALSE),VLOOKUP(Tableau119[[#This Row],[Key(Compte ILN - shipper - POL)]],'DATA ILN'!B:L,11,FALSE))</f>
        <v>#N/A</v>
      </c>
      <c r="V551" s="50" t="e">
        <f>Tableau119[[#This Row],[Day ILN Order]]+Tableau119[[#This Row],[Delivery time to ILN/Shipper]]-1</f>
        <v>#N/A</v>
      </c>
      <c r="W551" s="50" t="e">
        <f>IFERROR(VLOOKUP(Tableau119[[#This Row],[Key(Compte ILN - shipper - POL - plant)]],'DATA ILN'!A:N,14,FALSE),VLOOKUP(Tableau119[[#This Row],[Key(Compte ILN - shipper - POL)]],'DATA ILN'!B:N,13,FALSE))</f>
        <v>#N/A</v>
      </c>
      <c r="X551" s="50" t="e">
        <f>IFERROR(VLOOKUP(Tableau119[[#This Row],[Key(Compte ILN - shipper - POL - plant)]],'DATA ILN'!A:P,16,FALSE),VLOOKUP(Tableau119[[#This Row],[Key(Compte ILN - shipper - POL)]],'DATA ILN'!B:P,15,FALSE))</f>
        <v>#N/A</v>
      </c>
      <c r="Y551" s="284" t="s">
        <v>163</v>
      </c>
      <c r="Z551" s="430">
        <f>IFERROR(VLOOKUP(Tableau119[[#This Row],[Name Shipper]],Plant_AILN!L:M,2,FALSE),0)</f>
        <v>95207</v>
      </c>
      <c r="AA551" s="406">
        <v>171</v>
      </c>
      <c r="AB551" s="396" t="b">
        <f>_xlfn.XLOOKUP(Tableau119[[#This Row],[Key(ID-date)]],'DATA BTO'!S:S,'DATA BTO'!E:E,FALSE)</f>
        <v>0</v>
      </c>
      <c r="AC551" s="3" t="b">
        <f>_xlfn.XLOOKUP(Tableau119[[#This Row],[Key(ID-date)]],'DATA BTO'!S:S,'DATA BTO'!F:F,FALSE)</f>
        <v>0</v>
      </c>
      <c r="AD551" s="50" t="b">
        <f>_xlfn.XLOOKUP(Tableau119[[#This Row],[Key(ID-date)]],'DATA BTO'!S:S,'DATA BTO'!G:G,FALSE)</f>
        <v>0</v>
      </c>
      <c r="AE551" s="50" t="b">
        <f>_xlfn.XLOOKUP(Tableau119[[#This Row],[Key(ID-date)]],'DATA BTO'!S:S,'DATA BTO'!H:H,FALSE)</f>
        <v>0</v>
      </c>
      <c r="AF551" s="447" t="e">
        <f>IF(Tableau119[[#This Row],[First Day to POL]]&lt;=Tableau119[[#This Row],[Day Cut Off]],Tableau119[[#This Row],[Day ETD]],Tableau119[[#This Row],[Day ETD]]+7)</f>
        <v>#N/A</v>
      </c>
      <c r="AG551" s="50" t="b">
        <f>_xlfn.XLOOKUP(Tableau119[[#This Row],[Key(ID-date)]],'DATA BTO'!S:S,'DATA BTO'!I:I,FALSE)</f>
        <v>0</v>
      </c>
      <c r="AH551" s="3" t="b">
        <f>_xlfn.XLOOKUP(Tableau119[[#This Row],[Key(ID-date)]],'DATA BTO'!S:S,'DATA BTO'!J:J,FALSE)</f>
        <v>0</v>
      </c>
      <c r="AI551" s="3" t="b">
        <f>_xlfn.XLOOKUP(Tableau119[[#This Row],[Key(ID-date)]],'DATA BTO'!S:S,'DATA BTO'!K:K,FALSE)</f>
        <v>0</v>
      </c>
      <c r="AJ551" s="50" t="b">
        <f>_xlfn.XLOOKUP(Tableau119[[#This Row],[Key(ID-date)]],'DATA BTO'!S:S,'DATA BTO'!L:L,FALSE)</f>
        <v>0</v>
      </c>
      <c r="AK551" s="53" t="b">
        <f>_xlfn.XLOOKUP(Tableau119[[#This Row],[Key(ID-date)]],'DATA BTO'!S:S,'DATA BTO'!N:N,FALSE)</f>
        <v>0</v>
      </c>
      <c r="AL551" s="54" t="e">
        <f>VLOOKUP(Tableau119[[#This Row],[Key(POD -PFI- Usine)]],'DATA Consignee'!A:F,6,FALSE)</f>
        <v>#N/A</v>
      </c>
      <c r="AM551" s="284"/>
      <c r="AN551" s="376" t="str">
        <f>IF(Tableau119[[#This Row],[Name PFI/CDD]]="","-",VLOOKUP(Tableau119[[#This Row],[Name PFI/CDD]],Plant_AILN!I:J,2,FALSE))</f>
        <v>-</v>
      </c>
      <c r="AO5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1" s="2" t="e">
        <f>VLOOKUP(Tableau119[[#This Row],[Key(POD -PFI- Usine)]],'DATA Consignee'!A:J,10,FALSE)</f>
        <v>#N/A</v>
      </c>
      <c r="AR551" s="50" t="e">
        <f>VLOOKUP(Tableau119[[#This Row],[Key(POD -PFI- Usine)]],'DATA Consignee'!A:N,14,FALSE)</f>
        <v>#N/A</v>
      </c>
      <c r="AS5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1" s="50">
        <f>Tableau119[[#This Row],[Transit time]]+Tableau119[[#This Row],[Time for security]]+Tableau119[[#This Row],[Time for security2 buffer]]</f>
        <v>0</v>
      </c>
      <c r="AV5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1" s="50" t="e">
        <f>Tableau119[[#This Row],[Leadtime SI2C]]+Tableau119[[#This Row],[First Receipt Days]]-Tableau119[[#This Row],[Day Customer Order]]+1</f>
        <v>#N/A</v>
      </c>
      <c r="AX551" s="119" t="e">
        <f>IF(Tableau119[[#This Row],[Name ILN]]&lt;&gt;"SFK Freight Forwarder",Tableau119[[#This Row],[Cust. Leadtime]],Tableau119[[#This Row],[Leadtime SI2C]])</f>
        <v>#N/A</v>
      </c>
      <c r="AY551" s="51" t="b">
        <f>_xlfn.XLOOKUP(Tableau119[[#This Row],[Key(ID-date)]],'DATA BTO'!S:S,'DATA BTO'!P:P,FALSE)</f>
        <v>0</v>
      </c>
      <c r="AZ551" s="338">
        <v>45473</v>
      </c>
      <c r="BA551" s="50"/>
    </row>
    <row r="552" spans="2:53">
      <c r="B552" s="446" t="str">
        <f>_xlfn.CONCAT(Tableau119[[#This Row],[Name ILN]],"-",Tableau119[[#This Row],[Name Shipper]],"-",Tableau119[[#This Row],[Name Site]])</f>
        <v>ILN Curitiba-ILN Curitiba-CHENNAI Vehicule</v>
      </c>
      <c r="C552" s="66" t="str">
        <f>_xlfn.CONCAT(Tableau119[[#This Row],[Compte ILN]],"-",Tableau119[[#This Row],[Compte Shipper]],"-",Tableau119[[#This Row],[POL]],"-",Tableau119[[#This Row],[Compte Consignee]])</f>
        <v>95207-95207-FALSO-26549502</v>
      </c>
      <c r="D552" s="66" t="str">
        <f>_xlfn.CONCAT(Tableau119[[#This Row],[Compte ILN]],"-",Tableau119[[#This Row],[Compte Shipper]],"-",Tableau119[[#This Row],[POL]])</f>
        <v>95207-95207-FALSO</v>
      </c>
      <c r="E552" s="130" t="str">
        <f>_xlfn.CONCAT(Tableau119[[#This Row],[POL]],"-",Tableau119[[#This Row],[Carrier]],"-",Tableau119[[#This Row],[POD]])</f>
        <v>FALSO-FALSO-FALSO</v>
      </c>
      <c r="F552" s="66" t="str">
        <f>_xlfn.CONCAT(Tableau119[[#This Row],[ID]],"-","Actif")</f>
        <v>171-Actif</v>
      </c>
      <c r="G552" s="66" t="str">
        <f>_xlfn.CONCAT(Tableau119[[#This Row],[POD]],"-",Tableau119[[#This Row],[Code PFI]],"-",Tableau119[[#This Row],[Compte Consignee]])</f>
        <v>FALSO---26549502</v>
      </c>
      <c r="H5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CuritibaFALSOCHENNAI Vehicule</v>
      </c>
      <c r="I552" s="434" t="str">
        <f>_xlfn.CONCAT(Tableau119[[#This Row],[ID]],"-",Tableau119[[#This Row],[Expiration Date]])</f>
        <v>171-45473</v>
      </c>
      <c r="J5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Curitiba-ILN Curitiba-171-FALSO-FALSO-FALSO--45473</v>
      </c>
      <c r="K552" s="119" t="str">
        <f ca="1">IF(COUNTIF(J:J,Tableau119[[#This Row],[Plant-ILN-shipper-POL-Carrier-POD-PFI]])=1,"Non","Oui")</f>
        <v>Non</v>
      </c>
      <c r="L552" s="128" t="str">
        <f>VLOOKUP(Tableau119[[#This Row],[Name Site]],Plant_AILN!A:D,4,FALSE)</f>
        <v>INDIA</v>
      </c>
      <c r="M552" s="415" t="s">
        <v>159</v>
      </c>
      <c r="N552" s="455">
        <f>VLOOKUP(Tableau119[[#This Row],[Name Site]],Plant_AILN!A:C,3,FALSE)</f>
        <v>26549502</v>
      </c>
      <c r="O552" s="104">
        <f>VLOOKUP(Tableau119[[#This Row],[Compte Consignee]],Order!C:D,2,FALSE)</f>
        <v>5</v>
      </c>
      <c r="P552" s="126" t="s">
        <v>163</v>
      </c>
      <c r="Q552" s="366">
        <f>VLOOKUP(Tableau119[[#This Row],[Name ILN]],Plant_AILN!F:G,2,FALSE)</f>
        <v>95207</v>
      </c>
      <c r="R552" s="81">
        <f>VLOOKUP(Tableau119[[#This Row],[Compte ILN]],'DATA ILN'!D:I,6,FALSE)</f>
        <v>9</v>
      </c>
      <c r="S552" s="81" t="e">
        <f>IFERROR(VLOOKUP(Tableau119[[#This Row],[Key(Compte ILN - shipper - POL - plant)]],'DATA ILN'!A:J,10,FALSE),VLOOKUP(Tableau119[[#This Row],[Key(Compte ILN - shipper - POL)]],'DATA ILN'!B:J,9,FALSE))</f>
        <v>#N/A</v>
      </c>
      <c r="T552" s="81" t="e">
        <f>IFERROR(VLOOKUP(Tableau119[[#This Row],[Key(Compte ILN - shipper - POL - plant)]],'DATA ILN'!A:K,11,FALSE),VLOOKUP(Tableau119[[#This Row],[Key(Compte ILN - shipper - POL)]],'DATA ILN'!B:K,10,FALSE))</f>
        <v>#N/A</v>
      </c>
      <c r="U552" s="81" t="e">
        <f>IFERROR(VLOOKUP(Tableau119[[#This Row],[Key(Compte ILN - shipper - POL - plant)]],'DATA ILN'!A:L,12,FALSE),VLOOKUP(Tableau119[[#This Row],[Key(Compte ILN - shipper - POL)]],'DATA ILN'!B:L,11,FALSE))</f>
        <v>#N/A</v>
      </c>
      <c r="V552" s="81" t="e">
        <f>Tableau119[[#This Row],[Day ILN Order]]+Tableau119[[#This Row],[Delivery time to ILN/Shipper]]-1</f>
        <v>#N/A</v>
      </c>
      <c r="W552" s="81" t="e">
        <f>IFERROR(VLOOKUP(Tableau119[[#This Row],[Key(Compte ILN - shipper - POL - plant)]],'DATA ILN'!A:N,14,FALSE),VLOOKUP(Tableau119[[#This Row],[Key(Compte ILN - shipper - POL)]],'DATA ILN'!B:N,13,FALSE))</f>
        <v>#N/A</v>
      </c>
      <c r="X552" s="81" t="e">
        <f>IFERROR(VLOOKUP(Tableau119[[#This Row],[Key(Compte ILN - shipper - POL - plant)]],'DATA ILN'!A:P,16,FALSE),VLOOKUP(Tableau119[[#This Row],[Key(Compte ILN - shipper - POL)]],'DATA ILN'!B:P,15,FALSE))</f>
        <v>#N/A</v>
      </c>
      <c r="Y552" s="102" t="s">
        <v>163</v>
      </c>
      <c r="Z552" s="417">
        <f>IFERROR(VLOOKUP(Tableau119[[#This Row],[Name Shipper]],Plant_AILN!L:M,2,FALSE),0)</f>
        <v>95207</v>
      </c>
      <c r="AA552" s="416">
        <v>171</v>
      </c>
      <c r="AB552" s="396" t="b">
        <f>_xlfn.XLOOKUP(Tableau119[[#This Row],[Key(ID-date)]],'DATA BTO'!S:S,'DATA BTO'!E:E,FALSE)</f>
        <v>0</v>
      </c>
      <c r="AC552" s="3" t="b">
        <f>_xlfn.XLOOKUP(Tableau119[[#This Row],[Key(ID-date)]],'DATA BTO'!S:S,'DATA BTO'!F:F,FALSE)</f>
        <v>0</v>
      </c>
      <c r="AD552" s="50" t="b">
        <f>_xlfn.XLOOKUP(Tableau119[[#This Row],[Key(ID-date)]],'DATA BTO'!S:S,'DATA BTO'!G:G,FALSE)</f>
        <v>0</v>
      </c>
      <c r="AE552" s="50" t="b">
        <f>_xlfn.XLOOKUP(Tableau119[[#This Row],[Key(ID-date)]],'DATA BTO'!S:S,'DATA BTO'!H:H,FALSE)</f>
        <v>0</v>
      </c>
      <c r="AF552" s="447" t="e">
        <f>IF(Tableau119[[#This Row],[First Day to POL]]&lt;=Tableau119[[#This Row],[Day Cut Off]],Tableau119[[#This Row],[Day ETD]],Tableau119[[#This Row],[Day ETD]]+7)</f>
        <v>#N/A</v>
      </c>
      <c r="AG552" s="50" t="b">
        <f>_xlfn.XLOOKUP(Tableau119[[#This Row],[Key(ID-date)]],'DATA BTO'!S:S,'DATA BTO'!I:I,FALSE)</f>
        <v>0</v>
      </c>
      <c r="AH552" s="3" t="b">
        <f>_xlfn.XLOOKUP(Tableau119[[#This Row],[Key(ID-date)]],'DATA BTO'!S:S,'DATA BTO'!J:J,FALSE)</f>
        <v>0</v>
      </c>
      <c r="AI552" s="3" t="b">
        <f>_xlfn.XLOOKUP(Tableau119[[#This Row],[Key(ID-date)]],'DATA BTO'!S:S,'DATA BTO'!K:K,FALSE)</f>
        <v>0</v>
      </c>
      <c r="AJ552" s="50" t="b">
        <f>_xlfn.XLOOKUP(Tableau119[[#This Row],[Key(ID-date)]],'DATA BTO'!S:S,'DATA BTO'!L:L,FALSE)</f>
        <v>0</v>
      </c>
      <c r="AK552" s="53" t="b">
        <f>_xlfn.XLOOKUP(Tableau119[[#This Row],[Key(ID-date)]],'DATA BTO'!S:S,'DATA BTO'!N:N,FALSE)</f>
        <v>0</v>
      </c>
      <c r="AL552" s="54" t="e">
        <f>VLOOKUP(Tableau119[[#This Row],[Key(POD -PFI- Usine)]],'DATA Consignee'!A:F,6,FALSE)</f>
        <v>#N/A</v>
      </c>
      <c r="AM552" s="102"/>
      <c r="AN552" s="375" t="str">
        <f>IF(Tableau119[[#This Row],[Name PFI/CDD]]="","-",VLOOKUP(Tableau119[[#This Row],[Name PFI/CDD]],Plant_AILN!I:J,2,FALSE))</f>
        <v>-</v>
      </c>
      <c r="AO55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2" s="110" t="e">
        <f>VLOOKUP(Tableau119[[#This Row],[Key(POD -PFI- Usine)]],'DATA Consignee'!A:J,10,FALSE)</f>
        <v>#N/A</v>
      </c>
      <c r="AR552" s="81" t="e">
        <f>VLOOKUP(Tableau119[[#This Row],[Key(POD -PFI- Usine)]],'DATA Consignee'!A:N,14,FALSE)</f>
        <v>#N/A</v>
      </c>
      <c r="AS55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2" s="81">
        <f>Tableau119[[#This Row],[Transit time]]+Tableau119[[#This Row],[Time for security]]+Tableau119[[#This Row],[Time for security2 buffer]]</f>
        <v>0</v>
      </c>
      <c r="AV5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2" s="50" t="e">
        <f>Tableau119[[#This Row],[Leadtime SI2C]]+Tableau119[[#This Row],[First Receipt Days]]-Tableau119[[#This Row],[Day Customer Order]]+1</f>
        <v>#N/A</v>
      </c>
      <c r="AX552" s="119" t="e">
        <f>IF(Tableau119[[#This Row],[Name ILN]]&lt;&gt;"SFK Freight Forwarder",Tableau119[[#This Row],[Cust. Leadtime]],Tableau119[[#This Row],[Leadtime SI2C]])</f>
        <v>#N/A</v>
      </c>
      <c r="AY552" s="51" t="b">
        <f>_xlfn.XLOOKUP(Tableau119[[#This Row],[Key(ID-date)]],'DATA BTO'!S:S,'DATA BTO'!P:P,FALSE)</f>
        <v>0</v>
      </c>
      <c r="AZ552" s="388">
        <v>45473</v>
      </c>
      <c r="BA552" s="81"/>
    </row>
    <row r="553" spans="2:53">
      <c r="B553" s="66" t="str">
        <f>_xlfn.CONCAT(Tableau119[[#This Row],[Name ILN]],"-",Tableau119[[#This Row],[Name Shipper]],"-",Tableau119[[#This Row],[Name Site]])</f>
        <v>SFK Freight Forwarder-GITI RADIAL TIRE ANHUI COMPANY LTD (CNFQG)-SOMACA</v>
      </c>
      <c r="C553" s="66" t="str">
        <f>_xlfn.CONCAT(Tableau119[[#This Row],[Compte ILN]],"-",Tableau119[[#This Row],[Compte Shipper]],"-",Tableau119[[#This Row],[POL]],"-",Tableau119[[#This Row],[Compte Consignee]])</f>
        <v>0-29179903-FALSO-90038200</v>
      </c>
      <c r="D553" s="66" t="str">
        <f>_xlfn.CONCAT(Tableau119[[#This Row],[Compte ILN]],"-",Tableau119[[#This Row],[Compte Shipper]],"-",Tableau119[[#This Row],[POL]])</f>
        <v>0-29179903-FALSO</v>
      </c>
      <c r="E553" s="130" t="str">
        <f>_xlfn.CONCAT(Tableau119[[#This Row],[POL]],"-",Tableau119[[#This Row],[Carrier]],"-",Tableau119[[#This Row],[POD]])</f>
        <v>FALSO-FALSO-FALSO</v>
      </c>
      <c r="F553" s="66" t="str">
        <f>_xlfn.CONCAT(Tableau119[[#This Row],[ID]],"-","Actif")</f>
        <v>195-Actif</v>
      </c>
      <c r="G553" s="66" t="str">
        <f>_xlfn.CONCAT(Tableau119[[#This Row],[POD]],"-",Tableau119[[#This Row],[Code PFI]],"-",Tableau119[[#This Row],[Compte Consignee]])</f>
        <v>FALSO---90038200</v>
      </c>
      <c r="H5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3" s="434" t="str">
        <f>_xlfn.CONCAT(Tableau119[[#This Row],[ID]],"-",Tableau119[[#This Row],[Expiration Date]])</f>
        <v>195-46142</v>
      </c>
      <c r="J5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(CNFQG)-195-FALSO-FALSO-FALSO--46142</v>
      </c>
      <c r="K553" s="119" t="str">
        <f ca="1">IF(COUNTIF(J:J,Tableau119[[#This Row],[Plant-ILN-shipper-POL-Carrier-POD-PFI]])=1,"Non","Oui")</f>
        <v>Non</v>
      </c>
      <c r="L553" s="436" t="str">
        <f>VLOOKUP(Tableau119[[#This Row],[Name Site]],Plant_AILN!A:D,4,FALSE)</f>
        <v>MOROCCO</v>
      </c>
      <c r="M553" s="285" t="s">
        <v>179</v>
      </c>
      <c r="N553" s="454">
        <f>VLOOKUP(Tableau119[[#This Row],[Name Site]],Plant_AILN!A:C,3,FALSE)</f>
        <v>90038200</v>
      </c>
      <c r="O553" s="55">
        <f>IF(Tableau119[[#This Row],[Name PFI/CDD]]="PFI VLL",2,VLOOKUP(Tableau119[[#This Row],[Compte Consignee]],Order!C:D,2,FALSE))</f>
        <v>7</v>
      </c>
      <c r="P553" s="124" t="s">
        <v>146</v>
      </c>
      <c r="Q553" s="365">
        <f>VLOOKUP(Tableau119[[#This Row],[Name ILN]],Plant_AILN!F:G,2,FALSE)</f>
        <v>0</v>
      </c>
      <c r="R553" s="50">
        <f>VLOOKUP(Tableau119[[#This Row],[Compte ILN]],'DATA ILN'!D:I,6,FALSE)</f>
        <v>9</v>
      </c>
      <c r="S553" s="50" t="e">
        <f>IFERROR(VLOOKUP(Tableau119[[#This Row],[Key(Compte ILN - shipper - POL - plant)]],'DATA ILN'!A:J,10,FALSE),VLOOKUP(Tableau119[[#This Row],[Key(Compte ILN - shipper - POL)]],'DATA ILN'!B:J,9,FALSE))</f>
        <v>#N/A</v>
      </c>
      <c r="T553" s="50" t="e">
        <f>IFERROR(VLOOKUP(Tableau119[[#This Row],[Key(Compte ILN - shipper - POL - plant)]],'DATA ILN'!A:K,11,FALSE),VLOOKUP(Tableau119[[#This Row],[Key(Compte ILN - shipper - POL)]],'DATA ILN'!B:K,10,FALSE))</f>
        <v>#N/A</v>
      </c>
      <c r="U553" s="50" t="e">
        <f>IFERROR(VLOOKUP(Tableau119[[#This Row],[Key(Compte ILN - shipper - POL - plant)]],'DATA ILN'!A:L,12,FALSE),VLOOKUP(Tableau119[[#This Row],[Key(Compte ILN - shipper - POL)]],'DATA ILN'!B:L,11,FALSE))</f>
        <v>#N/A</v>
      </c>
      <c r="V553" s="50" t="e">
        <f>Tableau119[[#This Row],[Day ILN Order]]+Tableau119[[#This Row],[Delivery time to ILN/Shipper]]-1</f>
        <v>#N/A</v>
      </c>
      <c r="W553" s="50" t="e">
        <f>IFERROR(VLOOKUP(Tableau119[[#This Row],[Key(Compte ILN - shipper - POL - plant)]],'DATA ILN'!A:N,14,FALSE),VLOOKUP(Tableau119[[#This Row],[Key(Compte ILN - shipper - POL)]],'DATA ILN'!B:N,13,FALSE))</f>
        <v>#N/A</v>
      </c>
      <c r="X553" s="50" t="e">
        <f>IFERROR(VLOOKUP(Tableau119[[#This Row],[Key(Compte ILN - shipper - POL - plant)]],'DATA ILN'!A:P,16,FALSE),VLOOKUP(Tableau119[[#This Row],[Key(Compte ILN - shipper - POL)]],'DATA ILN'!B:P,15,FALSE))</f>
        <v>#N/A</v>
      </c>
      <c r="Y553" s="284" t="s">
        <v>286</v>
      </c>
      <c r="Z553" s="430">
        <f>IFERROR(VLOOKUP(Tableau119[[#This Row],[Name Shipper]],Plant_AILN!L:M,2,FALSE),0)</f>
        <v>29179903</v>
      </c>
      <c r="AA553" s="406">
        <v>195</v>
      </c>
      <c r="AB553" s="396" t="b">
        <f>_xlfn.XLOOKUP(Tableau119[[#This Row],[Key(ID-date)]],'DATA BTO'!S:S,'DATA BTO'!E:E,FALSE)</f>
        <v>0</v>
      </c>
      <c r="AC553" s="3" t="b">
        <f>_xlfn.XLOOKUP(Tableau119[[#This Row],[Key(ID-date)]],'DATA BTO'!S:S,'DATA BTO'!F:F,FALSE)</f>
        <v>0</v>
      </c>
      <c r="AD553" s="50" t="b">
        <f>_xlfn.XLOOKUP(Tableau119[[#This Row],[Key(ID-date)]],'DATA BTO'!S:S,'DATA BTO'!G:G,FALSE)</f>
        <v>0</v>
      </c>
      <c r="AE553" s="50" t="b">
        <f>_xlfn.XLOOKUP(Tableau119[[#This Row],[Key(ID-date)]],'DATA BTO'!S:S,'DATA BTO'!H:H,FALSE)</f>
        <v>0</v>
      </c>
      <c r="AF553" s="447" t="e">
        <f>IF(Tableau119[[#This Row],[First Day to POL]]&lt;=Tableau119[[#This Row],[Day Cut Off]],Tableau119[[#This Row],[Day ETD]],Tableau119[[#This Row],[Day ETD]]+7)</f>
        <v>#N/A</v>
      </c>
      <c r="AG553" s="50" t="b">
        <f>_xlfn.XLOOKUP(Tableau119[[#This Row],[Key(ID-date)]],'DATA BTO'!S:S,'DATA BTO'!I:I,FALSE)</f>
        <v>0</v>
      </c>
      <c r="AH553" s="3" t="b">
        <f>_xlfn.XLOOKUP(Tableau119[[#This Row],[Key(ID-date)]],'DATA BTO'!S:S,'DATA BTO'!J:J,FALSE)</f>
        <v>0</v>
      </c>
      <c r="AI553" s="3" t="b">
        <f>_xlfn.XLOOKUP(Tableau119[[#This Row],[Key(ID-date)]],'DATA BTO'!S:S,'DATA BTO'!K:K,FALSE)</f>
        <v>0</v>
      </c>
      <c r="AJ553" s="50" t="b">
        <f>_xlfn.XLOOKUP(Tableau119[[#This Row],[Key(ID-date)]],'DATA BTO'!S:S,'DATA BTO'!L:L,FALSE)</f>
        <v>0</v>
      </c>
      <c r="AK553" s="53" t="b">
        <f>_xlfn.XLOOKUP(Tableau119[[#This Row],[Key(ID-date)]],'DATA BTO'!S:S,'DATA BTO'!N:N,FALSE)</f>
        <v>0</v>
      </c>
      <c r="AL553" s="54" t="e">
        <f>VLOOKUP(Tableau119[[#This Row],[Key(POD -PFI- Usine)]],'DATA Consignee'!A:F,6,FALSE)</f>
        <v>#N/A</v>
      </c>
      <c r="AM553" s="284"/>
      <c r="AN553" s="376" t="str">
        <f>IF(Tableau119[[#This Row],[Name PFI/CDD]]="","-",VLOOKUP(Tableau119[[#This Row],[Name PFI/CDD]],Plant_AILN!I:J,2,FALSE))</f>
        <v>-</v>
      </c>
      <c r="AO5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3" s="2" t="e">
        <f>VLOOKUP(Tableau119[[#This Row],[Key(POD -PFI- Usine)]],'DATA Consignee'!A:J,10,FALSE)</f>
        <v>#N/A</v>
      </c>
      <c r="AR553" s="50" t="e">
        <f>VLOOKUP(Tableau119[[#This Row],[Key(POD -PFI- Usine)]],'DATA Consignee'!A:N,14,FALSE)</f>
        <v>#N/A</v>
      </c>
      <c r="AS5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3" s="50">
        <f>Tableau119[[#This Row],[Transit time]]+Tableau119[[#This Row],[Time for security]]+Tableau119[[#This Row],[Time for security2 buffer]]</f>
        <v>0</v>
      </c>
      <c r="AV5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3" s="50" t="e">
        <f>Tableau119[[#This Row],[Leadtime SI2C]]+Tableau119[[#This Row],[First Receipt Days]]-Tableau119[[#This Row],[Day Customer Order]]+1</f>
        <v>#N/A</v>
      </c>
      <c r="AX553" s="119" t="e">
        <f>IF(Tableau119[[#This Row],[Name ILN]]&lt;&gt;"SFK Freight Forwarder",Tableau119[[#This Row],[Cust. Leadtime]],Tableau119[[#This Row],[Leadtime SI2C]])</f>
        <v>#N/A</v>
      </c>
      <c r="AY553" s="51" t="b">
        <f>_xlfn.XLOOKUP(Tableau119[[#This Row],[Key(ID-date)]],'DATA BTO'!S:S,'DATA BTO'!P:P,FALSE)</f>
        <v>0</v>
      </c>
      <c r="AZ553" s="338">
        <v>46142</v>
      </c>
      <c r="BA553" s="50"/>
    </row>
    <row r="554" spans="2:53">
      <c r="B554" s="446" t="str">
        <f>_xlfn.CONCAT(Tableau119[[#This Row],[Name ILN]],"-",Tableau119[[#This Row],[Name Shipper]],"-",Tableau119[[#This Row],[Name Site]])</f>
        <v>SFK Freight Forwarder-GITI RADIAL TIRE ANHUI COMPANY LTD (CNFQG)-SOMACA</v>
      </c>
      <c r="C554" s="66" t="str">
        <f>_xlfn.CONCAT(Tableau119[[#This Row],[Compte ILN]],"-",Tableau119[[#This Row],[Compte Shipper]],"-",Tableau119[[#This Row],[POL]],"-",Tableau119[[#This Row],[Compte Consignee]])</f>
        <v>0-29179903-FALSO-90038200</v>
      </c>
      <c r="D554" s="66" t="str">
        <f>_xlfn.CONCAT(Tableau119[[#This Row],[Compte ILN]],"-",Tableau119[[#This Row],[Compte Shipper]],"-",Tableau119[[#This Row],[POL]])</f>
        <v>0-29179903-FALSO</v>
      </c>
      <c r="E554" s="130" t="str">
        <f>_xlfn.CONCAT(Tableau119[[#This Row],[POL]],"-",Tableau119[[#This Row],[Carrier]],"-",Tableau119[[#This Row],[POD]])</f>
        <v>FALSO-FALSO-FALSO</v>
      </c>
      <c r="F554" s="66" t="str">
        <f>_xlfn.CONCAT(Tableau119[[#This Row],[ID]],"-","Actif")</f>
        <v>195-Actif</v>
      </c>
      <c r="G554" s="66" t="str">
        <f>_xlfn.CONCAT(Tableau119[[#This Row],[POD]],"-",Tableau119[[#This Row],[Code PFI]],"-",Tableau119[[#This Row],[Compte Consignee]])</f>
        <v>FALSO---90038200</v>
      </c>
      <c r="H5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4" s="434" t="str">
        <f>_xlfn.CONCAT(Tableau119[[#This Row],[ID]],"-",Tableau119[[#This Row],[Expiration Date]])</f>
        <v>195-45777</v>
      </c>
      <c r="J5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(CNFQG)-195-FALSO-FALSO-FALSO--45777</v>
      </c>
      <c r="K554" s="119" t="str">
        <f ca="1">IF(COUNTIF(J:J,Tableau119[[#This Row],[Plant-ILN-shipper-POL-Carrier-POD-PFI]])=1,"Non","Oui")</f>
        <v>Non</v>
      </c>
      <c r="L554" s="128" t="str">
        <f>VLOOKUP(Tableau119[[#This Row],[Name Site]],Plant_AILN!A:D,4,FALSE)</f>
        <v>MOROCCO</v>
      </c>
      <c r="M554" s="411" t="s">
        <v>179</v>
      </c>
      <c r="N554" s="454">
        <f>VLOOKUP(Tableau119[[#This Row],[Name Site]],Plant_AILN!A:C,3,FALSE)</f>
        <v>90038200</v>
      </c>
      <c r="O554" s="55">
        <f>VLOOKUP(Tableau119[[#This Row],[Compte Consignee]],Order!C:D,2,FALSE)</f>
        <v>7</v>
      </c>
      <c r="P554" s="124" t="s">
        <v>146</v>
      </c>
      <c r="Q554" s="365">
        <f>VLOOKUP(Tableau119[[#This Row],[Name ILN]],Plant_AILN!F:G,2,FALSE)</f>
        <v>0</v>
      </c>
      <c r="R554" s="50">
        <f>VLOOKUP(Tableau119[[#This Row],[Compte ILN]],'DATA ILN'!D:I,6,FALSE)</f>
        <v>9</v>
      </c>
      <c r="S554" s="50" t="e">
        <f>IFERROR(VLOOKUP(Tableau119[[#This Row],[Key(Compte ILN - shipper - POL - plant)]],'DATA ILN'!A:J,10,FALSE),VLOOKUP(Tableau119[[#This Row],[Key(Compte ILN - shipper - POL)]],'DATA ILN'!B:J,9,FALSE))</f>
        <v>#N/A</v>
      </c>
      <c r="T554" s="50" t="e">
        <f>IFERROR(VLOOKUP(Tableau119[[#This Row],[Key(Compte ILN - shipper - POL - plant)]],'DATA ILN'!A:K,11,FALSE),VLOOKUP(Tableau119[[#This Row],[Key(Compte ILN - shipper - POL)]],'DATA ILN'!B:K,10,FALSE))</f>
        <v>#N/A</v>
      </c>
      <c r="U554" s="50" t="e">
        <f>IFERROR(VLOOKUP(Tableau119[[#This Row],[Key(Compte ILN - shipper - POL - plant)]],'DATA ILN'!A:L,12,FALSE),VLOOKUP(Tableau119[[#This Row],[Key(Compte ILN - shipper - POL)]],'DATA ILN'!B:L,11,FALSE))</f>
        <v>#N/A</v>
      </c>
      <c r="V554" s="50" t="e">
        <f>Tableau119[[#This Row],[Day ILN Order]]+Tableau119[[#This Row],[Delivery time to ILN/Shipper]]-1</f>
        <v>#N/A</v>
      </c>
      <c r="W554" s="50" t="e">
        <f>IFERROR(VLOOKUP(Tableau119[[#This Row],[Key(Compte ILN - shipper - POL - plant)]],'DATA ILN'!A:N,14,FALSE),VLOOKUP(Tableau119[[#This Row],[Key(Compte ILN - shipper - POL)]],'DATA ILN'!B:N,13,FALSE))</f>
        <v>#N/A</v>
      </c>
      <c r="X554" s="50" t="e">
        <f>IFERROR(VLOOKUP(Tableau119[[#This Row],[Key(Compte ILN - shipper - POL - plant)]],'DATA ILN'!A:P,16,FALSE),VLOOKUP(Tableau119[[#This Row],[Key(Compte ILN - shipper - POL)]],'DATA ILN'!B:P,15,FALSE))</f>
        <v>#N/A</v>
      </c>
      <c r="Y554" s="284" t="s">
        <v>286</v>
      </c>
      <c r="Z554" s="430">
        <f>IFERROR(VLOOKUP(Tableau119[[#This Row],[Name Shipper]],Plant_AILN!L:M,2,FALSE),0)</f>
        <v>29179903</v>
      </c>
      <c r="AA554" s="406">
        <v>195</v>
      </c>
      <c r="AB554" s="396" t="b">
        <f>_xlfn.XLOOKUP(Tableau119[[#This Row],[Key(ID-date)]],'DATA BTO'!S:S,'DATA BTO'!E:E,FALSE)</f>
        <v>0</v>
      </c>
      <c r="AC554" s="3" t="b">
        <f>_xlfn.XLOOKUP(Tableau119[[#This Row],[Key(ID-date)]],'DATA BTO'!S:S,'DATA BTO'!F:F,FALSE)</f>
        <v>0</v>
      </c>
      <c r="AD554" s="50" t="b">
        <f>_xlfn.XLOOKUP(Tableau119[[#This Row],[Key(ID-date)]],'DATA BTO'!S:S,'DATA BTO'!G:G,FALSE)</f>
        <v>0</v>
      </c>
      <c r="AE554" s="50" t="b">
        <f>_xlfn.XLOOKUP(Tableau119[[#This Row],[Key(ID-date)]],'DATA BTO'!S:S,'DATA BTO'!H:H,FALSE)</f>
        <v>0</v>
      </c>
      <c r="AF554" s="447" t="e">
        <f>IF(Tableau119[[#This Row],[First Day to POL]]&lt;=Tableau119[[#This Row],[Day Cut Off]],Tableau119[[#This Row],[Day ETD]],Tableau119[[#This Row],[Day ETD]]+7)</f>
        <v>#N/A</v>
      </c>
      <c r="AG554" s="50" t="b">
        <f>_xlfn.XLOOKUP(Tableau119[[#This Row],[Key(ID-date)]],'DATA BTO'!S:S,'DATA BTO'!I:I,FALSE)</f>
        <v>0</v>
      </c>
      <c r="AH554" s="3" t="b">
        <f>_xlfn.XLOOKUP(Tableau119[[#This Row],[Key(ID-date)]],'DATA BTO'!S:S,'DATA BTO'!J:J,FALSE)</f>
        <v>0</v>
      </c>
      <c r="AI554" s="3" t="b">
        <f>_xlfn.XLOOKUP(Tableau119[[#This Row],[Key(ID-date)]],'DATA BTO'!S:S,'DATA BTO'!K:K,FALSE)</f>
        <v>0</v>
      </c>
      <c r="AJ554" s="50" t="b">
        <f>_xlfn.XLOOKUP(Tableau119[[#This Row],[Key(ID-date)]],'DATA BTO'!S:S,'DATA BTO'!L:L,FALSE)</f>
        <v>0</v>
      </c>
      <c r="AK554" s="53" t="b">
        <f>_xlfn.XLOOKUP(Tableau119[[#This Row],[Key(ID-date)]],'DATA BTO'!S:S,'DATA BTO'!N:N,FALSE)</f>
        <v>0</v>
      </c>
      <c r="AL554" s="54" t="e">
        <f>VLOOKUP(Tableau119[[#This Row],[Key(POD -PFI- Usine)]],'DATA Consignee'!A:F,6,FALSE)</f>
        <v>#N/A</v>
      </c>
      <c r="AM554" s="284"/>
      <c r="AN554" s="376" t="str">
        <f>IF(Tableau119[[#This Row],[Name PFI/CDD]]="","-",VLOOKUP(Tableau119[[#This Row],[Name PFI/CDD]],Plant_AILN!I:J,2,FALSE))</f>
        <v>-</v>
      </c>
      <c r="AO5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4" s="2" t="e">
        <f>VLOOKUP(Tableau119[[#This Row],[Key(POD -PFI- Usine)]],'DATA Consignee'!A:J,10,FALSE)</f>
        <v>#N/A</v>
      </c>
      <c r="AR554" s="50" t="e">
        <f>VLOOKUP(Tableau119[[#This Row],[Key(POD -PFI- Usine)]],'DATA Consignee'!A:N,14,FALSE)</f>
        <v>#N/A</v>
      </c>
      <c r="AS5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4" s="50">
        <f>Tableau119[[#This Row],[Transit time]]+Tableau119[[#This Row],[Time for security]]+Tableau119[[#This Row],[Time for security2 buffer]]</f>
        <v>0</v>
      </c>
      <c r="AV5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4" s="50" t="e">
        <f>Tableau119[[#This Row],[Leadtime SI2C]]+Tableau119[[#This Row],[First Receipt Days]]-Tableau119[[#This Row],[Day Customer Order]]+1</f>
        <v>#N/A</v>
      </c>
      <c r="AX554" s="119" t="e">
        <f>IF(Tableau119[[#This Row],[Name ILN]]&lt;&gt;"SFK Freight Forwarder",Tableau119[[#This Row],[Cust. Leadtime]],Tableau119[[#This Row],[Leadtime SI2C]])</f>
        <v>#N/A</v>
      </c>
      <c r="AY554" s="51" t="b">
        <f>_xlfn.XLOOKUP(Tableau119[[#This Row],[Key(ID-date)]],'DATA BTO'!S:S,'DATA BTO'!P:P,FALSE)</f>
        <v>0</v>
      </c>
      <c r="AZ554" s="338">
        <v>45777</v>
      </c>
      <c r="BA554" s="50"/>
    </row>
    <row r="555" spans="2:53">
      <c r="B555" s="446" t="str">
        <f>_xlfn.CONCAT(Tableau119[[#This Row],[Name ILN]],"-",Tableau119[[#This Row],[Name Shipper]],"-",Tableau119[[#This Row],[Name Site]])</f>
        <v>SFK Freight Forwarder-GITI RADIAL TIRE ANHUI COMPANY LTD (CNFQG)-SOMACA</v>
      </c>
      <c r="C555" s="66" t="str">
        <f>_xlfn.CONCAT(Tableau119[[#This Row],[Compte ILN]],"-",Tableau119[[#This Row],[Compte Shipper]],"-",Tableau119[[#This Row],[POL]],"-",Tableau119[[#This Row],[Compte Consignee]])</f>
        <v>0-29179903-FALSO-90038200</v>
      </c>
      <c r="D555" s="66" t="str">
        <f>_xlfn.CONCAT(Tableau119[[#This Row],[Compte ILN]],"-",Tableau119[[#This Row],[Compte Shipper]],"-",Tableau119[[#This Row],[POL]])</f>
        <v>0-29179903-FALSO</v>
      </c>
      <c r="E555" s="130" t="str">
        <f>_xlfn.CONCAT(Tableau119[[#This Row],[POL]],"-",Tableau119[[#This Row],[Carrier]],"-",Tableau119[[#This Row],[POD]])</f>
        <v>FALSO-FALSO-FALSO</v>
      </c>
      <c r="F555" s="66" t="str">
        <f>_xlfn.CONCAT(Tableau119[[#This Row],[ID]],"-","Actif")</f>
        <v>195-Actif</v>
      </c>
      <c r="G555" s="66" t="str">
        <f>_xlfn.CONCAT(Tableau119[[#This Row],[POD]],"-",Tableau119[[#This Row],[Code PFI]],"-",Tableau119[[#This Row],[Compte Consignee]])</f>
        <v>FALSO---90038200</v>
      </c>
      <c r="H5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5" s="434" t="str">
        <f>_xlfn.CONCAT(Tableau119[[#This Row],[ID]],"-",Tableau119[[#This Row],[Expiration Date]])</f>
        <v>195-45473</v>
      </c>
      <c r="J5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(CNFQG)-195-FALSO-FALSO-FALSO--45473</v>
      </c>
      <c r="K555" s="119" t="str">
        <f ca="1">IF(COUNTIF(J:J,Tableau119[[#This Row],[Plant-ILN-shipper-POL-Carrier-POD-PFI]])=1,"Non","Oui")</f>
        <v>Non</v>
      </c>
      <c r="L555" s="128" t="str">
        <f>VLOOKUP(Tableau119[[#This Row],[Name Site]],Plant_AILN!A:D,4,FALSE)</f>
        <v>MOROCCO</v>
      </c>
      <c r="M555" s="411" t="s">
        <v>179</v>
      </c>
      <c r="N555" s="454">
        <f>VLOOKUP(Tableau119[[#This Row],[Name Site]],Plant_AILN!A:C,3,FALSE)</f>
        <v>90038200</v>
      </c>
      <c r="O555" s="55">
        <f>VLOOKUP(Tableau119[[#This Row],[Compte Consignee]],Order!C:D,2,FALSE)</f>
        <v>7</v>
      </c>
      <c r="P555" s="124" t="s">
        <v>146</v>
      </c>
      <c r="Q555" s="365">
        <f>VLOOKUP(Tableau119[[#This Row],[Name ILN]],Plant_AILN!F:G,2,FALSE)</f>
        <v>0</v>
      </c>
      <c r="R555" s="50">
        <f>VLOOKUP(Tableau119[[#This Row],[Compte ILN]],'DATA ILN'!D:I,6,FALSE)</f>
        <v>9</v>
      </c>
      <c r="S555" s="50" t="e">
        <f>IFERROR(VLOOKUP(Tableau119[[#This Row],[Key(Compte ILN - shipper - POL - plant)]],'DATA ILN'!A:J,10,FALSE),VLOOKUP(Tableau119[[#This Row],[Key(Compte ILN - shipper - POL)]],'DATA ILN'!B:J,9,FALSE))</f>
        <v>#N/A</v>
      </c>
      <c r="T555" s="50" t="e">
        <f>IFERROR(VLOOKUP(Tableau119[[#This Row],[Key(Compte ILN - shipper - POL - plant)]],'DATA ILN'!A:K,11,FALSE),VLOOKUP(Tableau119[[#This Row],[Key(Compte ILN - shipper - POL)]],'DATA ILN'!B:K,10,FALSE))</f>
        <v>#N/A</v>
      </c>
      <c r="U555" s="50" t="e">
        <f>IFERROR(VLOOKUP(Tableau119[[#This Row],[Key(Compte ILN - shipper - POL - plant)]],'DATA ILN'!A:L,12,FALSE),VLOOKUP(Tableau119[[#This Row],[Key(Compte ILN - shipper - POL)]],'DATA ILN'!B:L,11,FALSE))</f>
        <v>#N/A</v>
      </c>
      <c r="V555" s="50" t="e">
        <f>Tableau119[[#This Row],[Day ILN Order]]+Tableau119[[#This Row],[Delivery time to ILN/Shipper]]-1</f>
        <v>#N/A</v>
      </c>
      <c r="W555" s="50" t="e">
        <f>IFERROR(VLOOKUP(Tableau119[[#This Row],[Key(Compte ILN - shipper - POL - plant)]],'DATA ILN'!A:N,14,FALSE),VLOOKUP(Tableau119[[#This Row],[Key(Compte ILN - shipper - POL)]],'DATA ILN'!B:N,13,FALSE))</f>
        <v>#N/A</v>
      </c>
      <c r="X555" s="50" t="e">
        <f>IFERROR(VLOOKUP(Tableau119[[#This Row],[Key(Compte ILN - shipper - POL - plant)]],'DATA ILN'!A:P,16,FALSE),VLOOKUP(Tableau119[[#This Row],[Key(Compte ILN - shipper - POL)]],'DATA ILN'!B:P,15,FALSE))</f>
        <v>#N/A</v>
      </c>
      <c r="Y555" s="284" t="s">
        <v>286</v>
      </c>
      <c r="Z555" s="430">
        <f>IFERROR(VLOOKUP(Tableau119[[#This Row],[Name Shipper]],Plant_AILN!L:M,2,FALSE),0)</f>
        <v>29179903</v>
      </c>
      <c r="AA555" s="406">
        <v>195</v>
      </c>
      <c r="AB555" s="396" t="b">
        <f>_xlfn.XLOOKUP(Tableau119[[#This Row],[Key(ID-date)]],'DATA BTO'!S:S,'DATA BTO'!E:E,FALSE)</f>
        <v>0</v>
      </c>
      <c r="AC555" s="3" t="b">
        <f>_xlfn.XLOOKUP(Tableau119[[#This Row],[Key(ID-date)]],'DATA BTO'!S:S,'DATA BTO'!F:F,FALSE)</f>
        <v>0</v>
      </c>
      <c r="AD555" s="50" t="b">
        <f>_xlfn.XLOOKUP(Tableau119[[#This Row],[Key(ID-date)]],'DATA BTO'!S:S,'DATA BTO'!G:G,FALSE)</f>
        <v>0</v>
      </c>
      <c r="AE555" s="50" t="b">
        <f>_xlfn.XLOOKUP(Tableau119[[#This Row],[Key(ID-date)]],'DATA BTO'!S:S,'DATA BTO'!H:H,FALSE)</f>
        <v>0</v>
      </c>
      <c r="AF555" s="447" t="e">
        <f>IF(Tableau119[[#This Row],[First Day to POL]]&lt;=Tableau119[[#This Row],[Day Cut Off]],Tableau119[[#This Row],[Day ETD]],Tableau119[[#This Row],[Day ETD]]+7)</f>
        <v>#N/A</v>
      </c>
      <c r="AG555" s="50" t="b">
        <f>_xlfn.XLOOKUP(Tableau119[[#This Row],[Key(ID-date)]],'DATA BTO'!S:S,'DATA BTO'!I:I,FALSE)</f>
        <v>0</v>
      </c>
      <c r="AH555" s="3" t="b">
        <f>_xlfn.XLOOKUP(Tableau119[[#This Row],[Key(ID-date)]],'DATA BTO'!S:S,'DATA BTO'!J:J,FALSE)</f>
        <v>0</v>
      </c>
      <c r="AI555" s="3" t="b">
        <f>_xlfn.XLOOKUP(Tableau119[[#This Row],[Key(ID-date)]],'DATA BTO'!S:S,'DATA BTO'!K:K,FALSE)</f>
        <v>0</v>
      </c>
      <c r="AJ555" s="50" t="b">
        <f>_xlfn.XLOOKUP(Tableau119[[#This Row],[Key(ID-date)]],'DATA BTO'!S:S,'DATA BTO'!L:L,FALSE)</f>
        <v>0</v>
      </c>
      <c r="AK555" s="53" t="b">
        <f>_xlfn.XLOOKUP(Tableau119[[#This Row],[Key(ID-date)]],'DATA BTO'!S:S,'DATA BTO'!N:N,FALSE)</f>
        <v>0</v>
      </c>
      <c r="AL555" s="54" t="e">
        <f>VLOOKUP(Tableau119[[#This Row],[Key(POD -PFI- Usine)]],'DATA Consignee'!A:F,6,FALSE)</f>
        <v>#N/A</v>
      </c>
      <c r="AM555" s="284"/>
      <c r="AN555" s="376" t="str">
        <f>IF(Tableau119[[#This Row],[Name PFI/CDD]]="","-",VLOOKUP(Tableau119[[#This Row],[Name PFI/CDD]],Plant_AILN!I:J,2,FALSE))</f>
        <v>-</v>
      </c>
      <c r="AO5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5" s="2" t="e">
        <f>VLOOKUP(Tableau119[[#This Row],[Key(POD -PFI- Usine)]],'DATA Consignee'!A:J,10,FALSE)</f>
        <v>#N/A</v>
      </c>
      <c r="AR555" s="50" t="e">
        <f>VLOOKUP(Tableau119[[#This Row],[Key(POD -PFI- Usine)]],'DATA Consignee'!A:N,14,FALSE)</f>
        <v>#N/A</v>
      </c>
      <c r="AS55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5" s="50">
        <f>Tableau119[[#This Row],[Transit time]]+Tableau119[[#This Row],[Time for security]]+Tableau119[[#This Row],[Time for security2 buffer]]</f>
        <v>0</v>
      </c>
      <c r="AV5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5" s="50" t="e">
        <f>Tableau119[[#This Row],[Leadtime SI2C]]+Tableau119[[#This Row],[First Receipt Days]]-Tableau119[[#This Row],[Day Customer Order]]+1</f>
        <v>#N/A</v>
      </c>
      <c r="AX555" s="119" t="e">
        <f>IF(Tableau119[[#This Row],[Name ILN]]&lt;&gt;"SFK Freight Forwarder",Tableau119[[#This Row],[Cust. Leadtime]],Tableau119[[#This Row],[Leadtime SI2C]])</f>
        <v>#N/A</v>
      </c>
      <c r="AY555" s="51" t="b">
        <f>_xlfn.XLOOKUP(Tableau119[[#This Row],[Key(ID-date)]],'DATA BTO'!S:S,'DATA BTO'!P:P,FALSE)</f>
        <v>0</v>
      </c>
      <c r="AZ555" s="338">
        <v>45473</v>
      </c>
      <c r="BA555" s="50"/>
    </row>
    <row r="556" spans="2:53">
      <c r="B556" s="66" t="str">
        <f>_xlfn.CONCAT(Tableau119[[#This Row],[Name ILN]],"-",Tableau119[[#This Row],[Name Shipper]],"-",Tableau119[[#This Row],[Name Site]])</f>
        <v>SFK Freight Forwarder-GITI RADIAL TIRE ANHUI COMPANY LTD (CNXAM-MACAS)-SOMACA</v>
      </c>
      <c r="C556" s="66" t="str">
        <f>_xlfn.CONCAT(Tableau119[[#This Row],[Compte ILN]],"-",Tableau119[[#This Row],[Compte Shipper]],"-",Tableau119[[#This Row],[POL]],"-",Tableau119[[#This Row],[Compte Consignee]])</f>
        <v>0-29179903-FALSO-90038200</v>
      </c>
      <c r="D556" s="66" t="str">
        <f>_xlfn.CONCAT(Tableau119[[#This Row],[Compte ILN]],"-",Tableau119[[#This Row],[Compte Shipper]],"-",Tableau119[[#This Row],[POL]])</f>
        <v>0-29179903-FALSO</v>
      </c>
      <c r="E556" s="130" t="str">
        <f>_xlfn.CONCAT(Tableau119[[#This Row],[POL]],"-",Tableau119[[#This Row],[Carrier]],"-",Tableau119[[#This Row],[POD]])</f>
        <v>FALSO-FALSO-FALSO</v>
      </c>
      <c r="F556" s="66" t="str">
        <f>_xlfn.CONCAT(Tableau119[[#This Row],[ID]],"-","Actif")</f>
        <v>198-Actif</v>
      </c>
      <c r="G556" s="66" t="str">
        <f>_xlfn.CONCAT(Tableau119[[#This Row],[POD]],"-",Tableau119[[#This Row],[Code PFI]],"-",Tableau119[[#This Row],[Compte Consignee]])</f>
        <v>FALSO---90038200</v>
      </c>
      <c r="H5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6" s="434" t="str">
        <f>_xlfn.CONCAT(Tableau119[[#This Row],[ID]],"-",Tableau119[[#This Row],[Expiration Date]])</f>
        <v>198-46142</v>
      </c>
      <c r="J5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(CNXAM-MACAS)-198-FALSO-FALSO-FALSO--46142</v>
      </c>
      <c r="K556" s="119" t="str">
        <f ca="1">IF(COUNTIF(J:J,Tableau119[[#This Row],[Plant-ILN-shipper-POL-Carrier-POD-PFI]])=1,"Non","Oui")</f>
        <v>Non</v>
      </c>
      <c r="L556" s="436" t="str">
        <f>VLOOKUP(Tableau119[[#This Row],[Name Site]],Plant_AILN!A:D,4,FALSE)</f>
        <v>MOROCCO</v>
      </c>
      <c r="M556" s="485" t="s">
        <v>179</v>
      </c>
      <c r="N556" s="455">
        <f>VLOOKUP(Tableau119[[#This Row],[Name Site]],Plant_AILN!A:C,3,FALSE)</f>
        <v>90038200</v>
      </c>
      <c r="O556" s="104">
        <f>IF(Tableau119[[#This Row],[Name PFI/CDD]]="PFI VLL",2,VLOOKUP(Tableau119[[#This Row],[Compte Consignee]],Order!C:D,2,FALSE))</f>
        <v>7</v>
      </c>
      <c r="P556" s="126" t="s">
        <v>146</v>
      </c>
      <c r="Q556" s="366">
        <f>VLOOKUP(Tableau119[[#This Row],[Name ILN]],Plant_AILN!F:G,2,FALSE)</f>
        <v>0</v>
      </c>
      <c r="R556" s="81">
        <f>VLOOKUP(Tableau119[[#This Row],[Compte ILN]],'DATA ILN'!D:I,6,FALSE)</f>
        <v>9</v>
      </c>
      <c r="S556" s="81" t="e">
        <f>IFERROR(VLOOKUP(Tableau119[[#This Row],[Key(Compte ILN - shipper - POL - plant)]],'DATA ILN'!A:J,10,FALSE),VLOOKUP(Tableau119[[#This Row],[Key(Compte ILN - shipper - POL)]],'DATA ILN'!B:J,9,FALSE))</f>
        <v>#N/A</v>
      </c>
      <c r="T556" s="81" t="e">
        <f>IFERROR(VLOOKUP(Tableau119[[#This Row],[Key(Compte ILN - shipper - POL - plant)]],'DATA ILN'!A:K,11,FALSE),VLOOKUP(Tableau119[[#This Row],[Key(Compte ILN - shipper - POL)]],'DATA ILN'!B:K,10,FALSE))</f>
        <v>#N/A</v>
      </c>
      <c r="U556" s="81" t="e">
        <f>IFERROR(VLOOKUP(Tableau119[[#This Row],[Key(Compte ILN - shipper - POL - plant)]],'DATA ILN'!A:L,12,FALSE),VLOOKUP(Tableau119[[#This Row],[Key(Compte ILN - shipper - POL)]],'DATA ILN'!B:L,11,FALSE))</f>
        <v>#N/A</v>
      </c>
      <c r="V556" s="81" t="e">
        <f>Tableau119[[#This Row],[Day ILN Order]]+Tableau119[[#This Row],[Delivery time to ILN/Shipper]]-1</f>
        <v>#N/A</v>
      </c>
      <c r="W556" s="81" t="e">
        <f>IFERROR(VLOOKUP(Tableau119[[#This Row],[Key(Compte ILN - shipper - POL - plant)]],'DATA ILN'!A:N,14,FALSE),VLOOKUP(Tableau119[[#This Row],[Key(Compte ILN - shipper - POL)]],'DATA ILN'!B:N,13,FALSE))</f>
        <v>#N/A</v>
      </c>
      <c r="X556" s="81" t="e">
        <f>IFERROR(VLOOKUP(Tableau119[[#This Row],[Key(Compte ILN - shipper - POL - plant)]],'DATA ILN'!A:P,16,FALSE),VLOOKUP(Tableau119[[#This Row],[Key(Compte ILN - shipper - POL)]],'DATA ILN'!B:P,15,FALSE))</f>
        <v>#N/A</v>
      </c>
      <c r="Y556" s="102" t="s">
        <v>304</v>
      </c>
      <c r="Z556" s="417">
        <f>IFERROR(VLOOKUP(Tableau119[[#This Row],[Name Shipper]],Plant_AILN!L:M,2,FALSE),0)</f>
        <v>29179903</v>
      </c>
      <c r="AA556" s="416">
        <v>198</v>
      </c>
      <c r="AB556" s="396" t="b">
        <f>_xlfn.XLOOKUP(Tableau119[[#This Row],[Key(ID-date)]],'DATA BTO'!S:S,'DATA BTO'!E:E,FALSE)</f>
        <v>0</v>
      </c>
      <c r="AC556" s="3" t="b">
        <f>_xlfn.XLOOKUP(Tableau119[[#This Row],[Key(ID-date)]],'DATA BTO'!S:S,'DATA BTO'!F:F,FALSE)</f>
        <v>0</v>
      </c>
      <c r="AD556" s="50" t="b">
        <f>_xlfn.XLOOKUP(Tableau119[[#This Row],[Key(ID-date)]],'DATA BTO'!S:S,'DATA BTO'!G:G,FALSE)</f>
        <v>0</v>
      </c>
      <c r="AE556" s="50" t="b">
        <f>_xlfn.XLOOKUP(Tableau119[[#This Row],[Key(ID-date)]],'DATA BTO'!S:S,'DATA BTO'!H:H,FALSE)</f>
        <v>0</v>
      </c>
      <c r="AF556" s="447" t="e">
        <f>IF(Tableau119[[#This Row],[First Day to POL]]&lt;=Tableau119[[#This Row],[Day Cut Off]],Tableau119[[#This Row],[Day ETD]],Tableau119[[#This Row],[Day ETD]]+7)</f>
        <v>#N/A</v>
      </c>
      <c r="AG556" s="50" t="b">
        <f>_xlfn.XLOOKUP(Tableau119[[#This Row],[Key(ID-date)]],'DATA BTO'!S:S,'DATA BTO'!I:I,FALSE)</f>
        <v>0</v>
      </c>
      <c r="AH556" s="3" t="b">
        <f>_xlfn.XLOOKUP(Tableau119[[#This Row],[Key(ID-date)]],'DATA BTO'!S:S,'DATA BTO'!J:J,FALSE)</f>
        <v>0</v>
      </c>
      <c r="AI556" s="3" t="b">
        <f>_xlfn.XLOOKUP(Tableau119[[#This Row],[Key(ID-date)]],'DATA BTO'!S:S,'DATA BTO'!K:K,FALSE)</f>
        <v>0</v>
      </c>
      <c r="AJ556" s="50" t="b">
        <f>_xlfn.XLOOKUP(Tableau119[[#This Row],[Key(ID-date)]],'DATA BTO'!S:S,'DATA BTO'!L:L,FALSE)</f>
        <v>0</v>
      </c>
      <c r="AK556" s="53" t="b">
        <f>_xlfn.XLOOKUP(Tableau119[[#This Row],[Key(ID-date)]],'DATA BTO'!S:S,'DATA BTO'!N:N,FALSE)</f>
        <v>0</v>
      </c>
      <c r="AL556" s="54" t="e">
        <f>VLOOKUP(Tableau119[[#This Row],[Key(POD -PFI- Usine)]],'DATA Consignee'!A:F,6,FALSE)</f>
        <v>#N/A</v>
      </c>
      <c r="AM556" s="102"/>
      <c r="AN556" s="375" t="str">
        <f>IF(Tableau119[[#This Row],[Name PFI/CDD]]="","-",VLOOKUP(Tableau119[[#This Row],[Name PFI/CDD]],Plant_AILN!I:J,2,FALSE))</f>
        <v>-</v>
      </c>
      <c r="AO55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6" s="110" t="e">
        <f>VLOOKUP(Tableau119[[#This Row],[Key(POD -PFI- Usine)]],'DATA Consignee'!A:J,10,FALSE)</f>
        <v>#N/A</v>
      </c>
      <c r="AR556" s="81" t="e">
        <f>VLOOKUP(Tableau119[[#This Row],[Key(POD -PFI- Usine)]],'DATA Consignee'!A:N,14,FALSE)</f>
        <v>#N/A</v>
      </c>
      <c r="AS55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6" s="81">
        <f>Tableau119[[#This Row],[Transit time]]+Tableau119[[#This Row],[Time for security]]+Tableau119[[#This Row],[Time for security2 buffer]]</f>
        <v>0</v>
      </c>
      <c r="AV5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6" s="50" t="e">
        <f>Tableau119[[#This Row],[Leadtime SI2C]]+Tableau119[[#This Row],[First Receipt Days]]-Tableau119[[#This Row],[Day Customer Order]]+1</f>
        <v>#N/A</v>
      </c>
      <c r="AX556" s="119" t="e">
        <f>IF(Tableau119[[#This Row],[Name ILN]]&lt;&gt;"SFK Freight Forwarder",Tableau119[[#This Row],[Cust. Leadtime]],Tableau119[[#This Row],[Leadtime SI2C]])</f>
        <v>#N/A</v>
      </c>
      <c r="AY556" s="51" t="b">
        <f>_xlfn.XLOOKUP(Tableau119[[#This Row],[Key(ID-date)]],'DATA BTO'!S:S,'DATA BTO'!P:P,FALSE)</f>
        <v>0</v>
      </c>
      <c r="AZ556" s="388">
        <v>46142</v>
      </c>
      <c r="BA556" s="81"/>
    </row>
    <row r="557" spans="2:53">
      <c r="B557" s="446" t="str">
        <f>_xlfn.CONCAT(Tableau119[[#This Row],[Name ILN]],"-",Tableau119[[#This Row],[Name Shipper]],"-",Tableau119[[#This Row],[Name Site]])</f>
        <v>SFK Freight Forwarder-GITI RADIAL TIRE ANHUI COMPANY LTD (CNXAM-MACAS)-SOMACA</v>
      </c>
      <c r="C557" s="66" t="str">
        <f>_xlfn.CONCAT(Tableau119[[#This Row],[Compte ILN]],"-",Tableau119[[#This Row],[Compte Shipper]],"-",Tableau119[[#This Row],[POL]],"-",Tableau119[[#This Row],[Compte Consignee]])</f>
        <v>0-29179903-FALSO-90038200</v>
      </c>
      <c r="D557" s="66" t="str">
        <f>_xlfn.CONCAT(Tableau119[[#This Row],[Compte ILN]],"-",Tableau119[[#This Row],[Compte Shipper]],"-",Tableau119[[#This Row],[POL]])</f>
        <v>0-29179903-FALSO</v>
      </c>
      <c r="E557" s="130" t="str">
        <f>_xlfn.CONCAT(Tableau119[[#This Row],[POL]],"-",Tableau119[[#This Row],[Carrier]],"-",Tableau119[[#This Row],[POD]])</f>
        <v>FALSO-FALSO-FALSO</v>
      </c>
      <c r="F557" s="66" t="str">
        <f>_xlfn.CONCAT(Tableau119[[#This Row],[ID]],"-","Actif")</f>
        <v>198-Actif</v>
      </c>
      <c r="G557" s="66" t="str">
        <f>_xlfn.CONCAT(Tableau119[[#This Row],[POD]],"-",Tableau119[[#This Row],[Code PFI]],"-",Tableau119[[#This Row],[Compte Consignee]])</f>
        <v>FALSO---90038200</v>
      </c>
      <c r="H5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7" s="434" t="str">
        <f>_xlfn.CONCAT(Tableau119[[#This Row],[ID]],"-",Tableau119[[#This Row],[Expiration Date]])</f>
        <v>198-46022</v>
      </c>
      <c r="J5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(CNXAM-MACAS)-198-FALSO-FALSO-FALSO--46022</v>
      </c>
      <c r="K557" s="119" t="str">
        <f ca="1">IF(COUNTIF(J:J,Tableau119[[#This Row],[Plant-ILN-shipper-POL-Carrier-POD-PFI]])=1,"Non","Oui")</f>
        <v>Non</v>
      </c>
      <c r="L557" s="128" t="str">
        <f>VLOOKUP(Tableau119[[#This Row],[Name Site]],Plant_AILN!A:D,4,FALSE)</f>
        <v>MOROCCO</v>
      </c>
      <c r="M557" s="411" t="s">
        <v>179</v>
      </c>
      <c r="N557" s="454">
        <f>VLOOKUP(Tableau119[[#This Row],[Name Site]],Plant_AILN!A:C,3,FALSE)</f>
        <v>90038200</v>
      </c>
      <c r="O557" s="55">
        <f>VLOOKUP(Tableau119[[#This Row],[Compte Consignee]],Order!C:D,2,FALSE)</f>
        <v>7</v>
      </c>
      <c r="P557" s="124" t="s">
        <v>146</v>
      </c>
      <c r="Q557" s="365">
        <f>VLOOKUP(Tableau119[[#This Row],[Name ILN]],Plant_AILN!F:G,2,FALSE)</f>
        <v>0</v>
      </c>
      <c r="R557" s="50">
        <f>VLOOKUP(Tableau119[[#This Row],[Compte ILN]],'DATA ILN'!D:I,6,FALSE)</f>
        <v>9</v>
      </c>
      <c r="S557" s="50" t="e">
        <f>IFERROR(VLOOKUP(Tableau119[[#This Row],[Key(Compte ILN - shipper - POL - plant)]],'DATA ILN'!A:J,10,FALSE),VLOOKUP(Tableau119[[#This Row],[Key(Compte ILN - shipper - POL)]],'DATA ILN'!B:J,9,FALSE))</f>
        <v>#N/A</v>
      </c>
      <c r="T557" s="50" t="e">
        <f>IFERROR(VLOOKUP(Tableau119[[#This Row],[Key(Compte ILN - shipper - POL - plant)]],'DATA ILN'!A:K,11,FALSE),VLOOKUP(Tableau119[[#This Row],[Key(Compte ILN - shipper - POL)]],'DATA ILN'!B:K,10,FALSE))</f>
        <v>#N/A</v>
      </c>
      <c r="U557" s="50" t="e">
        <f>IFERROR(VLOOKUP(Tableau119[[#This Row],[Key(Compte ILN - shipper - POL - plant)]],'DATA ILN'!A:L,12,FALSE),VLOOKUP(Tableau119[[#This Row],[Key(Compte ILN - shipper - POL)]],'DATA ILN'!B:L,11,FALSE))</f>
        <v>#N/A</v>
      </c>
      <c r="V557" s="50" t="e">
        <f>Tableau119[[#This Row],[Day ILN Order]]+Tableau119[[#This Row],[Delivery time to ILN/Shipper]]-1</f>
        <v>#N/A</v>
      </c>
      <c r="W557" s="50" t="e">
        <f>IFERROR(VLOOKUP(Tableau119[[#This Row],[Key(Compte ILN - shipper - POL - plant)]],'DATA ILN'!A:N,14,FALSE),VLOOKUP(Tableau119[[#This Row],[Key(Compte ILN - shipper - POL)]],'DATA ILN'!B:N,13,FALSE))</f>
        <v>#N/A</v>
      </c>
      <c r="X557" s="50" t="e">
        <f>IFERROR(VLOOKUP(Tableau119[[#This Row],[Key(Compte ILN - shipper - POL - plant)]],'DATA ILN'!A:P,16,FALSE),VLOOKUP(Tableau119[[#This Row],[Key(Compte ILN - shipper - POL)]],'DATA ILN'!B:P,15,FALSE))</f>
        <v>#N/A</v>
      </c>
      <c r="Y557" s="284" t="s">
        <v>304</v>
      </c>
      <c r="Z557" s="430">
        <f>IFERROR(VLOOKUP(Tableau119[[#This Row],[Name Shipper]],Plant_AILN!L:M,2,FALSE),0)</f>
        <v>29179903</v>
      </c>
      <c r="AA557" s="406">
        <v>198</v>
      </c>
      <c r="AB557" s="396" t="b">
        <f>_xlfn.XLOOKUP(Tableau119[[#This Row],[Key(ID-date)]],'DATA BTO'!S:S,'DATA BTO'!E:E,FALSE)</f>
        <v>0</v>
      </c>
      <c r="AC557" s="3" t="b">
        <f>_xlfn.XLOOKUP(Tableau119[[#This Row],[Key(ID-date)]],'DATA BTO'!S:S,'DATA BTO'!F:F,FALSE)</f>
        <v>0</v>
      </c>
      <c r="AD557" s="50" t="b">
        <f>_xlfn.XLOOKUP(Tableau119[[#This Row],[Key(ID-date)]],'DATA BTO'!S:S,'DATA BTO'!G:G,FALSE)</f>
        <v>0</v>
      </c>
      <c r="AE557" s="50" t="b">
        <f>_xlfn.XLOOKUP(Tableau119[[#This Row],[Key(ID-date)]],'DATA BTO'!S:S,'DATA BTO'!H:H,FALSE)</f>
        <v>0</v>
      </c>
      <c r="AF557" s="447" t="e">
        <f>IF(Tableau119[[#This Row],[First Day to POL]]&lt;=Tableau119[[#This Row],[Day Cut Off]],Tableau119[[#This Row],[Day ETD]],Tableau119[[#This Row],[Day ETD]]+7)</f>
        <v>#N/A</v>
      </c>
      <c r="AG557" s="50" t="b">
        <f>_xlfn.XLOOKUP(Tableau119[[#This Row],[Key(ID-date)]],'DATA BTO'!S:S,'DATA BTO'!I:I,FALSE)</f>
        <v>0</v>
      </c>
      <c r="AH557" s="3" t="b">
        <f>_xlfn.XLOOKUP(Tableau119[[#This Row],[Key(ID-date)]],'DATA BTO'!S:S,'DATA BTO'!J:J,FALSE)</f>
        <v>0</v>
      </c>
      <c r="AI557" s="3" t="b">
        <f>_xlfn.XLOOKUP(Tableau119[[#This Row],[Key(ID-date)]],'DATA BTO'!S:S,'DATA BTO'!K:K,FALSE)</f>
        <v>0</v>
      </c>
      <c r="AJ557" s="50" t="b">
        <f>_xlfn.XLOOKUP(Tableau119[[#This Row],[Key(ID-date)]],'DATA BTO'!S:S,'DATA BTO'!L:L,FALSE)</f>
        <v>0</v>
      </c>
      <c r="AK557" s="53" t="b">
        <f>_xlfn.XLOOKUP(Tableau119[[#This Row],[Key(ID-date)]],'DATA BTO'!S:S,'DATA BTO'!N:N,FALSE)</f>
        <v>0</v>
      </c>
      <c r="AL557" s="54" t="e">
        <f>VLOOKUP(Tableau119[[#This Row],[Key(POD -PFI- Usine)]],'DATA Consignee'!A:F,6,FALSE)</f>
        <v>#N/A</v>
      </c>
      <c r="AM557" s="284"/>
      <c r="AN557" s="376" t="str">
        <f>IF(Tableau119[[#This Row],[Name PFI/CDD]]="","-",VLOOKUP(Tableau119[[#This Row],[Name PFI/CDD]],Plant_AILN!I:J,2,FALSE))</f>
        <v>-</v>
      </c>
      <c r="AO5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7" s="2" t="e">
        <f>VLOOKUP(Tableau119[[#This Row],[Key(POD -PFI- Usine)]],'DATA Consignee'!A:J,10,FALSE)</f>
        <v>#N/A</v>
      </c>
      <c r="AR557" s="50" t="e">
        <f>VLOOKUP(Tableau119[[#This Row],[Key(POD -PFI- Usine)]],'DATA Consignee'!A:N,14,FALSE)</f>
        <v>#N/A</v>
      </c>
      <c r="AS5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7" s="50">
        <f>Tableau119[[#This Row],[Transit time]]+Tableau119[[#This Row],[Time for security]]+Tableau119[[#This Row],[Time for security2 buffer]]</f>
        <v>0</v>
      </c>
      <c r="AV5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7" s="50" t="e">
        <f>Tableau119[[#This Row],[Leadtime SI2C]]+Tableau119[[#This Row],[First Receipt Days]]-Tableau119[[#This Row],[Day Customer Order]]+1</f>
        <v>#N/A</v>
      </c>
      <c r="AX557" s="119" t="e">
        <f>IF(Tableau119[[#This Row],[Name ILN]]&lt;&gt;"SFK Freight Forwarder",Tableau119[[#This Row],[Cust. Leadtime]],Tableau119[[#This Row],[Leadtime SI2C]])</f>
        <v>#N/A</v>
      </c>
      <c r="AY557" s="51" t="b">
        <f>_xlfn.XLOOKUP(Tableau119[[#This Row],[Key(ID-date)]],'DATA BTO'!S:S,'DATA BTO'!P:P,FALSE)</f>
        <v>0</v>
      </c>
      <c r="AZ557" s="338">
        <v>46022</v>
      </c>
      <c r="BA557" s="50"/>
    </row>
    <row r="558" spans="2:53">
      <c r="B558" s="446" t="str">
        <f>_xlfn.CONCAT(Tableau119[[#This Row],[Name ILN]],"-",Tableau119[[#This Row],[Name Shipper]],"-",Tableau119[[#This Row],[Name Site]])</f>
        <v>SFK Freight Forwarder-GITI RADIAL TIRE ANHUI COMPANY LTD (CNXAM-MACAS)-SOMACA</v>
      </c>
      <c r="C558" s="66" t="str">
        <f>_xlfn.CONCAT(Tableau119[[#This Row],[Compte ILN]],"-",Tableau119[[#This Row],[Compte Shipper]],"-",Tableau119[[#This Row],[POL]],"-",Tableau119[[#This Row],[Compte Consignee]])</f>
        <v>0-29179903-FALSO-90038200</v>
      </c>
      <c r="D558" s="66" t="str">
        <f>_xlfn.CONCAT(Tableau119[[#This Row],[Compte ILN]],"-",Tableau119[[#This Row],[Compte Shipper]],"-",Tableau119[[#This Row],[POL]])</f>
        <v>0-29179903-FALSO</v>
      </c>
      <c r="E558" s="130" t="str">
        <f>_xlfn.CONCAT(Tableau119[[#This Row],[POL]],"-",Tableau119[[#This Row],[Carrier]],"-",Tableau119[[#This Row],[POD]])</f>
        <v>FALSO-FALSO-FALSO</v>
      </c>
      <c r="F558" s="66" t="str">
        <f>_xlfn.CONCAT(Tableau119[[#This Row],[ID]],"-","Actif")</f>
        <v>198-Actif</v>
      </c>
      <c r="G558" s="66" t="str">
        <f>_xlfn.CONCAT(Tableau119[[#This Row],[POD]],"-",Tableau119[[#This Row],[Code PFI]],"-",Tableau119[[#This Row],[Compte Consignee]])</f>
        <v>FALSO---90038200</v>
      </c>
      <c r="H5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8" s="434" t="str">
        <f>_xlfn.CONCAT(Tableau119[[#This Row],[ID]],"-",Tableau119[[#This Row],[Expiration Date]])</f>
        <v>198-45777</v>
      </c>
      <c r="J5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(CNXAM-MACAS)-198-FALSO-FALSO-FALSO--45777</v>
      </c>
      <c r="K558" s="119" t="str">
        <f ca="1">IF(COUNTIF(J:J,Tableau119[[#This Row],[Plant-ILN-shipper-POL-Carrier-POD-PFI]])=1,"Non","Oui")</f>
        <v>Non</v>
      </c>
      <c r="L558" s="128" t="str">
        <f>VLOOKUP(Tableau119[[#This Row],[Name Site]],Plant_AILN!A:D,4,FALSE)</f>
        <v>MOROCCO</v>
      </c>
      <c r="M558" s="411" t="s">
        <v>179</v>
      </c>
      <c r="N558" s="454">
        <f>VLOOKUP(Tableau119[[#This Row],[Name Site]],Plant_AILN!A:C,3,FALSE)</f>
        <v>90038200</v>
      </c>
      <c r="O558" s="55">
        <f>VLOOKUP(Tableau119[[#This Row],[Compte Consignee]],Order!C:D,2,FALSE)</f>
        <v>7</v>
      </c>
      <c r="P558" s="124" t="s">
        <v>146</v>
      </c>
      <c r="Q558" s="365">
        <f>VLOOKUP(Tableau119[[#This Row],[Name ILN]],Plant_AILN!F:G,2,FALSE)</f>
        <v>0</v>
      </c>
      <c r="R558" s="50">
        <f>VLOOKUP(Tableau119[[#This Row],[Compte ILN]],'DATA ILN'!D:I,6,FALSE)</f>
        <v>9</v>
      </c>
      <c r="S558" s="50" t="e">
        <f>IFERROR(VLOOKUP(Tableau119[[#This Row],[Key(Compte ILN - shipper - POL - plant)]],'DATA ILN'!A:J,10,FALSE),VLOOKUP(Tableau119[[#This Row],[Key(Compte ILN - shipper - POL)]],'DATA ILN'!B:J,9,FALSE))</f>
        <v>#N/A</v>
      </c>
      <c r="T558" s="50" t="e">
        <f>IFERROR(VLOOKUP(Tableau119[[#This Row],[Key(Compte ILN - shipper - POL - plant)]],'DATA ILN'!A:K,11,FALSE),VLOOKUP(Tableau119[[#This Row],[Key(Compte ILN - shipper - POL)]],'DATA ILN'!B:K,10,FALSE))</f>
        <v>#N/A</v>
      </c>
      <c r="U558" s="50" t="e">
        <f>IFERROR(VLOOKUP(Tableau119[[#This Row],[Key(Compte ILN - shipper - POL - plant)]],'DATA ILN'!A:L,12,FALSE),VLOOKUP(Tableau119[[#This Row],[Key(Compte ILN - shipper - POL)]],'DATA ILN'!B:L,11,FALSE))</f>
        <v>#N/A</v>
      </c>
      <c r="V558" s="50" t="e">
        <f>Tableau119[[#This Row],[Day ILN Order]]+Tableau119[[#This Row],[Delivery time to ILN/Shipper]]-1</f>
        <v>#N/A</v>
      </c>
      <c r="W558" s="50" t="e">
        <f>IFERROR(VLOOKUP(Tableau119[[#This Row],[Key(Compte ILN - shipper - POL - plant)]],'DATA ILN'!A:N,14,FALSE),VLOOKUP(Tableau119[[#This Row],[Key(Compte ILN - shipper - POL)]],'DATA ILN'!B:N,13,FALSE))</f>
        <v>#N/A</v>
      </c>
      <c r="X558" s="50" t="e">
        <f>IFERROR(VLOOKUP(Tableau119[[#This Row],[Key(Compte ILN - shipper - POL - plant)]],'DATA ILN'!A:P,16,FALSE),VLOOKUP(Tableau119[[#This Row],[Key(Compte ILN - shipper - POL)]],'DATA ILN'!B:P,15,FALSE))</f>
        <v>#N/A</v>
      </c>
      <c r="Y558" s="284" t="s">
        <v>304</v>
      </c>
      <c r="Z558" s="430">
        <f>IFERROR(VLOOKUP(Tableau119[[#This Row],[Name Shipper]],Plant_AILN!L:M,2,FALSE),0)</f>
        <v>29179903</v>
      </c>
      <c r="AA558" s="406">
        <v>198</v>
      </c>
      <c r="AB558" s="396" t="b">
        <f>_xlfn.XLOOKUP(Tableau119[[#This Row],[Key(ID-date)]],'DATA BTO'!S:S,'DATA BTO'!E:E,FALSE)</f>
        <v>0</v>
      </c>
      <c r="AC558" s="3" t="b">
        <f>_xlfn.XLOOKUP(Tableau119[[#This Row],[Key(ID-date)]],'DATA BTO'!S:S,'DATA BTO'!F:F,FALSE)</f>
        <v>0</v>
      </c>
      <c r="AD558" s="50" t="b">
        <f>_xlfn.XLOOKUP(Tableau119[[#This Row],[Key(ID-date)]],'DATA BTO'!S:S,'DATA BTO'!G:G,FALSE)</f>
        <v>0</v>
      </c>
      <c r="AE558" s="50" t="b">
        <f>_xlfn.XLOOKUP(Tableau119[[#This Row],[Key(ID-date)]],'DATA BTO'!S:S,'DATA BTO'!H:H,FALSE)</f>
        <v>0</v>
      </c>
      <c r="AF558" s="447" t="e">
        <f>IF(Tableau119[[#This Row],[First Day to POL]]&lt;=Tableau119[[#This Row],[Day Cut Off]],Tableau119[[#This Row],[Day ETD]],Tableau119[[#This Row],[Day ETD]]+7)</f>
        <v>#N/A</v>
      </c>
      <c r="AG558" s="50" t="b">
        <f>_xlfn.XLOOKUP(Tableau119[[#This Row],[Key(ID-date)]],'DATA BTO'!S:S,'DATA BTO'!I:I,FALSE)</f>
        <v>0</v>
      </c>
      <c r="AH558" s="3" t="b">
        <f>_xlfn.XLOOKUP(Tableau119[[#This Row],[Key(ID-date)]],'DATA BTO'!S:S,'DATA BTO'!J:J,FALSE)</f>
        <v>0</v>
      </c>
      <c r="AI558" s="3" t="b">
        <f>_xlfn.XLOOKUP(Tableau119[[#This Row],[Key(ID-date)]],'DATA BTO'!S:S,'DATA BTO'!K:K,FALSE)</f>
        <v>0</v>
      </c>
      <c r="AJ558" s="50" t="b">
        <f>_xlfn.XLOOKUP(Tableau119[[#This Row],[Key(ID-date)]],'DATA BTO'!S:S,'DATA BTO'!L:L,FALSE)</f>
        <v>0</v>
      </c>
      <c r="AK558" s="53" t="b">
        <f>_xlfn.XLOOKUP(Tableau119[[#This Row],[Key(ID-date)]],'DATA BTO'!S:S,'DATA BTO'!N:N,FALSE)</f>
        <v>0</v>
      </c>
      <c r="AL558" s="54" t="e">
        <f>VLOOKUP(Tableau119[[#This Row],[Key(POD -PFI- Usine)]],'DATA Consignee'!A:F,6,FALSE)</f>
        <v>#N/A</v>
      </c>
      <c r="AM558" s="284"/>
      <c r="AN558" s="376" t="str">
        <f>IF(Tableau119[[#This Row],[Name PFI/CDD]]="","-",VLOOKUP(Tableau119[[#This Row],[Name PFI/CDD]],Plant_AILN!I:J,2,FALSE))</f>
        <v>-</v>
      </c>
      <c r="AO5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8" s="2" t="e">
        <f>VLOOKUP(Tableau119[[#This Row],[Key(POD -PFI- Usine)]],'DATA Consignee'!A:J,10,FALSE)</f>
        <v>#N/A</v>
      </c>
      <c r="AR558" s="50" t="e">
        <f>VLOOKUP(Tableau119[[#This Row],[Key(POD -PFI- Usine)]],'DATA Consignee'!A:N,14,FALSE)</f>
        <v>#N/A</v>
      </c>
      <c r="AS5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8" s="50">
        <f>Tableau119[[#This Row],[Transit time]]+Tableau119[[#This Row],[Time for security]]+Tableau119[[#This Row],[Time for security2 buffer]]</f>
        <v>0</v>
      </c>
      <c r="AV5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8" s="50" t="e">
        <f>Tableau119[[#This Row],[Leadtime SI2C]]+Tableau119[[#This Row],[First Receipt Days]]-Tableau119[[#This Row],[Day Customer Order]]+1</f>
        <v>#N/A</v>
      </c>
      <c r="AX558" s="119" t="e">
        <f>IF(Tableau119[[#This Row],[Name ILN]]&lt;&gt;"SFK Freight Forwarder",Tableau119[[#This Row],[Cust. Leadtime]],Tableau119[[#This Row],[Leadtime SI2C]])</f>
        <v>#N/A</v>
      </c>
      <c r="AY558" s="51" t="b">
        <f>_xlfn.XLOOKUP(Tableau119[[#This Row],[Key(ID-date)]],'DATA BTO'!S:S,'DATA BTO'!P:P,FALSE)</f>
        <v>0</v>
      </c>
      <c r="AZ558" s="338">
        <v>45777</v>
      </c>
      <c r="BA558" s="50"/>
    </row>
    <row r="559" spans="2:53">
      <c r="B559" s="446" t="str">
        <f>_xlfn.CONCAT(Tableau119[[#This Row],[Name ILN]],"-",Tableau119[[#This Row],[Name Shipper]],"-",Tableau119[[#This Row],[Name Site]])</f>
        <v>SFK Freight Forwarder-GITI RADIAL TIRE ANHUI COMPANY LTD (CNXAM-MACAS)-SOMACA</v>
      </c>
      <c r="C559" s="66" t="str">
        <f>_xlfn.CONCAT(Tableau119[[#This Row],[Compte ILN]],"-",Tableau119[[#This Row],[Compte Shipper]],"-",Tableau119[[#This Row],[POL]],"-",Tableau119[[#This Row],[Compte Consignee]])</f>
        <v>0-29179903-FALSO-90038200</v>
      </c>
      <c r="D559" s="66" t="str">
        <f>_xlfn.CONCAT(Tableau119[[#This Row],[Compte ILN]],"-",Tableau119[[#This Row],[Compte Shipper]],"-",Tableau119[[#This Row],[POL]])</f>
        <v>0-29179903-FALSO</v>
      </c>
      <c r="E559" s="130" t="str">
        <f>_xlfn.CONCAT(Tableau119[[#This Row],[POL]],"-",Tableau119[[#This Row],[Carrier]],"-",Tableau119[[#This Row],[POD]])</f>
        <v>FALSO-FALSO-FALSO</v>
      </c>
      <c r="F559" s="66" t="str">
        <f>_xlfn.CONCAT(Tableau119[[#This Row],[ID]],"-","Actif")</f>
        <v>198-Actif</v>
      </c>
      <c r="G559" s="66" t="str">
        <f>_xlfn.CONCAT(Tableau119[[#This Row],[POD]],"-",Tableau119[[#This Row],[Code PFI]],"-",Tableau119[[#This Row],[Compte Consignee]])</f>
        <v>FALSO---90038200</v>
      </c>
      <c r="H5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29179903FALSOSOMACA</v>
      </c>
      <c r="I559" s="434" t="str">
        <f>_xlfn.CONCAT(Tableau119[[#This Row],[ID]],"-",Tableau119[[#This Row],[Expiration Date]])</f>
        <v>198-45473</v>
      </c>
      <c r="J5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Forwarder-GITI RADIAL TIRE ANHUI COMPANY LTD (CNXAM-MACAS)-198-FALSO-FALSO-FALSO--45473</v>
      </c>
      <c r="K559" s="119" t="str">
        <f ca="1">IF(COUNTIF(J:J,Tableau119[[#This Row],[Plant-ILN-shipper-POL-Carrier-POD-PFI]])=1,"Non","Oui")</f>
        <v>Non</v>
      </c>
      <c r="L559" s="128" t="str">
        <f>VLOOKUP(Tableau119[[#This Row],[Name Site]],Plant_AILN!A:D,4,FALSE)</f>
        <v>MOROCCO</v>
      </c>
      <c r="M559" s="411" t="s">
        <v>179</v>
      </c>
      <c r="N559" s="454">
        <f>VLOOKUP(Tableau119[[#This Row],[Name Site]],Plant_AILN!A:C,3,FALSE)</f>
        <v>90038200</v>
      </c>
      <c r="O559" s="55">
        <f>VLOOKUP(Tableau119[[#This Row],[Compte Consignee]],Order!C:D,2,FALSE)</f>
        <v>7</v>
      </c>
      <c r="P559" s="124" t="s">
        <v>146</v>
      </c>
      <c r="Q559" s="365">
        <f>VLOOKUP(Tableau119[[#This Row],[Name ILN]],Plant_AILN!F:G,2,FALSE)</f>
        <v>0</v>
      </c>
      <c r="R559" s="50">
        <f>VLOOKUP(Tableau119[[#This Row],[Compte ILN]],'DATA ILN'!D:I,6,FALSE)</f>
        <v>9</v>
      </c>
      <c r="S559" s="50" t="e">
        <f>IFERROR(VLOOKUP(Tableau119[[#This Row],[Key(Compte ILN - shipper - POL - plant)]],'DATA ILN'!A:J,10,FALSE),VLOOKUP(Tableau119[[#This Row],[Key(Compte ILN - shipper - POL)]],'DATA ILN'!B:J,9,FALSE))</f>
        <v>#N/A</v>
      </c>
      <c r="T559" s="50" t="e">
        <f>IFERROR(VLOOKUP(Tableau119[[#This Row],[Key(Compte ILN - shipper - POL - plant)]],'DATA ILN'!A:K,11,FALSE),VLOOKUP(Tableau119[[#This Row],[Key(Compte ILN - shipper - POL)]],'DATA ILN'!B:K,10,FALSE))</f>
        <v>#N/A</v>
      </c>
      <c r="U559" s="50" t="e">
        <f>IFERROR(VLOOKUP(Tableau119[[#This Row],[Key(Compte ILN - shipper - POL - plant)]],'DATA ILN'!A:L,12,FALSE),VLOOKUP(Tableau119[[#This Row],[Key(Compte ILN - shipper - POL)]],'DATA ILN'!B:L,11,FALSE))</f>
        <v>#N/A</v>
      </c>
      <c r="V559" s="50" t="e">
        <f>Tableau119[[#This Row],[Day ILN Order]]+Tableau119[[#This Row],[Delivery time to ILN/Shipper]]-1</f>
        <v>#N/A</v>
      </c>
      <c r="W559" s="50" t="e">
        <f>IFERROR(VLOOKUP(Tableau119[[#This Row],[Key(Compte ILN - shipper - POL - plant)]],'DATA ILN'!A:N,14,FALSE),VLOOKUP(Tableau119[[#This Row],[Key(Compte ILN - shipper - POL)]],'DATA ILN'!B:N,13,FALSE))</f>
        <v>#N/A</v>
      </c>
      <c r="X559" s="50" t="e">
        <f>IFERROR(VLOOKUP(Tableau119[[#This Row],[Key(Compte ILN - shipper - POL - plant)]],'DATA ILN'!A:P,16,FALSE),VLOOKUP(Tableau119[[#This Row],[Key(Compte ILN - shipper - POL)]],'DATA ILN'!B:P,15,FALSE))</f>
        <v>#N/A</v>
      </c>
      <c r="Y559" s="284" t="s">
        <v>304</v>
      </c>
      <c r="Z559" s="430">
        <f>IFERROR(VLOOKUP(Tableau119[[#This Row],[Name Shipper]],Plant_AILN!L:M,2,FALSE),0)</f>
        <v>29179903</v>
      </c>
      <c r="AA559" s="406">
        <v>198</v>
      </c>
      <c r="AB559" s="396" t="b">
        <f>_xlfn.XLOOKUP(Tableau119[[#This Row],[Key(ID-date)]],'DATA BTO'!S:S,'DATA BTO'!E:E,FALSE)</f>
        <v>0</v>
      </c>
      <c r="AC559" s="3" t="b">
        <f>_xlfn.XLOOKUP(Tableau119[[#This Row],[Key(ID-date)]],'DATA BTO'!S:S,'DATA BTO'!F:F,FALSE)</f>
        <v>0</v>
      </c>
      <c r="AD559" s="50" t="b">
        <f>_xlfn.XLOOKUP(Tableau119[[#This Row],[Key(ID-date)]],'DATA BTO'!S:S,'DATA BTO'!G:G,FALSE)</f>
        <v>0</v>
      </c>
      <c r="AE559" s="50" t="b">
        <f>_xlfn.XLOOKUP(Tableau119[[#This Row],[Key(ID-date)]],'DATA BTO'!S:S,'DATA BTO'!H:H,FALSE)</f>
        <v>0</v>
      </c>
      <c r="AF559" s="447" t="e">
        <f>IF(Tableau119[[#This Row],[First Day to POL]]&lt;=Tableau119[[#This Row],[Day Cut Off]],Tableau119[[#This Row],[Day ETD]],Tableau119[[#This Row],[Day ETD]]+7)</f>
        <v>#N/A</v>
      </c>
      <c r="AG559" s="50" t="b">
        <f>_xlfn.XLOOKUP(Tableau119[[#This Row],[Key(ID-date)]],'DATA BTO'!S:S,'DATA BTO'!I:I,FALSE)</f>
        <v>0</v>
      </c>
      <c r="AH559" s="3" t="b">
        <f>_xlfn.XLOOKUP(Tableau119[[#This Row],[Key(ID-date)]],'DATA BTO'!S:S,'DATA BTO'!J:J,FALSE)</f>
        <v>0</v>
      </c>
      <c r="AI559" s="3" t="b">
        <f>_xlfn.XLOOKUP(Tableau119[[#This Row],[Key(ID-date)]],'DATA BTO'!S:S,'DATA BTO'!K:K,FALSE)</f>
        <v>0</v>
      </c>
      <c r="AJ559" s="50" t="b">
        <f>_xlfn.XLOOKUP(Tableau119[[#This Row],[Key(ID-date)]],'DATA BTO'!S:S,'DATA BTO'!L:L,FALSE)</f>
        <v>0</v>
      </c>
      <c r="AK559" s="53" t="b">
        <f>_xlfn.XLOOKUP(Tableau119[[#This Row],[Key(ID-date)]],'DATA BTO'!S:S,'DATA BTO'!N:N,FALSE)</f>
        <v>0</v>
      </c>
      <c r="AL559" s="54" t="e">
        <f>VLOOKUP(Tableau119[[#This Row],[Key(POD -PFI- Usine)]],'DATA Consignee'!A:F,6,FALSE)</f>
        <v>#N/A</v>
      </c>
      <c r="AM559" s="284"/>
      <c r="AN559" s="376" t="str">
        <f>IF(Tableau119[[#This Row],[Name PFI/CDD]]="","-",VLOOKUP(Tableau119[[#This Row],[Name PFI/CDD]],Plant_AILN!I:J,2,FALSE))</f>
        <v>-</v>
      </c>
      <c r="AO5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59" s="2" t="e">
        <f>VLOOKUP(Tableau119[[#This Row],[Key(POD -PFI- Usine)]],'DATA Consignee'!A:J,10,FALSE)</f>
        <v>#N/A</v>
      </c>
      <c r="AR559" s="50" t="e">
        <f>VLOOKUP(Tableau119[[#This Row],[Key(POD -PFI- Usine)]],'DATA Consignee'!A:N,14,FALSE)</f>
        <v>#N/A</v>
      </c>
      <c r="AS55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5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59" s="50">
        <f>Tableau119[[#This Row],[Transit time]]+Tableau119[[#This Row],[Time for security]]+Tableau119[[#This Row],[Time for security2 buffer]]</f>
        <v>0</v>
      </c>
      <c r="AV5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59" s="50" t="e">
        <f>Tableau119[[#This Row],[Leadtime SI2C]]+Tableau119[[#This Row],[First Receipt Days]]-Tableau119[[#This Row],[Day Customer Order]]+1</f>
        <v>#N/A</v>
      </c>
      <c r="AX559" s="119" t="e">
        <f>IF(Tableau119[[#This Row],[Name ILN]]&lt;&gt;"SFK Freight Forwarder",Tableau119[[#This Row],[Cust. Leadtime]],Tableau119[[#This Row],[Leadtime SI2C]])</f>
        <v>#N/A</v>
      </c>
      <c r="AY559" s="51" t="b">
        <f>_xlfn.XLOOKUP(Tableau119[[#This Row],[Key(ID-date)]],'DATA BTO'!S:S,'DATA BTO'!P:P,FALSE)</f>
        <v>0</v>
      </c>
      <c r="AZ559" s="338">
        <v>45473</v>
      </c>
      <c r="BA559" s="50"/>
    </row>
    <row r="560" spans="2:53">
      <c r="B560" s="66" t="str">
        <f>_xlfn.CONCAT(Tableau119[[#This Row],[Name ILN]],"-",Tableau119[[#This Row],[Name Shipper]],"-",Tableau119[[#This Row],[Name Site]])</f>
        <v>SFK Freight Forwarder-GITI RADIAL TIRE ANHUI COMPANY LTD (CNFQG)-TANGER</v>
      </c>
      <c r="C560" s="66" t="str">
        <f>_xlfn.CONCAT(Tableau119[[#This Row],[Compte ILN]],"-",Tableau119[[#This Row],[Compte Shipper]],"-",Tableau119[[#This Row],[POL]],"-",Tableau119[[#This Row],[Compte Consignee]])</f>
        <v>0-29179903-FALSO-900383</v>
      </c>
      <c r="D560" s="66" t="str">
        <f>_xlfn.CONCAT(Tableau119[[#This Row],[Compte ILN]],"-",Tableau119[[#This Row],[Compte Shipper]],"-",Tableau119[[#This Row],[POL]])</f>
        <v>0-29179903-FALSO</v>
      </c>
      <c r="E560" s="130" t="str">
        <f>_xlfn.CONCAT(Tableau119[[#This Row],[POL]],"-",Tableau119[[#This Row],[Carrier]],"-",Tableau119[[#This Row],[POD]])</f>
        <v>FALSO-FALSO-FALSO</v>
      </c>
      <c r="F560" s="66" t="str">
        <f>_xlfn.CONCAT(Tableau119[[#This Row],[ID]],"-","Actif")</f>
        <v>203-Actif</v>
      </c>
      <c r="G560" s="66" t="str">
        <f>_xlfn.CONCAT(Tableau119[[#This Row],[POD]],"-",Tableau119[[#This Row],[Code PFI]],"-",Tableau119[[#This Row],[Compte Consignee]])</f>
        <v>FALSO---900383</v>
      </c>
      <c r="H5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560" s="434" t="str">
        <f>_xlfn.CONCAT(Tableau119[[#This Row],[ID]],"-",Tableau119[[#This Row],[Expiration Date]])</f>
        <v>203-46142</v>
      </c>
      <c r="J5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(CNFQG)-203-FALSO-FALSO-FALSO--46142</v>
      </c>
      <c r="K560" s="119" t="str">
        <f ca="1">IF(COUNTIF(J:J,Tableau119[[#This Row],[Plant-ILN-shipper-POL-Carrier-POD-PFI]])=1,"Non","Oui")</f>
        <v>Non</v>
      </c>
      <c r="L560" s="436" t="str">
        <f>VLOOKUP(Tableau119[[#This Row],[Name Site]],Plant_AILN!A:D,4,FALSE)</f>
        <v>MOROCCO</v>
      </c>
      <c r="M560" s="285" t="s">
        <v>180</v>
      </c>
      <c r="N560" s="454">
        <f>VLOOKUP(Tableau119[[#This Row],[Name Site]],Plant_AILN!A:C,3,FALSE)</f>
        <v>900383</v>
      </c>
      <c r="O560" s="55">
        <f>IF(Tableau119[[#This Row],[Name PFI/CDD]]="PFI VLL",2,VLOOKUP(Tableau119[[#This Row],[Compte Consignee]],Order!C:D,2,FALSE))</f>
        <v>7</v>
      </c>
      <c r="P560" s="124" t="s">
        <v>146</v>
      </c>
      <c r="Q560" s="365">
        <f>VLOOKUP(Tableau119[[#This Row],[Name ILN]],Plant_AILN!F:G,2,FALSE)</f>
        <v>0</v>
      </c>
      <c r="R560" s="50">
        <f>VLOOKUP(Tableau119[[#This Row],[Compte ILN]],'DATA ILN'!D:I,6,FALSE)</f>
        <v>9</v>
      </c>
      <c r="S560" s="50" t="e">
        <f>IFERROR(VLOOKUP(Tableau119[[#This Row],[Key(Compte ILN - shipper - POL - plant)]],'DATA ILN'!A:J,10,FALSE),VLOOKUP(Tableau119[[#This Row],[Key(Compte ILN - shipper - POL)]],'DATA ILN'!B:J,9,FALSE))</f>
        <v>#N/A</v>
      </c>
      <c r="T560" s="50" t="e">
        <f>IFERROR(VLOOKUP(Tableau119[[#This Row],[Key(Compte ILN - shipper - POL - plant)]],'DATA ILN'!A:K,11,FALSE),VLOOKUP(Tableau119[[#This Row],[Key(Compte ILN - shipper - POL)]],'DATA ILN'!B:K,10,FALSE))</f>
        <v>#N/A</v>
      </c>
      <c r="U560" s="50" t="e">
        <f>IFERROR(VLOOKUP(Tableau119[[#This Row],[Key(Compte ILN - shipper - POL - plant)]],'DATA ILN'!A:L,12,FALSE),VLOOKUP(Tableau119[[#This Row],[Key(Compte ILN - shipper - POL)]],'DATA ILN'!B:L,11,FALSE))</f>
        <v>#N/A</v>
      </c>
      <c r="V560" s="50" t="e">
        <f>Tableau119[[#This Row],[Day ILN Order]]+Tableau119[[#This Row],[Delivery time to ILN/Shipper]]-1</f>
        <v>#N/A</v>
      </c>
      <c r="W560" s="50" t="e">
        <f>IFERROR(VLOOKUP(Tableau119[[#This Row],[Key(Compte ILN - shipper - POL - plant)]],'DATA ILN'!A:N,14,FALSE),VLOOKUP(Tableau119[[#This Row],[Key(Compte ILN - shipper - POL)]],'DATA ILN'!B:N,13,FALSE))</f>
        <v>#N/A</v>
      </c>
      <c r="X560" s="50" t="e">
        <f>IFERROR(VLOOKUP(Tableau119[[#This Row],[Key(Compte ILN - shipper - POL - plant)]],'DATA ILN'!A:P,16,FALSE),VLOOKUP(Tableau119[[#This Row],[Key(Compte ILN - shipper - POL)]],'DATA ILN'!B:P,15,FALSE))</f>
        <v>#N/A</v>
      </c>
      <c r="Y560" s="284" t="s">
        <v>286</v>
      </c>
      <c r="Z560" s="430">
        <f>IFERROR(VLOOKUP(Tableau119[[#This Row],[Name Shipper]],Plant_AILN!L:M,2,FALSE),0)</f>
        <v>29179903</v>
      </c>
      <c r="AA560" s="406">
        <v>203</v>
      </c>
      <c r="AB560" s="396" t="b">
        <f>_xlfn.XLOOKUP(Tableau119[[#This Row],[Key(ID-date)]],'DATA BTO'!S:S,'DATA BTO'!E:E,FALSE)</f>
        <v>0</v>
      </c>
      <c r="AC560" s="3" t="b">
        <f>_xlfn.XLOOKUP(Tableau119[[#This Row],[Key(ID-date)]],'DATA BTO'!S:S,'DATA BTO'!F:F,FALSE)</f>
        <v>0</v>
      </c>
      <c r="AD560" s="50" t="b">
        <f>_xlfn.XLOOKUP(Tableau119[[#This Row],[Key(ID-date)]],'DATA BTO'!S:S,'DATA BTO'!G:G,FALSE)</f>
        <v>0</v>
      </c>
      <c r="AE560" s="50" t="b">
        <f>_xlfn.XLOOKUP(Tableau119[[#This Row],[Key(ID-date)]],'DATA BTO'!S:S,'DATA BTO'!H:H,FALSE)</f>
        <v>0</v>
      </c>
      <c r="AF560" s="447" t="e">
        <f>IF(Tableau119[[#This Row],[First Day to POL]]&lt;=Tableau119[[#This Row],[Day Cut Off]],Tableau119[[#This Row],[Day ETD]],Tableau119[[#This Row],[Day ETD]]+7)</f>
        <v>#N/A</v>
      </c>
      <c r="AG560" s="50" t="b">
        <f>_xlfn.XLOOKUP(Tableau119[[#This Row],[Key(ID-date)]],'DATA BTO'!S:S,'DATA BTO'!I:I,FALSE)</f>
        <v>0</v>
      </c>
      <c r="AH560" s="3" t="b">
        <f>_xlfn.XLOOKUP(Tableau119[[#This Row],[Key(ID-date)]],'DATA BTO'!S:S,'DATA BTO'!J:J,FALSE)</f>
        <v>0</v>
      </c>
      <c r="AI560" s="3" t="b">
        <f>_xlfn.XLOOKUP(Tableau119[[#This Row],[Key(ID-date)]],'DATA BTO'!S:S,'DATA BTO'!K:K,FALSE)</f>
        <v>0</v>
      </c>
      <c r="AJ560" s="50" t="b">
        <f>_xlfn.XLOOKUP(Tableau119[[#This Row],[Key(ID-date)]],'DATA BTO'!S:S,'DATA BTO'!L:L,FALSE)</f>
        <v>0</v>
      </c>
      <c r="AK560" s="53" t="b">
        <f>_xlfn.XLOOKUP(Tableau119[[#This Row],[Key(ID-date)]],'DATA BTO'!S:S,'DATA BTO'!N:N,FALSE)</f>
        <v>0</v>
      </c>
      <c r="AL560" s="54" t="e">
        <f>VLOOKUP(Tableau119[[#This Row],[Key(POD -PFI- Usine)]],'DATA Consignee'!A:F,6,FALSE)</f>
        <v>#N/A</v>
      </c>
      <c r="AM560" s="284"/>
      <c r="AN560" s="376" t="str">
        <f>IF(Tableau119[[#This Row],[Name PFI/CDD]]="","-",VLOOKUP(Tableau119[[#This Row],[Name PFI/CDD]],Plant_AILN!I:J,2,FALSE))</f>
        <v>-</v>
      </c>
      <c r="AO5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0" s="2" t="e">
        <f>VLOOKUP(Tableau119[[#This Row],[Key(POD -PFI- Usine)]],'DATA Consignee'!A:J,10,FALSE)</f>
        <v>#N/A</v>
      </c>
      <c r="AR560" s="50" t="e">
        <f>VLOOKUP(Tableau119[[#This Row],[Key(POD -PFI- Usine)]],'DATA Consignee'!A:N,14,FALSE)</f>
        <v>#N/A</v>
      </c>
      <c r="AS5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0" s="50">
        <f>Tableau119[[#This Row],[Transit time]]+Tableau119[[#This Row],[Time for security]]+Tableau119[[#This Row],[Time for security2 buffer]]</f>
        <v>0</v>
      </c>
      <c r="AV5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0" s="50" t="e">
        <f>Tableau119[[#This Row],[Leadtime SI2C]]+Tableau119[[#This Row],[First Receipt Days]]-Tableau119[[#This Row],[Day Customer Order]]+1</f>
        <v>#N/A</v>
      </c>
      <c r="AX560" s="119" t="e">
        <f>IF(Tableau119[[#This Row],[Name ILN]]&lt;&gt;"SFK Freight Forwarder",Tableau119[[#This Row],[Cust. Leadtime]],Tableau119[[#This Row],[Leadtime SI2C]])</f>
        <v>#N/A</v>
      </c>
      <c r="AY560" s="51" t="b">
        <f>_xlfn.XLOOKUP(Tableau119[[#This Row],[Key(ID-date)]],'DATA BTO'!S:S,'DATA BTO'!P:P,FALSE)</f>
        <v>0</v>
      </c>
      <c r="AZ560" s="338">
        <v>46142</v>
      </c>
      <c r="BA560" s="50"/>
    </row>
    <row r="561" spans="2:53">
      <c r="B561" s="446" t="str">
        <f>_xlfn.CONCAT(Tableau119[[#This Row],[Name ILN]],"-",Tableau119[[#This Row],[Name Shipper]],"-",Tableau119[[#This Row],[Name Site]])</f>
        <v>SFK Freight Forwarder-GITI RADIAL TIRE ANHUI COMPANY LTD (CNFQG)-TANGER</v>
      </c>
      <c r="C561" s="66" t="str">
        <f>_xlfn.CONCAT(Tableau119[[#This Row],[Compte ILN]],"-",Tableau119[[#This Row],[Compte Shipper]],"-",Tableau119[[#This Row],[POL]],"-",Tableau119[[#This Row],[Compte Consignee]])</f>
        <v>0-29179903-FALSO-900383</v>
      </c>
      <c r="D561" s="66" t="str">
        <f>_xlfn.CONCAT(Tableau119[[#This Row],[Compte ILN]],"-",Tableau119[[#This Row],[Compte Shipper]],"-",Tableau119[[#This Row],[POL]])</f>
        <v>0-29179903-FALSO</v>
      </c>
      <c r="E561" s="130" t="str">
        <f>_xlfn.CONCAT(Tableau119[[#This Row],[POL]],"-",Tableau119[[#This Row],[Carrier]],"-",Tableau119[[#This Row],[POD]])</f>
        <v>FALSO-FALSO-FALSO</v>
      </c>
      <c r="F561" s="66" t="str">
        <f>_xlfn.CONCAT(Tableau119[[#This Row],[ID]],"-","Actif")</f>
        <v>203-Actif</v>
      </c>
      <c r="G561" s="66" t="str">
        <f>_xlfn.CONCAT(Tableau119[[#This Row],[POD]],"-",Tableau119[[#This Row],[Code PFI]],"-",Tableau119[[#This Row],[Compte Consignee]])</f>
        <v>FALSO---900383</v>
      </c>
      <c r="H5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561" s="434" t="str">
        <f>_xlfn.CONCAT(Tableau119[[#This Row],[ID]],"-",Tableau119[[#This Row],[Expiration Date]])</f>
        <v>203-45777</v>
      </c>
      <c r="J5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(CNFQG)-203-FALSO-FALSO-FALSO--45777</v>
      </c>
      <c r="K561" s="119" t="str">
        <f ca="1">IF(COUNTIF(J:J,Tableau119[[#This Row],[Plant-ILN-shipper-POL-Carrier-POD-PFI]])=1,"Non","Oui")</f>
        <v>Non</v>
      </c>
      <c r="L561" s="128" t="str">
        <f>VLOOKUP(Tableau119[[#This Row],[Name Site]],Plant_AILN!A:D,4,FALSE)</f>
        <v>MOROCCO</v>
      </c>
      <c r="M561" s="411" t="s">
        <v>180</v>
      </c>
      <c r="N561" s="454">
        <f>VLOOKUP(Tableau119[[#This Row],[Name Site]],Plant_AILN!A:C,3,FALSE)</f>
        <v>900383</v>
      </c>
      <c r="O561" s="55">
        <f>VLOOKUP(Tableau119[[#This Row],[Compte Consignee]],Order!C:D,2,FALSE)</f>
        <v>7</v>
      </c>
      <c r="P561" s="124" t="s">
        <v>146</v>
      </c>
      <c r="Q561" s="365">
        <f>VLOOKUP(Tableau119[[#This Row],[Name ILN]],Plant_AILN!F:G,2,FALSE)</f>
        <v>0</v>
      </c>
      <c r="R561" s="50">
        <f>VLOOKUP(Tableau119[[#This Row],[Compte ILN]],'DATA ILN'!D:I,6,FALSE)</f>
        <v>9</v>
      </c>
      <c r="S561" s="50" t="e">
        <f>IFERROR(VLOOKUP(Tableau119[[#This Row],[Key(Compte ILN - shipper - POL - plant)]],'DATA ILN'!A:J,10,FALSE),VLOOKUP(Tableau119[[#This Row],[Key(Compte ILN - shipper - POL)]],'DATA ILN'!B:J,9,FALSE))</f>
        <v>#N/A</v>
      </c>
      <c r="T561" s="50" t="e">
        <f>IFERROR(VLOOKUP(Tableau119[[#This Row],[Key(Compte ILN - shipper - POL - plant)]],'DATA ILN'!A:K,11,FALSE),VLOOKUP(Tableau119[[#This Row],[Key(Compte ILN - shipper - POL)]],'DATA ILN'!B:K,10,FALSE))</f>
        <v>#N/A</v>
      </c>
      <c r="U561" s="50" t="e">
        <f>IFERROR(VLOOKUP(Tableau119[[#This Row],[Key(Compte ILN - shipper - POL - plant)]],'DATA ILN'!A:L,12,FALSE),VLOOKUP(Tableau119[[#This Row],[Key(Compte ILN - shipper - POL)]],'DATA ILN'!B:L,11,FALSE))</f>
        <v>#N/A</v>
      </c>
      <c r="V561" s="50" t="e">
        <f>Tableau119[[#This Row],[Day ILN Order]]+Tableau119[[#This Row],[Delivery time to ILN/Shipper]]-1</f>
        <v>#N/A</v>
      </c>
      <c r="W561" s="50" t="e">
        <f>IFERROR(VLOOKUP(Tableau119[[#This Row],[Key(Compte ILN - shipper - POL - plant)]],'DATA ILN'!A:N,14,FALSE),VLOOKUP(Tableau119[[#This Row],[Key(Compte ILN - shipper - POL)]],'DATA ILN'!B:N,13,FALSE))</f>
        <v>#N/A</v>
      </c>
      <c r="X561" s="50" t="e">
        <f>IFERROR(VLOOKUP(Tableau119[[#This Row],[Key(Compte ILN - shipper - POL - plant)]],'DATA ILN'!A:P,16,FALSE),VLOOKUP(Tableau119[[#This Row],[Key(Compte ILN - shipper - POL)]],'DATA ILN'!B:P,15,FALSE))</f>
        <v>#N/A</v>
      </c>
      <c r="Y561" s="284" t="s">
        <v>286</v>
      </c>
      <c r="Z561" s="430">
        <f>IFERROR(VLOOKUP(Tableau119[[#This Row],[Name Shipper]],Plant_AILN!L:M,2,FALSE),0)</f>
        <v>29179903</v>
      </c>
      <c r="AA561" s="406">
        <v>203</v>
      </c>
      <c r="AB561" s="396" t="b">
        <f>_xlfn.XLOOKUP(Tableau119[[#This Row],[Key(ID-date)]],'DATA BTO'!S:S,'DATA BTO'!E:E,FALSE)</f>
        <v>0</v>
      </c>
      <c r="AC561" s="3" t="b">
        <f>_xlfn.XLOOKUP(Tableau119[[#This Row],[Key(ID-date)]],'DATA BTO'!S:S,'DATA BTO'!F:F,FALSE)</f>
        <v>0</v>
      </c>
      <c r="AD561" s="50" t="b">
        <f>_xlfn.XLOOKUP(Tableau119[[#This Row],[Key(ID-date)]],'DATA BTO'!S:S,'DATA BTO'!G:G,FALSE)</f>
        <v>0</v>
      </c>
      <c r="AE561" s="50" t="b">
        <f>_xlfn.XLOOKUP(Tableau119[[#This Row],[Key(ID-date)]],'DATA BTO'!S:S,'DATA BTO'!H:H,FALSE)</f>
        <v>0</v>
      </c>
      <c r="AF561" s="447" t="e">
        <f>IF(Tableau119[[#This Row],[First Day to POL]]&lt;=Tableau119[[#This Row],[Day Cut Off]],Tableau119[[#This Row],[Day ETD]],Tableau119[[#This Row],[Day ETD]]+7)</f>
        <v>#N/A</v>
      </c>
      <c r="AG561" s="50" t="b">
        <f>_xlfn.XLOOKUP(Tableau119[[#This Row],[Key(ID-date)]],'DATA BTO'!S:S,'DATA BTO'!I:I,FALSE)</f>
        <v>0</v>
      </c>
      <c r="AH561" s="3" t="b">
        <f>_xlfn.XLOOKUP(Tableau119[[#This Row],[Key(ID-date)]],'DATA BTO'!S:S,'DATA BTO'!J:J,FALSE)</f>
        <v>0</v>
      </c>
      <c r="AI561" s="3" t="b">
        <f>_xlfn.XLOOKUP(Tableau119[[#This Row],[Key(ID-date)]],'DATA BTO'!S:S,'DATA BTO'!K:K,FALSE)</f>
        <v>0</v>
      </c>
      <c r="AJ561" s="50" t="b">
        <f>_xlfn.XLOOKUP(Tableau119[[#This Row],[Key(ID-date)]],'DATA BTO'!S:S,'DATA BTO'!L:L,FALSE)</f>
        <v>0</v>
      </c>
      <c r="AK561" s="53" t="b">
        <f>_xlfn.XLOOKUP(Tableau119[[#This Row],[Key(ID-date)]],'DATA BTO'!S:S,'DATA BTO'!N:N,FALSE)</f>
        <v>0</v>
      </c>
      <c r="AL561" s="54" t="e">
        <f>VLOOKUP(Tableau119[[#This Row],[Key(POD -PFI- Usine)]],'DATA Consignee'!A:F,6,FALSE)</f>
        <v>#N/A</v>
      </c>
      <c r="AM561" s="284"/>
      <c r="AN561" s="376" t="str">
        <f>IF(Tableau119[[#This Row],[Name PFI/CDD]]="","-",VLOOKUP(Tableau119[[#This Row],[Name PFI/CDD]],Plant_AILN!I:J,2,FALSE))</f>
        <v>-</v>
      </c>
      <c r="AO5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1" s="2" t="e">
        <f>VLOOKUP(Tableau119[[#This Row],[Key(POD -PFI- Usine)]],'DATA Consignee'!A:J,10,FALSE)</f>
        <v>#N/A</v>
      </c>
      <c r="AR561" s="50" t="e">
        <f>VLOOKUP(Tableau119[[#This Row],[Key(POD -PFI- Usine)]],'DATA Consignee'!A:N,14,FALSE)</f>
        <v>#N/A</v>
      </c>
      <c r="AS5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1" s="50">
        <f>Tableau119[[#This Row],[Transit time]]+Tableau119[[#This Row],[Time for security]]+Tableau119[[#This Row],[Time for security2 buffer]]</f>
        <v>0</v>
      </c>
      <c r="AV5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1" s="50" t="e">
        <f>Tableau119[[#This Row],[Leadtime SI2C]]+Tableau119[[#This Row],[First Receipt Days]]-Tableau119[[#This Row],[Day Customer Order]]+1</f>
        <v>#N/A</v>
      </c>
      <c r="AX561" s="119" t="e">
        <f>IF(Tableau119[[#This Row],[Name ILN]]&lt;&gt;"SFK Freight Forwarder",Tableau119[[#This Row],[Cust. Leadtime]],Tableau119[[#This Row],[Leadtime SI2C]])</f>
        <v>#N/A</v>
      </c>
      <c r="AY561" s="51" t="b">
        <f>_xlfn.XLOOKUP(Tableau119[[#This Row],[Key(ID-date)]],'DATA BTO'!S:S,'DATA BTO'!P:P,FALSE)</f>
        <v>0</v>
      </c>
      <c r="AZ561" s="338">
        <v>45777</v>
      </c>
      <c r="BA561" s="50"/>
    </row>
    <row r="562" spans="2:53">
      <c r="B562" s="446" t="str">
        <f>_xlfn.CONCAT(Tableau119[[#This Row],[Name ILN]],"-",Tableau119[[#This Row],[Name Shipper]],"-",Tableau119[[#This Row],[Name Site]])</f>
        <v>SFK Freight Forwarder-GITI RADIAL TIRE ANHUI COMPANY LTD (CNFQG)-TANGER</v>
      </c>
      <c r="C562" s="66" t="str">
        <f>_xlfn.CONCAT(Tableau119[[#This Row],[Compte ILN]],"-",Tableau119[[#This Row],[Compte Shipper]],"-",Tableau119[[#This Row],[POL]],"-",Tableau119[[#This Row],[Compte Consignee]])</f>
        <v>0-29179903-FALSO-900383</v>
      </c>
      <c r="D562" s="66" t="str">
        <f>_xlfn.CONCAT(Tableau119[[#This Row],[Compte ILN]],"-",Tableau119[[#This Row],[Compte Shipper]],"-",Tableau119[[#This Row],[POL]])</f>
        <v>0-29179903-FALSO</v>
      </c>
      <c r="E562" s="130" t="str">
        <f>_xlfn.CONCAT(Tableau119[[#This Row],[POL]],"-",Tableau119[[#This Row],[Carrier]],"-",Tableau119[[#This Row],[POD]])</f>
        <v>FALSO-FALSO-FALSO</v>
      </c>
      <c r="F562" s="66" t="str">
        <f>_xlfn.CONCAT(Tableau119[[#This Row],[ID]],"-","Actif")</f>
        <v>203-Actif</v>
      </c>
      <c r="G562" s="66" t="str">
        <f>_xlfn.CONCAT(Tableau119[[#This Row],[POD]],"-",Tableau119[[#This Row],[Code PFI]],"-",Tableau119[[#This Row],[Compte Consignee]])</f>
        <v>FALSO---900383</v>
      </c>
      <c r="H5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562" s="434" t="str">
        <f>_xlfn.CONCAT(Tableau119[[#This Row],[ID]],"-",Tableau119[[#This Row],[Expiration Date]])</f>
        <v>203-45473</v>
      </c>
      <c r="J5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(CNFQG)-203-FALSO-FALSO-FALSO--45473</v>
      </c>
      <c r="K562" s="119" t="str">
        <f ca="1">IF(COUNTIF(J:J,Tableau119[[#This Row],[Plant-ILN-shipper-POL-Carrier-POD-PFI]])=1,"Non","Oui")</f>
        <v>Non</v>
      </c>
      <c r="L562" s="128" t="str">
        <f>VLOOKUP(Tableau119[[#This Row],[Name Site]],Plant_AILN!A:D,4,FALSE)</f>
        <v>MOROCCO</v>
      </c>
      <c r="M562" s="411" t="s">
        <v>180</v>
      </c>
      <c r="N562" s="454">
        <f>VLOOKUP(Tableau119[[#This Row],[Name Site]],Plant_AILN!A:C,3,FALSE)</f>
        <v>900383</v>
      </c>
      <c r="O562" s="55">
        <f>VLOOKUP(Tableau119[[#This Row],[Compte Consignee]],Order!C:D,2,FALSE)</f>
        <v>7</v>
      </c>
      <c r="P562" s="124" t="s">
        <v>146</v>
      </c>
      <c r="Q562" s="365">
        <f>VLOOKUP(Tableau119[[#This Row],[Name ILN]],Plant_AILN!F:G,2,FALSE)</f>
        <v>0</v>
      </c>
      <c r="R562" s="50">
        <f>VLOOKUP(Tableau119[[#This Row],[Compte ILN]],'DATA ILN'!D:I,6,FALSE)</f>
        <v>9</v>
      </c>
      <c r="S562" s="50" t="e">
        <f>IFERROR(VLOOKUP(Tableau119[[#This Row],[Key(Compte ILN - shipper - POL - plant)]],'DATA ILN'!A:J,10,FALSE),VLOOKUP(Tableau119[[#This Row],[Key(Compte ILN - shipper - POL)]],'DATA ILN'!B:J,9,FALSE))</f>
        <v>#N/A</v>
      </c>
      <c r="T562" s="50" t="e">
        <f>IFERROR(VLOOKUP(Tableau119[[#This Row],[Key(Compte ILN - shipper - POL - plant)]],'DATA ILN'!A:K,11,FALSE),VLOOKUP(Tableau119[[#This Row],[Key(Compte ILN - shipper - POL)]],'DATA ILN'!B:K,10,FALSE))</f>
        <v>#N/A</v>
      </c>
      <c r="U562" s="50" t="e">
        <f>IFERROR(VLOOKUP(Tableau119[[#This Row],[Key(Compte ILN - shipper - POL - plant)]],'DATA ILN'!A:L,12,FALSE),VLOOKUP(Tableau119[[#This Row],[Key(Compte ILN - shipper - POL)]],'DATA ILN'!B:L,11,FALSE))</f>
        <v>#N/A</v>
      </c>
      <c r="V562" s="50" t="e">
        <f>Tableau119[[#This Row],[Day ILN Order]]+Tableau119[[#This Row],[Delivery time to ILN/Shipper]]-1</f>
        <v>#N/A</v>
      </c>
      <c r="W562" s="50" t="e">
        <f>IFERROR(VLOOKUP(Tableau119[[#This Row],[Key(Compte ILN - shipper - POL - plant)]],'DATA ILN'!A:N,14,FALSE),VLOOKUP(Tableau119[[#This Row],[Key(Compte ILN - shipper - POL)]],'DATA ILN'!B:N,13,FALSE))</f>
        <v>#N/A</v>
      </c>
      <c r="X562" s="50" t="e">
        <f>IFERROR(VLOOKUP(Tableau119[[#This Row],[Key(Compte ILN - shipper - POL - plant)]],'DATA ILN'!A:P,16,FALSE),VLOOKUP(Tableau119[[#This Row],[Key(Compte ILN - shipper - POL)]],'DATA ILN'!B:P,15,FALSE))</f>
        <v>#N/A</v>
      </c>
      <c r="Y562" s="284" t="s">
        <v>286</v>
      </c>
      <c r="Z562" s="430">
        <f>IFERROR(VLOOKUP(Tableau119[[#This Row],[Name Shipper]],Plant_AILN!L:M,2,FALSE),0)</f>
        <v>29179903</v>
      </c>
      <c r="AA562" s="406">
        <v>203</v>
      </c>
      <c r="AB562" s="396" t="b">
        <f>_xlfn.XLOOKUP(Tableau119[[#This Row],[Key(ID-date)]],'DATA BTO'!S:S,'DATA BTO'!E:E,FALSE)</f>
        <v>0</v>
      </c>
      <c r="AC562" s="3" t="b">
        <f>_xlfn.XLOOKUP(Tableau119[[#This Row],[Key(ID-date)]],'DATA BTO'!S:S,'DATA BTO'!F:F,FALSE)</f>
        <v>0</v>
      </c>
      <c r="AD562" s="50" t="b">
        <f>_xlfn.XLOOKUP(Tableau119[[#This Row],[Key(ID-date)]],'DATA BTO'!S:S,'DATA BTO'!G:G,FALSE)</f>
        <v>0</v>
      </c>
      <c r="AE562" s="50" t="b">
        <f>_xlfn.XLOOKUP(Tableau119[[#This Row],[Key(ID-date)]],'DATA BTO'!S:S,'DATA BTO'!H:H,FALSE)</f>
        <v>0</v>
      </c>
      <c r="AF562" s="447" t="e">
        <f>IF(Tableau119[[#This Row],[First Day to POL]]&lt;=Tableau119[[#This Row],[Day Cut Off]],Tableau119[[#This Row],[Day ETD]],Tableau119[[#This Row],[Day ETD]]+7)</f>
        <v>#N/A</v>
      </c>
      <c r="AG562" s="50" t="b">
        <f>_xlfn.XLOOKUP(Tableau119[[#This Row],[Key(ID-date)]],'DATA BTO'!S:S,'DATA BTO'!I:I,FALSE)</f>
        <v>0</v>
      </c>
      <c r="AH562" s="3" t="b">
        <f>_xlfn.XLOOKUP(Tableau119[[#This Row],[Key(ID-date)]],'DATA BTO'!S:S,'DATA BTO'!J:J,FALSE)</f>
        <v>0</v>
      </c>
      <c r="AI562" s="3" t="b">
        <f>_xlfn.XLOOKUP(Tableau119[[#This Row],[Key(ID-date)]],'DATA BTO'!S:S,'DATA BTO'!K:K,FALSE)</f>
        <v>0</v>
      </c>
      <c r="AJ562" s="50" t="b">
        <f>_xlfn.XLOOKUP(Tableau119[[#This Row],[Key(ID-date)]],'DATA BTO'!S:S,'DATA BTO'!L:L,FALSE)</f>
        <v>0</v>
      </c>
      <c r="AK562" s="53" t="b">
        <f>_xlfn.XLOOKUP(Tableau119[[#This Row],[Key(ID-date)]],'DATA BTO'!S:S,'DATA BTO'!N:N,FALSE)</f>
        <v>0</v>
      </c>
      <c r="AL562" s="54" t="e">
        <f>VLOOKUP(Tableau119[[#This Row],[Key(POD -PFI- Usine)]],'DATA Consignee'!A:F,6,FALSE)</f>
        <v>#N/A</v>
      </c>
      <c r="AM562" s="284"/>
      <c r="AN562" s="376" t="str">
        <f>IF(Tableau119[[#This Row],[Name PFI/CDD]]="","-",VLOOKUP(Tableau119[[#This Row],[Name PFI/CDD]],Plant_AILN!I:J,2,FALSE))</f>
        <v>-</v>
      </c>
      <c r="AO5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2" s="2" t="e">
        <f>VLOOKUP(Tableau119[[#This Row],[Key(POD -PFI- Usine)]],'DATA Consignee'!A:J,10,FALSE)</f>
        <v>#N/A</v>
      </c>
      <c r="AR562" s="50" t="e">
        <f>VLOOKUP(Tableau119[[#This Row],[Key(POD -PFI- Usine)]],'DATA Consignee'!A:N,14,FALSE)</f>
        <v>#N/A</v>
      </c>
      <c r="AS5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2" s="50">
        <f>Tableau119[[#This Row],[Transit time]]+Tableau119[[#This Row],[Time for security]]+Tableau119[[#This Row],[Time for security2 buffer]]</f>
        <v>0</v>
      </c>
      <c r="AV5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2" s="50" t="e">
        <f>Tableau119[[#This Row],[Leadtime SI2C]]+Tableau119[[#This Row],[First Receipt Days]]-Tableau119[[#This Row],[Day Customer Order]]+1</f>
        <v>#N/A</v>
      </c>
      <c r="AX562" s="119" t="e">
        <f>IF(Tableau119[[#This Row],[Name ILN]]&lt;&gt;"SFK Freight Forwarder",Tableau119[[#This Row],[Cust. Leadtime]],Tableau119[[#This Row],[Leadtime SI2C]])</f>
        <v>#N/A</v>
      </c>
      <c r="AY562" s="51" t="b">
        <f>_xlfn.XLOOKUP(Tableau119[[#This Row],[Key(ID-date)]],'DATA BTO'!S:S,'DATA BTO'!P:P,FALSE)</f>
        <v>0</v>
      </c>
      <c r="AZ562" s="338">
        <v>45473</v>
      </c>
      <c r="BA562" s="50"/>
    </row>
    <row r="563" spans="2:53">
      <c r="B563" s="66" t="str">
        <f>_xlfn.CONCAT(Tableau119[[#This Row],[Name ILN]],"-",Tableau119[[#This Row],[Name Shipper]],"-",Tableau119[[#This Row],[Name Site]])</f>
        <v>KWE Shanghai-KWE Shanghai-SOMACA</v>
      </c>
      <c r="C563" s="66" t="str">
        <f>_xlfn.CONCAT(Tableau119[[#This Row],[Compte ILN]],"-",Tableau119[[#This Row],[Compte Shipper]],"-",Tableau119[[#This Row],[POL]],"-",Tableau119[[#This Row],[Compte Consignee]])</f>
        <v>26037000-26037000-FALSO-90038200</v>
      </c>
      <c r="D563" s="66" t="str">
        <f>_xlfn.CONCAT(Tableau119[[#This Row],[Compte ILN]],"-",Tableau119[[#This Row],[Compte Shipper]],"-",Tableau119[[#This Row],[POL]])</f>
        <v>26037000-26037000-FALSO</v>
      </c>
      <c r="E563" s="130" t="str">
        <f>_xlfn.CONCAT(Tableau119[[#This Row],[POL]],"-",Tableau119[[#This Row],[Carrier]],"-",Tableau119[[#This Row],[POD]])</f>
        <v>FALSO-FALSO-FALSO</v>
      </c>
      <c r="F563" s="66" t="str">
        <f>_xlfn.CONCAT(Tableau119[[#This Row],[ID]],"-","Actif")</f>
        <v>204-Actif</v>
      </c>
      <c r="G563" s="66" t="str">
        <f>_xlfn.CONCAT(Tableau119[[#This Row],[POD]],"-",Tableau119[[#This Row],[Code PFI]],"-",Tableau119[[#This Row],[Compte Consignee]])</f>
        <v>FALSO---90038200</v>
      </c>
      <c r="H5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ShanghaiFALSOSOMACA</v>
      </c>
      <c r="I563" s="434" t="str">
        <f>_xlfn.CONCAT(Tableau119[[#This Row],[ID]],"-",Tableau119[[#This Row],[Expiration Date]])</f>
        <v>204-46053</v>
      </c>
      <c r="J5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SOMACA-KWE Shanghai-KWE Shanghai-204-FALSO-FALSO-FALSO--46053</v>
      </c>
      <c r="K563" s="119" t="str">
        <f ca="1">IF(COUNTIF(J:J,Tableau119[[#This Row],[Plant-ILN-shipper-POL-Carrier-POD-PFI]])=1,"Non","Oui")</f>
        <v>Non</v>
      </c>
      <c r="L563" s="440" t="str">
        <f>VLOOKUP(Tableau119[[#This Row],[Name Site]],Plant_AILN!A:D,4,FALSE)</f>
        <v>MOROCCO</v>
      </c>
      <c r="M563" s="483" t="s">
        <v>179</v>
      </c>
      <c r="N563" s="455">
        <f>VLOOKUP(Tableau119[[#This Row],[Name Site]],Plant_AILN!A:C,3,FALSE)</f>
        <v>90038200</v>
      </c>
      <c r="O563" s="104">
        <f>IF(Tableau119[[#This Row],[Name PFI/CDD]]="PFI VLL",2,VLOOKUP(Tableau119[[#This Row],[Compte Consignee]],Order!C:D,2,FALSE))</f>
        <v>7</v>
      </c>
      <c r="P563" s="126" t="s">
        <v>62</v>
      </c>
      <c r="Q563" s="366">
        <f>VLOOKUP(Tableau119[[#This Row],[Name ILN]],Plant_AILN!F:G,2,FALSE)</f>
        <v>26037000</v>
      </c>
      <c r="R563" s="81">
        <f>VLOOKUP(Tableau119[[#This Row],[Compte ILN]],'DATA ILN'!D:I,6,FALSE)</f>
        <v>9</v>
      </c>
      <c r="S563" s="81" t="e">
        <f>IFERROR(VLOOKUP(Tableau119[[#This Row],[Key(Compte ILN - shipper - POL - plant)]],'DATA ILN'!A:J,10,FALSE),VLOOKUP(Tableau119[[#This Row],[Key(Compte ILN - shipper - POL)]],'DATA ILN'!B:J,9,FALSE))</f>
        <v>#N/A</v>
      </c>
      <c r="T563" s="81" t="e">
        <f>IFERROR(VLOOKUP(Tableau119[[#This Row],[Key(Compte ILN - shipper - POL - plant)]],'DATA ILN'!A:K,11,FALSE),VLOOKUP(Tableau119[[#This Row],[Key(Compte ILN - shipper - POL)]],'DATA ILN'!B:K,10,FALSE))</f>
        <v>#N/A</v>
      </c>
      <c r="U563" s="81" t="e">
        <f>IFERROR(VLOOKUP(Tableau119[[#This Row],[Key(Compte ILN - shipper - POL - plant)]],'DATA ILN'!A:L,12,FALSE),VLOOKUP(Tableau119[[#This Row],[Key(Compte ILN - shipper - POL)]],'DATA ILN'!B:L,11,FALSE))</f>
        <v>#N/A</v>
      </c>
      <c r="V563" s="81" t="e">
        <f>Tableau119[[#This Row],[Day ILN Order]]+Tableau119[[#This Row],[Delivery time to ILN/Shipper]]-1</f>
        <v>#N/A</v>
      </c>
      <c r="W563" s="81" t="e">
        <f>IFERROR(VLOOKUP(Tableau119[[#This Row],[Key(Compte ILN - shipper - POL - plant)]],'DATA ILN'!A:N,14,FALSE),VLOOKUP(Tableau119[[#This Row],[Key(Compte ILN - shipper - POL)]],'DATA ILN'!B:N,13,FALSE))</f>
        <v>#N/A</v>
      </c>
      <c r="X563" s="81" t="e">
        <f>IFERROR(VLOOKUP(Tableau119[[#This Row],[Key(Compte ILN - shipper - POL - plant)]],'DATA ILN'!A:P,16,FALSE),VLOOKUP(Tableau119[[#This Row],[Key(Compte ILN - shipper - POL)]],'DATA ILN'!B:P,15,FALSE))</f>
        <v>#N/A</v>
      </c>
      <c r="Y563" s="102" t="s">
        <v>62</v>
      </c>
      <c r="Z563" s="417">
        <f>IFERROR(VLOOKUP(Tableau119[[#This Row],[Name Shipper]],Plant_AILN!L:M,2,FALSE),0)</f>
        <v>26037000</v>
      </c>
      <c r="AA563" s="416">
        <v>204</v>
      </c>
      <c r="AB563" s="396" t="b">
        <f>_xlfn.XLOOKUP(Tableau119[[#This Row],[Key(ID-date)]],'DATA BTO'!S:S,'DATA BTO'!E:E,FALSE)</f>
        <v>0</v>
      </c>
      <c r="AC563" s="3" t="b">
        <f>_xlfn.XLOOKUP(Tableau119[[#This Row],[Key(ID-date)]],'DATA BTO'!S:S,'DATA BTO'!F:F,FALSE)</f>
        <v>0</v>
      </c>
      <c r="AD563" s="50" t="b">
        <f>_xlfn.XLOOKUP(Tableau119[[#This Row],[Key(ID-date)]],'DATA BTO'!S:S,'DATA BTO'!G:G,FALSE)</f>
        <v>0</v>
      </c>
      <c r="AE563" s="50" t="b">
        <f>_xlfn.XLOOKUP(Tableau119[[#This Row],[Key(ID-date)]],'DATA BTO'!S:S,'DATA BTO'!H:H,FALSE)</f>
        <v>0</v>
      </c>
      <c r="AF563" s="447" t="e">
        <f>IF(Tableau119[[#This Row],[First Day to POL]]&lt;=Tableau119[[#This Row],[Day Cut Off]],Tableau119[[#This Row],[Day ETD]],Tableau119[[#This Row],[Day ETD]]+7)</f>
        <v>#N/A</v>
      </c>
      <c r="AG563" s="50" t="b">
        <f>_xlfn.XLOOKUP(Tableau119[[#This Row],[Key(ID-date)]],'DATA BTO'!S:S,'DATA BTO'!I:I,FALSE)</f>
        <v>0</v>
      </c>
      <c r="AH563" s="3" t="b">
        <f>_xlfn.XLOOKUP(Tableau119[[#This Row],[Key(ID-date)]],'DATA BTO'!S:S,'DATA BTO'!J:J,FALSE)</f>
        <v>0</v>
      </c>
      <c r="AI563" s="3" t="b">
        <f>_xlfn.XLOOKUP(Tableau119[[#This Row],[Key(ID-date)]],'DATA BTO'!S:S,'DATA BTO'!K:K,FALSE)</f>
        <v>0</v>
      </c>
      <c r="AJ563" s="50" t="b">
        <f>_xlfn.XLOOKUP(Tableau119[[#This Row],[Key(ID-date)]],'DATA BTO'!S:S,'DATA BTO'!L:L,FALSE)</f>
        <v>0</v>
      </c>
      <c r="AK563" s="53" t="b">
        <f>_xlfn.XLOOKUP(Tableau119[[#This Row],[Key(ID-date)]],'DATA BTO'!S:S,'DATA BTO'!N:N,FALSE)</f>
        <v>0</v>
      </c>
      <c r="AL563" s="54" t="e">
        <f>VLOOKUP(Tableau119[[#This Row],[Key(POD -PFI- Usine)]],'DATA Consignee'!A:F,6,FALSE)</f>
        <v>#N/A</v>
      </c>
      <c r="AM563" s="102"/>
      <c r="AN563" s="375" t="str">
        <f>IF(Tableau119[[#This Row],[Name PFI/CDD]]="","-",VLOOKUP(Tableau119[[#This Row],[Name PFI/CDD]],Plant_AILN!I:J,2,FALSE))</f>
        <v>-</v>
      </c>
      <c r="AO56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3" s="110" t="e">
        <f>VLOOKUP(Tableau119[[#This Row],[Key(POD -PFI- Usine)]],'DATA Consignee'!A:J,10,FALSE)</f>
        <v>#N/A</v>
      </c>
      <c r="AR563" s="81" t="e">
        <f>VLOOKUP(Tableau119[[#This Row],[Key(POD -PFI- Usine)]],'DATA Consignee'!A:N,14,FALSE)</f>
        <v>#N/A</v>
      </c>
      <c r="AS56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3" s="81">
        <f>Tableau119[[#This Row],[Transit time]]+Tableau119[[#This Row],[Time for security]]+Tableau119[[#This Row],[Time for security2 buffer]]</f>
        <v>0</v>
      </c>
      <c r="AV5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3" s="50" t="e">
        <f>Tableau119[[#This Row],[Leadtime SI2C]]+Tableau119[[#This Row],[First Receipt Days]]-Tableau119[[#This Row],[Day Customer Order]]+1</f>
        <v>#N/A</v>
      </c>
      <c r="AX563" s="119" t="e">
        <f>IF(Tableau119[[#This Row],[Name ILN]]&lt;&gt;"SFK Freight Forwarder",Tableau119[[#This Row],[Cust. Leadtime]],Tableau119[[#This Row],[Leadtime SI2C]])</f>
        <v>#N/A</v>
      </c>
      <c r="AY563" s="51" t="b">
        <f>_xlfn.XLOOKUP(Tableau119[[#This Row],[Key(ID-date)]],'DATA BTO'!S:S,'DATA BTO'!P:P,FALSE)</f>
        <v>0</v>
      </c>
      <c r="AZ563" s="388">
        <v>46053</v>
      </c>
      <c r="BA563" s="81"/>
    </row>
    <row r="564" spans="2:53">
      <c r="B564" s="66" t="str">
        <f>_xlfn.CONCAT(Tableau119[[#This Row],[Name ILN]],"-",Tableau119[[#This Row],[Name Shipper]],"-",Tableau119[[#This Row],[Name Site]])</f>
        <v>KWE Shanghai-KWE Shanghai-TANGER</v>
      </c>
      <c r="C564" s="66" t="str">
        <f>_xlfn.CONCAT(Tableau119[[#This Row],[Compte ILN]],"-",Tableau119[[#This Row],[Compte Shipper]],"-",Tableau119[[#This Row],[POL]],"-",Tableau119[[#This Row],[Compte Consignee]])</f>
        <v>26037000-26037000-FALSO-900383</v>
      </c>
      <c r="D564" s="66" t="str">
        <f>_xlfn.CONCAT(Tableau119[[#This Row],[Compte ILN]],"-",Tableau119[[#This Row],[Compte Shipper]],"-",Tableau119[[#This Row],[POL]])</f>
        <v>26037000-26037000-FALSO</v>
      </c>
      <c r="E564" s="130" t="str">
        <f>_xlfn.CONCAT(Tableau119[[#This Row],[POL]],"-",Tableau119[[#This Row],[Carrier]],"-",Tableau119[[#This Row],[POD]])</f>
        <v>FALSO-FALSO-FALSO</v>
      </c>
      <c r="F564" s="66" t="str">
        <f>_xlfn.CONCAT(Tableau119[[#This Row],[ID]],"-","Actif")</f>
        <v>204-Actif</v>
      </c>
      <c r="G564" s="66" t="str">
        <f>_xlfn.CONCAT(Tableau119[[#This Row],[POD]],"-",Tableau119[[#This Row],[Code PFI]],"-",Tableau119[[#This Row],[Compte Consignee]])</f>
        <v>FALSO---900383</v>
      </c>
      <c r="H5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ShanghaiFALSOTANGER</v>
      </c>
      <c r="I564" s="434" t="str">
        <f>_xlfn.CONCAT(Tableau119[[#This Row],[ID]],"-",Tableau119[[#This Row],[Expiration Date]])</f>
        <v>204-46053</v>
      </c>
      <c r="J5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TANGER-KWE Shanghai-KWE Shanghai-204-FALSO-FALSO-FALSO--46053</v>
      </c>
      <c r="K564" s="119" t="str">
        <f ca="1">IF(COUNTIF(J:J,Tableau119[[#This Row],[Plant-ILN-shipper-POL-Carrier-POD-PFI]])=1,"Non","Oui")</f>
        <v>Non</v>
      </c>
      <c r="L564" s="436" t="str">
        <f>VLOOKUP(Tableau119[[#This Row],[Name Site]],Plant_AILN!A:D,4,FALSE)</f>
        <v>MOROCCO</v>
      </c>
      <c r="M564" s="285" t="s">
        <v>180</v>
      </c>
      <c r="N564" s="454">
        <f>VLOOKUP(Tableau119[[#This Row],[Name Site]],Plant_AILN!A:C,3,FALSE)</f>
        <v>900383</v>
      </c>
      <c r="O564" s="55">
        <f>IF(Tableau119[[#This Row],[Name PFI/CDD]]="PFI VLL",2,VLOOKUP(Tableau119[[#This Row],[Compte Consignee]],Order!C:D,2,FALSE))</f>
        <v>7</v>
      </c>
      <c r="P564" s="124" t="s">
        <v>62</v>
      </c>
      <c r="Q564" s="365">
        <f>VLOOKUP(Tableau119[[#This Row],[Name ILN]],Plant_AILN!F:G,2,FALSE)</f>
        <v>26037000</v>
      </c>
      <c r="R564" s="50">
        <f>VLOOKUP(Tableau119[[#This Row],[Compte ILN]],'DATA ILN'!D:I,6,FALSE)</f>
        <v>9</v>
      </c>
      <c r="S564" s="50" t="e">
        <f>IFERROR(VLOOKUP(Tableau119[[#This Row],[Key(Compte ILN - shipper - POL - plant)]],'DATA ILN'!A:J,10,FALSE),VLOOKUP(Tableau119[[#This Row],[Key(Compte ILN - shipper - POL)]],'DATA ILN'!B:J,9,FALSE))</f>
        <v>#N/A</v>
      </c>
      <c r="T564" s="50" t="e">
        <f>IFERROR(VLOOKUP(Tableau119[[#This Row],[Key(Compte ILN - shipper - POL - plant)]],'DATA ILN'!A:K,11,FALSE),VLOOKUP(Tableau119[[#This Row],[Key(Compte ILN - shipper - POL)]],'DATA ILN'!B:K,10,FALSE))</f>
        <v>#N/A</v>
      </c>
      <c r="U564" s="50" t="e">
        <f>IFERROR(VLOOKUP(Tableau119[[#This Row],[Key(Compte ILN - shipper - POL - plant)]],'DATA ILN'!A:L,12,FALSE),VLOOKUP(Tableau119[[#This Row],[Key(Compte ILN - shipper - POL)]],'DATA ILN'!B:L,11,FALSE))</f>
        <v>#N/A</v>
      </c>
      <c r="V564" s="50" t="e">
        <f>Tableau119[[#This Row],[Day ILN Order]]+Tableau119[[#This Row],[Delivery time to ILN/Shipper]]-1</f>
        <v>#N/A</v>
      </c>
      <c r="W564" s="50" t="e">
        <f>IFERROR(VLOOKUP(Tableau119[[#This Row],[Key(Compte ILN - shipper - POL - plant)]],'DATA ILN'!A:N,14,FALSE),VLOOKUP(Tableau119[[#This Row],[Key(Compte ILN - shipper - POL)]],'DATA ILN'!B:N,13,FALSE))</f>
        <v>#N/A</v>
      </c>
      <c r="X564" s="50" t="e">
        <f>IFERROR(VLOOKUP(Tableau119[[#This Row],[Key(Compte ILN - shipper - POL - plant)]],'DATA ILN'!A:P,16,FALSE),VLOOKUP(Tableau119[[#This Row],[Key(Compte ILN - shipper - POL)]],'DATA ILN'!B:P,15,FALSE))</f>
        <v>#N/A</v>
      </c>
      <c r="Y564" s="284" t="s">
        <v>62</v>
      </c>
      <c r="Z564" s="430">
        <f>IFERROR(VLOOKUP(Tableau119[[#This Row],[Name Shipper]],Plant_AILN!L:M,2,FALSE),0)</f>
        <v>26037000</v>
      </c>
      <c r="AA564" s="406">
        <v>204</v>
      </c>
      <c r="AB564" s="396" t="b">
        <f>_xlfn.XLOOKUP(Tableau119[[#This Row],[Key(ID-date)]],'DATA BTO'!S:S,'DATA BTO'!E:E,FALSE)</f>
        <v>0</v>
      </c>
      <c r="AC564" s="3" t="b">
        <f>_xlfn.XLOOKUP(Tableau119[[#This Row],[Key(ID-date)]],'DATA BTO'!S:S,'DATA BTO'!F:F,FALSE)</f>
        <v>0</v>
      </c>
      <c r="AD564" s="50" t="b">
        <f>_xlfn.XLOOKUP(Tableau119[[#This Row],[Key(ID-date)]],'DATA BTO'!S:S,'DATA BTO'!G:G,FALSE)</f>
        <v>0</v>
      </c>
      <c r="AE564" s="50" t="b">
        <f>_xlfn.XLOOKUP(Tableau119[[#This Row],[Key(ID-date)]],'DATA BTO'!S:S,'DATA BTO'!H:H,FALSE)</f>
        <v>0</v>
      </c>
      <c r="AF564" s="447" t="e">
        <f>IF(Tableau119[[#This Row],[First Day to POL]]&lt;=Tableau119[[#This Row],[Day Cut Off]],Tableau119[[#This Row],[Day ETD]],Tableau119[[#This Row],[Day ETD]]+7)</f>
        <v>#N/A</v>
      </c>
      <c r="AG564" s="50" t="b">
        <f>_xlfn.XLOOKUP(Tableau119[[#This Row],[Key(ID-date)]],'DATA BTO'!S:S,'DATA BTO'!I:I,FALSE)</f>
        <v>0</v>
      </c>
      <c r="AH564" s="3" t="b">
        <f>_xlfn.XLOOKUP(Tableau119[[#This Row],[Key(ID-date)]],'DATA BTO'!S:S,'DATA BTO'!J:J,FALSE)</f>
        <v>0</v>
      </c>
      <c r="AI564" s="3" t="b">
        <f>_xlfn.XLOOKUP(Tableau119[[#This Row],[Key(ID-date)]],'DATA BTO'!S:S,'DATA BTO'!K:K,FALSE)</f>
        <v>0</v>
      </c>
      <c r="AJ564" s="50" t="b">
        <f>_xlfn.XLOOKUP(Tableau119[[#This Row],[Key(ID-date)]],'DATA BTO'!S:S,'DATA BTO'!L:L,FALSE)</f>
        <v>0</v>
      </c>
      <c r="AK564" s="53" t="b">
        <f>_xlfn.XLOOKUP(Tableau119[[#This Row],[Key(ID-date)]],'DATA BTO'!S:S,'DATA BTO'!N:N,FALSE)</f>
        <v>0</v>
      </c>
      <c r="AL564" s="54" t="e">
        <f>VLOOKUP(Tableau119[[#This Row],[Key(POD -PFI- Usine)]],'DATA Consignee'!A:F,6,FALSE)</f>
        <v>#N/A</v>
      </c>
      <c r="AM564" s="284"/>
      <c r="AN564" s="376" t="str">
        <f>IF(Tableau119[[#This Row],[Name PFI/CDD]]="","-",VLOOKUP(Tableau119[[#This Row],[Name PFI/CDD]],Plant_AILN!I:J,2,FALSE))</f>
        <v>-</v>
      </c>
      <c r="AO5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4" s="2" t="e">
        <f>VLOOKUP(Tableau119[[#This Row],[Key(POD -PFI- Usine)]],'DATA Consignee'!A:J,10,FALSE)</f>
        <v>#N/A</v>
      </c>
      <c r="AR564" s="50" t="e">
        <f>VLOOKUP(Tableau119[[#This Row],[Key(POD -PFI- Usine)]],'DATA Consignee'!A:N,14,FALSE)</f>
        <v>#N/A</v>
      </c>
      <c r="AS56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4" s="50">
        <f>Tableau119[[#This Row],[Transit time]]+Tableau119[[#This Row],[Time for security]]+Tableau119[[#This Row],[Time for security2 buffer]]</f>
        <v>0</v>
      </c>
      <c r="AV5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4" s="50" t="e">
        <f>Tableau119[[#This Row],[Leadtime SI2C]]+Tableau119[[#This Row],[First Receipt Days]]-Tableau119[[#This Row],[Day Customer Order]]+1</f>
        <v>#N/A</v>
      </c>
      <c r="AX564" s="119" t="e">
        <f>IF(Tableau119[[#This Row],[Name ILN]]&lt;&gt;"SFK Freight Forwarder",Tableau119[[#This Row],[Cust. Leadtime]],Tableau119[[#This Row],[Leadtime SI2C]])</f>
        <v>#N/A</v>
      </c>
      <c r="AY564" s="51" t="b">
        <f>_xlfn.XLOOKUP(Tableau119[[#This Row],[Key(ID-date)]],'DATA BTO'!S:S,'DATA BTO'!P:P,FALSE)</f>
        <v>0</v>
      </c>
      <c r="AZ564" s="338">
        <v>46053</v>
      </c>
      <c r="BA564" s="50"/>
    </row>
    <row r="565" spans="2:53">
      <c r="B565" s="446" t="str">
        <f>_xlfn.CONCAT(Tableau119[[#This Row],[Name ILN]],"-",Tableau119[[#This Row],[Name Shipper]],"-",Tableau119[[#This Row],[Name Site]])</f>
        <v>SFK Freight Forwarder-EV affordable-TANGER</v>
      </c>
      <c r="C565" s="66" t="str">
        <f>_xlfn.CONCAT(Tableau119[[#This Row],[Compte ILN]],"-",Tableau119[[#This Row],[Compte Shipper]],"-",Tableau119[[#This Row],[POL]],"-",Tableau119[[#This Row],[Compte Consignee]])</f>
        <v>0-1111111111-FALSO-900383</v>
      </c>
      <c r="D565" s="66" t="str">
        <f>_xlfn.CONCAT(Tableau119[[#This Row],[Compte ILN]],"-",Tableau119[[#This Row],[Compte Shipper]],"-",Tableau119[[#This Row],[POL]])</f>
        <v>0-1111111111-FALSO</v>
      </c>
      <c r="E565" s="130" t="str">
        <f>_xlfn.CONCAT(Tableau119[[#This Row],[POL]],"-",Tableau119[[#This Row],[Carrier]],"-",Tableau119[[#This Row],[POD]])</f>
        <v>FALSO-FALSO-FALSO</v>
      </c>
      <c r="F565" s="66" t="str">
        <f>_xlfn.CONCAT(Tableau119[[#This Row],[ID]],"-","Actif")</f>
        <v>204-Actif</v>
      </c>
      <c r="G565" s="66" t="str">
        <f>_xlfn.CONCAT(Tableau119[[#This Row],[POD]],"-",Tableau119[[#This Row],[Code PFI]],"-",Tableau119[[#This Row],[Compte Consignee]])</f>
        <v>FALSO---900383</v>
      </c>
      <c r="H5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1111111111FALSOTANGER</v>
      </c>
      <c r="I565" s="434" t="str">
        <f>_xlfn.CONCAT(Tableau119[[#This Row],[ID]],"-",Tableau119[[#This Row],[Expiration Date]])</f>
        <v>204-46053</v>
      </c>
      <c r="J5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Forwarder-EV affordable-204-FALSO-FALSO-FALSO--46053</v>
      </c>
      <c r="K565" s="119" t="str">
        <f ca="1">IF(COUNTIF(J:J,Tableau119[[#This Row],[Plant-ILN-shipper-POL-Carrier-POD-PFI]])=1,"Non","Oui")</f>
        <v>Non</v>
      </c>
      <c r="L565" s="128" t="str">
        <f>VLOOKUP(Tableau119[[#This Row],[Name Site]],Plant_AILN!A:D,4,FALSE)</f>
        <v>MOROCCO</v>
      </c>
      <c r="M565" s="411" t="s">
        <v>180</v>
      </c>
      <c r="N565" s="454">
        <f>VLOOKUP(Tableau119[[#This Row],[Name Site]],Plant_AILN!A:C,3,FALSE)</f>
        <v>900383</v>
      </c>
      <c r="O565" s="55">
        <f>IF(Tableau119[[#This Row],[Name PFI/CDD]]="PFI VLL",2,VLOOKUP(Tableau119[[#This Row],[Compte Consignee]],Order!C:D,2,FALSE))</f>
        <v>7</v>
      </c>
      <c r="P565" s="124" t="s">
        <v>146</v>
      </c>
      <c r="Q565" s="365">
        <f>VLOOKUP(Tableau119[[#This Row],[Name ILN]],Plant_AILN!F:G,2,FALSE)</f>
        <v>0</v>
      </c>
      <c r="R565" s="50">
        <f>VLOOKUP(Tableau119[[#This Row],[Compte ILN]],'DATA ILN'!D:I,6,FALSE)</f>
        <v>9</v>
      </c>
      <c r="S565" s="50" t="e">
        <f>IFERROR(VLOOKUP(Tableau119[[#This Row],[Key(Compte ILN - shipper - POL - plant)]],'DATA ILN'!A:J,10,FALSE),VLOOKUP(Tableau119[[#This Row],[Key(Compte ILN - shipper - POL)]],'DATA ILN'!B:J,9,FALSE))</f>
        <v>#N/A</v>
      </c>
      <c r="T565" s="50" t="e">
        <f>IFERROR(VLOOKUP(Tableau119[[#This Row],[Key(Compte ILN - shipper - POL - plant)]],'DATA ILN'!A:K,11,FALSE),VLOOKUP(Tableau119[[#This Row],[Key(Compte ILN - shipper - POL)]],'DATA ILN'!B:K,10,FALSE))</f>
        <v>#N/A</v>
      </c>
      <c r="U565" s="50" t="e">
        <f>IFERROR(VLOOKUP(Tableau119[[#This Row],[Key(Compte ILN - shipper - POL - plant)]],'DATA ILN'!A:L,12,FALSE),VLOOKUP(Tableau119[[#This Row],[Key(Compte ILN - shipper - POL)]],'DATA ILN'!B:L,11,FALSE))</f>
        <v>#N/A</v>
      </c>
      <c r="V565" s="50" t="e">
        <f>Tableau119[[#This Row],[Day ILN Order]]+Tableau119[[#This Row],[Delivery time to ILN/Shipper]]-1</f>
        <v>#N/A</v>
      </c>
      <c r="W565" s="50" t="e">
        <f>IFERROR(VLOOKUP(Tableau119[[#This Row],[Key(Compte ILN - shipper - POL - plant)]],'DATA ILN'!A:N,14,FALSE),VLOOKUP(Tableau119[[#This Row],[Key(Compte ILN - shipper - POL)]],'DATA ILN'!B:N,13,FALSE))</f>
        <v>#N/A</v>
      </c>
      <c r="X565" s="50" t="e">
        <f>IFERROR(VLOOKUP(Tableau119[[#This Row],[Key(Compte ILN - shipper - POL - plant)]],'DATA ILN'!A:P,16,FALSE),VLOOKUP(Tableau119[[#This Row],[Key(Compte ILN - shipper - POL)]],'DATA ILN'!B:P,15,FALSE))</f>
        <v>#N/A</v>
      </c>
      <c r="Y565" s="406" t="s">
        <v>431</v>
      </c>
      <c r="Z565" s="430">
        <f>IFERROR(VLOOKUP(Tableau119[[#This Row],[Name Shipper]],Plant_AILN!L:M,2,FALSE),0)</f>
        <v>1111111111</v>
      </c>
      <c r="AA565" s="406">
        <v>204</v>
      </c>
      <c r="AB565" s="396" t="b">
        <f>_xlfn.XLOOKUP(Tableau119[[#This Row],[Key(ID-date)]],'DATA BTO'!S:S,'DATA BTO'!E:E,FALSE)</f>
        <v>0</v>
      </c>
      <c r="AC565" s="3" t="b">
        <f>_xlfn.XLOOKUP(Tableau119[[#This Row],[Key(ID-date)]],'DATA BTO'!S:S,'DATA BTO'!F:F,FALSE)</f>
        <v>0</v>
      </c>
      <c r="AD565" s="50" t="b">
        <f>_xlfn.XLOOKUP(Tableau119[[#This Row],[Key(ID-date)]],'DATA BTO'!S:S,'DATA BTO'!G:G,FALSE)</f>
        <v>0</v>
      </c>
      <c r="AE565" s="50" t="b">
        <f>_xlfn.XLOOKUP(Tableau119[[#This Row],[Key(ID-date)]],'DATA BTO'!S:S,'DATA BTO'!H:H,FALSE)</f>
        <v>0</v>
      </c>
      <c r="AF565" s="447" t="e">
        <f>IF(Tableau119[[#This Row],[First Day to POL]]&lt;=Tableau119[[#This Row],[Day Cut Off]],Tableau119[[#This Row],[Day ETD]],Tableau119[[#This Row],[Day ETD]]+7)</f>
        <v>#N/A</v>
      </c>
      <c r="AG565" s="50" t="b">
        <f>_xlfn.XLOOKUP(Tableau119[[#This Row],[Key(ID-date)]],'DATA BTO'!S:S,'DATA BTO'!I:I,FALSE)</f>
        <v>0</v>
      </c>
      <c r="AH565" s="3" t="b">
        <f>_xlfn.XLOOKUP(Tableau119[[#This Row],[Key(ID-date)]],'DATA BTO'!S:S,'DATA BTO'!J:J,FALSE)</f>
        <v>0</v>
      </c>
      <c r="AI565" s="3" t="b">
        <f>_xlfn.XLOOKUP(Tableau119[[#This Row],[Key(ID-date)]],'DATA BTO'!S:S,'DATA BTO'!K:K,FALSE)</f>
        <v>0</v>
      </c>
      <c r="AJ565" s="50" t="b">
        <f>_xlfn.XLOOKUP(Tableau119[[#This Row],[Key(ID-date)]],'DATA BTO'!S:S,'DATA BTO'!L:L,FALSE)</f>
        <v>0</v>
      </c>
      <c r="AK565" s="53" t="b">
        <f>_xlfn.XLOOKUP(Tableau119[[#This Row],[Key(ID-date)]],'DATA BTO'!S:S,'DATA BTO'!N:N,FALSE)</f>
        <v>0</v>
      </c>
      <c r="AL565" s="54" t="e">
        <f>VLOOKUP(Tableau119[[#This Row],[Key(POD -PFI- Usine)]],'DATA Consignee'!A:F,6,FALSE)</f>
        <v>#N/A</v>
      </c>
      <c r="AM565" s="284"/>
      <c r="AN565" s="376" t="str">
        <f>IF(Tableau119[[#This Row],[Name PFI/CDD]]="","-",VLOOKUP(Tableau119[[#This Row],[Name PFI/CDD]],Plant_AILN!I:J,2,FALSE))</f>
        <v>-</v>
      </c>
      <c r="AO5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5" s="2" t="e">
        <f>VLOOKUP(Tableau119[[#This Row],[Key(POD -PFI- Usine)]],'DATA Consignee'!A:J,10,FALSE)</f>
        <v>#N/A</v>
      </c>
      <c r="AR565" s="50" t="e">
        <f>VLOOKUP(Tableau119[[#This Row],[Key(POD -PFI- Usine)]],'DATA Consignee'!A:N,14,FALSE)</f>
        <v>#N/A</v>
      </c>
      <c r="AS5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5" s="50">
        <f>Tableau119[[#This Row],[Transit time]]+Tableau119[[#This Row],[Time for security]]+Tableau119[[#This Row],[Time for security2 buffer]]</f>
        <v>0</v>
      </c>
      <c r="AV5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5" s="50" t="e">
        <f>Tableau119[[#This Row],[Leadtime SI2C]]+Tableau119[[#This Row],[First Receipt Days]]-Tableau119[[#This Row],[Day Customer Order]]+1</f>
        <v>#N/A</v>
      </c>
      <c r="AX565" s="119" t="e">
        <f>IF(Tableau119[[#This Row],[Name ILN]]&lt;&gt;"SFK Freight Forwarder",Tableau119[[#This Row],[Cust. Leadtime]],Tableau119[[#This Row],[Leadtime SI2C]])</f>
        <v>#N/A</v>
      </c>
      <c r="AY565" s="51" t="b">
        <f>_xlfn.XLOOKUP(Tableau119[[#This Row],[Key(ID-date)]],'DATA BTO'!S:S,'DATA BTO'!P:P,FALSE)</f>
        <v>0</v>
      </c>
      <c r="AZ565" s="338">
        <v>46053</v>
      </c>
      <c r="BA565" s="50"/>
    </row>
    <row r="566" spans="2:53">
      <c r="B566" s="446" t="str">
        <f>_xlfn.CONCAT(Tableau119[[#This Row],[Name ILN]],"-",Tableau119[[#This Row],[Name Shipper]],"-",Tableau119[[#This Row],[Name Site]])</f>
        <v>KWE Shanghai-KWE Shanghai-SOMACA</v>
      </c>
      <c r="C566" s="66" t="str">
        <f>_xlfn.CONCAT(Tableau119[[#This Row],[Compte ILN]],"-",Tableau119[[#This Row],[Compte Shipper]],"-",Tableau119[[#This Row],[POL]],"-",Tableau119[[#This Row],[Compte Consignee]])</f>
        <v>26037000-26037000-FALSO-90038200</v>
      </c>
      <c r="D566" s="66" t="str">
        <f>_xlfn.CONCAT(Tableau119[[#This Row],[Compte ILN]],"-",Tableau119[[#This Row],[Compte Shipper]],"-",Tableau119[[#This Row],[POL]])</f>
        <v>26037000-26037000-FALSO</v>
      </c>
      <c r="E566" s="130" t="str">
        <f>_xlfn.CONCAT(Tableau119[[#This Row],[POL]],"-",Tableau119[[#This Row],[Carrier]],"-",Tableau119[[#This Row],[POD]])</f>
        <v>FALSO-FALSO-FALSO</v>
      </c>
      <c r="F566" s="66" t="str">
        <f>_xlfn.CONCAT(Tableau119[[#This Row],[ID]],"-","Actif")</f>
        <v>204-Actif</v>
      </c>
      <c r="G566" s="66" t="str">
        <f>_xlfn.CONCAT(Tableau119[[#This Row],[POD]],"-",Tableau119[[#This Row],[Code PFI]],"-",Tableau119[[#This Row],[Compte Consignee]])</f>
        <v>FALSO---90038200</v>
      </c>
      <c r="H5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ShanghaiFALSOSOMACA</v>
      </c>
      <c r="I566" s="434" t="str">
        <f>_xlfn.CONCAT(Tableau119[[#This Row],[ID]],"-",Tableau119[[#This Row],[Expiration Date]])</f>
        <v>204-45777</v>
      </c>
      <c r="J5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SOMACA-KWE Shanghai-KWE Shanghai-204-FALSO-FALSO-FALSO--45777</v>
      </c>
      <c r="K566" s="119" t="str">
        <f ca="1">IF(COUNTIF(J:J,Tableau119[[#This Row],[Plant-ILN-shipper-POL-Carrier-POD-PFI]])=1,"Non","Oui")</f>
        <v>Non</v>
      </c>
      <c r="L566" s="128" t="str">
        <f>VLOOKUP(Tableau119[[#This Row],[Name Site]],Plant_AILN!A:D,4,FALSE)</f>
        <v>MOROCCO</v>
      </c>
      <c r="M566" s="415" t="s">
        <v>179</v>
      </c>
      <c r="N566" s="455">
        <f>VLOOKUP(Tableau119[[#This Row],[Name Site]],Plant_AILN!A:C,3,FALSE)</f>
        <v>90038200</v>
      </c>
      <c r="O566" s="104">
        <f>VLOOKUP(Tableau119[[#This Row],[Compte Consignee]],Order!C:D,2,FALSE)</f>
        <v>7</v>
      </c>
      <c r="P566" s="126" t="s">
        <v>62</v>
      </c>
      <c r="Q566" s="366">
        <f>VLOOKUP(Tableau119[[#This Row],[Name ILN]],Plant_AILN!F:G,2,FALSE)</f>
        <v>26037000</v>
      </c>
      <c r="R566" s="81">
        <f>VLOOKUP(Tableau119[[#This Row],[Compte ILN]],'DATA ILN'!D:I,6,FALSE)</f>
        <v>9</v>
      </c>
      <c r="S566" s="81" t="e">
        <f>IFERROR(VLOOKUP(Tableau119[[#This Row],[Key(Compte ILN - shipper - POL - plant)]],'DATA ILN'!A:J,10,FALSE),VLOOKUP(Tableau119[[#This Row],[Key(Compte ILN - shipper - POL)]],'DATA ILN'!B:J,9,FALSE))</f>
        <v>#N/A</v>
      </c>
      <c r="T566" s="81" t="e">
        <f>IFERROR(VLOOKUP(Tableau119[[#This Row],[Key(Compte ILN - shipper - POL - plant)]],'DATA ILN'!A:K,11,FALSE),VLOOKUP(Tableau119[[#This Row],[Key(Compte ILN - shipper - POL)]],'DATA ILN'!B:K,10,FALSE))</f>
        <v>#N/A</v>
      </c>
      <c r="U566" s="81" t="e">
        <f>IFERROR(VLOOKUP(Tableau119[[#This Row],[Key(Compte ILN - shipper - POL - plant)]],'DATA ILN'!A:L,12,FALSE),VLOOKUP(Tableau119[[#This Row],[Key(Compte ILN - shipper - POL)]],'DATA ILN'!B:L,11,FALSE))</f>
        <v>#N/A</v>
      </c>
      <c r="V566" s="81" t="e">
        <f>Tableau119[[#This Row],[Day ILN Order]]+Tableau119[[#This Row],[Delivery time to ILN/Shipper]]-1</f>
        <v>#N/A</v>
      </c>
      <c r="W566" s="81" t="e">
        <f>IFERROR(VLOOKUP(Tableau119[[#This Row],[Key(Compte ILN - shipper - POL - plant)]],'DATA ILN'!A:N,14,FALSE),VLOOKUP(Tableau119[[#This Row],[Key(Compte ILN - shipper - POL)]],'DATA ILN'!B:N,13,FALSE))</f>
        <v>#N/A</v>
      </c>
      <c r="X566" s="81" t="e">
        <f>IFERROR(VLOOKUP(Tableau119[[#This Row],[Key(Compte ILN - shipper - POL - plant)]],'DATA ILN'!A:P,16,FALSE),VLOOKUP(Tableau119[[#This Row],[Key(Compte ILN - shipper - POL)]],'DATA ILN'!B:P,15,FALSE))</f>
        <v>#N/A</v>
      </c>
      <c r="Y566" s="102" t="s">
        <v>62</v>
      </c>
      <c r="Z566" s="417">
        <f>IFERROR(VLOOKUP(Tableau119[[#This Row],[Name Shipper]],Plant_AILN!L:M,2,FALSE),0)</f>
        <v>26037000</v>
      </c>
      <c r="AA566" s="416">
        <v>204</v>
      </c>
      <c r="AB566" s="396" t="b">
        <f>_xlfn.XLOOKUP(Tableau119[[#This Row],[Key(ID-date)]],'DATA BTO'!S:S,'DATA BTO'!E:E,FALSE)</f>
        <v>0</v>
      </c>
      <c r="AC566" s="3" t="b">
        <f>_xlfn.XLOOKUP(Tableau119[[#This Row],[Key(ID-date)]],'DATA BTO'!S:S,'DATA BTO'!F:F,FALSE)</f>
        <v>0</v>
      </c>
      <c r="AD566" s="50" t="b">
        <f>_xlfn.XLOOKUP(Tableau119[[#This Row],[Key(ID-date)]],'DATA BTO'!S:S,'DATA BTO'!G:G,FALSE)</f>
        <v>0</v>
      </c>
      <c r="AE566" s="50" t="b">
        <f>_xlfn.XLOOKUP(Tableau119[[#This Row],[Key(ID-date)]],'DATA BTO'!S:S,'DATA BTO'!H:H,FALSE)</f>
        <v>0</v>
      </c>
      <c r="AF566" s="447" t="e">
        <f>IF(Tableau119[[#This Row],[First Day to POL]]&lt;=Tableau119[[#This Row],[Day Cut Off]],Tableau119[[#This Row],[Day ETD]],Tableau119[[#This Row],[Day ETD]]+7)</f>
        <v>#N/A</v>
      </c>
      <c r="AG566" s="50" t="b">
        <f>_xlfn.XLOOKUP(Tableau119[[#This Row],[Key(ID-date)]],'DATA BTO'!S:S,'DATA BTO'!I:I,FALSE)</f>
        <v>0</v>
      </c>
      <c r="AH566" s="3" t="b">
        <f>_xlfn.XLOOKUP(Tableau119[[#This Row],[Key(ID-date)]],'DATA BTO'!S:S,'DATA BTO'!J:J,FALSE)</f>
        <v>0</v>
      </c>
      <c r="AI566" s="3" t="b">
        <f>_xlfn.XLOOKUP(Tableau119[[#This Row],[Key(ID-date)]],'DATA BTO'!S:S,'DATA BTO'!K:K,FALSE)</f>
        <v>0</v>
      </c>
      <c r="AJ566" s="50" t="b">
        <f>_xlfn.XLOOKUP(Tableau119[[#This Row],[Key(ID-date)]],'DATA BTO'!S:S,'DATA BTO'!L:L,FALSE)</f>
        <v>0</v>
      </c>
      <c r="AK566" s="53" t="b">
        <f>_xlfn.XLOOKUP(Tableau119[[#This Row],[Key(ID-date)]],'DATA BTO'!S:S,'DATA BTO'!N:N,FALSE)</f>
        <v>0</v>
      </c>
      <c r="AL566" s="54" t="e">
        <f>VLOOKUP(Tableau119[[#This Row],[Key(POD -PFI- Usine)]],'DATA Consignee'!A:F,6,FALSE)</f>
        <v>#N/A</v>
      </c>
      <c r="AM566" s="102"/>
      <c r="AN566" s="375" t="str">
        <f>IF(Tableau119[[#This Row],[Name PFI/CDD]]="","-",VLOOKUP(Tableau119[[#This Row],[Name PFI/CDD]],Plant_AILN!I:J,2,FALSE))</f>
        <v>-</v>
      </c>
      <c r="AO56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6" s="110" t="e">
        <f>VLOOKUP(Tableau119[[#This Row],[Key(POD -PFI- Usine)]],'DATA Consignee'!A:J,10,FALSE)</f>
        <v>#N/A</v>
      </c>
      <c r="AR566" s="81" t="e">
        <f>VLOOKUP(Tableau119[[#This Row],[Key(POD -PFI- Usine)]],'DATA Consignee'!A:N,14,FALSE)</f>
        <v>#N/A</v>
      </c>
      <c r="AS56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6" s="81">
        <f>Tableau119[[#This Row],[Transit time]]+Tableau119[[#This Row],[Time for security]]+Tableau119[[#This Row],[Time for security2 buffer]]</f>
        <v>0</v>
      </c>
      <c r="AV5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6" s="50" t="e">
        <f>Tableau119[[#This Row],[Leadtime SI2C]]+Tableau119[[#This Row],[First Receipt Days]]-Tableau119[[#This Row],[Day Customer Order]]+1</f>
        <v>#N/A</v>
      </c>
      <c r="AX566" s="119" t="e">
        <f>IF(Tableau119[[#This Row],[Name ILN]]&lt;&gt;"SFK Freight Forwarder",Tableau119[[#This Row],[Cust. Leadtime]],Tableau119[[#This Row],[Leadtime SI2C]])</f>
        <v>#N/A</v>
      </c>
      <c r="AY566" s="51" t="b">
        <f>_xlfn.XLOOKUP(Tableau119[[#This Row],[Key(ID-date)]],'DATA BTO'!S:S,'DATA BTO'!P:P,FALSE)</f>
        <v>0</v>
      </c>
      <c r="AZ566" s="388">
        <v>45777</v>
      </c>
      <c r="BA566" s="81"/>
    </row>
    <row r="567" spans="2:53">
      <c r="B567" s="446" t="str">
        <f>_xlfn.CONCAT(Tableau119[[#This Row],[Name ILN]],"-",Tableau119[[#This Row],[Name Shipper]],"-",Tableau119[[#This Row],[Name Site]])</f>
        <v>KWE Shanghai-KWE Shanghai-TANGER</v>
      </c>
      <c r="C567" s="66" t="str">
        <f>_xlfn.CONCAT(Tableau119[[#This Row],[Compte ILN]],"-",Tableau119[[#This Row],[Compte Shipper]],"-",Tableau119[[#This Row],[POL]],"-",Tableau119[[#This Row],[Compte Consignee]])</f>
        <v>26037000-26037000-FALSO-900383</v>
      </c>
      <c r="D567" s="66" t="str">
        <f>_xlfn.CONCAT(Tableau119[[#This Row],[Compte ILN]],"-",Tableau119[[#This Row],[Compte Shipper]],"-",Tableau119[[#This Row],[POL]])</f>
        <v>26037000-26037000-FALSO</v>
      </c>
      <c r="E567" s="130" t="str">
        <f>_xlfn.CONCAT(Tableau119[[#This Row],[POL]],"-",Tableau119[[#This Row],[Carrier]],"-",Tableau119[[#This Row],[POD]])</f>
        <v>FALSO-FALSO-FALSO</v>
      </c>
      <c r="F567" s="66" t="str">
        <f>_xlfn.CONCAT(Tableau119[[#This Row],[ID]],"-","Actif")</f>
        <v>204-Actif</v>
      </c>
      <c r="G567" s="66" t="str">
        <f>_xlfn.CONCAT(Tableau119[[#This Row],[POD]],"-",Tableau119[[#This Row],[Code PFI]],"-",Tableau119[[#This Row],[Compte Consignee]])</f>
        <v>FALSO---900383</v>
      </c>
      <c r="H5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ShanghaiFALSOTANGER</v>
      </c>
      <c r="I567" s="434" t="str">
        <f>_xlfn.CONCAT(Tableau119[[#This Row],[ID]],"-",Tableau119[[#This Row],[Expiration Date]])</f>
        <v>204-45777</v>
      </c>
      <c r="J5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TANGER-KWE Shanghai-KWE Shanghai-204-FALSO-FALSO-FALSO--45777</v>
      </c>
      <c r="K567" s="119" t="str">
        <f ca="1">IF(COUNTIF(J:J,Tableau119[[#This Row],[Plant-ILN-shipper-POL-Carrier-POD-PFI]])=1,"Non","Oui")</f>
        <v>Non</v>
      </c>
      <c r="L567" s="128" t="str">
        <f>VLOOKUP(Tableau119[[#This Row],[Name Site]],Plant_AILN!A:D,4,FALSE)</f>
        <v>MOROCCO</v>
      </c>
      <c r="M567" s="415" t="s">
        <v>180</v>
      </c>
      <c r="N567" s="455">
        <f>VLOOKUP(Tableau119[[#This Row],[Name Site]],Plant_AILN!A:C,3,FALSE)</f>
        <v>900383</v>
      </c>
      <c r="O567" s="104">
        <f>VLOOKUP(Tableau119[[#This Row],[Compte Consignee]],Order!C:D,2,FALSE)</f>
        <v>7</v>
      </c>
      <c r="P567" s="126" t="s">
        <v>62</v>
      </c>
      <c r="Q567" s="366">
        <f>VLOOKUP(Tableau119[[#This Row],[Name ILN]],Plant_AILN!F:G,2,FALSE)</f>
        <v>26037000</v>
      </c>
      <c r="R567" s="81">
        <f>VLOOKUP(Tableau119[[#This Row],[Compte ILN]],'DATA ILN'!D:I,6,FALSE)</f>
        <v>9</v>
      </c>
      <c r="S567" s="81" t="e">
        <f>IFERROR(VLOOKUP(Tableau119[[#This Row],[Key(Compte ILN - shipper - POL - plant)]],'DATA ILN'!A:J,10,FALSE),VLOOKUP(Tableau119[[#This Row],[Key(Compte ILN - shipper - POL)]],'DATA ILN'!B:J,9,FALSE))</f>
        <v>#N/A</v>
      </c>
      <c r="T567" s="81" t="e">
        <f>IFERROR(VLOOKUP(Tableau119[[#This Row],[Key(Compte ILN - shipper - POL - plant)]],'DATA ILN'!A:K,11,FALSE),VLOOKUP(Tableau119[[#This Row],[Key(Compte ILN - shipper - POL)]],'DATA ILN'!B:K,10,FALSE))</f>
        <v>#N/A</v>
      </c>
      <c r="U567" s="81" t="e">
        <f>IFERROR(VLOOKUP(Tableau119[[#This Row],[Key(Compte ILN - shipper - POL - plant)]],'DATA ILN'!A:L,12,FALSE),VLOOKUP(Tableau119[[#This Row],[Key(Compte ILN - shipper - POL)]],'DATA ILN'!B:L,11,FALSE))</f>
        <v>#N/A</v>
      </c>
      <c r="V567" s="81" t="e">
        <f>Tableau119[[#This Row],[Day ILN Order]]+Tableau119[[#This Row],[Delivery time to ILN/Shipper]]-1</f>
        <v>#N/A</v>
      </c>
      <c r="W567" s="81" t="e">
        <f>IFERROR(VLOOKUP(Tableau119[[#This Row],[Key(Compte ILN - shipper - POL - plant)]],'DATA ILN'!A:N,14,FALSE),VLOOKUP(Tableau119[[#This Row],[Key(Compte ILN - shipper - POL)]],'DATA ILN'!B:N,13,FALSE))</f>
        <v>#N/A</v>
      </c>
      <c r="X567" s="81" t="e">
        <f>IFERROR(VLOOKUP(Tableau119[[#This Row],[Key(Compte ILN - shipper - POL - plant)]],'DATA ILN'!A:P,16,FALSE),VLOOKUP(Tableau119[[#This Row],[Key(Compte ILN - shipper - POL)]],'DATA ILN'!B:P,15,FALSE))</f>
        <v>#N/A</v>
      </c>
      <c r="Y567" s="102" t="s">
        <v>62</v>
      </c>
      <c r="Z567" s="417">
        <f>IFERROR(VLOOKUP(Tableau119[[#This Row],[Name Shipper]],Plant_AILN!L:M,2,FALSE),0)</f>
        <v>26037000</v>
      </c>
      <c r="AA567" s="416">
        <v>204</v>
      </c>
      <c r="AB567" s="396" t="b">
        <f>_xlfn.XLOOKUP(Tableau119[[#This Row],[Key(ID-date)]],'DATA BTO'!S:S,'DATA BTO'!E:E,FALSE)</f>
        <v>0</v>
      </c>
      <c r="AC567" s="3" t="b">
        <f>_xlfn.XLOOKUP(Tableau119[[#This Row],[Key(ID-date)]],'DATA BTO'!S:S,'DATA BTO'!F:F,FALSE)</f>
        <v>0</v>
      </c>
      <c r="AD567" s="50" t="b">
        <f>_xlfn.XLOOKUP(Tableau119[[#This Row],[Key(ID-date)]],'DATA BTO'!S:S,'DATA BTO'!G:G,FALSE)</f>
        <v>0</v>
      </c>
      <c r="AE567" s="50" t="b">
        <f>_xlfn.XLOOKUP(Tableau119[[#This Row],[Key(ID-date)]],'DATA BTO'!S:S,'DATA BTO'!H:H,FALSE)</f>
        <v>0</v>
      </c>
      <c r="AF567" s="447" t="e">
        <f>IF(Tableau119[[#This Row],[First Day to POL]]&lt;=Tableau119[[#This Row],[Day Cut Off]],Tableau119[[#This Row],[Day ETD]],Tableau119[[#This Row],[Day ETD]]+7)</f>
        <v>#N/A</v>
      </c>
      <c r="AG567" s="50" t="b">
        <f>_xlfn.XLOOKUP(Tableau119[[#This Row],[Key(ID-date)]],'DATA BTO'!S:S,'DATA BTO'!I:I,FALSE)</f>
        <v>0</v>
      </c>
      <c r="AH567" s="3" t="b">
        <f>_xlfn.XLOOKUP(Tableau119[[#This Row],[Key(ID-date)]],'DATA BTO'!S:S,'DATA BTO'!J:J,FALSE)</f>
        <v>0</v>
      </c>
      <c r="AI567" s="3" t="b">
        <f>_xlfn.XLOOKUP(Tableau119[[#This Row],[Key(ID-date)]],'DATA BTO'!S:S,'DATA BTO'!K:K,FALSE)</f>
        <v>0</v>
      </c>
      <c r="AJ567" s="50" t="b">
        <f>_xlfn.XLOOKUP(Tableau119[[#This Row],[Key(ID-date)]],'DATA BTO'!S:S,'DATA BTO'!L:L,FALSE)</f>
        <v>0</v>
      </c>
      <c r="AK567" s="53" t="b">
        <f>_xlfn.XLOOKUP(Tableau119[[#This Row],[Key(ID-date)]],'DATA BTO'!S:S,'DATA BTO'!N:N,FALSE)</f>
        <v>0</v>
      </c>
      <c r="AL567" s="54" t="e">
        <f>VLOOKUP(Tableau119[[#This Row],[Key(POD -PFI- Usine)]],'DATA Consignee'!A:F,6,FALSE)</f>
        <v>#N/A</v>
      </c>
      <c r="AM567" s="102"/>
      <c r="AN567" s="375" t="str">
        <f>IF(Tableau119[[#This Row],[Name PFI/CDD]]="","-",VLOOKUP(Tableau119[[#This Row],[Name PFI/CDD]],Plant_AILN!I:J,2,FALSE))</f>
        <v>-</v>
      </c>
      <c r="AO56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7" s="110" t="e">
        <f>VLOOKUP(Tableau119[[#This Row],[Key(POD -PFI- Usine)]],'DATA Consignee'!A:J,10,FALSE)</f>
        <v>#N/A</v>
      </c>
      <c r="AR567" s="81" t="e">
        <f>VLOOKUP(Tableau119[[#This Row],[Key(POD -PFI- Usine)]],'DATA Consignee'!A:N,14,FALSE)</f>
        <v>#N/A</v>
      </c>
      <c r="AS56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7" s="81">
        <f>Tableau119[[#This Row],[Transit time]]+Tableau119[[#This Row],[Time for security]]+Tableau119[[#This Row],[Time for security2 buffer]]</f>
        <v>0</v>
      </c>
      <c r="AV5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7" s="50" t="e">
        <f>Tableau119[[#This Row],[Leadtime SI2C]]+Tableau119[[#This Row],[First Receipt Days]]-Tableau119[[#This Row],[Day Customer Order]]+1</f>
        <v>#N/A</v>
      </c>
      <c r="AX567" s="119" t="e">
        <f>IF(Tableau119[[#This Row],[Name ILN]]&lt;&gt;"SFK Freight Forwarder",Tableau119[[#This Row],[Cust. Leadtime]],Tableau119[[#This Row],[Leadtime SI2C]])</f>
        <v>#N/A</v>
      </c>
      <c r="AY567" s="51" t="b">
        <f>_xlfn.XLOOKUP(Tableau119[[#This Row],[Key(ID-date)]],'DATA BTO'!S:S,'DATA BTO'!P:P,FALSE)</f>
        <v>0</v>
      </c>
      <c r="AZ567" s="388">
        <v>45777</v>
      </c>
      <c r="BA567" s="81"/>
    </row>
    <row r="568" spans="2:53">
      <c r="B568" s="446" t="str">
        <f>_xlfn.CONCAT(Tableau119[[#This Row],[Name ILN]],"-",Tableau119[[#This Row],[Name Shipper]],"-",Tableau119[[#This Row],[Name Site]])</f>
        <v>SFK Freight Forwarder-EV affordable-TANGER</v>
      </c>
      <c r="C568" s="66" t="str">
        <f>_xlfn.CONCAT(Tableau119[[#This Row],[Compte ILN]],"-",Tableau119[[#This Row],[Compte Shipper]],"-",Tableau119[[#This Row],[POL]],"-",Tableau119[[#This Row],[Compte Consignee]])</f>
        <v>0-1111111111-FALSO-900383</v>
      </c>
      <c r="D568" s="66" t="str">
        <f>_xlfn.CONCAT(Tableau119[[#This Row],[Compte ILN]],"-",Tableau119[[#This Row],[Compte Shipper]],"-",Tableau119[[#This Row],[POL]])</f>
        <v>0-1111111111-FALSO</v>
      </c>
      <c r="E568" s="130" t="str">
        <f>_xlfn.CONCAT(Tableau119[[#This Row],[POL]],"-",Tableau119[[#This Row],[Carrier]],"-",Tableau119[[#This Row],[POD]])</f>
        <v>FALSO-FALSO-FALSO</v>
      </c>
      <c r="F568" s="66" t="str">
        <f>_xlfn.CONCAT(Tableau119[[#This Row],[ID]],"-","Actif")</f>
        <v>204-Actif</v>
      </c>
      <c r="G568" s="66" t="str">
        <f>_xlfn.CONCAT(Tableau119[[#This Row],[POD]],"-",Tableau119[[#This Row],[Code PFI]],"-",Tableau119[[#This Row],[Compte Consignee]])</f>
        <v>FALSO---900383</v>
      </c>
      <c r="H5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1111111111FALSOTANGER</v>
      </c>
      <c r="I568" s="434" t="str">
        <f>_xlfn.CONCAT(Tableau119[[#This Row],[ID]],"-",Tableau119[[#This Row],[Expiration Date]])</f>
        <v>204-45777</v>
      </c>
      <c r="J5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Forwarder-EV affordable-204-FALSO-FALSO-FALSO--45777</v>
      </c>
      <c r="K568" s="119" t="str">
        <f ca="1">IF(COUNTIF(J:J,Tableau119[[#This Row],[Plant-ILN-shipper-POL-Carrier-POD-PFI]])=1,"Non","Oui")</f>
        <v>Non</v>
      </c>
      <c r="L568" s="128" t="str">
        <f>VLOOKUP(Tableau119[[#This Row],[Name Site]],Plant_AILN!A:D,4,FALSE)</f>
        <v>MOROCCO</v>
      </c>
      <c r="M568" s="411" t="s">
        <v>180</v>
      </c>
      <c r="N568" s="454">
        <f>VLOOKUP(Tableau119[[#This Row],[Name Site]],Plant_AILN!A:C,3,FALSE)</f>
        <v>900383</v>
      </c>
      <c r="O568" s="55">
        <f>VLOOKUP(Tableau119[[#This Row],[Compte Consignee]],Order!C:D,2,FALSE)</f>
        <v>7</v>
      </c>
      <c r="P568" s="124" t="s">
        <v>146</v>
      </c>
      <c r="Q568" s="365">
        <f>VLOOKUP(Tableau119[[#This Row],[Name ILN]],Plant_AILN!F:G,2,FALSE)</f>
        <v>0</v>
      </c>
      <c r="R568" s="50">
        <f>VLOOKUP(Tableau119[[#This Row],[Compte ILN]],'DATA ILN'!D:I,6,FALSE)</f>
        <v>9</v>
      </c>
      <c r="S568" s="50" t="e">
        <f>IFERROR(VLOOKUP(Tableau119[[#This Row],[Key(Compte ILN - shipper - POL - plant)]],'DATA ILN'!A:J,10,FALSE),VLOOKUP(Tableau119[[#This Row],[Key(Compte ILN - shipper - POL)]],'DATA ILN'!B:J,9,FALSE))</f>
        <v>#N/A</v>
      </c>
      <c r="T568" s="50" t="e">
        <f>IFERROR(VLOOKUP(Tableau119[[#This Row],[Key(Compte ILN - shipper - POL - plant)]],'DATA ILN'!A:K,11,FALSE),VLOOKUP(Tableau119[[#This Row],[Key(Compte ILN - shipper - POL)]],'DATA ILN'!B:K,10,FALSE))</f>
        <v>#N/A</v>
      </c>
      <c r="U568" s="50" t="e">
        <f>IFERROR(VLOOKUP(Tableau119[[#This Row],[Key(Compte ILN - shipper - POL - plant)]],'DATA ILN'!A:L,12,FALSE),VLOOKUP(Tableau119[[#This Row],[Key(Compte ILN - shipper - POL)]],'DATA ILN'!B:L,11,FALSE))</f>
        <v>#N/A</v>
      </c>
      <c r="V568" s="50" t="e">
        <f>Tableau119[[#This Row],[Day ILN Order]]+Tableau119[[#This Row],[Delivery time to ILN/Shipper]]-1</f>
        <v>#N/A</v>
      </c>
      <c r="W568" s="50" t="e">
        <f>IFERROR(VLOOKUP(Tableau119[[#This Row],[Key(Compte ILN - shipper - POL - plant)]],'DATA ILN'!A:N,14,FALSE),VLOOKUP(Tableau119[[#This Row],[Key(Compte ILN - shipper - POL)]],'DATA ILN'!B:N,13,FALSE))</f>
        <v>#N/A</v>
      </c>
      <c r="X568" s="50" t="e">
        <f>IFERROR(VLOOKUP(Tableau119[[#This Row],[Key(Compte ILN - shipper - POL - plant)]],'DATA ILN'!A:P,16,FALSE),VLOOKUP(Tableau119[[#This Row],[Key(Compte ILN - shipper - POL)]],'DATA ILN'!B:P,15,FALSE))</f>
        <v>#N/A</v>
      </c>
      <c r="Y568" s="284" t="s">
        <v>431</v>
      </c>
      <c r="Z568" s="430">
        <f>IFERROR(VLOOKUP(Tableau119[[#This Row],[Name Shipper]],Plant_AILN!L:M,2,FALSE),0)</f>
        <v>1111111111</v>
      </c>
      <c r="AA568" s="406">
        <v>204</v>
      </c>
      <c r="AB568" s="396" t="b">
        <f>_xlfn.XLOOKUP(Tableau119[[#This Row],[Key(ID-date)]],'DATA BTO'!S:S,'DATA BTO'!E:E,FALSE)</f>
        <v>0</v>
      </c>
      <c r="AC568" s="3" t="b">
        <f>_xlfn.XLOOKUP(Tableau119[[#This Row],[Key(ID-date)]],'DATA BTO'!S:S,'DATA BTO'!F:F,FALSE)</f>
        <v>0</v>
      </c>
      <c r="AD568" s="50" t="b">
        <f>_xlfn.XLOOKUP(Tableau119[[#This Row],[Key(ID-date)]],'DATA BTO'!S:S,'DATA BTO'!G:G,FALSE)</f>
        <v>0</v>
      </c>
      <c r="AE568" s="50" t="b">
        <f>_xlfn.XLOOKUP(Tableau119[[#This Row],[Key(ID-date)]],'DATA BTO'!S:S,'DATA BTO'!H:H,FALSE)</f>
        <v>0</v>
      </c>
      <c r="AF568" s="447" t="e">
        <f>IF(Tableau119[[#This Row],[First Day to POL]]&lt;=Tableau119[[#This Row],[Day Cut Off]],Tableau119[[#This Row],[Day ETD]],Tableau119[[#This Row],[Day ETD]]+7)</f>
        <v>#N/A</v>
      </c>
      <c r="AG568" s="50" t="b">
        <f>_xlfn.XLOOKUP(Tableau119[[#This Row],[Key(ID-date)]],'DATA BTO'!S:S,'DATA BTO'!I:I,FALSE)</f>
        <v>0</v>
      </c>
      <c r="AH568" s="3" t="b">
        <f>_xlfn.XLOOKUP(Tableau119[[#This Row],[Key(ID-date)]],'DATA BTO'!S:S,'DATA BTO'!J:J,FALSE)</f>
        <v>0</v>
      </c>
      <c r="AI568" s="3" t="b">
        <f>_xlfn.XLOOKUP(Tableau119[[#This Row],[Key(ID-date)]],'DATA BTO'!S:S,'DATA BTO'!K:K,FALSE)</f>
        <v>0</v>
      </c>
      <c r="AJ568" s="50" t="b">
        <f>_xlfn.XLOOKUP(Tableau119[[#This Row],[Key(ID-date)]],'DATA BTO'!S:S,'DATA BTO'!L:L,FALSE)</f>
        <v>0</v>
      </c>
      <c r="AK568" s="53" t="b">
        <f>_xlfn.XLOOKUP(Tableau119[[#This Row],[Key(ID-date)]],'DATA BTO'!S:S,'DATA BTO'!N:N,FALSE)</f>
        <v>0</v>
      </c>
      <c r="AL568" s="54" t="e">
        <f>VLOOKUP(Tableau119[[#This Row],[Key(POD -PFI- Usine)]],'DATA Consignee'!A:F,6,FALSE)</f>
        <v>#N/A</v>
      </c>
      <c r="AM568" s="284"/>
      <c r="AN568" s="376" t="str">
        <f>IF(Tableau119[[#This Row],[Name PFI/CDD]]="","-",VLOOKUP(Tableau119[[#This Row],[Name PFI/CDD]],Plant_AILN!I:J,2,FALSE))</f>
        <v>-</v>
      </c>
      <c r="AO5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8" s="2" t="e">
        <f>VLOOKUP(Tableau119[[#This Row],[Key(POD -PFI- Usine)]],'DATA Consignee'!A:J,10,FALSE)</f>
        <v>#N/A</v>
      </c>
      <c r="AR568" s="50" t="e">
        <f>VLOOKUP(Tableau119[[#This Row],[Key(POD -PFI- Usine)]],'DATA Consignee'!A:N,14,FALSE)</f>
        <v>#N/A</v>
      </c>
      <c r="AS5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8" s="50">
        <f>Tableau119[[#This Row],[Transit time]]+Tableau119[[#This Row],[Time for security]]+Tableau119[[#This Row],[Time for security2 buffer]]</f>
        <v>0</v>
      </c>
      <c r="AV5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8" s="50" t="e">
        <f>Tableau119[[#This Row],[Leadtime SI2C]]+Tableau119[[#This Row],[First Receipt Days]]-Tableau119[[#This Row],[Day Customer Order]]+1</f>
        <v>#N/A</v>
      </c>
      <c r="AX568" s="119" t="e">
        <f>IF(Tableau119[[#This Row],[Name ILN]]&lt;&gt;"SFK Freight Forwarder",Tableau119[[#This Row],[Cust. Leadtime]],Tableau119[[#This Row],[Leadtime SI2C]])</f>
        <v>#N/A</v>
      </c>
      <c r="AY568" s="51" t="b">
        <f>_xlfn.XLOOKUP(Tableau119[[#This Row],[Key(ID-date)]],'DATA BTO'!S:S,'DATA BTO'!P:P,FALSE)</f>
        <v>0</v>
      </c>
      <c r="AZ568" s="338">
        <v>45777</v>
      </c>
      <c r="BA568" s="50"/>
    </row>
    <row r="569" spans="2:53">
      <c r="B569" s="446" t="str">
        <f>_xlfn.CONCAT(Tableau119[[#This Row],[Name ILN]],"-",Tableau119[[#This Row],[Name Shipper]],"-",Tableau119[[#This Row],[Name Site]])</f>
        <v>KWE Shanghai-KWE Shanghai-SOMACA</v>
      </c>
      <c r="C569" s="66" t="str">
        <f>_xlfn.CONCAT(Tableau119[[#This Row],[Compte ILN]],"-",Tableau119[[#This Row],[Compte Shipper]],"-",Tableau119[[#This Row],[POL]],"-",Tableau119[[#This Row],[Compte Consignee]])</f>
        <v>26037000-26037000-FALSO-90038200</v>
      </c>
      <c r="D569" s="66" t="str">
        <f>_xlfn.CONCAT(Tableau119[[#This Row],[Compte ILN]],"-",Tableau119[[#This Row],[Compte Shipper]],"-",Tableau119[[#This Row],[POL]])</f>
        <v>26037000-26037000-FALSO</v>
      </c>
      <c r="E569" s="130" t="str">
        <f>_xlfn.CONCAT(Tableau119[[#This Row],[POL]],"-",Tableau119[[#This Row],[Carrier]],"-",Tableau119[[#This Row],[POD]])</f>
        <v>FALSO-FALSO-FALSO</v>
      </c>
      <c r="F569" s="66" t="str">
        <f>_xlfn.CONCAT(Tableau119[[#This Row],[ID]],"-","Actif")</f>
        <v>204-Actif</v>
      </c>
      <c r="G569" s="66" t="str">
        <f>_xlfn.CONCAT(Tableau119[[#This Row],[POD]],"-",Tableau119[[#This Row],[Code PFI]],"-",Tableau119[[#This Row],[Compte Consignee]])</f>
        <v>FALSO---90038200</v>
      </c>
      <c r="H5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ShanghaiFALSOSOMACA</v>
      </c>
      <c r="I569" s="434" t="str">
        <f>_xlfn.CONCAT(Tableau119[[#This Row],[ID]],"-",Tableau119[[#This Row],[Expiration Date]])</f>
        <v>204-45475</v>
      </c>
      <c r="J5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SOMACA-KWE Shanghai-KWE Shanghai-204-FALSO-FALSO-FALSO--45475</v>
      </c>
      <c r="K569" s="119" t="str">
        <f ca="1">IF(COUNTIF(J:J,Tableau119[[#This Row],[Plant-ILN-shipper-POL-Carrier-POD-PFI]])=1,"Non","Oui")</f>
        <v>Non</v>
      </c>
      <c r="L569" s="128" t="str">
        <f>VLOOKUP(Tableau119[[#This Row],[Name Site]],Plant_AILN!A:D,4,FALSE)</f>
        <v>MOROCCO</v>
      </c>
      <c r="M569" s="411" t="s">
        <v>179</v>
      </c>
      <c r="N569" s="454">
        <f>VLOOKUP(Tableau119[[#This Row],[Name Site]],Plant_AILN!A:C,3,FALSE)</f>
        <v>90038200</v>
      </c>
      <c r="O569" s="55">
        <f>VLOOKUP(Tableau119[[#This Row],[Compte Consignee]],Order!C:D,2,FALSE)</f>
        <v>7</v>
      </c>
      <c r="P569" s="124" t="s">
        <v>62</v>
      </c>
      <c r="Q569" s="365">
        <f>VLOOKUP(Tableau119[[#This Row],[Name ILN]],Plant_AILN!F:G,2,FALSE)</f>
        <v>26037000</v>
      </c>
      <c r="R569" s="50">
        <f>VLOOKUP(Tableau119[[#This Row],[Compte ILN]],'DATA ILN'!D:I,6,FALSE)</f>
        <v>9</v>
      </c>
      <c r="S569" s="50" t="e">
        <f>IFERROR(VLOOKUP(Tableau119[[#This Row],[Key(Compte ILN - shipper - POL - plant)]],'DATA ILN'!A:J,10,FALSE),VLOOKUP(Tableau119[[#This Row],[Key(Compte ILN - shipper - POL)]],'DATA ILN'!B:J,9,FALSE))</f>
        <v>#N/A</v>
      </c>
      <c r="T569" s="50" t="e">
        <f>IFERROR(VLOOKUP(Tableau119[[#This Row],[Key(Compte ILN - shipper - POL - plant)]],'DATA ILN'!A:K,11,FALSE),VLOOKUP(Tableau119[[#This Row],[Key(Compte ILN - shipper - POL)]],'DATA ILN'!B:K,10,FALSE))</f>
        <v>#N/A</v>
      </c>
      <c r="U569" s="50" t="e">
        <f>IFERROR(VLOOKUP(Tableau119[[#This Row],[Key(Compte ILN - shipper - POL - plant)]],'DATA ILN'!A:L,12,FALSE),VLOOKUP(Tableau119[[#This Row],[Key(Compte ILN - shipper - POL)]],'DATA ILN'!B:L,11,FALSE))</f>
        <v>#N/A</v>
      </c>
      <c r="V569" s="50" t="e">
        <f>Tableau119[[#This Row],[Day ILN Order]]+Tableau119[[#This Row],[Delivery time to ILN/Shipper]]-1</f>
        <v>#N/A</v>
      </c>
      <c r="W569" s="50" t="e">
        <f>IFERROR(VLOOKUP(Tableau119[[#This Row],[Key(Compte ILN - shipper - POL - plant)]],'DATA ILN'!A:N,14,FALSE),VLOOKUP(Tableau119[[#This Row],[Key(Compte ILN - shipper - POL)]],'DATA ILN'!B:N,13,FALSE))</f>
        <v>#N/A</v>
      </c>
      <c r="X569" s="50" t="e">
        <f>IFERROR(VLOOKUP(Tableau119[[#This Row],[Key(Compte ILN - shipper - POL - plant)]],'DATA ILN'!A:P,16,FALSE),VLOOKUP(Tableau119[[#This Row],[Key(Compte ILN - shipper - POL)]],'DATA ILN'!B:P,15,FALSE))</f>
        <v>#N/A</v>
      </c>
      <c r="Y569" s="284" t="s">
        <v>62</v>
      </c>
      <c r="Z569" s="430">
        <f>IFERROR(VLOOKUP(Tableau119[[#This Row],[Name Shipper]],Plant_AILN!L:M,2,FALSE),0)</f>
        <v>26037000</v>
      </c>
      <c r="AA569" s="406">
        <v>204</v>
      </c>
      <c r="AB569" s="396" t="b">
        <f>_xlfn.XLOOKUP(Tableau119[[#This Row],[Key(ID-date)]],'DATA BTO'!S:S,'DATA BTO'!E:E,FALSE)</f>
        <v>0</v>
      </c>
      <c r="AC569" s="3" t="b">
        <f>_xlfn.XLOOKUP(Tableau119[[#This Row],[Key(ID-date)]],'DATA BTO'!S:S,'DATA BTO'!F:F,FALSE)</f>
        <v>0</v>
      </c>
      <c r="AD569" s="50" t="b">
        <f>_xlfn.XLOOKUP(Tableau119[[#This Row],[Key(ID-date)]],'DATA BTO'!S:S,'DATA BTO'!G:G,FALSE)</f>
        <v>0</v>
      </c>
      <c r="AE569" s="50" t="b">
        <f>_xlfn.XLOOKUP(Tableau119[[#This Row],[Key(ID-date)]],'DATA BTO'!S:S,'DATA BTO'!H:H,FALSE)</f>
        <v>0</v>
      </c>
      <c r="AF569" s="447" t="e">
        <f>IF(Tableau119[[#This Row],[First Day to POL]]&lt;=Tableau119[[#This Row],[Day Cut Off]],Tableau119[[#This Row],[Day ETD]],Tableau119[[#This Row],[Day ETD]]+7)</f>
        <v>#N/A</v>
      </c>
      <c r="AG569" s="50" t="b">
        <f>_xlfn.XLOOKUP(Tableau119[[#This Row],[Key(ID-date)]],'DATA BTO'!S:S,'DATA BTO'!I:I,FALSE)</f>
        <v>0</v>
      </c>
      <c r="AH569" s="3" t="b">
        <f>_xlfn.XLOOKUP(Tableau119[[#This Row],[Key(ID-date)]],'DATA BTO'!S:S,'DATA BTO'!J:J,FALSE)</f>
        <v>0</v>
      </c>
      <c r="AI569" s="3" t="b">
        <f>_xlfn.XLOOKUP(Tableau119[[#This Row],[Key(ID-date)]],'DATA BTO'!S:S,'DATA BTO'!K:K,FALSE)</f>
        <v>0</v>
      </c>
      <c r="AJ569" s="50" t="b">
        <f>_xlfn.XLOOKUP(Tableau119[[#This Row],[Key(ID-date)]],'DATA BTO'!S:S,'DATA BTO'!L:L,FALSE)</f>
        <v>0</v>
      </c>
      <c r="AK569" s="53" t="b">
        <f>_xlfn.XLOOKUP(Tableau119[[#This Row],[Key(ID-date)]],'DATA BTO'!S:S,'DATA BTO'!N:N,FALSE)</f>
        <v>0</v>
      </c>
      <c r="AL569" s="54" t="e">
        <f>VLOOKUP(Tableau119[[#This Row],[Key(POD -PFI- Usine)]],'DATA Consignee'!A:F,6,FALSE)</f>
        <v>#N/A</v>
      </c>
      <c r="AM569" s="284"/>
      <c r="AN569" s="376" t="str">
        <f>IF(Tableau119[[#This Row],[Name PFI/CDD]]="","-",VLOOKUP(Tableau119[[#This Row],[Name PFI/CDD]],Plant_AILN!I:J,2,FALSE))</f>
        <v>-</v>
      </c>
      <c r="AO5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69" s="2" t="e">
        <f>VLOOKUP(Tableau119[[#This Row],[Key(POD -PFI- Usine)]],'DATA Consignee'!A:J,10,FALSE)</f>
        <v>#N/A</v>
      </c>
      <c r="AR569" s="50" t="e">
        <f>VLOOKUP(Tableau119[[#This Row],[Key(POD -PFI- Usine)]],'DATA Consignee'!A:N,14,FALSE)</f>
        <v>#N/A</v>
      </c>
      <c r="AS5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69" s="50">
        <f>Tableau119[[#This Row],[Transit time]]+Tableau119[[#This Row],[Time for security]]+Tableau119[[#This Row],[Time for security2 buffer]]</f>
        <v>0</v>
      </c>
      <c r="AV5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69" s="50" t="e">
        <f>Tableau119[[#This Row],[Leadtime SI2C]]+Tableau119[[#This Row],[First Receipt Days]]-Tableau119[[#This Row],[Day Customer Order]]+1</f>
        <v>#N/A</v>
      </c>
      <c r="AX569" s="119" t="e">
        <f>IF(Tableau119[[#This Row],[Name ILN]]&lt;&gt;"SFK Freight Forwarder",Tableau119[[#This Row],[Cust. Leadtime]],Tableau119[[#This Row],[Leadtime SI2C]])</f>
        <v>#N/A</v>
      </c>
      <c r="AY569" s="51" t="b">
        <f>_xlfn.XLOOKUP(Tableau119[[#This Row],[Key(ID-date)]],'DATA BTO'!S:S,'DATA BTO'!P:P,FALSE)</f>
        <v>0</v>
      </c>
      <c r="AZ569" s="338">
        <v>45475</v>
      </c>
      <c r="BA569" s="50"/>
    </row>
    <row r="570" spans="2:53">
      <c r="B570" s="446" t="str">
        <f>_xlfn.CONCAT(Tableau119[[#This Row],[Name ILN]],"-",Tableau119[[#This Row],[Name Shipper]],"-",Tableau119[[#This Row],[Name Site]])</f>
        <v>KWE Shanghai-KWE Shanghai-TANGER</v>
      </c>
      <c r="C570" s="66" t="str">
        <f>_xlfn.CONCAT(Tableau119[[#This Row],[Compte ILN]],"-",Tableau119[[#This Row],[Compte Shipper]],"-",Tableau119[[#This Row],[POL]],"-",Tableau119[[#This Row],[Compte Consignee]])</f>
        <v>26037000-26037000-FALSO-900383</v>
      </c>
      <c r="D570" s="66" t="str">
        <f>_xlfn.CONCAT(Tableau119[[#This Row],[Compte ILN]],"-",Tableau119[[#This Row],[Compte Shipper]],"-",Tableau119[[#This Row],[POL]])</f>
        <v>26037000-26037000-FALSO</v>
      </c>
      <c r="E570" s="130" t="str">
        <f>_xlfn.CONCAT(Tableau119[[#This Row],[POL]],"-",Tableau119[[#This Row],[Carrier]],"-",Tableau119[[#This Row],[POD]])</f>
        <v>FALSO-FALSO-FALSO</v>
      </c>
      <c r="F570" s="66" t="str">
        <f>_xlfn.CONCAT(Tableau119[[#This Row],[ID]],"-","Actif")</f>
        <v>204-Actif</v>
      </c>
      <c r="G570" s="66" t="str">
        <f>_xlfn.CONCAT(Tableau119[[#This Row],[POD]],"-",Tableau119[[#This Row],[Code PFI]],"-",Tableau119[[#This Row],[Compte Consignee]])</f>
        <v>FALSO---900383</v>
      </c>
      <c r="H5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ShanghaiFALSOTANGER</v>
      </c>
      <c r="I570" s="434" t="str">
        <f>_xlfn.CONCAT(Tableau119[[#This Row],[ID]],"-",Tableau119[[#This Row],[Expiration Date]])</f>
        <v>204-45475</v>
      </c>
      <c r="J5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TANGER-KWE Shanghai-KWE Shanghai-204-FALSO-FALSO-FALSO--45475</v>
      </c>
      <c r="K570" s="119" t="str">
        <f ca="1">IF(COUNTIF(J:J,Tableau119[[#This Row],[Plant-ILN-shipper-POL-Carrier-POD-PFI]])=1,"Non","Oui")</f>
        <v>Non</v>
      </c>
      <c r="L570" s="128" t="str">
        <f>VLOOKUP(Tableau119[[#This Row],[Name Site]],Plant_AILN!A:D,4,FALSE)</f>
        <v>MOROCCO</v>
      </c>
      <c r="M570" s="415" t="s">
        <v>180</v>
      </c>
      <c r="N570" s="455">
        <f>VLOOKUP(Tableau119[[#This Row],[Name Site]],Plant_AILN!A:C,3,FALSE)</f>
        <v>900383</v>
      </c>
      <c r="O570" s="104">
        <f>VLOOKUP(Tableau119[[#This Row],[Compte Consignee]],Order!C:D,2,FALSE)</f>
        <v>7</v>
      </c>
      <c r="P570" s="126" t="s">
        <v>62</v>
      </c>
      <c r="Q570" s="366">
        <f>VLOOKUP(Tableau119[[#This Row],[Name ILN]],Plant_AILN!F:G,2,FALSE)</f>
        <v>26037000</v>
      </c>
      <c r="R570" s="81">
        <f>VLOOKUP(Tableau119[[#This Row],[Compte ILN]],'DATA ILN'!D:I,6,FALSE)</f>
        <v>9</v>
      </c>
      <c r="S570" s="81" t="e">
        <f>IFERROR(VLOOKUP(Tableau119[[#This Row],[Key(Compte ILN - shipper - POL - plant)]],'DATA ILN'!A:J,10,FALSE),VLOOKUP(Tableau119[[#This Row],[Key(Compte ILN - shipper - POL)]],'DATA ILN'!B:J,9,FALSE))</f>
        <v>#N/A</v>
      </c>
      <c r="T570" s="81" t="e">
        <f>IFERROR(VLOOKUP(Tableau119[[#This Row],[Key(Compte ILN - shipper - POL - plant)]],'DATA ILN'!A:K,11,FALSE),VLOOKUP(Tableau119[[#This Row],[Key(Compte ILN - shipper - POL)]],'DATA ILN'!B:K,10,FALSE))</f>
        <v>#N/A</v>
      </c>
      <c r="U570" s="81" t="e">
        <f>IFERROR(VLOOKUP(Tableau119[[#This Row],[Key(Compte ILN - shipper - POL - plant)]],'DATA ILN'!A:L,12,FALSE),VLOOKUP(Tableau119[[#This Row],[Key(Compte ILN - shipper - POL)]],'DATA ILN'!B:L,11,FALSE))</f>
        <v>#N/A</v>
      </c>
      <c r="V570" s="81" t="e">
        <f>Tableau119[[#This Row],[Day ILN Order]]+Tableau119[[#This Row],[Delivery time to ILN/Shipper]]-1</f>
        <v>#N/A</v>
      </c>
      <c r="W570" s="81" t="e">
        <f>IFERROR(VLOOKUP(Tableau119[[#This Row],[Key(Compte ILN - shipper - POL - plant)]],'DATA ILN'!A:N,14,FALSE),VLOOKUP(Tableau119[[#This Row],[Key(Compte ILN - shipper - POL)]],'DATA ILN'!B:N,13,FALSE))</f>
        <v>#N/A</v>
      </c>
      <c r="X570" s="81" t="e">
        <f>IFERROR(VLOOKUP(Tableau119[[#This Row],[Key(Compte ILN - shipper - POL - plant)]],'DATA ILN'!A:P,16,FALSE),VLOOKUP(Tableau119[[#This Row],[Key(Compte ILN - shipper - POL)]],'DATA ILN'!B:P,15,FALSE))</f>
        <v>#N/A</v>
      </c>
      <c r="Y570" s="102" t="s">
        <v>62</v>
      </c>
      <c r="Z570" s="417">
        <f>IFERROR(VLOOKUP(Tableau119[[#This Row],[Name Shipper]],Plant_AILN!L:M,2,FALSE),0)</f>
        <v>26037000</v>
      </c>
      <c r="AA570" s="416">
        <v>204</v>
      </c>
      <c r="AB570" s="396" t="b">
        <f>_xlfn.XLOOKUP(Tableau119[[#This Row],[Key(ID-date)]],'DATA BTO'!S:S,'DATA BTO'!E:E,FALSE)</f>
        <v>0</v>
      </c>
      <c r="AC570" s="3" t="b">
        <f>_xlfn.XLOOKUP(Tableau119[[#This Row],[Key(ID-date)]],'DATA BTO'!S:S,'DATA BTO'!F:F,FALSE)</f>
        <v>0</v>
      </c>
      <c r="AD570" s="50" t="b">
        <f>_xlfn.XLOOKUP(Tableau119[[#This Row],[Key(ID-date)]],'DATA BTO'!S:S,'DATA BTO'!G:G,FALSE)</f>
        <v>0</v>
      </c>
      <c r="AE570" s="50" t="b">
        <f>_xlfn.XLOOKUP(Tableau119[[#This Row],[Key(ID-date)]],'DATA BTO'!S:S,'DATA BTO'!H:H,FALSE)</f>
        <v>0</v>
      </c>
      <c r="AF570" s="447" t="e">
        <f>IF(Tableau119[[#This Row],[First Day to POL]]&lt;=Tableau119[[#This Row],[Day Cut Off]],Tableau119[[#This Row],[Day ETD]],Tableau119[[#This Row],[Day ETD]]+7)</f>
        <v>#N/A</v>
      </c>
      <c r="AG570" s="50" t="b">
        <f>_xlfn.XLOOKUP(Tableau119[[#This Row],[Key(ID-date)]],'DATA BTO'!S:S,'DATA BTO'!I:I,FALSE)</f>
        <v>0</v>
      </c>
      <c r="AH570" s="3" t="b">
        <f>_xlfn.XLOOKUP(Tableau119[[#This Row],[Key(ID-date)]],'DATA BTO'!S:S,'DATA BTO'!J:J,FALSE)</f>
        <v>0</v>
      </c>
      <c r="AI570" s="3" t="b">
        <f>_xlfn.XLOOKUP(Tableau119[[#This Row],[Key(ID-date)]],'DATA BTO'!S:S,'DATA BTO'!K:K,FALSE)</f>
        <v>0</v>
      </c>
      <c r="AJ570" s="50" t="b">
        <f>_xlfn.XLOOKUP(Tableau119[[#This Row],[Key(ID-date)]],'DATA BTO'!S:S,'DATA BTO'!L:L,FALSE)</f>
        <v>0</v>
      </c>
      <c r="AK570" s="53" t="b">
        <f>_xlfn.XLOOKUP(Tableau119[[#This Row],[Key(ID-date)]],'DATA BTO'!S:S,'DATA BTO'!N:N,FALSE)</f>
        <v>0</v>
      </c>
      <c r="AL570" s="54" t="e">
        <f>VLOOKUP(Tableau119[[#This Row],[Key(POD -PFI- Usine)]],'DATA Consignee'!A:F,6,FALSE)</f>
        <v>#N/A</v>
      </c>
      <c r="AM570" s="102"/>
      <c r="AN570" s="375" t="str">
        <f>IF(Tableau119[[#This Row],[Name PFI/CDD]]="","-",VLOOKUP(Tableau119[[#This Row],[Name PFI/CDD]],Plant_AILN!I:J,2,FALSE))</f>
        <v>-</v>
      </c>
      <c r="AO57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0" s="110" t="e">
        <f>VLOOKUP(Tableau119[[#This Row],[Key(POD -PFI- Usine)]],'DATA Consignee'!A:J,10,FALSE)</f>
        <v>#N/A</v>
      </c>
      <c r="AR570" s="81" t="e">
        <f>VLOOKUP(Tableau119[[#This Row],[Key(POD -PFI- Usine)]],'DATA Consignee'!A:N,14,FALSE)</f>
        <v>#N/A</v>
      </c>
      <c r="AS57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0" s="81">
        <f>Tableau119[[#This Row],[Transit time]]+Tableau119[[#This Row],[Time for security]]+Tableau119[[#This Row],[Time for security2 buffer]]</f>
        <v>0</v>
      </c>
      <c r="AV5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0" s="50" t="e">
        <f>Tableau119[[#This Row],[Leadtime SI2C]]+Tableau119[[#This Row],[First Receipt Days]]-Tableau119[[#This Row],[Day Customer Order]]+1</f>
        <v>#N/A</v>
      </c>
      <c r="AX570" s="119" t="e">
        <f>IF(Tableau119[[#This Row],[Name ILN]]&lt;&gt;"SFK Freight Forwarder",Tableau119[[#This Row],[Cust. Leadtime]],Tableau119[[#This Row],[Leadtime SI2C]])</f>
        <v>#N/A</v>
      </c>
      <c r="AY570" s="51" t="b">
        <f>_xlfn.XLOOKUP(Tableau119[[#This Row],[Key(ID-date)]],'DATA BTO'!S:S,'DATA BTO'!P:P,FALSE)</f>
        <v>0</v>
      </c>
      <c r="AZ570" s="388">
        <v>45475</v>
      </c>
      <c r="BA570" s="81"/>
    </row>
    <row r="571" spans="2:53">
      <c r="B571" s="446" t="str">
        <f>_xlfn.CONCAT(Tableau119[[#This Row],[Name ILN]],"-",Tableau119[[#This Row],[Name Shipper]],"-",Tableau119[[#This Row],[Name Site]])</f>
        <v>SFK Freight Forwarder-EV affordable-TANGER</v>
      </c>
      <c r="C571" s="66" t="str">
        <f>_xlfn.CONCAT(Tableau119[[#This Row],[Compte ILN]],"-",Tableau119[[#This Row],[Compte Shipper]],"-",Tableau119[[#This Row],[POL]],"-",Tableau119[[#This Row],[Compte Consignee]])</f>
        <v>0-1111111111-FALSO-900383</v>
      </c>
      <c r="D571" s="66" t="str">
        <f>_xlfn.CONCAT(Tableau119[[#This Row],[Compte ILN]],"-",Tableau119[[#This Row],[Compte Shipper]],"-",Tableau119[[#This Row],[POL]])</f>
        <v>0-1111111111-FALSO</v>
      </c>
      <c r="E571" s="130" t="str">
        <f>_xlfn.CONCAT(Tableau119[[#This Row],[POL]],"-",Tableau119[[#This Row],[Carrier]],"-",Tableau119[[#This Row],[POD]])</f>
        <v>FALSO-FALSO-FALSO</v>
      </c>
      <c r="F571" s="66" t="str">
        <f>_xlfn.CONCAT(Tableau119[[#This Row],[ID]],"-","Actif")</f>
        <v>204-Actif</v>
      </c>
      <c r="G571" s="66" t="str">
        <f>_xlfn.CONCAT(Tableau119[[#This Row],[POD]],"-",Tableau119[[#This Row],[Code PFI]],"-",Tableau119[[#This Row],[Compte Consignee]])</f>
        <v>FALSO---900383</v>
      </c>
      <c r="H5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1111111111FALSOTANGER</v>
      </c>
      <c r="I571" s="434" t="str">
        <f>_xlfn.CONCAT(Tableau119[[#This Row],[ID]],"-",Tableau119[[#This Row],[Expiration Date]])</f>
        <v>204-45475</v>
      </c>
      <c r="J5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Forwarder-EV affordable-204-FALSO-FALSO-FALSO--45475</v>
      </c>
      <c r="K571" s="119" t="str">
        <f ca="1">IF(COUNTIF(J:J,Tableau119[[#This Row],[Plant-ILN-shipper-POL-Carrier-POD-PFI]])=1,"Non","Oui")</f>
        <v>Non</v>
      </c>
      <c r="L571" s="128" t="str">
        <f>VLOOKUP(Tableau119[[#This Row],[Name Site]],Plant_AILN!A:D,4,FALSE)</f>
        <v>MOROCCO</v>
      </c>
      <c r="M571" s="415" t="s">
        <v>180</v>
      </c>
      <c r="N571" s="455">
        <f>VLOOKUP(Tableau119[[#This Row],[Name Site]],Plant_AILN!A:C,3,FALSE)</f>
        <v>900383</v>
      </c>
      <c r="O571" s="104">
        <f>VLOOKUP(Tableau119[[#This Row],[Compte Consignee]],Order!C:D,2,FALSE)</f>
        <v>7</v>
      </c>
      <c r="P571" s="126" t="s">
        <v>146</v>
      </c>
      <c r="Q571" s="366">
        <f>VLOOKUP(Tableau119[[#This Row],[Name ILN]],Plant_AILN!F:G,2,FALSE)</f>
        <v>0</v>
      </c>
      <c r="R571" s="81">
        <f>VLOOKUP(Tableau119[[#This Row],[Compte ILN]],'DATA ILN'!D:I,6,FALSE)</f>
        <v>9</v>
      </c>
      <c r="S571" s="81" t="e">
        <f>IFERROR(VLOOKUP(Tableau119[[#This Row],[Key(Compte ILN - shipper - POL - plant)]],'DATA ILN'!A:J,10,FALSE),VLOOKUP(Tableau119[[#This Row],[Key(Compte ILN - shipper - POL)]],'DATA ILN'!B:J,9,FALSE))</f>
        <v>#N/A</v>
      </c>
      <c r="T571" s="81" t="e">
        <f>IFERROR(VLOOKUP(Tableau119[[#This Row],[Key(Compte ILN - shipper - POL - plant)]],'DATA ILN'!A:K,11,FALSE),VLOOKUP(Tableau119[[#This Row],[Key(Compte ILN - shipper - POL)]],'DATA ILN'!B:K,10,FALSE))</f>
        <v>#N/A</v>
      </c>
      <c r="U571" s="81" t="e">
        <f>IFERROR(VLOOKUP(Tableau119[[#This Row],[Key(Compte ILN - shipper - POL - plant)]],'DATA ILN'!A:L,12,FALSE),VLOOKUP(Tableau119[[#This Row],[Key(Compte ILN - shipper - POL)]],'DATA ILN'!B:L,11,FALSE))</f>
        <v>#N/A</v>
      </c>
      <c r="V571" s="81" t="e">
        <f>Tableau119[[#This Row],[Day ILN Order]]+Tableau119[[#This Row],[Delivery time to ILN/Shipper]]-1</f>
        <v>#N/A</v>
      </c>
      <c r="W571" s="81" t="e">
        <f>IFERROR(VLOOKUP(Tableau119[[#This Row],[Key(Compte ILN - shipper - POL - plant)]],'DATA ILN'!A:N,14,FALSE),VLOOKUP(Tableau119[[#This Row],[Key(Compte ILN - shipper - POL)]],'DATA ILN'!B:N,13,FALSE))</f>
        <v>#N/A</v>
      </c>
      <c r="X571" s="81" t="e">
        <f>IFERROR(VLOOKUP(Tableau119[[#This Row],[Key(Compte ILN - shipper - POL - plant)]],'DATA ILN'!A:P,16,FALSE),VLOOKUP(Tableau119[[#This Row],[Key(Compte ILN - shipper - POL)]],'DATA ILN'!B:P,15,FALSE))</f>
        <v>#N/A</v>
      </c>
      <c r="Y571" s="102" t="s">
        <v>431</v>
      </c>
      <c r="Z571" s="417">
        <f>IFERROR(VLOOKUP(Tableau119[[#This Row],[Name Shipper]],Plant_AILN!L:M,2,FALSE),0)</f>
        <v>1111111111</v>
      </c>
      <c r="AA571" s="416">
        <v>204</v>
      </c>
      <c r="AB571" s="396" t="b">
        <f>_xlfn.XLOOKUP(Tableau119[[#This Row],[Key(ID-date)]],'DATA BTO'!S:S,'DATA BTO'!E:E,FALSE)</f>
        <v>0</v>
      </c>
      <c r="AC571" s="3" t="b">
        <f>_xlfn.XLOOKUP(Tableau119[[#This Row],[Key(ID-date)]],'DATA BTO'!S:S,'DATA BTO'!F:F,FALSE)</f>
        <v>0</v>
      </c>
      <c r="AD571" s="50" t="b">
        <f>_xlfn.XLOOKUP(Tableau119[[#This Row],[Key(ID-date)]],'DATA BTO'!S:S,'DATA BTO'!G:G,FALSE)</f>
        <v>0</v>
      </c>
      <c r="AE571" s="50" t="b">
        <f>_xlfn.XLOOKUP(Tableau119[[#This Row],[Key(ID-date)]],'DATA BTO'!S:S,'DATA BTO'!H:H,FALSE)</f>
        <v>0</v>
      </c>
      <c r="AF571" s="447" t="e">
        <f>IF(Tableau119[[#This Row],[First Day to POL]]&lt;=Tableau119[[#This Row],[Day Cut Off]],Tableau119[[#This Row],[Day ETD]],Tableau119[[#This Row],[Day ETD]]+7)</f>
        <v>#N/A</v>
      </c>
      <c r="AG571" s="50" t="b">
        <f>_xlfn.XLOOKUP(Tableau119[[#This Row],[Key(ID-date)]],'DATA BTO'!S:S,'DATA BTO'!I:I,FALSE)</f>
        <v>0</v>
      </c>
      <c r="AH571" s="3" t="b">
        <f>_xlfn.XLOOKUP(Tableau119[[#This Row],[Key(ID-date)]],'DATA BTO'!S:S,'DATA BTO'!J:J,FALSE)</f>
        <v>0</v>
      </c>
      <c r="AI571" s="3" t="b">
        <f>_xlfn.XLOOKUP(Tableau119[[#This Row],[Key(ID-date)]],'DATA BTO'!S:S,'DATA BTO'!K:K,FALSE)</f>
        <v>0</v>
      </c>
      <c r="AJ571" s="50" t="b">
        <f>_xlfn.XLOOKUP(Tableau119[[#This Row],[Key(ID-date)]],'DATA BTO'!S:S,'DATA BTO'!L:L,FALSE)</f>
        <v>0</v>
      </c>
      <c r="AK571" s="53" t="b">
        <f>_xlfn.XLOOKUP(Tableau119[[#This Row],[Key(ID-date)]],'DATA BTO'!S:S,'DATA BTO'!N:N,FALSE)</f>
        <v>0</v>
      </c>
      <c r="AL571" s="54" t="e">
        <f>VLOOKUP(Tableau119[[#This Row],[Key(POD -PFI- Usine)]],'DATA Consignee'!A:F,6,FALSE)</f>
        <v>#N/A</v>
      </c>
      <c r="AM571" s="102"/>
      <c r="AN571" s="375" t="str">
        <f>IF(Tableau119[[#This Row],[Name PFI/CDD]]="","-",VLOOKUP(Tableau119[[#This Row],[Name PFI/CDD]],Plant_AILN!I:J,2,FALSE))</f>
        <v>-</v>
      </c>
      <c r="AO57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1" s="110" t="e">
        <f>VLOOKUP(Tableau119[[#This Row],[Key(POD -PFI- Usine)]],'DATA Consignee'!A:J,10,FALSE)</f>
        <v>#N/A</v>
      </c>
      <c r="AR571" s="81" t="e">
        <f>VLOOKUP(Tableau119[[#This Row],[Key(POD -PFI- Usine)]],'DATA Consignee'!A:N,14,FALSE)</f>
        <v>#N/A</v>
      </c>
      <c r="AS57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1" s="81">
        <f>Tableau119[[#This Row],[Transit time]]+Tableau119[[#This Row],[Time for security]]+Tableau119[[#This Row],[Time for security2 buffer]]</f>
        <v>0</v>
      </c>
      <c r="AV5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1" s="50" t="e">
        <f>Tableau119[[#This Row],[Leadtime SI2C]]+Tableau119[[#This Row],[First Receipt Days]]-Tableau119[[#This Row],[Day Customer Order]]+1</f>
        <v>#N/A</v>
      </c>
      <c r="AX571" s="119" t="e">
        <f>IF(Tableau119[[#This Row],[Name ILN]]&lt;&gt;"SFK Freight Forwarder",Tableau119[[#This Row],[Cust. Leadtime]],Tableau119[[#This Row],[Leadtime SI2C]])</f>
        <v>#N/A</v>
      </c>
      <c r="AY571" s="51" t="b">
        <f>_xlfn.XLOOKUP(Tableau119[[#This Row],[Key(ID-date)]],'DATA BTO'!S:S,'DATA BTO'!P:P,FALSE)</f>
        <v>0</v>
      </c>
      <c r="AZ571" s="388">
        <v>45475</v>
      </c>
      <c r="BA571" s="81"/>
    </row>
    <row r="572" spans="2:53">
      <c r="B572" s="66" t="str">
        <f>_xlfn.CONCAT(Tableau119[[#This Row],[Name ILN]],"-",Tableau119[[#This Row],[Name Shipper]],"-",Tableau119[[#This Row],[Name Site]])</f>
        <v>SFK Freight Forwarder-GITI RADIAL TIRE ANHUI COMPANY LTD (CNXAM-MAPTM)-TANGER</v>
      </c>
      <c r="C572" s="66" t="str">
        <f>_xlfn.CONCAT(Tableau119[[#This Row],[Compte ILN]],"-",Tableau119[[#This Row],[Compte Shipper]],"-",Tableau119[[#This Row],[POL]],"-",Tableau119[[#This Row],[Compte Consignee]])</f>
        <v>0-29179901-FALSO-900383</v>
      </c>
      <c r="D572" s="66" t="str">
        <f>_xlfn.CONCAT(Tableau119[[#This Row],[Compte ILN]],"-",Tableau119[[#This Row],[Compte Shipper]],"-",Tableau119[[#This Row],[POL]])</f>
        <v>0-29179901-FALSO</v>
      </c>
      <c r="E572" s="130" t="str">
        <f>_xlfn.CONCAT(Tableau119[[#This Row],[POL]],"-",Tableau119[[#This Row],[Carrier]],"-",Tableau119[[#This Row],[POD]])</f>
        <v>FALSO-FALSO-FALSO</v>
      </c>
      <c r="F572" s="66" t="str">
        <f>_xlfn.CONCAT(Tableau119[[#This Row],[ID]],"-","Actif")</f>
        <v>206-Actif</v>
      </c>
      <c r="G572" s="66" t="str">
        <f>_xlfn.CONCAT(Tableau119[[#This Row],[POD]],"-",Tableau119[[#This Row],[Code PFI]],"-",Tableau119[[#This Row],[Compte Consignee]])</f>
        <v>FALSO---900383</v>
      </c>
      <c r="H5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29179901FALSOTANGER</v>
      </c>
      <c r="I572" s="434" t="str">
        <f>_xlfn.CONCAT(Tableau119[[#This Row],[ID]],"-",Tableau119[[#This Row],[Expiration Date]])</f>
        <v>206-46142</v>
      </c>
      <c r="J5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(CNXAM-MAPTM)-206-FALSO-FALSO-FALSO--46142</v>
      </c>
      <c r="K572" s="119" t="str">
        <f ca="1">IF(COUNTIF(J:J,Tableau119[[#This Row],[Plant-ILN-shipper-POL-Carrier-POD-PFI]])=1,"Non","Oui")</f>
        <v>Non</v>
      </c>
      <c r="L572" s="436" t="str">
        <f>VLOOKUP(Tableau119[[#This Row],[Name Site]],Plant_AILN!A:D,4,FALSE)</f>
        <v>MOROCCO</v>
      </c>
      <c r="M572" s="285" t="s">
        <v>180</v>
      </c>
      <c r="N572" s="454">
        <f>VLOOKUP(Tableau119[[#This Row],[Name Site]],Plant_AILN!A:C,3,FALSE)</f>
        <v>900383</v>
      </c>
      <c r="O572" s="55">
        <f>IF(Tableau119[[#This Row],[Name PFI/CDD]]="PFI VLL",2,VLOOKUP(Tableau119[[#This Row],[Compte Consignee]],Order!C:D,2,FALSE))</f>
        <v>7</v>
      </c>
      <c r="P572" s="124" t="s">
        <v>146</v>
      </c>
      <c r="Q572" s="365">
        <f>VLOOKUP(Tableau119[[#This Row],[Name ILN]],Plant_AILN!F:G,2,FALSE)</f>
        <v>0</v>
      </c>
      <c r="R572" s="50">
        <f>VLOOKUP(Tableau119[[#This Row],[Compte ILN]],'DATA ILN'!D:I,6,FALSE)</f>
        <v>9</v>
      </c>
      <c r="S572" s="50" t="e">
        <f>IFERROR(VLOOKUP(Tableau119[[#This Row],[Key(Compte ILN - shipper - POL - plant)]],'DATA ILN'!A:J,10,FALSE),VLOOKUP(Tableau119[[#This Row],[Key(Compte ILN - shipper - POL)]],'DATA ILN'!B:J,9,FALSE))</f>
        <v>#N/A</v>
      </c>
      <c r="T572" s="50" t="e">
        <f>IFERROR(VLOOKUP(Tableau119[[#This Row],[Key(Compte ILN - shipper - POL - plant)]],'DATA ILN'!A:K,11,FALSE),VLOOKUP(Tableau119[[#This Row],[Key(Compte ILN - shipper - POL)]],'DATA ILN'!B:K,10,FALSE))</f>
        <v>#N/A</v>
      </c>
      <c r="U572" s="50" t="e">
        <f>IFERROR(VLOOKUP(Tableau119[[#This Row],[Key(Compte ILN - shipper - POL - plant)]],'DATA ILN'!A:L,12,FALSE),VLOOKUP(Tableau119[[#This Row],[Key(Compte ILN - shipper - POL)]],'DATA ILN'!B:L,11,FALSE))</f>
        <v>#N/A</v>
      </c>
      <c r="V572" s="50" t="e">
        <f>Tableau119[[#This Row],[Day ILN Order]]+Tableau119[[#This Row],[Delivery time to ILN/Shipper]]-1</f>
        <v>#N/A</v>
      </c>
      <c r="W572" s="50" t="e">
        <f>IFERROR(VLOOKUP(Tableau119[[#This Row],[Key(Compte ILN - shipper - POL - plant)]],'DATA ILN'!A:N,14,FALSE),VLOOKUP(Tableau119[[#This Row],[Key(Compte ILN - shipper - POL)]],'DATA ILN'!B:N,13,FALSE))</f>
        <v>#N/A</v>
      </c>
      <c r="X572" s="50" t="e">
        <f>IFERROR(VLOOKUP(Tableau119[[#This Row],[Key(Compte ILN - shipper - POL - plant)]],'DATA ILN'!A:P,16,FALSE),VLOOKUP(Tableau119[[#This Row],[Key(Compte ILN - shipper - POL)]],'DATA ILN'!B:P,15,FALSE))</f>
        <v>#N/A</v>
      </c>
      <c r="Y572" s="284" t="s">
        <v>310</v>
      </c>
      <c r="Z572" s="430">
        <f>IFERROR(VLOOKUP(Tableau119[[#This Row],[Name Shipper]],Plant_AILN!L:M,2,FALSE),0)</f>
        <v>29179901</v>
      </c>
      <c r="AA572" s="406">
        <v>206</v>
      </c>
      <c r="AB572" s="396" t="b">
        <f>_xlfn.XLOOKUP(Tableau119[[#This Row],[Key(ID-date)]],'DATA BTO'!S:S,'DATA BTO'!E:E,FALSE)</f>
        <v>0</v>
      </c>
      <c r="AC572" s="3" t="b">
        <f>_xlfn.XLOOKUP(Tableau119[[#This Row],[Key(ID-date)]],'DATA BTO'!S:S,'DATA BTO'!F:F,FALSE)</f>
        <v>0</v>
      </c>
      <c r="AD572" s="50" t="b">
        <f>_xlfn.XLOOKUP(Tableau119[[#This Row],[Key(ID-date)]],'DATA BTO'!S:S,'DATA BTO'!G:G,FALSE)</f>
        <v>0</v>
      </c>
      <c r="AE572" s="50" t="b">
        <f>_xlfn.XLOOKUP(Tableau119[[#This Row],[Key(ID-date)]],'DATA BTO'!S:S,'DATA BTO'!H:H,FALSE)</f>
        <v>0</v>
      </c>
      <c r="AF572" s="447" t="e">
        <f>IF(Tableau119[[#This Row],[First Day to POL]]&lt;=Tableau119[[#This Row],[Day Cut Off]],Tableau119[[#This Row],[Day ETD]],Tableau119[[#This Row],[Day ETD]]+7)</f>
        <v>#N/A</v>
      </c>
      <c r="AG572" s="50" t="b">
        <f>_xlfn.XLOOKUP(Tableau119[[#This Row],[Key(ID-date)]],'DATA BTO'!S:S,'DATA BTO'!I:I,FALSE)</f>
        <v>0</v>
      </c>
      <c r="AH572" s="3" t="b">
        <f>_xlfn.XLOOKUP(Tableau119[[#This Row],[Key(ID-date)]],'DATA BTO'!S:S,'DATA BTO'!J:J,FALSE)</f>
        <v>0</v>
      </c>
      <c r="AI572" s="3" t="b">
        <f>_xlfn.XLOOKUP(Tableau119[[#This Row],[Key(ID-date)]],'DATA BTO'!S:S,'DATA BTO'!K:K,FALSE)</f>
        <v>0</v>
      </c>
      <c r="AJ572" s="50" t="b">
        <f>_xlfn.XLOOKUP(Tableau119[[#This Row],[Key(ID-date)]],'DATA BTO'!S:S,'DATA BTO'!L:L,FALSE)</f>
        <v>0</v>
      </c>
      <c r="AK572" s="53" t="b">
        <f>_xlfn.XLOOKUP(Tableau119[[#This Row],[Key(ID-date)]],'DATA BTO'!S:S,'DATA BTO'!N:N,FALSE)</f>
        <v>0</v>
      </c>
      <c r="AL572" s="54" t="e">
        <f>VLOOKUP(Tableau119[[#This Row],[Key(POD -PFI- Usine)]],'DATA Consignee'!A:F,6,FALSE)</f>
        <v>#N/A</v>
      </c>
      <c r="AM572" s="284"/>
      <c r="AN572" s="376" t="str">
        <f>IF(Tableau119[[#This Row],[Name PFI/CDD]]="","-",VLOOKUP(Tableau119[[#This Row],[Name PFI/CDD]],Plant_AILN!I:J,2,FALSE))</f>
        <v>-</v>
      </c>
      <c r="AO5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2" s="2" t="e">
        <f>VLOOKUP(Tableau119[[#This Row],[Key(POD -PFI- Usine)]],'DATA Consignee'!A:J,10,FALSE)</f>
        <v>#N/A</v>
      </c>
      <c r="AR572" s="50" t="e">
        <f>VLOOKUP(Tableau119[[#This Row],[Key(POD -PFI- Usine)]],'DATA Consignee'!A:N,14,FALSE)</f>
        <v>#N/A</v>
      </c>
      <c r="AS5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2" s="50">
        <f>Tableau119[[#This Row],[Transit time]]+Tableau119[[#This Row],[Time for security]]+Tableau119[[#This Row],[Time for security2 buffer]]</f>
        <v>0</v>
      </c>
      <c r="AV5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2" s="50" t="e">
        <f>Tableau119[[#This Row],[Leadtime SI2C]]+Tableau119[[#This Row],[First Receipt Days]]-Tableau119[[#This Row],[Day Customer Order]]+1</f>
        <v>#N/A</v>
      </c>
      <c r="AX572" s="119" t="e">
        <f>IF(Tableau119[[#This Row],[Name ILN]]&lt;&gt;"SFK Freight Forwarder",Tableau119[[#This Row],[Cust. Leadtime]],Tableau119[[#This Row],[Leadtime SI2C]])</f>
        <v>#N/A</v>
      </c>
      <c r="AY572" s="51" t="b">
        <f>_xlfn.XLOOKUP(Tableau119[[#This Row],[Key(ID-date)]],'DATA BTO'!S:S,'DATA BTO'!P:P,FALSE)</f>
        <v>0</v>
      </c>
      <c r="AZ572" s="338">
        <v>46142</v>
      </c>
      <c r="BA572" s="50"/>
    </row>
    <row r="573" spans="2:53">
      <c r="B573" s="446" t="str">
        <f>_xlfn.CONCAT(Tableau119[[#This Row],[Name ILN]],"-",Tableau119[[#This Row],[Name Shipper]],"-",Tableau119[[#This Row],[Name Site]])</f>
        <v>SFK Freight Forwarder-GITI RADIAL TIRE ANHUI COMPANY LTD (CNXAM-MAPTM)-TANGER</v>
      </c>
      <c r="C573" s="66" t="str">
        <f>_xlfn.CONCAT(Tableau119[[#This Row],[Compte ILN]],"-",Tableau119[[#This Row],[Compte Shipper]],"-",Tableau119[[#This Row],[POL]],"-",Tableau119[[#This Row],[Compte Consignee]])</f>
        <v>0-29179901-FALSO-900383</v>
      </c>
      <c r="D573" s="66" t="str">
        <f>_xlfn.CONCAT(Tableau119[[#This Row],[Compte ILN]],"-",Tableau119[[#This Row],[Compte Shipper]],"-",Tableau119[[#This Row],[POL]])</f>
        <v>0-29179901-FALSO</v>
      </c>
      <c r="E573" s="130" t="str">
        <f>_xlfn.CONCAT(Tableau119[[#This Row],[POL]],"-",Tableau119[[#This Row],[Carrier]],"-",Tableau119[[#This Row],[POD]])</f>
        <v>FALSO-FALSO-FALSO</v>
      </c>
      <c r="F573" s="66" t="str">
        <f>_xlfn.CONCAT(Tableau119[[#This Row],[ID]],"-","Actif")</f>
        <v>206-Actif</v>
      </c>
      <c r="G573" s="66" t="str">
        <f>_xlfn.CONCAT(Tableau119[[#This Row],[POD]],"-",Tableau119[[#This Row],[Code PFI]],"-",Tableau119[[#This Row],[Compte Consignee]])</f>
        <v>FALSO---900383</v>
      </c>
      <c r="H5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29179901FALSOTANGER</v>
      </c>
      <c r="I573" s="434" t="str">
        <f>_xlfn.CONCAT(Tableau119[[#This Row],[ID]],"-",Tableau119[[#This Row],[Expiration Date]])</f>
        <v>206-45777</v>
      </c>
      <c r="J5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(CNXAM-MAPTM)-206-FALSO-FALSO-FALSO--45777</v>
      </c>
      <c r="K573" s="119" t="str">
        <f ca="1">IF(COUNTIF(J:J,Tableau119[[#This Row],[Plant-ILN-shipper-POL-Carrier-POD-PFI]])=1,"Non","Oui")</f>
        <v>Non</v>
      </c>
      <c r="L573" s="128" t="str">
        <f>VLOOKUP(Tableau119[[#This Row],[Name Site]],Plant_AILN!A:D,4,FALSE)</f>
        <v>MOROCCO</v>
      </c>
      <c r="M573" s="411" t="s">
        <v>180</v>
      </c>
      <c r="N573" s="454">
        <f>VLOOKUP(Tableau119[[#This Row],[Name Site]],Plant_AILN!A:C,3,FALSE)</f>
        <v>900383</v>
      </c>
      <c r="O573" s="55">
        <f>VLOOKUP(Tableau119[[#This Row],[Compte Consignee]],Order!C:D,2,FALSE)</f>
        <v>7</v>
      </c>
      <c r="P573" s="124" t="s">
        <v>146</v>
      </c>
      <c r="Q573" s="365">
        <f>VLOOKUP(Tableau119[[#This Row],[Name ILN]],Plant_AILN!F:G,2,FALSE)</f>
        <v>0</v>
      </c>
      <c r="R573" s="50">
        <f>VLOOKUP(Tableau119[[#This Row],[Compte ILN]],'DATA ILN'!D:I,6,FALSE)</f>
        <v>9</v>
      </c>
      <c r="S573" s="50" t="e">
        <f>IFERROR(VLOOKUP(Tableau119[[#This Row],[Key(Compte ILN - shipper - POL - plant)]],'DATA ILN'!A:J,10,FALSE),VLOOKUP(Tableau119[[#This Row],[Key(Compte ILN - shipper - POL)]],'DATA ILN'!B:J,9,FALSE))</f>
        <v>#N/A</v>
      </c>
      <c r="T573" s="50" t="e">
        <f>IFERROR(VLOOKUP(Tableau119[[#This Row],[Key(Compte ILN - shipper - POL - plant)]],'DATA ILN'!A:K,11,FALSE),VLOOKUP(Tableau119[[#This Row],[Key(Compte ILN - shipper - POL)]],'DATA ILN'!B:K,10,FALSE))</f>
        <v>#N/A</v>
      </c>
      <c r="U573" s="50" t="e">
        <f>IFERROR(VLOOKUP(Tableau119[[#This Row],[Key(Compte ILN - shipper - POL - plant)]],'DATA ILN'!A:L,12,FALSE),VLOOKUP(Tableau119[[#This Row],[Key(Compte ILN - shipper - POL)]],'DATA ILN'!B:L,11,FALSE))</f>
        <v>#N/A</v>
      </c>
      <c r="V573" s="50" t="e">
        <f>Tableau119[[#This Row],[Day ILN Order]]+Tableau119[[#This Row],[Delivery time to ILN/Shipper]]-1</f>
        <v>#N/A</v>
      </c>
      <c r="W573" s="50" t="e">
        <f>IFERROR(VLOOKUP(Tableau119[[#This Row],[Key(Compte ILN - shipper - POL - plant)]],'DATA ILN'!A:N,14,FALSE),VLOOKUP(Tableau119[[#This Row],[Key(Compte ILN - shipper - POL)]],'DATA ILN'!B:N,13,FALSE))</f>
        <v>#N/A</v>
      </c>
      <c r="X573" s="50" t="e">
        <f>IFERROR(VLOOKUP(Tableau119[[#This Row],[Key(Compte ILN - shipper - POL - plant)]],'DATA ILN'!A:P,16,FALSE),VLOOKUP(Tableau119[[#This Row],[Key(Compte ILN - shipper - POL)]],'DATA ILN'!B:P,15,FALSE))</f>
        <v>#N/A</v>
      </c>
      <c r="Y573" s="284" t="s">
        <v>310</v>
      </c>
      <c r="Z573" s="430">
        <f>IFERROR(VLOOKUP(Tableau119[[#This Row],[Name Shipper]],Plant_AILN!L:M,2,FALSE),0)</f>
        <v>29179901</v>
      </c>
      <c r="AA573" s="406">
        <v>206</v>
      </c>
      <c r="AB573" s="396" t="b">
        <f>_xlfn.XLOOKUP(Tableau119[[#This Row],[Key(ID-date)]],'DATA BTO'!S:S,'DATA BTO'!E:E,FALSE)</f>
        <v>0</v>
      </c>
      <c r="AC573" s="3" t="b">
        <f>_xlfn.XLOOKUP(Tableau119[[#This Row],[Key(ID-date)]],'DATA BTO'!S:S,'DATA BTO'!F:F,FALSE)</f>
        <v>0</v>
      </c>
      <c r="AD573" s="50" t="b">
        <f>_xlfn.XLOOKUP(Tableau119[[#This Row],[Key(ID-date)]],'DATA BTO'!S:S,'DATA BTO'!G:G,FALSE)</f>
        <v>0</v>
      </c>
      <c r="AE573" s="50" t="b">
        <f>_xlfn.XLOOKUP(Tableau119[[#This Row],[Key(ID-date)]],'DATA BTO'!S:S,'DATA BTO'!H:H,FALSE)</f>
        <v>0</v>
      </c>
      <c r="AF573" s="447" t="e">
        <f>IF(Tableau119[[#This Row],[First Day to POL]]&lt;=Tableau119[[#This Row],[Day Cut Off]],Tableau119[[#This Row],[Day ETD]],Tableau119[[#This Row],[Day ETD]]+7)</f>
        <v>#N/A</v>
      </c>
      <c r="AG573" s="50" t="b">
        <f>_xlfn.XLOOKUP(Tableau119[[#This Row],[Key(ID-date)]],'DATA BTO'!S:S,'DATA BTO'!I:I,FALSE)</f>
        <v>0</v>
      </c>
      <c r="AH573" s="3" t="b">
        <f>_xlfn.XLOOKUP(Tableau119[[#This Row],[Key(ID-date)]],'DATA BTO'!S:S,'DATA BTO'!J:J,FALSE)</f>
        <v>0</v>
      </c>
      <c r="AI573" s="3" t="b">
        <f>_xlfn.XLOOKUP(Tableau119[[#This Row],[Key(ID-date)]],'DATA BTO'!S:S,'DATA BTO'!K:K,FALSE)</f>
        <v>0</v>
      </c>
      <c r="AJ573" s="50" t="b">
        <f>_xlfn.XLOOKUP(Tableau119[[#This Row],[Key(ID-date)]],'DATA BTO'!S:S,'DATA BTO'!L:L,FALSE)</f>
        <v>0</v>
      </c>
      <c r="AK573" s="53" t="b">
        <f>_xlfn.XLOOKUP(Tableau119[[#This Row],[Key(ID-date)]],'DATA BTO'!S:S,'DATA BTO'!N:N,FALSE)</f>
        <v>0</v>
      </c>
      <c r="AL573" s="54" t="e">
        <f>VLOOKUP(Tableau119[[#This Row],[Key(POD -PFI- Usine)]],'DATA Consignee'!A:F,6,FALSE)</f>
        <v>#N/A</v>
      </c>
      <c r="AM573" s="284"/>
      <c r="AN573" s="376" t="str">
        <f>IF(Tableau119[[#This Row],[Name PFI/CDD]]="","-",VLOOKUP(Tableau119[[#This Row],[Name PFI/CDD]],Plant_AILN!I:J,2,FALSE))</f>
        <v>-</v>
      </c>
      <c r="AO5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3" s="2" t="e">
        <f>VLOOKUP(Tableau119[[#This Row],[Key(POD -PFI- Usine)]],'DATA Consignee'!A:J,10,FALSE)</f>
        <v>#N/A</v>
      </c>
      <c r="AR573" s="50" t="e">
        <f>VLOOKUP(Tableau119[[#This Row],[Key(POD -PFI- Usine)]],'DATA Consignee'!A:N,14,FALSE)</f>
        <v>#N/A</v>
      </c>
      <c r="AS5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3" s="50">
        <f>Tableau119[[#This Row],[Transit time]]+Tableau119[[#This Row],[Time for security]]+Tableau119[[#This Row],[Time for security2 buffer]]</f>
        <v>0</v>
      </c>
      <c r="AV5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3" s="50" t="e">
        <f>Tableau119[[#This Row],[Leadtime SI2C]]+Tableau119[[#This Row],[First Receipt Days]]-Tableau119[[#This Row],[Day Customer Order]]+1</f>
        <v>#N/A</v>
      </c>
      <c r="AX573" s="119" t="e">
        <f>IF(Tableau119[[#This Row],[Name ILN]]&lt;&gt;"SFK Freight Forwarder",Tableau119[[#This Row],[Cust. Leadtime]],Tableau119[[#This Row],[Leadtime SI2C]])</f>
        <v>#N/A</v>
      </c>
      <c r="AY573" s="51" t="b">
        <f>_xlfn.XLOOKUP(Tableau119[[#This Row],[Key(ID-date)]],'DATA BTO'!S:S,'DATA BTO'!P:P,FALSE)</f>
        <v>0</v>
      </c>
      <c r="AZ573" s="338">
        <v>45777</v>
      </c>
      <c r="BA573" s="50"/>
    </row>
    <row r="574" spans="2:53">
      <c r="B574" s="446" t="str">
        <f>_xlfn.CONCAT(Tableau119[[#This Row],[Name ILN]],"-",Tableau119[[#This Row],[Name Shipper]],"-",Tableau119[[#This Row],[Name Site]])</f>
        <v>SFK Freight Forwarder-GITI RADIAL TIRE ANHUI COMPANY LTD (CNXAM-MAPTM)-TANGER</v>
      </c>
      <c r="C574" s="66" t="str">
        <f>_xlfn.CONCAT(Tableau119[[#This Row],[Compte ILN]],"-",Tableau119[[#This Row],[Compte Shipper]],"-",Tableau119[[#This Row],[POL]],"-",Tableau119[[#This Row],[Compte Consignee]])</f>
        <v>0-29179901-FALSO-900383</v>
      </c>
      <c r="D574" s="66" t="str">
        <f>_xlfn.CONCAT(Tableau119[[#This Row],[Compte ILN]],"-",Tableau119[[#This Row],[Compte Shipper]],"-",Tableau119[[#This Row],[POL]])</f>
        <v>0-29179901-FALSO</v>
      </c>
      <c r="E574" s="130" t="str">
        <f>_xlfn.CONCAT(Tableau119[[#This Row],[POL]],"-",Tableau119[[#This Row],[Carrier]],"-",Tableau119[[#This Row],[POD]])</f>
        <v>FALSO-FALSO-FALSO</v>
      </c>
      <c r="F574" s="66" t="str">
        <f>_xlfn.CONCAT(Tableau119[[#This Row],[ID]],"-","Actif")</f>
        <v>206-Actif</v>
      </c>
      <c r="G574" s="66" t="str">
        <f>_xlfn.CONCAT(Tableau119[[#This Row],[POD]],"-",Tableau119[[#This Row],[Code PFI]],"-",Tableau119[[#This Row],[Compte Consignee]])</f>
        <v>FALSO---900383</v>
      </c>
      <c r="H5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29179901FALSOTANGER</v>
      </c>
      <c r="I574" s="434" t="str">
        <f>_xlfn.CONCAT(Tableau119[[#This Row],[ID]],"-",Tableau119[[#This Row],[Expiration Date]])</f>
        <v>206-45473</v>
      </c>
      <c r="J5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(CNXAM-MAPTM)-206-FALSO-FALSO-FALSO--45473</v>
      </c>
      <c r="K574" s="119" t="str">
        <f ca="1">IF(COUNTIF(J:J,Tableau119[[#This Row],[Plant-ILN-shipper-POL-Carrier-POD-PFI]])=1,"Non","Oui")</f>
        <v>Non</v>
      </c>
      <c r="L574" s="128" t="str">
        <f>VLOOKUP(Tableau119[[#This Row],[Name Site]],Plant_AILN!A:D,4,FALSE)</f>
        <v>MOROCCO</v>
      </c>
      <c r="M574" s="411" t="s">
        <v>180</v>
      </c>
      <c r="N574" s="454">
        <f>VLOOKUP(Tableau119[[#This Row],[Name Site]],Plant_AILN!A:C,3,FALSE)</f>
        <v>900383</v>
      </c>
      <c r="O574" s="55">
        <f>VLOOKUP(Tableau119[[#This Row],[Compte Consignee]],Order!C:D,2,FALSE)</f>
        <v>7</v>
      </c>
      <c r="P574" s="124" t="s">
        <v>146</v>
      </c>
      <c r="Q574" s="365">
        <f>VLOOKUP(Tableau119[[#This Row],[Name ILN]],Plant_AILN!F:G,2,FALSE)</f>
        <v>0</v>
      </c>
      <c r="R574" s="50">
        <f>VLOOKUP(Tableau119[[#This Row],[Compte ILN]],'DATA ILN'!D:I,6,FALSE)</f>
        <v>9</v>
      </c>
      <c r="S574" s="50" t="e">
        <f>IFERROR(VLOOKUP(Tableau119[[#This Row],[Key(Compte ILN - shipper - POL - plant)]],'DATA ILN'!A:J,10,FALSE),VLOOKUP(Tableau119[[#This Row],[Key(Compte ILN - shipper - POL)]],'DATA ILN'!B:J,9,FALSE))</f>
        <v>#N/A</v>
      </c>
      <c r="T574" s="50" t="e">
        <f>IFERROR(VLOOKUP(Tableau119[[#This Row],[Key(Compte ILN - shipper - POL - plant)]],'DATA ILN'!A:K,11,FALSE),VLOOKUP(Tableau119[[#This Row],[Key(Compte ILN - shipper - POL)]],'DATA ILN'!B:K,10,FALSE))</f>
        <v>#N/A</v>
      </c>
      <c r="U574" s="50" t="e">
        <f>IFERROR(VLOOKUP(Tableau119[[#This Row],[Key(Compte ILN - shipper - POL - plant)]],'DATA ILN'!A:L,12,FALSE),VLOOKUP(Tableau119[[#This Row],[Key(Compte ILN - shipper - POL)]],'DATA ILN'!B:L,11,FALSE))</f>
        <v>#N/A</v>
      </c>
      <c r="V574" s="50" t="e">
        <f>Tableau119[[#This Row],[Day ILN Order]]+Tableau119[[#This Row],[Delivery time to ILN/Shipper]]-1</f>
        <v>#N/A</v>
      </c>
      <c r="W574" s="50" t="e">
        <f>IFERROR(VLOOKUP(Tableau119[[#This Row],[Key(Compte ILN - shipper - POL - plant)]],'DATA ILN'!A:N,14,FALSE),VLOOKUP(Tableau119[[#This Row],[Key(Compte ILN - shipper - POL)]],'DATA ILN'!B:N,13,FALSE))</f>
        <v>#N/A</v>
      </c>
      <c r="X574" s="50" t="e">
        <f>IFERROR(VLOOKUP(Tableau119[[#This Row],[Key(Compte ILN - shipper - POL - plant)]],'DATA ILN'!A:P,16,FALSE),VLOOKUP(Tableau119[[#This Row],[Key(Compte ILN - shipper - POL)]],'DATA ILN'!B:P,15,FALSE))</f>
        <v>#N/A</v>
      </c>
      <c r="Y574" s="284" t="s">
        <v>310</v>
      </c>
      <c r="Z574" s="430">
        <f>IFERROR(VLOOKUP(Tableau119[[#This Row],[Name Shipper]],Plant_AILN!L:M,2,FALSE),0)</f>
        <v>29179901</v>
      </c>
      <c r="AA574" s="406">
        <v>206</v>
      </c>
      <c r="AB574" s="396" t="b">
        <f>_xlfn.XLOOKUP(Tableau119[[#This Row],[Key(ID-date)]],'DATA BTO'!S:S,'DATA BTO'!E:E,FALSE)</f>
        <v>0</v>
      </c>
      <c r="AC574" s="3" t="b">
        <f>_xlfn.XLOOKUP(Tableau119[[#This Row],[Key(ID-date)]],'DATA BTO'!S:S,'DATA BTO'!F:F,FALSE)</f>
        <v>0</v>
      </c>
      <c r="AD574" s="50" t="b">
        <f>_xlfn.XLOOKUP(Tableau119[[#This Row],[Key(ID-date)]],'DATA BTO'!S:S,'DATA BTO'!G:G,FALSE)</f>
        <v>0</v>
      </c>
      <c r="AE574" s="50" t="b">
        <f>_xlfn.XLOOKUP(Tableau119[[#This Row],[Key(ID-date)]],'DATA BTO'!S:S,'DATA BTO'!H:H,FALSE)</f>
        <v>0</v>
      </c>
      <c r="AF574" s="447" t="e">
        <f>IF(Tableau119[[#This Row],[First Day to POL]]&lt;=Tableau119[[#This Row],[Day Cut Off]],Tableau119[[#This Row],[Day ETD]],Tableau119[[#This Row],[Day ETD]]+7)</f>
        <v>#N/A</v>
      </c>
      <c r="AG574" s="50" t="b">
        <f>_xlfn.XLOOKUP(Tableau119[[#This Row],[Key(ID-date)]],'DATA BTO'!S:S,'DATA BTO'!I:I,FALSE)</f>
        <v>0</v>
      </c>
      <c r="AH574" s="3" t="b">
        <f>_xlfn.XLOOKUP(Tableau119[[#This Row],[Key(ID-date)]],'DATA BTO'!S:S,'DATA BTO'!J:J,FALSE)</f>
        <v>0</v>
      </c>
      <c r="AI574" s="3" t="b">
        <f>_xlfn.XLOOKUP(Tableau119[[#This Row],[Key(ID-date)]],'DATA BTO'!S:S,'DATA BTO'!K:K,FALSE)</f>
        <v>0</v>
      </c>
      <c r="AJ574" s="50" t="b">
        <f>_xlfn.XLOOKUP(Tableau119[[#This Row],[Key(ID-date)]],'DATA BTO'!S:S,'DATA BTO'!L:L,FALSE)</f>
        <v>0</v>
      </c>
      <c r="AK574" s="53" t="b">
        <f>_xlfn.XLOOKUP(Tableau119[[#This Row],[Key(ID-date)]],'DATA BTO'!S:S,'DATA BTO'!N:N,FALSE)</f>
        <v>0</v>
      </c>
      <c r="AL574" s="54" t="e">
        <f>VLOOKUP(Tableau119[[#This Row],[Key(POD -PFI- Usine)]],'DATA Consignee'!A:F,6,FALSE)</f>
        <v>#N/A</v>
      </c>
      <c r="AM574" s="284"/>
      <c r="AN574" s="376" t="str">
        <f>IF(Tableau119[[#This Row],[Name PFI/CDD]]="","-",VLOOKUP(Tableau119[[#This Row],[Name PFI/CDD]],Plant_AILN!I:J,2,FALSE))</f>
        <v>-</v>
      </c>
      <c r="AO5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4" s="2" t="e">
        <f>VLOOKUP(Tableau119[[#This Row],[Key(POD -PFI- Usine)]],'DATA Consignee'!A:J,10,FALSE)</f>
        <v>#N/A</v>
      </c>
      <c r="AR574" s="50" t="e">
        <f>VLOOKUP(Tableau119[[#This Row],[Key(POD -PFI- Usine)]],'DATA Consignee'!A:N,14,FALSE)</f>
        <v>#N/A</v>
      </c>
      <c r="AS57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4" s="50">
        <f>Tableau119[[#This Row],[Transit time]]+Tableau119[[#This Row],[Time for security]]+Tableau119[[#This Row],[Time for security2 buffer]]</f>
        <v>0</v>
      </c>
      <c r="AV5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4" s="50" t="e">
        <f>Tableau119[[#This Row],[Leadtime SI2C]]+Tableau119[[#This Row],[First Receipt Days]]-Tableau119[[#This Row],[Day Customer Order]]+1</f>
        <v>#N/A</v>
      </c>
      <c r="AX574" s="119" t="e">
        <f>IF(Tableau119[[#This Row],[Name ILN]]&lt;&gt;"SFK Freight Forwarder",Tableau119[[#This Row],[Cust. Leadtime]],Tableau119[[#This Row],[Leadtime SI2C]])</f>
        <v>#N/A</v>
      </c>
      <c r="AY574" s="51" t="b">
        <f>_xlfn.XLOOKUP(Tableau119[[#This Row],[Key(ID-date)]],'DATA BTO'!S:S,'DATA BTO'!P:P,FALSE)</f>
        <v>0</v>
      </c>
      <c r="AZ574" s="338">
        <v>45473</v>
      </c>
      <c r="BA574" s="50"/>
    </row>
    <row r="575" spans="2:53">
      <c r="B575" s="66" t="str">
        <f>_xlfn.CONCAT(Tableau119[[#This Row],[Name ILN]],"-",Tableau119[[#This Row],[Name Shipper]],"-",Tableau119[[#This Row],[Name Site]])</f>
        <v>SFK Freight Forwarder-HANKOOK TIRE INDONESIA-SOMACA</v>
      </c>
      <c r="C575" s="66" t="str">
        <f>_xlfn.CONCAT(Tableau119[[#This Row],[Compte ILN]],"-",Tableau119[[#This Row],[Compte Shipper]],"-",Tableau119[[#This Row],[POL]],"-",Tableau119[[#This Row],[Compte Consignee]])</f>
        <v>0-42631300-FALSO-90038200</v>
      </c>
      <c r="D575" s="66" t="str">
        <f>_xlfn.CONCAT(Tableau119[[#This Row],[Compte ILN]],"-",Tableau119[[#This Row],[Compte Shipper]],"-",Tableau119[[#This Row],[POL]])</f>
        <v>0-42631300-FALSO</v>
      </c>
      <c r="E575" s="130" t="str">
        <f>_xlfn.CONCAT(Tableau119[[#This Row],[POL]],"-",Tableau119[[#This Row],[Carrier]],"-",Tableau119[[#This Row],[POD]])</f>
        <v>FALSO-FALSO-FALSO</v>
      </c>
      <c r="F575" s="66" t="str">
        <f>_xlfn.CONCAT(Tableau119[[#This Row],[ID]],"-","Actif")</f>
        <v>207-Actif</v>
      </c>
      <c r="G575" s="66" t="str">
        <f>_xlfn.CONCAT(Tableau119[[#This Row],[POD]],"-",Tableau119[[#This Row],[Code PFI]],"-",Tableau119[[#This Row],[Compte Consignee]])</f>
        <v>FALSO---90038200</v>
      </c>
      <c r="H5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42631300FALSOSOMACA</v>
      </c>
      <c r="I575" s="434" t="str">
        <f>_xlfn.CONCAT(Tableau119[[#This Row],[ID]],"-",Tableau119[[#This Row],[Expiration Date]])</f>
        <v>207-46142</v>
      </c>
      <c r="J5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Forwarder-HANKOOK TIRE INDONESIA-207-FALSO-FALSO-FALSO--46142</v>
      </c>
      <c r="K575" s="119" t="str">
        <f ca="1">IF(COUNTIF(J:J,Tableau119[[#This Row],[Plant-ILN-shipper-POL-Carrier-POD-PFI]])=1,"Non","Oui")</f>
        <v>Non</v>
      </c>
      <c r="L575" s="436" t="str">
        <f>VLOOKUP(Tableau119[[#This Row],[Name Site]],Plant_AILN!A:D,4,FALSE)</f>
        <v>MOROCCO</v>
      </c>
      <c r="M575" s="485" t="s">
        <v>179</v>
      </c>
      <c r="N575" s="455">
        <f>VLOOKUP(Tableau119[[#This Row],[Name Site]],Plant_AILN!A:C,3,FALSE)</f>
        <v>90038200</v>
      </c>
      <c r="O575" s="104">
        <f>IF(Tableau119[[#This Row],[Name PFI/CDD]]="PFI VLL",2,VLOOKUP(Tableau119[[#This Row],[Compte Consignee]],Order!C:D,2,FALSE))</f>
        <v>7</v>
      </c>
      <c r="P575" s="126" t="s">
        <v>146</v>
      </c>
      <c r="Q575" s="366">
        <f>VLOOKUP(Tableau119[[#This Row],[Name ILN]],Plant_AILN!F:G,2,FALSE)</f>
        <v>0</v>
      </c>
      <c r="R575" s="81">
        <f>VLOOKUP(Tableau119[[#This Row],[Compte ILN]],'DATA ILN'!D:I,6,FALSE)</f>
        <v>9</v>
      </c>
      <c r="S575" s="81" t="e">
        <f>IFERROR(VLOOKUP(Tableau119[[#This Row],[Key(Compte ILN - shipper - POL - plant)]],'DATA ILN'!A:J,10,FALSE),VLOOKUP(Tableau119[[#This Row],[Key(Compte ILN - shipper - POL)]],'DATA ILN'!B:J,9,FALSE))</f>
        <v>#N/A</v>
      </c>
      <c r="T575" s="81" t="e">
        <f>IFERROR(VLOOKUP(Tableau119[[#This Row],[Key(Compte ILN - shipper - POL - plant)]],'DATA ILN'!A:K,11,FALSE),VLOOKUP(Tableau119[[#This Row],[Key(Compte ILN - shipper - POL)]],'DATA ILN'!B:K,10,FALSE))</f>
        <v>#N/A</v>
      </c>
      <c r="U575" s="81" t="e">
        <f>IFERROR(VLOOKUP(Tableau119[[#This Row],[Key(Compte ILN - shipper - POL - plant)]],'DATA ILN'!A:L,12,FALSE),VLOOKUP(Tableau119[[#This Row],[Key(Compte ILN - shipper - POL)]],'DATA ILN'!B:L,11,FALSE))</f>
        <v>#N/A</v>
      </c>
      <c r="V575" s="81" t="e">
        <f>Tableau119[[#This Row],[Day ILN Order]]+Tableau119[[#This Row],[Delivery time to ILN/Shipper]]-1</f>
        <v>#N/A</v>
      </c>
      <c r="W575" s="81" t="e">
        <f>IFERROR(VLOOKUP(Tableau119[[#This Row],[Key(Compte ILN - shipper - POL - plant)]],'DATA ILN'!A:N,14,FALSE),VLOOKUP(Tableau119[[#This Row],[Key(Compte ILN - shipper - POL)]],'DATA ILN'!B:N,13,FALSE))</f>
        <v>#N/A</v>
      </c>
      <c r="X575" s="81" t="e">
        <f>IFERROR(VLOOKUP(Tableau119[[#This Row],[Key(Compte ILN - shipper - POL - plant)]],'DATA ILN'!A:P,16,FALSE),VLOOKUP(Tableau119[[#This Row],[Key(Compte ILN - shipper - POL)]],'DATA ILN'!B:P,15,FALSE))</f>
        <v>#N/A</v>
      </c>
      <c r="Y575" s="102" t="s">
        <v>316</v>
      </c>
      <c r="Z575" s="417">
        <f>IFERROR(VLOOKUP(Tableau119[[#This Row],[Name Shipper]],Plant_AILN!L:M,2,FALSE),0)</f>
        <v>42631300</v>
      </c>
      <c r="AA575" s="416">
        <v>207</v>
      </c>
      <c r="AB575" s="396" t="b">
        <f>_xlfn.XLOOKUP(Tableau119[[#This Row],[Key(ID-date)]],'DATA BTO'!S:S,'DATA BTO'!E:E,FALSE)</f>
        <v>0</v>
      </c>
      <c r="AC575" s="3" t="b">
        <f>_xlfn.XLOOKUP(Tableau119[[#This Row],[Key(ID-date)]],'DATA BTO'!S:S,'DATA BTO'!F:F,FALSE)</f>
        <v>0</v>
      </c>
      <c r="AD575" s="50" t="b">
        <f>_xlfn.XLOOKUP(Tableau119[[#This Row],[Key(ID-date)]],'DATA BTO'!S:S,'DATA BTO'!G:G,FALSE)</f>
        <v>0</v>
      </c>
      <c r="AE575" s="50" t="b">
        <f>_xlfn.XLOOKUP(Tableau119[[#This Row],[Key(ID-date)]],'DATA BTO'!S:S,'DATA BTO'!H:H,FALSE)</f>
        <v>0</v>
      </c>
      <c r="AF575" s="447" t="e">
        <f>IF(Tableau119[[#This Row],[First Day to POL]]&lt;=Tableau119[[#This Row],[Day Cut Off]],Tableau119[[#This Row],[Day ETD]],Tableau119[[#This Row],[Day ETD]]+7)</f>
        <v>#N/A</v>
      </c>
      <c r="AG575" s="50" t="b">
        <f>_xlfn.XLOOKUP(Tableau119[[#This Row],[Key(ID-date)]],'DATA BTO'!S:S,'DATA BTO'!I:I,FALSE)</f>
        <v>0</v>
      </c>
      <c r="AH575" s="3" t="b">
        <f>_xlfn.XLOOKUP(Tableau119[[#This Row],[Key(ID-date)]],'DATA BTO'!S:S,'DATA BTO'!J:J,FALSE)</f>
        <v>0</v>
      </c>
      <c r="AI575" s="3" t="b">
        <f>_xlfn.XLOOKUP(Tableau119[[#This Row],[Key(ID-date)]],'DATA BTO'!S:S,'DATA BTO'!K:K,FALSE)</f>
        <v>0</v>
      </c>
      <c r="AJ575" s="50" t="b">
        <f>_xlfn.XLOOKUP(Tableau119[[#This Row],[Key(ID-date)]],'DATA BTO'!S:S,'DATA BTO'!L:L,FALSE)</f>
        <v>0</v>
      </c>
      <c r="AK575" s="53" t="b">
        <f>_xlfn.XLOOKUP(Tableau119[[#This Row],[Key(ID-date)]],'DATA BTO'!S:S,'DATA BTO'!N:N,FALSE)</f>
        <v>0</v>
      </c>
      <c r="AL575" s="54" t="e">
        <f>VLOOKUP(Tableau119[[#This Row],[Key(POD -PFI- Usine)]],'DATA Consignee'!A:F,6,FALSE)</f>
        <v>#N/A</v>
      </c>
      <c r="AM575" s="102"/>
      <c r="AN575" s="375" t="str">
        <f>IF(Tableau119[[#This Row],[Name PFI/CDD]]="","-",VLOOKUP(Tableau119[[#This Row],[Name PFI/CDD]],Plant_AILN!I:J,2,FALSE))</f>
        <v>-</v>
      </c>
      <c r="AO57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5" s="110" t="e">
        <f>VLOOKUP(Tableau119[[#This Row],[Key(POD -PFI- Usine)]],'DATA Consignee'!A:J,10,FALSE)</f>
        <v>#N/A</v>
      </c>
      <c r="AR575" s="81" t="e">
        <f>VLOOKUP(Tableau119[[#This Row],[Key(POD -PFI- Usine)]],'DATA Consignee'!A:N,14,FALSE)</f>
        <v>#N/A</v>
      </c>
      <c r="AS57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5" s="81">
        <f>Tableau119[[#This Row],[Transit time]]+Tableau119[[#This Row],[Time for security]]+Tableau119[[#This Row],[Time for security2 buffer]]</f>
        <v>0</v>
      </c>
      <c r="AV5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5" s="50" t="e">
        <f>Tableau119[[#This Row],[Leadtime SI2C]]+Tableau119[[#This Row],[First Receipt Days]]-Tableau119[[#This Row],[Day Customer Order]]+1</f>
        <v>#N/A</v>
      </c>
      <c r="AX575" s="119" t="e">
        <f>IF(Tableau119[[#This Row],[Name ILN]]&lt;&gt;"SFK Freight Forwarder",Tableau119[[#This Row],[Cust. Leadtime]],Tableau119[[#This Row],[Leadtime SI2C]])</f>
        <v>#N/A</v>
      </c>
      <c r="AY575" s="51" t="b">
        <f>_xlfn.XLOOKUP(Tableau119[[#This Row],[Key(ID-date)]],'DATA BTO'!S:S,'DATA BTO'!P:P,FALSE)</f>
        <v>0</v>
      </c>
      <c r="AZ575" s="388">
        <v>46142</v>
      </c>
      <c r="BA575" s="81"/>
    </row>
    <row r="576" spans="2:53">
      <c r="B576" s="66" t="str">
        <f>_xlfn.CONCAT(Tableau119[[#This Row],[Name ILN]],"-",Tableau119[[#This Row],[Name Shipper]],"-",Tableau119[[#This Row],[Name Site]])</f>
        <v>SFK Freight Forwarder-HANKOOK TIRE INDONESIA-TANGER</v>
      </c>
      <c r="C576" s="66" t="str">
        <f>_xlfn.CONCAT(Tableau119[[#This Row],[Compte ILN]],"-",Tableau119[[#This Row],[Compte Shipper]],"-",Tableau119[[#This Row],[POL]],"-",Tableau119[[#This Row],[Compte Consignee]])</f>
        <v>0-42631300-FALSO-900383</v>
      </c>
      <c r="D576" s="66" t="str">
        <f>_xlfn.CONCAT(Tableau119[[#This Row],[Compte ILN]],"-",Tableau119[[#This Row],[Compte Shipper]],"-",Tableau119[[#This Row],[POL]])</f>
        <v>0-42631300-FALSO</v>
      </c>
      <c r="E576" s="130" t="str">
        <f>_xlfn.CONCAT(Tableau119[[#This Row],[POL]],"-",Tableau119[[#This Row],[Carrier]],"-",Tableau119[[#This Row],[POD]])</f>
        <v>FALSO-FALSO-FALSO</v>
      </c>
      <c r="F576" s="66" t="str">
        <f>_xlfn.CONCAT(Tableau119[[#This Row],[ID]],"-","Actif")</f>
        <v>207-Actif</v>
      </c>
      <c r="G576" s="66" t="str">
        <f>_xlfn.CONCAT(Tableau119[[#This Row],[POD]],"-",Tableau119[[#This Row],[Code PFI]],"-",Tableau119[[#This Row],[Compte Consignee]])</f>
        <v>FALSO---900383</v>
      </c>
      <c r="H5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42631300FALSOTANGER</v>
      </c>
      <c r="I576" s="434" t="str">
        <f>_xlfn.CONCAT(Tableau119[[#This Row],[ID]],"-",Tableau119[[#This Row],[Expiration Date]])</f>
        <v>207-46142</v>
      </c>
      <c r="J5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Forwarder-HANKOOK TIRE INDONESIA-207-FALSO-FALSO-FALSO--46142</v>
      </c>
      <c r="K576" s="119" t="str">
        <f ca="1">IF(COUNTIF(J:J,Tableau119[[#This Row],[Plant-ILN-shipper-POL-Carrier-POD-PFI]])=1,"Non","Oui")</f>
        <v>Non</v>
      </c>
      <c r="L576" s="436" t="str">
        <f>VLOOKUP(Tableau119[[#This Row],[Name Site]],Plant_AILN!A:D,4,FALSE)</f>
        <v>MOROCCO</v>
      </c>
      <c r="M576" s="285" t="s">
        <v>180</v>
      </c>
      <c r="N576" s="454">
        <f>VLOOKUP(Tableau119[[#This Row],[Name Site]],Plant_AILN!A:C,3,FALSE)</f>
        <v>900383</v>
      </c>
      <c r="O576" s="55">
        <f>IF(Tableau119[[#This Row],[Name PFI/CDD]]="PFI VLL",2,VLOOKUP(Tableau119[[#This Row],[Compte Consignee]],Order!C:D,2,FALSE))</f>
        <v>7</v>
      </c>
      <c r="P576" s="124" t="s">
        <v>146</v>
      </c>
      <c r="Q576" s="365">
        <f>VLOOKUP(Tableau119[[#This Row],[Name ILN]],Plant_AILN!F:G,2,FALSE)</f>
        <v>0</v>
      </c>
      <c r="R576" s="50">
        <f>VLOOKUP(Tableau119[[#This Row],[Compte ILN]],'DATA ILN'!D:I,6,FALSE)</f>
        <v>9</v>
      </c>
      <c r="S576" s="50" t="e">
        <f>IFERROR(VLOOKUP(Tableau119[[#This Row],[Key(Compte ILN - shipper - POL - plant)]],'DATA ILN'!A:J,10,FALSE),VLOOKUP(Tableau119[[#This Row],[Key(Compte ILN - shipper - POL)]],'DATA ILN'!B:J,9,FALSE))</f>
        <v>#N/A</v>
      </c>
      <c r="T576" s="50" t="e">
        <f>IFERROR(VLOOKUP(Tableau119[[#This Row],[Key(Compte ILN - shipper - POL - plant)]],'DATA ILN'!A:K,11,FALSE),VLOOKUP(Tableau119[[#This Row],[Key(Compte ILN - shipper - POL)]],'DATA ILN'!B:K,10,FALSE))</f>
        <v>#N/A</v>
      </c>
      <c r="U576" s="50" t="e">
        <f>IFERROR(VLOOKUP(Tableau119[[#This Row],[Key(Compte ILN - shipper - POL - plant)]],'DATA ILN'!A:L,12,FALSE),VLOOKUP(Tableau119[[#This Row],[Key(Compte ILN - shipper - POL)]],'DATA ILN'!B:L,11,FALSE))</f>
        <v>#N/A</v>
      </c>
      <c r="V576" s="50" t="e">
        <f>Tableau119[[#This Row],[Day ILN Order]]+Tableau119[[#This Row],[Delivery time to ILN/Shipper]]-1</f>
        <v>#N/A</v>
      </c>
      <c r="W576" s="50" t="e">
        <f>IFERROR(VLOOKUP(Tableau119[[#This Row],[Key(Compte ILN - shipper - POL - plant)]],'DATA ILN'!A:N,14,FALSE),VLOOKUP(Tableau119[[#This Row],[Key(Compte ILN - shipper - POL)]],'DATA ILN'!B:N,13,FALSE))</f>
        <v>#N/A</v>
      </c>
      <c r="X576" s="50" t="e">
        <f>IFERROR(VLOOKUP(Tableau119[[#This Row],[Key(Compte ILN - shipper - POL - plant)]],'DATA ILN'!A:P,16,FALSE),VLOOKUP(Tableau119[[#This Row],[Key(Compte ILN - shipper - POL)]],'DATA ILN'!B:P,15,FALSE))</f>
        <v>#N/A</v>
      </c>
      <c r="Y576" s="284" t="s">
        <v>316</v>
      </c>
      <c r="Z576" s="430">
        <f>IFERROR(VLOOKUP(Tableau119[[#This Row],[Name Shipper]],Plant_AILN!L:M,2,FALSE),0)</f>
        <v>42631300</v>
      </c>
      <c r="AA576" s="406">
        <v>207</v>
      </c>
      <c r="AB576" s="396" t="b">
        <f>_xlfn.XLOOKUP(Tableau119[[#This Row],[Key(ID-date)]],'DATA BTO'!S:S,'DATA BTO'!E:E,FALSE)</f>
        <v>0</v>
      </c>
      <c r="AC576" s="3" t="b">
        <f>_xlfn.XLOOKUP(Tableau119[[#This Row],[Key(ID-date)]],'DATA BTO'!S:S,'DATA BTO'!F:F,FALSE)</f>
        <v>0</v>
      </c>
      <c r="AD576" s="50" t="b">
        <f>_xlfn.XLOOKUP(Tableau119[[#This Row],[Key(ID-date)]],'DATA BTO'!S:S,'DATA BTO'!G:G,FALSE)</f>
        <v>0</v>
      </c>
      <c r="AE576" s="50" t="b">
        <f>_xlfn.XLOOKUP(Tableau119[[#This Row],[Key(ID-date)]],'DATA BTO'!S:S,'DATA BTO'!H:H,FALSE)</f>
        <v>0</v>
      </c>
      <c r="AF576" s="447" t="e">
        <f>IF(Tableau119[[#This Row],[First Day to POL]]&lt;=Tableau119[[#This Row],[Day Cut Off]],Tableau119[[#This Row],[Day ETD]],Tableau119[[#This Row],[Day ETD]]+7)</f>
        <v>#N/A</v>
      </c>
      <c r="AG576" s="50" t="b">
        <f>_xlfn.XLOOKUP(Tableau119[[#This Row],[Key(ID-date)]],'DATA BTO'!S:S,'DATA BTO'!I:I,FALSE)</f>
        <v>0</v>
      </c>
      <c r="AH576" s="3" t="b">
        <f>_xlfn.XLOOKUP(Tableau119[[#This Row],[Key(ID-date)]],'DATA BTO'!S:S,'DATA BTO'!J:J,FALSE)</f>
        <v>0</v>
      </c>
      <c r="AI576" s="3" t="b">
        <f>_xlfn.XLOOKUP(Tableau119[[#This Row],[Key(ID-date)]],'DATA BTO'!S:S,'DATA BTO'!K:K,FALSE)</f>
        <v>0</v>
      </c>
      <c r="AJ576" s="50" t="b">
        <f>_xlfn.XLOOKUP(Tableau119[[#This Row],[Key(ID-date)]],'DATA BTO'!S:S,'DATA BTO'!L:L,FALSE)</f>
        <v>0</v>
      </c>
      <c r="AK576" s="53" t="b">
        <f>_xlfn.XLOOKUP(Tableau119[[#This Row],[Key(ID-date)]],'DATA BTO'!S:S,'DATA BTO'!N:N,FALSE)</f>
        <v>0</v>
      </c>
      <c r="AL576" s="54" t="e">
        <f>VLOOKUP(Tableau119[[#This Row],[Key(POD -PFI- Usine)]],'DATA Consignee'!A:F,6,FALSE)</f>
        <v>#N/A</v>
      </c>
      <c r="AM576" s="284"/>
      <c r="AN576" s="376" t="str">
        <f>IF(Tableau119[[#This Row],[Name PFI/CDD]]="","-",VLOOKUP(Tableau119[[#This Row],[Name PFI/CDD]],Plant_AILN!I:J,2,FALSE))</f>
        <v>-</v>
      </c>
      <c r="AO5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6" s="2" t="e">
        <f>VLOOKUP(Tableau119[[#This Row],[Key(POD -PFI- Usine)]],'DATA Consignee'!A:J,10,FALSE)</f>
        <v>#N/A</v>
      </c>
      <c r="AR576" s="50" t="e">
        <f>VLOOKUP(Tableau119[[#This Row],[Key(POD -PFI- Usine)]],'DATA Consignee'!A:N,14,FALSE)</f>
        <v>#N/A</v>
      </c>
      <c r="AS5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6" s="50">
        <f>Tableau119[[#This Row],[Transit time]]+Tableau119[[#This Row],[Time for security]]+Tableau119[[#This Row],[Time for security2 buffer]]</f>
        <v>0</v>
      </c>
      <c r="AV5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6" s="50" t="e">
        <f>Tableau119[[#This Row],[Leadtime SI2C]]+Tableau119[[#This Row],[First Receipt Days]]-Tableau119[[#This Row],[Day Customer Order]]+1</f>
        <v>#N/A</v>
      </c>
      <c r="AX576" s="119" t="e">
        <f>IF(Tableau119[[#This Row],[Name ILN]]&lt;&gt;"SFK Freight Forwarder",Tableau119[[#This Row],[Cust. Leadtime]],Tableau119[[#This Row],[Leadtime SI2C]])</f>
        <v>#N/A</v>
      </c>
      <c r="AY576" s="51" t="b">
        <f>_xlfn.XLOOKUP(Tableau119[[#This Row],[Key(ID-date)]],'DATA BTO'!S:S,'DATA BTO'!P:P,FALSE)</f>
        <v>0</v>
      </c>
      <c r="AZ576" s="338">
        <v>46142</v>
      </c>
      <c r="BA576" s="50"/>
    </row>
    <row r="577" spans="2:53">
      <c r="B577" s="446" t="str">
        <f>_xlfn.CONCAT(Tableau119[[#This Row],[Name ILN]],"-",Tableau119[[#This Row],[Name Shipper]],"-",Tableau119[[#This Row],[Name Site]])</f>
        <v>SFK Freight Forwarder-HANKOOK TIRE INDONESIA-SOMACA</v>
      </c>
      <c r="C577" s="66" t="str">
        <f>_xlfn.CONCAT(Tableau119[[#This Row],[Compte ILN]],"-",Tableau119[[#This Row],[Compte Shipper]],"-",Tableau119[[#This Row],[POL]],"-",Tableau119[[#This Row],[Compte Consignee]])</f>
        <v>0-42631300-FALSO-90038200</v>
      </c>
      <c r="D577" s="66" t="str">
        <f>_xlfn.CONCAT(Tableau119[[#This Row],[Compte ILN]],"-",Tableau119[[#This Row],[Compte Shipper]],"-",Tableau119[[#This Row],[POL]])</f>
        <v>0-42631300-FALSO</v>
      </c>
      <c r="E577" s="130" t="str">
        <f>_xlfn.CONCAT(Tableau119[[#This Row],[POL]],"-",Tableau119[[#This Row],[Carrier]],"-",Tableau119[[#This Row],[POD]])</f>
        <v>FALSO-FALSO-FALSO</v>
      </c>
      <c r="F577" s="66" t="str">
        <f>_xlfn.CONCAT(Tableau119[[#This Row],[ID]],"-","Actif")</f>
        <v>207-Actif</v>
      </c>
      <c r="G577" s="66" t="str">
        <f>_xlfn.CONCAT(Tableau119[[#This Row],[POD]],"-",Tableau119[[#This Row],[Code PFI]],"-",Tableau119[[#This Row],[Compte Consignee]])</f>
        <v>FALSO---90038200</v>
      </c>
      <c r="H5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42631300FALSOSOMACA</v>
      </c>
      <c r="I577" s="434" t="str">
        <f>_xlfn.CONCAT(Tableau119[[#This Row],[ID]],"-",Tableau119[[#This Row],[Expiration Date]])</f>
        <v>207-45777</v>
      </c>
      <c r="J5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Forwarder-HANKOOK TIRE INDONESIA-207-FALSO-FALSO-FALSO--45777</v>
      </c>
      <c r="K577" s="119" t="str">
        <f ca="1">IF(COUNTIF(J:J,Tableau119[[#This Row],[Plant-ILN-shipper-POL-Carrier-POD-PFI]])=1,"Non","Oui")</f>
        <v>Non</v>
      </c>
      <c r="L577" s="128" t="str">
        <f>VLOOKUP(Tableau119[[#This Row],[Name Site]],Plant_AILN!A:D,4,FALSE)</f>
        <v>MOROCCO</v>
      </c>
      <c r="M577" s="411" t="s">
        <v>179</v>
      </c>
      <c r="N577" s="454">
        <f>VLOOKUP(Tableau119[[#This Row],[Name Site]],Plant_AILN!A:C,3,FALSE)</f>
        <v>90038200</v>
      </c>
      <c r="O577" s="55">
        <f>VLOOKUP(Tableau119[[#This Row],[Compte Consignee]],Order!C:D,2,FALSE)</f>
        <v>7</v>
      </c>
      <c r="P577" s="124" t="s">
        <v>146</v>
      </c>
      <c r="Q577" s="365">
        <f>VLOOKUP(Tableau119[[#This Row],[Name ILN]],Plant_AILN!F:G,2,FALSE)</f>
        <v>0</v>
      </c>
      <c r="R577" s="50">
        <f>VLOOKUP(Tableau119[[#This Row],[Compte ILN]],'DATA ILN'!D:I,6,FALSE)</f>
        <v>9</v>
      </c>
      <c r="S577" s="50" t="e">
        <f>IFERROR(VLOOKUP(Tableau119[[#This Row],[Key(Compte ILN - shipper - POL - plant)]],'DATA ILN'!A:J,10,FALSE),VLOOKUP(Tableau119[[#This Row],[Key(Compte ILN - shipper - POL)]],'DATA ILN'!B:J,9,FALSE))</f>
        <v>#N/A</v>
      </c>
      <c r="T577" s="50" t="e">
        <f>IFERROR(VLOOKUP(Tableau119[[#This Row],[Key(Compte ILN - shipper - POL - plant)]],'DATA ILN'!A:K,11,FALSE),VLOOKUP(Tableau119[[#This Row],[Key(Compte ILN - shipper - POL)]],'DATA ILN'!B:K,10,FALSE))</f>
        <v>#N/A</v>
      </c>
      <c r="U577" s="50" t="e">
        <f>IFERROR(VLOOKUP(Tableau119[[#This Row],[Key(Compte ILN - shipper - POL - plant)]],'DATA ILN'!A:L,12,FALSE),VLOOKUP(Tableau119[[#This Row],[Key(Compte ILN - shipper - POL)]],'DATA ILN'!B:L,11,FALSE))</f>
        <v>#N/A</v>
      </c>
      <c r="V577" s="50" t="e">
        <f>Tableau119[[#This Row],[Day ILN Order]]+Tableau119[[#This Row],[Delivery time to ILN/Shipper]]-1</f>
        <v>#N/A</v>
      </c>
      <c r="W577" s="50" t="e">
        <f>IFERROR(VLOOKUP(Tableau119[[#This Row],[Key(Compte ILN - shipper - POL - plant)]],'DATA ILN'!A:N,14,FALSE),VLOOKUP(Tableau119[[#This Row],[Key(Compte ILN - shipper - POL)]],'DATA ILN'!B:N,13,FALSE))</f>
        <v>#N/A</v>
      </c>
      <c r="X577" s="50" t="e">
        <f>IFERROR(VLOOKUP(Tableau119[[#This Row],[Key(Compte ILN - shipper - POL - plant)]],'DATA ILN'!A:P,16,FALSE),VLOOKUP(Tableau119[[#This Row],[Key(Compte ILN - shipper - POL)]],'DATA ILN'!B:P,15,FALSE))</f>
        <v>#N/A</v>
      </c>
      <c r="Y577" s="284" t="s">
        <v>316</v>
      </c>
      <c r="Z577" s="430">
        <f>IFERROR(VLOOKUP(Tableau119[[#This Row],[Name Shipper]],Plant_AILN!L:M,2,FALSE),0)</f>
        <v>42631300</v>
      </c>
      <c r="AA577" s="406">
        <v>207</v>
      </c>
      <c r="AB577" s="396" t="b">
        <f>_xlfn.XLOOKUP(Tableau119[[#This Row],[Key(ID-date)]],'DATA BTO'!S:S,'DATA BTO'!E:E,FALSE)</f>
        <v>0</v>
      </c>
      <c r="AC577" s="3" t="b">
        <f>_xlfn.XLOOKUP(Tableau119[[#This Row],[Key(ID-date)]],'DATA BTO'!S:S,'DATA BTO'!F:F,FALSE)</f>
        <v>0</v>
      </c>
      <c r="AD577" s="50" t="b">
        <f>_xlfn.XLOOKUP(Tableau119[[#This Row],[Key(ID-date)]],'DATA BTO'!S:S,'DATA BTO'!G:G,FALSE)</f>
        <v>0</v>
      </c>
      <c r="AE577" s="50" t="b">
        <f>_xlfn.XLOOKUP(Tableau119[[#This Row],[Key(ID-date)]],'DATA BTO'!S:S,'DATA BTO'!H:H,FALSE)</f>
        <v>0</v>
      </c>
      <c r="AF577" s="447" t="e">
        <f>IF(Tableau119[[#This Row],[First Day to POL]]&lt;=Tableau119[[#This Row],[Day Cut Off]],Tableau119[[#This Row],[Day ETD]],Tableau119[[#This Row],[Day ETD]]+7)</f>
        <v>#N/A</v>
      </c>
      <c r="AG577" s="50" t="b">
        <f>_xlfn.XLOOKUP(Tableau119[[#This Row],[Key(ID-date)]],'DATA BTO'!S:S,'DATA BTO'!I:I,FALSE)</f>
        <v>0</v>
      </c>
      <c r="AH577" s="3" t="b">
        <f>_xlfn.XLOOKUP(Tableau119[[#This Row],[Key(ID-date)]],'DATA BTO'!S:S,'DATA BTO'!J:J,FALSE)</f>
        <v>0</v>
      </c>
      <c r="AI577" s="3" t="b">
        <f>_xlfn.XLOOKUP(Tableau119[[#This Row],[Key(ID-date)]],'DATA BTO'!S:S,'DATA BTO'!K:K,FALSE)</f>
        <v>0</v>
      </c>
      <c r="AJ577" s="50" t="b">
        <f>_xlfn.XLOOKUP(Tableau119[[#This Row],[Key(ID-date)]],'DATA BTO'!S:S,'DATA BTO'!L:L,FALSE)</f>
        <v>0</v>
      </c>
      <c r="AK577" s="53" t="b">
        <f>_xlfn.XLOOKUP(Tableau119[[#This Row],[Key(ID-date)]],'DATA BTO'!S:S,'DATA BTO'!N:N,FALSE)</f>
        <v>0</v>
      </c>
      <c r="AL577" s="54" t="e">
        <f>VLOOKUP(Tableau119[[#This Row],[Key(POD -PFI- Usine)]],'DATA Consignee'!A:F,6,FALSE)</f>
        <v>#N/A</v>
      </c>
      <c r="AM577" s="284"/>
      <c r="AN577" s="376" t="str">
        <f>IF(Tableau119[[#This Row],[Name PFI/CDD]]="","-",VLOOKUP(Tableau119[[#This Row],[Name PFI/CDD]],Plant_AILN!I:J,2,FALSE))</f>
        <v>-</v>
      </c>
      <c r="AO5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7" s="2" t="e">
        <f>VLOOKUP(Tableau119[[#This Row],[Key(POD -PFI- Usine)]],'DATA Consignee'!A:J,10,FALSE)</f>
        <v>#N/A</v>
      </c>
      <c r="AR577" s="50" t="e">
        <f>VLOOKUP(Tableau119[[#This Row],[Key(POD -PFI- Usine)]],'DATA Consignee'!A:N,14,FALSE)</f>
        <v>#N/A</v>
      </c>
      <c r="AS5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7" s="50">
        <f>Tableau119[[#This Row],[Transit time]]+Tableau119[[#This Row],[Time for security]]+Tableau119[[#This Row],[Time for security2 buffer]]</f>
        <v>0</v>
      </c>
      <c r="AV5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7" s="50" t="e">
        <f>Tableau119[[#This Row],[Leadtime SI2C]]+Tableau119[[#This Row],[First Receipt Days]]-Tableau119[[#This Row],[Day Customer Order]]+1</f>
        <v>#N/A</v>
      </c>
      <c r="AX577" s="119" t="e">
        <f>IF(Tableau119[[#This Row],[Name ILN]]&lt;&gt;"SFK Freight Forwarder",Tableau119[[#This Row],[Cust. Leadtime]],Tableau119[[#This Row],[Leadtime SI2C]])</f>
        <v>#N/A</v>
      </c>
      <c r="AY577" s="51" t="b">
        <f>_xlfn.XLOOKUP(Tableau119[[#This Row],[Key(ID-date)]],'DATA BTO'!S:S,'DATA BTO'!P:P,FALSE)</f>
        <v>0</v>
      </c>
      <c r="AZ577" s="338">
        <v>45777</v>
      </c>
      <c r="BA577" s="50"/>
    </row>
    <row r="578" spans="2:53">
      <c r="B578" s="446" t="str">
        <f>_xlfn.CONCAT(Tableau119[[#This Row],[Name ILN]],"-",Tableau119[[#This Row],[Name Shipper]],"-",Tableau119[[#This Row],[Name Site]])</f>
        <v>SFK Freight Forwarder-HANKOOK TIRE INDONESIA-TANGER</v>
      </c>
      <c r="C578" s="66" t="str">
        <f>_xlfn.CONCAT(Tableau119[[#This Row],[Compte ILN]],"-",Tableau119[[#This Row],[Compte Shipper]],"-",Tableau119[[#This Row],[POL]],"-",Tableau119[[#This Row],[Compte Consignee]])</f>
        <v>0-42631300-FALSO-900383</v>
      </c>
      <c r="D578" s="66" t="str">
        <f>_xlfn.CONCAT(Tableau119[[#This Row],[Compte ILN]],"-",Tableau119[[#This Row],[Compte Shipper]],"-",Tableau119[[#This Row],[POL]])</f>
        <v>0-42631300-FALSO</v>
      </c>
      <c r="E578" s="130" t="str">
        <f>_xlfn.CONCAT(Tableau119[[#This Row],[POL]],"-",Tableau119[[#This Row],[Carrier]],"-",Tableau119[[#This Row],[POD]])</f>
        <v>FALSO-FALSO-FALSO</v>
      </c>
      <c r="F578" s="66" t="str">
        <f>_xlfn.CONCAT(Tableau119[[#This Row],[ID]],"-","Actif")</f>
        <v>207-Actif</v>
      </c>
      <c r="G578" s="66" t="str">
        <f>_xlfn.CONCAT(Tableau119[[#This Row],[POD]],"-",Tableau119[[#This Row],[Code PFI]],"-",Tableau119[[#This Row],[Compte Consignee]])</f>
        <v>FALSO---900383</v>
      </c>
      <c r="H5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42631300FALSOTANGER</v>
      </c>
      <c r="I578" s="434" t="str">
        <f>_xlfn.CONCAT(Tableau119[[#This Row],[ID]],"-",Tableau119[[#This Row],[Expiration Date]])</f>
        <v>207-45777</v>
      </c>
      <c r="J5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Forwarder-HANKOOK TIRE INDONESIA-207-FALSO-FALSO-FALSO--45777</v>
      </c>
      <c r="K578" s="119" t="str">
        <f ca="1">IF(COUNTIF(J:J,Tableau119[[#This Row],[Plant-ILN-shipper-POL-Carrier-POD-PFI]])=1,"Non","Oui")</f>
        <v>Non</v>
      </c>
      <c r="L578" s="128" t="str">
        <f>VLOOKUP(Tableau119[[#This Row],[Name Site]],Plant_AILN!A:D,4,FALSE)</f>
        <v>MOROCCO</v>
      </c>
      <c r="M578" s="415" t="s">
        <v>180</v>
      </c>
      <c r="N578" s="455">
        <f>VLOOKUP(Tableau119[[#This Row],[Name Site]],Plant_AILN!A:C,3,FALSE)</f>
        <v>900383</v>
      </c>
      <c r="O578" s="104">
        <f>VLOOKUP(Tableau119[[#This Row],[Compte Consignee]],Order!C:D,2,FALSE)</f>
        <v>7</v>
      </c>
      <c r="P578" s="126" t="s">
        <v>146</v>
      </c>
      <c r="Q578" s="366">
        <f>VLOOKUP(Tableau119[[#This Row],[Name ILN]],Plant_AILN!F:G,2,FALSE)</f>
        <v>0</v>
      </c>
      <c r="R578" s="81">
        <f>VLOOKUP(Tableau119[[#This Row],[Compte ILN]],'DATA ILN'!D:I,6,FALSE)</f>
        <v>9</v>
      </c>
      <c r="S578" s="81" t="e">
        <f>IFERROR(VLOOKUP(Tableau119[[#This Row],[Key(Compte ILN - shipper - POL - plant)]],'DATA ILN'!A:J,10,FALSE),VLOOKUP(Tableau119[[#This Row],[Key(Compte ILN - shipper - POL)]],'DATA ILN'!B:J,9,FALSE))</f>
        <v>#N/A</v>
      </c>
      <c r="T578" s="81" t="e">
        <f>IFERROR(VLOOKUP(Tableau119[[#This Row],[Key(Compte ILN - shipper - POL - plant)]],'DATA ILN'!A:K,11,FALSE),VLOOKUP(Tableau119[[#This Row],[Key(Compte ILN - shipper - POL)]],'DATA ILN'!B:K,10,FALSE))</f>
        <v>#N/A</v>
      </c>
      <c r="U578" s="81" t="e">
        <f>IFERROR(VLOOKUP(Tableau119[[#This Row],[Key(Compte ILN - shipper - POL - plant)]],'DATA ILN'!A:L,12,FALSE),VLOOKUP(Tableau119[[#This Row],[Key(Compte ILN - shipper - POL)]],'DATA ILN'!B:L,11,FALSE))</f>
        <v>#N/A</v>
      </c>
      <c r="V578" s="81" t="e">
        <f>Tableau119[[#This Row],[Day ILN Order]]+Tableau119[[#This Row],[Delivery time to ILN/Shipper]]-1</f>
        <v>#N/A</v>
      </c>
      <c r="W578" s="81" t="e">
        <f>IFERROR(VLOOKUP(Tableau119[[#This Row],[Key(Compte ILN - shipper - POL - plant)]],'DATA ILN'!A:N,14,FALSE),VLOOKUP(Tableau119[[#This Row],[Key(Compte ILN - shipper - POL)]],'DATA ILN'!B:N,13,FALSE))</f>
        <v>#N/A</v>
      </c>
      <c r="X578" s="81" t="e">
        <f>IFERROR(VLOOKUP(Tableau119[[#This Row],[Key(Compte ILN - shipper - POL - plant)]],'DATA ILN'!A:P,16,FALSE),VLOOKUP(Tableau119[[#This Row],[Key(Compte ILN - shipper - POL)]],'DATA ILN'!B:P,15,FALSE))</f>
        <v>#N/A</v>
      </c>
      <c r="Y578" s="102" t="s">
        <v>316</v>
      </c>
      <c r="Z578" s="417">
        <f>IFERROR(VLOOKUP(Tableau119[[#This Row],[Name Shipper]],Plant_AILN!L:M,2,FALSE),0)</f>
        <v>42631300</v>
      </c>
      <c r="AA578" s="416">
        <v>207</v>
      </c>
      <c r="AB578" s="396" t="b">
        <f>_xlfn.XLOOKUP(Tableau119[[#This Row],[Key(ID-date)]],'DATA BTO'!S:S,'DATA BTO'!E:E,FALSE)</f>
        <v>0</v>
      </c>
      <c r="AC578" s="3" t="b">
        <f>_xlfn.XLOOKUP(Tableau119[[#This Row],[Key(ID-date)]],'DATA BTO'!S:S,'DATA BTO'!F:F,FALSE)</f>
        <v>0</v>
      </c>
      <c r="AD578" s="50" t="b">
        <f>_xlfn.XLOOKUP(Tableau119[[#This Row],[Key(ID-date)]],'DATA BTO'!S:S,'DATA BTO'!G:G,FALSE)</f>
        <v>0</v>
      </c>
      <c r="AE578" s="50" t="b">
        <f>_xlfn.XLOOKUP(Tableau119[[#This Row],[Key(ID-date)]],'DATA BTO'!S:S,'DATA BTO'!H:H,FALSE)</f>
        <v>0</v>
      </c>
      <c r="AF578" s="447" t="e">
        <f>IF(Tableau119[[#This Row],[First Day to POL]]&lt;=Tableau119[[#This Row],[Day Cut Off]],Tableau119[[#This Row],[Day ETD]],Tableau119[[#This Row],[Day ETD]]+7)</f>
        <v>#N/A</v>
      </c>
      <c r="AG578" s="50" t="b">
        <f>_xlfn.XLOOKUP(Tableau119[[#This Row],[Key(ID-date)]],'DATA BTO'!S:S,'DATA BTO'!I:I,FALSE)</f>
        <v>0</v>
      </c>
      <c r="AH578" s="3" t="b">
        <f>_xlfn.XLOOKUP(Tableau119[[#This Row],[Key(ID-date)]],'DATA BTO'!S:S,'DATA BTO'!J:J,FALSE)</f>
        <v>0</v>
      </c>
      <c r="AI578" s="3" t="b">
        <f>_xlfn.XLOOKUP(Tableau119[[#This Row],[Key(ID-date)]],'DATA BTO'!S:S,'DATA BTO'!K:K,FALSE)</f>
        <v>0</v>
      </c>
      <c r="AJ578" s="50" t="b">
        <f>_xlfn.XLOOKUP(Tableau119[[#This Row],[Key(ID-date)]],'DATA BTO'!S:S,'DATA BTO'!L:L,FALSE)</f>
        <v>0</v>
      </c>
      <c r="AK578" s="53" t="b">
        <f>_xlfn.XLOOKUP(Tableau119[[#This Row],[Key(ID-date)]],'DATA BTO'!S:S,'DATA BTO'!N:N,FALSE)</f>
        <v>0</v>
      </c>
      <c r="AL578" s="54" t="e">
        <f>VLOOKUP(Tableau119[[#This Row],[Key(POD -PFI- Usine)]],'DATA Consignee'!A:F,6,FALSE)</f>
        <v>#N/A</v>
      </c>
      <c r="AM578" s="102"/>
      <c r="AN578" s="375" t="str">
        <f>IF(Tableau119[[#This Row],[Name PFI/CDD]]="","-",VLOOKUP(Tableau119[[#This Row],[Name PFI/CDD]],Plant_AILN!I:J,2,FALSE))</f>
        <v>-</v>
      </c>
      <c r="AO57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8" s="110" t="e">
        <f>VLOOKUP(Tableau119[[#This Row],[Key(POD -PFI- Usine)]],'DATA Consignee'!A:J,10,FALSE)</f>
        <v>#N/A</v>
      </c>
      <c r="AR578" s="81" t="e">
        <f>VLOOKUP(Tableau119[[#This Row],[Key(POD -PFI- Usine)]],'DATA Consignee'!A:N,14,FALSE)</f>
        <v>#N/A</v>
      </c>
      <c r="AS57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8" s="81">
        <f>Tableau119[[#This Row],[Transit time]]+Tableau119[[#This Row],[Time for security]]+Tableau119[[#This Row],[Time for security2 buffer]]</f>
        <v>0</v>
      </c>
      <c r="AV5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8" s="50" t="e">
        <f>Tableau119[[#This Row],[Leadtime SI2C]]+Tableau119[[#This Row],[First Receipt Days]]-Tableau119[[#This Row],[Day Customer Order]]+1</f>
        <v>#N/A</v>
      </c>
      <c r="AX578" s="119" t="e">
        <f>IF(Tableau119[[#This Row],[Name ILN]]&lt;&gt;"SFK Freight Forwarder",Tableau119[[#This Row],[Cust. Leadtime]],Tableau119[[#This Row],[Leadtime SI2C]])</f>
        <v>#N/A</v>
      </c>
      <c r="AY578" s="51" t="b">
        <f>_xlfn.XLOOKUP(Tableau119[[#This Row],[Key(ID-date)]],'DATA BTO'!S:S,'DATA BTO'!P:P,FALSE)</f>
        <v>0</v>
      </c>
      <c r="AZ578" s="388">
        <v>45777</v>
      </c>
      <c r="BA578" s="81"/>
    </row>
    <row r="579" spans="2:53">
      <c r="B579" s="446" t="str">
        <f>_xlfn.CONCAT(Tableau119[[#This Row],[Name ILN]],"-",Tableau119[[#This Row],[Name Shipper]],"-",Tableau119[[#This Row],[Name Site]])</f>
        <v>SFK Freight Forwarder-HANKOOK TIRE INDONESIA-SOMACA</v>
      </c>
      <c r="C579" s="66" t="str">
        <f>_xlfn.CONCAT(Tableau119[[#This Row],[Compte ILN]],"-",Tableau119[[#This Row],[Compte Shipper]],"-",Tableau119[[#This Row],[POL]],"-",Tableau119[[#This Row],[Compte Consignee]])</f>
        <v>0-42631300-FALSO-90038200</v>
      </c>
      <c r="D579" s="66" t="str">
        <f>_xlfn.CONCAT(Tableau119[[#This Row],[Compte ILN]],"-",Tableau119[[#This Row],[Compte Shipper]],"-",Tableau119[[#This Row],[POL]])</f>
        <v>0-42631300-FALSO</v>
      </c>
      <c r="E579" s="130" t="str">
        <f>_xlfn.CONCAT(Tableau119[[#This Row],[POL]],"-",Tableau119[[#This Row],[Carrier]],"-",Tableau119[[#This Row],[POD]])</f>
        <v>FALSO-FALSO-FALSO</v>
      </c>
      <c r="F579" s="66" t="str">
        <f>_xlfn.CONCAT(Tableau119[[#This Row],[ID]],"-","Actif")</f>
        <v>207-Actif</v>
      </c>
      <c r="G579" s="66" t="str">
        <f>_xlfn.CONCAT(Tableau119[[#This Row],[POD]],"-",Tableau119[[#This Row],[Code PFI]],"-",Tableau119[[#This Row],[Compte Consignee]])</f>
        <v>FALSO---90038200</v>
      </c>
      <c r="H5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42631300FALSOSOMACA</v>
      </c>
      <c r="I579" s="434" t="str">
        <f>_xlfn.CONCAT(Tableau119[[#This Row],[ID]],"-",Tableau119[[#This Row],[Expiration Date]])</f>
        <v>207-45473</v>
      </c>
      <c r="J5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Forwarder-HANKOOK TIRE INDONESIA-207-FALSO-FALSO-FALSO--45473</v>
      </c>
      <c r="K579" s="119" t="str">
        <f ca="1">IF(COUNTIF(J:J,Tableau119[[#This Row],[Plant-ILN-shipper-POL-Carrier-POD-PFI]])=1,"Non","Oui")</f>
        <v>Non</v>
      </c>
      <c r="L579" s="128" t="str">
        <f>VLOOKUP(Tableau119[[#This Row],[Name Site]],Plant_AILN!A:D,4,FALSE)</f>
        <v>MOROCCO</v>
      </c>
      <c r="M579" s="411" t="s">
        <v>179</v>
      </c>
      <c r="N579" s="454">
        <f>VLOOKUP(Tableau119[[#This Row],[Name Site]],Plant_AILN!A:C,3,FALSE)</f>
        <v>90038200</v>
      </c>
      <c r="O579" s="55">
        <f>VLOOKUP(Tableau119[[#This Row],[Compte Consignee]],Order!C:D,2,FALSE)</f>
        <v>7</v>
      </c>
      <c r="P579" s="124" t="s">
        <v>146</v>
      </c>
      <c r="Q579" s="365">
        <f>VLOOKUP(Tableau119[[#This Row],[Name ILN]],Plant_AILN!F:G,2,FALSE)</f>
        <v>0</v>
      </c>
      <c r="R579" s="50">
        <f>VLOOKUP(Tableau119[[#This Row],[Compte ILN]],'DATA ILN'!D:I,6,FALSE)</f>
        <v>9</v>
      </c>
      <c r="S579" s="50" t="e">
        <f>IFERROR(VLOOKUP(Tableau119[[#This Row],[Key(Compte ILN - shipper - POL - plant)]],'DATA ILN'!A:J,10,FALSE),VLOOKUP(Tableau119[[#This Row],[Key(Compte ILN - shipper - POL)]],'DATA ILN'!B:J,9,FALSE))</f>
        <v>#N/A</v>
      </c>
      <c r="T579" s="50" t="e">
        <f>IFERROR(VLOOKUP(Tableau119[[#This Row],[Key(Compte ILN - shipper - POL - plant)]],'DATA ILN'!A:K,11,FALSE),VLOOKUP(Tableau119[[#This Row],[Key(Compte ILN - shipper - POL)]],'DATA ILN'!B:K,10,FALSE))</f>
        <v>#N/A</v>
      </c>
      <c r="U579" s="50" t="e">
        <f>IFERROR(VLOOKUP(Tableau119[[#This Row],[Key(Compte ILN - shipper - POL - plant)]],'DATA ILN'!A:L,12,FALSE),VLOOKUP(Tableau119[[#This Row],[Key(Compte ILN - shipper - POL)]],'DATA ILN'!B:L,11,FALSE))</f>
        <v>#N/A</v>
      </c>
      <c r="V579" s="50" t="e">
        <f>Tableau119[[#This Row],[Day ILN Order]]+Tableau119[[#This Row],[Delivery time to ILN/Shipper]]-1</f>
        <v>#N/A</v>
      </c>
      <c r="W579" s="50" t="e">
        <f>IFERROR(VLOOKUP(Tableau119[[#This Row],[Key(Compte ILN - shipper - POL - plant)]],'DATA ILN'!A:N,14,FALSE),VLOOKUP(Tableau119[[#This Row],[Key(Compte ILN - shipper - POL)]],'DATA ILN'!B:N,13,FALSE))</f>
        <v>#N/A</v>
      </c>
      <c r="X579" s="50" t="e">
        <f>IFERROR(VLOOKUP(Tableau119[[#This Row],[Key(Compte ILN - shipper - POL - plant)]],'DATA ILN'!A:P,16,FALSE),VLOOKUP(Tableau119[[#This Row],[Key(Compte ILN - shipper - POL)]],'DATA ILN'!B:P,15,FALSE))</f>
        <v>#N/A</v>
      </c>
      <c r="Y579" s="284" t="s">
        <v>316</v>
      </c>
      <c r="Z579" s="430">
        <f>IFERROR(VLOOKUP(Tableau119[[#This Row],[Name Shipper]],Plant_AILN!L:M,2,FALSE),0)</f>
        <v>42631300</v>
      </c>
      <c r="AA579" s="406">
        <v>207</v>
      </c>
      <c r="AB579" s="396" t="b">
        <f>_xlfn.XLOOKUP(Tableau119[[#This Row],[Key(ID-date)]],'DATA BTO'!S:S,'DATA BTO'!E:E,FALSE)</f>
        <v>0</v>
      </c>
      <c r="AC579" s="3" t="b">
        <f>_xlfn.XLOOKUP(Tableau119[[#This Row],[Key(ID-date)]],'DATA BTO'!S:S,'DATA BTO'!F:F,FALSE)</f>
        <v>0</v>
      </c>
      <c r="AD579" s="50" t="b">
        <f>_xlfn.XLOOKUP(Tableau119[[#This Row],[Key(ID-date)]],'DATA BTO'!S:S,'DATA BTO'!G:G,FALSE)</f>
        <v>0</v>
      </c>
      <c r="AE579" s="50" t="b">
        <f>_xlfn.XLOOKUP(Tableau119[[#This Row],[Key(ID-date)]],'DATA BTO'!S:S,'DATA BTO'!H:H,FALSE)</f>
        <v>0</v>
      </c>
      <c r="AF579" s="447" t="e">
        <f>IF(Tableau119[[#This Row],[First Day to POL]]&lt;=Tableau119[[#This Row],[Day Cut Off]],Tableau119[[#This Row],[Day ETD]],Tableau119[[#This Row],[Day ETD]]+7)</f>
        <v>#N/A</v>
      </c>
      <c r="AG579" s="50" t="b">
        <f>_xlfn.XLOOKUP(Tableau119[[#This Row],[Key(ID-date)]],'DATA BTO'!S:S,'DATA BTO'!I:I,FALSE)</f>
        <v>0</v>
      </c>
      <c r="AH579" s="3" t="b">
        <f>_xlfn.XLOOKUP(Tableau119[[#This Row],[Key(ID-date)]],'DATA BTO'!S:S,'DATA BTO'!J:J,FALSE)</f>
        <v>0</v>
      </c>
      <c r="AI579" s="3" t="b">
        <f>_xlfn.XLOOKUP(Tableau119[[#This Row],[Key(ID-date)]],'DATA BTO'!S:S,'DATA BTO'!K:K,FALSE)</f>
        <v>0</v>
      </c>
      <c r="AJ579" s="50" t="b">
        <f>_xlfn.XLOOKUP(Tableau119[[#This Row],[Key(ID-date)]],'DATA BTO'!S:S,'DATA BTO'!L:L,FALSE)</f>
        <v>0</v>
      </c>
      <c r="AK579" s="53" t="b">
        <f>_xlfn.XLOOKUP(Tableau119[[#This Row],[Key(ID-date)]],'DATA BTO'!S:S,'DATA BTO'!N:N,FALSE)</f>
        <v>0</v>
      </c>
      <c r="AL579" s="54" t="e">
        <f>VLOOKUP(Tableau119[[#This Row],[Key(POD -PFI- Usine)]],'DATA Consignee'!A:F,6,FALSE)</f>
        <v>#N/A</v>
      </c>
      <c r="AM579" s="127"/>
      <c r="AN579" s="376" t="str">
        <f>IF(Tableau119[[#This Row],[Name PFI/CDD]]="","-",VLOOKUP(Tableau119[[#This Row],[Name PFI/CDD]],Plant_AILN!I:J,2,FALSE))</f>
        <v>-</v>
      </c>
      <c r="AO5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79" s="2" t="e">
        <f>VLOOKUP(Tableau119[[#This Row],[Key(POD -PFI- Usine)]],'DATA Consignee'!A:J,10,FALSE)</f>
        <v>#N/A</v>
      </c>
      <c r="AR579" s="50" t="e">
        <f>VLOOKUP(Tableau119[[#This Row],[Key(POD -PFI- Usine)]],'DATA Consignee'!A:N,14,FALSE)</f>
        <v>#N/A</v>
      </c>
      <c r="AS5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79" s="50">
        <f>Tableau119[[#This Row],[Transit time]]+Tableau119[[#This Row],[Time for security]]+Tableau119[[#This Row],[Time for security2 buffer]]</f>
        <v>0</v>
      </c>
      <c r="AV5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79" s="50" t="e">
        <f>Tableau119[[#This Row],[Leadtime SI2C]]+Tableau119[[#This Row],[First Receipt Days]]-Tableau119[[#This Row],[Day Customer Order]]+1</f>
        <v>#N/A</v>
      </c>
      <c r="AX579" s="119" t="e">
        <f>IF(Tableau119[[#This Row],[Name ILN]]&lt;&gt;"SFK Freight Forwarder",Tableau119[[#This Row],[Cust. Leadtime]],Tableau119[[#This Row],[Leadtime SI2C]])</f>
        <v>#N/A</v>
      </c>
      <c r="AY579" s="51" t="b">
        <f>_xlfn.XLOOKUP(Tableau119[[#This Row],[Key(ID-date)]],'DATA BTO'!S:S,'DATA BTO'!P:P,FALSE)</f>
        <v>0</v>
      </c>
      <c r="AZ579" s="338">
        <v>45473</v>
      </c>
      <c r="BA579" s="50"/>
    </row>
    <row r="580" spans="2:53">
      <c r="B580" s="446" t="str">
        <f>_xlfn.CONCAT(Tableau119[[#This Row],[Name ILN]],"-",Tableau119[[#This Row],[Name Shipper]],"-",Tableau119[[#This Row],[Name Site]])</f>
        <v>SFK Freight Forwarder-HANKOOK TIRE INDONESIA-TANGER</v>
      </c>
      <c r="C580" s="66" t="str">
        <f>_xlfn.CONCAT(Tableau119[[#This Row],[Compte ILN]],"-",Tableau119[[#This Row],[Compte Shipper]],"-",Tableau119[[#This Row],[POL]],"-",Tableau119[[#This Row],[Compte Consignee]])</f>
        <v>0-42631300-FALSO-900383</v>
      </c>
      <c r="D580" s="66" t="str">
        <f>_xlfn.CONCAT(Tableau119[[#This Row],[Compte ILN]],"-",Tableau119[[#This Row],[Compte Shipper]],"-",Tableau119[[#This Row],[POL]])</f>
        <v>0-42631300-FALSO</v>
      </c>
      <c r="E580" s="130" t="str">
        <f>_xlfn.CONCAT(Tableau119[[#This Row],[POL]],"-",Tableau119[[#This Row],[Carrier]],"-",Tableau119[[#This Row],[POD]])</f>
        <v>FALSO-FALSO-FALSO</v>
      </c>
      <c r="F580" s="66" t="str">
        <f>_xlfn.CONCAT(Tableau119[[#This Row],[ID]],"-","Actif")</f>
        <v>207-Actif</v>
      </c>
      <c r="G580" s="66" t="str">
        <f>_xlfn.CONCAT(Tableau119[[#This Row],[POD]],"-",Tableau119[[#This Row],[Code PFI]],"-",Tableau119[[#This Row],[Compte Consignee]])</f>
        <v>FALSO---900383</v>
      </c>
      <c r="H5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42631300FALSOTANGER</v>
      </c>
      <c r="I580" s="434" t="str">
        <f>_xlfn.CONCAT(Tableau119[[#This Row],[ID]],"-",Tableau119[[#This Row],[Expiration Date]])</f>
        <v>207-45473</v>
      </c>
      <c r="J5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Forwarder-HANKOOK TIRE INDONESIA-207-FALSO-FALSO-FALSO--45473</v>
      </c>
      <c r="K580" s="119" t="str">
        <f ca="1">IF(COUNTIF(J:J,Tableau119[[#This Row],[Plant-ILN-shipper-POL-Carrier-POD-PFI]])=1,"Non","Oui")</f>
        <v>Non</v>
      </c>
      <c r="L580" s="128" t="str">
        <f>VLOOKUP(Tableau119[[#This Row],[Name Site]],Plant_AILN!A:D,4,FALSE)</f>
        <v>MOROCCO</v>
      </c>
      <c r="M580" s="415" t="s">
        <v>180</v>
      </c>
      <c r="N580" s="455">
        <f>VLOOKUP(Tableau119[[#This Row],[Name Site]],Plant_AILN!A:C,3,FALSE)</f>
        <v>900383</v>
      </c>
      <c r="O580" s="104">
        <f>VLOOKUP(Tableau119[[#This Row],[Compte Consignee]],Order!C:D,2,FALSE)</f>
        <v>7</v>
      </c>
      <c r="P580" s="126" t="s">
        <v>146</v>
      </c>
      <c r="Q580" s="366">
        <f>VLOOKUP(Tableau119[[#This Row],[Name ILN]],Plant_AILN!F:G,2,FALSE)</f>
        <v>0</v>
      </c>
      <c r="R580" s="81">
        <f>VLOOKUP(Tableau119[[#This Row],[Compte ILN]],'DATA ILN'!D:I,6,FALSE)</f>
        <v>9</v>
      </c>
      <c r="S580" s="81" t="e">
        <f>IFERROR(VLOOKUP(Tableau119[[#This Row],[Key(Compte ILN - shipper - POL - plant)]],'DATA ILN'!A:J,10,FALSE),VLOOKUP(Tableau119[[#This Row],[Key(Compte ILN - shipper - POL)]],'DATA ILN'!B:J,9,FALSE))</f>
        <v>#N/A</v>
      </c>
      <c r="T580" s="81" t="e">
        <f>IFERROR(VLOOKUP(Tableau119[[#This Row],[Key(Compte ILN - shipper - POL - plant)]],'DATA ILN'!A:K,11,FALSE),VLOOKUP(Tableau119[[#This Row],[Key(Compte ILN - shipper - POL)]],'DATA ILN'!B:K,10,FALSE))</f>
        <v>#N/A</v>
      </c>
      <c r="U580" s="81" t="e">
        <f>IFERROR(VLOOKUP(Tableau119[[#This Row],[Key(Compte ILN - shipper - POL - plant)]],'DATA ILN'!A:L,12,FALSE),VLOOKUP(Tableau119[[#This Row],[Key(Compte ILN - shipper - POL)]],'DATA ILN'!B:L,11,FALSE))</f>
        <v>#N/A</v>
      </c>
      <c r="V580" s="81" t="e">
        <f>Tableau119[[#This Row],[Day ILN Order]]+Tableau119[[#This Row],[Delivery time to ILN/Shipper]]-1</f>
        <v>#N/A</v>
      </c>
      <c r="W580" s="81" t="e">
        <f>IFERROR(VLOOKUP(Tableau119[[#This Row],[Key(Compte ILN - shipper - POL - plant)]],'DATA ILN'!A:N,14,FALSE),VLOOKUP(Tableau119[[#This Row],[Key(Compte ILN - shipper - POL)]],'DATA ILN'!B:N,13,FALSE))</f>
        <v>#N/A</v>
      </c>
      <c r="X580" s="81" t="e">
        <f>IFERROR(VLOOKUP(Tableau119[[#This Row],[Key(Compte ILN - shipper - POL - plant)]],'DATA ILN'!A:P,16,FALSE),VLOOKUP(Tableau119[[#This Row],[Key(Compte ILN - shipper - POL)]],'DATA ILN'!B:P,15,FALSE))</f>
        <v>#N/A</v>
      </c>
      <c r="Y580" s="102" t="s">
        <v>316</v>
      </c>
      <c r="Z580" s="417">
        <f>IFERROR(VLOOKUP(Tableau119[[#This Row],[Name Shipper]],Plant_AILN!L:M,2,FALSE),0)</f>
        <v>42631300</v>
      </c>
      <c r="AA580" s="416">
        <v>207</v>
      </c>
      <c r="AB580" s="396" t="b">
        <f>_xlfn.XLOOKUP(Tableau119[[#This Row],[Key(ID-date)]],'DATA BTO'!S:S,'DATA BTO'!E:E,FALSE)</f>
        <v>0</v>
      </c>
      <c r="AC580" s="3" t="b">
        <f>_xlfn.XLOOKUP(Tableau119[[#This Row],[Key(ID-date)]],'DATA BTO'!S:S,'DATA BTO'!F:F,FALSE)</f>
        <v>0</v>
      </c>
      <c r="AD580" s="50" t="b">
        <f>_xlfn.XLOOKUP(Tableau119[[#This Row],[Key(ID-date)]],'DATA BTO'!S:S,'DATA BTO'!G:G,FALSE)</f>
        <v>0</v>
      </c>
      <c r="AE580" s="50" t="b">
        <f>_xlfn.XLOOKUP(Tableau119[[#This Row],[Key(ID-date)]],'DATA BTO'!S:S,'DATA BTO'!H:H,FALSE)</f>
        <v>0</v>
      </c>
      <c r="AF580" s="447" t="e">
        <f>IF(Tableau119[[#This Row],[First Day to POL]]&lt;=Tableau119[[#This Row],[Day Cut Off]],Tableau119[[#This Row],[Day ETD]],Tableau119[[#This Row],[Day ETD]]+7)</f>
        <v>#N/A</v>
      </c>
      <c r="AG580" s="50" t="b">
        <f>_xlfn.XLOOKUP(Tableau119[[#This Row],[Key(ID-date)]],'DATA BTO'!S:S,'DATA BTO'!I:I,FALSE)</f>
        <v>0</v>
      </c>
      <c r="AH580" s="3" t="b">
        <f>_xlfn.XLOOKUP(Tableau119[[#This Row],[Key(ID-date)]],'DATA BTO'!S:S,'DATA BTO'!J:J,FALSE)</f>
        <v>0</v>
      </c>
      <c r="AI580" s="3" t="b">
        <f>_xlfn.XLOOKUP(Tableau119[[#This Row],[Key(ID-date)]],'DATA BTO'!S:S,'DATA BTO'!K:K,FALSE)</f>
        <v>0</v>
      </c>
      <c r="AJ580" s="50" t="b">
        <f>_xlfn.XLOOKUP(Tableau119[[#This Row],[Key(ID-date)]],'DATA BTO'!S:S,'DATA BTO'!L:L,FALSE)</f>
        <v>0</v>
      </c>
      <c r="AK580" s="53" t="b">
        <f>_xlfn.XLOOKUP(Tableau119[[#This Row],[Key(ID-date)]],'DATA BTO'!S:S,'DATA BTO'!N:N,FALSE)</f>
        <v>0</v>
      </c>
      <c r="AL580" s="54" t="e">
        <f>VLOOKUP(Tableau119[[#This Row],[Key(POD -PFI- Usine)]],'DATA Consignee'!A:F,6,FALSE)</f>
        <v>#N/A</v>
      </c>
      <c r="AM580" s="127"/>
      <c r="AN580" s="375" t="str">
        <f>IF(Tableau119[[#This Row],[Name PFI/CDD]]="","-",VLOOKUP(Tableau119[[#This Row],[Name PFI/CDD]],Plant_AILN!I:J,2,FALSE))</f>
        <v>-</v>
      </c>
      <c r="AO58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0" s="110" t="e">
        <f>VLOOKUP(Tableau119[[#This Row],[Key(POD -PFI- Usine)]],'DATA Consignee'!A:J,10,FALSE)</f>
        <v>#N/A</v>
      </c>
      <c r="AR580" s="81" t="e">
        <f>VLOOKUP(Tableau119[[#This Row],[Key(POD -PFI- Usine)]],'DATA Consignee'!A:N,14,FALSE)</f>
        <v>#N/A</v>
      </c>
      <c r="AS58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0" s="81">
        <f>Tableau119[[#This Row],[Transit time]]+Tableau119[[#This Row],[Time for security]]+Tableau119[[#This Row],[Time for security2 buffer]]</f>
        <v>0</v>
      </c>
      <c r="AV5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0" s="50" t="e">
        <f>Tableau119[[#This Row],[Leadtime SI2C]]+Tableau119[[#This Row],[First Receipt Days]]-Tableau119[[#This Row],[Day Customer Order]]+1</f>
        <v>#N/A</v>
      </c>
      <c r="AX580" s="119" t="e">
        <f>IF(Tableau119[[#This Row],[Name ILN]]&lt;&gt;"SFK Freight Forwarder",Tableau119[[#This Row],[Cust. Leadtime]],Tableau119[[#This Row],[Leadtime SI2C]])</f>
        <v>#N/A</v>
      </c>
      <c r="AY580" s="51" t="b">
        <f>_xlfn.XLOOKUP(Tableau119[[#This Row],[Key(ID-date)]],'DATA BTO'!S:S,'DATA BTO'!P:P,FALSE)</f>
        <v>0</v>
      </c>
      <c r="AZ580" s="388">
        <v>45473</v>
      </c>
      <c r="BA580" s="81"/>
    </row>
    <row r="581" spans="2:53">
      <c r="B581" s="446" t="str">
        <f>_xlfn.CONCAT(Tableau119[[#This Row],[Name ILN]],"-",Tableau119[[#This Row],[Name Shipper]],"-",Tableau119[[#This Row],[Name Site]])</f>
        <v>SFK Freight Forwarder-HANKOOK TIRE INDONESIA-SOMACA</v>
      </c>
      <c r="C581" s="66" t="str">
        <f>_xlfn.CONCAT(Tableau119[[#This Row],[Compte ILN]],"-",Tableau119[[#This Row],[Compte Shipper]],"-",Tableau119[[#This Row],[POL]],"-",Tableau119[[#This Row],[Compte Consignee]])</f>
        <v>0-42631300-FALSO-90038200</v>
      </c>
      <c r="D581" s="66" t="str">
        <f>_xlfn.CONCAT(Tableau119[[#This Row],[Compte ILN]],"-",Tableau119[[#This Row],[Compte Shipper]],"-",Tableau119[[#This Row],[POL]])</f>
        <v>0-42631300-FALSO</v>
      </c>
      <c r="E581" s="130" t="str">
        <f>_xlfn.CONCAT(Tableau119[[#This Row],[POL]],"-",Tableau119[[#This Row],[Carrier]],"-",Tableau119[[#This Row],[POD]])</f>
        <v>FALSO-FALSO-FALSO</v>
      </c>
      <c r="F581" s="66" t="str">
        <f>_xlfn.CONCAT(Tableau119[[#This Row],[ID]],"-","Actif")</f>
        <v>207-Actif</v>
      </c>
      <c r="G581" s="66" t="str">
        <f>_xlfn.CONCAT(Tableau119[[#This Row],[POD]],"-",Tableau119[[#This Row],[Code PFI]],"-",Tableau119[[#This Row],[Compte Consignee]])</f>
        <v>FALSO---90038200</v>
      </c>
      <c r="H5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42631300FALSOSOMACA</v>
      </c>
      <c r="I581" s="434" t="str">
        <f>_xlfn.CONCAT(Tableau119[[#This Row],[ID]],"-",Tableau119[[#This Row],[Expiration Date]])</f>
        <v>207-45412</v>
      </c>
      <c r="J5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Forwarder-HANKOOK TIRE INDONESIA-207-FALSO-FALSO-FALSO--45412</v>
      </c>
      <c r="K581" s="119" t="str">
        <f ca="1">IF(COUNTIF(J:J,Tableau119[[#This Row],[Plant-ILN-shipper-POL-Carrier-POD-PFI]])=1,"Non","Oui")</f>
        <v>Non</v>
      </c>
      <c r="L581" s="128" t="str">
        <f>VLOOKUP(Tableau119[[#This Row],[Name Site]],Plant_AILN!A:D,4,FALSE)</f>
        <v>MOROCCO</v>
      </c>
      <c r="M581" s="411" t="s">
        <v>179</v>
      </c>
      <c r="N581" s="454">
        <f>VLOOKUP(Tableau119[[#This Row],[Name Site]],Plant_AILN!A:C,3,FALSE)</f>
        <v>90038200</v>
      </c>
      <c r="O581" s="55">
        <f>VLOOKUP(Tableau119[[#This Row],[Compte Consignee]],Order!C:D,2,FALSE)</f>
        <v>7</v>
      </c>
      <c r="P581" s="124" t="s">
        <v>146</v>
      </c>
      <c r="Q581" s="365">
        <f>VLOOKUP(Tableau119[[#This Row],[Name ILN]],Plant_AILN!F:G,2,FALSE)</f>
        <v>0</v>
      </c>
      <c r="R581" s="50">
        <f>VLOOKUP(Tableau119[[#This Row],[Compte ILN]],'DATA ILN'!D:I,6,FALSE)</f>
        <v>9</v>
      </c>
      <c r="S581" s="50" t="e">
        <f>IFERROR(VLOOKUP(Tableau119[[#This Row],[Key(Compte ILN - shipper - POL - plant)]],'DATA ILN'!A:J,10,FALSE),VLOOKUP(Tableau119[[#This Row],[Key(Compte ILN - shipper - POL)]],'DATA ILN'!B:J,9,FALSE))</f>
        <v>#N/A</v>
      </c>
      <c r="T581" s="50" t="e">
        <f>IFERROR(VLOOKUP(Tableau119[[#This Row],[Key(Compte ILN - shipper - POL - plant)]],'DATA ILN'!A:K,11,FALSE),VLOOKUP(Tableau119[[#This Row],[Key(Compte ILN - shipper - POL)]],'DATA ILN'!B:K,10,FALSE))</f>
        <v>#N/A</v>
      </c>
      <c r="U581" s="50" t="e">
        <f>IFERROR(VLOOKUP(Tableau119[[#This Row],[Key(Compte ILN - shipper - POL - plant)]],'DATA ILN'!A:L,12,FALSE),VLOOKUP(Tableau119[[#This Row],[Key(Compte ILN - shipper - POL)]],'DATA ILN'!B:L,11,FALSE))</f>
        <v>#N/A</v>
      </c>
      <c r="V581" s="50" t="e">
        <f>Tableau119[[#This Row],[Day ILN Order]]+Tableau119[[#This Row],[Delivery time to ILN/Shipper]]-1</f>
        <v>#N/A</v>
      </c>
      <c r="W581" s="50" t="e">
        <f>IFERROR(VLOOKUP(Tableau119[[#This Row],[Key(Compte ILN - shipper - POL - plant)]],'DATA ILN'!A:N,14,FALSE),VLOOKUP(Tableau119[[#This Row],[Key(Compte ILN - shipper - POL)]],'DATA ILN'!B:N,13,FALSE))</f>
        <v>#N/A</v>
      </c>
      <c r="X581" s="50" t="e">
        <f>IFERROR(VLOOKUP(Tableau119[[#This Row],[Key(Compte ILN - shipper - POL - plant)]],'DATA ILN'!A:P,16,FALSE),VLOOKUP(Tableau119[[#This Row],[Key(Compte ILN - shipper - POL)]],'DATA ILN'!B:P,15,FALSE))</f>
        <v>#N/A</v>
      </c>
      <c r="Y581" s="284" t="s">
        <v>316</v>
      </c>
      <c r="Z581" s="430">
        <f>IFERROR(VLOOKUP(Tableau119[[#This Row],[Name Shipper]],Plant_AILN!L:M,2,FALSE),0)</f>
        <v>42631300</v>
      </c>
      <c r="AA581" s="406">
        <v>207</v>
      </c>
      <c r="AB581" s="396" t="b">
        <f>_xlfn.XLOOKUP(Tableau119[[#This Row],[Key(ID-date)]],'DATA BTO'!S:S,'DATA BTO'!E:E,FALSE)</f>
        <v>0</v>
      </c>
      <c r="AC581" s="3" t="b">
        <f>_xlfn.XLOOKUP(Tableau119[[#This Row],[Key(ID-date)]],'DATA BTO'!S:S,'DATA BTO'!F:F,FALSE)</f>
        <v>0</v>
      </c>
      <c r="AD581" s="50" t="b">
        <f>_xlfn.XLOOKUP(Tableau119[[#This Row],[Key(ID-date)]],'DATA BTO'!S:S,'DATA BTO'!G:G,FALSE)</f>
        <v>0</v>
      </c>
      <c r="AE581" s="50" t="b">
        <f>_xlfn.XLOOKUP(Tableau119[[#This Row],[Key(ID-date)]],'DATA BTO'!S:S,'DATA BTO'!H:H,FALSE)</f>
        <v>0</v>
      </c>
      <c r="AF581" s="447" t="e">
        <f>IF(Tableau119[[#This Row],[First Day to POL]]&lt;=Tableau119[[#This Row],[Day Cut Off]],Tableau119[[#This Row],[Day ETD]],Tableau119[[#This Row],[Day ETD]]+7)</f>
        <v>#N/A</v>
      </c>
      <c r="AG581" s="50" t="b">
        <f>_xlfn.XLOOKUP(Tableau119[[#This Row],[Key(ID-date)]],'DATA BTO'!S:S,'DATA BTO'!I:I,FALSE)</f>
        <v>0</v>
      </c>
      <c r="AH581" s="3" t="b">
        <f>_xlfn.XLOOKUP(Tableau119[[#This Row],[Key(ID-date)]],'DATA BTO'!S:S,'DATA BTO'!J:J,FALSE)</f>
        <v>0</v>
      </c>
      <c r="AI581" s="3" t="b">
        <f>_xlfn.XLOOKUP(Tableau119[[#This Row],[Key(ID-date)]],'DATA BTO'!S:S,'DATA BTO'!K:K,FALSE)</f>
        <v>0</v>
      </c>
      <c r="AJ581" s="50" t="b">
        <f>_xlfn.XLOOKUP(Tableau119[[#This Row],[Key(ID-date)]],'DATA BTO'!S:S,'DATA BTO'!L:L,FALSE)</f>
        <v>0</v>
      </c>
      <c r="AK581" s="53" t="b">
        <f>_xlfn.XLOOKUP(Tableau119[[#This Row],[Key(ID-date)]],'DATA BTO'!S:S,'DATA BTO'!N:N,FALSE)</f>
        <v>0</v>
      </c>
      <c r="AL581" s="54" t="e">
        <f>VLOOKUP(Tableau119[[#This Row],[Key(POD -PFI- Usine)]],'DATA Consignee'!A:F,6,FALSE)</f>
        <v>#N/A</v>
      </c>
      <c r="AM581" s="127"/>
      <c r="AN581" s="376" t="str">
        <f>IF(Tableau119[[#This Row],[Name PFI/CDD]]="","-",VLOOKUP(Tableau119[[#This Row],[Name PFI/CDD]],Plant_AILN!I:J,2,FALSE))</f>
        <v>-</v>
      </c>
      <c r="AO5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1" s="2" t="e">
        <f>VLOOKUP(Tableau119[[#This Row],[Key(POD -PFI- Usine)]],'DATA Consignee'!A:J,10,FALSE)</f>
        <v>#N/A</v>
      </c>
      <c r="AR581" s="50" t="e">
        <f>VLOOKUP(Tableau119[[#This Row],[Key(POD -PFI- Usine)]],'DATA Consignee'!A:N,14,FALSE)</f>
        <v>#N/A</v>
      </c>
      <c r="AS5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1" s="50">
        <f>Tableau119[[#This Row],[Transit time]]+Tableau119[[#This Row],[Time for security]]+Tableau119[[#This Row],[Time for security2 buffer]]</f>
        <v>0</v>
      </c>
      <c r="AV5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1" s="50" t="e">
        <f>Tableau119[[#This Row],[Leadtime SI2C]]+Tableau119[[#This Row],[First Receipt Days]]-Tableau119[[#This Row],[Day Customer Order]]+1</f>
        <v>#N/A</v>
      </c>
      <c r="AX581" s="119" t="e">
        <f>IF(Tableau119[[#This Row],[Name ILN]]&lt;&gt;"SFK Freight Forwarder",Tableau119[[#This Row],[Cust. Leadtime]],Tableau119[[#This Row],[Leadtime SI2C]])</f>
        <v>#N/A</v>
      </c>
      <c r="AY581" s="51" t="b">
        <f>_xlfn.XLOOKUP(Tableau119[[#This Row],[Key(ID-date)]],'DATA BTO'!S:S,'DATA BTO'!P:P,FALSE)</f>
        <v>0</v>
      </c>
      <c r="AZ581" s="338">
        <v>45412</v>
      </c>
      <c r="BA581" s="50"/>
    </row>
    <row r="582" spans="2:53">
      <c r="B582" s="446" t="str">
        <f>_xlfn.CONCAT(Tableau119[[#This Row],[Name ILN]],"-",Tableau119[[#This Row],[Name Shipper]],"-",Tableau119[[#This Row],[Name Site]])</f>
        <v>SFK Freight Forwarder-HANKOOK TIRE INDONESIA-TANGER</v>
      </c>
      <c r="C582" s="66" t="str">
        <f>_xlfn.CONCAT(Tableau119[[#This Row],[Compte ILN]],"-",Tableau119[[#This Row],[Compte Shipper]],"-",Tableau119[[#This Row],[POL]],"-",Tableau119[[#This Row],[Compte Consignee]])</f>
        <v>0-42631300-FALSO-900383</v>
      </c>
      <c r="D582" s="66" t="str">
        <f>_xlfn.CONCAT(Tableau119[[#This Row],[Compte ILN]],"-",Tableau119[[#This Row],[Compte Shipper]],"-",Tableau119[[#This Row],[POL]])</f>
        <v>0-42631300-FALSO</v>
      </c>
      <c r="E582" s="130" t="str">
        <f>_xlfn.CONCAT(Tableau119[[#This Row],[POL]],"-",Tableau119[[#This Row],[Carrier]],"-",Tableau119[[#This Row],[POD]])</f>
        <v>FALSO-FALSO-FALSO</v>
      </c>
      <c r="F582" s="66" t="str">
        <f>_xlfn.CONCAT(Tableau119[[#This Row],[ID]],"-","Actif")</f>
        <v>207-Actif</v>
      </c>
      <c r="G582" s="66" t="str">
        <f>_xlfn.CONCAT(Tableau119[[#This Row],[POD]],"-",Tableau119[[#This Row],[Code PFI]],"-",Tableau119[[#This Row],[Compte Consignee]])</f>
        <v>FALSO---900383</v>
      </c>
      <c r="H5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42631300FALSOTANGER</v>
      </c>
      <c r="I582" s="434" t="str">
        <f>_xlfn.CONCAT(Tableau119[[#This Row],[ID]],"-",Tableau119[[#This Row],[Expiration Date]])</f>
        <v>207-45412</v>
      </c>
      <c r="J5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Forwarder-HANKOOK TIRE INDONESIA-207-FALSO-FALSO-FALSO--45412</v>
      </c>
      <c r="K582" s="119" t="str">
        <f ca="1">IF(COUNTIF(J:J,Tableau119[[#This Row],[Plant-ILN-shipper-POL-Carrier-POD-PFI]])=1,"Non","Oui")</f>
        <v>Non</v>
      </c>
      <c r="L582" s="128" t="str">
        <f>VLOOKUP(Tableau119[[#This Row],[Name Site]],Plant_AILN!A:D,4,FALSE)</f>
        <v>MOROCCO</v>
      </c>
      <c r="M582" s="415" t="s">
        <v>180</v>
      </c>
      <c r="N582" s="455">
        <f>VLOOKUP(Tableau119[[#This Row],[Name Site]],Plant_AILN!A:C,3,FALSE)</f>
        <v>900383</v>
      </c>
      <c r="O582" s="104">
        <f>VLOOKUP(Tableau119[[#This Row],[Compte Consignee]],Order!C:D,2,FALSE)</f>
        <v>7</v>
      </c>
      <c r="P582" s="126" t="s">
        <v>146</v>
      </c>
      <c r="Q582" s="366">
        <f>VLOOKUP(Tableau119[[#This Row],[Name ILN]],Plant_AILN!F:G,2,FALSE)</f>
        <v>0</v>
      </c>
      <c r="R582" s="81">
        <f>VLOOKUP(Tableau119[[#This Row],[Compte ILN]],'DATA ILN'!D:I,6,FALSE)</f>
        <v>9</v>
      </c>
      <c r="S582" s="81" t="e">
        <f>IFERROR(VLOOKUP(Tableau119[[#This Row],[Key(Compte ILN - shipper - POL - plant)]],'DATA ILN'!A:J,10,FALSE),VLOOKUP(Tableau119[[#This Row],[Key(Compte ILN - shipper - POL)]],'DATA ILN'!B:J,9,FALSE))</f>
        <v>#N/A</v>
      </c>
      <c r="T582" s="81" t="e">
        <f>IFERROR(VLOOKUP(Tableau119[[#This Row],[Key(Compte ILN - shipper - POL - plant)]],'DATA ILN'!A:K,11,FALSE),VLOOKUP(Tableau119[[#This Row],[Key(Compte ILN - shipper - POL)]],'DATA ILN'!B:K,10,FALSE))</f>
        <v>#N/A</v>
      </c>
      <c r="U582" s="81" t="e">
        <f>IFERROR(VLOOKUP(Tableau119[[#This Row],[Key(Compte ILN - shipper - POL - plant)]],'DATA ILN'!A:L,12,FALSE),VLOOKUP(Tableau119[[#This Row],[Key(Compte ILN - shipper - POL)]],'DATA ILN'!B:L,11,FALSE))</f>
        <v>#N/A</v>
      </c>
      <c r="V582" s="81" t="e">
        <f>Tableau119[[#This Row],[Day ILN Order]]+Tableau119[[#This Row],[Delivery time to ILN/Shipper]]-1</f>
        <v>#N/A</v>
      </c>
      <c r="W582" s="81" t="e">
        <f>IFERROR(VLOOKUP(Tableau119[[#This Row],[Key(Compte ILN - shipper - POL - plant)]],'DATA ILN'!A:N,14,FALSE),VLOOKUP(Tableau119[[#This Row],[Key(Compte ILN - shipper - POL)]],'DATA ILN'!B:N,13,FALSE))</f>
        <v>#N/A</v>
      </c>
      <c r="X582" s="81" t="e">
        <f>IFERROR(VLOOKUP(Tableau119[[#This Row],[Key(Compte ILN - shipper - POL - plant)]],'DATA ILN'!A:P,16,FALSE),VLOOKUP(Tableau119[[#This Row],[Key(Compte ILN - shipper - POL)]],'DATA ILN'!B:P,15,FALSE))</f>
        <v>#N/A</v>
      </c>
      <c r="Y582" s="102" t="s">
        <v>316</v>
      </c>
      <c r="Z582" s="417">
        <f>IFERROR(VLOOKUP(Tableau119[[#This Row],[Name Shipper]],Plant_AILN!L:M,2,FALSE),0)</f>
        <v>42631300</v>
      </c>
      <c r="AA582" s="416">
        <v>207</v>
      </c>
      <c r="AB582" s="396" t="b">
        <f>_xlfn.XLOOKUP(Tableau119[[#This Row],[Key(ID-date)]],'DATA BTO'!S:S,'DATA BTO'!E:E,FALSE)</f>
        <v>0</v>
      </c>
      <c r="AC582" s="3" t="b">
        <f>_xlfn.XLOOKUP(Tableau119[[#This Row],[Key(ID-date)]],'DATA BTO'!S:S,'DATA BTO'!F:F,FALSE)</f>
        <v>0</v>
      </c>
      <c r="AD582" s="50" t="b">
        <f>_xlfn.XLOOKUP(Tableau119[[#This Row],[Key(ID-date)]],'DATA BTO'!S:S,'DATA BTO'!G:G,FALSE)</f>
        <v>0</v>
      </c>
      <c r="AE582" s="50" t="b">
        <f>_xlfn.XLOOKUP(Tableau119[[#This Row],[Key(ID-date)]],'DATA BTO'!S:S,'DATA BTO'!H:H,FALSE)</f>
        <v>0</v>
      </c>
      <c r="AF582" s="447" t="e">
        <f>IF(Tableau119[[#This Row],[First Day to POL]]&lt;=Tableau119[[#This Row],[Day Cut Off]],Tableau119[[#This Row],[Day ETD]],Tableau119[[#This Row],[Day ETD]]+7)</f>
        <v>#N/A</v>
      </c>
      <c r="AG582" s="50" t="b">
        <f>_xlfn.XLOOKUP(Tableau119[[#This Row],[Key(ID-date)]],'DATA BTO'!S:S,'DATA BTO'!I:I,FALSE)</f>
        <v>0</v>
      </c>
      <c r="AH582" s="3" t="b">
        <f>_xlfn.XLOOKUP(Tableau119[[#This Row],[Key(ID-date)]],'DATA BTO'!S:S,'DATA BTO'!J:J,FALSE)</f>
        <v>0</v>
      </c>
      <c r="AI582" s="3" t="b">
        <f>_xlfn.XLOOKUP(Tableau119[[#This Row],[Key(ID-date)]],'DATA BTO'!S:S,'DATA BTO'!K:K,FALSE)</f>
        <v>0</v>
      </c>
      <c r="AJ582" s="50" t="b">
        <f>_xlfn.XLOOKUP(Tableau119[[#This Row],[Key(ID-date)]],'DATA BTO'!S:S,'DATA BTO'!L:L,FALSE)</f>
        <v>0</v>
      </c>
      <c r="AK582" s="53" t="b">
        <f>_xlfn.XLOOKUP(Tableau119[[#This Row],[Key(ID-date)]],'DATA BTO'!S:S,'DATA BTO'!N:N,FALSE)</f>
        <v>0</v>
      </c>
      <c r="AL582" s="54" t="e">
        <f>VLOOKUP(Tableau119[[#This Row],[Key(POD -PFI- Usine)]],'DATA Consignee'!A:F,6,FALSE)</f>
        <v>#N/A</v>
      </c>
      <c r="AM582" s="127"/>
      <c r="AN582" s="375" t="str">
        <f>IF(Tableau119[[#This Row],[Name PFI/CDD]]="","-",VLOOKUP(Tableau119[[#This Row],[Name PFI/CDD]],Plant_AILN!I:J,2,FALSE))</f>
        <v>-</v>
      </c>
      <c r="AO58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2" s="110" t="e">
        <f>VLOOKUP(Tableau119[[#This Row],[Key(POD -PFI- Usine)]],'DATA Consignee'!A:J,10,FALSE)</f>
        <v>#N/A</v>
      </c>
      <c r="AR582" s="81" t="e">
        <f>VLOOKUP(Tableau119[[#This Row],[Key(POD -PFI- Usine)]],'DATA Consignee'!A:N,14,FALSE)</f>
        <v>#N/A</v>
      </c>
      <c r="AS58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2" s="81">
        <f>Tableau119[[#This Row],[Transit time]]+Tableau119[[#This Row],[Time for security]]+Tableau119[[#This Row],[Time for security2 buffer]]</f>
        <v>0</v>
      </c>
      <c r="AV5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2" s="50" t="e">
        <f>Tableau119[[#This Row],[Leadtime SI2C]]+Tableau119[[#This Row],[First Receipt Days]]-Tableau119[[#This Row],[Day Customer Order]]+1</f>
        <v>#N/A</v>
      </c>
      <c r="AX582" s="119" t="e">
        <f>IF(Tableau119[[#This Row],[Name ILN]]&lt;&gt;"SFK Freight Forwarder",Tableau119[[#This Row],[Cust. Leadtime]],Tableau119[[#This Row],[Leadtime SI2C]])</f>
        <v>#N/A</v>
      </c>
      <c r="AY582" s="51" t="b">
        <f>_xlfn.XLOOKUP(Tableau119[[#This Row],[Key(ID-date)]],'DATA BTO'!S:S,'DATA BTO'!P:P,FALSE)</f>
        <v>0</v>
      </c>
      <c r="AZ582" s="388">
        <v>45412</v>
      </c>
      <c r="BA582" s="81"/>
    </row>
    <row r="583" spans="2:53">
      <c r="B583" s="66" t="str">
        <f>_xlfn.CONCAT(Tableau119[[#This Row],[Name ILN]],"-",Tableau119[[#This Row],[Name Shipper]],"-",Tableau119[[#This Row],[Name Site]])</f>
        <v>ILN Chennai-ILN Chennai-SOMACA</v>
      </c>
      <c r="C583" s="66" t="str">
        <f>_xlfn.CONCAT(Tableau119[[#This Row],[Compte ILN]],"-",Tableau119[[#This Row],[Compte Shipper]],"-",Tableau119[[#This Row],[POL]],"-",Tableau119[[#This Row],[Compte Consignee]])</f>
        <v>2533780546-2533780546-FALSO-90038200</v>
      </c>
      <c r="D583" s="66" t="str">
        <f>_xlfn.CONCAT(Tableau119[[#This Row],[Compte ILN]],"-",Tableau119[[#This Row],[Compte Shipper]],"-",Tableau119[[#This Row],[POL]])</f>
        <v>2533780546-2533780546-FALSO</v>
      </c>
      <c r="E583" s="130" t="str">
        <f>_xlfn.CONCAT(Tableau119[[#This Row],[POL]],"-",Tableau119[[#This Row],[Carrier]],"-",Tableau119[[#This Row],[POD]])</f>
        <v>FALSO-FALSO-FALSO</v>
      </c>
      <c r="F583" s="66" t="str">
        <f>_xlfn.CONCAT(Tableau119[[#This Row],[ID]],"-","Actif")</f>
        <v>212-Actif</v>
      </c>
      <c r="G583" s="66" t="str">
        <f>_xlfn.CONCAT(Tableau119[[#This Row],[POD]],"-",Tableau119[[#This Row],[Code PFI]],"-",Tableau119[[#This Row],[Compte Consignee]])</f>
        <v>FALSO---90038200</v>
      </c>
      <c r="H5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ChennaiFALSOSOMACA</v>
      </c>
      <c r="I583" s="434" t="str">
        <f>_xlfn.CONCAT(Tableau119[[#This Row],[ID]],"-",Tableau119[[#This Row],[Expiration Date]])</f>
        <v>212-46142</v>
      </c>
      <c r="J5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Chennai-ILN Chennai-212-FALSO-FALSO-FALSO--46142</v>
      </c>
      <c r="K583" s="119" t="str">
        <f ca="1">IF(COUNTIF(J:J,Tableau119[[#This Row],[Plant-ILN-shipper-POL-Carrier-POD-PFI]])=1,"Non","Oui")</f>
        <v>Non</v>
      </c>
      <c r="L583" s="440" t="str">
        <f>VLOOKUP(Tableau119[[#This Row],[Name Site]],Plant_AILN!A:D,4,FALSE)</f>
        <v>MOROCCO</v>
      </c>
      <c r="M583" s="10" t="s">
        <v>179</v>
      </c>
      <c r="N583" s="454">
        <f>VLOOKUP(Tableau119[[#This Row],[Name Site]],Plant_AILN!A:C,3,FALSE)</f>
        <v>90038200</v>
      </c>
      <c r="O583" s="55">
        <f>IF(Tableau119[[#This Row],[Name PFI/CDD]]="PFI VLL",2,VLOOKUP(Tableau119[[#This Row],[Compte Consignee]],Order!C:D,2,FALSE))</f>
        <v>7</v>
      </c>
      <c r="P583" s="125" t="s">
        <v>149</v>
      </c>
      <c r="Q583" s="365">
        <f>VLOOKUP(Tableau119[[#This Row],[Name ILN]],Plant_AILN!F:G,2,FALSE)</f>
        <v>2533780546</v>
      </c>
      <c r="R583" s="50">
        <f>VLOOKUP(Tableau119[[#This Row],[Compte ILN]],'DATA ILN'!D:I,6,FALSE)</f>
        <v>9</v>
      </c>
      <c r="S583" s="50" t="e">
        <f>IFERROR(VLOOKUP(Tableau119[[#This Row],[Key(Compte ILN - shipper - POL - plant)]],'DATA ILN'!A:J,10,FALSE),VLOOKUP(Tableau119[[#This Row],[Key(Compte ILN - shipper - POL)]],'DATA ILN'!B:J,9,FALSE))</f>
        <v>#N/A</v>
      </c>
      <c r="T583" s="50" t="e">
        <f>IFERROR(VLOOKUP(Tableau119[[#This Row],[Key(Compte ILN - shipper - POL - plant)]],'DATA ILN'!A:K,11,FALSE),VLOOKUP(Tableau119[[#This Row],[Key(Compte ILN - shipper - POL)]],'DATA ILN'!B:K,10,FALSE))</f>
        <v>#N/A</v>
      </c>
      <c r="U583" s="50" t="e">
        <f>IFERROR(VLOOKUP(Tableau119[[#This Row],[Key(Compte ILN - shipper - POL - plant)]],'DATA ILN'!A:L,12,FALSE),VLOOKUP(Tableau119[[#This Row],[Key(Compte ILN - shipper - POL)]],'DATA ILN'!B:L,11,FALSE))</f>
        <v>#N/A</v>
      </c>
      <c r="V583" s="50" t="e">
        <f>Tableau119[[#This Row],[Day ILN Order]]+Tableau119[[#This Row],[Delivery time to ILN/Shipper]]-1</f>
        <v>#N/A</v>
      </c>
      <c r="W583" s="50" t="e">
        <f>IFERROR(VLOOKUP(Tableau119[[#This Row],[Key(Compte ILN - shipper - POL - plant)]],'DATA ILN'!A:N,14,FALSE),VLOOKUP(Tableau119[[#This Row],[Key(Compte ILN - shipper - POL)]],'DATA ILN'!B:N,13,FALSE))</f>
        <v>#N/A</v>
      </c>
      <c r="X583" s="50" t="e">
        <f>IFERROR(VLOOKUP(Tableau119[[#This Row],[Key(Compte ILN - shipper - POL - plant)]],'DATA ILN'!A:P,16,FALSE),VLOOKUP(Tableau119[[#This Row],[Key(Compte ILN - shipper - POL)]],'DATA ILN'!B:P,15,FALSE))</f>
        <v>#N/A</v>
      </c>
      <c r="Y583" s="284" t="s">
        <v>149</v>
      </c>
      <c r="Z583" s="430">
        <f>IFERROR(VLOOKUP(Tableau119[[#This Row],[Name Shipper]],Plant_AILN!L:M,2,FALSE),0)</f>
        <v>2533780546</v>
      </c>
      <c r="AA583" s="406">
        <v>212</v>
      </c>
      <c r="AB583" s="396" t="b">
        <f>_xlfn.XLOOKUP(Tableau119[[#This Row],[Key(ID-date)]],'DATA BTO'!S:S,'DATA BTO'!E:E,FALSE)</f>
        <v>0</v>
      </c>
      <c r="AC583" s="3" t="b">
        <f>_xlfn.XLOOKUP(Tableau119[[#This Row],[Key(ID-date)]],'DATA BTO'!S:S,'DATA BTO'!F:F,FALSE)</f>
        <v>0</v>
      </c>
      <c r="AD583" s="50" t="b">
        <f>_xlfn.XLOOKUP(Tableau119[[#This Row],[Key(ID-date)]],'DATA BTO'!S:S,'DATA BTO'!G:G,FALSE)</f>
        <v>0</v>
      </c>
      <c r="AE583" s="50" t="b">
        <f>_xlfn.XLOOKUP(Tableau119[[#This Row],[Key(ID-date)]],'DATA BTO'!S:S,'DATA BTO'!H:H,FALSE)</f>
        <v>0</v>
      </c>
      <c r="AF583" s="447" t="e">
        <f>IF(Tableau119[[#This Row],[First Day to POL]]&lt;=Tableau119[[#This Row],[Day Cut Off]],Tableau119[[#This Row],[Day ETD]],Tableau119[[#This Row],[Day ETD]]+7)</f>
        <v>#N/A</v>
      </c>
      <c r="AG583" s="50" t="b">
        <f>_xlfn.XLOOKUP(Tableau119[[#This Row],[Key(ID-date)]],'DATA BTO'!S:S,'DATA BTO'!I:I,FALSE)</f>
        <v>0</v>
      </c>
      <c r="AH583" s="3" t="b">
        <f>_xlfn.XLOOKUP(Tableau119[[#This Row],[Key(ID-date)]],'DATA BTO'!S:S,'DATA BTO'!J:J,FALSE)</f>
        <v>0</v>
      </c>
      <c r="AI583" s="3" t="b">
        <f>_xlfn.XLOOKUP(Tableau119[[#This Row],[Key(ID-date)]],'DATA BTO'!S:S,'DATA BTO'!K:K,FALSE)</f>
        <v>0</v>
      </c>
      <c r="AJ583" s="50" t="b">
        <f>_xlfn.XLOOKUP(Tableau119[[#This Row],[Key(ID-date)]],'DATA BTO'!S:S,'DATA BTO'!L:L,FALSE)</f>
        <v>0</v>
      </c>
      <c r="AK583" s="53" t="b">
        <f>_xlfn.XLOOKUP(Tableau119[[#This Row],[Key(ID-date)]],'DATA BTO'!S:S,'DATA BTO'!N:N,FALSE)</f>
        <v>0</v>
      </c>
      <c r="AL583" s="54" t="e">
        <f>VLOOKUP(Tableau119[[#This Row],[Key(POD -PFI- Usine)]],'DATA Consignee'!A:F,6,FALSE)</f>
        <v>#N/A</v>
      </c>
      <c r="AM583" s="127"/>
      <c r="AN583" s="376" t="str">
        <f>IF(Tableau119[[#This Row],[Name PFI/CDD]]="","-",VLOOKUP(Tableau119[[#This Row],[Name PFI/CDD]],Plant_AILN!I:J,2,FALSE))</f>
        <v>-</v>
      </c>
      <c r="AO5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3" s="2" t="e">
        <f>VLOOKUP(Tableau119[[#This Row],[Key(POD -PFI- Usine)]],'DATA Consignee'!A:J,10,FALSE)</f>
        <v>#N/A</v>
      </c>
      <c r="AR583" s="50" t="e">
        <f>VLOOKUP(Tableau119[[#This Row],[Key(POD -PFI- Usine)]],'DATA Consignee'!A:N,14,FALSE)</f>
        <v>#N/A</v>
      </c>
      <c r="AS5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3" s="50">
        <f>Tableau119[[#This Row],[Transit time]]+Tableau119[[#This Row],[Time for security]]+Tableau119[[#This Row],[Time for security2 buffer]]</f>
        <v>0</v>
      </c>
      <c r="AV5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3" s="50" t="e">
        <f>Tableau119[[#This Row],[Leadtime SI2C]]+Tableau119[[#This Row],[First Receipt Days]]-Tableau119[[#This Row],[Day Customer Order]]+1</f>
        <v>#N/A</v>
      </c>
      <c r="AX583" s="119" t="e">
        <f>IF(Tableau119[[#This Row],[Name ILN]]&lt;&gt;"SFK Freight Forwarder",Tableau119[[#This Row],[Cust. Leadtime]],Tableau119[[#This Row],[Leadtime SI2C]])</f>
        <v>#N/A</v>
      </c>
      <c r="AY583" s="51" t="b">
        <f>_xlfn.XLOOKUP(Tableau119[[#This Row],[Key(ID-date)]],'DATA BTO'!S:S,'DATA BTO'!P:P,FALSE)</f>
        <v>0</v>
      </c>
      <c r="AZ583" s="338">
        <v>46142</v>
      </c>
      <c r="BA583" s="50"/>
    </row>
    <row r="584" spans="2:53">
      <c r="B584" s="66" t="str">
        <f>_xlfn.CONCAT(Tableau119[[#This Row],[Name ILN]],"-",Tableau119[[#This Row],[Name Shipper]],"-",Tableau119[[#This Row],[Name Site]])</f>
        <v>ILN Chennai-ILN Chennai-TANGER</v>
      </c>
      <c r="C584" s="66" t="str">
        <f>_xlfn.CONCAT(Tableau119[[#This Row],[Compte ILN]],"-",Tableau119[[#This Row],[Compte Shipper]],"-",Tableau119[[#This Row],[POL]],"-",Tableau119[[#This Row],[Compte Consignee]])</f>
        <v>2533780546-2533780546-FALSO-900383</v>
      </c>
      <c r="D584" s="66" t="str">
        <f>_xlfn.CONCAT(Tableau119[[#This Row],[Compte ILN]],"-",Tableau119[[#This Row],[Compte Shipper]],"-",Tableau119[[#This Row],[POL]])</f>
        <v>2533780546-2533780546-FALSO</v>
      </c>
      <c r="E584" s="130" t="str">
        <f>_xlfn.CONCAT(Tableau119[[#This Row],[POL]],"-",Tableau119[[#This Row],[Carrier]],"-",Tableau119[[#This Row],[POD]])</f>
        <v>FALSO-FALSO-FALSO</v>
      </c>
      <c r="F584" s="66" t="str">
        <f>_xlfn.CONCAT(Tableau119[[#This Row],[ID]],"-","Actif")</f>
        <v>212-Actif</v>
      </c>
      <c r="G584" s="66" t="str">
        <f>_xlfn.CONCAT(Tableau119[[#This Row],[POD]],"-",Tableau119[[#This Row],[Code PFI]],"-",Tableau119[[#This Row],[Compte Consignee]])</f>
        <v>FALSO---900383</v>
      </c>
      <c r="H5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ChennaiFALSOTANGER</v>
      </c>
      <c r="I584" s="434" t="str">
        <f>_xlfn.CONCAT(Tableau119[[#This Row],[ID]],"-",Tableau119[[#This Row],[Expiration Date]])</f>
        <v>212-46142</v>
      </c>
      <c r="J5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Chennai-ILN Chennai-212-FALSO-FALSO-FALSO--46142</v>
      </c>
      <c r="K584" s="119" t="str">
        <f ca="1">IF(COUNTIF(J:J,Tableau119[[#This Row],[Plant-ILN-shipper-POL-Carrier-POD-PFI]])=1,"Non","Oui")</f>
        <v>Non</v>
      </c>
      <c r="L584" s="436" t="str">
        <f>VLOOKUP(Tableau119[[#This Row],[Name Site]],Plant_AILN!A:D,4,FALSE)</f>
        <v>MOROCCO</v>
      </c>
      <c r="M584" s="485" t="s">
        <v>180</v>
      </c>
      <c r="N584" s="455">
        <f>VLOOKUP(Tableau119[[#This Row],[Name Site]],Plant_AILN!A:C,3,FALSE)</f>
        <v>900383</v>
      </c>
      <c r="O584" s="104">
        <f>IF(Tableau119[[#This Row],[Name PFI/CDD]]="PFI VLL",2,VLOOKUP(Tableau119[[#This Row],[Compte Consignee]],Order!C:D,2,FALSE))</f>
        <v>7</v>
      </c>
      <c r="P584" s="126" t="s">
        <v>149</v>
      </c>
      <c r="Q584" s="366">
        <f>VLOOKUP(Tableau119[[#This Row],[Name ILN]],Plant_AILN!F:G,2,FALSE)</f>
        <v>2533780546</v>
      </c>
      <c r="R584" s="81">
        <f>VLOOKUP(Tableau119[[#This Row],[Compte ILN]],'DATA ILN'!D:I,6,FALSE)</f>
        <v>9</v>
      </c>
      <c r="S584" s="81" t="e">
        <f>IFERROR(VLOOKUP(Tableau119[[#This Row],[Key(Compte ILN - shipper - POL - plant)]],'DATA ILN'!A:J,10,FALSE),VLOOKUP(Tableau119[[#This Row],[Key(Compte ILN - shipper - POL)]],'DATA ILN'!B:J,9,FALSE))</f>
        <v>#N/A</v>
      </c>
      <c r="T584" s="81" t="e">
        <f>IFERROR(VLOOKUP(Tableau119[[#This Row],[Key(Compte ILN - shipper - POL - plant)]],'DATA ILN'!A:K,11,FALSE),VLOOKUP(Tableau119[[#This Row],[Key(Compte ILN - shipper - POL)]],'DATA ILN'!B:K,10,FALSE))</f>
        <v>#N/A</v>
      </c>
      <c r="U584" s="81" t="e">
        <f>IFERROR(VLOOKUP(Tableau119[[#This Row],[Key(Compte ILN - shipper - POL - plant)]],'DATA ILN'!A:L,12,FALSE),VLOOKUP(Tableau119[[#This Row],[Key(Compte ILN - shipper - POL)]],'DATA ILN'!B:L,11,FALSE))</f>
        <v>#N/A</v>
      </c>
      <c r="V584" s="81" t="e">
        <f>Tableau119[[#This Row],[Day ILN Order]]+Tableau119[[#This Row],[Delivery time to ILN/Shipper]]-1</f>
        <v>#N/A</v>
      </c>
      <c r="W584" s="81" t="e">
        <f>IFERROR(VLOOKUP(Tableau119[[#This Row],[Key(Compte ILN - shipper - POL - plant)]],'DATA ILN'!A:N,14,FALSE),VLOOKUP(Tableau119[[#This Row],[Key(Compte ILN - shipper - POL)]],'DATA ILN'!B:N,13,FALSE))</f>
        <v>#N/A</v>
      </c>
      <c r="X584" s="81" t="e">
        <f>IFERROR(VLOOKUP(Tableau119[[#This Row],[Key(Compte ILN - shipper - POL - plant)]],'DATA ILN'!A:P,16,FALSE),VLOOKUP(Tableau119[[#This Row],[Key(Compte ILN - shipper - POL)]],'DATA ILN'!B:P,15,FALSE))</f>
        <v>#N/A</v>
      </c>
      <c r="Y584" s="102" t="s">
        <v>149</v>
      </c>
      <c r="Z584" s="417">
        <f>IFERROR(VLOOKUP(Tableau119[[#This Row],[Name Shipper]],Plant_AILN!L:M,2,FALSE),0)</f>
        <v>2533780546</v>
      </c>
      <c r="AA584" s="416">
        <v>212</v>
      </c>
      <c r="AB584" s="396" t="b">
        <f>_xlfn.XLOOKUP(Tableau119[[#This Row],[Key(ID-date)]],'DATA BTO'!S:S,'DATA BTO'!E:E,FALSE)</f>
        <v>0</v>
      </c>
      <c r="AC584" s="3" t="b">
        <f>_xlfn.XLOOKUP(Tableau119[[#This Row],[Key(ID-date)]],'DATA BTO'!S:S,'DATA BTO'!F:F,FALSE)</f>
        <v>0</v>
      </c>
      <c r="AD584" s="50" t="b">
        <f>_xlfn.XLOOKUP(Tableau119[[#This Row],[Key(ID-date)]],'DATA BTO'!S:S,'DATA BTO'!G:G,FALSE)</f>
        <v>0</v>
      </c>
      <c r="AE584" s="50" t="b">
        <f>_xlfn.XLOOKUP(Tableau119[[#This Row],[Key(ID-date)]],'DATA BTO'!S:S,'DATA BTO'!H:H,FALSE)</f>
        <v>0</v>
      </c>
      <c r="AF584" s="447" t="e">
        <f>IF(Tableau119[[#This Row],[First Day to POL]]&lt;=Tableau119[[#This Row],[Day Cut Off]],Tableau119[[#This Row],[Day ETD]],Tableau119[[#This Row],[Day ETD]]+7)</f>
        <v>#N/A</v>
      </c>
      <c r="AG584" s="50" t="b">
        <f>_xlfn.XLOOKUP(Tableau119[[#This Row],[Key(ID-date)]],'DATA BTO'!S:S,'DATA BTO'!I:I,FALSE)</f>
        <v>0</v>
      </c>
      <c r="AH584" s="3" t="b">
        <f>_xlfn.XLOOKUP(Tableau119[[#This Row],[Key(ID-date)]],'DATA BTO'!S:S,'DATA BTO'!J:J,FALSE)</f>
        <v>0</v>
      </c>
      <c r="AI584" s="3" t="b">
        <f>_xlfn.XLOOKUP(Tableau119[[#This Row],[Key(ID-date)]],'DATA BTO'!S:S,'DATA BTO'!K:K,FALSE)</f>
        <v>0</v>
      </c>
      <c r="AJ584" s="50" t="b">
        <f>_xlfn.XLOOKUP(Tableau119[[#This Row],[Key(ID-date)]],'DATA BTO'!S:S,'DATA BTO'!L:L,FALSE)</f>
        <v>0</v>
      </c>
      <c r="AK584" s="53" t="b">
        <f>_xlfn.XLOOKUP(Tableau119[[#This Row],[Key(ID-date)]],'DATA BTO'!S:S,'DATA BTO'!N:N,FALSE)</f>
        <v>0</v>
      </c>
      <c r="AL584" s="54" t="e">
        <f>VLOOKUP(Tableau119[[#This Row],[Key(POD -PFI- Usine)]],'DATA Consignee'!A:F,6,FALSE)</f>
        <v>#N/A</v>
      </c>
      <c r="AM584" s="127"/>
      <c r="AN584" s="375" t="str">
        <f>IF(Tableau119[[#This Row],[Name PFI/CDD]]="","-",VLOOKUP(Tableau119[[#This Row],[Name PFI/CDD]],Plant_AILN!I:J,2,FALSE))</f>
        <v>-</v>
      </c>
      <c r="AO58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4" s="110" t="e">
        <f>VLOOKUP(Tableau119[[#This Row],[Key(POD -PFI- Usine)]],'DATA Consignee'!A:J,10,FALSE)</f>
        <v>#N/A</v>
      </c>
      <c r="AR584" s="81" t="e">
        <f>VLOOKUP(Tableau119[[#This Row],[Key(POD -PFI- Usine)]],'DATA Consignee'!A:N,14,FALSE)</f>
        <v>#N/A</v>
      </c>
      <c r="AS58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4" s="81">
        <f>Tableau119[[#This Row],[Transit time]]+Tableau119[[#This Row],[Time for security]]+Tableau119[[#This Row],[Time for security2 buffer]]</f>
        <v>0</v>
      </c>
      <c r="AV5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4" s="50" t="e">
        <f>Tableau119[[#This Row],[Leadtime SI2C]]+Tableau119[[#This Row],[First Receipt Days]]-Tableau119[[#This Row],[Day Customer Order]]+1</f>
        <v>#N/A</v>
      </c>
      <c r="AX584" s="119" t="e">
        <f>IF(Tableau119[[#This Row],[Name ILN]]&lt;&gt;"SFK Freight Forwarder",Tableau119[[#This Row],[Cust. Leadtime]],Tableau119[[#This Row],[Leadtime SI2C]])</f>
        <v>#N/A</v>
      </c>
      <c r="AY584" s="51" t="b">
        <f>_xlfn.XLOOKUP(Tableau119[[#This Row],[Key(ID-date)]],'DATA BTO'!S:S,'DATA BTO'!P:P,FALSE)</f>
        <v>0</v>
      </c>
      <c r="AZ584" s="388">
        <v>46142</v>
      </c>
      <c r="BA584" s="81"/>
    </row>
    <row r="585" spans="2:53">
      <c r="B585" s="446" t="str">
        <f>_xlfn.CONCAT(Tableau119[[#This Row],[Name ILN]],"-",Tableau119[[#This Row],[Name Shipper]],"-",Tableau119[[#This Row],[Name Site]])</f>
        <v>ILN Chennai-ILN Chennai-SOMACA</v>
      </c>
      <c r="C585" s="66" t="str">
        <f>_xlfn.CONCAT(Tableau119[[#This Row],[Compte ILN]],"-",Tableau119[[#This Row],[Compte Shipper]],"-",Tableau119[[#This Row],[POL]],"-",Tableau119[[#This Row],[Compte Consignee]])</f>
        <v>2533780546-2533780546-FALSO-90038200</v>
      </c>
      <c r="D585" s="66" t="str">
        <f>_xlfn.CONCAT(Tableau119[[#This Row],[Compte ILN]],"-",Tableau119[[#This Row],[Compte Shipper]],"-",Tableau119[[#This Row],[POL]])</f>
        <v>2533780546-2533780546-FALSO</v>
      </c>
      <c r="E585" s="130" t="str">
        <f>_xlfn.CONCAT(Tableau119[[#This Row],[POL]],"-",Tableau119[[#This Row],[Carrier]],"-",Tableau119[[#This Row],[POD]])</f>
        <v>FALSO-FALSO-FALSO</v>
      </c>
      <c r="F585" s="66" t="str">
        <f>_xlfn.CONCAT(Tableau119[[#This Row],[ID]],"-","Actif")</f>
        <v>212-Actif</v>
      </c>
      <c r="G585" s="66" t="str">
        <f>_xlfn.CONCAT(Tableau119[[#This Row],[POD]],"-",Tableau119[[#This Row],[Code PFI]],"-",Tableau119[[#This Row],[Compte Consignee]])</f>
        <v>FALSO---90038200</v>
      </c>
      <c r="H5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ChennaiFALSOSOMACA</v>
      </c>
      <c r="I585" s="434" t="str">
        <f>_xlfn.CONCAT(Tableau119[[#This Row],[ID]],"-",Tableau119[[#This Row],[Expiration Date]])</f>
        <v>212-45991</v>
      </c>
      <c r="J5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Chennai-ILN Chennai-212-FALSO-FALSO-FALSO--45991</v>
      </c>
      <c r="K585" s="119" t="str">
        <f ca="1">IF(COUNTIF(J:J,Tableau119[[#This Row],[Plant-ILN-shipper-POL-Carrier-POD-PFI]])=1,"Non","Oui")</f>
        <v>Non</v>
      </c>
      <c r="L585" s="128" t="str">
        <f>VLOOKUP(Tableau119[[#This Row],[Name Site]],Plant_AILN!A:D,4,FALSE)</f>
        <v>MOROCCO</v>
      </c>
      <c r="M585" s="411" t="s">
        <v>179</v>
      </c>
      <c r="N585" s="454">
        <f>VLOOKUP(Tableau119[[#This Row],[Name Site]],Plant_AILN!A:C,3,FALSE)</f>
        <v>90038200</v>
      </c>
      <c r="O585" s="55">
        <f>VLOOKUP(Tableau119[[#This Row],[Compte Consignee]],Order!C:D,2,FALSE)</f>
        <v>7</v>
      </c>
      <c r="P585" s="124" t="s">
        <v>149</v>
      </c>
      <c r="Q585" s="365">
        <f>VLOOKUP(Tableau119[[#This Row],[Name ILN]],Plant_AILN!F:G,2,FALSE)</f>
        <v>2533780546</v>
      </c>
      <c r="R585" s="50">
        <f>VLOOKUP(Tableau119[[#This Row],[Compte ILN]],'DATA ILN'!D:I,6,FALSE)</f>
        <v>9</v>
      </c>
      <c r="S585" s="50" t="e">
        <f>IFERROR(VLOOKUP(Tableau119[[#This Row],[Key(Compte ILN - shipper - POL - plant)]],'DATA ILN'!A:J,10,FALSE),VLOOKUP(Tableau119[[#This Row],[Key(Compte ILN - shipper - POL)]],'DATA ILN'!B:J,9,FALSE))</f>
        <v>#N/A</v>
      </c>
      <c r="T585" s="50" t="e">
        <f>IFERROR(VLOOKUP(Tableau119[[#This Row],[Key(Compte ILN - shipper - POL - plant)]],'DATA ILN'!A:K,11,FALSE),VLOOKUP(Tableau119[[#This Row],[Key(Compte ILN - shipper - POL)]],'DATA ILN'!B:K,10,FALSE))</f>
        <v>#N/A</v>
      </c>
      <c r="U585" s="50" t="e">
        <f>IFERROR(VLOOKUP(Tableau119[[#This Row],[Key(Compte ILN - shipper - POL - plant)]],'DATA ILN'!A:L,12,FALSE),VLOOKUP(Tableau119[[#This Row],[Key(Compte ILN - shipper - POL)]],'DATA ILN'!B:L,11,FALSE))</f>
        <v>#N/A</v>
      </c>
      <c r="V585" s="50" t="e">
        <f>Tableau119[[#This Row],[Day ILN Order]]+Tableau119[[#This Row],[Delivery time to ILN/Shipper]]-1</f>
        <v>#N/A</v>
      </c>
      <c r="W585" s="50" t="e">
        <f>IFERROR(VLOOKUP(Tableau119[[#This Row],[Key(Compte ILN - shipper - POL - plant)]],'DATA ILN'!A:N,14,FALSE),VLOOKUP(Tableau119[[#This Row],[Key(Compte ILN - shipper - POL)]],'DATA ILN'!B:N,13,FALSE))</f>
        <v>#N/A</v>
      </c>
      <c r="X585" s="50" t="e">
        <f>IFERROR(VLOOKUP(Tableau119[[#This Row],[Key(Compte ILN - shipper - POL - plant)]],'DATA ILN'!A:P,16,FALSE),VLOOKUP(Tableau119[[#This Row],[Key(Compte ILN - shipper - POL)]],'DATA ILN'!B:P,15,FALSE))</f>
        <v>#N/A</v>
      </c>
      <c r="Y585" s="284" t="s">
        <v>149</v>
      </c>
      <c r="Z585" s="430">
        <f>IFERROR(VLOOKUP(Tableau119[[#This Row],[Name Shipper]],Plant_AILN!L:M,2,FALSE),0)</f>
        <v>2533780546</v>
      </c>
      <c r="AA585" s="406">
        <v>212</v>
      </c>
      <c r="AB585" s="396" t="b">
        <f>_xlfn.XLOOKUP(Tableau119[[#This Row],[Key(ID-date)]],'DATA BTO'!S:S,'DATA BTO'!E:E,FALSE)</f>
        <v>0</v>
      </c>
      <c r="AC585" s="3" t="b">
        <f>_xlfn.XLOOKUP(Tableau119[[#This Row],[Key(ID-date)]],'DATA BTO'!S:S,'DATA BTO'!F:F,FALSE)</f>
        <v>0</v>
      </c>
      <c r="AD585" s="50" t="b">
        <f>_xlfn.XLOOKUP(Tableau119[[#This Row],[Key(ID-date)]],'DATA BTO'!S:S,'DATA BTO'!G:G,FALSE)</f>
        <v>0</v>
      </c>
      <c r="AE585" s="50" t="b">
        <f>_xlfn.XLOOKUP(Tableau119[[#This Row],[Key(ID-date)]],'DATA BTO'!S:S,'DATA BTO'!H:H,FALSE)</f>
        <v>0</v>
      </c>
      <c r="AF585" s="447" t="e">
        <f>IF(Tableau119[[#This Row],[First Day to POL]]&lt;=Tableau119[[#This Row],[Day Cut Off]],Tableau119[[#This Row],[Day ETD]],Tableau119[[#This Row],[Day ETD]]+7)</f>
        <v>#N/A</v>
      </c>
      <c r="AG585" s="50" t="b">
        <f>_xlfn.XLOOKUP(Tableau119[[#This Row],[Key(ID-date)]],'DATA BTO'!S:S,'DATA BTO'!I:I,FALSE)</f>
        <v>0</v>
      </c>
      <c r="AH585" s="3" t="b">
        <f>_xlfn.XLOOKUP(Tableau119[[#This Row],[Key(ID-date)]],'DATA BTO'!S:S,'DATA BTO'!J:J,FALSE)</f>
        <v>0</v>
      </c>
      <c r="AI585" s="3" t="b">
        <f>_xlfn.XLOOKUP(Tableau119[[#This Row],[Key(ID-date)]],'DATA BTO'!S:S,'DATA BTO'!K:K,FALSE)</f>
        <v>0</v>
      </c>
      <c r="AJ585" s="50" t="b">
        <f>_xlfn.XLOOKUP(Tableau119[[#This Row],[Key(ID-date)]],'DATA BTO'!S:S,'DATA BTO'!L:L,FALSE)</f>
        <v>0</v>
      </c>
      <c r="AK585" s="53" t="b">
        <f>_xlfn.XLOOKUP(Tableau119[[#This Row],[Key(ID-date)]],'DATA BTO'!S:S,'DATA BTO'!N:N,FALSE)</f>
        <v>0</v>
      </c>
      <c r="AL585" s="54" t="e">
        <f>VLOOKUP(Tableau119[[#This Row],[Key(POD -PFI- Usine)]],'DATA Consignee'!A:F,6,FALSE)</f>
        <v>#N/A</v>
      </c>
      <c r="AM585" s="127"/>
      <c r="AN585" s="376" t="str">
        <f>IF(Tableau119[[#This Row],[Name PFI/CDD]]="","-",VLOOKUP(Tableau119[[#This Row],[Name PFI/CDD]],Plant_AILN!I:J,2,FALSE))</f>
        <v>-</v>
      </c>
      <c r="AO5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5" s="2" t="e">
        <f>VLOOKUP(Tableau119[[#This Row],[Key(POD -PFI- Usine)]],'DATA Consignee'!A:J,10,FALSE)</f>
        <v>#N/A</v>
      </c>
      <c r="AR585" s="50" t="e">
        <f>VLOOKUP(Tableau119[[#This Row],[Key(POD -PFI- Usine)]],'DATA Consignee'!A:N,14,FALSE)</f>
        <v>#N/A</v>
      </c>
      <c r="AS5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5" s="50">
        <f>Tableau119[[#This Row],[Transit time]]+Tableau119[[#This Row],[Time for security]]+Tableau119[[#This Row],[Time for security2 buffer]]</f>
        <v>0</v>
      </c>
      <c r="AV5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5" s="50" t="e">
        <f>Tableau119[[#This Row],[Leadtime SI2C]]+Tableau119[[#This Row],[First Receipt Days]]-Tableau119[[#This Row],[Day Customer Order]]+1</f>
        <v>#N/A</v>
      </c>
      <c r="AX585" s="119" t="e">
        <f>IF(Tableau119[[#This Row],[Name ILN]]&lt;&gt;"SFK Freight Forwarder",Tableau119[[#This Row],[Cust. Leadtime]],Tableau119[[#This Row],[Leadtime SI2C]])</f>
        <v>#N/A</v>
      </c>
      <c r="AY585" s="51" t="b">
        <f>_xlfn.XLOOKUP(Tableau119[[#This Row],[Key(ID-date)]],'DATA BTO'!S:S,'DATA BTO'!P:P,FALSE)</f>
        <v>0</v>
      </c>
      <c r="AZ585" s="338">
        <v>45991</v>
      </c>
      <c r="BA585" s="50"/>
    </row>
    <row r="586" spans="2:53">
      <c r="B586" s="446" t="str">
        <f>_xlfn.CONCAT(Tableau119[[#This Row],[Name ILN]],"-",Tableau119[[#This Row],[Name Shipper]],"-",Tableau119[[#This Row],[Name Site]])</f>
        <v>ILN Chennai-ILN Chennai-TANGER</v>
      </c>
      <c r="C586" s="66" t="str">
        <f>_xlfn.CONCAT(Tableau119[[#This Row],[Compte ILN]],"-",Tableau119[[#This Row],[Compte Shipper]],"-",Tableau119[[#This Row],[POL]],"-",Tableau119[[#This Row],[Compte Consignee]])</f>
        <v>2533780546-2533780546-FALSO-900383</v>
      </c>
      <c r="D586" s="66" t="str">
        <f>_xlfn.CONCAT(Tableau119[[#This Row],[Compte ILN]],"-",Tableau119[[#This Row],[Compte Shipper]],"-",Tableau119[[#This Row],[POL]])</f>
        <v>2533780546-2533780546-FALSO</v>
      </c>
      <c r="E586" s="130" t="str">
        <f>_xlfn.CONCAT(Tableau119[[#This Row],[POL]],"-",Tableau119[[#This Row],[Carrier]],"-",Tableau119[[#This Row],[POD]])</f>
        <v>FALSO-FALSO-FALSO</v>
      </c>
      <c r="F586" s="66" t="str">
        <f>_xlfn.CONCAT(Tableau119[[#This Row],[ID]],"-","Actif")</f>
        <v>212-Actif</v>
      </c>
      <c r="G586" s="66" t="str">
        <f>_xlfn.CONCAT(Tableau119[[#This Row],[POD]],"-",Tableau119[[#This Row],[Code PFI]],"-",Tableau119[[#This Row],[Compte Consignee]])</f>
        <v>FALSO---900383</v>
      </c>
      <c r="H5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ChennaiFALSOTANGER</v>
      </c>
      <c r="I586" s="434" t="str">
        <f>_xlfn.CONCAT(Tableau119[[#This Row],[ID]],"-",Tableau119[[#This Row],[Expiration Date]])</f>
        <v>212-45991</v>
      </c>
      <c r="J5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Chennai-ILN Chennai-212-FALSO-FALSO-FALSO--45991</v>
      </c>
      <c r="K586" s="119" t="str">
        <f ca="1">IF(COUNTIF(J:J,Tableau119[[#This Row],[Plant-ILN-shipper-POL-Carrier-POD-PFI]])=1,"Non","Oui")</f>
        <v>Non</v>
      </c>
      <c r="L586" s="128" t="str">
        <f>VLOOKUP(Tableau119[[#This Row],[Name Site]],Plant_AILN!A:D,4,FALSE)</f>
        <v>MOROCCO</v>
      </c>
      <c r="M586" s="415" t="s">
        <v>180</v>
      </c>
      <c r="N586" s="455">
        <f>VLOOKUP(Tableau119[[#This Row],[Name Site]],Plant_AILN!A:C,3,FALSE)</f>
        <v>900383</v>
      </c>
      <c r="O586" s="104">
        <f>VLOOKUP(Tableau119[[#This Row],[Compte Consignee]],Order!C:D,2,FALSE)</f>
        <v>7</v>
      </c>
      <c r="P586" s="126" t="s">
        <v>149</v>
      </c>
      <c r="Q586" s="366">
        <f>VLOOKUP(Tableau119[[#This Row],[Name ILN]],Plant_AILN!F:G,2,FALSE)</f>
        <v>2533780546</v>
      </c>
      <c r="R586" s="81">
        <f>VLOOKUP(Tableau119[[#This Row],[Compte ILN]],'DATA ILN'!D:I,6,FALSE)</f>
        <v>9</v>
      </c>
      <c r="S586" s="81" t="e">
        <f>IFERROR(VLOOKUP(Tableau119[[#This Row],[Key(Compte ILN - shipper - POL - plant)]],'DATA ILN'!A:J,10,FALSE),VLOOKUP(Tableau119[[#This Row],[Key(Compte ILN - shipper - POL)]],'DATA ILN'!B:J,9,FALSE))</f>
        <v>#N/A</v>
      </c>
      <c r="T586" s="81" t="e">
        <f>IFERROR(VLOOKUP(Tableau119[[#This Row],[Key(Compte ILN - shipper - POL - plant)]],'DATA ILN'!A:K,11,FALSE),VLOOKUP(Tableau119[[#This Row],[Key(Compte ILN - shipper - POL)]],'DATA ILN'!B:K,10,FALSE))</f>
        <v>#N/A</v>
      </c>
      <c r="U586" s="81" t="e">
        <f>IFERROR(VLOOKUP(Tableau119[[#This Row],[Key(Compte ILN - shipper - POL - plant)]],'DATA ILN'!A:L,12,FALSE),VLOOKUP(Tableau119[[#This Row],[Key(Compte ILN - shipper - POL)]],'DATA ILN'!B:L,11,FALSE))</f>
        <v>#N/A</v>
      </c>
      <c r="V586" s="81" t="e">
        <f>Tableau119[[#This Row],[Day ILN Order]]+Tableau119[[#This Row],[Delivery time to ILN/Shipper]]-1</f>
        <v>#N/A</v>
      </c>
      <c r="W586" s="81" t="e">
        <f>IFERROR(VLOOKUP(Tableau119[[#This Row],[Key(Compte ILN - shipper - POL - plant)]],'DATA ILN'!A:N,14,FALSE),VLOOKUP(Tableau119[[#This Row],[Key(Compte ILN - shipper - POL)]],'DATA ILN'!B:N,13,FALSE))</f>
        <v>#N/A</v>
      </c>
      <c r="X586" s="81" t="e">
        <f>IFERROR(VLOOKUP(Tableau119[[#This Row],[Key(Compte ILN - shipper - POL - plant)]],'DATA ILN'!A:P,16,FALSE),VLOOKUP(Tableau119[[#This Row],[Key(Compte ILN - shipper - POL)]],'DATA ILN'!B:P,15,FALSE))</f>
        <v>#N/A</v>
      </c>
      <c r="Y586" s="102" t="s">
        <v>149</v>
      </c>
      <c r="Z586" s="417">
        <f>IFERROR(VLOOKUP(Tableau119[[#This Row],[Name Shipper]],Plant_AILN!L:M,2,FALSE),0)</f>
        <v>2533780546</v>
      </c>
      <c r="AA586" s="416">
        <v>212</v>
      </c>
      <c r="AB586" s="396" t="b">
        <f>_xlfn.XLOOKUP(Tableau119[[#This Row],[Key(ID-date)]],'DATA BTO'!S:S,'DATA BTO'!E:E,FALSE)</f>
        <v>0</v>
      </c>
      <c r="AC586" s="3" t="b">
        <f>_xlfn.XLOOKUP(Tableau119[[#This Row],[Key(ID-date)]],'DATA BTO'!S:S,'DATA BTO'!F:F,FALSE)</f>
        <v>0</v>
      </c>
      <c r="AD586" s="50" t="b">
        <f>_xlfn.XLOOKUP(Tableau119[[#This Row],[Key(ID-date)]],'DATA BTO'!S:S,'DATA BTO'!G:G,FALSE)</f>
        <v>0</v>
      </c>
      <c r="AE586" s="50" t="b">
        <f>_xlfn.XLOOKUP(Tableau119[[#This Row],[Key(ID-date)]],'DATA BTO'!S:S,'DATA BTO'!H:H,FALSE)</f>
        <v>0</v>
      </c>
      <c r="AF586" s="447" t="e">
        <f>IF(Tableau119[[#This Row],[First Day to POL]]&lt;=Tableau119[[#This Row],[Day Cut Off]],Tableau119[[#This Row],[Day ETD]],Tableau119[[#This Row],[Day ETD]]+7)</f>
        <v>#N/A</v>
      </c>
      <c r="AG586" s="50" t="b">
        <f>_xlfn.XLOOKUP(Tableau119[[#This Row],[Key(ID-date)]],'DATA BTO'!S:S,'DATA BTO'!I:I,FALSE)</f>
        <v>0</v>
      </c>
      <c r="AH586" s="3" t="b">
        <f>_xlfn.XLOOKUP(Tableau119[[#This Row],[Key(ID-date)]],'DATA BTO'!S:S,'DATA BTO'!J:J,FALSE)</f>
        <v>0</v>
      </c>
      <c r="AI586" s="3" t="b">
        <f>_xlfn.XLOOKUP(Tableau119[[#This Row],[Key(ID-date)]],'DATA BTO'!S:S,'DATA BTO'!K:K,FALSE)</f>
        <v>0</v>
      </c>
      <c r="AJ586" s="50" t="b">
        <f>_xlfn.XLOOKUP(Tableau119[[#This Row],[Key(ID-date)]],'DATA BTO'!S:S,'DATA BTO'!L:L,FALSE)</f>
        <v>0</v>
      </c>
      <c r="AK586" s="53" t="b">
        <f>_xlfn.XLOOKUP(Tableau119[[#This Row],[Key(ID-date)]],'DATA BTO'!S:S,'DATA BTO'!N:N,FALSE)</f>
        <v>0</v>
      </c>
      <c r="AL586" s="54" t="e">
        <f>VLOOKUP(Tableau119[[#This Row],[Key(POD -PFI- Usine)]],'DATA Consignee'!A:F,6,FALSE)</f>
        <v>#N/A</v>
      </c>
      <c r="AM586" s="127"/>
      <c r="AN586" s="375" t="str">
        <f>IF(Tableau119[[#This Row],[Name PFI/CDD]]="","-",VLOOKUP(Tableau119[[#This Row],[Name PFI/CDD]],Plant_AILN!I:J,2,FALSE))</f>
        <v>-</v>
      </c>
      <c r="AO58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6" s="110" t="e">
        <f>VLOOKUP(Tableau119[[#This Row],[Key(POD -PFI- Usine)]],'DATA Consignee'!A:J,10,FALSE)</f>
        <v>#N/A</v>
      </c>
      <c r="AR586" s="81" t="e">
        <f>VLOOKUP(Tableau119[[#This Row],[Key(POD -PFI- Usine)]],'DATA Consignee'!A:N,14,FALSE)</f>
        <v>#N/A</v>
      </c>
      <c r="AS58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6" s="81">
        <f>Tableau119[[#This Row],[Transit time]]+Tableau119[[#This Row],[Time for security]]+Tableau119[[#This Row],[Time for security2 buffer]]</f>
        <v>0</v>
      </c>
      <c r="AV5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6" s="50" t="e">
        <f>Tableau119[[#This Row],[Leadtime SI2C]]+Tableau119[[#This Row],[First Receipt Days]]-Tableau119[[#This Row],[Day Customer Order]]+1</f>
        <v>#N/A</v>
      </c>
      <c r="AX586" s="119" t="e">
        <f>IF(Tableau119[[#This Row],[Name ILN]]&lt;&gt;"SFK Freight Forwarder",Tableau119[[#This Row],[Cust. Leadtime]],Tableau119[[#This Row],[Leadtime SI2C]])</f>
        <v>#N/A</v>
      </c>
      <c r="AY586" s="51" t="b">
        <f>_xlfn.XLOOKUP(Tableau119[[#This Row],[Key(ID-date)]],'DATA BTO'!S:S,'DATA BTO'!P:P,FALSE)</f>
        <v>0</v>
      </c>
      <c r="AZ586" s="388">
        <v>45991</v>
      </c>
      <c r="BA586" s="81"/>
    </row>
    <row r="587" spans="2:53">
      <c r="B587" s="446" t="str">
        <f>_xlfn.CONCAT(Tableau119[[#This Row],[Name ILN]],"-",Tableau119[[#This Row],[Name Shipper]],"-",Tableau119[[#This Row],[Name Site]])</f>
        <v>ILN Chennai-ILN Chennai-SOMACA</v>
      </c>
      <c r="C587" s="66" t="str">
        <f>_xlfn.CONCAT(Tableau119[[#This Row],[Compte ILN]],"-",Tableau119[[#This Row],[Compte Shipper]],"-",Tableau119[[#This Row],[POL]],"-",Tableau119[[#This Row],[Compte Consignee]])</f>
        <v>2533780546-2533780546-FALSO-90038200</v>
      </c>
      <c r="D587" s="66" t="str">
        <f>_xlfn.CONCAT(Tableau119[[#This Row],[Compte ILN]],"-",Tableau119[[#This Row],[Compte Shipper]],"-",Tableau119[[#This Row],[POL]])</f>
        <v>2533780546-2533780546-FALSO</v>
      </c>
      <c r="E587" s="130" t="str">
        <f>_xlfn.CONCAT(Tableau119[[#This Row],[POL]],"-",Tableau119[[#This Row],[Carrier]],"-",Tableau119[[#This Row],[POD]])</f>
        <v>FALSO-FALSO-FALSO</v>
      </c>
      <c r="F587" s="66" t="str">
        <f>_xlfn.CONCAT(Tableau119[[#This Row],[ID]],"-","Actif")</f>
        <v>212-Actif</v>
      </c>
      <c r="G587" s="66" t="str">
        <f>_xlfn.CONCAT(Tableau119[[#This Row],[POD]],"-",Tableau119[[#This Row],[Code PFI]],"-",Tableau119[[#This Row],[Compte Consignee]])</f>
        <v>FALSO---90038200</v>
      </c>
      <c r="H5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ChennaiFALSOSOMACA</v>
      </c>
      <c r="I587" s="434" t="str">
        <f>_xlfn.CONCAT(Tableau119[[#This Row],[ID]],"-",Tableau119[[#This Row],[Expiration Date]])</f>
        <v>212-45777</v>
      </c>
      <c r="J5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Chennai-ILN Chennai-212-FALSO-FALSO-FALSO--45777</v>
      </c>
      <c r="K587" s="119" t="str">
        <f ca="1">IF(COUNTIF(J:J,Tableau119[[#This Row],[Plant-ILN-shipper-POL-Carrier-POD-PFI]])=1,"Non","Oui")</f>
        <v>Non</v>
      </c>
      <c r="L587" s="128" t="str">
        <f>VLOOKUP(Tableau119[[#This Row],[Name Site]],Plant_AILN!A:D,4,FALSE)</f>
        <v>MOROCCO</v>
      </c>
      <c r="M587" s="411" t="s">
        <v>179</v>
      </c>
      <c r="N587" s="454">
        <f>VLOOKUP(Tableau119[[#This Row],[Name Site]],Plant_AILN!A:C,3,FALSE)</f>
        <v>90038200</v>
      </c>
      <c r="O587" s="55">
        <f>VLOOKUP(Tableau119[[#This Row],[Compte Consignee]],Order!C:D,2,FALSE)</f>
        <v>7</v>
      </c>
      <c r="P587" s="124" t="s">
        <v>149</v>
      </c>
      <c r="Q587" s="365">
        <f>VLOOKUP(Tableau119[[#This Row],[Name ILN]],Plant_AILN!F:G,2,FALSE)</f>
        <v>2533780546</v>
      </c>
      <c r="R587" s="50">
        <f>VLOOKUP(Tableau119[[#This Row],[Compte ILN]],'DATA ILN'!D:I,6,FALSE)</f>
        <v>9</v>
      </c>
      <c r="S587" s="50" t="e">
        <f>IFERROR(VLOOKUP(Tableau119[[#This Row],[Key(Compte ILN - shipper - POL - plant)]],'DATA ILN'!A:J,10,FALSE),VLOOKUP(Tableau119[[#This Row],[Key(Compte ILN - shipper - POL)]],'DATA ILN'!B:J,9,FALSE))</f>
        <v>#N/A</v>
      </c>
      <c r="T587" s="50" t="e">
        <f>IFERROR(VLOOKUP(Tableau119[[#This Row],[Key(Compte ILN - shipper - POL - plant)]],'DATA ILN'!A:K,11,FALSE),VLOOKUP(Tableau119[[#This Row],[Key(Compte ILN - shipper - POL)]],'DATA ILN'!B:K,10,FALSE))</f>
        <v>#N/A</v>
      </c>
      <c r="U587" s="50" t="e">
        <f>IFERROR(VLOOKUP(Tableau119[[#This Row],[Key(Compte ILN - shipper - POL - plant)]],'DATA ILN'!A:L,12,FALSE),VLOOKUP(Tableau119[[#This Row],[Key(Compte ILN - shipper - POL)]],'DATA ILN'!B:L,11,FALSE))</f>
        <v>#N/A</v>
      </c>
      <c r="V587" s="50" t="e">
        <f>Tableau119[[#This Row],[Day ILN Order]]+Tableau119[[#This Row],[Delivery time to ILN/Shipper]]-1</f>
        <v>#N/A</v>
      </c>
      <c r="W587" s="50" t="e">
        <f>IFERROR(VLOOKUP(Tableau119[[#This Row],[Key(Compte ILN - shipper - POL - plant)]],'DATA ILN'!A:N,14,FALSE),VLOOKUP(Tableau119[[#This Row],[Key(Compte ILN - shipper - POL)]],'DATA ILN'!B:N,13,FALSE))</f>
        <v>#N/A</v>
      </c>
      <c r="X587" s="50" t="e">
        <f>IFERROR(VLOOKUP(Tableau119[[#This Row],[Key(Compte ILN - shipper - POL - plant)]],'DATA ILN'!A:P,16,FALSE),VLOOKUP(Tableau119[[#This Row],[Key(Compte ILN - shipper - POL)]],'DATA ILN'!B:P,15,FALSE))</f>
        <v>#N/A</v>
      </c>
      <c r="Y587" s="284" t="s">
        <v>149</v>
      </c>
      <c r="Z587" s="430">
        <f>IFERROR(VLOOKUP(Tableau119[[#This Row],[Name Shipper]],Plant_AILN!L:M,2,FALSE),0)</f>
        <v>2533780546</v>
      </c>
      <c r="AA587" s="406">
        <v>212</v>
      </c>
      <c r="AB587" s="396" t="b">
        <f>_xlfn.XLOOKUP(Tableau119[[#This Row],[Key(ID-date)]],'DATA BTO'!S:S,'DATA BTO'!E:E,FALSE)</f>
        <v>0</v>
      </c>
      <c r="AC587" s="3" t="b">
        <f>_xlfn.XLOOKUP(Tableau119[[#This Row],[Key(ID-date)]],'DATA BTO'!S:S,'DATA BTO'!F:F,FALSE)</f>
        <v>0</v>
      </c>
      <c r="AD587" s="50" t="b">
        <f>_xlfn.XLOOKUP(Tableau119[[#This Row],[Key(ID-date)]],'DATA BTO'!S:S,'DATA BTO'!G:G,FALSE)</f>
        <v>0</v>
      </c>
      <c r="AE587" s="50" t="b">
        <f>_xlfn.XLOOKUP(Tableau119[[#This Row],[Key(ID-date)]],'DATA BTO'!S:S,'DATA BTO'!H:H,FALSE)</f>
        <v>0</v>
      </c>
      <c r="AF587" s="447" t="e">
        <f>IF(Tableau119[[#This Row],[First Day to POL]]&lt;=Tableau119[[#This Row],[Day Cut Off]],Tableau119[[#This Row],[Day ETD]],Tableau119[[#This Row],[Day ETD]]+7)</f>
        <v>#N/A</v>
      </c>
      <c r="AG587" s="50" t="b">
        <f>_xlfn.XLOOKUP(Tableau119[[#This Row],[Key(ID-date)]],'DATA BTO'!S:S,'DATA BTO'!I:I,FALSE)</f>
        <v>0</v>
      </c>
      <c r="AH587" s="3" t="b">
        <f>_xlfn.XLOOKUP(Tableau119[[#This Row],[Key(ID-date)]],'DATA BTO'!S:S,'DATA BTO'!J:J,FALSE)</f>
        <v>0</v>
      </c>
      <c r="AI587" s="3" t="b">
        <f>_xlfn.XLOOKUP(Tableau119[[#This Row],[Key(ID-date)]],'DATA BTO'!S:S,'DATA BTO'!K:K,FALSE)</f>
        <v>0</v>
      </c>
      <c r="AJ587" s="50" t="b">
        <f>_xlfn.XLOOKUP(Tableau119[[#This Row],[Key(ID-date)]],'DATA BTO'!S:S,'DATA BTO'!L:L,FALSE)</f>
        <v>0</v>
      </c>
      <c r="AK587" s="53" t="b">
        <f>_xlfn.XLOOKUP(Tableau119[[#This Row],[Key(ID-date)]],'DATA BTO'!S:S,'DATA BTO'!N:N,FALSE)</f>
        <v>0</v>
      </c>
      <c r="AL587" s="54" t="e">
        <f>VLOOKUP(Tableau119[[#This Row],[Key(POD -PFI- Usine)]],'DATA Consignee'!A:F,6,FALSE)</f>
        <v>#N/A</v>
      </c>
      <c r="AM587" s="127"/>
      <c r="AN587" s="376" t="str">
        <f>IF(Tableau119[[#This Row],[Name PFI/CDD]]="","-",VLOOKUP(Tableau119[[#This Row],[Name PFI/CDD]],Plant_AILN!I:J,2,FALSE))</f>
        <v>-</v>
      </c>
      <c r="AO5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7" s="2" t="e">
        <f>VLOOKUP(Tableau119[[#This Row],[Key(POD -PFI- Usine)]],'DATA Consignee'!A:J,10,FALSE)</f>
        <v>#N/A</v>
      </c>
      <c r="AR587" s="50" t="e">
        <f>VLOOKUP(Tableau119[[#This Row],[Key(POD -PFI- Usine)]],'DATA Consignee'!A:N,14,FALSE)</f>
        <v>#N/A</v>
      </c>
      <c r="AS5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7" s="50">
        <f>Tableau119[[#This Row],[Transit time]]+Tableau119[[#This Row],[Time for security]]+Tableau119[[#This Row],[Time for security2 buffer]]</f>
        <v>0</v>
      </c>
      <c r="AV5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7" s="50" t="e">
        <f>Tableau119[[#This Row],[Leadtime SI2C]]+Tableau119[[#This Row],[First Receipt Days]]-Tableau119[[#This Row],[Day Customer Order]]+1</f>
        <v>#N/A</v>
      </c>
      <c r="AX587" s="119" t="e">
        <f>IF(Tableau119[[#This Row],[Name ILN]]&lt;&gt;"SFK Freight Forwarder",Tableau119[[#This Row],[Cust. Leadtime]],Tableau119[[#This Row],[Leadtime SI2C]])</f>
        <v>#N/A</v>
      </c>
      <c r="AY587" s="51" t="b">
        <f>_xlfn.XLOOKUP(Tableau119[[#This Row],[Key(ID-date)]],'DATA BTO'!S:S,'DATA BTO'!P:P,FALSE)</f>
        <v>0</v>
      </c>
      <c r="AZ587" s="338">
        <v>45777</v>
      </c>
      <c r="BA587" s="50"/>
    </row>
    <row r="588" spans="2:53">
      <c r="B588" s="446" t="str">
        <f>_xlfn.CONCAT(Tableau119[[#This Row],[Name ILN]],"-",Tableau119[[#This Row],[Name Shipper]],"-",Tableau119[[#This Row],[Name Site]])</f>
        <v>ILN Chennai-ILN Chennai-TANGER</v>
      </c>
      <c r="C588" s="66" t="str">
        <f>_xlfn.CONCAT(Tableau119[[#This Row],[Compte ILN]],"-",Tableau119[[#This Row],[Compte Shipper]],"-",Tableau119[[#This Row],[POL]],"-",Tableau119[[#This Row],[Compte Consignee]])</f>
        <v>2533780546-2533780546-FALSO-900383</v>
      </c>
      <c r="D588" s="66" t="str">
        <f>_xlfn.CONCAT(Tableau119[[#This Row],[Compte ILN]],"-",Tableau119[[#This Row],[Compte Shipper]],"-",Tableau119[[#This Row],[POL]])</f>
        <v>2533780546-2533780546-FALSO</v>
      </c>
      <c r="E588" s="130" t="str">
        <f>_xlfn.CONCAT(Tableau119[[#This Row],[POL]],"-",Tableau119[[#This Row],[Carrier]],"-",Tableau119[[#This Row],[POD]])</f>
        <v>FALSO-FALSO-FALSO</v>
      </c>
      <c r="F588" s="66" t="str">
        <f>_xlfn.CONCAT(Tableau119[[#This Row],[ID]],"-","Actif")</f>
        <v>212-Actif</v>
      </c>
      <c r="G588" s="66" t="str">
        <f>_xlfn.CONCAT(Tableau119[[#This Row],[POD]],"-",Tableau119[[#This Row],[Code PFI]],"-",Tableau119[[#This Row],[Compte Consignee]])</f>
        <v>FALSO---900383</v>
      </c>
      <c r="H5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ChennaiFALSOTANGER</v>
      </c>
      <c r="I588" s="434" t="str">
        <f>_xlfn.CONCAT(Tableau119[[#This Row],[ID]],"-",Tableau119[[#This Row],[Expiration Date]])</f>
        <v>212-45777</v>
      </c>
      <c r="J5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Chennai-ILN Chennai-212-FALSO-FALSO-FALSO--45777</v>
      </c>
      <c r="K588" s="119" t="str">
        <f ca="1">IF(COUNTIF(J:J,Tableau119[[#This Row],[Plant-ILN-shipper-POL-Carrier-POD-PFI]])=1,"Non","Oui")</f>
        <v>Non</v>
      </c>
      <c r="L588" s="128" t="str">
        <f>VLOOKUP(Tableau119[[#This Row],[Name Site]],Plant_AILN!A:D,4,FALSE)</f>
        <v>MOROCCO</v>
      </c>
      <c r="M588" s="415" t="s">
        <v>180</v>
      </c>
      <c r="N588" s="455">
        <f>VLOOKUP(Tableau119[[#This Row],[Name Site]],Plant_AILN!A:C,3,FALSE)</f>
        <v>900383</v>
      </c>
      <c r="O588" s="104">
        <f>VLOOKUP(Tableau119[[#This Row],[Compte Consignee]],Order!C:D,2,FALSE)</f>
        <v>7</v>
      </c>
      <c r="P588" s="126" t="s">
        <v>149</v>
      </c>
      <c r="Q588" s="366">
        <f>VLOOKUP(Tableau119[[#This Row],[Name ILN]],Plant_AILN!F:G,2,FALSE)</f>
        <v>2533780546</v>
      </c>
      <c r="R588" s="81">
        <f>VLOOKUP(Tableau119[[#This Row],[Compte ILN]],'DATA ILN'!D:I,6,FALSE)</f>
        <v>9</v>
      </c>
      <c r="S588" s="81" t="e">
        <f>IFERROR(VLOOKUP(Tableau119[[#This Row],[Key(Compte ILN - shipper - POL - plant)]],'DATA ILN'!A:J,10,FALSE),VLOOKUP(Tableau119[[#This Row],[Key(Compte ILN - shipper - POL)]],'DATA ILN'!B:J,9,FALSE))</f>
        <v>#N/A</v>
      </c>
      <c r="T588" s="81" t="e">
        <f>IFERROR(VLOOKUP(Tableau119[[#This Row],[Key(Compte ILN - shipper - POL - plant)]],'DATA ILN'!A:K,11,FALSE),VLOOKUP(Tableau119[[#This Row],[Key(Compte ILN - shipper - POL)]],'DATA ILN'!B:K,10,FALSE))</f>
        <v>#N/A</v>
      </c>
      <c r="U588" s="81" t="e">
        <f>IFERROR(VLOOKUP(Tableau119[[#This Row],[Key(Compte ILN - shipper - POL - plant)]],'DATA ILN'!A:L,12,FALSE),VLOOKUP(Tableau119[[#This Row],[Key(Compte ILN - shipper - POL)]],'DATA ILN'!B:L,11,FALSE))</f>
        <v>#N/A</v>
      </c>
      <c r="V588" s="81" t="e">
        <f>Tableau119[[#This Row],[Day ILN Order]]+Tableau119[[#This Row],[Delivery time to ILN/Shipper]]-1</f>
        <v>#N/A</v>
      </c>
      <c r="W588" s="81" t="e">
        <f>IFERROR(VLOOKUP(Tableau119[[#This Row],[Key(Compte ILN - shipper - POL - plant)]],'DATA ILN'!A:N,14,FALSE),VLOOKUP(Tableau119[[#This Row],[Key(Compte ILN - shipper - POL)]],'DATA ILN'!B:N,13,FALSE))</f>
        <v>#N/A</v>
      </c>
      <c r="X588" s="81" t="e">
        <f>IFERROR(VLOOKUP(Tableau119[[#This Row],[Key(Compte ILN - shipper - POL - plant)]],'DATA ILN'!A:P,16,FALSE),VLOOKUP(Tableau119[[#This Row],[Key(Compte ILN - shipper - POL)]],'DATA ILN'!B:P,15,FALSE))</f>
        <v>#N/A</v>
      </c>
      <c r="Y588" s="102" t="s">
        <v>149</v>
      </c>
      <c r="Z588" s="417">
        <f>IFERROR(VLOOKUP(Tableau119[[#This Row],[Name Shipper]],Plant_AILN!L:M,2,FALSE),0)</f>
        <v>2533780546</v>
      </c>
      <c r="AA588" s="416">
        <v>212</v>
      </c>
      <c r="AB588" s="396" t="b">
        <f>_xlfn.XLOOKUP(Tableau119[[#This Row],[Key(ID-date)]],'DATA BTO'!S:S,'DATA BTO'!E:E,FALSE)</f>
        <v>0</v>
      </c>
      <c r="AC588" s="3" t="b">
        <f>_xlfn.XLOOKUP(Tableau119[[#This Row],[Key(ID-date)]],'DATA BTO'!S:S,'DATA BTO'!F:F,FALSE)</f>
        <v>0</v>
      </c>
      <c r="AD588" s="50" t="b">
        <f>_xlfn.XLOOKUP(Tableau119[[#This Row],[Key(ID-date)]],'DATA BTO'!S:S,'DATA BTO'!G:G,FALSE)</f>
        <v>0</v>
      </c>
      <c r="AE588" s="50" t="b">
        <f>_xlfn.XLOOKUP(Tableau119[[#This Row],[Key(ID-date)]],'DATA BTO'!S:S,'DATA BTO'!H:H,FALSE)</f>
        <v>0</v>
      </c>
      <c r="AF588" s="447" t="e">
        <f>IF(Tableau119[[#This Row],[First Day to POL]]&lt;=Tableau119[[#This Row],[Day Cut Off]],Tableau119[[#This Row],[Day ETD]],Tableau119[[#This Row],[Day ETD]]+7)</f>
        <v>#N/A</v>
      </c>
      <c r="AG588" s="50" t="b">
        <f>_xlfn.XLOOKUP(Tableau119[[#This Row],[Key(ID-date)]],'DATA BTO'!S:S,'DATA BTO'!I:I,FALSE)</f>
        <v>0</v>
      </c>
      <c r="AH588" s="3" t="b">
        <f>_xlfn.XLOOKUP(Tableau119[[#This Row],[Key(ID-date)]],'DATA BTO'!S:S,'DATA BTO'!J:J,FALSE)</f>
        <v>0</v>
      </c>
      <c r="AI588" s="3" t="b">
        <f>_xlfn.XLOOKUP(Tableau119[[#This Row],[Key(ID-date)]],'DATA BTO'!S:S,'DATA BTO'!K:K,FALSE)</f>
        <v>0</v>
      </c>
      <c r="AJ588" s="50" t="b">
        <f>_xlfn.XLOOKUP(Tableau119[[#This Row],[Key(ID-date)]],'DATA BTO'!S:S,'DATA BTO'!L:L,FALSE)</f>
        <v>0</v>
      </c>
      <c r="AK588" s="53" t="b">
        <f>_xlfn.XLOOKUP(Tableau119[[#This Row],[Key(ID-date)]],'DATA BTO'!S:S,'DATA BTO'!N:N,FALSE)</f>
        <v>0</v>
      </c>
      <c r="AL588" s="54" t="e">
        <f>VLOOKUP(Tableau119[[#This Row],[Key(POD -PFI- Usine)]],'DATA Consignee'!A:F,6,FALSE)</f>
        <v>#N/A</v>
      </c>
      <c r="AM588" s="127"/>
      <c r="AN588" s="375" t="str">
        <f>IF(Tableau119[[#This Row],[Name PFI/CDD]]="","-",VLOOKUP(Tableau119[[#This Row],[Name PFI/CDD]],Plant_AILN!I:J,2,FALSE))</f>
        <v>-</v>
      </c>
      <c r="AO58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8" s="110" t="e">
        <f>VLOOKUP(Tableau119[[#This Row],[Key(POD -PFI- Usine)]],'DATA Consignee'!A:J,10,FALSE)</f>
        <v>#N/A</v>
      </c>
      <c r="AR588" s="81" t="e">
        <f>VLOOKUP(Tableau119[[#This Row],[Key(POD -PFI- Usine)]],'DATA Consignee'!A:N,14,FALSE)</f>
        <v>#N/A</v>
      </c>
      <c r="AS58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8" s="81">
        <f>Tableau119[[#This Row],[Transit time]]+Tableau119[[#This Row],[Time for security]]+Tableau119[[#This Row],[Time for security2 buffer]]</f>
        <v>0</v>
      </c>
      <c r="AV5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8" s="50" t="e">
        <f>Tableau119[[#This Row],[Leadtime SI2C]]+Tableau119[[#This Row],[First Receipt Days]]-Tableau119[[#This Row],[Day Customer Order]]+1</f>
        <v>#N/A</v>
      </c>
      <c r="AX588" s="119" t="e">
        <f>IF(Tableau119[[#This Row],[Name ILN]]&lt;&gt;"SFK Freight Forwarder",Tableau119[[#This Row],[Cust. Leadtime]],Tableau119[[#This Row],[Leadtime SI2C]])</f>
        <v>#N/A</v>
      </c>
      <c r="AY588" s="51" t="b">
        <f>_xlfn.XLOOKUP(Tableau119[[#This Row],[Key(ID-date)]],'DATA BTO'!S:S,'DATA BTO'!P:P,FALSE)</f>
        <v>0</v>
      </c>
      <c r="AZ588" s="388">
        <v>45777</v>
      </c>
      <c r="BA588" s="81"/>
    </row>
    <row r="589" spans="2:53">
      <c r="B589" s="446" t="str">
        <f>_xlfn.CONCAT(Tableau119[[#This Row],[Name ILN]],"-",Tableau119[[#This Row],[Name Shipper]],"-",Tableau119[[#This Row],[Name Site]])</f>
        <v>ILN Chennai-ILN Chennai-SOMACA</v>
      </c>
      <c r="C589" s="66" t="str">
        <f>_xlfn.CONCAT(Tableau119[[#This Row],[Compte ILN]],"-",Tableau119[[#This Row],[Compte Shipper]],"-",Tableau119[[#This Row],[POL]],"-",Tableau119[[#This Row],[Compte Consignee]])</f>
        <v>2533780546-2533780546-FALSO-90038200</v>
      </c>
      <c r="D589" s="66" t="str">
        <f>_xlfn.CONCAT(Tableau119[[#This Row],[Compte ILN]],"-",Tableau119[[#This Row],[Compte Shipper]],"-",Tableau119[[#This Row],[POL]])</f>
        <v>2533780546-2533780546-FALSO</v>
      </c>
      <c r="E589" s="130" t="str">
        <f>_xlfn.CONCAT(Tableau119[[#This Row],[POL]],"-",Tableau119[[#This Row],[Carrier]],"-",Tableau119[[#This Row],[POD]])</f>
        <v>FALSO-FALSO-FALSO</v>
      </c>
      <c r="F589" s="66" t="str">
        <f>_xlfn.CONCAT(Tableau119[[#This Row],[ID]],"-","Actif")</f>
        <v>212-Actif</v>
      </c>
      <c r="G589" s="66" t="str">
        <f>_xlfn.CONCAT(Tableau119[[#This Row],[POD]],"-",Tableau119[[#This Row],[Code PFI]],"-",Tableau119[[#This Row],[Compte Consignee]])</f>
        <v>FALSO---90038200</v>
      </c>
      <c r="H5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ChennaiFALSOSOMACA</v>
      </c>
      <c r="I589" s="434" t="str">
        <f>_xlfn.CONCAT(Tableau119[[#This Row],[ID]],"-",Tableau119[[#This Row],[Expiration Date]])</f>
        <v>212-45473</v>
      </c>
      <c r="J5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Chennai-ILN Chennai-212-FALSO-FALSO-FALSO--45473</v>
      </c>
      <c r="K589" s="119" t="str">
        <f ca="1">IF(COUNTIF(J:J,Tableau119[[#This Row],[Plant-ILN-shipper-POL-Carrier-POD-PFI]])=1,"Non","Oui")</f>
        <v>Non</v>
      </c>
      <c r="L589" s="128" t="str">
        <f>VLOOKUP(Tableau119[[#This Row],[Name Site]],Plant_AILN!A:D,4,FALSE)</f>
        <v>MOROCCO</v>
      </c>
      <c r="M589" s="411" t="s">
        <v>179</v>
      </c>
      <c r="N589" s="454">
        <f>VLOOKUP(Tableau119[[#This Row],[Name Site]],Plant_AILN!A:C,3,FALSE)</f>
        <v>90038200</v>
      </c>
      <c r="O589" s="55">
        <f>VLOOKUP(Tableau119[[#This Row],[Compte Consignee]],Order!C:D,2,FALSE)</f>
        <v>7</v>
      </c>
      <c r="P589" s="124" t="s">
        <v>149</v>
      </c>
      <c r="Q589" s="365">
        <f>VLOOKUP(Tableau119[[#This Row],[Name ILN]],Plant_AILN!F:G,2,FALSE)</f>
        <v>2533780546</v>
      </c>
      <c r="R589" s="50">
        <f>VLOOKUP(Tableau119[[#This Row],[Compte ILN]],'DATA ILN'!D:I,6,FALSE)</f>
        <v>9</v>
      </c>
      <c r="S589" s="50" t="e">
        <f>IFERROR(VLOOKUP(Tableau119[[#This Row],[Key(Compte ILN - shipper - POL - plant)]],'DATA ILN'!A:J,10,FALSE),VLOOKUP(Tableau119[[#This Row],[Key(Compte ILN - shipper - POL)]],'DATA ILN'!B:J,9,FALSE))</f>
        <v>#N/A</v>
      </c>
      <c r="T589" s="50" t="e">
        <f>IFERROR(VLOOKUP(Tableau119[[#This Row],[Key(Compte ILN - shipper - POL - plant)]],'DATA ILN'!A:K,11,FALSE),VLOOKUP(Tableau119[[#This Row],[Key(Compte ILN - shipper - POL)]],'DATA ILN'!B:K,10,FALSE))</f>
        <v>#N/A</v>
      </c>
      <c r="U589" s="50" t="e">
        <f>IFERROR(VLOOKUP(Tableau119[[#This Row],[Key(Compte ILN - shipper - POL - plant)]],'DATA ILN'!A:L,12,FALSE),VLOOKUP(Tableau119[[#This Row],[Key(Compte ILN - shipper - POL)]],'DATA ILN'!B:L,11,FALSE))</f>
        <v>#N/A</v>
      </c>
      <c r="V589" s="50" t="e">
        <f>Tableau119[[#This Row],[Day ILN Order]]+Tableau119[[#This Row],[Delivery time to ILN/Shipper]]-1</f>
        <v>#N/A</v>
      </c>
      <c r="W589" s="50" t="e">
        <f>IFERROR(VLOOKUP(Tableau119[[#This Row],[Key(Compte ILN - shipper - POL - plant)]],'DATA ILN'!A:N,14,FALSE),VLOOKUP(Tableau119[[#This Row],[Key(Compte ILN - shipper - POL)]],'DATA ILN'!B:N,13,FALSE))</f>
        <v>#N/A</v>
      </c>
      <c r="X589" s="50" t="e">
        <f>IFERROR(VLOOKUP(Tableau119[[#This Row],[Key(Compte ILN - shipper - POL - plant)]],'DATA ILN'!A:P,16,FALSE),VLOOKUP(Tableau119[[#This Row],[Key(Compte ILN - shipper - POL)]],'DATA ILN'!B:P,15,FALSE))</f>
        <v>#N/A</v>
      </c>
      <c r="Y589" s="284" t="s">
        <v>149</v>
      </c>
      <c r="Z589" s="430">
        <f>IFERROR(VLOOKUP(Tableau119[[#This Row],[Name Shipper]],Plant_AILN!L:M,2,FALSE),0)</f>
        <v>2533780546</v>
      </c>
      <c r="AA589" s="406">
        <v>212</v>
      </c>
      <c r="AB589" s="396" t="b">
        <f>_xlfn.XLOOKUP(Tableau119[[#This Row],[Key(ID-date)]],'DATA BTO'!S:S,'DATA BTO'!E:E,FALSE)</f>
        <v>0</v>
      </c>
      <c r="AC589" s="3" t="b">
        <f>_xlfn.XLOOKUP(Tableau119[[#This Row],[Key(ID-date)]],'DATA BTO'!S:S,'DATA BTO'!F:F,FALSE)</f>
        <v>0</v>
      </c>
      <c r="AD589" s="50" t="b">
        <f>_xlfn.XLOOKUP(Tableau119[[#This Row],[Key(ID-date)]],'DATA BTO'!S:S,'DATA BTO'!G:G,FALSE)</f>
        <v>0</v>
      </c>
      <c r="AE589" s="50" t="b">
        <f>_xlfn.XLOOKUP(Tableau119[[#This Row],[Key(ID-date)]],'DATA BTO'!S:S,'DATA BTO'!H:H,FALSE)</f>
        <v>0</v>
      </c>
      <c r="AF589" s="447" t="e">
        <f>IF(Tableau119[[#This Row],[First Day to POL]]&lt;=Tableau119[[#This Row],[Day Cut Off]],Tableau119[[#This Row],[Day ETD]],Tableau119[[#This Row],[Day ETD]]+7)</f>
        <v>#N/A</v>
      </c>
      <c r="AG589" s="50" t="b">
        <f>_xlfn.XLOOKUP(Tableau119[[#This Row],[Key(ID-date)]],'DATA BTO'!S:S,'DATA BTO'!I:I,FALSE)</f>
        <v>0</v>
      </c>
      <c r="AH589" s="3" t="b">
        <f>_xlfn.XLOOKUP(Tableau119[[#This Row],[Key(ID-date)]],'DATA BTO'!S:S,'DATA BTO'!J:J,FALSE)</f>
        <v>0</v>
      </c>
      <c r="AI589" s="3" t="b">
        <f>_xlfn.XLOOKUP(Tableau119[[#This Row],[Key(ID-date)]],'DATA BTO'!S:S,'DATA BTO'!K:K,FALSE)</f>
        <v>0</v>
      </c>
      <c r="AJ589" s="50" t="b">
        <f>_xlfn.XLOOKUP(Tableau119[[#This Row],[Key(ID-date)]],'DATA BTO'!S:S,'DATA BTO'!L:L,FALSE)</f>
        <v>0</v>
      </c>
      <c r="AK589" s="53" t="b">
        <f>_xlfn.XLOOKUP(Tableau119[[#This Row],[Key(ID-date)]],'DATA BTO'!S:S,'DATA BTO'!N:N,FALSE)</f>
        <v>0</v>
      </c>
      <c r="AL589" s="54" t="e">
        <f>VLOOKUP(Tableau119[[#This Row],[Key(POD -PFI- Usine)]],'DATA Consignee'!A:F,6,FALSE)</f>
        <v>#N/A</v>
      </c>
      <c r="AM589" s="127"/>
      <c r="AN589" s="376" t="str">
        <f>IF(Tableau119[[#This Row],[Name PFI/CDD]]="","-",VLOOKUP(Tableau119[[#This Row],[Name PFI/CDD]],Plant_AILN!I:J,2,FALSE))</f>
        <v>-</v>
      </c>
      <c r="AO5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89" s="2" t="e">
        <f>VLOOKUP(Tableau119[[#This Row],[Key(POD -PFI- Usine)]],'DATA Consignee'!A:J,10,FALSE)</f>
        <v>#N/A</v>
      </c>
      <c r="AR589" s="50" t="e">
        <f>VLOOKUP(Tableau119[[#This Row],[Key(POD -PFI- Usine)]],'DATA Consignee'!A:N,14,FALSE)</f>
        <v>#N/A</v>
      </c>
      <c r="AS5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89" s="50">
        <f>Tableau119[[#This Row],[Transit time]]+Tableau119[[#This Row],[Time for security]]+Tableau119[[#This Row],[Time for security2 buffer]]</f>
        <v>0</v>
      </c>
      <c r="AV5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89" s="50" t="e">
        <f>Tableau119[[#This Row],[Leadtime SI2C]]+Tableau119[[#This Row],[First Receipt Days]]-Tableau119[[#This Row],[Day Customer Order]]+1</f>
        <v>#N/A</v>
      </c>
      <c r="AX589" s="119" t="e">
        <f>IF(Tableau119[[#This Row],[Name ILN]]&lt;&gt;"SFK Freight Forwarder",Tableau119[[#This Row],[Cust. Leadtime]],Tableau119[[#This Row],[Leadtime SI2C]])</f>
        <v>#N/A</v>
      </c>
      <c r="AY589" s="51" t="b">
        <f>_xlfn.XLOOKUP(Tableau119[[#This Row],[Key(ID-date)]],'DATA BTO'!S:S,'DATA BTO'!P:P,FALSE)</f>
        <v>0</v>
      </c>
      <c r="AZ589" s="338">
        <v>45473</v>
      </c>
      <c r="BA589" s="50"/>
    </row>
    <row r="590" spans="2:53">
      <c r="B590" s="446" t="str">
        <f>_xlfn.CONCAT(Tableau119[[#This Row],[Name ILN]],"-",Tableau119[[#This Row],[Name Shipper]],"-",Tableau119[[#This Row],[Name Site]])</f>
        <v>ILN Chennai-ILN Chennai-TANGER</v>
      </c>
      <c r="C590" s="66" t="str">
        <f>_xlfn.CONCAT(Tableau119[[#This Row],[Compte ILN]],"-",Tableau119[[#This Row],[Compte Shipper]],"-",Tableau119[[#This Row],[POL]],"-",Tableau119[[#This Row],[Compte Consignee]])</f>
        <v>2533780546-2533780546-FALSO-900383</v>
      </c>
      <c r="D590" s="66" t="str">
        <f>_xlfn.CONCAT(Tableau119[[#This Row],[Compte ILN]],"-",Tableau119[[#This Row],[Compte Shipper]],"-",Tableau119[[#This Row],[POL]])</f>
        <v>2533780546-2533780546-FALSO</v>
      </c>
      <c r="E590" s="130" t="str">
        <f>_xlfn.CONCAT(Tableau119[[#This Row],[POL]],"-",Tableau119[[#This Row],[Carrier]],"-",Tableau119[[#This Row],[POD]])</f>
        <v>FALSO-FALSO-FALSO</v>
      </c>
      <c r="F590" s="66" t="str">
        <f>_xlfn.CONCAT(Tableau119[[#This Row],[ID]],"-","Actif")</f>
        <v>212-Actif</v>
      </c>
      <c r="G590" s="66" t="str">
        <f>_xlfn.CONCAT(Tableau119[[#This Row],[POD]],"-",Tableau119[[#This Row],[Code PFI]],"-",Tableau119[[#This Row],[Compte Consignee]])</f>
        <v>FALSO---900383</v>
      </c>
      <c r="H5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ChennaiFALSOTANGER</v>
      </c>
      <c r="I590" s="434" t="str">
        <f>_xlfn.CONCAT(Tableau119[[#This Row],[ID]],"-",Tableau119[[#This Row],[Expiration Date]])</f>
        <v>212-45473</v>
      </c>
      <c r="J5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Chennai-ILN Chennai-212-FALSO-FALSO-FALSO--45473</v>
      </c>
      <c r="K590" s="119" t="str">
        <f ca="1">IF(COUNTIF(J:J,Tableau119[[#This Row],[Plant-ILN-shipper-POL-Carrier-POD-PFI]])=1,"Non","Oui")</f>
        <v>Non</v>
      </c>
      <c r="L590" s="128" t="str">
        <f>VLOOKUP(Tableau119[[#This Row],[Name Site]],Plant_AILN!A:D,4,FALSE)</f>
        <v>MOROCCO</v>
      </c>
      <c r="M590" s="415" t="s">
        <v>180</v>
      </c>
      <c r="N590" s="455">
        <f>VLOOKUP(Tableau119[[#This Row],[Name Site]],Plant_AILN!A:C,3,FALSE)</f>
        <v>900383</v>
      </c>
      <c r="O590" s="104">
        <f>VLOOKUP(Tableau119[[#This Row],[Compte Consignee]],Order!C:D,2,FALSE)</f>
        <v>7</v>
      </c>
      <c r="P590" s="126" t="s">
        <v>149</v>
      </c>
      <c r="Q590" s="366">
        <f>VLOOKUP(Tableau119[[#This Row],[Name ILN]],Plant_AILN!F:G,2,FALSE)</f>
        <v>2533780546</v>
      </c>
      <c r="R590" s="81">
        <f>VLOOKUP(Tableau119[[#This Row],[Compte ILN]],'DATA ILN'!D:I,6,FALSE)</f>
        <v>9</v>
      </c>
      <c r="S590" s="81" t="e">
        <f>IFERROR(VLOOKUP(Tableau119[[#This Row],[Key(Compte ILN - shipper - POL - plant)]],'DATA ILN'!A:J,10,FALSE),VLOOKUP(Tableau119[[#This Row],[Key(Compte ILN - shipper - POL)]],'DATA ILN'!B:J,9,FALSE))</f>
        <v>#N/A</v>
      </c>
      <c r="T590" s="81" t="e">
        <f>IFERROR(VLOOKUP(Tableau119[[#This Row],[Key(Compte ILN - shipper - POL - plant)]],'DATA ILN'!A:K,11,FALSE),VLOOKUP(Tableau119[[#This Row],[Key(Compte ILN - shipper - POL)]],'DATA ILN'!B:K,10,FALSE))</f>
        <v>#N/A</v>
      </c>
      <c r="U590" s="81" t="e">
        <f>IFERROR(VLOOKUP(Tableau119[[#This Row],[Key(Compte ILN - shipper - POL - plant)]],'DATA ILN'!A:L,12,FALSE),VLOOKUP(Tableau119[[#This Row],[Key(Compte ILN - shipper - POL)]],'DATA ILN'!B:L,11,FALSE))</f>
        <v>#N/A</v>
      </c>
      <c r="V590" s="81" t="e">
        <f>Tableau119[[#This Row],[Day ILN Order]]+Tableau119[[#This Row],[Delivery time to ILN/Shipper]]-1</f>
        <v>#N/A</v>
      </c>
      <c r="W590" s="81" t="e">
        <f>IFERROR(VLOOKUP(Tableau119[[#This Row],[Key(Compte ILN - shipper - POL - plant)]],'DATA ILN'!A:N,14,FALSE),VLOOKUP(Tableau119[[#This Row],[Key(Compte ILN - shipper - POL)]],'DATA ILN'!B:N,13,FALSE))</f>
        <v>#N/A</v>
      </c>
      <c r="X590" s="81" t="e">
        <f>IFERROR(VLOOKUP(Tableau119[[#This Row],[Key(Compte ILN - shipper - POL - plant)]],'DATA ILN'!A:P,16,FALSE),VLOOKUP(Tableau119[[#This Row],[Key(Compte ILN - shipper - POL)]],'DATA ILN'!B:P,15,FALSE))</f>
        <v>#N/A</v>
      </c>
      <c r="Y590" s="102" t="s">
        <v>149</v>
      </c>
      <c r="Z590" s="417">
        <f>IFERROR(VLOOKUP(Tableau119[[#This Row],[Name Shipper]],Plant_AILN!L:M,2,FALSE),0)</f>
        <v>2533780546</v>
      </c>
      <c r="AA590" s="416">
        <v>212</v>
      </c>
      <c r="AB590" s="396" t="b">
        <f>_xlfn.XLOOKUP(Tableau119[[#This Row],[Key(ID-date)]],'DATA BTO'!S:S,'DATA BTO'!E:E,FALSE)</f>
        <v>0</v>
      </c>
      <c r="AC590" s="3" t="b">
        <f>_xlfn.XLOOKUP(Tableau119[[#This Row],[Key(ID-date)]],'DATA BTO'!S:S,'DATA BTO'!F:F,FALSE)</f>
        <v>0</v>
      </c>
      <c r="AD590" s="50" t="b">
        <f>_xlfn.XLOOKUP(Tableau119[[#This Row],[Key(ID-date)]],'DATA BTO'!S:S,'DATA BTO'!G:G,FALSE)</f>
        <v>0</v>
      </c>
      <c r="AE590" s="50" t="b">
        <f>_xlfn.XLOOKUP(Tableau119[[#This Row],[Key(ID-date)]],'DATA BTO'!S:S,'DATA BTO'!H:H,FALSE)</f>
        <v>0</v>
      </c>
      <c r="AF590" s="447" t="e">
        <f>IF(Tableau119[[#This Row],[First Day to POL]]&lt;=Tableau119[[#This Row],[Day Cut Off]],Tableau119[[#This Row],[Day ETD]],Tableau119[[#This Row],[Day ETD]]+7)</f>
        <v>#N/A</v>
      </c>
      <c r="AG590" s="50" t="b">
        <f>_xlfn.XLOOKUP(Tableau119[[#This Row],[Key(ID-date)]],'DATA BTO'!S:S,'DATA BTO'!I:I,FALSE)</f>
        <v>0</v>
      </c>
      <c r="AH590" s="3" t="b">
        <f>_xlfn.XLOOKUP(Tableau119[[#This Row],[Key(ID-date)]],'DATA BTO'!S:S,'DATA BTO'!J:J,FALSE)</f>
        <v>0</v>
      </c>
      <c r="AI590" s="3" t="b">
        <f>_xlfn.XLOOKUP(Tableau119[[#This Row],[Key(ID-date)]],'DATA BTO'!S:S,'DATA BTO'!K:K,FALSE)</f>
        <v>0</v>
      </c>
      <c r="AJ590" s="50" t="b">
        <f>_xlfn.XLOOKUP(Tableau119[[#This Row],[Key(ID-date)]],'DATA BTO'!S:S,'DATA BTO'!L:L,FALSE)</f>
        <v>0</v>
      </c>
      <c r="AK590" s="53" t="b">
        <f>_xlfn.XLOOKUP(Tableau119[[#This Row],[Key(ID-date)]],'DATA BTO'!S:S,'DATA BTO'!N:N,FALSE)</f>
        <v>0</v>
      </c>
      <c r="AL590" s="54" t="e">
        <f>VLOOKUP(Tableau119[[#This Row],[Key(POD -PFI- Usine)]],'DATA Consignee'!A:F,6,FALSE)</f>
        <v>#N/A</v>
      </c>
      <c r="AM590" s="127"/>
      <c r="AN590" s="375" t="str">
        <f>IF(Tableau119[[#This Row],[Name PFI/CDD]]="","-",VLOOKUP(Tableau119[[#This Row],[Name PFI/CDD]],Plant_AILN!I:J,2,FALSE))</f>
        <v>-</v>
      </c>
      <c r="AO59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0" s="110" t="e">
        <f>VLOOKUP(Tableau119[[#This Row],[Key(POD -PFI- Usine)]],'DATA Consignee'!A:J,10,FALSE)</f>
        <v>#N/A</v>
      </c>
      <c r="AR590" s="81" t="e">
        <f>VLOOKUP(Tableau119[[#This Row],[Key(POD -PFI- Usine)]],'DATA Consignee'!A:N,14,FALSE)</f>
        <v>#N/A</v>
      </c>
      <c r="AS59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0" s="81">
        <f>Tableau119[[#This Row],[Transit time]]+Tableau119[[#This Row],[Time for security]]+Tableau119[[#This Row],[Time for security2 buffer]]</f>
        <v>0</v>
      </c>
      <c r="AV5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0" s="50" t="e">
        <f>Tableau119[[#This Row],[Leadtime SI2C]]+Tableau119[[#This Row],[First Receipt Days]]-Tableau119[[#This Row],[Day Customer Order]]+1</f>
        <v>#N/A</v>
      </c>
      <c r="AX590" s="119" t="e">
        <f>IF(Tableau119[[#This Row],[Name ILN]]&lt;&gt;"SFK Freight Forwarder",Tableau119[[#This Row],[Cust. Leadtime]],Tableau119[[#This Row],[Leadtime SI2C]])</f>
        <v>#N/A</v>
      </c>
      <c r="AY590" s="51" t="b">
        <f>_xlfn.XLOOKUP(Tableau119[[#This Row],[Key(ID-date)]],'DATA BTO'!S:S,'DATA BTO'!P:P,FALSE)</f>
        <v>0</v>
      </c>
      <c r="AZ590" s="388">
        <v>45473</v>
      </c>
      <c r="BA590" s="81"/>
    </row>
    <row r="591" spans="2:53">
      <c r="B591" s="446" t="str">
        <f>_xlfn.CONCAT(Tableau119[[#This Row],[Name ILN]],"-",Tableau119[[#This Row],[Name Shipper]],"-",Tableau119[[#This Row],[Name Site]])</f>
        <v>ILN Chennai-ILN Chennai-SOMACA</v>
      </c>
      <c r="C591" s="66" t="str">
        <f>_xlfn.CONCAT(Tableau119[[#This Row],[Compte ILN]],"-",Tableau119[[#This Row],[Compte Shipper]],"-",Tableau119[[#This Row],[POL]],"-",Tableau119[[#This Row],[Compte Consignee]])</f>
        <v>2533780546-2533780546-FALSO-90038200</v>
      </c>
      <c r="D591" s="66" t="str">
        <f>_xlfn.CONCAT(Tableau119[[#This Row],[Compte ILN]],"-",Tableau119[[#This Row],[Compte Shipper]],"-",Tableau119[[#This Row],[POL]])</f>
        <v>2533780546-2533780546-FALSO</v>
      </c>
      <c r="E591" s="130" t="str">
        <f>_xlfn.CONCAT(Tableau119[[#This Row],[POL]],"-",Tableau119[[#This Row],[Carrier]],"-",Tableau119[[#This Row],[POD]])</f>
        <v>FALSO-FALSO-FALSO</v>
      </c>
      <c r="F591" s="66" t="str">
        <f>_xlfn.CONCAT(Tableau119[[#This Row],[ID]],"-","Actif")</f>
        <v>212-Actif</v>
      </c>
      <c r="G591" s="66" t="str">
        <f>_xlfn.CONCAT(Tableau119[[#This Row],[POD]],"-",Tableau119[[#This Row],[Code PFI]],"-",Tableau119[[#This Row],[Compte Consignee]])</f>
        <v>FALSO---90038200</v>
      </c>
      <c r="H5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ChennaiFALSOSOMACA</v>
      </c>
      <c r="I591" s="434" t="str">
        <f>_xlfn.CONCAT(Tableau119[[#This Row],[ID]],"-",Tableau119[[#This Row],[Expiration Date]])</f>
        <v>212-45412</v>
      </c>
      <c r="J5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Chennai-ILN Chennai-212-FALSO-FALSO-FALSO--45412</v>
      </c>
      <c r="K591" s="119" t="str">
        <f ca="1">IF(COUNTIF(J:J,Tableau119[[#This Row],[Plant-ILN-shipper-POL-Carrier-POD-PFI]])=1,"Non","Oui")</f>
        <v>Non</v>
      </c>
      <c r="L591" s="128" t="str">
        <f>VLOOKUP(Tableau119[[#This Row],[Name Site]],Plant_AILN!A:D,4,FALSE)</f>
        <v>MOROCCO</v>
      </c>
      <c r="M591" s="411" t="s">
        <v>179</v>
      </c>
      <c r="N591" s="454">
        <f>VLOOKUP(Tableau119[[#This Row],[Name Site]],Plant_AILN!A:C,3,FALSE)</f>
        <v>90038200</v>
      </c>
      <c r="O591" s="55">
        <f>VLOOKUP(Tableau119[[#This Row],[Compte Consignee]],Order!C:D,2,FALSE)</f>
        <v>7</v>
      </c>
      <c r="P591" s="124" t="s">
        <v>149</v>
      </c>
      <c r="Q591" s="365">
        <f>VLOOKUP(Tableau119[[#This Row],[Name ILN]],Plant_AILN!F:G,2,FALSE)</f>
        <v>2533780546</v>
      </c>
      <c r="R591" s="50">
        <f>VLOOKUP(Tableau119[[#This Row],[Compte ILN]],'DATA ILN'!D:I,6,FALSE)</f>
        <v>9</v>
      </c>
      <c r="S591" s="50" t="e">
        <f>IFERROR(VLOOKUP(Tableau119[[#This Row],[Key(Compte ILN - shipper - POL - plant)]],'DATA ILN'!A:J,10,FALSE),VLOOKUP(Tableau119[[#This Row],[Key(Compte ILN - shipper - POL)]],'DATA ILN'!B:J,9,FALSE))</f>
        <v>#N/A</v>
      </c>
      <c r="T591" s="50" t="e">
        <f>IFERROR(VLOOKUP(Tableau119[[#This Row],[Key(Compte ILN - shipper - POL - plant)]],'DATA ILN'!A:K,11,FALSE),VLOOKUP(Tableau119[[#This Row],[Key(Compte ILN - shipper - POL)]],'DATA ILN'!B:K,10,FALSE))</f>
        <v>#N/A</v>
      </c>
      <c r="U591" s="50" t="e">
        <f>IFERROR(VLOOKUP(Tableau119[[#This Row],[Key(Compte ILN - shipper - POL - plant)]],'DATA ILN'!A:L,12,FALSE),VLOOKUP(Tableau119[[#This Row],[Key(Compte ILN - shipper - POL)]],'DATA ILN'!B:L,11,FALSE))</f>
        <v>#N/A</v>
      </c>
      <c r="V591" s="50" t="e">
        <f>Tableau119[[#This Row],[Day ILN Order]]+Tableau119[[#This Row],[Delivery time to ILN/Shipper]]-1</f>
        <v>#N/A</v>
      </c>
      <c r="W591" s="50" t="e">
        <f>IFERROR(VLOOKUP(Tableau119[[#This Row],[Key(Compte ILN - shipper - POL - plant)]],'DATA ILN'!A:N,14,FALSE),VLOOKUP(Tableau119[[#This Row],[Key(Compte ILN - shipper - POL)]],'DATA ILN'!B:N,13,FALSE))</f>
        <v>#N/A</v>
      </c>
      <c r="X591" s="50" t="e">
        <f>IFERROR(VLOOKUP(Tableau119[[#This Row],[Key(Compte ILN - shipper - POL - plant)]],'DATA ILN'!A:P,16,FALSE),VLOOKUP(Tableau119[[#This Row],[Key(Compte ILN - shipper - POL)]],'DATA ILN'!B:P,15,FALSE))</f>
        <v>#N/A</v>
      </c>
      <c r="Y591" s="284" t="s">
        <v>149</v>
      </c>
      <c r="Z591" s="430">
        <f>IFERROR(VLOOKUP(Tableau119[[#This Row],[Name Shipper]],Plant_AILN!L:M,2,FALSE),0)</f>
        <v>2533780546</v>
      </c>
      <c r="AA591" s="406">
        <v>212</v>
      </c>
      <c r="AB591" s="396" t="b">
        <f>_xlfn.XLOOKUP(Tableau119[[#This Row],[Key(ID-date)]],'DATA BTO'!S:S,'DATA BTO'!E:E,FALSE)</f>
        <v>0</v>
      </c>
      <c r="AC591" s="3" t="b">
        <f>_xlfn.XLOOKUP(Tableau119[[#This Row],[Key(ID-date)]],'DATA BTO'!S:S,'DATA BTO'!F:F,FALSE)</f>
        <v>0</v>
      </c>
      <c r="AD591" s="50" t="b">
        <f>_xlfn.XLOOKUP(Tableau119[[#This Row],[Key(ID-date)]],'DATA BTO'!S:S,'DATA BTO'!G:G,FALSE)</f>
        <v>0</v>
      </c>
      <c r="AE591" s="50" t="b">
        <f>_xlfn.XLOOKUP(Tableau119[[#This Row],[Key(ID-date)]],'DATA BTO'!S:S,'DATA BTO'!H:H,FALSE)</f>
        <v>0</v>
      </c>
      <c r="AF591" s="447" t="e">
        <f>IF(Tableau119[[#This Row],[First Day to POL]]&lt;=Tableau119[[#This Row],[Day Cut Off]],Tableau119[[#This Row],[Day ETD]],Tableau119[[#This Row],[Day ETD]]+7)</f>
        <v>#N/A</v>
      </c>
      <c r="AG591" s="50" t="b">
        <f>_xlfn.XLOOKUP(Tableau119[[#This Row],[Key(ID-date)]],'DATA BTO'!S:S,'DATA BTO'!I:I,FALSE)</f>
        <v>0</v>
      </c>
      <c r="AH591" s="3" t="b">
        <f>_xlfn.XLOOKUP(Tableau119[[#This Row],[Key(ID-date)]],'DATA BTO'!S:S,'DATA BTO'!J:J,FALSE)</f>
        <v>0</v>
      </c>
      <c r="AI591" s="3" t="b">
        <f>_xlfn.XLOOKUP(Tableau119[[#This Row],[Key(ID-date)]],'DATA BTO'!S:S,'DATA BTO'!K:K,FALSE)</f>
        <v>0</v>
      </c>
      <c r="AJ591" s="50" t="b">
        <f>_xlfn.XLOOKUP(Tableau119[[#This Row],[Key(ID-date)]],'DATA BTO'!S:S,'DATA BTO'!L:L,FALSE)</f>
        <v>0</v>
      </c>
      <c r="AK591" s="53" t="b">
        <f>_xlfn.XLOOKUP(Tableau119[[#This Row],[Key(ID-date)]],'DATA BTO'!S:S,'DATA BTO'!N:N,FALSE)</f>
        <v>0</v>
      </c>
      <c r="AL591" s="54" t="e">
        <f>VLOOKUP(Tableau119[[#This Row],[Key(POD -PFI- Usine)]],'DATA Consignee'!A:F,6,FALSE)</f>
        <v>#N/A</v>
      </c>
      <c r="AM591" s="127"/>
      <c r="AN591" s="376" t="str">
        <f>IF(Tableau119[[#This Row],[Name PFI/CDD]]="","-",VLOOKUP(Tableau119[[#This Row],[Name PFI/CDD]],Plant_AILN!I:J,2,FALSE))</f>
        <v>-</v>
      </c>
      <c r="AO5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1" s="2" t="e">
        <f>VLOOKUP(Tableau119[[#This Row],[Key(POD -PFI- Usine)]],'DATA Consignee'!A:J,10,FALSE)</f>
        <v>#N/A</v>
      </c>
      <c r="AR591" s="50" t="e">
        <f>VLOOKUP(Tableau119[[#This Row],[Key(POD -PFI- Usine)]],'DATA Consignee'!A:N,14,FALSE)</f>
        <v>#N/A</v>
      </c>
      <c r="AS5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1" s="50">
        <f>Tableau119[[#This Row],[Transit time]]+Tableau119[[#This Row],[Time for security]]+Tableau119[[#This Row],[Time for security2 buffer]]</f>
        <v>0</v>
      </c>
      <c r="AV5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1" s="50" t="e">
        <f>Tableau119[[#This Row],[Leadtime SI2C]]+Tableau119[[#This Row],[First Receipt Days]]-Tableau119[[#This Row],[Day Customer Order]]+1</f>
        <v>#N/A</v>
      </c>
      <c r="AX591" s="119" t="e">
        <f>IF(Tableau119[[#This Row],[Name ILN]]&lt;&gt;"SFK Freight Forwarder",Tableau119[[#This Row],[Cust. Leadtime]],Tableau119[[#This Row],[Leadtime SI2C]])</f>
        <v>#N/A</v>
      </c>
      <c r="AY591" s="51" t="b">
        <f>_xlfn.XLOOKUP(Tableau119[[#This Row],[Key(ID-date)]],'DATA BTO'!S:S,'DATA BTO'!P:P,FALSE)</f>
        <v>0</v>
      </c>
      <c r="AZ591" s="338">
        <v>45412</v>
      </c>
      <c r="BA591" s="50"/>
    </row>
    <row r="592" spans="2:53">
      <c r="B592" s="446" t="str">
        <f>_xlfn.CONCAT(Tableau119[[#This Row],[Name ILN]],"-",Tableau119[[#This Row],[Name Shipper]],"-",Tableau119[[#This Row],[Name Site]])</f>
        <v>ILN Chennai-ILN Chennai-TANGER</v>
      </c>
      <c r="C592" s="66" t="str">
        <f>_xlfn.CONCAT(Tableau119[[#This Row],[Compte ILN]],"-",Tableau119[[#This Row],[Compte Shipper]],"-",Tableau119[[#This Row],[POL]],"-",Tableau119[[#This Row],[Compte Consignee]])</f>
        <v>2533780546-2533780546-FALSO-900383</v>
      </c>
      <c r="D592" s="66" t="str">
        <f>_xlfn.CONCAT(Tableau119[[#This Row],[Compte ILN]],"-",Tableau119[[#This Row],[Compte Shipper]],"-",Tableau119[[#This Row],[POL]])</f>
        <v>2533780546-2533780546-FALSO</v>
      </c>
      <c r="E592" s="130" t="str">
        <f>_xlfn.CONCAT(Tableau119[[#This Row],[POL]],"-",Tableau119[[#This Row],[Carrier]],"-",Tableau119[[#This Row],[POD]])</f>
        <v>FALSO-FALSO-FALSO</v>
      </c>
      <c r="F592" s="66" t="str">
        <f>_xlfn.CONCAT(Tableau119[[#This Row],[ID]],"-","Actif")</f>
        <v>212-Actif</v>
      </c>
      <c r="G592" s="66" t="str">
        <f>_xlfn.CONCAT(Tableau119[[#This Row],[POD]],"-",Tableau119[[#This Row],[Code PFI]],"-",Tableau119[[#This Row],[Compte Consignee]])</f>
        <v>FALSO---900383</v>
      </c>
      <c r="H5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ChennaiFALSOTANGER</v>
      </c>
      <c r="I592" s="434" t="str">
        <f>_xlfn.CONCAT(Tableau119[[#This Row],[ID]],"-",Tableau119[[#This Row],[Expiration Date]])</f>
        <v>212-45412</v>
      </c>
      <c r="J5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Chennai-ILN Chennai-212-FALSO-FALSO-FALSO--45412</v>
      </c>
      <c r="K592" s="119" t="str">
        <f ca="1">IF(COUNTIF(J:J,Tableau119[[#This Row],[Plant-ILN-shipper-POL-Carrier-POD-PFI]])=1,"Non","Oui")</f>
        <v>Non</v>
      </c>
      <c r="L592" s="128" t="str">
        <f>VLOOKUP(Tableau119[[#This Row],[Name Site]],Plant_AILN!A:D,4,FALSE)</f>
        <v>MOROCCO</v>
      </c>
      <c r="M592" s="415" t="s">
        <v>180</v>
      </c>
      <c r="N592" s="455">
        <f>VLOOKUP(Tableau119[[#This Row],[Name Site]],Plant_AILN!A:C,3,FALSE)</f>
        <v>900383</v>
      </c>
      <c r="O592" s="104">
        <f>VLOOKUP(Tableau119[[#This Row],[Compte Consignee]],Order!C:D,2,FALSE)</f>
        <v>7</v>
      </c>
      <c r="P592" s="126" t="s">
        <v>149</v>
      </c>
      <c r="Q592" s="366">
        <f>VLOOKUP(Tableau119[[#This Row],[Name ILN]],Plant_AILN!F:G,2,FALSE)</f>
        <v>2533780546</v>
      </c>
      <c r="R592" s="81">
        <f>VLOOKUP(Tableau119[[#This Row],[Compte ILN]],'DATA ILN'!D:I,6,FALSE)</f>
        <v>9</v>
      </c>
      <c r="S592" s="81" t="e">
        <f>IFERROR(VLOOKUP(Tableau119[[#This Row],[Key(Compte ILN - shipper - POL - plant)]],'DATA ILN'!A:J,10,FALSE),VLOOKUP(Tableau119[[#This Row],[Key(Compte ILN - shipper - POL)]],'DATA ILN'!B:J,9,FALSE))</f>
        <v>#N/A</v>
      </c>
      <c r="T592" s="81" t="e">
        <f>IFERROR(VLOOKUP(Tableau119[[#This Row],[Key(Compte ILN - shipper - POL - plant)]],'DATA ILN'!A:K,11,FALSE),VLOOKUP(Tableau119[[#This Row],[Key(Compte ILN - shipper - POL)]],'DATA ILN'!B:K,10,FALSE))</f>
        <v>#N/A</v>
      </c>
      <c r="U592" s="81" t="e">
        <f>IFERROR(VLOOKUP(Tableau119[[#This Row],[Key(Compte ILN - shipper - POL - plant)]],'DATA ILN'!A:L,12,FALSE),VLOOKUP(Tableau119[[#This Row],[Key(Compte ILN - shipper - POL)]],'DATA ILN'!B:L,11,FALSE))</f>
        <v>#N/A</v>
      </c>
      <c r="V592" s="81" t="e">
        <f>Tableau119[[#This Row],[Day ILN Order]]+Tableau119[[#This Row],[Delivery time to ILN/Shipper]]-1</f>
        <v>#N/A</v>
      </c>
      <c r="W592" s="81" t="e">
        <f>IFERROR(VLOOKUP(Tableau119[[#This Row],[Key(Compte ILN - shipper - POL - plant)]],'DATA ILN'!A:N,14,FALSE),VLOOKUP(Tableau119[[#This Row],[Key(Compte ILN - shipper - POL)]],'DATA ILN'!B:N,13,FALSE))</f>
        <v>#N/A</v>
      </c>
      <c r="X592" s="81" t="e">
        <f>IFERROR(VLOOKUP(Tableau119[[#This Row],[Key(Compte ILN - shipper - POL - plant)]],'DATA ILN'!A:P,16,FALSE),VLOOKUP(Tableau119[[#This Row],[Key(Compte ILN - shipper - POL)]],'DATA ILN'!B:P,15,FALSE))</f>
        <v>#N/A</v>
      </c>
      <c r="Y592" s="102" t="s">
        <v>149</v>
      </c>
      <c r="Z592" s="417">
        <f>IFERROR(VLOOKUP(Tableau119[[#This Row],[Name Shipper]],Plant_AILN!L:M,2,FALSE),0)</f>
        <v>2533780546</v>
      </c>
      <c r="AA592" s="416">
        <v>212</v>
      </c>
      <c r="AB592" s="396" t="b">
        <f>_xlfn.XLOOKUP(Tableau119[[#This Row],[Key(ID-date)]],'DATA BTO'!S:S,'DATA BTO'!E:E,FALSE)</f>
        <v>0</v>
      </c>
      <c r="AC592" s="3" t="b">
        <f>_xlfn.XLOOKUP(Tableau119[[#This Row],[Key(ID-date)]],'DATA BTO'!S:S,'DATA BTO'!F:F,FALSE)</f>
        <v>0</v>
      </c>
      <c r="AD592" s="50" t="b">
        <f>_xlfn.XLOOKUP(Tableau119[[#This Row],[Key(ID-date)]],'DATA BTO'!S:S,'DATA BTO'!G:G,FALSE)</f>
        <v>0</v>
      </c>
      <c r="AE592" s="50" t="b">
        <f>_xlfn.XLOOKUP(Tableau119[[#This Row],[Key(ID-date)]],'DATA BTO'!S:S,'DATA BTO'!H:H,FALSE)</f>
        <v>0</v>
      </c>
      <c r="AF592" s="447" t="e">
        <f>IF(Tableau119[[#This Row],[First Day to POL]]&lt;=Tableau119[[#This Row],[Day Cut Off]],Tableau119[[#This Row],[Day ETD]],Tableau119[[#This Row],[Day ETD]]+7)</f>
        <v>#N/A</v>
      </c>
      <c r="AG592" s="50" t="b">
        <f>_xlfn.XLOOKUP(Tableau119[[#This Row],[Key(ID-date)]],'DATA BTO'!S:S,'DATA BTO'!I:I,FALSE)</f>
        <v>0</v>
      </c>
      <c r="AH592" s="3" t="b">
        <f>_xlfn.XLOOKUP(Tableau119[[#This Row],[Key(ID-date)]],'DATA BTO'!S:S,'DATA BTO'!J:J,FALSE)</f>
        <v>0</v>
      </c>
      <c r="AI592" s="3" t="b">
        <f>_xlfn.XLOOKUP(Tableau119[[#This Row],[Key(ID-date)]],'DATA BTO'!S:S,'DATA BTO'!K:K,FALSE)</f>
        <v>0</v>
      </c>
      <c r="AJ592" s="50" t="b">
        <f>_xlfn.XLOOKUP(Tableau119[[#This Row],[Key(ID-date)]],'DATA BTO'!S:S,'DATA BTO'!L:L,FALSE)</f>
        <v>0</v>
      </c>
      <c r="AK592" s="53" t="b">
        <f>_xlfn.XLOOKUP(Tableau119[[#This Row],[Key(ID-date)]],'DATA BTO'!S:S,'DATA BTO'!N:N,FALSE)</f>
        <v>0</v>
      </c>
      <c r="AL592" s="54" t="e">
        <f>VLOOKUP(Tableau119[[#This Row],[Key(POD -PFI- Usine)]],'DATA Consignee'!A:F,6,FALSE)</f>
        <v>#N/A</v>
      </c>
      <c r="AM592" s="127"/>
      <c r="AN592" s="375" t="str">
        <f>IF(Tableau119[[#This Row],[Name PFI/CDD]]="","-",VLOOKUP(Tableau119[[#This Row],[Name PFI/CDD]],Plant_AILN!I:J,2,FALSE))</f>
        <v>-</v>
      </c>
      <c r="AO59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2" s="110" t="e">
        <f>VLOOKUP(Tableau119[[#This Row],[Key(POD -PFI- Usine)]],'DATA Consignee'!A:J,10,FALSE)</f>
        <v>#N/A</v>
      </c>
      <c r="AR592" s="81" t="e">
        <f>VLOOKUP(Tableau119[[#This Row],[Key(POD -PFI- Usine)]],'DATA Consignee'!A:N,14,FALSE)</f>
        <v>#N/A</v>
      </c>
      <c r="AS59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2" s="81">
        <f>Tableau119[[#This Row],[Transit time]]+Tableau119[[#This Row],[Time for security]]+Tableau119[[#This Row],[Time for security2 buffer]]</f>
        <v>0</v>
      </c>
      <c r="AV5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2" s="50" t="e">
        <f>Tableau119[[#This Row],[Leadtime SI2C]]+Tableau119[[#This Row],[First Receipt Days]]-Tableau119[[#This Row],[Day Customer Order]]+1</f>
        <v>#N/A</v>
      </c>
      <c r="AX592" s="119" t="e">
        <f>IF(Tableau119[[#This Row],[Name ILN]]&lt;&gt;"SFK Freight Forwarder",Tableau119[[#This Row],[Cust. Leadtime]],Tableau119[[#This Row],[Leadtime SI2C]])</f>
        <v>#N/A</v>
      </c>
      <c r="AY592" s="51" t="b">
        <f>_xlfn.XLOOKUP(Tableau119[[#This Row],[Key(ID-date)]],'DATA BTO'!S:S,'DATA BTO'!P:P,FALSE)</f>
        <v>0</v>
      </c>
      <c r="AZ592" s="388">
        <v>45412</v>
      </c>
      <c r="BA592" s="81"/>
    </row>
    <row r="593" spans="2:53">
      <c r="B593" s="66" t="str">
        <f>_xlfn.CONCAT(Tableau119[[#This Row],[Name ILN]],"-",Tableau119[[#This Row],[Name Shipper]],"-",Tableau119[[#This Row],[Name Site]])</f>
        <v>ILN VLL-SEVILLE-Nissan BRESIL</v>
      </c>
      <c r="C593" s="66" t="str">
        <f>_xlfn.CONCAT(Tableau119[[#This Row],[Compte ILN]],"-",Tableau119[[#This Row],[Compte Shipper]],"-",Tableau119[[#This Row],[POL]],"-",Tableau119[[#This Row],[Compte Consignee]])</f>
        <v>91018400-91017500-FALSO-28750500</v>
      </c>
      <c r="D593" s="66" t="str">
        <f>_xlfn.CONCAT(Tableau119[[#This Row],[Compte ILN]],"-",Tableau119[[#This Row],[Compte Shipper]],"-",Tableau119[[#This Row],[POL]])</f>
        <v>91018400-91017500-FALSO</v>
      </c>
      <c r="E593" s="130" t="str">
        <f>_xlfn.CONCAT(Tableau119[[#This Row],[POL]],"-",Tableau119[[#This Row],[Carrier]],"-",Tableau119[[#This Row],[POD]])</f>
        <v>FALSO-FALSO-FALSO</v>
      </c>
      <c r="F593" s="66" t="str">
        <f>_xlfn.CONCAT(Tableau119[[#This Row],[ID]],"-","Actif")</f>
        <v>225-Actif</v>
      </c>
      <c r="G593" s="66" t="str">
        <f>_xlfn.CONCAT(Tableau119[[#This Row],[POD]],"-",Tableau119[[#This Row],[Code PFI]],"-",Tableau119[[#This Row],[Compte Consignee]])</f>
        <v>FALSO---28750500</v>
      </c>
      <c r="H5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91017500FALSONissan BRESIL</v>
      </c>
      <c r="I593" s="434" t="str">
        <f>_xlfn.CONCAT(Tableau119[[#This Row],[ID]],"-",Tableau119[[#This Row],[Expiration Date]])</f>
        <v>225-46142</v>
      </c>
      <c r="J5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BRESIL-ILN VLL-SEVILLE-225-FALSO-FALSO-FALSO--46142</v>
      </c>
      <c r="K593" s="119" t="str">
        <f ca="1">IF(COUNTIF(J:J,Tableau119[[#This Row],[Plant-ILN-shipper-POL-Carrier-POD-PFI]])=1,"Non","Oui")</f>
        <v>Non</v>
      </c>
      <c r="L593" s="436" t="str">
        <f>VLOOKUP(Tableau119[[#This Row],[Name Site]],Plant_AILN!A:D,4,FALSE)</f>
        <v>BRAZIL</v>
      </c>
      <c r="M593" s="285" t="s">
        <v>762</v>
      </c>
      <c r="N593" s="454">
        <f>VLOOKUP(Tableau119[[#This Row],[Name Site]],Plant_AILN!A:C,3,FALSE)</f>
        <v>28750500</v>
      </c>
      <c r="O593" s="55">
        <f>IF(Tableau119[[#This Row],[Name PFI/CDD]]="PFI VLL",2,VLOOKUP(Tableau119[[#This Row],[Compte Consignee]],Order!C:D,2,FALSE))</f>
        <v>7</v>
      </c>
      <c r="P593" s="124" t="s">
        <v>151</v>
      </c>
      <c r="Q593" s="365">
        <f>VLOOKUP(Tableau119[[#This Row],[Name ILN]],Plant_AILN!F:G,2,FALSE)</f>
        <v>91018400</v>
      </c>
      <c r="R593" s="50">
        <f>VLOOKUP(Tableau119[[#This Row],[Compte ILN]],'DATA ILN'!D:I,6,FALSE)</f>
        <v>9</v>
      </c>
      <c r="S593" s="50" t="e">
        <f>IFERROR(VLOOKUP(Tableau119[[#This Row],[Key(Compte ILN - shipper - POL - plant)]],'DATA ILN'!A:J,10,FALSE),VLOOKUP(Tableau119[[#This Row],[Key(Compte ILN - shipper - POL)]],'DATA ILN'!B:J,9,FALSE))</f>
        <v>#N/A</v>
      </c>
      <c r="T593" s="50" t="e">
        <f>IFERROR(VLOOKUP(Tableau119[[#This Row],[Key(Compte ILN - shipper - POL - plant)]],'DATA ILN'!A:K,11,FALSE),VLOOKUP(Tableau119[[#This Row],[Key(Compte ILN - shipper - POL)]],'DATA ILN'!B:K,10,FALSE))</f>
        <v>#N/A</v>
      </c>
      <c r="U593" s="50" t="e">
        <f>IFERROR(VLOOKUP(Tableau119[[#This Row],[Key(Compte ILN - shipper - POL - plant)]],'DATA ILN'!A:L,12,FALSE),VLOOKUP(Tableau119[[#This Row],[Key(Compte ILN - shipper - POL)]],'DATA ILN'!B:L,11,FALSE))</f>
        <v>#N/A</v>
      </c>
      <c r="V593" s="50" t="e">
        <f>Tableau119[[#This Row],[Day ILN Order]]+Tableau119[[#This Row],[Delivery time to ILN/Shipper]]-1</f>
        <v>#N/A</v>
      </c>
      <c r="W593" s="50" t="e">
        <f>IFERROR(VLOOKUP(Tableau119[[#This Row],[Key(Compte ILN - shipper - POL - plant)]],'DATA ILN'!A:N,14,FALSE),VLOOKUP(Tableau119[[#This Row],[Key(Compte ILN - shipper - POL)]],'DATA ILN'!B:N,13,FALSE))</f>
        <v>#N/A</v>
      </c>
      <c r="X593" s="50" t="e">
        <f>IFERROR(VLOOKUP(Tableau119[[#This Row],[Key(Compte ILN - shipper - POL - plant)]],'DATA ILN'!A:P,16,FALSE),VLOOKUP(Tableau119[[#This Row],[Key(Compte ILN - shipper - POL)]],'DATA ILN'!B:P,15,FALSE))</f>
        <v>#N/A</v>
      </c>
      <c r="Y593" s="284" t="s">
        <v>156</v>
      </c>
      <c r="Z593" s="430">
        <f>IFERROR(VLOOKUP(Tableau119[[#This Row],[Name Shipper]],Plant_AILN!L:M,2,FALSE),0)</f>
        <v>91017500</v>
      </c>
      <c r="AA593" s="406">
        <v>225</v>
      </c>
      <c r="AB593" s="396" t="b">
        <f>_xlfn.XLOOKUP(Tableau119[[#This Row],[Key(ID-date)]],'DATA BTO'!S:S,'DATA BTO'!E:E,FALSE)</f>
        <v>0</v>
      </c>
      <c r="AC593" s="3" t="b">
        <f>_xlfn.XLOOKUP(Tableau119[[#This Row],[Key(ID-date)]],'DATA BTO'!S:S,'DATA BTO'!F:F,FALSE)</f>
        <v>0</v>
      </c>
      <c r="AD593" s="50" t="b">
        <f>_xlfn.XLOOKUP(Tableau119[[#This Row],[Key(ID-date)]],'DATA BTO'!S:S,'DATA BTO'!G:G,FALSE)</f>
        <v>0</v>
      </c>
      <c r="AE593" s="50" t="b">
        <f>_xlfn.XLOOKUP(Tableau119[[#This Row],[Key(ID-date)]],'DATA BTO'!S:S,'DATA BTO'!H:H,FALSE)</f>
        <v>0</v>
      </c>
      <c r="AF593" s="447" t="e">
        <f>IF(Tableau119[[#This Row],[First Day to POL]]&lt;=Tableau119[[#This Row],[Day Cut Off]],Tableau119[[#This Row],[Day ETD]],Tableau119[[#This Row],[Day ETD]]+7)</f>
        <v>#N/A</v>
      </c>
      <c r="AG593" s="50" t="b">
        <f>_xlfn.XLOOKUP(Tableau119[[#This Row],[Key(ID-date)]],'DATA BTO'!S:S,'DATA BTO'!I:I,FALSE)</f>
        <v>0</v>
      </c>
      <c r="AH593" s="3" t="b">
        <f>_xlfn.XLOOKUP(Tableau119[[#This Row],[Key(ID-date)]],'DATA BTO'!S:S,'DATA BTO'!J:J,FALSE)</f>
        <v>0</v>
      </c>
      <c r="AI593" s="3" t="b">
        <f>_xlfn.XLOOKUP(Tableau119[[#This Row],[Key(ID-date)]],'DATA BTO'!S:S,'DATA BTO'!K:K,FALSE)</f>
        <v>0</v>
      </c>
      <c r="AJ593" s="50" t="b">
        <f>_xlfn.XLOOKUP(Tableau119[[#This Row],[Key(ID-date)]],'DATA BTO'!S:S,'DATA BTO'!L:L,FALSE)</f>
        <v>0</v>
      </c>
      <c r="AK593" s="53" t="b">
        <f>_xlfn.XLOOKUP(Tableau119[[#This Row],[Key(ID-date)]],'DATA BTO'!S:S,'DATA BTO'!N:N,FALSE)</f>
        <v>0</v>
      </c>
      <c r="AL593" s="54" t="e">
        <f>VLOOKUP(Tableau119[[#This Row],[Key(POD -PFI- Usine)]],'DATA Consignee'!A:F,6,FALSE)</f>
        <v>#N/A</v>
      </c>
      <c r="AM593" s="127"/>
      <c r="AN593" s="376" t="str">
        <f>IF(Tableau119[[#This Row],[Name PFI/CDD]]="","-",VLOOKUP(Tableau119[[#This Row],[Name PFI/CDD]],Plant_AILN!I:J,2,FALSE))</f>
        <v>-</v>
      </c>
      <c r="AO5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3" s="2" t="e">
        <f>VLOOKUP(Tableau119[[#This Row],[Key(POD -PFI- Usine)]],'DATA Consignee'!A:J,10,FALSE)</f>
        <v>#N/A</v>
      </c>
      <c r="AR593" s="50" t="e">
        <f>VLOOKUP(Tableau119[[#This Row],[Key(POD -PFI- Usine)]],'DATA Consignee'!A:N,14,FALSE)</f>
        <v>#N/A</v>
      </c>
      <c r="AS5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3" s="50">
        <f>Tableau119[[#This Row],[Transit time]]+Tableau119[[#This Row],[Time for security]]+Tableau119[[#This Row],[Time for security2 buffer]]</f>
        <v>0</v>
      </c>
      <c r="AV5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3" s="50" t="e">
        <f>Tableau119[[#This Row],[Leadtime SI2C]]+Tableau119[[#This Row],[First Receipt Days]]-Tableau119[[#This Row],[Day Customer Order]]+1</f>
        <v>#N/A</v>
      </c>
      <c r="AX593" s="119" t="e">
        <f>IF(Tableau119[[#This Row],[Name ILN]]&lt;&gt;"SFK Freight Forwarder",Tableau119[[#This Row],[Cust. Leadtime]],Tableau119[[#This Row],[Leadtime SI2C]])</f>
        <v>#N/A</v>
      </c>
      <c r="AY593" s="51" t="b">
        <f>_xlfn.XLOOKUP(Tableau119[[#This Row],[Key(ID-date)]],'DATA BTO'!S:S,'DATA BTO'!P:P,FALSE)</f>
        <v>0</v>
      </c>
      <c r="AZ593" s="338">
        <v>46142</v>
      </c>
      <c r="BA593" s="50"/>
    </row>
    <row r="594" spans="2:53">
      <c r="B594" s="446" t="str">
        <f>_xlfn.CONCAT(Tableau119[[#This Row],[Name ILN]],"-",Tableau119[[#This Row],[Name Shipper]],"-",Tableau119[[#This Row],[Name Site]])</f>
        <v>ILN VLL-SEVILLE-Nissan BRESIL</v>
      </c>
      <c r="C594" s="66" t="str">
        <f>_xlfn.CONCAT(Tableau119[[#This Row],[Compte ILN]],"-",Tableau119[[#This Row],[Compte Shipper]],"-",Tableau119[[#This Row],[POL]],"-",Tableau119[[#This Row],[Compte Consignee]])</f>
        <v>91018400-91017500-FALSO-28750500</v>
      </c>
      <c r="D594" s="66" t="str">
        <f>_xlfn.CONCAT(Tableau119[[#This Row],[Compte ILN]],"-",Tableau119[[#This Row],[Compte Shipper]],"-",Tableau119[[#This Row],[POL]])</f>
        <v>91018400-91017500-FALSO</v>
      </c>
      <c r="E594" s="130" t="str">
        <f>_xlfn.CONCAT(Tableau119[[#This Row],[POL]],"-",Tableau119[[#This Row],[Carrier]],"-",Tableau119[[#This Row],[POD]])</f>
        <v>FALSO-FALSO-FALSO</v>
      </c>
      <c r="F594" s="66" t="str">
        <f>_xlfn.CONCAT(Tableau119[[#This Row],[ID]],"-","Actif")</f>
        <v>225-Actif</v>
      </c>
      <c r="G594" s="66" t="str">
        <f>_xlfn.CONCAT(Tableau119[[#This Row],[POD]],"-",Tableau119[[#This Row],[Code PFI]],"-",Tableau119[[#This Row],[Compte Consignee]])</f>
        <v>FALSO---28750500</v>
      </c>
      <c r="H5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91017500FALSONissan BRESIL</v>
      </c>
      <c r="I594" s="434" t="str">
        <f>_xlfn.CONCAT(Tableau119[[#This Row],[ID]],"-",Tableau119[[#This Row],[Expiration Date]])</f>
        <v>225-45777</v>
      </c>
      <c r="J5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BRESIL-ILN VLL-SEVILLE-225-FALSO-FALSO-FALSO--45777</v>
      </c>
      <c r="K594" s="119" t="str">
        <f ca="1">IF(COUNTIF(J:J,Tableau119[[#This Row],[Plant-ILN-shipper-POL-Carrier-POD-PFI]])=1,"Non","Oui")</f>
        <v>Non</v>
      </c>
      <c r="L594" s="128" t="str">
        <f>VLOOKUP(Tableau119[[#This Row],[Name Site]],Plant_AILN!A:D,4,FALSE)</f>
        <v>BRAZIL</v>
      </c>
      <c r="M594" s="415" t="s">
        <v>762</v>
      </c>
      <c r="N594" s="455">
        <f>VLOOKUP(Tableau119[[#This Row],[Name Site]],Plant_AILN!A:C,3,FALSE)</f>
        <v>28750500</v>
      </c>
      <c r="O594" s="104">
        <f>VLOOKUP(Tableau119[[#This Row],[Compte Consignee]],Order!C:D,2,FALSE)</f>
        <v>7</v>
      </c>
      <c r="P594" s="126" t="s">
        <v>151</v>
      </c>
      <c r="Q594" s="366">
        <f>VLOOKUP(Tableau119[[#This Row],[Name ILN]],Plant_AILN!F:G,2,FALSE)</f>
        <v>91018400</v>
      </c>
      <c r="R594" s="81">
        <f>VLOOKUP(Tableau119[[#This Row],[Compte ILN]],'DATA ILN'!D:I,6,FALSE)</f>
        <v>9</v>
      </c>
      <c r="S594" s="81" t="e">
        <f>IFERROR(VLOOKUP(Tableau119[[#This Row],[Key(Compte ILN - shipper - POL - plant)]],'DATA ILN'!A:J,10,FALSE),VLOOKUP(Tableau119[[#This Row],[Key(Compte ILN - shipper - POL)]],'DATA ILN'!B:J,9,FALSE))</f>
        <v>#N/A</v>
      </c>
      <c r="T594" s="81" t="e">
        <f>IFERROR(VLOOKUP(Tableau119[[#This Row],[Key(Compte ILN - shipper - POL - plant)]],'DATA ILN'!A:K,11,FALSE),VLOOKUP(Tableau119[[#This Row],[Key(Compte ILN - shipper - POL)]],'DATA ILN'!B:K,10,FALSE))</f>
        <v>#N/A</v>
      </c>
      <c r="U594" s="81" t="e">
        <f>IFERROR(VLOOKUP(Tableau119[[#This Row],[Key(Compte ILN - shipper - POL - plant)]],'DATA ILN'!A:L,12,FALSE),VLOOKUP(Tableau119[[#This Row],[Key(Compte ILN - shipper - POL)]],'DATA ILN'!B:L,11,FALSE))</f>
        <v>#N/A</v>
      </c>
      <c r="V594" s="81" t="e">
        <f>Tableau119[[#This Row],[Day ILN Order]]+Tableau119[[#This Row],[Delivery time to ILN/Shipper]]-1</f>
        <v>#N/A</v>
      </c>
      <c r="W594" s="81" t="e">
        <f>IFERROR(VLOOKUP(Tableau119[[#This Row],[Key(Compte ILN - shipper - POL - plant)]],'DATA ILN'!A:N,14,FALSE),VLOOKUP(Tableau119[[#This Row],[Key(Compte ILN - shipper - POL)]],'DATA ILN'!B:N,13,FALSE))</f>
        <v>#N/A</v>
      </c>
      <c r="X594" s="81" t="e">
        <f>IFERROR(VLOOKUP(Tableau119[[#This Row],[Key(Compte ILN - shipper - POL - plant)]],'DATA ILN'!A:P,16,FALSE),VLOOKUP(Tableau119[[#This Row],[Key(Compte ILN - shipper - POL)]],'DATA ILN'!B:P,15,FALSE))</f>
        <v>#N/A</v>
      </c>
      <c r="Y594" s="102" t="s">
        <v>156</v>
      </c>
      <c r="Z594" s="417">
        <f>IFERROR(VLOOKUP(Tableau119[[#This Row],[Name Shipper]],Plant_AILN!L:M,2,FALSE),0)</f>
        <v>91017500</v>
      </c>
      <c r="AA594" s="416">
        <v>225</v>
      </c>
      <c r="AB594" s="396" t="b">
        <f>_xlfn.XLOOKUP(Tableau119[[#This Row],[Key(ID-date)]],'DATA BTO'!S:S,'DATA BTO'!E:E,FALSE)</f>
        <v>0</v>
      </c>
      <c r="AC594" s="3" t="b">
        <f>_xlfn.XLOOKUP(Tableau119[[#This Row],[Key(ID-date)]],'DATA BTO'!S:S,'DATA BTO'!F:F,FALSE)</f>
        <v>0</v>
      </c>
      <c r="AD594" s="50" t="b">
        <f>_xlfn.XLOOKUP(Tableau119[[#This Row],[Key(ID-date)]],'DATA BTO'!S:S,'DATA BTO'!G:G,FALSE)</f>
        <v>0</v>
      </c>
      <c r="AE594" s="50" t="b">
        <f>_xlfn.XLOOKUP(Tableau119[[#This Row],[Key(ID-date)]],'DATA BTO'!S:S,'DATA BTO'!H:H,FALSE)</f>
        <v>0</v>
      </c>
      <c r="AF594" s="447" t="e">
        <f>IF(Tableau119[[#This Row],[First Day to POL]]&lt;=Tableau119[[#This Row],[Day Cut Off]],Tableau119[[#This Row],[Day ETD]],Tableau119[[#This Row],[Day ETD]]+7)</f>
        <v>#N/A</v>
      </c>
      <c r="AG594" s="50" t="b">
        <f>_xlfn.XLOOKUP(Tableau119[[#This Row],[Key(ID-date)]],'DATA BTO'!S:S,'DATA BTO'!I:I,FALSE)</f>
        <v>0</v>
      </c>
      <c r="AH594" s="3" t="b">
        <f>_xlfn.XLOOKUP(Tableau119[[#This Row],[Key(ID-date)]],'DATA BTO'!S:S,'DATA BTO'!J:J,FALSE)</f>
        <v>0</v>
      </c>
      <c r="AI594" s="3" t="b">
        <f>_xlfn.XLOOKUP(Tableau119[[#This Row],[Key(ID-date)]],'DATA BTO'!S:S,'DATA BTO'!K:K,FALSE)</f>
        <v>0</v>
      </c>
      <c r="AJ594" s="50" t="b">
        <f>_xlfn.XLOOKUP(Tableau119[[#This Row],[Key(ID-date)]],'DATA BTO'!S:S,'DATA BTO'!L:L,FALSE)</f>
        <v>0</v>
      </c>
      <c r="AK594" s="53" t="b">
        <f>_xlfn.XLOOKUP(Tableau119[[#This Row],[Key(ID-date)]],'DATA BTO'!S:S,'DATA BTO'!N:N,FALSE)</f>
        <v>0</v>
      </c>
      <c r="AL594" s="54" t="e">
        <f>VLOOKUP(Tableau119[[#This Row],[Key(POD -PFI- Usine)]],'DATA Consignee'!A:F,6,FALSE)</f>
        <v>#N/A</v>
      </c>
      <c r="AM594" s="127"/>
      <c r="AN594" s="375" t="str">
        <f>IF(Tableau119[[#This Row],[Name PFI/CDD]]="","-",VLOOKUP(Tableau119[[#This Row],[Name PFI/CDD]],Plant_AILN!I:J,2,FALSE))</f>
        <v>-</v>
      </c>
      <c r="AO59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4" s="110" t="e">
        <f>VLOOKUP(Tableau119[[#This Row],[Key(POD -PFI- Usine)]],'DATA Consignee'!A:J,10,FALSE)</f>
        <v>#N/A</v>
      </c>
      <c r="AR594" s="81" t="e">
        <f>VLOOKUP(Tableau119[[#This Row],[Key(POD -PFI- Usine)]],'DATA Consignee'!A:N,14,FALSE)</f>
        <v>#N/A</v>
      </c>
      <c r="AS59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4" s="81">
        <f>Tableau119[[#This Row],[Transit time]]+Tableau119[[#This Row],[Time for security]]+Tableau119[[#This Row],[Time for security2 buffer]]</f>
        <v>0</v>
      </c>
      <c r="AV5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4" s="50" t="e">
        <f>Tableau119[[#This Row],[Leadtime SI2C]]+Tableau119[[#This Row],[First Receipt Days]]-Tableau119[[#This Row],[Day Customer Order]]+1</f>
        <v>#N/A</v>
      </c>
      <c r="AX594" s="119" t="e">
        <f>IF(Tableau119[[#This Row],[Name ILN]]&lt;&gt;"SFK Freight Forwarder",Tableau119[[#This Row],[Cust. Leadtime]],Tableau119[[#This Row],[Leadtime SI2C]])</f>
        <v>#N/A</v>
      </c>
      <c r="AY594" s="51" t="b">
        <f>_xlfn.XLOOKUP(Tableau119[[#This Row],[Key(ID-date)]],'DATA BTO'!S:S,'DATA BTO'!P:P,FALSE)</f>
        <v>0</v>
      </c>
      <c r="AZ594" s="388">
        <v>45777</v>
      </c>
      <c r="BA594" s="81"/>
    </row>
    <row r="595" spans="2:53">
      <c r="B595" s="446" t="str">
        <f>_xlfn.CONCAT(Tableau119[[#This Row],[Name ILN]],"-",Tableau119[[#This Row],[Name Shipper]],"-",Tableau119[[#This Row],[Name Site]])</f>
        <v>ILN VLL-SEVILLE-Nissan BRESIL</v>
      </c>
      <c r="C595" s="66" t="str">
        <f>_xlfn.CONCAT(Tableau119[[#This Row],[Compte ILN]],"-",Tableau119[[#This Row],[Compte Shipper]],"-",Tableau119[[#This Row],[POL]],"-",Tableau119[[#This Row],[Compte Consignee]])</f>
        <v>91018400-91017500-FALSO-28750500</v>
      </c>
      <c r="D595" s="66" t="str">
        <f>_xlfn.CONCAT(Tableau119[[#This Row],[Compte ILN]],"-",Tableau119[[#This Row],[Compte Shipper]],"-",Tableau119[[#This Row],[POL]])</f>
        <v>91018400-91017500-FALSO</v>
      </c>
      <c r="E595" s="130" t="str">
        <f>_xlfn.CONCAT(Tableau119[[#This Row],[POL]],"-",Tableau119[[#This Row],[Carrier]],"-",Tableau119[[#This Row],[POD]])</f>
        <v>FALSO-FALSO-FALSO</v>
      </c>
      <c r="F595" s="66" t="str">
        <f>_xlfn.CONCAT(Tableau119[[#This Row],[ID]],"-","Actif")</f>
        <v>225-Actif</v>
      </c>
      <c r="G595" s="66" t="str">
        <f>_xlfn.CONCAT(Tableau119[[#This Row],[POD]],"-",Tableau119[[#This Row],[Code PFI]],"-",Tableau119[[#This Row],[Compte Consignee]])</f>
        <v>FALSO---28750500</v>
      </c>
      <c r="H5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91017500FALSONissan BRESIL</v>
      </c>
      <c r="I595" s="434" t="str">
        <f>_xlfn.CONCAT(Tableau119[[#This Row],[ID]],"-",Tableau119[[#This Row],[Expiration Date]])</f>
        <v>225-45473</v>
      </c>
      <c r="J5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BRESIL-ILN VLL-SEVILLE-225-FALSO-FALSO-FALSO--45473</v>
      </c>
      <c r="K595" s="119" t="str">
        <f ca="1">IF(COUNTIF(J:J,Tableau119[[#This Row],[Plant-ILN-shipper-POL-Carrier-POD-PFI]])=1,"Non","Oui")</f>
        <v>Non</v>
      </c>
      <c r="L595" s="128" t="str">
        <f>VLOOKUP(Tableau119[[#This Row],[Name Site]],Plant_AILN!A:D,4,FALSE)</f>
        <v>BRAZIL</v>
      </c>
      <c r="M595" s="411" t="s">
        <v>762</v>
      </c>
      <c r="N595" s="454">
        <f>VLOOKUP(Tableau119[[#This Row],[Name Site]],Plant_AILN!A:C,3,FALSE)</f>
        <v>28750500</v>
      </c>
      <c r="O595" s="55">
        <f>VLOOKUP(Tableau119[[#This Row],[Compte Consignee]],Order!C:D,2,FALSE)</f>
        <v>7</v>
      </c>
      <c r="P595" s="124" t="s">
        <v>151</v>
      </c>
      <c r="Q595" s="365">
        <f>VLOOKUP(Tableau119[[#This Row],[Name ILN]],Plant_AILN!F:G,2,FALSE)</f>
        <v>91018400</v>
      </c>
      <c r="R595" s="50">
        <f>VLOOKUP(Tableau119[[#This Row],[Compte ILN]],'DATA ILN'!D:I,6,FALSE)</f>
        <v>9</v>
      </c>
      <c r="S595" s="50" t="e">
        <f>IFERROR(VLOOKUP(Tableau119[[#This Row],[Key(Compte ILN - shipper - POL - plant)]],'DATA ILN'!A:J,10,FALSE),VLOOKUP(Tableau119[[#This Row],[Key(Compte ILN - shipper - POL)]],'DATA ILN'!B:J,9,FALSE))</f>
        <v>#N/A</v>
      </c>
      <c r="T595" s="50" t="e">
        <f>IFERROR(VLOOKUP(Tableau119[[#This Row],[Key(Compte ILN - shipper - POL - plant)]],'DATA ILN'!A:K,11,FALSE),VLOOKUP(Tableau119[[#This Row],[Key(Compte ILN - shipper - POL)]],'DATA ILN'!B:K,10,FALSE))</f>
        <v>#N/A</v>
      </c>
      <c r="U595" s="50" t="e">
        <f>IFERROR(VLOOKUP(Tableau119[[#This Row],[Key(Compte ILN - shipper - POL - plant)]],'DATA ILN'!A:L,12,FALSE),VLOOKUP(Tableau119[[#This Row],[Key(Compte ILN - shipper - POL)]],'DATA ILN'!B:L,11,FALSE))</f>
        <v>#N/A</v>
      </c>
      <c r="V595" s="50" t="e">
        <f>Tableau119[[#This Row],[Day ILN Order]]+Tableau119[[#This Row],[Delivery time to ILN/Shipper]]-1</f>
        <v>#N/A</v>
      </c>
      <c r="W595" s="50" t="e">
        <f>IFERROR(VLOOKUP(Tableau119[[#This Row],[Key(Compte ILN - shipper - POL - plant)]],'DATA ILN'!A:N,14,FALSE),VLOOKUP(Tableau119[[#This Row],[Key(Compte ILN - shipper - POL)]],'DATA ILN'!B:N,13,FALSE))</f>
        <v>#N/A</v>
      </c>
      <c r="X595" s="50" t="e">
        <f>IFERROR(VLOOKUP(Tableau119[[#This Row],[Key(Compte ILN - shipper - POL - plant)]],'DATA ILN'!A:P,16,FALSE),VLOOKUP(Tableau119[[#This Row],[Key(Compte ILN - shipper - POL)]],'DATA ILN'!B:P,15,FALSE))</f>
        <v>#N/A</v>
      </c>
      <c r="Y595" s="284" t="s">
        <v>156</v>
      </c>
      <c r="Z595" s="430">
        <f>IFERROR(VLOOKUP(Tableau119[[#This Row],[Name Shipper]],Plant_AILN!L:M,2,FALSE),0)</f>
        <v>91017500</v>
      </c>
      <c r="AA595" s="406">
        <v>225</v>
      </c>
      <c r="AB595" s="396" t="b">
        <f>_xlfn.XLOOKUP(Tableau119[[#This Row],[Key(ID-date)]],'DATA BTO'!S:S,'DATA BTO'!E:E,FALSE)</f>
        <v>0</v>
      </c>
      <c r="AC595" s="3" t="b">
        <f>_xlfn.XLOOKUP(Tableau119[[#This Row],[Key(ID-date)]],'DATA BTO'!S:S,'DATA BTO'!F:F,FALSE)</f>
        <v>0</v>
      </c>
      <c r="AD595" s="50" t="b">
        <f>_xlfn.XLOOKUP(Tableau119[[#This Row],[Key(ID-date)]],'DATA BTO'!S:S,'DATA BTO'!G:G,FALSE)</f>
        <v>0</v>
      </c>
      <c r="AE595" s="50" t="b">
        <f>_xlfn.XLOOKUP(Tableau119[[#This Row],[Key(ID-date)]],'DATA BTO'!S:S,'DATA BTO'!H:H,FALSE)</f>
        <v>0</v>
      </c>
      <c r="AF595" s="447" t="e">
        <f>IF(Tableau119[[#This Row],[First Day to POL]]&lt;=Tableau119[[#This Row],[Day Cut Off]],Tableau119[[#This Row],[Day ETD]],Tableau119[[#This Row],[Day ETD]]+7)</f>
        <v>#N/A</v>
      </c>
      <c r="AG595" s="50" t="b">
        <f>_xlfn.XLOOKUP(Tableau119[[#This Row],[Key(ID-date)]],'DATA BTO'!S:S,'DATA BTO'!I:I,FALSE)</f>
        <v>0</v>
      </c>
      <c r="AH595" s="3" t="b">
        <f>_xlfn.XLOOKUP(Tableau119[[#This Row],[Key(ID-date)]],'DATA BTO'!S:S,'DATA BTO'!J:J,FALSE)</f>
        <v>0</v>
      </c>
      <c r="AI595" s="3" t="b">
        <f>_xlfn.XLOOKUP(Tableau119[[#This Row],[Key(ID-date)]],'DATA BTO'!S:S,'DATA BTO'!K:K,FALSE)</f>
        <v>0</v>
      </c>
      <c r="AJ595" s="50" t="b">
        <f>_xlfn.XLOOKUP(Tableau119[[#This Row],[Key(ID-date)]],'DATA BTO'!S:S,'DATA BTO'!L:L,FALSE)</f>
        <v>0</v>
      </c>
      <c r="AK595" s="53" t="b">
        <f>_xlfn.XLOOKUP(Tableau119[[#This Row],[Key(ID-date)]],'DATA BTO'!S:S,'DATA BTO'!N:N,FALSE)</f>
        <v>0</v>
      </c>
      <c r="AL595" s="54" t="e">
        <f>VLOOKUP(Tableau119[[#This Row],[Key(POD -PFI- Usine)]],'DATA Consignee'!A:F,6,FALSE)</f>
        <v>#N/A</v>
      </c>
      <c r="AM595" s="127"/>
      <c r="AN595" s="376" t="str">
        <f>IF(Tableau119[[#This Row],[Name PFI/CDD]]="","-",VLOOKUP(Tableau119[[#This Row],[Name PFI/CDD]],Plant_AILN!I:J,2,FALSE))</f>
        <v>-</v>
      </c>
      <c r="AO59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5" s="2" t="e">
        <f>VLOOKUP(Tableau119[[#This Row],[Key(POD -PFI- Usine)]],'DATA Consignee'!A:J,10,FALSE)</f>
        <v>#N/A</v>
      </c>
      <c r="AR595" s="50" t="e">
        <f>VLOOKUP(Tableau119[[#This Row],[Key(POD -PFI- Usine)]],'DATA Consignee'!A:N,14,FALSE)</f>
        <v>#N/A</v>
      </c>
      <c r="AS59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5" s="50">
        <f>Tableau119[[#This Row],[Transit time]]+Tableau119[[#This Row],[Time for security]]+Tableau119[[#This Row],[Time for security2 buffer]]</f>
        <v>0</v>
      </c>
      <c r="AV5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5" s="50" t="e">
        <f>Tableau119[[#This Row],[Leadtime SI2C]]+Tableau119[[#This Row],[First Receipt Days]]-Tableau119[[#This Row],[Day Customer Order]]+1</f>
        <v>#N/A</v>
      </c>
      <c r="AX595" s="119" t="e">
        <f>IF(Tableau119[[#This Row],[Name ILN]]&lt;&gt;"SFK Freight Forwarder",Tableau119[[#This Row],[Cust. Leadtime]],Tableau119[[#This Row],[Leadtime SI2C]])</f>
        <v>#N/A</v>
      </c>
      <c r="AY595" s="51" t="b">
        <f>_xlfn.XLOOKUP(Tableau119[[#This Row],[Key(ID-date)]],'DATA BTO'!S:S,'DATA BTO'!P:P,FALSE)</f>
        <v>0</v>
      </c>
      <c r="AZ595" s="338">
        <v>45473</v>
      </c>
      <c r="BA595" s="50"/>
    </row>
    <row r="596" spans="2:53">
      <c r="B596" s="446" t="str">
        <f>_xlfn.CONCAT(Tableau119[[#This Row],[Name ILN]],"-",Tableau119[[#This Row],[Name Shipper]],"-",Tableau119[[#This Row],[Name Site]])</f>
        <v>ILN VLL-SEVILLE-Nissan BRESIL</v>
      </c>
      <c r="C596" s="66" t="str">
        <f>_xlfn.CONCAT(Tableau119[[#This Row],[Compte ILN]],"-",Tableau119[[#This Row],[Compte Shipper]],"-",Tableau119[[#This Row],[POL]],"-",Tableau119[[#This Row],[Compte Consignee]])</f>
        <v>91018400-91017500-FALSO-28750500</v>
      </c>
      <c r="D596" s="66" t="str">
        <f>_xlfn.CONCAT(Tableau119[[#This Row],[Compte ILN]],"-",Tableau119[[#This Row],[Compte Shipper]],"-",Tableau119[[#This Row],[POL]])</f>
        <v>91018400-91017500-FALSO</v>
      </c>
      <c r="E596" s="130" t="str">
        <f>_xlfn.CONCAT(Tableau119[[#This Row],[POL]],"-",Tableau119[[#This Row],[Carrier]],"-",Tableau119[[#This Row],[POD]])</f>
        <v>FALSO-FALSO-FALSO</v>
      </c>
      <c r="F596" s="66" t="str">
        <f>_xlfn.CONCAT(Tableau119[[#This Row],[ID]],"-","Actif")</f>
        <v>225-Actif</v>
      </c>
      <c r="G596" s="66" t="str">
        <f>_xlfn.CONCAT(Tableau119[[#This Row],[POD]],"-",Tableau119[[#This Row],[Code PFI]],"-",Tableau119[[#This Row],[Compte Consignee]])</f>
        <v>FALSO---28750500</v>
      </c>
      <c r="H5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91017500FALSONissan BRESIL</v>
      </c>
      <c r="I596" s="434" t="str">
        <f>_xlfn.CONCAT(Tableau119[[#This Row],[ID]],"-",Tableau119[[#This Row],[Expiration Date]])</f>
        <v>225-45412</v>
      </c>
      <c r="J5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BRESIL-ILN VLL-SEVILLE-225-FALSO-FALSO-FALSO--45412</v>
      </c>
      <c r="K596" s="119" t="str">
        <f ca="1">IF(COUNTIF(J:J,Tableau119[[#This Row],[Plant-ILN-shipper-POL-Carrier-POD-PFI]])=1,"Non","Oui")</f>
        <v>Non</v>
      </c>
      <c r="L596" s="128" t="str">
        <f>VLOOKUP(Tableau119[[#This Row],[Name Site]],Plant_AILN!A:D,4,FALSE)</f>
        <v>BRAZIL</v>
      </c>
      <c r="M596" s="415" t="s">
        <v>762</v>
      </c>
      <c r="N596" s="455">
        <f>VLOOKUP(Tableau119[[#This Row],[Name Site]],Plant_AILN!A:C,3,FALSE)</f>
        <v>28750500</v>
      </c>
      <c r="O596" s="104">
        <f>VLOOKUP(Tableau119[[#This Row],[Compte Consignee]],Order!C:D,2,FALSE)</f>
        <v>7</v>
      </c>
      <c r="P596" s="126" t="s">
        <v>151</v>
      </c>
      <c r="Q596" s="366">
        <f>VLOOKUP(Tableau119[[#This Row],[Name ILN]],Plant_AILN!F:G,2,FALSE)</f>
        <v>91018400</v>
      </c>
      <c r="R596" s="81">
        <f>VLOOKUP(Tableau119[[#This Row],[Compte ILN]],'DATA ILN'!D:I,6,FALSE)</f>
        <v>9</v>
      </c>
      <c r="S596" s="81" t="e">
        <f>IFERROR(VLOOKUP(Tableau119[[#This Row],[Key(Compte ILN - shipper - POL - plant)]],'DATA ILN'!A:J,10,FALSE),VLOOKUP(Tableau119[[#This Row],[Key(Compte ILN - shipper - POL)]],'DATA ILN'!B:J,9,FALSE))</f>
        <v>#N/A</v>
      </c>
      <c r="T596" s="81" t="e">
        <f>IFERROR(VLOOKUP(Tableau119[[#This Row],[Key(Compte ILN - shipper - POL - plant)]],'DATA ILN'!A:K,11,FALSE),VLOOKUP(Tableau119[[#This Row],[Key(Compte ILN - shipper - POL)]],'DATA ILN'!B:K,10,FALSE))</f>
        <v>#N/A</v>
      </c>
      <c r="U596" s="81" t="e">
        <f>IFERROR(VLOOKUP(Tableau119[[#This Row],[Key(Compte ILN - shipper - POL - plant)]],'DATA ILN'!A:L,12,FALSE),VLOOKUP(Tableau119[[#This Row],[Key(Compte ILN - shipper - POL)]],'DATA ILN'!B:L,11,FALSE))</f>
        <v>#N/A</v>
      </c>
      <c r="V596" s="81" t="e">
        <f>Tableau119[[#This Row],[Day ILN Order]]+Tableau119[[#This Row],[Delivery time to ILN/Shipper]]-1</f>
        <v>#N/A</v>
      </c>
      <c r="W596" s="81" t="e">
        <f>IFERROR(VLOOKUP(Tableau119[[#This Row],[Key(Compte ILN - shipper - POL - plant)]],'DATA ILN'!A:N,14,FALSE),VLOOKUP(Tableau119[[#This Row],[Key(Compte ILN - shipper - POL)]],'DATA ILN'!B:N,13,FALSE))</f>
        <v>#N/A</v>
      </c>
      <c r="X596" s="81" t="e">
        <f>IFERROR(VLOOKUP(Tableau119[[#This Row],[Key(Compte ILN - shipper - POL - plant)]],'DATA ILN'!A:P,16,FALSE),VLOOKUP(Tableau119[[#This Row],[Key(Compte ILN - shipper - POL)]],'DATA ILN'!B:P,15,FALSE))</f>
        <v>#N/A</v>
      </c>
      <c r="Y596" s="102" t="s">
        <v>156</v>
      </c>
      <c r="Z596" s="417">
        <f>IFERROR(VLOOKUP(Tableau119[[#This Row],[Name Shipper]],Plant_AILN!L:M,2,FALSE),0)</f>
        <v>91017500</v>
      </c>
      <c r="AA596" s="416">
        <v>225</v>
      </c>
      <c r="AB596" s="396" t="b">
        <f>_xlfn.XLOOKUP(Tableau119[[#This Row],[Key(ID-date)]],'DATA BTO'!S:S,'DATA BTO'!E:E,FALSE)</f>
        <v>0</v>
      </c>
      <c r="AC596" s="3" t="b">
        <f>_xlfn.XLOOKUP(Tableau119[[#This Row],[Key(ID-date)]],'DATA BTO'!S:S,'DATA BTO'!F:F,FALSE)</f>
        <v>0</v>
      </c>
      <c r="AD596" s="50" t="b">
        <f>_xlfn.XLOOKUP(Tableau119[[#This Row],[Key(ID-date)]],'DATA BTO'!S:S,'DATA BTO'!G:G,FALSE)</f>
        <v>0</v>
      </c>
      <c r="AE596" s="50" t="b">
        <f>_xlfn.XLOOKUP(Tableau119[[#This Row],[Key(ID-date)]],'DATA BTO'!S:S,'DATA BTO'!H:H,FALSE)</f>
        <v>0</v>
      </c>
      <c r="AF596" s="447" t="e">
        <f>IF(Tableau119[[#This Row],[First Day to POL]]&lt;=Tableau119[[#This Row],[Day Cut Off]],Tableau119[[#This Row],[Day ETD]],Tableau119[[#This Row],[Day ETD]]+7)</f>
        <v>#N/A</v>
      </c>
      <c r="AG596" s="50" t="b">
        <f>_xlfn.XLOOKUP(Tableau119[[#This Row],[Key(ID-date)]],'DATA BTO'!S:S,'DATA BTO'!I:I,FALSE)</f>
        <v>0</v>
      </c>
      <c r="AH596" s="3" t="b">
        <f>_xlfn.XLOOKUP(Tableau119[[#This Row],[Key(ID-date)]],'DATA BTO'!S:S,'DATA BTO'!J:J,FALSE)</f>
        <v>0</v>
      </c>
      <c r="AI596" s="3" t="b">
        <f>_xlfn.XLOOKUP(Tableau119[[#This Row],[Key(ID-date)]],'DATA BTO'!S:S,'DATA BTO'!K:K,FALSE)</f>
        <v>0</v>
      </c>
      <c r="AJ596" s="50" t="b">
        <f>_xlfn.XLOOKUP(Tableau119[[#This Row],[Key(ID-date)]],'DATA BTO'!S:S,'DATA BTO'!L:L,FALSE)</f>
        <v>0</v>
      </c>
      <c r="AK596" s="53" t="b">
        <f>_xlfn.XLOOKUP(Tableau119[[#This Row],[Key(ID-date)]],'DATA BTO'!S:S,'DATA BTO'!N:N,FALSE)</f>
        <v>0</v>
      </c>
      <c r="AL596" s="54" t="e">
        <f>VLOOKUP(Tableau119[[#This Row],[Key(POD -PFI- Usine)]],'DATA Consignee'!A:F,6,FALSE)</f>
        <v>#N/A</v>
      </c>
      <c r="AM596" s="127"/>
      <c r="AN596" s="375" t="str">
        <f>IF(Tableau119[[#This Row],[Name PFI/CDD]]="","-",VLOOKUP(Tableau119[[#This Row],[Name PFI/CDD]],Plant_AILN!I:J,2,FALSE))</f>
        <v>-</v>
      </c>
      <c r="AO59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6" s="110" t="e">
        <f>VLOOKUP(Tableau119[[#This Row],[Key(POD -PFI- Usine)]],'DATA Consignee'!A:J,10,FALSE)</f>
        <v>#N/A</v>
      </c>
      <c r="AR596" s="81" t="e">
        <f>VLOOKUP(Tableau119[[#This Row],[Key(POD -PFI- Usine)]],'DATA Consignee'!A:N,14,FALSE)</f>
        <v>#N/A</v>
      </c>
      <c r="AS59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6" s="81">
        <f>Tableau119[[#This Row],[Transit time]]+Tableau119[[#This Row],[Time for security]]+Tableau119[[#This Row],[Time for security2 buffer]]</f>
        <v>0</v>
      </c>
      <c r="AV5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6" s="50" t="e">
        <f>Tableau119[[#This Row],[Leadtime SI2C]]+Tableau119[[#This Row],[First Receipt Days]]-Tableau119[[#This Row],[Day Customer Order]]+1</f>
        <v>#N/A</v>
      </c>
      <c r="AX596" s="119" t="e">
        <f>IF(Tableau119[[#This Row],[Name ILN]]&lt;&gt;"SFK Freight Forwarder",Tableau119[[#This Row],[Cust. Leadtime]],Tableau119[[#This Row],[Leadtime SI2C]])</f>
        <v>#N/A</v>
      </c>
      <c r="AY596" s="51" t="b">
        <f>_xlfn.XLOOKUP(Tableau119[[#This Row],[Key(ID-date)]],'DATA BTO'!S:S,'DATA BTO'!P:P,FALSE)</f>
        <v>0</v>
      </c>
      <c r="AZ596" s="388">
        <v>45412</v>
      </c>
      <c r="BA596" s="81"/>
    </row>
    <row r="597" spans="2:53">
      <c r="B597" s="446" t="str">
        <f>_xlfn.CONCAT(Tableau119[[#This Row],[Name ILN]],"-",Tableau119[[#This Row],[Name Shipper]],"-",Tableau119[[#This Row],[Name Site]])</f>
        <v>ILN VLL-SEVILLE-Nissan BRESIL</v>
      </c>
      <c r="C597" s="66" t="str">
        <f>_xlfn.CONCAT(Tableau119[[#This Row],[Compte ILN]],"-",Tableau119[[#This Row],[Compte Shipper]],"-",Tableau119[[#This Row],[POL]],"-",Tableau119[[#This Row],[Compte Consignee]])</f>
        <v>91018400-91017500-FALSO-28750500</v>
      </c>
      <c r="D597" s="66" t="str">
        <f>_xlfn.CONCAT(Tableau119[[#This Row],[Compte ILN]],"-",Tableau119[[#This Row],[Compte Shipper]],"-",Tableau119[[#This Row],[POL]])</f>
        <v>91018400-91017500-FALSO</v>
      </c>
      <c r="E597" s="130" t="str">
        <f>_xlfn.CONCAT(Tableau119[[#This Row],[POL]],"-",Tableau119[[#This Row],[Carrier]],"-",Tableau119[[#This Row],[POD]])</f>
        <v>FALSO-FALSO-FALSO</v>
      </c>
      <c r="F597" s="66" t="str">
        <f>_xlfn.CONCAT(Tableau119[[#This Row],[ID]],"-","Actif")</f>
        <v>225-Actif</v>
      </c>
      <c r="G597" s="66" t="str">
        <f>_xlfn.CONCAT(Tableau119[[#This Row],[POD]],"-",Tableau119[[#This Row],[Code PFI]],"-",Tableau119[[#This Row],[Compte Consignee]])</f>
        <v>FALSO---28750500</v>
      </c>
      <c r="H5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91017500FALSONissan BRESIL</v>
      </c>
      <c r="I597" s="434" t="str">
        <f>_xlfn.CONCAT(Tableau119[[#This Row],[ID]],"-",Tableau119[[#This Row],[Expiration Date]])</f>
        <v>225-45382</v>
      </c>
      <c r="J5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Nissan BRESIL-ILN VLL-SEVILLE-225-FALSO-FALSO-FALSO--45382</v>
      </c>
      <c r="K597" s="119" t="str">
        <f ca="1">IF(COUNTIF(J:J,Tableau119[[#This Row],[Plant-ILN-shipper-POL-Carrier-POD-PFI]])=1,"Non","Oui")</f>
        <v>Non</v>
      </c>
      <c r="L597" s="128" t="str">
        <f>VLOOKUP(Tableau119[[#This Row],[Name Site]],Plant_AILN!A:D,4,FALSE)</f>
        <v>BRAZIL</v>
      </c>
      <c r="M597" s="411" t="s">
        <v>762</v>
      </c>
      <c r="N597" s="454">
        <f>VLOOKUP(Tableau119[[#This Row],[Name Site]],Plant_AILN!A:C,3,FALSE)</f>
        <v>28750500</v>
      </c>
      <c r="O597" s="55">
        <f>VLOOKUP(Tableau119[[#This Row],[Compte Consignee]],Order!C:D,2,FALSE)</f>
        <v>7</v>
      </c>
      <c r="P597" s="124" t="s">
        <v>151</v>
      </c>
      <c r="Q597" s="365">
        <f>VLOOKUP(Tableau119[[#This Row],[Name ILN]],Plant_AILN!F:G,2,FALSE)</f>
        <v>91018400</v>
      </c>
      <c r="R597" s="50">
        <f>VLOOKUP(Tableau119[[#This Row],[Compte ILN]],'DATA ILN'!D:I,6,FALSE)</f>
        <v>9</v>
      </c>
      <c r="S597" s="50" t="e">
        <f>IFERROR(VLOOKUP(Tableau119[[#This Row],[Key(Compte ILN - shipper - POL - plant)]],'DATA ILN'!A:J,10,FALSE),VLOOKUP(Tableau119[[#This Row],[Key(Compte ILN - shipper - POL)]],'DATA ILN'!B:J,9,FALSE))</f>
        <v>#N/A</v>
      </c>
      <c r="T597" s="50" t="e">
        <f>IFERROR(VLOOKUP(Tableau119[[#This Row],[Key(Compte ILN - shipper - POL - plant)]],'DATA ILN'!A:K,11,FALSE),VLOOKUP(Tableau119[[#This Row],[Key(Compte ILN - shipper - POL)]],'DATA ILN'!B:K,10,FALSE))</f>
        <v>#N/A</v>
      </c>
      <c r="U597" s="50" t="e">
        <f>IFERROR(VLOOKUP(Tableau119[[#This Row],[Key(Compte ILN - shipper - POL - plant)]],'DATA ILN'!A:L,12,FALSE),VLOOKUP(Tableau119[[#This Row],[Key(Compte ILN - shipper - POL)]],'DATA ILN'!B:L,11,FALSE))</f>
        <v>#N/A</v>
      </c>
      <c r="V597" s="50" t="e">
        <f>Tableau119[[#This Row],[Day ILN Order]]+Tableau119[[#This Row],[Delivery time to ILN/Shipper]]-1</f>
        <v>#N/A</v>
      </c>
      <c r="W597" s="50" t="e">
        <f>IFERROR(VLOOKUP(Tableau119[[#This Row],[Key(Compte ILN - shipper - POL - plant)]],'DATA ILN'!A:N,14,FALSE),VLOOKUP(Tableau119[[#This Row],[Key(Compte ILN - shipper - POL)]],'DATA ILN'!B:N,13,FALSE))</f>
        <v>#N/A</v>
      </c>
      <c r="X597" s="50" t="e">
        <f>IFERROR(VLOOKUP(Tableau119[[#This Row],[Key(Compte ILN - shipper - POL - plant)]],'DATA ILN'!A:P,16,FALSE),VLOOKUP(Tableau119[[#This Row],[Key(Compte ILN - shipper - POL)]],'DATA ILN'!B:P,15,FALSE))</f>
        <v>#N/A</v>
      </c>
      <c r="Y597" s="284" t="s">
        <v>156</v>
      </c>
      <c r="Z597" s="430">
        <f>IFERROR(VLOOKUP(Tableau119[[#This Row],[Name Shipper]],Plant_AILN!L:M,2,FALSE),0)</f>
        <v>91017500</v>
      </c>
      <c r="AA597" s="406">
        <v>225</v>
      </c>
      <c r="AB597" s="396" t="b">
        <f>_xlfn.XLOOKUP(Tableau119[[#This Row],[Key(ID-date)]],'DATA BTO'!S:S,'DATA BTO'!E:E,FALSE)</f>
        <v>0</v>
      </c>
      <c r="AC597" s="3" t="b">
        <f>_xlfn.XLOOKUP(Tableau119[[#This Row],[Key(ID-date)]],'DATA BTO'!S:S,'DATA BTO'!F:F,FALSE)</f>
        <v>0</v>
      </c>
      <c r="AD597" s="50" t="b">
        <f>_xlfn.XLOOKUP(Tableau119[[#This Row],[Key(ID-date)]],'DATA BTO'!S:S,'DATA BTO'!G:G,FALSE)</f>
        <v>0</v>
      </c>
      <c r="AE597" s="50" t="b">
        <f>_xlfn.XLOOKUP(Tableau119[[#This Row],[Key(ID-date)]],'DATA BTO'!S:S,'DATA BTO'!H:H,FALSE)</f>
        <v>0</v>
      </c>
      <c r="AF597" s="447" t="e">
        <f>IF(Tableau119[[#This Row],[First Day to POL]]&lt;=Tableau119[[#This Row],[Day Cut Off]],Tableau119[[#This Row],[Day ETD]],Tableau119[[#This Row],[Day ETD]]+7)</f>
        <v>#N/A</v>
      </c>
      <c r="AG597" s="50" t="b">
        <f>_xlfn.XLOOKUP(Tableau119[[#This Row],[Key(ID-date)]],'DATA BTO'!S:S,'DATA BTO'!I:I,FALSE)</f>
        <v>0</v>
      </c>
      <c r="AH597" s="3" t="b">
        <f>_xlfn.XLOOKUP(Tableau119[[#This Row],[Key(ID-date)]],'DATA BTO'!S:S,'DATA BTO'!J:J,FALSE)</f>
        <v>0</v>
      </c>
      <c r="AI597" s="3" t="b">
        <f>_xlfn.XLOOKUP(Tableau119[[#This Row],[Key(ID-date)]],'DATA BTO'!S:S,'DATA BTO'!K:K,FALSE)</f>
        <v>0</v>
      </c>
      <c r="AJ597" s="50" t="b">
        <f>_xlfn.XLOOKUP(Tableau119[[#This Row],[Key(ID-date)]],'DATA BTO'!S:S,'DATA BTO'!L:L,FALSE)</f>
        <v>0</v>
      </c>
      <c r="AK597" s="53" t="b">
        <f>_xlfn.XLOOKUP(Tableau119[[#This Row],[Key(ID-date)]],'DATA BTO'!S:S,'DATA BTO'!N:N,FALSE)</f>
        <v>0</v>
      </c>
      <c r="AL597" s="54" t="e">
        <f>VLOOKUP(Tableau119[[#This Row],[Key(POD -PFI- Usine)]],'DATA Consignee'!A:F,6,FALSE)</f>
        <v>#N/A</v>
      </c>
      <c r="AM597" s="127"/>
      <c r="AN597" s="376" t="str">
        <f>IF(Tableau119[[#This Row],[Name PFI/CDD]]="","-",VLOOKUP(Tableau119[[#This Row],[Name PFI/CDD]],Plant_AILN!I:J,2,FALSE))</f>
        <v>-</v>
      </c>
      <c r="AO59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7" s="2" t="e">
        <f>VLOOKUP(Tableau119[[#This Row],[Key(POD -PFI- Usine)]],'DATA Consignee'!A:J,10,FALSE)</f>
        <v>#N/A</v>
      </c>
      <c r="AR597" s="50" t="e">
        <f>VLOOKUP(Tableau119[[#This Row],[Key(POD -PFI- Usine)]],'DATA Consignee'!A:N,14,FALSE)</f>
        <v>#N/A</v>
      </c>
      <c r="AS59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59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597" s="50">
        <f>Tableau119[[#This Row],[Transit time]]+Tableau119[[#This Row],[Time for security]]+Tableau119[[#This Row],[Time for security2 buffer]]</f>
        <v>0</v>
      </c>
      <c r="AV5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597" s="50" t="e">
        <f>Tableau119[[#This Row],[Leadtime SI2C]]+Tableau119[[#This Row],[First Receipt Days]]-Tableau119[[#This Row],[Day Customer Order]]+1</f>
        <v>#N/A</v>
      </c>
      <c r="AX597" s="119" t="e">
        <f>IF(Tableau119[[#This Row],[Name ILN]]&lt;&gt;"SFK Freight Forwarder",Tableau119[[#This Row],[Cust. Leadtime]],Tableau119[[#This Row],[Leadtime SI2C]])</f>
        <v>#N/A</v>
      </c>
      <c r="AY597" s="51" t="b">
        <f>_xlfn.XLOOKUP(Tableau119[[#This Row],[Key(ID-date)]],'DATA BTO'!S:S,'DATA BTO'!P:P,FALSE)</f>
        <v>0</v>
      </c>
      <c r="AZ597" s="338">
        <v>45382</v>
      </c>
      <c r="BA597" s="50"/>
    </row>
    <row r="598" spans="2:53">
      <c r="B598" s="66" t="str">
        <f>_xlfn.CONCAT(Tableau119[[#This Row],[Name ILN]],"-",Tableau119[[#This Row],[Name Shipper]],"-",Tableau119[[#This Row],[Name Site]])</f>
        <v>ILN VLL-ILN VLL-CORMECANICA</v>
      </c>
      <c r="C598" s="66" t="str">
        <f>_xlfn.CONCAT(Tableau119[[#This Row],[Compte ILN]],"-",Tableau119[[#This Row],[Compte Shipper]],"-",Tableau119[[#This Row],[POL]],"-",Tableau119[[#This Row],[Compte Consignee]])</f>
        <v>91018400-91018400-ESVLC-90009500</v>
      </c>
      <c r="D598" s="66" t="str">
        <f>_xlfn.CONCAT(Tableau119[[#This Row],[Compte ILN]],"-",Tableau119[[#This Row],[Compte Shipper]],"-",Tableau119[[#This Row],[POL]])</f>
        <v>91018400-91018400-ESVLC</v>
      </c>
      <c r="E598" s="130" t="str">
        <f>_xlfn.CONCAT(Tableau119[[#This Row],[POL]],"-",Tableau119[[#This Row],[Carrier]],"-",Tableau119[[#This Row],[POD]])</f>
        <v>ESVLC-CMA-CGM-CLSAI</v>
      </c>
      <c r="F598" s="66" t="str">
        <f>_xlfn.CONCAT(Tableau119[[#This Row],[ID]],"-","Actif")</f>
        <v>233-Actif</v>
      </c>
      <c r="G598" s="66" t="str">
        <f>_xlfn.CONCAT(Tableau119[[#This Row],[POD]],"-",Tableau119[[#This Row],[Code PFI]],"-",Tableau119[[#This Row],[Compte Consignee]])</f>
        <v>CLSAI---90009500</v>
      </c>
      <c r="H5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VLLESVLCCORMECANICA</v>
      </c>
      <c r="I598" s="434" t="str">
        <f>_xlfn.CONCAT(Tableau119[[#This Row],[ID]],"-",Tableau119[[#This Row],[Expiration Date]])</f>
        <v>233-46142</v>
      </c>
      <c r="J5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VLL-ILN VLL-233-ESVLC-CMA-CGM-CLSAI--46142</v>
      </c>
      <c r="K598" s="119" t="str">
        <f ca="1">IF(COUNTIF(J:J,Tableau119[[#This Row],[Plant-ILN-shipper-POL-Carrier-POD-PFI]])=1,"Non","Oui")</f>
        <v>Non</v>
      </c>
      <c r="L598" s="436" t="str">
        <f>VLOOKUP(Tableau119[[#This Row],[Name Site]],Plant_AILN!A:D,4,FALSE)</f>
        <v>CHILE</v>
      </c>
      <c r="M598" s="485" t="s">
        <v>142</v>
      </c>
      <c r="N598" s="455">
        <f>VLOOKUP(Tableau119[[#This Row],[Name Site]],Plant_AILN!A:C,3,FALSE)</f>
        <v>90009500</v>
      </c>
      <c r="O598" s="104">
        <f>IF(Tableau119[[#This Row],[Name PFI/CDD]]="PFI VLL",2,VLOOKUP(Tableau119[[#This Row],[Compte Consignee]],Order!C:D,2,FALSE))</f>
        <v>7</v>
      </c>
      <c r="P598" s="126" t="s">
        <v>151</v>
      </c>
      <c r="Q598" s="366">
        <f>VLOOKUP(Tableau119[[#This Row],[Name ILN]],Plant_AILN!F:G,2,FALSE)</f>
        <v>91018400</v>
      </c>
      <c r="R598" s="81">
        <f>VLOOKUP(Tableau119[[#This Row],[Compte ILN]],'DATA ILN'!D:I,6,FALSE)</f>
        <v>9</v>
      </c>
      <c r="S598" s="81">
        <f>IFERROR(VLOOKUP(Tableau119[[#This Row],[Key(Compte ILN - shipper - POL - plant)]],'DATA ILN'!A:J,10,FALSE),VLOOKUP(Tableau119[[#This Row],[Key(Compte ILN - shipper - POL)]],'DATA ILN'!B:J,9,FALSE))</f>
        <v>7</v>
      </c>
      <c r="T598" s="81">
        <f>IFERROR(VLOOKUP(Tableau119[[#This Row],[Key(Compte ILN - shipper - POL - plant)]],'DATA ILN'!A:K,11,FALSE),VLOOKUP(Tableau119[[#This Row],[Key(Compte ILN - shipper - POL)]],'DATA ILN'!B:K,10,FALSE))</f>
        <v>5</v>
      </c>
      <c r="U598" s="81">
        <f>IFERROR(VLOOKUP(Tableau119[[#This Row],[Key(Compte ILN - shipper - POL - plant)]],'DATA ILN'!A:L,12,FALSE),VLOOKUP(Tableau119[[#This Row],[Key(Compte ILN - shipper - POL)]],'DATA ILN'!B:L,11,FALSE))</f>
        <v>7</v>
      </c>
      <c r="V598" s="81">
        <f>Tableau119[[#This Row],[Day ILN Order]]+Tableau119[[#This Row],[Delivery time to ILN/Shipper]]-1</f>
        <v>15</v>
      </c>
      <c r="W598" s="81">
        <f>IFERROR(VLOOKUP(Tableau119[[#This Row],[Key(Compte ILN - shipper - POL - plant)]],'DATA ILN'!A:N,14,FALSE),VLOOKUP(Tableau119[[#This Row],[Key(Compte ILN - shipper - POL)]],'DATA ILN'!B:N,13,FALSE))</f>
        <v>2</v>
      </c>
      <c r="X598" s="81">
        <f>IFERROR(VLOOKUP(Tableau119[[#This Row],[Key(Compte ILN - shipper - POL - plant)]],'DATA ILN'!A:P,16,FALSE),VLOOKUP(Tableau119[[#This Row],[Key(Compte ILN - shipper - POL)]],'DATA ILN'!B:P,15,FALSE))</f>
        <v>5</v>
      </c>
      <c r="Y598" s="102" t="s">
        <v>151</v>
      </c>
      <c r="Z598" s="417">
        <f>IFERROR(VLOOKUP(Tableau119[[#This Row],[Name Shipper]],Plant_AILN!L:M,2,FALSE),0)</f>
        <v>91018400</v>
      </c>
      <c r="AA598" s="416">
        <v>233</v>
      </c>
      <c r="AB598" s="396" t="str">
        <f>_xlfn.XLOOKUP(Tableau119[[#This Row],[Key(ID-date)]],'DATA BTO'!S:S,'DATA BTO'!E:E,FALSE)</f>
        <v>ESVLC</v>
      </c>
      <c r="AC598" s="3" t="str">
        <f>_xlfn.XLOOKUP(Tableau119[[#This Row],[Key(ID-date)]],'DATA BTO'!S:S,'DATA BTO'!F:F,FALSE)</f>
        <v>CMA-CGM</v>
      </c>
      <c r="AD598" s="50">
        <f>_xlfn.XLOOKUP(Tableau119[[#This Row],[Key(ID-date)]],'DATA BTO'!S:S,'DATA BTO'!G:G,FALSE)</f>
        <v>5</v>
      </c>
      <c r="AE598" s="50">
        <f>_xlfn.XLOOKUP(Tableau119[[#This Row],[Key(ID-date)]],'DATA BTO'!S:S,'DATA BTO'!H:H,FALSE)</f>
        <v>10</v>
      </c>
      <c r="AF598" s="447">
        <f>IF(Tableau119[[#This Row],[First Day to POL]]&lt;=Tableau119[[#This Row],[Day Cut Off]],Tableau119[[#This Row],[Day ETD]],Tableau119[[#This Row],[Day ETD]]+7)</f>
        <v>10</v>
      </c>
      <c r="AG598" s="50">
        <f>_xlfn.XLOOKUP(Tableau119[[#This Row],[Key(ID-date)]],'DATA BTO'!S:S,'DATA BTO'!I:I,FALSE)</f>
        <v>43</v>
      </c>
      <c r="AH598" s="3" t="str">
        <f>_xlfn.XLOOKUP(Tableau119[[#This Row],[Key(ID-date)]],'DATA BTO'!S:S,'DATA BTO'!J:J,FALSE)</f>
        <v>CLSAI</v>
      </c>
      <c r="AI598" s="3">
        <f>_xlfn.XLOOKUP(Tableau119[[#This Row],[Key(ID-date)]],'DATA BTO'!S:S,'DATA BTO'!K:K,FALSE)</f>
        <v>3</v>
      </c>
      <c r="AJ598" s="50">
        <f>_xlfn.XLOOKUP(Tableau119[[#This Row],[Key(ID-date)]],'DATA BTO'!S:S,'DATA BTO'!L:L,FALSE)</f>
        <v>0</v>
      </c>
      <c r="AK598" s="53" t="str">
        <f>_xlfn.XLOOKUP(Tableau119[[#This Row],[Key(ID-date)]],'DATA BTO'!S:S,'DATA BTO'!N:N,FALSE)</f>
        <v>Max</v>
      </c>
      <c r="AL598" s="54">
        <f>VLOOKUP(Tableau119[[#This Row],[Key(POD -PFI- Usine)]],'DATA Consignee'!A:F,6,FALSE)</f>
        <v>2</v>
      </c>
      <c r="AM598" s="127"/>
      <c r="AN598" s="375" t="str">
        <f>IF(Tableau119[[#This Row],[Name PFI/CDD]]="","-",VLOOKUP(Tableau119[[#This Row],[Name PFI/CDD]],Plant_AILN!I:J,2,FALSE))</f>
        <v>-</v>
      </c>
      <c r="AO59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8" s="110">
        <f>VLOOKUP(Tableau119[[#This Row],[Key(POD -PFI- Usine)]],'DATA Consignee'!A:J,10,FALSE)</f>
        <v>0</v>
      </c>
      <c r="AR598" s="81">
        <f>VLOOKUP(Tableau119[[#This Row],[Key(POD -PFI- Usine)]],'DATA Consignee'!A:N,14,FALSE)</f>
        <v>2</v>
      </c>
      <c r="AS59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59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598" s="81">
        <f>Tableau119[[#This Row],[Transit time]]+Tableau119[[#This Row],[Time for security]]+Tableau119[[#This Row],[Time for security2 buffer]]</f>
        <v>46</v>
      </c>
      <c r="AV59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598" s="50">
        <f>Tableau119[[#This Row],[Leadtime SI2C]]+Tableau119[[#This Row],[First Receipt Days]]-Tableau119[[#This Row],[Day Customer Order]]+1</f>
        <v>78</v>
      </c>
      <c r="AX598" s="119">
        <f>IF(Tableau119[[#This Row],[Name ILN]]&lt;&gt;"SFK Freight Forwarder",Tableau119[[#This Row],[Cust. Leadtime]],Tableau119[[#This Row],[Leadtime SI2C]])</f>
        <v>78</v>
      </c>
      <c r="AY598" s="51" t="str">
        <f>_xlfn.XLOOKUP(Tableau119[[#This Row],[Key(ID-date)]],'DATA BTO'!S:S,'DATA BTO'!P:P,FALSE)</f>
        <v>Renault &gt; Horse BPH</v>
      </c>
      <c r="AZ598" s="388">
        <v>46142</v>
      </c>
      <c r="BA598" s="81"/>
    </row>
    <row r="599" spans="2:53">
      <c r="B599" s="446" t="str">
        <f>_xlfn.CONCAT(Tableau119[[#This Row],[Name ILN]],"-",Tableau119[[#This Row],[Name Shipper]],"-",Tableau119[[#This Row],[Name Site]])</f>
        <v>ILN VLL-ILN VLL-CORMECANICA</v>
      </c>
      <c r="C599" s="66" t="str">
        <f>_xlfn.CONCAT(Tableau119[[#This Row],[Compte ILN]],"-",Tableau119[[#This Row],[Compte Shipper]],"-",Tableau119[[#This Row],[POL]],"-",Tableau119[[#This Row],[Compte Consignee]])</f>
        <v>91018400-91018400-ESVLC-90009500</v>
      </c>
      <c r="D599" s="66" t="str">
        <f>_xlfn.CONCAT(Tableau119[[#This Row],[Compte ILN]],"-",Tableau119[[#This Row],[Compte Shipper]],"-",Tableau119[[#This Row],[POL]])</f>
        <v>91018400-91018400-ESVLC</v>
      </c>
      <c r="E599" s="130" t="str">
        <f>_xlfn.CONCAT(Tableau119[[#This Row],[POL]],"-",Tableau119[[#This Row],[Carrier]],"-",Tableau119[[#This Row],[POD]])</f>
        <v>ESVLC-CMA-CGM-CLSAI</v>
      </c>
      <c r="F599" s="66" t="str">
        <f>_xlfn.CONCAT(Tableau119[[#This Row],[ID]],"-","Actif")</f>
        <v>233-Actif</v>
      </c>
      <c r="G599" s="66" t="str">
        <f>_xlfn.CONCAT(Tableau119[[#This Row],[POD]],"-",Tableau119[[#This Row],[Code PFI]],"-",Tableau119[[#This Row],[Compte Consignee]])</f>
        <v>CLSAI---90009500</v>
      </c>
      <c r="H5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VLLESVLCCORMECANICA</v>
      </c>
      <c r="I599" s="434" t="str">
        <f>_xlfn.CONCAT(Tableau119[[#This Row],[ID]],"-",Tableau119[[#This Row],[Expiration Date]])</f>
        <v>233-45777</v>
      </c>
      <c r="J5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VLL-ILN VLL-233-ESVLC-CMA-CGM-CLSAI--45777</v>
      </c>
      <c r="K599" s="119" t="str">
        <f ca="1">IF(COUNTIF(J:J,Tableau119[[#This Row],[Plant-ILN-shipper-POL-Carrier-POD-PFI]])=1,"Non","Oui")</f>
        <v>Non</v>
      </c>
      <c r="L599" s="128" t="str">
        <f>VLOOKUP(Tableau119[[#This Row],[Name Site]],Plant_AILN!A:D,4,FALSE)</f>
        <v>CHILE</v>
      </c>
      <c r="M599" s="411" t="s">
        <v>142</v>
      </c>
      <c r="N599" s="454">
        <f>VLOOKUP(Tableau119[[#This Row],[Name Site]],Plant_AILN!A:C,3,FALSE)</f>
        <v>90009500</v>
      </c>
      <c r="O599" s="55">
        <f>VLOOKUP(Tableau119[[#This Row],[Compte Consignee]],Order!C:D,2,FALSE)</f>
        <v>7</v>
      </c>
      <c r="P599" s="124" t="s">
        <v>151</v>
      </c>
      <c r="Q599" s="365">
        <f>VLOOKUP(Tableau119[[#This Row],[Name ILN]],Plant_AILN!F:G,2,FALSE)</f>
        <v>91018400</v>
      </c>
      <c r="R599" s="50">
        <f>VLOOKUP(Tableau119[[#This Row],[Compte ILN]],'DATA ILN'!D:I,6,FALSE)</f>
        <v>9</v>
      </c>
      <c r="S599" s="50">
        <f>IFERROR(VLOOKUP(Tableau119[[#This Row],[Key(Compte ILN - shipper - POL - plant)]],'DATA ILN'!A:J,10,FALSE),VLOOKUP(Tableau119[[#This Row],[Key(Compte ILN - shipper - POL)]],'DATA ILN'!B:J,9,FALSE))</f>
        <v>7</v>
      </c>
      <c r="T599" s="50">
        <f>IFERROR(VLOOKUP(Tableau119[[#This Row],[Key(Compte ILN - shipper - POL - plant)]],'DATA ILN'!A:K,11,FALSE),VLOOKUP(Tableau119[[#This Row],[Key(Compte ILN - shipper - POL)]],'DATA ILN'!B:K,10,FALSE))</f>
        <v>5</v>
      </c>
      <c r="U599" s="50">
        <f>IFERROR(VLOOKUP(Tableau119[[#This Row],[Key(Compte ILN - shipper - POL - plant)]],'DATA ILN'!A:L,12,FALSE),VLOOKUP(Tableau119[[#This Row],[Key(Compte ILN - shipper - POL)]],'DATA ILN'!B:L,11,FALSE))</f>
        <v>7</v>
      </c>
      <c r="V599" s="50">
        <f>Tableau119[[#This Row],[Day ILN Order]]+Tableau119[[#This Row],[Delivery time to ILN/Shipper]]-1</f>
        <v>15</v>
      </c>
      <c r="W599" s="50">
        <f>IFERROR(VLOOKUP(Tableau119[[#This Row],[Key(Compte ILN - shipper - POL - plant)]],'DATA ILN'!A:N,14,FALSE),VLOOKUP(Tableau119[[#This Row],[Key(Compte ILN - shipper - POL)]],'DATA ILN'!B:N,13,FALSE))</f>
        <v>2</v>
      </c>
      <c r="X599" s="50">
        <f>IFERROR(VLOOKUP(Tableau119[[#This Row],[Key(Compte ILN - shipper - POL - plant)]],'DATA ILN'!A:P,16,FALSE),VLOOKUP(Tableau119[[#This Row],[Key(Compte ILN - shipper - POL)]],'DATA ILN'!B:P,15,FALSE))</f>
        <v>5</v>
      </c>
      <c r="Y599" s="284" t="s">
        <v>151</v>
      </c>
      <c r="Z599" s="430">
        <f>IFERROR(VLOOKUP(Tableau119[[#This Row],[Name Shipper]],Plant_AILN!L:M,2,FALSE),0)</f>
        <v>91018400</v>
      </c>
      <c r="AA599" s="406">
        <v>233</v>
      </c>
      <c r="AB599" s="396" t="str">
        <f>_xlfn.XLOOKUP(Tableau119[[#This Row],[Key(ID-date)]],'DATA BTO'!S:S,'DATA BTO'!E:E,FALSE)</f>
        <v>ESVLC</v>
      </c>
      <c r="AC599" s="3" t="str">
        <f>_xlfn.XLOOKUP(Tableau119[[#This Row],[Key(ID-date)]],'DATA BTO'!S:S,'DATA BTO'!F:F,FALSE)</f>
        <v>CMA-CGM</v>
      </c>
      <c r="AD599" s="50">
        <f>_xlfn.XLOOKUP(Tableau119[[#This Row],[Key(ID-date)]],'DATA BTO'!S:S,'DATA BTO'!G:G,FALSE)</f>
        <v>5</v>
      </c>
      <c r="AE599" s="50">
        <f>_xlfn.XLOOKUP(Tableau119[[#This Row],[Key(ID-date)]],'DATA BTO'!S:S,'DATA BTO'!H:H,FALSE)</f>
        <v>8</v>
      </c>
      <c r="AF599" s="447">
        <f>IF(Tableau119[[#This Row],[First Day to POL]]&lt;=Tableau119[[#This Row],[Day Cut Off]],Tableau119[[#This Row],[Day ETD]],Tableau119[[#This Row],[Day ETD]]+7)</f>
        <v>8</v>
      </c>
      <c r="AG599" s="50">
        <f>_xlfn.XLOOKUP(Tableau119[[#This Row],[Key(ID-date)]],'DATA BTO'!S:S,'DATA BTO'!I:I,FALSE)</f>
        <v>38</v>
      </c>
      <c r="AH599" s="3" t="str">
        <f>_xlfn.XLOOKUP(Tableau119[[#This Row],[Key(ID-date)]],'DATA BTO'!S:S,'DATA BTO'!J:J,FALSE)</f>
        <v>CLSAI</v>
      </c>
      <c r="AI599" s="3">
        <f>_xlfn.XLOOKUP(Tableau119[[#This Row],[Key(ID-date)]],'DATA BTO'!S:S,'DATA BTO'!K:K,FALSE)</f>
        <v>3</v>
      </c>
      <c r="AJ599" s="50">
        <f>_xlfn.XLOOKUP(Tableau119[[#This Row],[Key(ID-date)]],'DATA BTO'!S:S,'DATA BTO'!L:L,FALSE)</f>
        <v>0</v>
      </c>
      <c r="AK599" s="53" t="str">
        <f>_xlfn.XLOOKUP(Tableau119[[#This Row],[Key(ID-date)]],'DATA BTO'!S:S,'DATA BTO'!N:N,FALSE)</f>
        <v>Max</v>
      </c>
      <c r="AL599" s="54">
        <f>VLOOKUP(Tableau119[[#This Row],[Key(POD -PFI- Usine)]],'DATA Consignee'!A:F,6,FALSE)</f>
        <v>2</v>
      </c>
      <c r="AM599" s="127"/>
      <c r="AN599" s="376" t="str">
        <f>IF(Tableau119[[#This Row],[Name PFI/CDD]]="","-",VLOOKUP(Tableau119[[#This Row],[Name PFI/CDD]],Plant_AILN!I:J,2,FALSE))</f>
        <v>-</v>
      </c>
      <c r="AO5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5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599" s="2">
        <f>VLOOKUP(Tableau119[[#This Row],[Key(POD -PFI- Usine)]],'DATA Consignee'!A:J,10,FALSE)</f>
        <v>0</v>
      </c>
      <c r="AR599" s="50">
        <f>VLOOKUP(Tableau119[[#This Row],[Key(POD -PFI- Usine)]],'DATA Consignee'!A:N,14,FALSE)</f>
        <v>2</v>
      </c>
      <c r="AS59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59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599" s="50">
        <f>Tableau119[[#This Row],[Transit time]]+Tableau119[[#This Row],[Time for security]]+Tableau119[[#This Row],[Time for security2 buffer]]</f>
        <v>41</v>
      </c>
      <c r="AV59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599" s="50">
        <f>Tableau119[[#This Row],[Leadtime SI2C]]+Tableau119[[#This Row],[First Receipt Days]]-Tableau119[[#This Row],[Day Customer Order]]+1</f>
        <v>71</v>
      </c>
      <c r="AX599" s="119">
        <f>IF(Tableau119[[#This Row],[Name ILN]]&lt;&gt;"SFK Freight Forwarder",Tableau119[[#This Row],[Cust. Leadtime]],Tableau119[[#This Row],[Leadtime SI2C]])</f>
        <v>71</v>
      </c>
      <c r="AY599" s="51" t="str">
        <f>_xlfn.XLOOKUP(Tableau119[[#This Row],[Key(ID-date)]],'DATA BTO'!S:S,'DATA BTO'!P:P,FALSE)</f>
        <v>Renault &gt; Horse BPH</v>
      </c>
      <c r="AZ599" s="338">
        <v>45777</v>
      </c>
      <c r="BA599" s="50"/>
    </row>
    <row r="600" spans="2:53">
      <c r="B600" s="446" t="str">
        <f>_xlfn.CONCAT(Tableau119[[#This Row],[Name ILN]],"-",Tableau119[[#This Row],[Name Shipper]],"-",Tableau119[[#This Row],[Name Site]])</f>
        <v>ILN VLL-ILN VLL-CORMECANICA</v>
      </c>
      <c r="C600" s="66" t="str">
        <f>_xlfn.CONCAT(Tableau119[[#This Row],[Compte ILN]],"-",Tableau119[[#This Row],[Compte Shipper]],"-",Tableau119[[#This Row],[POL]],"-",Tableau119[[#This Row],[Compte Consignee]])</f>
        <v>91018400-91018400-ESVLC-90009500</v>
      </c>
      <c r="D600" s="66" t="str">
        <f>_xlfn.CONCAT(Tableau119[[#This Row],[Compte ILN]],"-",Tableau119[[#This Row],[Compte Shipper]],"-",Tableau119[[#This Row],[POL]])</f>
        <v>91018400-91018400-ESVLC</v>
      </c>
      <c r="E600" s="130" t="str">
        <f>_xlfn.CONCAT(Tableau119[[#This Row],[POL]],"-",Tableau119[[#This Row],[Carrier]],"-",Tableau119[[#This Row],[POD]])</f>
        <v>ESVLC-CMA-CGM-CLSAI</v>
      </c>
      <c r="F600" s="66" t="str">
        <f>_xlfn.CONCAT(Tableau119[[#This Row],[ID]],"-","Actif")</f>
        <v>233-Actif</v>
      </c>
      <c r="G600" s="66" t="str">
        <f>_xlfn.CONCAT(Tableau119[[#This Row],[POD]],"-",Tableau119[[#This Row],[Code PFI]],"-",Tableau119[[#This Row],[Compte Consignee]])</f>
        <v>CLSAI---90009500</v>
      </c>
      <c r="H6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VLLESVLCCORMECANICA</v>
      </c>
      <c r="I600" s="434" t="str">
        <f>_xlfn.CONCAT(Tableau119[[#This Row],[ID]],"-",Tableau119[[#This Row],[Expiration Date]])</f>
        <v>233-45412</v>
      </c>
      <c r="J6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CORMECANICA-ILN VLL-ILN VLL-233-ESVLC-CMA-CGM-CLSAI--45412</v>
      </c>
      <c r="K600" s="119" t="str">
        <f ca="1">IF(COUNTIF(J:J,Tableau119[[#This Row],[Plant-ILN-shipper-POL-Carrier-POD-PFI]])=1,"Non","Oui")</f>
        <v>Non</v>
      </c>
      <c r="L600" s="128" t="str">
        <f>VLOOKUP(Tableau119[[#This Row],[Name Site]],Plant_AILN!A:D,4,FALSE)</f>
        <v>CHILE</v>
      </c>
      <c r="M600" s="411" t="s">
        <v>142</v>
      </c>
      <c r="N600" s="454">
        <f>VLOOKUP(Tableau119[[#This Row],[Name Site]],Plant_AILN!A:C,3,FALSE)</f>
        <v>90009500</v>
      </c>
      <c r="O600" s="55">
        <f>VLOOKUP(Tableau119[[#This Row],[Compte Consignee]],Order!C:D,2,FALSE)</f>
        <v>7</v>
      </c>
      <c r="P600" s="124" t="s">
        <v>151</v>
      </c>
      <c r="Q600" s="365">
        <f>VLOOKUP(Tableau119[[#This Row],[Name ILN]],Plant_AILN!F:G,2,FALSE)</f>
        <v>91018400</v>
      </c>
      <c r="R600" s="50">
        <f>VLOOKUP(Tableau119[[#This Row],[Compte ILN]],'DATA ILN'!D:I,6,FALSE)</f>
        <v>9</v>
      </c>
      <c r="S600" s="50">
        <f>IFERROR(VLOOKUP(Tableau119[[#This Row],[Key(Compte ILN - shipper - POL - plant)]],'DATA ILN'!A:J,10,FALSE),VLOOKUP(Tableau119[[#This Row],[Key(Compte ILN - shipper - POL)]],'DATA ILN'!B:J,9,FALSE))</f>
        <v>7</v>
      </c>
      <c r="T600" s="50">
        <f>IFERROR(VLOOKUP(Tableau119[[#This Row],[Key(Compte ILN - shipper - POL - plant)]],'DATA ILN'!A:K,11,FALSE),VLOOKUP(Tableau119[[#This Row],[Key(Compte ILN - shipper - POL)]],'DATA ILN'!B:K,10,FALSE))</f>
        <v>5</v>
      </c>
      <c r="U600" s="50">
        <f>IFERROR(VLOOKUP(Tableau119[[#This Row],[Key(Compte ILN - shipper - POL - plant)]],'DATA ILN'!A:L,12,FALSE),VLOOKUP(Tableau119[[#This Row],[Key(Compte ILN - shipper - POL)]],'DATA ILN'!B:L,11,FALSE))</f>
        <v>7</v>
      </c>
      <c r="V600" s="50">
        <f>Tableau119[[#This Row],[Day ILN Order]]+Tableau119[[#This Row],[Delivery time to ILN/Shipper]]-1</f>
        <v>15</v>
      </c>
      <c r="W600" s="50">
        <f>IFERROR(VLOOKUP(Tableau119[[#This Row],[Key(Compte ILN - shipper - POL - plant)]],'DATA ILN'!A:N,14,FALSE),VLOOKUP(Tableau119[[#This Row],[Key(Compte ILN - shipper - POL)]],'DATA ILN'!B:N,13,FALSE))</f>
        <v>2</v>
      </c>
      <c r="X600" s="50">
        <f>IFERROR(VLOOKUP(Tableau119[[#This Row],[Key(Compte ILN - shipper - POL - plant)]],'DATA ILN'!A:P,16,FALSE),VLOOKUP(Tableau119[[#This Row],[Key(Compte ILN - shipper - POL)]],'DATA ILN'!B:P,15,FALSE))</f>
        <v>5</v>
      </c>
      <c r="Y600" s="284" t="s">
        <v>151</v>
      </c>
      <c r="Z600" s="430">
        <f>IFERROR(VLOOKUP(Tableau119[[#This Row],[Name Shipper]],Plant_AILN!L:M,2,FALSE),0)</f>
        <v>91018400</v>
      </c>
      <c r="AA600" s="406">
        <v>233</v>
      </c>
      <c r="AB600" s="396" t="str">
        <f>_xlfn.XLOOKUP(Tableau119[[#This Row],[Key(ID-date)]],'DATA BTO'!S:S,'DATA BTO'!E:E,FALSE)</f>
        <v>ESVLC</v>
      </c>
      <c r="AC600" s="3" t="str">
        <f>_xlfn.XLOOKUP(Tableau119[[#This Row],[Key(ID-date)]],'DATA BTO'!S:S,'DATA BTO'!F:F,FALSE)</f>
        <v>CMA-CGM</v>
      </c>
      <c r="AD600" s="50">
        <f>_xlfn.XLOOKUP(Tableau119[[#This Row],[Key(ID-date)]],'DATA BTO'!S:S,'DATA BTO'!G:G,FALSE)</f>
        <v>5</v>
      </c>
      <c r="AE600" s="50">
        <f>_xlfn.XLOOKUP(Tableau119[[#This Row],[Key(ID-date)]],'DATA BTO'!S:S,'DATA BTO'!H:H,FALSE)</f>
        <v>8</v>
      </c>
      <c r="AF600" s="447">
        <f>IF(Tableau119[[#This Row],[First Day to POL]]&lt;=Tableau119[[#This Row],[Day Cut Off]],Tableau119[[#This Row],[Day ETD]],Tableau119[[#This Row],[Day ETD]]+7)</f>
        <v>8</v>
      </c>
      <c r="AG600" s="50">
        <f>_xlfn.XLOOKUP(Tableau119[[#This Row],[Key(ID-date)]],'DATA BTO'!S:S,'DATA BTO'!I:I,FALSE)</f>
        <v>32</v>
      </c>
      <c r="AH600" s="3" t="str">
        <f>_xlfn.XLOOKUP(Tableau119[[#This Row],[Key(ID-date)]],'DATA BTO'!S:S,'DATA BTO'!J:J,FALSE)</f>
        <v>CLSAI</v>
      </c>
      <c r="AI600" s="3">
        <f>_xlfn.XLOOKUP(Tableau119[[#This Row],[Key(ID-date)]],'DATA BTO'!S:S,'DATA BTO'!K:K,FALSE)</f>
        <v>3</v>
      </c>
      <c r="AJ600" s="50">
        <f>_xlfn.XLOOKUP(Tableau119[[#This Row],[Key(ID-date)]],'DATA BTO'!S:S,'DATA BTO'!L:L,FALSE)</f>
        <v>0</v>
      </c>
      <c r="AK600" s="53" t="str">
        <f>_xlfn.XLOOKUP(Tableau119[[#This Row],[Key(ID-date)]],'DATA BTO'!S:S,'DATA BTO'!N:N,FALSE)</f>
        <v>Max</v>
      </c>
      <c r="AL600" s="54">
        <f>VLOOKUP(Tableau119[[#This Row],[Key(POD -PFI- Usine)]],'DATA Consignee'!A:F,6,FALSE)</f>
        <v>2</v>
      </c>
      <c r="AM600" s="127"/>
      <c r="AN600" s="376" t="str">
        <f>IF(Tableau119[[#This Row],[Name PFI/CDD]]="","-",VLOOKUP(Tableau119[[#This Row],[Name PFI/CDD]],Plant_AILN!I:J,2,FALSE))</f>
        <v>-</v>
      </c>
      <c r="AO6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0" s="2">
        <f>VLOOKUP(Tableau119[[#This Row],[Key(POD -PFI- Usine)]],'DATA Consignee'!A:J,10,FALSE)</f>
        <v>0</v>
      </c>
      <c r="AR600" s="50">
        <f>VLOOKUP(Tableau119[[#This Row],[Key(POD -PFI- Usine)]],'DATA Consignee'!A:N,14,FALSE)</f>
        <v>2</v>
      </c>
      <c r="AS60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60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600" s="50">
        <f>Tableau119[[#This Row],[Transit time]]+Tableau119[[#This Row],[Time for security]]+Tableau119[[#This Row],[Time for security2 buffer]]</f>
        <v>35</v>
      </c>
      <c r="AV60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600" s="50">
        <f>Tableau119[[#This Row],[Leadtime SI2C]]+Tableau119[[#This Row],[First Receipt Days]]-Tableau119[[#This Row],[Day Customer Order]]+1</f>
        <v>64</v>
      </c>
      <c r="AX600" s="119">
        <f>IF(Tableau119[[#This Row],[Name ILN]]&lt;&gt;"SFK Freight Forwarder",Tableau119[[#This Row],[Cust. Leadtime]],Tableau119[[#This Row],[Leadtime SI2C]])</f>
        <v>64</v>
      </c>
      <c r="AY600" s="51" t="str">
        <f>_xlfn.XLOOKUP(Tableau119[[#This Row],[Key(ID-date)]],'DATA BTO'!S:S,'DATA BTO'!P:P,FALSE)</f>
        <v>Renault &gt; Horse BPH</v>
      </c>
      <c r="AZ600" s="338">
        <v>45412</v>
      </c>
      <c r="BA600" s="50"/>
    </row>
    <row r="601" spans="2:53">
      <c r="B601" s="66" t="str">
        <f>_xlfn.CONCAT(Tableau119[[#This Row],[Name ILN]],"-",Tableau119[[#This Row],[Name Shipper]],"-",Tableau119[[#This Row],[Name Site]])</f>
        <v>ILN VLL-ILN VLL-SOFASA</v>
      </c>
      <c r="C601" s="66" t="str">
        <f>_xlfn.CONCAT(Tableau119[[#This Row],[Compte ILN]],"-",Tableau119[[#This Row],[Compte Shipper]],"-",Tableau119[[#This Row],[POL]],"-",Tableau119[[#This Row],[Compte Consignee]])</f>
        <v>91018400-91018400-FALSO-9510600</v>
      </c>
      <c r="D601" s="66" t="str">
        <f>_xlfn.CONCAT(Tableau119[[#This Row],[Compte ILN]],"-",Tableau119[[#This Row],[Compte Shipper]],"-",Tableau119[[#This Row],[POL]])</f>
        <v>91018400-91018400-FALSO</v>
      </c>
      <c r="E601" s="130" t="str">
        <f>_xlfn.CONCAT(Tableau119[[#This Row],[POL]],"-",Tableau119[[#This Row],[Carrier]],"-",Tableau119[[#This Row],[POD]])</f>
        <v>FALSO-FALSO-FALSO</v>
      </c>
      <c r="F601" s="66" t="str">
        <f>_xlfn.CONCAT(Tableau119[[#This Row],[ID]],"-","Actif")</f>
        <v>234-Actif</v>
      </c>
      <c r="G601" s="66" t="str">
        <f>_xlfn.CONCAT(Tableau119[[#This Row],[POD]],"-",Tableau119[[#This Row],[Code PFI]],"-",Tableau119[[#This Row],[Compte Consignee]])</f>
        <v>FALSO---9510600</v>
      </c>
      <c r="H6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VLLFALSOSOFASA</v>
      </c>
      <c r="I601" s="434" t="str">
        <f>_xlfn.CONCAT(Tableau119[[#This Row],[ID]],"-",Tableau119[[#This Row],[Expiration Date]])</f>
        <v>234-46142</v>
      </c>
      <c r="J6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VLL-ILN VLL-234-FALSO-FALSO-FALSO--46142</v>
      </c>
      <c r="K601" s="119" t="str">
        <f ca="1">IF(COUNTIF(J:J,Tableau119[[#This Row],[Plant-ILN-shipper-POL-Carrier-POD-PFI]])=1,"Non","Oui")</f>
        <v>Non</v>
      </c>
      <c r="L601" s="436" t="str">
        <f>VLOOKUP(Tableau119[[#This Row],[Name Site]],Plant_AILN!A:D,4,FALSE)</f>
        <v>COLOMBIA</v>
      </c>
      <c r="M601" s="285" t="s">
        <v>177</v>
      </c>
      <c r="N601" s="454">
        <f>VLOOKUP(Tableau119[[#This Row],[Name Site]],Plant_AILN!A:C,3,FALSE)</f>
        <v>9510600</v>
      </c>
      <c r="O601" s="55">
        <f>IF(Tableau119[[#This Row],[Name PFI/CDD]]="PFI VLL",2,VLOOKUP(Tableau119[[#This Row],[Compte Consignee]],Order!C:D,2,FALSE))</f>
        <v>7</v>
      </c>
      <c r="P601" s="124" t="s">
        <v>151</v>
      </c>
      <c r="Q601" s="365">
        <f>VLOOKUP(Tableau119[[#This Row],[Name ILN]],Plant_AILN!F:G,2,FALSE)</f>
        <v>91018400</v>
      </c>
      <c r="R601" s="50">
        <f>VLOOKUP(Tableau119[[#This Row],[Compte ILN]],'DATA ILN'!D:I,6,FALSE)</f>
        <v>9</v>
      </c>
      <c r="S601" s="50" t="e">
        <f>IFERROR(VLOOKUP(Tableau119[[#This Row],[Key(Compte ILN - shipper - POL - plant)]],'DATA ILN'!A:J,10,FALSE),VLOOKUP(Tableau119[[#This Row],[Key(Compte ILN - shipper - POL)]],'DATA ILN'!B:J,9,FALSE))</f>
        <v>#N/A</v>
      </c>
      <c r="T601" s="50" t="e">
        <f>IFERROR(VLOOKUP(Tableau119[[#This Row],[Key(Compte ILN - shipper - POL - plant)]],'DATA ILN'!A:K,11,FALSE),VLOOKUP(Tableau119[[#This Row],[Key(Compte ILN - shipper - POL)]],'DATA ILN'!B:K,10,FALSE))</f>
        <v>#N/A</v>
      </c>
      <c r="U601" s="50" t="e">
        <f>IFERROR(VLOOKUP(Tableau119[[#This Row],[Key(Compte ILN - shipper - POL - plant)]],'DATA ILN'!A:L,12,FALSE),VLOOKUP(Tableau119[[#This Row],[Key(Compte ILN - shipper - POL)]],'DATA ILN'!B:L,11,FALSE))</f>
        <v>#N/A</v>
      </c>
      <c r="V601" s="50" t="e">
        <f>Tableau119[[#This Row],[Day ILN Order]]+Tableau119[[#This Row],[Delivery time to ILN/Shipper]]-1</f>
        <v>#N/A</v>
      </c>
      <c r="W601" s="50" t="e">
        <f>IFERROR(VLOOKUP(Tableau119[[#This Row],[Key(Compte ILN - shipper - POL - plant)]],'DATA ILN'!A:N,14,FALSE),VLOOKUP(Tableau119[[#This Row],[Key(Compte ILN - shipper - POL)]],'DATA ILN'!B:N,13,FALSE))</f>
        <v>#N/A</v>
      </c>
      <c r="X601" s="50" t="e">
        <f>IFERROR(VLOOKUP(Tableau119[[#This Row],[Key(Compte ILN - shipper - POL - plant)]],'DATA ILN'!A:P,16,FALSE),VLOOKUP(Tableau119[[#This Row],[Key(Compte ILN - shipper - POL)]],'DATA ILN'!B:P,15,FALSE))</f>
        <v>#N/A</v>
      </c>
      <c r="Y601" s="284" t="s">
        <v>151</v>
      </c>
      <c r="Z601" s="430">
        <f>IFERROR(VLOOKUP(Tableau119[[#This Row],[Name Shipper]],Plant_AILN!L:M,2,FALSE),0)</f>
        <v>91018400</v>
      </c>
      <c r="AA601" s="406">
        <v>234</v>
      </c>
      <c r="AB601" s="396" t="b">
        <f>_xlfn.XLOOKUP(Tableau119[[#This Row],[Key(ID-date)]],'DATA BTO'!S:S,'DATA BTO'!E:E,FALSE)</f>
        <v>0</v>
      </c>
      <c r="AC601" s="3" t="b">
        <f>_xlfn.XLOOKUP(Tableau119[[#This Row],[Key(ID-date)]],'DATA BTO'!S:S,'DATA BTO'!F:F,FALSE)</f>
        <v>0</v>
      </c>
      <c r="AD601" s="50" t="b">
        <f>_xlfn.XLOOKUP(Tableau119[[#This Row],[Key(ID-date)]],'DATA BTO'!S:S,'DATA BTO'!G:G,FALSE)</f>
        <v>0</v>
      </c>
      <c r="AE601" s="50" t="b">
        <f>_xlfn.XLOOKUP(Tableau119[[#This Row],[Key(ID-date)]],'DATA BTO'!S:S,'DATA BTO'!H:H,FALSE)</f>
        <v>0</v>
      </c>
      <c r="AF601" s="447" t="e">
        <f>IF(Tableau119[[#This Row],[First Day to POL]]&lt;=Tableau119[[#This Row],[Day Cut Off]],Tableau119[[#This Row],[Day ETD]],Tableau119[[#This Row],[Day ETD]]+7)</f>
        <v>#N/A</v>
      </c>
      <c r="AG601" s="50" t="b">
        <f>_xlfn.XLOOKUP(Tableau119[[#This Row],[Key(ID-date)]],'DATA BTO'!S:S,'DATA BTO'!I:I,FALSE)</f>
        <v>0</v>
      </c>
      <c r="AH601" s="3" t="b">
        <f>_xlfn.XLOOKUP(Tableau119[[#This Row],[Key(ID-date)]],'DATA BTO'!S:S,'DATA BTO'!J:J,FALSE)</f>
        <v>0</v>
      </c>
      <c r="AI601" s="3" t="b">
        <f>_xlfn.XLOOKUP(Tableau119[[#This Row],[Key(ID-date)]],'DATA BTO'!S:S,'DATA BTO'!K:K,FALSE)</f>
        <v>0</v>
      </c>
      <c r="AJ601" s="50" t="b">
        <f>_xlfn.XLOOKUP(Tableau119[[#This Row],[Key(ID-date)]],'DATA BTO'!S:S,'DATA BTO'!L:L,FALSE)</f>
        <v>0</v>
      </c>
      <c r="AK601" s="53" t="b">
        <f>_xlfn.XLOOKUP(Tableau119[[#This Row],[Key(ID-date)]],'DATA BTO'!S:S,'DATA BTO'!N:N,FALSE)</f>
        <v>0</v>
      </c>
      <c r="AL601" s="54" t="e">
        <f>VLOOKUP(Tableau119[[#This Row],[Key(POD -PFI- Usine)]],'DATA Consignee'!A:F,6,FALSE)</f>
        <v>#N/A</v>
      </c>
      <c r="AM601" s="127"/>
      <c r="AN601" s="376" t="str">
        <f>IF(Tableau119[[#This Row],[Name PFI/CDD]]="","-",VLOOKUP(Tableau119[[#This Row],[Name PFI/CDD]],Plant_AILN!I:J,2,FALSE))</f>
        <v>-</v>
      </c>
      <c r="AO60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1" s="2" t="e">
        <f>VLOOKUP(Tableau119[[#This Row],[Key(POD -PFI- Usine)]],'DATA Consignee'!A:J,10,FALSE)</f>
        <v>#N/A</v>
      </c>
      <c r="AR601" s="50" t="e">
        <f>VLOOKUP(Tableau119[[#This Row],[Key(POD -PFI- Usine)]],'DATA Consignee'!A:N,14,FALSE)</f>
        <v>#N/A</v>
      </c>
      <c r="AS60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1" s="50">
        <f>Tableau119[[#This Row],[Transit time]]+Tableau119[[#This Row],[Time for security]]+Tableau119[[#This Row],[Time for security2 buffer]]</f>
        <v>0</v>
      </c>
      <c r="AV6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1" s="50" t="e">
        <f>Tableau119[[#This Row],[Leadtime SI2C]]+Tableau119[[#This Row],[First Receipt Days]]-Tableau119[[#This Row],[Day Customer Order]]+1</f>
        <v>#N/A</v>
      </c>
      <c r="AX601" s="119" t="e">
        <f>IF(Tableau119[[#This Row],[Name ILN]]&lt;&gt;"SFK Freight Forwarder",Tableau119[[#This Row],[Cust. Leadtime]],Tableau119[[#This Row],[Leadtime SI2C]])</f>
        <v>#N/A</v>
      </c>
      <c r="AY601" s="51" t="b">
        <f>_xlfn.XLOOKUP(Tableau119[[#This Row],[Key(ID-date)]],'DATA BTO'!S:S,'DATA BTO'!P:P,FALSE)</f>
        <v>0</v>
      </c>
      <c r="AZ601" s="338">
        <v>46142</v>
      </c>
      <c r="BA601" s="50"/>
    </row>
    <row r="602" spans="2:53">
      <c r="B602" s="446" t="str">
        <f>_xlfn.CONCAT(Tableau119[[#This Row],[Name ILN]],"-",Tableau119[[#This Row],[Name Shipper]],"-",Tableau119[[#This Row],[Name Site]])</f>
        <v>ILN VLL-ILN VLL-SOFASA</v>
      </c>
      <c r="C602" s="66" t="str">
        <f>_xlfn.CONCAT(Tableau119[[#This Row],[Compte ILN]],"-",Tableau119[[#This Row],[Compte Shipper]],"-",Tableau119[[#This Row],[POL]],"-",Tableau119[[#This Row],[Compte Consignee]])</f>
        <v>91018400-91018400-FALSO-9510600</v>
      </c>
      <c r="D602" s="66" t="str">
        <f>_xlfn.CONCAT(Tableau119[[#This Row],[Compte ILN]],"-",Tableau119[[#This Row],[Compte Shipper]],"-",Tableau119[[#This Row],[POL]])</f>
        <v>91018400-91018400-FALSO</v>
      </c>
      <c r="E602" s="130" t="str">
        <f>_xlfn.CONCAT(Tableau119[[#This Row],[POL]],"-",Tableau119[[#This Row],[Carrier]],"-",Tableau119[[#This Row],[POD]])</f>
        <v>FALSO-FALSO-FALSO</v>
      </c>
      <c r="F602" s="66" t="str">
        <f>_xlfn.CONCAT(Tableau119[[#This Row],[ID]],"-","Actif")</f>
        <v>234-Actif</v>
      </c>
      <c r="G602" s="66" t="str">
        <f>_xlfn.CONCAT(Tableau119[[#This Row],[POD]],"-",Tableau119[[#This Row],[Code PFI]],"-",Tableau119[[#This Row],[Compte Consignee]])</f>
        <v>FALSO---9510600</v>
      </c>
      <c r="H6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VLLFALSOSOFASA</v>
      </c>
      <c r="I602" s="434" t="str">
        <f>_xlfn.CONCAT(Tableau119[[#This Row],[ID]],"-",Tableau119[[#This Row],[Expiration Date]])</f>
        <v>234-45777</v>
      </c>
      <c r="J6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VLL-ILN VLL-234-FALSO-FALSO-FALSO--45777</v>
      </c>
      <c r="K602" s="119" t="str">
        <f ca="1">IF(COUNTIF(J:J,Tableau119[[#This Row],[Plant-ILN-shipper-POL-Carrier-POD-PFI]])=1,"Non","Oui")</f>
        <v>Non</v>
      </c>
      <c r="L602" s="128" t="str">
        <f>VLOOKUP(Tableau119[[#This Row],[Name Site]],Plant_AILN!A:D,4,FALSE)</f>
        <v>COLOMBIA</v>
      </c>
      <c r="M602" s="415" t="s">
        <v>177</v>
      </c>
      <c r="N602" s="455">
        <f>VLOOKUP(Tableau119[[#This Row],[Name Site]],Plant_AILN!A:C,3,FALSE)</f>
        <v>9510600</v>
      </c>
      <c r="O602" s="104">
        <f>VLOOKUP(Tableau119[[#This Row],[Compte Consignee]],Order!C:D,2,FALSE)</f>
        <v>7</v>
      </c>
      <c r="P602" s="126" t="s">
        <v>151</v>
      </c>
      <c r="Q602" s="366">
        <f>VLOOKUP(Tableau119[[#This Row],[Name ILN]],Plant_AILN!F:G,2,FALSE)</f>
        <v>91018400</v>
      </c>
      <c r="R602" s="81">
        <f>VLOOKUP(Tableau119[[#This Row],[Compte ILN]],'DATA ILN'!D:I,6,FALSE)</f>
        <v>9</v>
      </c>
      <c r="S602" s="81" t="e">
        <f>IFERROR(VLOOKUP(Tableau119[[#This Row],[Key(Compte ILN - shipper - POL - plant)]],'DATA ILN'!A:J,10,FALSE),VLOOKUP(Tableau119[[#This Row],[Key(Compte ILN - shipper - POL)]],'DATA ILN'!B:J,9,FALSE))</f>
        <v>#N/A</v>
      </c>
      <c r="T602" s="81" t="e">
        <f>IFERROR(VLOOKUP(Tableau119[[#This Row],[Key(Compte ILN - shipper - POL - plant)]],'DATA ILN'!A:K,11,FALSE),VLOOKUP(Tableau119[[#This Row],[Key(Compte ILN - shipper - POL)]],'DATA ILN'!B:K,10,FALSE))</f>
        <v>#N/A</v>
      </c>
      <c r="U602" s="81" t="e">
        <f>IFERROR(VLOOKUP(Tableau119[[#This Row],[Key(Compte ILN - shipper - POL - plant)]],'DATA ILN'!A:L,12,FALSE),VLOOKUP(Tableau119[[#This Row],[Key(Compte ILN - shipper - POL)]],'DATA ILN'!B:L,11,FALSE))</f>
        <v>#N/A</v>
      </c>
      <c r="V602" s="81" t="e">
        <f>Tableau119[[#This Row],[Day ILN Order]]+Tableau119[[#This Row],[Delivery time to ILN/Shipper]]-1</f>
        <v>#N/A</v>
      </c>
      <c r="W602" s="81" t="e">
        <f>IFERROR(VLOOKUP(Tableau119[[#This Row],[Key(Compte ILN - shipper - POL - plant)]],'DATA ILN'!A:N,14,FALSE),VLOOKUP(Tableau119[[#This Row],[Key(Compte ILN - shipper - POL)]],'DATA ILN'!B:N,13,FALSE))</f>
        <v>#N/A</v>
      </c>
      <c r="X602" s="81" t="e">
        <f>IFERROR(VLOOKUP(Tableau119[[#This Row],[Key(Compte ILN - shipper - POL - plant)]],'DATA ILN'!A:P,16,FALSE),VLOOKUP(Tableau119[[#This Row],[Key(Compte ILN - shipper - POL)]],'DATA ILN'!B:P,15,FALSE))</f>
        <v>#N/A</v>
      </c>
      <c r="Y602" s="102" t="s">
        <v>151</v>
      </c>
      <c r="Z602" s="417">
        <f>IFERROR(VLOOKUP(Tableau119[[#This Row],[Name Shipper]],Plant_AILN!L:M,2,FALSE),0)</f>
        <v>91018400</v>
      </c>
      <c r="AA602" s="416">
        <v>234</v>
      </c>
      <c r="AB602" s="396" t="b">
        <f>_xlfn.XLOOKUP(Tableau119[[#This Row],[Key(ID-date)]],'DATA BTO'!S:S,'DATA BTO'!E:E,FALSE)</f>
        <v>0</v>
      </c>
      <c r="AC602" s="3" t="b">
        <f>_xlfn.XLOOKUP(Tableau119[[#This Row],[Key(ID-date)]],'DATA BTO'!S:S,'DATA BTO'!F:F,FALSE)</f>
        <v>0</v>
      </c>
      <c r="AD602" s="50" t="b">
        <f>_xlfn.XLOOKUP(Tableau119[[#This Row],[Key(ID-date)]],'DATA BTO'!S:S,'DATA BTO'!G:G,FALSE)</f>
        <v>0</v>
      </c>
      <c r="AE602" s="50" t="b">
        <f>_xlfn.XLOOKUP(Tableau119[[#This Row],[Key(ID-date)]],'DATA BTO'!S:S,'DATA BTO'!H:H,FALSE)</f>
        <v>0</v>
      </c>
      <c r="AF602" s="447" t="e">
        <f>IF(Tableau119[[#This Row],[First Day to POL]]&lt;=Tableau119[[#This Row],[Day Cut Off]],Tableau119[[#This Row],[Day ETD]],Tableau119[[#This Row],[Day ETD]]+7)</f>
        <v>#N/A</v>
      </c>
      <c r="AG602" s="50" t="b">
        <f>_xlfn.XLOOKUP(Tableau119[[#This Row],[Key(ID-date)]],'DATA BTO'!S:S,'DATA BTO'!I:I,FALSE)</f>
        <v>0</v>
      </c>
      <c r="AH602" s="3" t="b">
        <f>_xlfn.XLOOKUP(Tableau119[[#This Row],[Key(ID-date)]],'DATA BTO'!S:S,'DATA BTO'!J:J,FALSE)</f>
        <v>0</v>
      </c>
      <c r="AI602" s="3" t="b">
        <f>_xlfn.XLOOKUP(Tableau119[[#This Row],[Key(ID-date)]],'DATA BTO'!S:S,'DATA BTO'!K:K,FALSE)</f>
        <v>0</v>
      </c>
      <c r="AJ602" s="50" t="b">
        <f>_xlfn.XLOOKUP(Tableau119[[#This Row],[Key(ID-date)]],'DATA BTO'!S:S,'DATA BTO'!L:L,FALSE)</f>
        <v>0</v>
      </c>
      <c r="AK602" s="53" t="b">
        <f>_xlfn.XLOOKUP(Tableau119[[#This Row],[Key(ID-date)]],'DATA BTO'!S:S,'DATA BTO'!N:N,FALSE)</f>
        <v>0</v>
      </c>
      <c r="AL602" s="54" t="e">
        <f>VLOOKUP(Tableau119[[#This Row],[Key(POD -PFI- Usine)]],'DATA Consignee'!A:F,6,FALSE)</f>
        <v>#N/A</v>
      </c>
      <c r="AM602" s="127"/>
      <c r="AN602" s="375" t="str">
        <f>IF(Tableau119[[#This Row],[Name PFI/CDD]]="","-",VLOOKUP(Tableau119[[#This Row],[Name PFI/CDD]],Plant_AILN!I:J,2,FALSE))</f>
        <v>-</v>
      </c>
      <c r="AO60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2" s="110" t="e">
        <f>VLOOKUP(Tableau119[[#This Row],[Key(POD -PFI- Usine)]],'DATA Consignee'!A:J,10,FALSE)</f>
        <v>#N/A</v>
      </c>
      <c r="AR602" s="81" t="e">
        <f>VLOOKUP(Tableau119[[#This Row],[Key(POD -PFI- Usine)]],'DATA Consignee'!A:N,14,FALSE)</f>
        <v>#N/A</v>
      </c>
      <c r="AS60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2" s="81">
        <f>Tableau119[[#This Row],[Transit time]]+Tableau119[[#This Row],[Time for security]]+Tableau119[[#This Row],[Time for security2 buffer]]</f>
        <v>0</v>
      </c>
      <c r="AV6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2" s="50" t="e">
        <f>Tableau119[[#This Row],[Leadtime SI2C]]+Tableau119[[#This Row],[First Receipt Days]]-Tableau119[[#This Row],[Day Customer Order]]+1</f>
        <v>#N/A</v>
      </c>
      <c r="AX602" s="119" t="e">
        <f>IF(Tableau119[[#This Row],[Name ILN]]&lt;&gt;"SFK Freight Forwarder",Tableau119[[#This Row],[Cust. Leadtime]],Tableau119[[#This Row],[Leadtime SI2C]])</f>
        <v>#N/A</v>
      </c>
      <c r="AY602" s="51" t="b">
        <f>_xlfn.XLOOKUP(Tableau119[[#This Row],[Key(ID-date)]],'DATA BTO'!S:S,'DATA BTO'!P:P,FALSE)</f>
        <v>0</v>
      </c>
      <c r="AZ602" s="388">
        <v>45777</v>
      </c>
      <c r="BA602" s="81"/>
    </row>
    <row r="603" spans="2:53">
      <c r="B603" s="446" t="str">
        <f>_xlfn.CONCAT(Tableau119[[#This Row],[Name ILN]],"-",Tableau119[[#This Row],[Name Shipper]],"-",Tableau119[[#This Row],[Name Site]])</f>
        <v>ILN VLL-ILN VLL-SOFASA</v>
      </c>
      <c r="C603" s="66" t="str">
        <f>_xlfn.CONCAT(Tableau119[[#This Row],[Compte ILN]],"-",Tableau119[[#This Row],[Compte Shipper]],"-",Tableau119[[#This Row],[POL]],"-",Tableau119[[#This Row],[Compte Consignee]])</f>
        <v>91018400-91018400-FALSO-9510600</v>
      </c>
      <c r="D603" s="66" t="str">
        <f>_xlfn.CONCAT(Tableau119[[#This Row],[Compte ILN]],"-",Tableau119[[#This Row],[Compte Shipper]],"-",Tableau119[[#This Row],[POL]])</f>
        <v>91018400-91018400-FALSO</v>
      </c>
      <c r="E603" s="130" t="str">
        <f>_xlfn.CONCAT(Tableau119[[#This Row],[POL]],"-",Tableau119[[#This Row],[Carrier]],"-",Tableau119[[#This Row],[POD]])</f>
        <v>FALSO-FALSO-FALSO</v>
      </c>
      <c r="F603" s="66" t="str">
        <f>_xlfn.CONCAT(Tableau119[[#This Row],[ID]],"-","Actif")</f>
        <v>234-Actif</v>
      </c>
      <c r="G603" s="66" t="str">
        <f>_xlfn.CONCAT(Tableau119[[#This Row],[POD]],"-",Tableau119[[#This Row],[Code PFI]],"-",Tableau119[[#This Row],[Compte Consignee]])</f>
        <v>FALSO---9510600</v>
      </c>
      <c r="H6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VLLFALSOSOFASA</v>
      </c>
      <c r="I603" s="434" t="str">
        <f>_xlfn.CONCAT(Tableau119[[#This Row],[ID]],"-",Tableau119[[#This Row],[Expiration Date]])</f>
        <v>234-45473</v>
      </c>
      <c r="J6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VLL-ILN VLL-234-FALSO-FALSO-FALSO--45473</v>
      </c>
      <c r="K603" s="119" t="str">
        <f ca="1">IF(COUNTIF(J:J,Tableau119[[#This Row],[Plant-ILN-shipper-POL-Carrier-POD-PFI]])=1,"Non","Oui")</f>
        <v>Non</v>
      </c>
      <c r="L603" s="128" t="str">
        <f>VLOOKUP(Tableau119[[#This Row],[Name Site]],Plant_AILN!A:D,4,FALSE)</f>
        <v>COLOMBIA</v>
      </c>
      <c r="M603" s="411" t="s">
        <v>177</v>
      </c>
      <c r="N603" s="454">
        <f>VLOOKUP(Tableau119[[#This Row],[Name Site]],Plant_AILN!A:C,3,FALSE)</f>
        <v>9510600</v>
      </c>
      <c r="O603" s="55">
        <f>VLOOKUP(Tableau119[[#This Row],[Compte Consignee]],Order!C:D,2,FALSE)</f>
        <v>7</v>
      </c>
      <c r="P603" s="124" t="s">
        <v>151</v>
      </c>
      <c r="Q603" s="365">
        <f>VLOOKUP(Tableau119[[#This Row],[Name ILN]],Plant_AILN!F:G,2,FALSE)</f>
        <v>91018400</v>
      </c>
      <c r="R603" s="50">
        <f>VLOOKUP(Tableau119[[#This Row],[Compte ILN]],'DATA ILN'!D:I,6,FALSE)</f>
        <v>9</v>
      </c>
      <c r="S603" s="50" t="e">
        <f>IFERROR(VLOOKUP(Tableau119[[#This Row],[Key(Compte ILN - shipper - POL - plant)]],'DATA ILN'!A:J,10,FALSE),VLOOKUP(Tableau119[[#This Row],[Key(Compte ILN - shipper - POL)]],'DATA ILN'!B:J,9,FALSE))</f>
        <v>#N/A</v>
      </c>
      <c r="T603" s="50" t="e">
        <f>IFERROR(VLOOKUP(Tableau119[[#This Row],[Key(Compte ILN - shipper - POL - plant)]],'DATA ILN'!A:K,11,FALSE),VLOOKUP(Tableau119[[#This Row],[Key(Compte ILN - shipper - POL)]],'DATA ILN'!B:K,10,FALSE))</f>
        <v>#N/A</v>
      </c>
      <c r="U603" s="50" t="e">
        <f>IFERROR(VLOOKUP(Tableau119[[#This Row],[Key(Compte ILN - shipper - POL - plant)]],'DATA ILN'!A:L,12,FALSE),VLOOKUP(Tableau119[[#This Row],[Key(Compte ILN - shipper - POL)]],'DATA ILN'!B:L,11,FALSE))</f>
        <v>#N/A</v>
      </c>
      <c r="V603" s="50" t="e">
        <f>Tableau119[[#This Row],[Day ILN Order]]+Tableau119[[#This Row],[Delivery time to ILN/Shipper]]-1</f>
        <v>#N/A</v>
      </c>
      <c r="W603" s="50" t="e">
        <f>IFERROR(VLOOKUP(Tableau119[[#This Row],[Key(Compte ILN - shipper - POL - plant)]],'DATA ILN'!A:N,14,FALSE),VLOOKUP(Tableau119[[#This Row],[Key(Compte ILN - shipper - POL)]],'DATA ILN'!B:N,13,FALSE))</f>
        <v>#N/A</v>
      </c>
      <c r="X603" s="50" t="e">
        <f>IFERROR(VLOOKUP(Tableau119[[#This Row],[Key(Compte ILN - shipper - POL - plant)]],'DATA ILN'!A:P,16,FALSE),VLOOKUP(Tableau119[[#This Row],[Key(Compte ILN - shipper - POL)]],'DATA ILN'!B:P,15,FALSE))</f>
        <v>#N/A</v>
      </c>
      <c r="Y603" s="284" t="s">
        <v>151</v>
      </c>
      <c r="Z603" s="430">
        <f>IFERROR(VLOOKUP(Tableau119[[#This Row],[Name Shipper]],Plant_AILN!L:M,2,FALSE),0)</f>
        <v>91018400</v>
      </c>
      <c r="AA603" s="406">
        <v>234</v>
      </c>
      <c r="AB603" s="396" t="b">
        <f>_xlfn.XLOOKUP(Tableau119[[#This Row],[Key(ID-date)]],'DATA BTO'!S:S,'DATA BTO'!E:E,FALSE)</f>
        <v>0</v>
      </c>
      <c r="AC603" s="3" t="b">
        <f>_xlfn.XLOOKUP(Tableau119[[#This Row],[Key(ID-date)]],'DATA BTO'!S:S,'DATA BTO'!F:F,FALSE)</f>
        <v>0</v>
      </c>
      <c r="AD603" s="50" t="b">
        <f>_xlfn.XLOOKUP(Tableau119[[#This Row],[Key(ID-date)]],'DATA BTO'!S:S,'DATA BTO'!G:G,FALSE)</f>
        <v>0</v>
      </c>
      <c r="AE603" s="50" t="b">
        <f>_xlfn.XLOOKUP(Tableau119[[#This Row],[Key(ID-date)]],'DATA BTO'!S:S,'DATA BTO'!H:H,FALSE)</f>
        <v>0</v>
      </c>
      <c r="AF603" s="447" t="e">
        <f>IF(Tableau119[[#This Row],[First Day to POL]]&lt;=Tableau119[[#This Row],[Day Cut Off]],Tableau119[[#This Row],[Day ETD]],Tableau119[[#This Row],[Day ETD]]+7)</f>
        <v>#N/A</v>
      </c>
      <c r="AG603" s="50" t="b">
        <f>_xlfn.XLOOKUP(Tableau119[[#This Row],[Key(ID-date)]],'DATA BTO'!S:S,'DATA BTO'!I:I,FALSE)</f>
        <v>0</v>
      </c>
      <c r="AH603" s="3" t="b">
        <f>_xlfn.XLOOKUP(Tableau119[[#This Row],[Key(ID-date)]],'DATA BTO'!S:S,'DATA BTO'!J:J,FALSE)</f>
        <v>0</v>
      </c>
      <c r="AI603" s="3" t="b">
        <f>_xlfn.XLOOKUP(Tableau119[[#This Row],[Key(ID-date)]],'DATA BTO'!S:S,'DATA BTO'!K:K,FALSE)</f>
        <v>0</v>
      </c>
      <c r="AJ603" s="50" t="b">
        <f>_xlfn.XLOOKUP(Tableau119[[#This Row],[Key(ID-date)]],'DATA BTO'!S:S,'DATA BTO'!L:L,FALSE)</f>
        <v>0</v>
      </c>
      <c r="AK603" s="53" t="b">
        <f>_xlfn.XLOOKUP(Tableau119[[#This Row],[Key(ID-date)]],'DATA BTO'!S:S,'DATA BTO'!N:N,FALSE)</f>
        <v>0</v>
      </c>
      <c r="AL603" s="54" t="e">
        <f>VLOOKUP(Tableau119[[#This Row],[Key(POD -PFI- Usine)]],'DATA Consignee'!A:F,6,FALSE)</f>
        <v>#N/A</v>
      </c>
      <c r="AM603" s="127"/>
      <c r="AN603" s="376" t="str">
        <f>IF(Tableau119[[#This Row],[Name PFI/CDD]]="","-",VLOOKUP(Tableau119[[#This Row],[Name PFI/CDD]],Plant_AILN!I:J,2,FALSE))</f>
        <v>-</v>
      </c>
      <c r="AO60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3" s="2" t="e">
        <f>VLOOKUP(Tableau119[[#This Row],[Key(POD -PFI- Usine)]],'DATA Consignee'!A:J,10,FALSE)</f>
        <v>#N/A</v>
      </c>
      <c r="AR603" s="50" t="e">
        <f>VLOOKUP(Tableau119[[#This Row],[Key(POD -PFI- Usine)]],'DATA Consignee'!A:N,14,FALSE)</f>
        <v>#N/A</v>
      </c>
      <c r="AS60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3" s="50">
        <f>Tableau119[[#This Row],[Transit time]]+Tableau119[[#This Row],[Time for security]]+Tableau119[[#This Row],[Time for security2 buffer]]</f>
        <v>0</v>
      </c>
      <c r="AV6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3" s="50" t="e">
        <f>Tableau119[[#This Row],[Leadtime SI2C]]+Tableau119[[#This Row],[First Receipt Days]]-Tableau119[[#This Row],[Day Customer Order]]+1</f>
        <v>#N/A</v>
      </c>
      <c r="AX603" s="119" t="e">
        <f>IF(Tableau119[[#This Row],[Name ILN]]&lt;&gt;"SFK Freight Forwarder",Tableau119[[#This Row],[Cust. Leadtime]],Tableau119[[#This Row],[Leadtime SI2C]])</f>
        <v>#N/A</v>
      </c>
      <c r="AY603" s="51" t="b">
        <f>_xlfn.XLOOKUP(Tableau119[[#This Row],[Key(ID-date)]],'DATA BTO'!S:S,'DATA BTO'!P:P,FALSE)</f>
        <v>0</v>
      </c>
      <c r="AZ603" s="338">
        <v>45473</v>
      </c>
      <c r="BA603" s="50"/>
    </row>
    <row r="604" spans="2:53">
      <c r="B604" s="446" t="str">
        <f>_xlfn.CONCAT(Tableau119[[#This Row],[Name ILN]],"-",Tableau119[[#This Row],[Name Shipper]],"-",Tableau119[[#This Row],[Name Site]])</f>
        <v>ILN VLL-ILN VLL-SOFASA</v>
      </c>
      <c r="C604" s="66" t="str">
        <f>_xlfn.CONCAT(Tableau119[[#This Row],[Compte ILN]],"-",Tableau119[[#This Row],[Compte Shipper]],"-",Tableau119[[#This Row],[POL]],"-",Tableau119[[#This Row],[Compte Consignee]])</f>
        <v>91018400-91018400-FALSO-9510600</v>
      </c>
      <c r="D604" s="66" t="str">
        <f>_xlfn.CONCAT(Tableau119[[#This Row],[Compte ILN]],"-",Tableau119[[#This Row],[Compte Shipper]],"-",Tableau119[[#This Row],[POL]])</f>
        <v>91018400-91018400-FALSO</v>
      </c>
      <c r="E604" s="130" t="str">
        <f>_xlfn.CONCAT(Tableau119[[#This Row],[POL]],"-",Tableau119[[#This Row],[Carrier]],"-",Tableau119[[#This Row],[POD]])</f>
        <v>FALSO-FALSO-FALSO</v>
      </c>
      <c r="F604" s="66" t="str">
        <f>_xlfn.CONCAT(Tableau119[[#This Row],[ID]],"-","Actif")</f>
        <v>234-Actif</v>
      </c>
      <c r="G604" s="66" t="str">
        <f>_xlfn.CONCAT(Tableau119[[#This Row],[POD]],"-",Tableau119[[#This Row],[Code PFI]],"-",Tableau119[[#This Row],[Compte Consignee]])</f>
        <v>FALSO---9510600</v>
      </c>
      <c r="H6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VLLFALSOSOFASA</v>
      </c>
      <c r="I604" s="434" t="str">
        <f>_xlfn.CONCAT(Tableau119[[#This Row],[ID]],"-",Tableau119[[#This Row],[Expiration Date]])</f>
        <v>234-45412</v>
      </c>
      <c r="J6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VLL-ILN VLL-234-FALSO-FALSO-FALSO--45412</v>
      </c>
      <c r="K604" s="119" t="str">
        <f ca="1">IF(COUNTIF(J:J,Tableau119[[#This Row],[Plant-ILN-shipper-POL-Carrier-POD-PFI]])=1,"Non","Oui")</f>
        <v>Non</v>
      </c>
      <c r="L604" s="128" t="str">
        <f>VLOOKUP(Tableau119[[#This Row],[Name Site]],Plant_AILN!A:D,4,FALSE)</f>
        <v>COLOMBIA</v>
      </c>
      <c r="M604" s="415" t="s">
        <v>177</v>
      </c>
      <c r="N604" s="455">
        <f>VLOOKUP(Tableau119[[#This Row],[Name Site]],Plant_AILN!A:C,3,FALSE)</f>
        <v>9510600</v>
      </c>
      <c r="O604" s="104">
        <f>VLOOKUP(Tableau119[[#This Row],[Compte Consignee]],Order!C:D,2,FALSE)</f>
        <v>7</v>
      </c>
      <c r="P604" s="126" t="s">
        <v>151</v>
      </c>
      <c r="Q604" s="366">
        <f>VLOOKUP(Tableau119[[#This Row],[Name ILN]],Plant_AILN!F:G,2,FALSE)</f>
        <v>91018400</v>
      </c>
      <c r="R604" s="81">
        <f>VLOOKUP(Tableau119[[#This Row],[Compte ILN]],'DATA ILN'!D:I,6,FALSE)</f>
        <v>9</v>
      </c>
      <c r="S604" s="81" t="e">
        <f>IFERROR(VLOOKUP(Tableau119[[#This Row],[Key(Compte ILN - shipper - POL - plant)]],'DATA ILN'!A:J,10,FALSE),VLOOKUP(Tableau119[[#This Row],[Key(Compte ILN - shipper - POL)]],'DATA ILN'!B:J,9,FALSE))</f>
        <v>#N/A</v>
      </c>
      <c r="T604" s="81" t="e">
        <f>IFERROR(VLOOKUP(Tableau119[[#This Row],[Key(Compte ILN - shipper - POL - plant)]],'DATA ILN'!A:K,11,FALSE),VLOOKUP(Tableau119[[#This Row],[Key(Compte ILN - shipper - POL)]],'DATA ILN'!B:K,10,FALSE))</f>
        <v>#N/A</v>
      </c>
      <c r="U604" s="81" t="e">
        <f>IFERROR(VLOOKUP(Tableau119[[#This Row],[Key(Compte ILN - shipper - POL - plant)]],'DATA ILN'!A:L,12,FALSE),VLOOKUP(Tableau119[[#This Row],[Key(Compte ILN - shipper - POL)]],'DATA ILN'!B:L,11,FALSE))</f>
        <v>#N/A</v>
      </c>
      <c r="V604" s="81" t="e">
        <f>Tableau119[[#This Row],[Day ILN Order]]+Tableau119[[#This Row],[Delivery time to ILN/Shipper]]-1</f>
        <v>#N/A</v>
      </c>
      <c r="W604" s="81" t="e">
        <f>IFERROR(VLOOKUP(Tableau119[[#This Row],[Key(Compte ILN - shipper - POL - plant)]],'DATA ILN'!A:N,14,FALSE),VLOOKUP(Tableau119[[#This Row],[Key(Compte ILN - shipper - POL)]],'DATA ILN'!B:N,13,FALSE))</f>
        <v>#N/A</v>
      </c>
      <c r="X604" s="81" t="e">
        <f>IFERROR(VLOOKUP(Tableau119[[#This Row],[Key(Compte ILN - shipper - POL - plant)]],'DATA ILN'!A:P,16,FALSE),VLOOKUP(Tableau119[[#This Row],[Key(Compte ILN - shipper - POL)]],'DATA ILN'!B:P,15,FALSE))</f>
        <v>#N/A</v>
      </c>
      <c r="Y604" s="102" t="s">
        <v>151</v>
      </c>
      <c r="Z604" s="417">
        <f>IFERROR(VLOOKUP(Tableau119[[#This Row],[Name Shipper]],Plant_AILN!L:M,2,FALSE),0)</f>
        <v>91018400</v>
      </c>
      <c r="AA604" s="416">
        <v>234</v>
      </c>
      <c r="AB604" s="396" t="b">
        <f>_xlfn.XLOOKUP(Tableau119[[#This Row],[Key(ID-date)]],'DATA BTO'!S:S,'DATA BTO'!E:E,FALSE)</f>
        <v>0</v>
      </c>
      <c r="AC604" s="3" t="b">
        <f>_xlfn.XLOOKUP(Tableau119[[#This Row],[Key(ID-date)]],'DATA BTO'!S:S,'DATA BTO'!F:F,FALSE)</f>
        <v>0</v>
      </c>
      <c r="AD604" s="50" t="b">
        <f>_xlfn.XLOOKUP(Tableau119[[#This Row],[Key(ID-date)]],'DATA BTO'!S:S,'DATA BTO'!G:G,FALSE)</f>
        <v>0</v>
      </c>
      <c r="AE604" s="50" t="b">
        <f>_xlfn.XLOOKUP(Tableau119[[#This Row],[Key(ID-date)]],'DATA BTO'!S:S,'DATA BTO'!H:H,FALSE)</f>
        <v>0</v>
      </c>
      <c r="AF604" s="447" t="e">
        <f>IF(Tableau119[[#This Row],[First Day to POL]]&lt;=Tableau119[[#This Row],[Day Cut Off]],Tableau119[[#This Row],[Day ETD]],Tableau119[[#This Row],[Day ETD]]+7)</f>
        <v>#N/A</v>
      </c>
      <c r="AG604" s="50" t="b">
        <f>_xlfn.XLOOKUP(Tableau119[[#This Row],[Key(ID-date)]],'DATA BTO'!S:S,'DATA BTO'!I:I,FALSE)</f>
        <v>0</v>
      </c>
      <c r="AH604" s="3" t="b">
        <f>_xlfn.XLOOKUP(Tableau119[[#This Row],[Key(ID-date)]],'DATA BTO'!S:S,'DATA BTO'!J:J,FALSE)</f>
        <v>0</v>
      </c>
      <c r="AI604" s="3" t="b">
        <f>_xlfn.XLOOKUP(Tableau119[[#This Row],[Key(ID-date)]],'DATA BTO'!S:S,'DATA BTO'!K:K,FALSE)</f>
        <v>0</v>
      </c>
      <c r="AJ604" s="50" t="b">
        <f>_xlfn.XLOOKUP(Tableau119[[#This Row],[Key(ID-date)]],'DATA BTO'!S:S,'DATA BTO'!L:L,FALSE)</f>
        <v>0</v>
      </c>
      <c r="AK604" s="53" t="b">
        <f>_xlfn.XLOOKUP(Tableau119[[#This Row],[Key(ID-date)]],'DATA BTO'!S:S,'DATA BTO'!N:N,FALSE)</f>
        <v>0</v>
      </c>
      <c r="AL604" s="54" t="e">
        <f>VLOOKUP(Tableau119[[#This Row],[Key(POD -PFI- Usine)]],'DATA Consignee'!A:F,6,FALSE)</f>
        <v>#N/A</v>
      </c>
      <c r="AM604" s="127"/>
      <c r="AN604" s="375" t="str">
        <f>IF(Tableau119[[#This Row],[Name PFI/CDD]]="","-",VLOOKUP(Tableau119[[#This Row],[Name PFI/CDD]],Plant_AILN!I:J,2,FALSE))</f>
        <v>-</v>
      </c>
      <c r="AO60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4" s="110" t="e">
        <f>VLOOKUP(Tableau119[[#This Row],[Key(POD -PFI- Usine)]],'DATA Consignee'!A:J,10,FALSE)</f>
        <v>#N/A</v>
      </c>
      <c r="AR604" s="81" t="e">
        <f>VLOOKUP(Tableau119[[#This Row],[Key(POD -PFI- Usine)]],'DATA Consignee'!A:N,14,FALSE)</f>
        <v>#N/A</v>
      </c>
      <c r="AS60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4" s="81">
        <f>Tableau119[[#This Row],[Transit time]]+Tableau119[[#This Row],[Time for security]]+Tableau119[[#This Row],[Time for security2 buffer]]</f>
        <v>0</v>
      </c>
      <c r="AV6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4" s="50" t="e">
        <f>Tableau119[[#This Row],[Leadtime SI2C]]+Tableau119[[#This Row],[First Receipt Days]]-Tableau119[[#This Row],[Day Customer Order]]+1</f>
        <v>#N/A</v>
      </c>
      <c r="AX604" s="119" t="e">
        <f>IF(Tableau119[[#This Row],[Name ILN]]&lt;&gt;"SFK Freight Forwarder",Tableau119[[#This Row],[Cust. Leadtime]],Tableau119[[#This Row],[Leadtime SI2C]])</f>
        <v>#N/A</v>
      </c>
      <c r="AY604" s="51" t="b">
        <f>_xlfn.XLOOKUP(Tableau119[[#This Row],[Key(ID-date)]],'DATA BTO'!S:S,'DATA BTO'!P:P,FALSE)</f>
        <v>0</v>
      </c>
      <c r="AZ604" s="388">
        <v>45412</v>
      </c>
      <c r="BA604" s="81"/>
    </row>
    <row r="605" spans="2:53">
      <c r="B605" s="66" t="str">
        <f>_xlfn.CONCAT(Tableau119[[#This Row],[Name ILN]],"-",Tableau119[[#This Row],[Name Shipper]],"-",Tableau119[[#This Row],[Name Site]])</f>
        <v>ILN VLL-ILN VLL-CHENNAI Powertrain</v>
      </c>
      <c r="C605" s="66" t="str">
        <f>_xlfn.CONCAT(Tableau119[[#This Row],[Compte ILN]],"-",Tableau119[[#This Row],[Compte Shipper]],"-",Tableau119[[#This Row],[POL]],"-",Tableau119[[#This Row],[Compte Consignee]])</f>
        <v>91018400-91018400-FALSO-26549500</v>
      </c>
      <c r="D605" s="66" t="str">
        <f>_xlfn.CONCAT(Tableau119[[#This Row],[Compte ILN]],"-",Tableau119[[#This Row],[Compte Shipper]],"-",Tableau119[[#This Row],[POL]])</f>
        <v>91018400-91018400-FALSO</v>
      </c>
      <c r="E605" s="130" t="str">
        <f>_xlfn.CONCAT(Tableau119[[#This Row],[POL]],"-",Tableau119[[#This Row],[Carrier]],"-",Tableau119[[#This Row],[POD]])</f>
        <v>FALSO-FALSO-FALSO</v>
      </c>
      <c r="F605" s="66" t="str">
        <f>_xlfn.CONCAT(Tableau119[[#This Row],[ID]],"-","Actif")</f>
        <v>237-Actif</v>
      </c>
      <c r="G605" s="66" t="str">
        <f>_xlfn.CONCAT(Tableau119[[#This Row],[POD]],"-",Tableau119[[#This Row],[Code PFI]],"-",Tableau119[[#This Row],[Compte Consignee]])</f>
        <v>FALSO---26549500</v>
      </c>
      <c r="H6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Powertrain</v>
      </c>
      <c r="I605" s="434" t="str">
        <f>_xlfn.CONCAT(Tableau119[[#This Row],[ID]],"-",Tableau119[[#This Row],[Expiration Date]])</f>
        <v>237-46142</v>
      </c>
      <c r="J6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VLL-ILN VLL-237-FALSO-FALSO-FALSO--46142</v>
      </c>
      <c r="K605" s="119" t="str">
        <f ca="1">IF(COUNTIF(J:J,Tableau119[[#This Row],[Plant-ILN-shipper-POL-Carrier-POD-PFI]])=1,"Non","Oui")</f>
        <v>Non</v>
      </c>
      <c r="L605" s="436" t="str">
        <f>VLOOKUP(Tableau119[[#This Row],[Name Site]],Plant_AILN!A:D,4,FALSE)</f>
        <v>INDIA</v>
      </c>
      <c r="M605" s="285" t="s">
        <v>221</v>
      </c>
      <c r="N605" s="454">
        <f>VLOOKUP(Tableau119[[#This Row],[Name Site]],Plant_AILN!A:C,3,FALSE)</f>
        <v>26549500</v>
      </c>
      <c r="O605" s="55">
        <f>IF(Tableau119[[#This Row],[Name PFI/CDD]]="PFI VLL",2,VLOOKUP(Tableau119[[#This Row],[Compte Consignee]],Order!C:D,2,FALSE))</f>
        <v>5</v>
      </c>
      <c r="P605" s="124" t="s">
        <v>151</v>
      </c>
      <c r="Q605" s="365">
        <f>VLOOKUP(Tableau119[[#This Row],[Name ILN]],Plant_AILN!F:G,2,FALSE)</f>
        <v>91018400</v>
      </c>
      <c r="R605" s="50">
        <f>VLOOKUP(Tableau119[[#This Row],[Compte ILN]],'DATA ILN'!D:I,6,FALSE)</f>
        <v>9</v>
      </c>
      <c r="S605" s="50" t="e">
        <f>IFERROR(VLOOKUP(Tableau119[[#This Row],[Key(Compte ILN - shipper - POL - plant)]],'DATA ILN'!A:J,10,FALSE),VLOOKUP(Tableau119[[#This Row],[Key(Compte ILN - shipper - POL)]],'DATA ILN'!B:J,9,FALSE))</f>
        <v>#N/A</v>
      </c>
      <c r="T605" s="50" t="e">
        <f>IFERROR(VLOOKUP(Tableau119[[#This Row],[Key(Compte ILN - shipper - POL - plant)]],'DATA ILN'!A:K,11,FALSE),VLOOKUP(Tableau119[[#This Row],[Key(Compte ILN - shipper - POL)]],'DATA ILN'!B:K,10,FALSE))</f>
        <v>#N/A</v>
      </c>
      <c r="U605" s="50" t="e">
        <f>IFERROR(VLOOKUP(Tableau119[[#This Row],[Key(Compte ILN - shipper - POL - plant)]],'DATA ILN'!A:L,12,FALSE),VLOOKUP(Tableau119[[#This Row],[Key(Compte ILN - shipper - POL)]],'DATA ILN'!B:L,11,FALSE))</f>
        <v>#N/A</v>
      </c>
      <c r="V605" s="50" t="e">
        <f>Tableau119[[#This Row],[Day ILN Order]]+Tableau119[[#This Row],[Delivery time to ILN/Shipper]]-1</f>
        <v>#N/A</v>
      </c>
      <c r="W605" s="50" t="e">
        <f>IFERROR(VLOOKUP(Tableau119[[#This Row],[Key(Compte ILN - shipper - POL - plant)]],'DATA ILN'!A:N,14,FALSE),VLOOKUP(Tableau119[[#This Row],[Key(Compte ILN - shipper - POL)]],'DATA ILN'!B:N,13,FALSE))</f>
        <v>#N/A</v>
      </c>
      <c r="X605" s="50" t="e">
        <f>IFERROR(VLOOKUP(Tableau119[[#This Row],[Key(Compte ILN - shipper - POL - plant)]],'DATA ILN'!A:P,16,FALSE),VLOOKUP(Tableau119[[#This Row],[Key(Compte ILN - shipper - POL)]],'DATA ILN'!B:P,15,FALSE))</f>
        <v>#N/A</v>
      </c>
      <c r="Y605" s="284" t="s">
        <v>151</v>
      </c>
      <c r="Z605" s="430">
        <f>IFERROR(VLOOKUP(Tableau119[[#This Row],[Name Shipper]],Plant_AILN!L:M,2,FALSE),0)</f>
        <v>91018400</v>
      </c>
      <c r="AA605" s="406">
        <v>237</v>
      </c>
      <c r="AB605" s="396" t="b">
        <f>_xlfn.XLOOKUP(Tableau119[[#This Row],[Key(ID-date)]],'DATA BTO'!S:S,'DATA BTO'!E:E,FALSE)</f>
        <v>0</v>
      </c>
      <c r="AC605" s="3" t="b">
        <f>_xlfn.XLOOKUP(Tableau119[[#This Row],[Key(ID-date)]],'DATA BTO'!S:S,'DATA BTO'!F:F,FALSE)</f>
        <v>0</v>
      </c>
      <c r="AD605" s="50" t="b">
        <f>_xlfn.XLOOKUP(Tableau119[[#This Row],[Key(ID-date)]],'DATA BTO'!S:S,'DATA BTO'!G:G,FALSE)</f>
        <v>0</v>
      </c>
      <c r="AE605" s="50" t="b">
        <f>_xlfn.XLOOKUP(Tableau119[[#This Row],[Key(ID-date)]],'DATA BTO'!S:S,'DATA BTO'!H:H,FALSE)</f>
        <v>0</v>
      </c>
      <c r="AF605" s="447" t="e">
        <f>IF(Tableau119[[#This Row],[First Day to POL]]&lt;=Tableau119[[#This Row],[Day Cut Off]],Tableau119[[#This Row],[Day ETD]],Tableau119[[#This Row],[Day ETD]]+7)</f>
        <v>#N/A</v>
      </c>
      <c r="AG605" s="50" t="b">
        <f>_xlfn.XLOOKUP(Tableau119[[#This Row],[Key(ID-date)]],'DATA BTO'!S:S,'DATA BTO'!I:I,FALSE)</f>
        <v>0</v>
      </c>
      <c r="AH605" s="3" t="b">
        <f>_xlfn.XLOOKUP(Tableau119[[#This Row],[Key(ID-date)]],'DATA BTO'!S:S,'DATA BTO'!J:J,FALSE)</f>
        <v>0</v>
      </c>
      <c r="AI605" s="3" t="b">
        <f>_xlfn.XLOOKUP(Tableau119[[#This Row],[Key(ID-date)]],'DATA BTO'!S:S,'DATA BTO'!K:K,FALSE)</f>
        <v>0</v>
      </c>
      <c r="AJ605" s="50" t="b">
        <f>_xlfn.XLOOKUP(Tableau119[[#This Row],[Key(ID-date)]],'DATA BTO'!S:S,'DATA BTO'!L:L,FALSE)</f>
        <v>0</v>
      </c>
      <c r="AK605" s="53" t="b">
        <f>_xlfn.XLOOKUP(Tableau119[[#This Row],[Key(ID-date)]],'DATA BTO'!S:S,'DATA BTO'!N:N,FALSE)</f>
        <v>0</v>
      </c>
      <c r="AL605" s="54" t="e">
        <f>VLOOKUP(Tableau119[[#This Row],[Key(POD -PFI- Usine)]],'DATA Consignee'!A:F,6,FALSE)</f>
        <v>#N/A</v>
      </c>
      <c r="AM605" s="284"/>
      <c r="AN605" s="376" t="str">
        <f>IF(Tableau119[[#This Row],[Name PFI/CDD]]="","-",VLOOKUP(Tableau119[[#This Row],[Name PFI/CDD]],Plant_AILN!I:J,2,FALSE))</f>
        <v>-</v>
      </c>
      <c r="AO60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5" s="2" t="e">
        <f>VLOOKUP(Tableau119[[#This Row],[Key(POD -PFI- Usine)]],'DATA Consignee'!A:J,10,FALSE)</f>
        <v>#N/A</v>
      </c>
      <c r="AR605" s="50" t="e">
        <f>VLOOKUP(Tableau119[[#This Row],[Key(POD -PFI- Usine)]],'DATA Consignee'!A:N,14,FALSE)</f>
        <v>#N/A</v>
      </c>
      <c r="AS6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5" s="50">
        <f>Tableau119[[#This Row],[Transit time]]+Tableau119[[#This Row],[Time for security]]+Tableau119[[#This Row],[Time for security2 buffer]]</f>
        <v>0</v>
      </c>
      <c r="AV6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5" s="50" t="e">
        <f>Tableau119[[#This Row],[Leadtime SI2C]]+Tableau119[[#This Row],[First Receipt Days]]-Tableau119[[#This Row],[Day Customer Order]]+1</f>
        <v>#N/A</v>
      </c>
      <c r="AX605" s="119" t="e">
        <f>IF(Tableau119[[#This Row],[Name ILN]]&lt;&gt;"SFK Freight Forwarder",Tableau119[[#This Row],[Cust. Leadtime]],Tableau119[[#This Row],[Leadtime SI2C]])</f>
        <v>#N/A</v>
      </c>
      <c r="AY605" s="51" t="b">
        <f>_xlfn.XLOOKUP(Tableau119[[#This Row],[Key(ID-date)]],'DATA BTO'!S:S,'DATA BTO'!P:P,FALSE)</f>
        <v>0</v>
      </c>
      <c r="AZ605" s="338">
        <v>46142</v>
      </c>
      <c r="BA605" s="50"/>
    </row>
    <row r="606" spans="2:53">
      <c r="B606" s="66" t="str">
        <f>_xlfn.CONCAT(Tableau119[[#This Row],[Name ILN]],"-",Tableau119[[#This Row],[Name Shipper]],"-",Tableau119[[#This Row],[Name Site]])</f>
        <v>ILN VLL-ILN VLL-CHENNAI Vehicule</v>
      </c>
      <c r="C606" s="66" t="str">
        <f>_xlfn.CONCAT(Tableau119[[#This Row],[Compte ILN]],"-",Tableau119[[#This Row],[Compte Shipper]],"-",Tableau119[[#This Row],[POL]],"-",Tableau119[[#This Row],[Compte Consignee]])</f>
        <v>91018400-91018400-FALSO-26549502</v>
      </c>
      <c r="D606" s="66" t="str">
        <f>_xlfn.CONCAT(Tableau119[[#This Row],[Compte ILN]],"-",Tableau119[[#This Row],[Compte Shipper]],"-",Tableau119[[#This Row],[POL]])</f>
        <v>91018400-91018400-FALSO</v>
      </c>
      <c r="E606" s="130" t="str">
        <f>_xlfn.CONCAT(Tableau119[[#This Row],[POL]],"-",Tableau119[[#This Row],[Carrier]],"-",Tableau119[[#This Row],[POD]])</f>
        <v>FALSO-FALSO-FALSO</v>
      </c>
      <c r="F606" s="66" t="str">
        <f>_xlfn.CONCAT(Tableau119[[#This Row],[ID]],"-","Actif")</f>
        <v>237-Actif</v>
      </c>
      <c r="G606" s="66" t="str">
        <f>_xlfn.CONCAT(Tableau119[[#This Row],[POD]],"-",Tableau119[[#This Row],[Code PFI]],"-",Tableau119[[#This Row],[Compte Consignee]])</f>
        <v>FALSO---26549502</v>
      </c>
      <c r="H6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Vehicule</v>
      </c>
      <c r="I606" s="434" t="str">
        <f>_xlfn.CONCAT(Tableau119[[#This Row],[ID]],"-",Tableau119[[#This Row],[Expiration Date]])</f>
        <v>237-46142</v>
      </c>
      <c r="J6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VLL-ILN VLL-237-FALSO-FALSO-FALSO--46142</v>
      </c>
      <c r="K606" s="119" t="str">
        <f ca="1">IF(COUNTIF(J:J,Tableau119[[#This Row],[Plant-ILN-shipper-POL-Carrier-POD-PFI]])=1,"Non","Oui")</f>
        <v>Non</v>
      </c>
      <c r="L606" s="436" t="str">
        <f>VLOOKUP(Tableau119[[#This Row],[Name Site]],Plant_AILN!A:D,4,FALSE)</f>
        <v>INDIA</v>
      </c>
      <c r="M606" s="485" t="s">
        <v>159</v>
      </c>
      <c r="N606" s="455">
        <f>VLOOKUP(Tableau119[[#This Row],[Name Site]],Plant_AILN!A:C,3,FALSE)</f>
        <v>26549502</v>
      </c>
      <c r="O606" s="104">
        <f>IF(Tableau119[[#This Row],[Name PFI/CDD]]="PFI VLL",2,VLOOKUP(Tableau119[[#This Row],[Compte Consignee]],Order!C:D,2,FALSE))</f>
        <v>5</v>
      </c>
      <c r="P606" s="126" t="s">
        <v>151</v>
      </c>
      <c r="Q606" s="366">
        <f>VLOOKUP(Tableau119[[#This Row],[Name ILN]],Plant_AILN!F:G,2,FALSE)</f>
        <v>91018400</v>
      </c>
      <c r="R606" s="81">
        <f>VLOOKUP(Tableau119[[#This Row],[Compte ILN]],'DATA ILN'!D:I,6,FALSE)</f>
        <v>9</v>
      </c>
      <c r="S606" s="81" t="e">
        <f>IFERROR(VLOOKUP(Tableau119[[#This Row],[Key(Compte ILN - shipper - POL - plant)]],'DATA ILN'!A:J,10,FALSE),VLOOKUP(Tableau119[[#This Row],[Key(Compte ILN - shipper - POL)]],'DATA ILN'!B:J,9,FALSE))</f>
        <v>#N/A</v>
      </c>
      <c r="T606" s="81" t="e">
        <f>IFERROR(VLOOKUP(Tableau119[[#This Row],[Key(Compte ILN - shipper - POL - plant)]],'DATA ILN'!A:K,11,FALSE),VLOOKUP(Tableau119[[#This Row],[Key(Compte ILN - shipper - POL)]],'DATA ILN'!B:K,10,FALSE))</f>
        <v>#N/A</v>
      </c>
      <c r="U606" s="81" t="e">
        <f>IFERROR(VLOOKUP(Tableau119[[#This Row],[Key(Compte ILN - shipper - POL - plant)]],'DATA ILN'!A:L,12,FALSE),VLOOKUP(Tableau119[[#This Row],[Key(Compte ILN - shipper - POL)]],'DATA ILN'!B:L,11,FALSE))</f>
        <v>#N/A</v>
      </c>
      <c r="V606" s="81" t="e">
        <f>Tableau119[[#This Row],[Day ILN Order]]+Tableau119[[#This Row],[Delivery time to ILN/Shipper]]-1</f>
        <v>#N/A</v>
      </c>
      <c r="W606" s="81" t="e">
        <f>IFERROR(VLOOKUP(Tableau119[[#This Row],[Key(Compte ILN - shipper - POL - plant)]],'DATA ILN'!A:N,14,FALSE),VLOOKUP(Tableau119[[#This Row],[Key(Compte ILN - shipper - POL)]],'DATA ILN'!B:N,13,FALSE))</f>
        <v>#N/A</v>
      </c>
      <c r="X606" s="81" t="e">
        <f>IFERROR(VLOOKUP(Tableau119[[#This Row],[Key(Compte ILN - shipper - POL - plant)]],'DATA ILN'!A:P,16,FALSE),VLOOKUP(Tableau119[[#This Row],[Key(Compte ILN - shipper - POL)]],'DATA ILN'!B:P,15,FALSE))</f>
        <v>#N/A</v>
      </c>
      <c r="Y606" s="102" t="s">
        <v>151</v>
      </c>
      <c r="Z606" s="417">
        <f>IFERROR(VLOOKUP(Tableau119[[#This Row],[Name Shipper]],Plant_AILN!L:M,2,FALSE),0)</f>
        <v>91018400</v>
      </c>
      <c r="AA606" s="416">
        <v>237</v>
      </c>
      <c r="AB606" s="396" t="b">
        <f>_xlfn.XLOOKUP(Tableau119[[#This Row],[Key(ID-date)]],'DATA BTO'!S:S,'DATA BTO'!E:E,FALSE)</f>
        <v>0</v>
      </c>
      <c r="AC606" s="3" t="b">
        <f>_xlfn.XLOOKUP(Tableau119[[#This Row],[Key(ID-date)]],'DATA BTO'!S:S,'DATA BTO'!F:F,FALSE)</f>
        <v>0</v>
      </c>
      <c r="AD606" s="50" t="b">
        <f>_xlfn.XLOOKUP(Tableau119[[#This Row],[Key(ID-date)]],'DATA BTO'!S:S,'DATA BTO'!G:G,FALSE)</f>
        <v>0</v>
      </c>
      <c r="AE606" s="50" t="b">
        <f>_xlfn.XLOOKUP(Tableau119[[#This Row],[Key(ID-date)]],'DATA BTO'!S:S,'DATA BTO'!H:H,FALSE)</f>
        <v>0</v>
      </c>
      <c r="AF606" s="447" t="e">
        <f>IF(Tableau119[[#This Row],[First Day to POL]]&lt;=Tableau119[[#This Row],[Day Cut Off]],Tableau119[[#This Row],[Day ETD]],Tableau119[[#This Row],[Day ETD]]+7)</f>
        <v>#N/A</v>
      </c>
      <c r="AG606" s="50" t="b">
        <f>_xlfn.XLOOKUP(Tableau119[[#This Row],[Key(ID-date)]],'DATA BTO'!S:S,'DATA BTO'!I:I,FALSE)</f>
        <v>0</v>
      </c>
      <c r="AH606" s="3" t="b">
        <f>_xlfn.XLOOKUP(Tableau119[[#This Row],[Key(ID-date)]],'DATA BTO'!S:S,'DATA BTO'!J:J,FALSE)</f>
        <v>0</v>
      </c>
      <c r="AI606" s="3" t="b">
        <f>_xlfn.XLOOKUP(Tableau119[[#This Row],[Key(ID-date)]],'DATA BTO'!S:S,'DATA BTO'!K:K,FALSE)</f>
        <v>0</v>
      </c>
      <c r="AJ606" s="50" t="b">
        <f>_xlfn.XLOOKUP(Tableau119[[#This Row],[Key(ID-date)]],'DATA BTO'!S:S,'DATA BTO'!L:L,FALSE)</f>
        <v>0</v>
      </c>
      <c r="AK606" s="53" t="b">
        <f>_xlfn.XLOOKUP(Tableau119[[#This Row],[Key(ID-date)]],'DATA BTO'!S:S,'DATA BTO'!N:N,FALSE)</f>
        <v>0</v>
      </c>
      <c r="AL606" s="54" t="e">
        <f>VLOOKUP(Tableau119[[#This Row],[Key(POD -PFI- Usine)]],'DATA Consignee'!A:F,6,FALSE)</f>
        <v>#N/A</v>
      </c>
      <c r="AM606" s="102"/>
      <c r="AN606" s="375" t="str">
        <f>IF(Tableau119[[#This Row],[Name PFI/CDD]]="","-",VLOOKUP(Tableau119[[#This Row],[Name PFI/CDD]],Plant_AILN!I:J,2,FALSE))</f>
        <v>-</v>
      </c>
      <c r="AO60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6" s="110" t="e">
        <f>VLOOKUP(Tableau119[[#This Row],[Key(POD -PFI- Usine)]],'DATA Consignee'!A:J,10,FALSE)</f>
        <v>#N/A</v>
      </c>
      <c r="AR606" s="81" t="e">
        <f>VLOOKUP(Tableau119[[#This Row],[Key(POD -PFI- Usine)]],'DATA Consignee'!A:N,14,FALSE)</f>
        <v>#N/A</v>
      </c>
      <c r="AS60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6" s="81">
        <f>Tableau119[[#This Row],[Transit time]]+Tableau119[[#This Row],[Time for security]]+Tableau119[[#This Row],[Time for security2 buffer]]</f>
        <v>0</v>
      </c>
      <c r="AV6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6" s="50" t="e">
        <f>Tableau119[[#This Row],[Leadtime SI2C]]+Tableau119[[#This Row],[First Receipt Days]]-Tableau119[[#This Row],[Day Customer Order]]+1</f>
        <v>#N/A</v>
      </c>
      <c r="AX606" s="119" t="e">
        <f>IF(Tableau119[[#This Row],[Name ILN]]&lt;&gt;"SFK Freight Forwarder",Tableau119[[#This Row],[Cust. Leadtime]],Tableau119[[#This Row],[Leadtime SI2C]])</f>
        <v>#N/A</v>
      </c>
      <c r="AY606" s="51" t="b">
        <f>_xlfn.XLOOKUP(Tableau119[[#This Row],[Key(ID-date)]],'DATA BTO'!S:S,'DATA BTO'!P:P,FALSE)</f>
        <v>0</v>
      </c>
      <c r="AZ606" s="388">
        <v>46142</v>
      </c>
      <c r="BA606" s="81"/>
    </row>
    <row r="607" spans="2:53">
      <c r="B607" s="446" t="str">
        <f>_xlfn.CONCAT(Tableau119[[#This Row],[Name ILN]],"-",Tableau119[[#This Row],[Name Shipper]],"-",Tableau119[[#This Row],[Name Site]])</f>
        <v>ILN VLL-ILN VLL-CHENNAI Powertrain</v>
      </c>
      <c r="C607" s="66" t="str">
        <f>_xlfn.CONCAT(Tableau119[[#This Row],[Compte ILN]],"-",Tableau119[[#This Row],[Compte Shipper]],"-",Tableau119[[#This Row],[POL]],"-",Tableau119[[#This Row],[Compte Consignee]])</f>
        <v>91018400-91018400-FALSO-26549500</v>
      </c>
      <c r="D607" s="66" t="str">
        <f>_xlfn.CONCAT(Tableau119[[#This Row],[Compte ILN]],"-",Tableau119[[#This Row],[Compte Shipper]],"-",Tableau119[[#This Row],[POL]])</f>
        <v>91018400-91018400-FALSO</v>
      </c>
      <c r="E607" s="130" t="str">
        <f>_xlfn.CONCAT(Tableau119[[#This Row],[POL]],"-",Tableau119[[#This Row],[Carrier]],"-",Tableau119[[#This Row],[POD]])</f>
        <v>FALSO-FALSO-FALSO</v>
      </c>
      <c r="F607" s="66" t="str">
        <f>_xlfn.CONCAT(Tableau119[[#This Row],[ID]],"-","Actif")</f>
        <v>237-Actif</v>
      </c>
      <c r="G607" s="66" t="str">
        <f>_xlfn.CONCAT(Tableau119[[#This Row],[POD]],"-",Tableau119[[#This Row],[Code PFI]],"-",Tableau119[[#This Row],[Compte Consignee]])</f>
        <v>FALSO---26549500</v>
      </c>
      <c r="H6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Powertrain</v>
      </c>
      <c r="I607" s="434" t="str">
        <f>_xlfn.CONCAT(Tableau119[[#This Row],[ID]],"-",Tableau119[[#This Row],[Expiration Date]])</f>
        <v>237-45777</v>
      </c>
      <c r="J6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VLL-ILN VLL-237-FALSO-FALSO-FALSO--45777</v>
      </c>
      <c r="K607" s="119" t="str">
        <f ca="1">IF(COUNTIF(J:J,Tableau119[[#This Row],[Plant-ILN-shipper-POL-Carrier-POD-PFI]])=1,"Non","Oui")</f>
        <v>Non</v>
      </c>
      <c r="L607" s="128" t="str">
        <f>VLOOKUP(Tableau119[[#This Row],[Name Site]],Plant_AILN!A:D,4,FALSE)</f>
        <v>INDIA</v>
      </c>
      <c r="M607" s="411" t="s">
        <v>221</v>
      </c>
      <c r="N607" s="454">
        <f>VLOOKUP(Tableau119[[#This Row],[Name Site]],Plant_AILN!A:C,3,FALSE)</f>
        <v>26549500</v>
      </c>
      <c r="O607" s="55">
        <f>VLOOKUP(Tableau119[[#This Row],[Compte Consignee]],Order!C:D,2,FALSE)</f>
        <v>5</v>
      </c>
      <c r="P607" s="124" t="s">
        <v>151</v>
      </c>
      <c r="Q607" s="365">
        <f>VLOOKUP(Tableau119[[#This Row],[Name ILN]],Plant_AILN!F:G,2,FALSE)</f>
        <v>91018400</v>
      </c>
      <c r="R607" s="50">
        <f>VLOOKUP(Tableau119[[#This Row],[Compte ILN]],'DATA ILN'!D:I,6,FALSE)</f>
        <v>9</v>
      </c>
      <c r="S607" s="50" t="e">
        <f>IFERROR(VLOOKUP(Tableau119[[#This Row],[Key(Compte ILN - shipper - POL - plant)]],'DATA ILN'!A:J,10,FALSE),VLOOKUP(Tableau119[[#This Row],[Key(Compte ILN - shipper - POL)]],'DATA ILN'!B:J,9,FALSE))</f>
        <v>#N/A</v>
      </c>
      <c r="T607" s="50" t="e">
        <f>IFERROR(VLOOKUP(Tableau119[[#This Row],[Key(Compte ILN - shipper - POL - plant)]],'DATA ILN'!A:K,11,FALSE),VLOOKUP(Tableau119[[#This Row],[Key(Compte ILN - shipper - POL)]],'DATA ILN'!B:K,10,FALSE))</f>
        <v>#N/A</v>
      </c>
      <c r="U607" s="50" t="e">
        <f>IFERROR(VLOOKUP(Tableau119[[#This Row],[Key(Compte ILN - shipper - POL - plant)]],'DATA ILN'!A:L,12,FALSE),VLOOKUP(Tableau119[[#This Row],[Key(Compte ILN - shipper - POL)]],'DATA ILN'!B:L,11,FALSE))</f>
        <v>#N/A</v>
      </c>
      <c r="V607" s="50" t="e">
        <f>Tableau119[[#This Row],[Day ILN Order]]+Tableau119[[#This Row],[Delivery time to ILN/Shipper]]-1</f>
        <v>#N/A</v>
      </c>
      <c r="W607" s="50" t="e">
        <f>IFERROR(VLOOKUP(Tableau119[[#This Row],[Key(Compte ILN - shipper - POL - plant)]],'DATA ILN'!A:N,14,FALSE),VLOOKUP(Tableau119[[#This Row],[Key(Compte ILN - shipper - POL)]],'DATA ILN'!B:N,13,FALSE))</f>
        <v>#N/A</v>
      </c>
      <c r="X607" s="50" t="e">
        <f>IFERROR(VLOOKUP(Tableau119[[#This Row],[Key(Compte ILN - shipper - POL - plant)]],'DATA ILN'!A:P,16,FALSE),VLOOKUP(Tableau119[[#This Row],[Key(Compte ILN - shipper - POL)]],'DATA ILN'!B:P,15,FALSE))</f>
        <v>#N/A</v>
      </c>
      <c r="Y607" s="284" t="s">
        <v>151</v>
      </c>
      <c r="Z607" s="430">
        <f>IFERROR(VLOOKUP(Tableau119[[#This Row],[Name Shipper]],Plant_AILN!L:M,2,FALSE),0)</f>
        <v>91018400</v>
      </c>
      <c r="AA607" s="406">
        <v>237</v>
      </c>
      <c r="AB607" s="396" t="b">
        <f>_xlfn.XLOOKUP(Tableau119[[#This Row],[Key(ID-date)]],'DATA BTO'!S:S,'DATA BTO'!E:E,FALSE)</f>
        <v>0</v>
      </c>
      <c r="AC607" s="3" t="b">
        <f>_xlfn.XLOOKUP(Tableau119[[#This Row],[Key(ID-date)]],'DATA BTO'!S:S,'DATA BTO'!F:F,FALSE)</f>
        <v>0</v>
      </c>
      <c r="AD607" s="50" t="b">
        <f>_xlfn.XLOOKUP(Tableau119[[#This Row],[Key(ID-date)]],'DATA BTO'!S:S,'DATA BTO'!G:G,FALSE)</f>
        <v>0</v>
      </c>
      <c r="AE607" s="50" t="b">
        <f>_xlfn.XLOOKUP(Tableau119[[#This Row],[Key(ID-date)]],'DATA BTO'!S:S,'DATA BTO'!H:H,FALSE)</f>
        <v>0</v>
      </c>
      <c r="AF607" s="447" t="e">
        <f>IF(Tableau119[[#This Row],[First Day to POL]]&lt;=Tableau119[[#This Row],[Day Cut Off]],Tableau119[[#This Row],[Day ETD]],Tableau119[[#This Row],[Day ETD]]+7)</f>
        <v>#N/A</v>
      </c>
      <c r="AG607" s="50" t="b">
        <f>_xlfn.XLOOKUP(Tableau119[[#This Row],[Key(ID-date)]],'DATA BTO'!S:S,'DATA BTO'!I:I,FALSE)</f>
        <v>0</v>
      </c>
      <c r="AH607" s="3" t="b">
        <f>_xlfn.XLOOKUP(Tableau119[[#This Row],[Key(ID-date)]],'DATA BTO'!S:S,'DATA BTO'!J:J,FALSE)</f>
        <v>0</v>
      </c>
      <c r="AI607" s="3" t="b">
        <f>_xlfn.XLOOKUP(Tableau119[[#This Row],[Key(ID-date)]],'DATA BTO'!S:S,'DATA BTO'!K:K,FALSE)</f>
        <v>0</v>
      </c>
      <c r="AJ607" s="50" t="b">
        <f>_xlfn.XLOOKUP(Tableau119[[#This Row],[Key(ID-date)]],'DATA BTO'!S:S,'DATA BTO'!L:L,FALSE)</f>
        <v>0</v>
      </c>
      <c r="AK607" s="53" t="b">
        <f>_xlfn.XLOOKUP(Tableau119[[#This Row],[Key(ID-date)]],'DATA BTO'!S:S,'DATA BTO'!N:N,FALSE)</f>
        <v>0</v>
      </c>
      <c r="AL607" s="54" t="e">
        <f>VLOOKUP(Tableau119[[#This Row],[Key(POD -PFI- Usine)]],'DATA Consignee'!A:F,6,FALSE)</f>
        <v>#N/A</v>
      </c>
      <c r="AM607" s="284"/>
      <c r="AN607" s="376" t="str">
        <f>IF(Tableau119[[#This Row],[Name PFI/CDD]]="","-",VLOOKUP(Tableau119[[#This Row],[Name PFI/CDD]],Plant_AILN!I:J,2,FALSE))</f>
        <v>-</v>
      </c>
      <c r="AO60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7" s="2" t="e">
        <f>VLOOKUP(Tableau119[[#This Row],[Key(POD -PFI- Usine)]],'DATA Consignee'!A:J,10,FALSE)</f>
        <v>#N/A</v>
      </c>
      <c r="AR607" s="50" t="e">
        <f>VLOOKUP(Tableau119[[#This Row],[Key(POD -PFI- Usine)]],'DATA Consignee'!A:N,14,FALSE)</f>
        <v>#N/A</v>
      </c>
      <c r="AS60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7" s="50">
        <f>Tableau119[[#This Row],[Transit time]]+Tableau119[[#This Row],[Time for security]]+Tableau119[[#This Row],[Time for security2 buffer]]</f>
        <v>0</v>
      </c>
      <c r="AV6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7" s="50" t="e">
        <f>Tableau119[[#This Row],[Leadtime SI2C]]+Tableau119[[#This Row],[First Receipt Days]]-Tableau119[[#This Row],[Day Customer Order]]+1</f>
        <v>#N/A</v>
      </c>
      <c r="AX607" s="119" t="e">
        <f>IF(Tableau119[[#This Row],[Name ILN]]&lt;&gt;"SFK Freight Forwarder",Tableau119[[#This Row],[Cust. Leadtime]],Tableau119[[#This Row],[Leadtime SI2C]])</f>
        <v>#N/A</v>
      </c>
      <c r="AY607" s="51" t="b">
        <f>_xlfn.XLOOKUP(Tableau119[[#This Row],[Key(ID-date)]],'DATA BTO'!S:S,'DATA BTO'!P:P,FALSE)</f>
        <v>0</v>
      </c>
      <c r="AZ607" s="338">
        <v>45777</v>
      </c>
      <c r="BA607" s="50"/>
    </row>
    <row r="608" spans="2:53">
      <c r="B608" s="446" t="str">
        <f>_xlfn.CONCAT(Tableau119[[#This Row],[Name ILN]],"-",Tableau119[[#This Row],[Name Shipper]],"-",Tableau119[[#This Row],[Name Site]])</f>
        <v>ILN VLL-ILN VLL-CHENNAI Vehicule</v>
      </c>
      <c r="C608" s="66" t="str">
        <f>_xlfn.CONCAT(Tableau119[[#This Row],[Compte ILN]],"-",Tableau119[[#This Row],[Compte Shipper]],"-",Tableau119[[#This Row],[POL]],"-",Tableau119[[#This Row],[Compte Consignee]])</f>
        <v>91018400-91018400-FALSO-26549502</v>
      </c>
      <c r="D608" s="66" t="str">
        <f>_xlfn.CONCAT(Tableau119[[#This Row],[Compte ILN]],"-",Tableau119[[#This Row],[Compte Shipper]],"-",Tableau119[[#This Row],[POL]])</f>
        <v>91018400-91018400-FALSO</v>
      </c>
      <c r="E608" s="130" t="str">
        <f>_xlfn.CONCAT(Tableau119[[#This Row],[POL]],"-",Tableau119[[#This Row],[Carrier]],"-",Tableau119[[#This Row],[POD]])</f>
        <v>FALSO-FALSO-FALSO</v>
      </c>
      <c r="F608" s="66" t="str">
        <f>_xlfn.CONCAT(Tableau119[[#This Row],[ID]],"-","Actif")</f>
        <v>237-Actif</v>
      </c>
      <c r="G608" s="66" t="str">
        <f>_xlfn.CONCAT(Tableau119[[#This Row],[POD]],"-",Tableau119[[#This Row],[Code PFI]],"-",Tableau119[[#This Row],[Compte Consignee]])</f>
        <v>FALSO---26549502</v>
      </c>
      <c r="H6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Vehicule</v>
      </c>
      <c r="I608" s="434" t="str">
        <f>_xlfn.CONCAT(Tableau119[[#This Row],[ID]],"-",Tableau119[[#This Row],[Expiration Date]])</f>
        <v>237-45777</v>
      </c>
      <c r="J6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VLL-ILN VLL-237-FALSO-FALSO-FALSO--45777</v>
      </c>
      <c r="K608" s="119" t="str">
        <f ca="1">IF(COUNTIF(J:J,Tableau119[[#This Row],[Plant-ILN-shipper-POL-Carrier-POD-PFI]])=1,"Non","Oui")</f>
        <v>Non</v>
      </c>
      <c r="L608" s="128" t="str">
        <f>VLOOKUP(Tableau119[[#This Row],[Name Site]],Plant_AILN!A:D,4,FALSE)</f>
        <v>INDIA</v>
      </c>
      <c r="M608" s="415" t="s">
        <v>159</v>
      </c>
      <c r="N608" s="455">
        <f>VLOOKUP(Tableau119[[#This Row],[Name Site]],Plant_AILN!A:C,3,FALSE)</f>
        <v>26549502</v>
      </c>
      <c r="O608" s="104">
        <f>VLOOKUP(Tableau119[[#This Row],[Compte Consignee]],Order!C:D,2,FALSE)</f>
        <v>5</v>
      </c>
      <c r="P608" s="126" t="s">
        <v>151</v>
      </c>
      <c r="Q608" s="366">
        <f>VLOOKUP(Tableau119[[#This Row],[Name ILN]],Plant_AILN!F:G,2,FALSE)</f>
        <v>91018400</v>
      </c>
      <c r="R608" s="81">
        <f>VLOOKUP(Tableau119[[#This Row],[Compte ILN]],'DATA ILN'!D:I,6,FALSE)</f>
        <v>9</v>
      </c>
      <c r="S608" s="81" t="e">
        <f>IFERROR(VLOOKUP(Tableau119[[#This Row],[Key(Compte ILN - shipper - POL - plant)]],'DATA ILN'!A:J,10,FALSE),VLOOKUP(Tableau119[[#This Row],[Key(Compte ILN - shipper - POL)]],'DATA ILN'!B:J,9,FALSE))</f>
        <v>#N/A</v>
      </c>
      <c r="T608" s="81" t="e">
        <f>IFERROR(VLOOKUP(Tableau119[[#This Row],[Key(Compte ILN - shipper - POL - plant)]],'DATA ILN'!A:K,11,FALSE),VLOOKUP(Tableau119[[#This Row],[Key(Compte ILN - shipper - POL)]],'DATA ILN'!B:K,10,FALSE))</f>
        <v>#N/A</v>
      </c>
      <c r="U608" s="81" t="e">
        <f>IFERROR(VLOOKUP(Tableau119[[#This Row],[Key(Compte ILN - shipper - POL - plant)]],'DATA ILN'!A:L,12,FALSE),VLOOKUP(Tableau119[[#This Row],[Key(Compte ILN - shipper - POL)]],'DATA ILN'!B:L,11,FALSE))</f>
        <v>#N/A</v>
      </c>
      <c r="V608" s="81" t="e">
        <f>Tableau119[[#This Row],[Day ILN Order]]+Tableau119[[#This Row],[Delivery time to ILN/Shipper]]-1</f>
        <v>#N/A</v>
      </c>
      <c r="W608" s="81" t="e">
        <f>IFERROR(VLOOKUP(Tableau119[[#This Row],[Key(Compte ILN - shipper - POL - plant)]],'DATA ILN'!A:N,14,FALSE),VLOOKUP(Tableau119[[#This Row],[Key(Compte ILN - shipper - POL)]],'DATA ILN'!B:N,13,FALSE))</f>
        <v>#N/A</v>
      </c>
      <c r="X608" s="81" t="e">
        <f>IFERROR(VLOOKUP(Tableau119[[#This Row],[Key(Compte ILN - shipper - POL - plant)]],'DATA ILN'!A:P,16,FALSE),VLOOKUP(Tableau119[[#This Row],[Key(Compte ILN - shipper - POL)]],'DATA ILN'!B:P,15,FALSE))</f>
        <v>#N/A</v>
      </c>
      <c r="Y608" s="102" t="s">
        <v>151</v>
      </c>
      <c r="Z608" s="417">
        <f>IFERROR(VLOOKUP(Tableau119[[#This Row],[Name Shipper]],Plant_AILN!L:M,2,FALSE),0)</f>
        <v>91018400</v>
      </c>
      <c r="AA608" s="416">
        <v>237</v>
      </c>
      <c r="AB608" s="396" t="b">
        <f>_xlfn.XLOOKUP(Tableau119[[#This Row],[Key(ID-date)]],'DATA BTO'!S:S,'DATA BTO'!E:E,FALSE)</f>
        <v>0</v>
      </c>
      <c r="AC608" s="3" t="b">
        <f>_xlfn.XLOOKUP(Tableau119[[#This Row],[Key(ID-date)]],'DATA BTO'!S:S,'DATA BTO'!F:F,FALSE)</f>
        <v>0</v>
      </c>
      <c r="AD608" s="50" t="b">
        <f>_xlfn.XLOOKUP(Tableau119[[#This Row],[Key(ID-date)]],'DATA BTO'!S:S,'DATA BTO'!G:G,FALSE)</f>
        <v>0</v>
      </c>
      <c r="AE608" s="50" t="b">
        <f>_xlfn.XLOOKUP(Tableau119[[#This Row],[Key(ID-date)]],'DATA BTO'!S:S,'DATA BTO'!H:H,FALSE)</f>
        <v>0</v>
      </c>
      <c r="AF608" s="447" t="e">
        <f>IF(Tableau119[[#This Row],[First Day to POL]]&lt;=Tableau119[[#This Row],[Day Cut Off]],Tableau119[[#This Row],[Day ETD]],Tableau119[[#This Row],[Day ETD]]+7)</f>
        <v>#N/A</v>
      </c>
      <c r="AG608" s="50" t="b">
        <f>_xlfn.XLOOKUP(Tableau119[[#This Row],[Key(ID-date)]],'DATA BTO'!S:S,'DATA BTO'!I:I,FALSE)</f>
        <v>0</v>
      </c>
      <c r="AH608" s="3" t="b">
        <f>_xlfn.XLOOKUP(Tableau119[[#This Row],[Key(ID-date)]],'DATA BTO'!S:S,'DATA BTO'!J:J,FALSE)</f>
        <v>0</v>
      </c>
      <c r="AI608" s="3" t="b">
        <f>_xlfn.XLOOKUP(Tableau119[[#This Row],[Key(ID-date)]],'DATA BTO'!S:S,'DATA BTO'!K:K,FALSE)</f>
        <v>0</v>
      </c>
      <c r="AJ608" s="50" t="b">
        <f>_xlfn.XLOOKUP(Tableau119[[#This Row],[Key(ID-date)]],'DATA BTO'!S:S,'DATA BTO'!L:L,FALSE)</f>
        <v>0</v>
      </c>
      <c r="AK608" s="53" t="b">
        <f>_xlfn.XLOOKUP(Tableau119[[#This Row],[Key(ID-date)]],'DATA BTO'!S:S,'DATA BTO'!N:N,FALSE)</f>
        <v>0</v>
      </c>
      <c r="AL608" s="54" t="e">
        <f>VLOOKUP(Tableau119[[#This Row],[Key(POD -PFI- Usine)]],'DATA Consignee'!A:F,6,FALSE)</f>
        <v>#N/A</v>
      </c>
      <c r="AM608" s="102"/>
      <c r="AN608" s="375" t="str">
        <f>IF(Tableau119[[#This Row],[Name PFI/CDD]]="","-",VLOOKUP(Tableau119[[#This Row],[Name PFI/CDD]],Plant_AILN!I:J,2,FALSE))</f>
        <v>-</v>
      </c>
      <c r="AO60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8" s="110" t="e">
        <f>VLOOKUP(Tableau119[[#This Row],[Key(POD -PFI- Usine)]],'DATA Consignee'!A:J,10,FALSE)</f>
        <v>#N/A</v>
      </c>
      <c r="AR608" s="81" t="e">
        <f>VLOOKUP(Tableau119[[#This Row],[Key(POD -PFI- Usine)]],'DATA Consignee'!A:N,14,FALSE)</f>
        <v>#N/A</v>
      </c>
      <c r="AS60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8" s="81">
        <f>Tableau119[[#This Row],[Transit time]]+Tableau119[[#This Row],[Time for security]]+Tableau119[[#This Row],[Time for security2 buffer]]</f>
        <v>0</v>
      </c>
      <c r="AV6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8" s="50" t="e">
        <f>Tableau119[[#This Row],[Leadtime SI2C]]+Tableau119[[#This Row],[First Receipt Days]]-Tableau119[[#This Row],[Day Customer Order]]+1</f>
        <v>#N/A</v>
      </c>
      <c r="AX608" s="119" t="e">
        <f>IF(Tableau119[[#This Row],[Name ILN]]&lt;&gt;"SFK Freight Forwarder",Tableau119[[#This Row],[Cust. Leadtime]],Tableau119[[#This Row],[Leadtime SI2C]])</f>
        <v>#N/A</v>
      </c>
      <c r="AY608" s="51" t="b">
        <f>_xlfn.XLOOKUP(Tableau119[[#This Row],[Key(ID-date)]],'DATA BTO'!S:S,'DATA BTO'!P:P,FALSE)</f>
        <v>0</v>
      </c>
      <c r="AZ608" s="388">
        <v>45777</v>
      </c>
      <c r="BA608" s="81"/>
    </row>
    <row r="609" spans="2:53">
      <c r="B609" s="446" t="str">
        <f>_xlfn.CONCAT(Tableau119[[#This Row],[Name ILN]],"-",Tableau119[[#This Row],[Name Shipper]],"-",Tableau119[[#This Row],[Name Site]])</f>
        <v>ILN VLL-ILN VLL-CHENNAI Powertrain</v>
      </c>
      <c r="C609" s="66" t="str">
        <f>_xlfn.CONCAT(Tableau119[[#This Row],[Compte ILN]],"-",Tableau119[[#This Row],[Compte Shipper]],"-",Tableau119[[#This Row],[POL]],"-",Tableau119[[#This Row],[Compte Consignee]])</f>
        <v>91018400-91018400-FALSO-26549500</v>
      </c>
      <c r="D609" s="66" t="str">
        <f>_xlfn.CONCAT(Tableau119[[#This Row],[Compte ILN]],"-",Tableau119[[#This Row],[Compte Shipper]],"-",Tableau119[[#This Row],[POL]])</f>
        <v>91018400-91018400-FALSO</v>
      </c>
      <c r="E609" s="130" t="str">
        <f>_xlfn.CONCAT(Tableau119[[#This Row],[POL]],"-",Tableau119[[#This Row],[Carrier]],"-",Tableau119[[#This Row],[POD]])</f>
        <v>FALSO-FALSO-FALSO</v>
      </c>
      <c r="F609" s="66" t="str">
        <f>_xlfn.CONCAT(Tableau119[[#This Row],[ID]],"-","Actif")</f>
        <v>237-Actif</v>
      </c>
      <c r="G609" s="66" t="str">
        <f>_xlfn.CONCAT(Tableau119[[#This Row],[POD]],"-",Tableau119[[#This Row],[Code PFI]],"-",Tableau119[[#This Row],[Compte Consignee]])</f>
        <v>FALSO---26549500</v>
      </c>
      <c r="H6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Powertrain</v>
      </c>
      <c r="I609" s="434" t="str">
        <f>_xlfn.CONCAT(Tableau119[[#This Row],[ID]],"-",Tableau119[[#This Row],[Expiration Date]])</f>
        <v>237-45473</v>
      </c>
      <c r="J6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VLL-ILN VLL-237-FALSO-FALSO-FALSO--45473</v>
      </c>
      <c r="K609" s="119" t="str">
        <f ca="1">IF(COUNTIF(J:J,Tableau119[[#This Row],[Plant-ILN-shipper-POL-Carrier-POD-PFI]])=1,"Non","Oui")</f>
        <v>Non</v>
      </c>
      <c r="L609" s="128" t="str">
        <f>VLOOKUP(Tableau119[[#This Row],[Name Site]],Plant_AILN!A:D,4,FALSE)</f>
        <v>INDIA</v>
      </c>
      <c r="M609" s="411" t="s">
        <v>221</v>
      </c>
      <c r="N609" s="454">
        <f>VLOOKUP(Tableau119[[#This Row],[Name Site]],Plant_AILN!A:C,3,FALSE)</f>
        <v>26549500</v>
      </c>
      <c r="O609" s="55">
        <f>VLOOKUP(Tableau119[[#This Row],[Compte Consignee]],Order!C:D,2,FALSE)</f>
        <v>5</v>
      </c>
      <c r="P609" s="124" t="s">
        <v>151</v>
      </c>
      <c r="Q609" s="365">
        <f>VLOOKUP(Tableau119[[#This Row],[Name ILN]],Plant_AILN!F:G,2,FALSE)</f>
        <v>91018400</v>
      </c>
      <c r="R609" s="50">
        <f>VLOOKUP(Tableau119[[#This Row],[Compte ILN]],'DATA ILN'!D:I,6,FALSE)</f>
        <v>9</v>
      </c>
      <c r="S609" s="50" t="e">
        <f>IFERROR(VLOOKUP(Tableau119[[#This Row],[Key(Compte ILN - shipper - POL - plant)]],'DATA ILN'!A:J,10,FALSE),VLOOKUP(Tableau119[[#This Row],[Key(Compte ILN - shipper - POL)]],'DATA ILN'!B:J,9,FALSE))</f>
        <v>#N/A</v>
      </c>
      <c r="T609" s="50" t="e">
        <f>IFERROR(VLOOKUP(Tableau119[[#This Row],[Key(Compte ILN - shipper - POL - plant)]],'DATA ILN'!A:K,11,FALSE),VLOOKUP(Tableau119[[#This Row],[Key(Compte ILN - shipper - POL)]],'DATA ILN'!B:K,10,FALSE))</f>
        <v>#N/A</v>
      </c>
      <c r="U609" s="50" t="e">
        <f>IFERROR(VLOOKUP(Tableau119[[#This Row],[Key(Compte ILN - shipper - POL - plant)]],'DATA ILN'!A:L,12,FALSE),VLOOKUP(Tableau119[[#This Row],[Key(Compte ILN - shipper - POL)]],'DATA ILN'!B:L,11,FALSE))</f>
        <v>#N/A</v>
      </c>
      <c r="V609" s="50" t="e">
        <f>Tableau119[[#This Row],[Day ILN Order]]+Tableau119[[#This Row],[Delivery time to ILN/Shipper]]-1</f>
        <v>#N/A</v>
      </c>
      <c r="W609" s="50" t="e">
        <f>IFERROR(VLOOKUP(Tableau119[[#This Row],[Key(Compte ILN - shipper - POL - plant)]],'DATA ILN'!A:N,14,FALSE),VLOOKUP(Tableau119[[#This Row],[Key(Compte ILN - shipper - POL)]],'DATA ILN'!B:N,13,FALSE))</f>
        <v>#N/A</v>
      </c>
      <c r="X609" s="50" t="e">
        <f>IFERROR(VLOOKUP(Tableau119[[#This Row],[Key(Compte ILN - shipper - POL - plant)]],'DATA ILN'!A:P,16,FALSE),VLOOKUP(Tableau119[[#This Row],[Key(Compte ILN - shipper - POL)]],'DATA ILN'!B:P,15,FALSE))</f>
        <v>#N/A</v>
      </c>
      <c r="Y609" s="284" t="s">
        <v>151</v>
      </c>
      <c r="Z609" s="430">
        <f>IFERROR(VLOOKUP(Tableau119[[#This Row],[Name Shipper]],Plant_AILN!L:M,2,FALSE),0)</f>
        <v>91018400</v>
      </c>
      <c r="AA609" s="406">
        <v>237</v>
      </c>
      <c r="AB609" s="396" t="b">
        <f>_xlfn.XLOOKUP(Tableau119[[#This Row],[Key(ID-date)]],'DATA BTO'!S:S,'DATA BTO'!E:E,FALSE)</f>
        <v>0</v>
      </c>
      <c r="AC609" s="3" t="b">
        <f>_xlfn.XLOOKUP(Tableau119[[#This Row],[Key(ID-date)]],'DATA BTO'!S:S,'DATA BTO'!F:F,FALSE)</f>
        <v>0</v>
      </c>
      <c r="AD609" s="50" t="b">
        <f>_xlfn.XLOOKUP(Tableau119[[#This Row],[Key(ID-date)]],'DATA BTO'!S:S,'DATA BTO'!G:G,FALSE)</f>
        <v>0</v>
      </c>
      <c r="AE609" s="50" t="b">
        <f>_xlfn.XLOOKUP(Tableau119[[#This Row],[Key(ID-date)]],'DATA BTO'!S:S,'DATA BTO'!H:H,FALSE)</f>
        <v>0</v>
      </c>
      <c r="AF609" s="447" t="e">
        <f>IF(Tableau119[[#This Row],[First Day to POL]]&lt;=Tableau119[[#This Row],[Day Cut Off]],Tableau119[[#This Row],[Day ETD]],Tableau119[[#This Row],[Day ETD]]+7)</f>
        <v>#N/A</v>
      </c>
      <c r="AG609" s="50" t="b">
        <f>_xlfn.XLOOKUP(Tableau119[[#This Row],[Key(ID-date)]],'DATA BTO'!S:S,'DATA BTO'!I:I,FALSE)</f>
        <v>0</v>
      </c>
      <c r="AH609" s="3" t="b">
        <f>_xlfn.XLOOKUP(Tableau119[[#This Row],[Key(ID-date)]],'DATA BTO'!S:S,'DATA BTO'!J:J,FALSE)</f>
        <v>0</v>
      </c>
      <c r="AI609" s="3" t="b">
        <f>_xlfn.XLOOKUP(Tableau119[[#This Row],[Key(ID-date)]],'DATA BTO'!S:S,'DATA BTO'!K:K,FALSE)</f>
        <v>0</v>
      </c>
      <c r="AJ609" s="50" t="b">
        <f>_xlfn.XLOOKUP(Tableau119[[#This Row],[Key(ID-date)]],'DATA BTO'!S:S,'DATA BTO'!L:L,FALSE)</f>
        <v>0</v>
      </c>
      <c r="AK609" s="53" t="b">
        <f>_xlfn.XLOOKUP(Tableau119[[#This Row],[Key(ID-date)]],'DATA BTO'!S:S,'DATA BTO'!N:N,FALSE)</f>
        <v>0</v>
      </c>
      <c r="AL609" s="54" t="e">
        <f>VLOOKUP(Tableau119[[#This Row],[Key(POD -PFI- Usine)]],'DATA Consignee'!A:F,6,FALSE)</f>
        <v>#N/A</v>
      </c>
      <c r="AM609" s="127"/>
      <c r="AN609" s="376" t="str">
        <f>IF(Tableau119[[#This Row],[Name PFI/CDD]]="","-",VLOOKUP(Tableau119[[#This Row],[Name PFI/CDD]],Plant_AILN!I:J,2,FALSE))</f>
        <v>-</v>
      </c>
      <c r="AO60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0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09" s="2" t="e">
        <f>VLOOKUP(Tableau119[[#This Row],[Key(POD -PFI- Usine)]],'DATA Consignee'!A:J,10,FALSE)</f>
        <v>#N/A</v>
      </c>
      <c r="AR609" s="50" t="e">
        <f>VLOOKUP(Tableau119[[#This Row],[Key(POD -PFI- Usine)]],'DATA Consignee'!A:N,14,FALSE)</f>
        <v>#N/A</v>
      </c>
      <c r="AS6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09" s="50">
        <f>Tableau119[[#This Row],[Transit time]]+Tableau119[[#This Row],[Time for security]]+Tableau119[[#This Row],[Time for security2 buffer]]</f>
        <v>0</v>
      </c>
      <c r="AV6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09" s="50" t="e">
        <f>Tableau119[[#This Row],[Leadtime SI2C]]+Tableau119[[#This Row],[First Receipt Days]]-Tableau119[[#This Row],[Day Customer Order]]+1</f>
        <v>#N/A</v>
      </c>
      <c r="AX609" s="119" t="e">
        <f>IF(Tableau119[[#This Row],[Name ILN]]&lt;&gt;"SFK Freight Forwarder",Tableau119[[#This Row],[Cust. Leadtime]],Tableau119[[#This Row],[Leadtime SI2C]])</f>
        <v>#N/A</v>
      </c>
      <c r="AY609" s="51" t="b">
        <f>_xlfn.XLOOKUP(Tableau119[[#This Row],[Key(ID-date)]],'DATA BTO'!S:S,'DATA BTO'!P:P,FALSE)</f>
        <v>0</v>
      </c>
      <c r="AZ609" s="338">
        <v>45473</v>
      </c>
      <c r="BA609" s="50"/>
    </row>
    <row r="610" spans="2:53">
      <c r="B610" s="446" t="str">
        <f>_xlfn.CONCAT(Tableau119[[#This Row],[Name ILN]],"-",Tableau119[[#This Row],[Name Shipper]],"-",Tableau119[[#This Row],[Name Site]])</f>
        <v>ILN VLL-ILN VLL-CHENNAI Vehicule</v>
      </c>
      <c r="C610" s="66" t="str">
        <f>_xlfn.CONCAT(Tableau119[[#This Row],[Compte ILN]],"-",Tableau119[[#This Row],[Compte Shipper]],"-",Tableau119[[#This Row],[POL]],"-",Tableau119[[#This Row],[Compte Consignee]])</f>
        <v>91018400-91018400-FALSO-26549502</v>
      </c>
      <c r="D610" s="66" t="str">
        <f>_xlfn.CONCAT(Tableau119[[#This Row],[Compte ILN]],"-",Tableau119[[#This Row],[Compte Shipper]],"-",Tableau119[[#This Row],[POL]])</f>
        <v>91018400-91018400-FALSO</v>
      </c>
      <c r="E610" s="130" t="str">
        <f>_xlfn.CONCAT(Tableau119[[#This Row],[POL]],"-",Tableau119[[#This Row],[Carrier]],"-",Tableau119[[#This Row],[POD]])</f>
        <v>FALSO-FALSO-FALSO</v>
      </c>
      <c r="F610" s="66" t="str">
        <f>_xlfn.CONCAT(Tableau119[[#This Row],[ID]],"-","Actif")</f>
        <v>237-Actif</v>
      </c>
      <c r="G610" s="66" t="str">
        <f>_xlfn.CONCAT(Tableau119[[#This Row],[POD]],"-",Tableau119[[#This Row],[Code PFI]],"-",Tableau119[[#This Row],[Compte Consignee]])</f>
        <v>FALSO---26549502</v>
      </c>
      <c r="H6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Vehicule</v>
      </c>
      <c r="I610" s="434" t="str">
        <f>_xlfn.CONCAT(Tableau119[[#This Row],[ID]],"-",Tableau119[[#This Row],[Expiration Date]])</f>
        <v>237-45473</v>
      </c>
      <c r="J6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VLL-ILN VLL-237-FALSO-FALSO-FALSO--45473</v>
      </c>
      <c r="K610" s="119" t="str">
        <f ca="1">IF(COUNTIF(J:J,Tableau119[[#This Row],[Plant-ILN-shipper-POL-Carrier-POD-PFI]])=1,"Non","Oui")</f>
        <v>Non</v>
      </c>
      <c r="L610" s="128" t="str">
        <f>VLOOKUP(Tableau119[[#This Row],[Name Site]],Plant_AILN!A:D,4,FALSE)</f>
        <v>INDIA</v>
      </c>
      <c r="M610" s="411" t="s">
        <v>159</v>
      </c>
      <c r="N610" s="454">
        <f>VLOOKUP(Tableau119[[#This Row],[Name Site]],Plant_AILN!A:C,3,FALSE)</f>
        <v>26549502</v>
      </c>
      <c r="O610" s="55">
        <f>VLOOKUP(Tableau119[[#This Row],[Compte Consignee]],Order!C:D,2,FALSE)</f>
        <v>5</v>
      </c>
      <c r="P610" s="124" t="s">
        <v>151</v>
      </c>
      <c r="Q610" s="365">
        <f>VLOOKUP(Tableau119[[#This Row],[Name ILN]],Plant_AILN!F:G,2,FALSE)</f>
        <v>91018400</v>
      </c>
      <c r="R610" s="50">
        <f>VLOOKUP(Tableau119[[#This Row],[Compte ILN]],'DATA ILN'!D:I,6,FALSE)</f>
        <v>9</v>
      </c>
      <c r="S610" s="50" t="e">
        <f>IFERROR(VLOOKUP(Tableau119[[#This Row],[Key(Compte ILN - shipper - POL - plant)]],'DATA ILN'!A:J,10,FALSE),VLOOKUP(Tableau119[[#This Row],[Key(Compte ILN - shipper - POL)]],'DATA ILN'!B:J,9,FALSE))</f>
        <v>#N/A</v>
      </c>
      <c r="T610" s="50" t="e">
        <f>IFERROR(VLOOKUP(Tableau119[[#This Row],[Key(Compte ILN - shipper - POL - plant)]],'DATA ILN'!A:K,11,FALSE),VLOOKUP(Tableau119[[#This Row],[Key(Compte ILN - shipper - POL)]],'DATA ILN'!B:K,10,FALSE))</f>
        <v>#N/A</v>
      </c>
      <c r="U610" s="50" t="e">
        <f>IFERROR(VLOOKUP(Tableau119[[#This Row],[Key(Compte ILN - shipper - POL - plant)]],'DATA ILN'!A:L,12,FALSE),VLOOKUP(Tableau119[[#This Row],[Key(Compte ILN - shipper - POL)]],'DATA ILN'!B:L,11,FALSE))</f>
        <v>#N/A</v>
      </c>
      <c r="V610" s="50" t="e">
        <f>Tableau119[[#This Row],[Day ILN Order]]+Tableau119[[#This Row],[Delivery time to ILN/Shipper]]-1</f>
        <v>#N/A</v>
      </c>
      <c r="W610" s="50" t="e">
        <f>IFERROR(VLOOKUP(Tableau119[[#This Row],[Key(Compte ILN - shipper - POL - plant)]],'DATA ILN'!A:N,14,FALSE),VLOOKUP(Tableau119[[#This Row],[Key(Compte ILN - shipper - POL)]],'DATA ILN'!B:N,13,FALSE))</f>
        <v>#N/A</v>
      </c>
      <c r="X610" s="50" t="e">
        <f>IFERROR(VLOOKUP(Tableau119[[#This Row],[Key(Compte ILN - shipper - POL - plant)]],'DATA ILN'!A:P,16,FALSE),VLOOKUP(Tableau119[[#This Row],[Key(Compte ILN - shipper - POL)]],'DATA ILN'!B:P,15,FALSE))</f>
        <v>#N/A</v>
      </c>
      <c r="Y610" s="284" t="s">
        <v>151</v>
      </c>
      <c r="Z610" s="430">
        <f>IFERROR(VLOOKUP(Tableau119[[#This Row],[Name Shipper]],Plant_AILN!L:M,2,FALSE),0)</f>
        <v>91018400</v>
      </c>
      <c r="AA610" s="406">
        <v>237</v>
      </c>
      <c r="AB610" s="396" t="b">
        <f>_xlfn.XLOOKUP(Tableau119[[#This Row],[Key(ID-date)]],'DATA BTO'!S:S,'DATA BTO'!E:E,FALSE)</f>
        <v>0</v>
      </c>
      <c r="AC610" s="3" t="b">
        <f>_xlfn.XLOOKUP(Tableau119[[#This Row],[Key(ID-date)]],'DATA BTO'!S:S,'DATA BTO'!F:F,FALSE)</f>
        <v>0</v>
      </c>
      <c r="AD610" s="50" t="b">
        <f>_xlfn.XLOOKUP(Tableau119[[#This Row],[Key(ID-date)]],'DATA BTO'!S:S,'DATA BTO'!G:G,FALSE)</f>
        <v>0</v>
      </c>
      <c r="AE610" s="50" t="b">
        <f>_xlfn.XLOOKUP(Tableau119[[#This Row],[Key(ID-date)]],'DATA BTO'!S:S,'DATA BTO'!H:H,FALSE)</f>
        <v>0</v>
      </c>
      <c r="AF610" s="447" t="e">
        <f>IF(Tableau119[[#This Row],[First Day to POL]]&lt;=Tableau119[[#This Row],[Day Cut Off]],Tableau119[[#This Row],[Day ETD]],Tableau119[[#This Row],[Day ETD]]+7)</f>
        <v>#N/A</v>
      </c>
      <c r="AG610" s="50" t="b">
        <f>_xlfn.XLOOKUP(Tableau119[[#This Row],[Key(ID-date)]],'DATA BTO'!S:S,'DATA BTO'!I:I,FALSE)</f>
        <v>0</v>
      </c>
      <c r="AH610" s="3" t="b">
        <f>_xlfn.XLOOKUP(Tableau119[[#This Row],[Key(ID-date)]],'DATA BTO'!S:S,'DATA BTO'!J:J,FALSE)</f>
        <v>0</v>
      </c>
      <c r="AI610" s="3" t="b">
        <f>_xlfn.XLOOKUP(Tableau119[[#This Row],[Key(ID-date)]],'DATA BTO'!S:S,'DATA BTO'!K:K,FALSE)</f>
        <v>0</v>
      </c>
      <c r="AJ610" s="50" t="b">
        <f>_xlfn.XLOOKUP(Tableau119[[#This Row],[Key(ID-date)]],'DATA BTO'!S:S,'DATA BTO'!L:L,FALSE)</f>
        <v>0</v>
      </c>
      <c r="AK610" s="53" t="b">
        <f>_xlfn.XLOOKUP(Tableau119[[#This Row],[Key(ID-date)]],'DATA BTO'!S:S,'DATA BTO'!N:N,FALSE)</f>
        <v>0</v>
      </c>
      <c r="AL610" s="54" t="e">
        <f>VLOOKUP(Tableau119[[#This Row],[Key(POD -PFI- Usine)]],'DATA Consignee'!A:F,6,FALSE)</f>
        <v>#N/A</v>
      </c>
      <c r="AM610" s="127"/>
      <c r="AN610" s="376" t="str">
        <f>IF(Tableau119[[#This Row],[Name PFI/CDD]]="","-",VLOOKUP(Tableau119[[#This Row],[Name PFI/CDD]],Plant_AILN!I:J,2,FALSE))</f>
        <v>-</v>
      </c>
      <c r="AO6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0" s="2" t="e">
        <f>VLOOKUP(Tableau119[[#This Row],[Key(POD -PFI- Usine)]],'DATA Consignee'!A:J,10,FALSE)</f>
        <v>#N/A</v>
      </c>
      <c r="AR610" s="50" t="e">
        <f>VLOOKUP(Tableau119[[#This Row],[Key(POD -PFI- Usine)]],'DATA Consignee'!A:N,14,FALSE)</f>
        <v>#N/A</v>
      </c>
      <c r="AS6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0" s="50">
        <f>Tableau119[[#This Row],[Transit time]]+Tableau119[[#This Row],[Time for security]]+Tableau119[[#This Row],[Time for security2 buffer]]</f>
        <v>0</v>
      </c>
      <c r="AV6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0" s="50" t="e">
        <f>Tableau119[[#This Row],[Leadtime SI2C]]+Tableau119[[#This Row],[First Receipt Days]]-Tableau119[[#This Row],[Day Customer Order]]+1</f>
        <v>#N/A</v>
      </c>
      <c r="AX610" s="119" t="e">
        <f>IF(Tableau119[[#This Row],[Name ILN]]&lt;&gt;"SFK Freight Forwarder",Tableau119[[#This Row],[Cust. Leadtime]],Tableau119[[#This Row],[Leadtime SI2C]])</f>
        <v>#N/A</v>
      </c>
      <c r="AY610" s="51" t="b">
        <f>_xlfn.XLOOKUP(Tableau119[[#This Row],[Key(ID-date)]],'DATA BTO'!S:S,'DATA BTO'!P:P,FALSE)</f>
        <v>0</v>
      </c>
      <c r="AZ610" s="338">
        <v>45473</v>
      </c>
      <c r="BA610" s="50"/>
    </row>
    <row r="611" spans="2:53">
      <c r="B611" s="446" t="str">
        <f>_xlfn.CONCAT(Tableau119[[#This Row],[Name ILN]],"-",Tableau119[[#This Row],[Name Shipper]],"-",Tableau119[[#This Row],[Name Site]])</f>
        <v>ILN VLL-ILN VLL-CHENNAI Powertrain</v>
      </c>
      <c r="C611" s="66" t="str">
        <f>_xlfn.CONCAT(Tableau119[[#This Row],[Compte ILN]],"-",Tableau119[[#This Row],[Compte Shipper]],"-",Tableau119[[#This Row],[POL]],"-",Tableau119[[#This Row],[Compte Consignee]])</f>
        <v>91018400-91018400-FALSO-26549500</v>
      </c>
      <c r="D611" s="66" t="str">
        <f>_xlfn.CONCAT(Tableau119[[#This Row],[Compte ILN]],"-",Tableau119[[#This Row],[Compte Shipper]],"-",Tableau119[[#This Row],[POL]])</f>
        <v>91018400-91018400-FALSO</v>
      </c>
      <c r="E611" s="130" t="str">
        <f>_xlfn.CONCAT(Tableau119[[#This Row],[POL]],"-",Tableau119[[#This Row],[Carrier]],"-",Tableau119[[#This Row],[POD]])</f>
        <v>FALSO-FALSO-FALSO</v>
      </c>
      <c r="F611" s="66" t="str">
        <f>_xlfn.CONCAT(Tableau119[[#This Row],[ID]],"-","Actif")</f>
        <v>237-Actif</v>
      </c>
      <c r="G611" s="66" t="str">
        <f>_xlfn.CONCAT(Tableau119[[#This Row],[POD]],"-",Tableau119[[#This Row],[Code PFI]],"-",Tableau119[[#This Row],[Compte Consignee]])</f>
        <v>FALSO---26549500</v>
      </c>
      <c r="H6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Powertrain</v>
      </c>
      <c r="I611" s="434" t="str">
        <f>_xlfn.CONCAT(Tableau119[[#This Row],[ID]],"-",Tableau119[[#This Row],[Expiration Date]])</f>
        <v>237-45412</v>
      </c>
      <c r="J6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Powertrain-ILN VLL-ILN VLL-237-FALSO-FALSO-FALSO--45412</v>
      </c>
      <c r="K611" s="119" t="str">
        <f ca="1">IF(COUNTIF(J:J,Tableau119[[#This Row],[Plant-ILN-shipper-POL-Carrier-POD-PFI]])=1,"Non","Oui")</f>
        <v>Non</v>
      </c>
      <c r="L611" s="128" t="str">
        <f>VLOOKUP(Tableau119[[#This Row],[Name Site]],Plant_AILN!A:D,4,FALSE)</f>
        <v>INDIA</v>
      </c>
      <c r="M611" s="411" t="s">
        <v>221</v>
      </c>
      <c r="N611" s="454">
        <f>VLOOKUP(Tableau119[[#This Row],[Name Site]],Plant_AILN!A:C,3,FALSE)</f>
        <v>26549500</v>
      </c>
      <c r="O611" s="55">
        <f>VLOOKUP(Tableau119[[#This Row],[Compte Consignee]],Order!C:D,2,FALSE)</f>
        <v>5</v>
      </c>
      <c r="P611" s="124" t="s">
        <v>151</v>
      </c>
      <c r="Q611" s="365">
        <f>VLOOKUP(Tableau119[[#This Row],[Name ILN]],Plant_AILN!F:G,2,FALSE)</f>
        <v>91018400</v>
      </c>
      <c r="R611" s="50">
        <f>VLOOKUP(Tableau119[[#This Row],[Compte ILN]],'DATA ILN'!D:I,6,FALSE)</f>
        <v>9</v>
      </c>
      <c r="S611" s="50" t="e">
        <f>IFERROR(VLOOKUP(Tableau119[[#This Row],[Key(Compte ILN - shipper - POL - plant)]],'DATA ILN'!A:J,10,FALSE),VLOOKUP(Tableau119[[#This Row],[Key(Compte ILN - shipper - POL)]],'DATA ILN'!B:J,9,FALSE))</f>
        <v>#N/A</v>
      </c>
      <c r="T611" s="50" t="e">
        <f>IFERROR(VLOOKUP(Tableau119[[#This Row],[Key(Compte ILN - shipper - POL - plant)]],'DATA ILN'!A:K,11,FALSE),VLOOKUP(Tableau119[[#This Row],[Key(Compte ILN - shipper - POL)]],'DATA ILN'!B:K,10,FALSE))</f>
        <v>#N/A</v>
      </c>
      <c r="U611" s="50" t="e">
        <f>IFERROR(VLOOKUP(Tableau119[[#This Row],[Key(Compte ILN - shipper - POL - plant)]],'DATA ILN'!A:L,12,FALSE),VLOOKUP(Tableau119[[#This Row],[Key(Compte ILN - shipper - POL)]],'DATA ILN'!B:L,11,FALSE))</f>
        <v>#N/A</v>
      </c>
      <c r="V611" s="50" t="e">
        <f>Tableau119[[#This Row],[Day ILN Order]]+Tableau119[[#This Row],[Delivery time to ILN/Shipper]]-1</f>
        <v>#N/A</v>
      </c>
      <c r="W611" s="50" t="e">
        <f>IFERROR(VLOOKUP(Tableau119[[#This Row],[Key(Compte ILN - shipper - POL - plant)]],'DATA ILN'!A:N,14,FALSE),VLOOKUP(Tableau119[[#This Row],[Key(Compte ILN - shipper - POL)]],'DATA ILN'!B:N,13,FALSE))</f>
        <v>#N/A</v>
      </c>
      <c r="X611" s="50" t="e">
        <f>IFERROR(VLOOKUP(Tableau119[[#This Row],[Key(Compte ILN - shipper - POL - plant)]],'DATA ILN'!A:P,16,FALSE),VLOOKUP(Tableau119[[#This Row],[Key(Compte ILN - shipper - POL)]],'DATA ILN'!B:P,15,FALSE))</f>
        <v>#N/A</v>
      </c>
      <c r="Y611" s="284" t="s">
        <v>151</v>
      </c>
      <c r="Z611" s="430">
        <f>IFERROR(VLOOKUP(Tableau119[[#This Row],[Name Shipper]],Plant_AILN!L:M,2,FALSE),0)</f>
        <v>91018400</v>
      </c>
      <c r="AA611" s="406">
        <v>237</v>
      </c>
      <c r="AB611" s="396" t="b">
        <f>_xlfn.XLOOKUP(Tableau119[[#This Row],[Key(ID-date)]],'DATA BTO'!S:S,'DATA BTO'!E:E,FALSE)</f>
        <v>0</v>
      </c>
      <c r="AC611" s="3" t="b">
        <f>_xlfn.XLOOKUP(Tableau119[[#This Row],[Key(ID-date)]],'DATA BTO'!S:S,'DATA BTO'!F:F,FALSE)</f>
        <v>0</v>
      </c>
      <c r="AD611" s="50" t="b">
        <f>_xlfn.XLOOKUP(Tableau119[[#This Row],[Key(ID-date)]],'DATA BTO'!S:S,'DATA BTO'!G:G,FALSE)</f>
        <v>0</v>
      </c>
      <c r="AE611" s="50" t="b">
        <f>_xlfn.XLOOKUP(Tableau119[[#This Row],[Key(ID-date)]],'DATA BTO'!S:S,'DATA BTO'!H:H,FALSE)</f>
        <v>0</v>
      </c>
      <c r="AF611" s="447" t="e">
        <f>IF(Tableau119[[#This Row],[First Day to POL]]&lt;=Tableau119[[#This Row],[Day Cut Off]],Tableau119[[#This Row],[Day ETD]],Tableau119[[#This Row],[Day ETD]]+7)</f>
        <v>#N/A</v>
      </c>
      <c r="AG611" s="50" t="b">
        <f>_xlfn.XLOOKUP(Tableau119[[#This Row],[Key(ID-date)]],'DATA BTO'!S:S,'DATA BTO'!I:I,FALSE)</f>
        <v>0</v>
      </c>
      <c r="AH611" s="3" t="b">
        <f>_xlfn.XLOOKUP(Tableau119[[#This Row],[Key(ID-date)]],'DATA BTO'!S:S,'DATA BTO'!J:J,FALSE)</f>
        <v>0</v>
      </c>
      <c r="AI611" s="3" t="b">
        <f>_xlfn.XLOOKUP(Tableau119[[#This Row],[Key(ID-date)]],'DATA BTO'!S:S,'DATA BTO'!K:K,FALSE)</f>
        <v>0</v>
      </c>
      <c r="AJ611" s="50" t="b">
        <f>_xlfn.XLOOKUP(Tableau119[[#This Row],[Key(ID-date)]],'DATA BTO'!S:S,'DATA BTO'!L:L,FALSE)</f>
        <v>0</v>
      </c>
      <c r="AK611" s="53" t="b">
        <f>_xlfn.XLOOKUP(Tableau119[[#This Row],[Key(ID-date)]],'DATA BTO'!S:S,'DATA BTO'!N:N,FALSE)</f>
        <v>0</v>
      </c>
      <c r="AL611" s="54" t="e">
        <f>VLOOKUP(Tableau119[[#This Row],[Key(POD -PFI- Usine)]],'DATA Consignee'!A:F,6,FALSE)</f>
        <v>#N/A</v>
      </c>
      <c r="AM611" s="127"/>
      <c r="AN611" s="376" t="str">
        <f>IF(Tableau119[[#This Row],[Name PFI/CDD]]="","-",VLOOKUP(Tableau119[[#This Row],[Name PFI/CDD]],Plant_AILN!I:J,2,FALSE))</f>
        <v>-</v>
      </c>
      <c r="AO6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1" s="2" t="e">
        <f>VLOOKUP(Tableau119[[#This Row],[Key(POD -PFI- Usine)]],'DATA Consignee'!A:J,10,FALSE)</f>
        <v>#N/A</v>
      </c>
      <c r="AR611" s="50" t="e">
        <f>VLOOKUP(Tableau119[[#This Row],[Key(POD -PFI- Usine)]],'DATA Consignee'!A:N,14,FALSE)</f>
        <v>#N/A</v>
      </c>
      <c r="AS6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1" s="50">
        <f>Tableau119[[#This Row],[Transit time]]+Tableau119[[#This Row],[Time for security]]+Tableau119[[#This Row],[Time for security2 buffer]]</f>
        <v>0</v>
      </c>
      <c r="AV6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1" s="50" t="e">
        <f>Tableau119[[#This Row],[Leadtime SI2C]]+Tableau119[[#This Row],[First Receipt Days]]-Tableau119[[#This Row],[Day Customer Order]]+1</f>
        <v>#N/A</v>
      </c>
      <c r="AX611" s="119" t="e">
        <f>IF(Tableau119[[#This Row],[Name ILN]]&lt;&gt;"SFK Freight Forwarder",Tableau119[[#This Row],[Cust. Leadtime]],Tableau119[[#This Row],[Leadtime SI2C]])</f>
        <v>#N/A</v>
      </c>
      <c r="AY611" s="51" t="b">
        <f>_xlfn.XLOOKUP(Tableau119[[#This Row],[Key(ID-date)]],'DATA BTO'!S:S,'DATA BTO'!P:P,FALSE)</f>
        <v>0</v>
      </c>
      <c r="AZ611" s="338">
        <v>45412</v>
      </c>
      <c r="BA611" s="50"/>
    </row>
    <row r="612" spans="2:53">
      <c r="B612" s="446" t="str">
        <f>_xlfn.CONCAT(Tableau119[[#This Row],[Name ILN]],"-",Tableau119[[#This Row],[Name Shipper]],"-",Tableau119[[#This Row],[Name Site]])</f>
        <v>ILN VLL-ILN VLL-CHENNAI Vehicule</v>
      </c>
      <c r="C612" s="66" t="str">
        <f>_xlfn.CONCAT(Tableau119[[#This Row],[Compte ILN]],"-",Tableau119[[#This Row],[Compte Shipper]],"-",Tableau119[[#This Row],[POL]],"-",Tableau119[[#This Row],[Compte Consignee]])</f>
        <v>91018400-91018400-FALSO-26549502</v>
      </c>
      <c r="D612" s="66" t="str">
        <f>_xlfn.CONCAT(Tableau119[[#This Row],[Compte ILN]],"-",Tableau119[[#This Row],[Compte Shipper]],"-",Tableau119[[#This Row],[POL]])</f>
        <v>91018400-91018400-FALSO</v>
      </c>
      <c r="E612" s="130" t="str">
        <f>_xlfn.CONCAT(Tableau119[[#This Row],[POL]],"-",Tableau119[[#This Row],[Carrier]],"-",Tableau119[[#This Row],[POD]])</f>
        <v>FALSO-FALSO-FALSO</v>
      </c>
      <c r="F612" s="66" t="str">
        <f>_xlfn.CONCAT(Tableau119[[#This Row],[ID]],"-","Actif")</f>
        <v>237-Actif</v>
      </c>
      <c r="G612" s="66" t="str">
        <f>_xlfn.CONCAT(Tableau119[[#This Row],[POD]],"-",Tableau119[[#This Row],[Code PFI]],"-",Tableau119[[#This Row],[Compte Consignee]])</f>
        <v>FALSO---26549502</v>
      </c>
      <c r="H6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VLLFALSOCHENNAI Vehicule</v>
      </c>
      <c r="I612" s="434" t="str">
        <f>_xlfn.CONCAT(Tableau119[[#This Row],[ID]],"-",Tableau119[[#This Row],[Expiration Date]])</f>
        <v>237-45412</v>
      </c>
      <c r="J6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VLL-ILN VLL-237-FALSO-FALSO-FALSO--45412</v>
      </c>
      <c r="K612" s="119" t="str">
        <f ca="1">IF(COUNTIF(J:J,Tableau119[[#This Row],[Plant-ILN-shipper-POL-Carrier-POD-PFI]])=1,"Non","Oui")</f>
        <v>Non</v>
      </c>
      <c r="L612" s="128" t="str">
        <f>VLOOKUP(Tableau119[[#This Row],[Name Site]],Plant_AILN!A:D,4,FALSE)</f>
        <v>INDIA</v>
      </c>
      <c r="M612" s="411" t="s">
        <v>159</v>
      </c>
      <c r="N612" s="454">
        <f>VLOOKUP(Tableau119[[#This Row],[Name Site]],Plant_AILN!A:C,3,FALSE)</f>
        <v>26549502</v>
      </c>
      <c r="O612" s="55">
        <f>VLOOKUP(Tableau119[[#This Row],[Compte Consignee]],Order!C:D,2,FALSE)</f>
        <v>5</v>
      </c>
      <c r="P612" s="124" t="s">
        <v>151</v>
      </c>
      <c r="Q612" s="365">
        <f>VLOOKUP(Tableau119[[#This Row],[Name ILN]],Plant_AILN!F:G,2,FALSE)</f>
        <v>91018400</v>
      </c>
      <c r="R612" s="50">
        <f>VLOOKUP(Tableau119[[#This Row],[Compte ILN]],'DATA ILN'!D:I,6,FALSE)</f>
        <v>9</v>
      </c>
      <c r="S612" s="50" t="e">
        <f>IFERROR(VLOOKUP(Tableau119[[#This Row],[Key(Compte ILN - shipper - POL - plant)]],'DATA ILN'!A:J,10,FALSE),VLOOKUP(Tableau119[[#This Row],[Key(Compte ILN - shipper - POL)]],'DATA ILN'!B:J,9,FALSE))</f>
        <v>#N/A</v>
      </c>
      <c r="T612" s="50" t="e">
        <f>IFERROR(VLOOKUP(Tableau119[[#This Row],[Key(Compte ILN - shipper - POL - plant)]],'DATA ILN'!A:K,11,FALSE),VLOOKUP(Tableau119[[#This Row],[Key(Compte ILN - shipper - POL)]],'DATA ILN'!B:K,10,FALSE))</f>
        <v>#N/A</v>
      </c>
      <c r="U612" s="50" t="e">
        <f>IFERROR(VLOOKUP(Tableau119[[#This Row],[Key(Compte ILN - shipper - POL - plant)]],'DATA ILN'!A:L,12,FALSE),VLOOKUP(Tableau119[[#This Row],[Key(Compte ILN - shipper - POL)]],'DATA ILN'!B:L,11,FALSE))</f>
        <v>#N/A</v>
      </c>
      <c r="V612" s="50" t="e">
        <f>Tableau119[[#This Row],[Day ILN Order]]+Tableau119[[#This Row],[Delivery time to ILN/Shipper]]-1</f>
        <v>#N/A</v>
      </c>
      <c r="W612" s="50" t="e">
        <f>IFERROR(VLOOKUP(Tableau119[[#This Row],[Key(Compte ILN - shipper - POL - plant)]],'DATA ILN'!A:N,14,FALSE),VLOOKUP(Tableau119[[#This Row],[Key(Compte ILN - shipper - POL)]],'DATA ILN'!B:N,13,FALSE))</f>
        <v>#N/A</v>
      </c>
      <c r="X612" s="50" t="e">
        <f>IFERROR(VLOOKUP(Tableau119[[#This Row],[Key(Compte ILN - shipper - POL - plant)]],'DATA ILN'!A:P,16,FALSE),VLOOKUP(Tableau119[[#This Row],[Key(Compte ILN - shipper - POL)]],'DATA ILN'!B:P,15,FALSE))</f>
        <v>#N/A</v>
      </c>
      <c r="Y612" s="284" t="s">
        <v>151</v>
      </c>
      <c r="Z612" s="430">
        <f>IFERROR(VLOOKUP(Tableau119[[#This Row],[Name Shipper]],Plant_AILN!L:M,2,FALSE),0)</f>
        <v>91018400</v>
      </c>
      <c r="AA612" s="406">
        <v>237</v>
      </c>
      <c r="AB612" s="396" t="b">
        <f>_xlfn.XLOOKUP(Tableau119[[#This Row],[Key(ID-date)]],'DATA BTO'!S:S,'DATA BTO'!E:E,FALSE)</f>
        <v>0</v>
      </c>
      <c r="AC612" s="3" t="b">
        <f>_xlfn.XLOOKUP(Tableau119[[#This Row],[Key(ID-date)]],'DATA BTO'!S:S,'DATA BTO'!F:F,FALSE)</f>
        <v>0</v>
      </c>
      <c r="AD612" s="50" t="b">
        <f>_xlfn.XLOOKUP(Tableau119[[#This Row],[Key(ID-date)]],'DATA BTO'!S:S,'DATA BTO'!G:G,FALSE)</f>
        <v>0</v>
      </c>
      <c r="AE612" s="50" t="b">
        <f>_xlfn.XLOOKUP(Tableau119[[#This Row],[Key(ID-date)]],'DATA BTO'!S:S,'DATA BTO'!H:H,FALSE)</f>
        <v>0</v>
      </c>
      <c r="AF612" s="447" t="e">
        <f>IF(Tableau119[[#This Row],[First Day to POL]]&lt;=Tableau119[[#This Row],[Day Cut Off]],Tableau119[[#This Row],[Day ETD]],Tableau119[[#This Row],[Day ETD]]+7)</f>
        <v>#N/A</v>
      </c>
      <c r="AG612" s="50" t="b">
        <f>_xlfn.XLOOKUP(Tableau119[[#This Row],[Key(ID-date)]],'DATA BTO'!S:S,'DATA BTO'!I:I,FALSE)</f>
        <v>0</v>
      </c>
      <c r="AH612" s="3" t="b">
        <f>_xlfn.XLOOKUP(Tableau119[[#This Row],[Key(ID-date)]],'DATA BTO'!S:S,'DATA BTO'!J:J,FALSE)</f>
        <v>0</v>
      </c>
      <c r="AI612" s="3" t="b">
        <f>_xlfn.XLOOKUP(Tableau119[[#This Row],[Key(ID-date)]],'DATA BTO'!S:S,'DATA BTO'!K:K,FALSE)</f>
        <v>0</v>
      </c>
      <c r="AJ612" s="50" t="b">
        <f>_xlfn.XLOOKUP(Tableau119[[#This Row],[Key(ID-date)]],'DATA BTO'!S:S,'DATA BTO'!L:L,FALSE)</f>
        <v>0</v>
      </c>
      <c r="AK612" s="53" t="b">
        <f>_xlfn.XLOOKUP(Tableau119[[#This Row],[Key(ID-date)]],'DATA BTO'!S:S,'DATA BTO'!N:N,FALSE)</f>
        <v>0</v>
      </c>
      <c r="AL612" s="54" t="e">
        <f>VLOOKUP(Tableau119[[#This Row],[Key(POD -PFI- Usine)]],'DATA Consignee'!A:F,6,FALSE)</f>
        <v>#N/A</v>
      </c>
      <c r="AM612" s="127"/>
      <c r="AN612" s="376" t="str">
        <f>IF(Tableau119[[#This Row],[Name PFI/CDD]]="","-",VLOOKUP(Tableau119[[#This Row],[Name PFI/CDD]],Plant_AILN!I:J,2,FALSE))</f>
        <v>-</v>
      </c>
      <c r="AO6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2" s="2" t="e">
        <f>VLOOKUP(Tableau119[[#This Row],[Key(POD -PFI- Usine)]],'DATA Consignee'!A:J,10,FALSE)</f>
        <v>#N/A</v>
      </c>
      <c r="AR612" s="50" t="e">
        <f>VLOOKUP(Tableau119[[#This Row],[Key(POD -PFI- Usine)]],'DATA Consignee'!A:N,14,FALSE)</f>
        <v>#N/A</v>
      </c>
      <c r="AS6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2" s="50">
        <f>Tableau119[[#This Row],[Transit time]]+Tableau119[[#This Row],[Time for security]]+Tableau119[[#This Row],[Time for security2 buffer]]</f>
        <v>0</v>
      </c>
      <c r="AV6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2" s="50" t="e">
        <f>Tableau119[[#This Row],[Leadtime SI2C]]+Tableau119[[#This Row],[First Receipt Days]]-Tableau119[[#This Row],[Day Customer Order]]+1</f>
        <v>#N/A</v>
      </c>
      <c r="AX612" s="119" t="e">
        <f>IF(Tableau119[[#This Row],[Name ILN]]&lt;&gt;"SFK Freight Forwarder",Tableau119[[#This Row],[Cust. Leadtime]],Tableau119[[#This Row],[Leadtime SI2C]])</f>
        <v>#N/A</v>
      </c>
      <c r="AY612" s="51" t="b">
        <f>_xlfn.XLOOKUP(Tableau119[[#This Row],[Key(ID-date)]],'DATA BTO'!S:S,'DATA BTO'!P:P,FALSE)</f>
        <v>0</v>
      </c>
      <c r="AZ612" s="338">
        <v>45412</v>
      </c>
      <c r="BA612" s="50"/>
    </row>
    <row r="613" spans="2:53">
      <c r="B613" s="66" t="str">
        <f>_xlfn.CONCAT(Tableau119[[#This Row],[Name ILN]],"-",Tableau119[[#This Row],[Name Shipper]],"-",Tableau119[[#This Row],[Name Site]])</f>
        <v>KWE Shanghai-KWE Shanghai-DACIA MONT</v>
      </c>
      <c r="C613" s="66" t="str">
        <f>_xlfn.CONCAT(Tableau119[[#This Row],[Compte ILN]],"-",Tableau119[[#This Row],[Compte Shipper]],"-",Tableau119[[#This Row],[POL]],"-",Tableau119[[#This Row],[Compte Consignee]])</f>
        <v>26037000-26037000-FALSO-90016800</v>
      </c>
      <c r="D613" s="66" t="str">
        <f>_xlfn.CONCAT(Tableau119[[#This Row],[Compte ILN]],"-",Tableau119[[#This Row],[Compte Shipper]],"-",Tableau119[[#This Row],[POL]])</f>
        <v>26037000-26037000-FALSO</v>
      </c>
      <c r="E613" s="130" t="str">
        <f>_xlfn.CONCAT(Tableau119[[#This Row],[POL]],"-",Tableau119[[#This Row],[Carrier]],"-",Tableau119[[#This Row],[POD]])</f>
        <v>FALSO-FALSO-FALSO</v>
      </c>
      <c r="F613" s="66" t="str">
        <f>_xlfn.CONCAT(Tableau119[[#This Row],[ID]],"-","Actif")</f>
        <v>241-Actif</v>
      </c>
      <c r="G613" s="66" t="str">
        <f>_xlfn.CONCAT(Tableau119[[#This Row],[POD]],"-",Tableau119[[#This Row],[Code PFI]],"-",Tableau119[[#This Row],[Compte Consignee]])</f>
        <v>FALSO-2839004-90016800</v>
      </c>
      <c r="H6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ShanghaiFALSODACIA MONT</v>
      </c>
      <c r="I613" s="434" t="str">
        <f>_xlfn.CONCAT(Tableau119[[#This Row],[ID]],"-",Tableau119[[#This Row],[Expiration Date]])</f>
        <v>241-46053</v>
      </c>
      <c r="J6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MONT-KWE Shanghai-KWE Shanghai-241-FALSO-FALSO-FALSO-Magasin Dacia-46053</v>
      </c>
      <c r="K613" s="119" t="str">
        <f ca="1">IF(COUNTIF(J:J,Tableau119[[#This Row],[Plant-ILN-shipper-POL-Carrier-POD-PFI]])=1,"Non","Oui")</f>
        <v>Non</v>
      </c>
      <c r="L613" s="436" t="str">
        <f>VLOOKUP(Tableau119[[#This Row],[Name Site]],Plant_AILN!A:D,4,FALSE)</f>
        <v>ROMANIA</v>
      </c>
      <c r="M613" s="285" t="s">
        <v>185</v>
      </c>
      <c r="N613" s="454">
        <f>VLOOKUP(Tableau119[[#This Row],[Name Site]],Plant_AILN!A:C,3,FALSE)</f>
        <v>90016800</v>
      </c>
      <c r="O613" s="55">
        <f>IF(Tableau119[[#This Row],[Name PFI/CDD]]="PFI VLL",2,VLOOKUP(Tableau119[[#This Row],[Compte Consignee]],Order!C:D,2,FALSE))</f>
        <v>7</v>
      </c>
      <c r="P613" s="124" t="s">
        <v>62</v>
      </c>
      <c r="Q613" s="365">
        <f>VLOOKUP(Tableau119[[#This Row],[Name ILN]],Plant_AILN!F:G,2,FALSE)</f>
        <v>26037000</v>
      </c>
      <c r="R613" s="50">
        <f>VLOOKUP(Tableau119[[#This Row],[Compte ILN]],'DATA ILN'!D:I,6,FALSE)</f>
        <v>9</v>
      </c>
      <c r="S613" s="50" t="e">
        <f>IFERROR(VLOOKUP(Tableau119[[#This Row],[Key(Compte ILN - shipper - POL - plant)]],'DATA ILN'!A:J,10,FALSE),VLOOKUP(Tableau119[[#This Row],[Key(Compte ILN - shipper - POL)]],'DATA ILN'!B:J,9,FALSE))</f>
        <v>#N/A</v>
      </c>
      <c r="T613" s="50" t="e">
        <f>IFERROR(VLOOKUP(Tableau119[[#This Row],[Key(Compte ILN - shipper - POL - plant)]],'DATA ILN'!A:K,11,FALSE),VLOOKUP(Tableau119[[#This Row],[Key(Compte ILN - shipper - POL)]],'DATA ILN'!B:K,10,FALSE))</f>
        <v>#N/A</v>
      </c>
      <c r="U613" s="50" t="e">
        <f>IFERROR(VLOOKUP(Tableau119[[#This Row],[Key(Compte ILN - shipper - POL - plant)]],'DATA ILN'!A:L,12,FALSE),VLOOKUP(Tableau119[[#This Row],[Key(Compte ILN - shipper - POL)]],'DATA ILN'!B:L,11,FALSE))</f>
        <v>#N/A</v>
      </c>
      <c r="V613" s="50" t="e">
        <f>Tableau119[[#This Row],[Day ILN Order]]+Tableau119[[#This Row],[Delivery time to ILN/Shipper]]-1</f>
        <v>#N/A</v>
      </c>
      <c r="W613" s="50" t="e">
        <f>IFERROR(VLOOKUP(Tableau119[[#This Row],[Key(Compte ILN - shipper - POL - plant)]],'DATA ILN'!A:N,14,FALSE),VLOOKUP(Tableau119[[#This Row],[Key(Compte ILN - shipper - POL)]],'DATA ILN'!B:N,13,FALSE))</f>
        <v>#N/A</v>
      </c>
      <c r="X613" s="50" t="e">
        <f>IFERROR(VLOOKUP(Tableau119[[#This Row],[Key(Compte ILN - shipper - POL - plant)]],'DATA ILN'!A:P,16,FALSE),VLOOKUP(Tableau119[[#This Row],[Key(Compte ILN - shipper - POL)]],'DATA ILN'!B:P,15,FALSE))</f>
        <v>#N/A</v>
      </c>
      <c r="Y613" s="284" t="s">
        <v>62</v>
      </c>
      <c r="Z613" s="430">
        <f>IFERROR(VLOOKUP(Tableau119[[#This Row],[Name Shipper]],Plant_AILN!L:M,2,FALSE),0)</f>
        <v>26037000</v>
      </c>
      <c r="AA613" s="406">
        <v>241</v>
      </c>
      <c r="AB613" s="396" t="b">
        <f>_xlfn.XLOOKUP(Tableau119[[#This Row],[Key(ID-date)]],'DATA BTO'!S:S,'DATA BTO'!E:E,FALSE)</f>
        <v>0</v>
      </c>
      <c r="AC613" s="3" t="b">
        <f>_xlfn.XLOOKUP(Tableau119[[#This Row],[Key(ID-date)]],'DATA BTO'!S:S,'DATA BTO'!F:F,FALSE)</f>
        <v>0</v>
      </c>
      <c r="AD613" s="50" t="b">
        <f>_xlfn.XLOOKUP(Tableau119[[#This Row],[Key(ID-date)]],'DATA BTO'!S:S,'DATA BTO'!G:G,FALSE)</f>
        <v>0</v>
      </c>
      <c r="AE613" s="50" t="b">
        <f>_xlfn.XLOOKUP(Tableau119[[#This Row],[Key(ID-date)]],'DATA BTO'!S:S,'DATA BTO'!H:H,FALSE)</f>
        <v>0</v>
      </c>
      <c r="AF613" s="447" t="e">
        <f>IF(Tableau119[[#This Row],[First Day to POL]]&lt;=Tableau119[[#This Row],[Day Cut Off]],Tableau119[[#This Row],[Day ETD]],Tableau119[[#This Row],[Day ETD]]+7)</f>
        <v>#N/A</v>
      </c>
      <c r="AG613" s="50" t="b">
        <f>_xlfn.XLOOKUP(Tableau119[[#This Row],[Key(ID-date)]],'DATA BTO'!S:S,'DATA BTO'!I:I,FALSE)</f>
        <v>0</v>
      </c>
      <c r="AH613" s="3" t="b">
        <f>_xlfn.XLOOKUP(Tableau119[[#This Row],[Key(ID-date)]],'DATA BTO'!S:S,'DATA BTO'!J:J,FALSE)</f>
        <v>0</v>
      </c>
      <c r="AI613" s="3" t="b">
        <f>_xlfn.XLOOKUP(Tableau119[[#This Row],[Key(ID-date)]],'DATA BTO'!S:S,'DATA BTO'!K:K,FALSE)</f>
        <v>0</v>
      </c>
      <c r="AJ613" s="50" t="b">
        <f>_xlfn.XLOOKUP(Tableau119[[#This Row],[Key(ID-date)]],'DATA BTO'!S:S,'DATA BTO'!L:L,FALSE)</f>
        <v>0</v>
      </c>
      <c r="AK613" s="53" t="b">
        <f>_xlfn.XLOOKUP(Tableau119[[#This Row],[Key(ID-date)]],'DATA BTO'!S:S,'DATA BTO'!N:N,FALSE)</f>
        <v>0</v>
      </c>
      <c r="AL613" s="54" t="e">
        <f>VLOOKUP(Tableau119[[#This Row],[Key(POD -PFI- Usine)]],'DATA Consignee'!A:F,6,FALSE)</f>
        <v>#N/A</v>
      </c>
      <c r="AM613" s="127" t="s">
        <v>164</v>
      </c>
      <c r="AN613" s="376">
        <f>IF(Tableau119[[#This Row],[Name PFI/CDD]]="","-",VLOOKUP(Tableau119[[#This Row],[Name PFI/CDD]],Plant_AILN!I:J,2,FALSE))</f>
        <v>2839004</v>
      </c>
      <c r="AO6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3" s="2" t="e">
        <f>VLOOKUP(Tableau119[[#This Row],[Key(POD -PFI- Usine)]],'DATA Consignee'!A:J,10,FALSE)</f>
        <v>#N/A</v>
      </c>
      <c r="AR613" s="50" t="e">
        <f>VLOOKUP(Tableau119[[#This Row],[Key(POD -PFI- Usine)]],'DATA Consignee'!A:N,14,FALSE)</f>
        <v>#N/A</v>
      </c>
      <c r="AS6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3" s="50">
        <f>Tableau119[[#This Row],[Transit time]]+Tableau119[[#This Row],[Time for security]]+Tableau119[[#This Row],[Time for security2 buffer]]</f>
        <v>0</v>
      </c>
      <c r="AV6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3" s="50" t="e">
        <f>Tableau119[[#This Row],[Leadtime SI2C]]+Tableau119[[#This Row],[First Receipt Days]]-Tableau119[[#This Row],[Day Customer Order]]+1</f>
        <v>#N/A</v>
      </c>
      <c r="AX613" s="119" t="e">
        <f>IF(Tableau119[[#This Row],[Name ILN]]&lt;&gt;"SFK Freight Forwarder",Tableau119[[#This Row],[Cust. Leadtime]],Tableau119[[#This Row],[Leadtime SI2C]])</f>
        <v>#N/A</v>
      </c>
      <c r="AY613" s="51" t="b">
        <f>_xlfn.XLOOKUP(Tableau119[[#This Row],[Key(ID-date)]],'DATA BTO'!S:S,'DATA BTO'!P:P,FALSE)</f>
        <v>0</v>
      </c>
      <c r="AZ613" s="338">
        <v>46053</v>
      </c>
      <c r="BA613" s="50"/>
    </row>
    <row r="614" spans="2:53">
      <c r="B614" s="66" t="str">
        <f>_xlfn.CONCAT(Tableau119[[#This Row],[Name ILN]],"-",Tableau119[[#This Row],[Name Shipper]],"-",Tableau119[[#This Row],[Name Site]])</f>
        <v>KWE Shanghai-KWE Shanghai-REVOZ</v>
      </c>
      <c r="C614" s="66" t="str">
        <f>_xlfn.CONCAT(Tableau119[[#This Row],[Compte ILN]],"-",Tableau119[[#This Row],[Compte Shipper]],"-",Tableau119[[#This Row],[POL]],"-",Tableau119[[#This Row],[Compte Consignee]])</f>
        <v>26037000-26037000-FALSO-90016700</v>
      </c>
      <c r="D614" s="66" t="str">
        <f>_xlfn.CONCAT(Tableau119[[#This Row],[Compte ILN]],"-",Tableau119[[#This Row],[Compte Shipper]],"-",Tableau119[[#This Row],[POL]])</f>
        <v>26037000-26037000-FALSO</v>
      </c>
      <c r="E614" s="130" t="str">
        <f>_xlfn.CONCAT(Tableau119[[#This Row],[POL]],"-",Tableau119[[#This Row],[Carrier]],"-",Tableau119[[#This Row],[POD]])</f>
        <v>FALSO-FALSO-FALSO</v>
      </c>
      <c r="F614" s="66" t="str">
        <f>_xlfn.CONCAT(Tableau119[[#This Row],[ID]],"-","Actif")</f>
        <v>241-Actif</v>
      </c>
      <c r="G614" s="66" t="str">
        <f>_xlfn.CONCAT(Tableau119[[#This Row],[POD]],"-",Tableau119[[#This Row],[Code PFI]],"-",Tableau119[[#This Row],[Compte Consignee]])</f>
        <v>FALSO-2839004-90016700</v>
      </c>
      <c r="H6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ShanghaiFALSOREVOZ</v>
      </c>
      <c r="I614" s="434" t="str">
        <f>_xlfn.CONCAT(Tableau119[[#This Row],[ID]],"-",Tableau119[[#This Row],[Expiration Date]])</f>
        <v>241-46053</v>
      </c>
      <c r="J6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REVOZ-KWE Shanghai-KWE Shanghai-241-FALSO-FALSO-FALSO-PFI Mioveni-46053</v>
      </c>
      <c r="K614" s="119" t="str">
        <f ca="1">IF(COUNTIF(J:J,Tableau119[[#This Row],[Plant-ILN-shipper-POL-Carrier-POD-PFI]])=1,"Non","Oui")</f>
        <v>Non</v>
      </c>
      <c r="L614" s="436" t="str">
        <f>VLOOKUP(Tableau119[[#This Row],[Name Site]],Plant_AILN!A:D,4,FALSE)</f>
        <v>SLOVENIA</v>
      </c>
      <c r="M614" s="285" t="s">
        <v>35</v>
      </c>
      <c r="N614" s="454">
        <f>VLOOKUP(Tableau119[[#This Row],[Name Site]],Plant_AILN!A:C,3,FALSE)</f>
        <v>90016700</v>
      </c>
      <c r="O614" s="55">
        <f>IF(Tableau119[[#This Row],[Name PFI/CDD]]="PFI VLL",2,VLOOKUP(Tableau119[[#This Row],[Compte Consignee]],Order!C:D,2,FALSE))</f>
        <v>7</v>
      </c>
      <c r="P614" s="124" t="s">
        <v>62</v>
      </c>
      <c r="Q614" s="365">
        <f>VLOOKUP(Tableau119[[#This Row],[Name ILN]],Plant_AILN!F:G,2,FALSE)</f>
        <v>26037000</v>
      </c>
      <c r="R614" s="50">
        <f>VLOOKUP(Tableau119[[#This Row],[Compte ILN]],'DATA ILN'!D:I,6,FALSE)</f>
        <v>9</v>
      </c>
      <c r="S614" s="50" t="e">
        <f>IFERROR(VLOOKUP(Tableau119[[#This Row],[Key(Compte ILN - shipper - POL - plant)]],'DATA ILN'!A:J,10,FALSE),VLOOKUP(Tableau119[[#This Row],[Key(Compte ILN - shipper - POL)]],'DATA ILN'!B:J,9,FALSE))</f>
        <v>#N/A</v>
      </c>
      <c r="T614" s="50" t="e">
        <f>IFERROR(VLOOKUP(Tableau119[[#This Row],[Key(Compte ILN - shipper - POL - plant)]],'DATA ILN'!A:K,11,FALSE),VLOOKUP(Tableau119[[#This Row],[Key(Compte ILN - shipper - POL)]],'DATA ILN'!B:K,10,FALSE))</f>
        <v>#N/A</v>
      </c>
      <c r="U614" s="50" t="e">
        <f>IFERROR(VLOOKUP(Tableau119[[#This Row],[Key(Compte ILN - shipper - POL - plant)]],'DATA ILN'!A:L,12,FALSE),VLOOKUP(Tableau119[[#This Row],[Key(Compte ILN - shipper - POL)]],'DATA ILN'!B:L,11,FALSE))</f>
        <v>#N/A</v>
      </c>
      <c r="V614" s="50" t="e">
        <f>Tableau119[[#This Row],[Day ILN Order]]+Tableau119[[#This Row],[Delivery time to ILN/Shipper]]-1</f>
        <v>#N/A</v>
      </c>
      <c r="W614" s="50" t="e">
        <f>IFERROR(VLOOKUP(Tableau119[[#This Row],[Key(Compte ILN - shipper - POL - plant)]],'DATA ILN'!A:N,14,FALSE),VLOOKUP(Tableau119[[#This Row],[Key(Compte ILN - shipper - POL)]],'DATA ILN'!B:N,13,FALSE))</f>
        <v>#N/A</v>
      </c>
      <c r="X614" s="50" t="e">
        <f>IFERROR(VLOOKUP(Tableau119[[#This Row],[Key(Compte ILN - shipper - POL - plant)]],'DATA ILN'!A:P,16,FALSE),VLOOKUP(Tableau119[[#This Row],[Key(Compte ILN - shipper - POL)]],'DATA ILN'!B:P,15,FALSE))</f>
        <v>#N/A</v>
      </c>
      <c r="Y614" s="284" t="s">
        <v>62</v>
      </c>
      <c r="Z614" s="430">
        <f>IFERROR(VLOOKUP(Tableau119[[#This Row],[Name Shipper]],Plant_AILN!L:M,2,FALSE),0)</f>
        <v>26037000</v>
      </c>
      <c r="AA614" s="406">
        <v>241</v>
      </c>
      <c r="AB614" s="396" t="b">
        <f>_xlfn.XLOOKUP(Tableau119[[#This Row],[Key(ID-date)]],'DATA BTO'!S:S,'DATA BTO'!E:E,FALSE)</f>
        <v>0</v>
      </c>
      <c r="AC614" s="3" t="b">
        <f>_xlfn.XLOOKUP(Tableau119[[#This Row],[Key(ID-date)]],'DATA BTO'!S:S,'DATA BTO'!F:F,FALSE)</f>
        <v>0</v>
      </c>
      <c r="AD614" s="50" t="b">
        <f>_xlfn.XLOOKUP(Tableau119[[#This Row],[Key(ID-date)]],'DATA BTO'!S:S,'DATA BTO'!G:G,FALSE)</f>
        <v>0</v>
      </c>
      <c r="AE614" s="50" t="b">
        <f>_xlfn.XLOOKUP(Tableau119[[#This Row],[Key(ID-date)]],'DATA BTO'!S:S,'DATA BTO'!H:H,FALSE)</f>
        <v>0</v>
      </c>
      <c r="AF614" s="447" t="e">
        <f>IF(Tableau119[[#This Row],[First Day to POL]]&lt;=Tableau119[[#This Row],[Day Cut Off]],Tableau119[[#This Row],[Day ETD]],Tableau119[[#This Row],[Day ETD]]+7)</f>
        <v>#N/A</v>
      </c>
      <c r="AG614" s="50" t="b">
        <f>_xlfn.XLOOKUP(Tableau119[[#This Row],[Key(ID-date)]],'DATA BTO'!S:S,'DATA BTO'!I:I,FALSE)</f>
        <v>0</v>
      </c>
      <c r="AH614" s="3" t="b">
        <f>_xlfn.XLOOKUP(Tableau119[[#This Row],[Key(ID-date)]],'DATA BTO'!S:S,'DATA BTO'!J:J,FALSE)</f>
        <v>0</v>
      </c>
      <c r="AI614" s="3" t="b">
        <f>_xlfn.XLOOKUP(Tableau119[[#This Row],[Key(ID-date)]],'DATA BTO'!S:S,'DATA BTO'!K:K,FALSE)</f>
        <v>0</v>
      </c>
      <c r="AJ614" s="50" t="b">
        <f>_xlfn.XLOOKUP(Tableau119[[#This Row],[Key(ID-date)]],'DATA BTO'!S:S,'DATA BTO'!L:L,FALSE)</f>
        <v>0</v>
      </c>
      <c r="AK614" s="53" t="b">
        <f>_xlfn.XLOOKUP(Tableau119[[#This Row],[Key(ID-date)]],'DATA BTO'!S:S,'DATA BTO'!N:N,FALSE)</f>
        <v>0</v>
      </c>
      <c r="AL614" s="54" t="e">
        <f>VLOOKUP(Tableau119[[#This Row],[Key(POD -PFI- Usine)]],'DATA Consignee'!A:F,6,FALSE)</f>
        <v>#N/A</v>
      </c>
      <c r="AM614" s="127" t="s">
        <v>278</v>
      </c>
      <c r="AN614" s="376">
        <f>IF(Tableau119[[#This Row],[Name PFI/CDD]]="","-",VLOOKUP(Tableau119[[#This Row],[Name PFI/CDD]],Plant_AILN!I:J,2,FALSE))</f>
        <v>2839004</v>
      </c>
      <c r="AO6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4" s="2" t="e">
        <f>VLOOKUP(Tableau119[[#This Row],[Key(POD -PFI- Usine)]],'DATA Consignee'!A:J,10,FALSE)</f>
        <v>#N/A</v>
      </c>
      <c r="AR614" s="50" t="e">
        <f>VLOOKUP(Tableau119[[#This Row],[Key(POD -PFI- Usine)]],'DATA Consignee'!A:N,14,FALSE)</f>
        <v>#N/A</v>
      </c>
      <c r="AS6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4" s="50">
        <f>Tableau119[[#This Row],[Transit time]]+Tableau119[[#This Row],[Time for security]]+Tableau119[[#This Row],[Time for security2 buffer]]</f>
        <v>0</v>
      </c>
      <c r="AV6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4" s="50" t="e">
        <f>Tableau119[[#This Row],[Leadtime SI2C]]+Tableau119[[#This Row],[First Receipt Days]]-Tableau119[[#This Row],[Day Customer Order]]+1</f>
        <v>#N/A</v>
      </c>
      <c r="AX614" s="119" t="e">
        <f>IF(Tableau119[[#This Row],[Name ILN]]&lt;&gt;"SFK Freight Forwarder",Tableau119[[#This Row],[Cust. Leadtime]],Tableau119[[#This Row],[Leadtime SI2C]])</f>
        <v>#N/A</v>
      </c>
      <c r="AY614" s="51" t="b">
        <f>_xlfn.XLOOKUP(Tableau119[[#This Row],[Key(ID-date)]],'DATA BTO'!S:S,'DATA BTO'!P:P,FALSE)</f>
        <v>0</v>
      </c>
      <c r="AZ614" s="338">
        <v>46053</v>
      </c>
      <c r="BA614" s="50"/>
    </row>
    <row r="615" spans="2:53">
      <c r="B615" s="66" t="str">
        <f>_xlfn.CONCAT(Tableau119[[#This Row],[Name ILN]],"-",Tableau119[[#This Row],[Name Shipper]],"-",Tableau119[[#This Row],[Name Site]])</f>
        <v>KWE Shanghai-KWE Shanghai-RM MIOVENI</v>
      </c>
      <c r="C615" s="66" t="str">
        <f>_xlfn.CONCAT(Tableau119[[#This Row],[Compte ILN]],"-",Tableau119[[#This Row],[Compte Shipper]],"-",Tableau119[[#This Row],[POL]],"-",Tableau119[[#This Row],[Compte Consignee]])</f>
        <v>26037000-26037000-FALSO-90012300</v>
      </c>
      <c r="D615" s="66" t="str">
        <f>_xlfn.CONCAT(Tableau119[[#This Row],[Compte ILN]],"-",Tableau119[[#This Row],[Compte Shipper]],"-",Tableau119[[#This Row],[POL]])</f>
        <v>26037000-26037000-FALSO</v>
      </c>
      <c r="E615" s="130" t="str">
        <f>_xlfn.CONCAT(Tableau119[[#This Row],[POL]],"-",Tableau119[[#This Row],[Carrier]],"-",Tableau119[[#This Row],[POD]])</f>
        <v>FALSO-FALSO-FALSO</v>
      </c>
      <c r="F615" s="66" t="str">
        <f>_xlfn.CONCAT(Tableau119[[#This Row],[ID]],"-","Actif")</f>
        <v>241-Actif</v>
      </c>
      <c r="G615" s="66" t="str">
        <f>_xlfn.CONCAT(Tableau119[[#This Row],[POD]],"-",Tableau119[[#This Row],[Code PFI]],"-",Tableau119[[#This Row],[Compte Consignee]])</f>
        <v>FALSO-2839004-90012300</v>
      </c>
      <c r="H6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ShanghaiFALSORM MIOVENI</v>
      </c>
      <c r="I615" s="434" t="str">
        <f>_xlfn.CONCAT(Tableau119[[#This Row],[ID]],"-",Tableau119[[#This Row],[Expiration Date]])</f>
        <v>241-46053</v>
      </c>
      <c r="J6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RM MIOVENI-KWE Shanghai-KWE Shanghai-241-FALSO-FALSO-FALSO-Magasin Dacia-46053</v>
      </c>
      <c r="K615" s="119" t="str">
        <f ca="1">IF(COUNTIF(J:J,Tableau119[[#This Row],[Plant-ILN-shipper-POL-Carrier-POD-PFI]])=1,"Non","Oui")</f>
        <v>Non</v>
      </c>
      <c r="L615" s="436" t="str">
        <f>VLOOKUP(Tableau119[[#This Row],[Name Site]],Plant_AILN!A:D,4,FALSE)</f>
        <v>ROMANIA</v>
      </c>
      <c r="M615" s="285" t="s">
        <v>212</v>
      </c>
      <c r="N615" s="454">
        <f>VLOOKUP(Tableau119[[#This Row],[Name Site]],Plant_AILN!A:C,3,FALSE)</f>
        <v>90012300</v>
      </c>
      <c r="O615" s="55">
        <f>IF(Tableau119[[#This Row],[Name PFI/CDD]]="PFI VLL",2,VLOOKUP(Tableau119[[#This Row],[Compte Consignee]],Order!C:D,2,FALSE))</f>
        <v>7</v>
      </c>
      <c r="P615" s="124" t="s">
        <v>62</v>
      </c>
      <c r="Q615" s="365">
        <f>VLOOKUP(Tableau119[[#This Row],[Name ILN]],Plant_AILN!F:G,2,FALSE)</f>
        <v>26037000</v>
      </c>
      <c r="R615" s="50">
        <f>VLOOKUP(Tableau119[[#This Row],[Compte ILN]],'DATA ILN'!D:I,6,FALSE)</f>
        <v>9</v>
      </c>
      <c r="S615" s="50" t="e">
        <f>IFERROR(VLOOKUP(Tableau119[[#This Row],[Key(Compte ILN - shipper - POL - plant)]],'DATA ILN'!A:J,10,FALSE),VLOOKUP(Tableau119[[#This Row],[Key(Compte ILN - shipper - POL)]],'DATA ILN'!B:J,9,FALSE))</f>
        <v>#N/A</v>
      </c>
      <c r="T615" s="50" t="e">
        <f>IFERROR(VLOOKUP(Tableau119[[#This Row],[Key(Compte ILN - shipper - POL - plant)]],'DATA ILN'!A:K,11,FALSE),VLOOKUP(Tableau119[[#This Row],[Key(Compte ILN - shipper - POL)]],'DATA ILN'!B:K,10,FALSE))</f>
        <v>#N/A</v>
      </c>
      <c r="U615" s="50" t="e">
        <f>IFERROR(VLOOKUP(Tableau119[[#This Row],[Key(Compte ILN - shipper - POL - plant)]],'DATA ILN'!A:L,12,FALSE),VLOOKUP(Tableau119[[#This Row],[Key(Compte ILN - shipper - POL)]],'DATA ILN'!B:L,11,FALSE))</f>
        <v>#N/A</v>
      </c>
      <c r="V615" s="50" t="e">
        <f>Tableau119[[#This Row],[Day ILN Order]]+Tableau119[[#This Row],[Delivery time to ILN/Shipper]]-1</f>
        <v>#N/A</v>
      </c>
      <c r="W615" s="50" t="e">
        <f>IFERROR(VLOOKUP(Tableau119[[#This Row],[Key(Compte ILN - shipper - POL - plant)]],'DATA ILN'!A:N,14,FALSE),VLOOKUP(Tableau119[[#This Row],[Key(Compte ILN - shipper - POL)]],'DATA ILN'!B:N,13,FALSE))</f>
        <v>#N/A</v>
      </c>
      <c r="X615" s="50" t="e">
        <f>IFERROR(VLOOKUP(Tableau119[[#This Row],[Key(Compte ILN - shipper - POL - plant)]],'DATA ILN'!A:P,16,FALSE),VLOOKUP(Tableau119[[#This Row],[Key(Compte ILN - shipper - POL)]],'DATA ILN'!B:P,15,FALSE))</f>
        <v>#N/A</v>
      </c>
      <c r="Y615" s="284" t="s">
        <v>62</v>
      </c>
      <c r="Z615" s="430">
        <f>IFERROR(VLOOKUP(Tableau119[[#This Row],[Name Shipper]],Plant_AILN!L:M,2,FALSE),0)</f>
        <v>26037000</v>
      </c>
      <c r="AA615" s="406">
        <v>241</v>
      </c>
      <c r="AB615" s="396" t="b">
        <f>_xlfn.XLOOKUP(Tableau119[[#This Row],[Key(ID-date)]],'DATA BTO'!S:S,'DATA BTO'!E:E,FALSE)</f>
        <v>0</v>
      </c>
      <c r="AC615" s="3" t="b">
        <f>_xlfn.XLOOKUP(Tableau119[[#This Row],[Key(ID-date)]],'DATA BTO'!S:S,'DATA BTO'!F:F,FALSE)</f>
        <v>0</v>
      </c>
      <c r="AD615" s="50" t="b">
        <f>_xlfn.XLOOKUP(Tableau119[[#This Row],[Key(ID-date)]],'DATA BTO'!S:S,'DATA BTO'!G:G,FALSE)</f>
        <v>0</v>
      </c>
      <c r="AE615" s="50" t="b">
        <f>_xlfn.XLOOKUP(Tableau119[[#This Row],[Key(ID-date)]],'DATA BTO'!S:S,'DATA BTO'!H:H,FALSE)</f>
        <v>0</v>
      </c>
      <c r="AF615" s="447" t="e">
        <f>IF(Tableau119[[#This Row],[First Day to POL]]&lt;=Tableau119[[#This Row],[Day Cut Off]],Tableau119[[#This Row],[Day ETD]],Tableau119[[#This Row],[Day ETD]]+7)</f>
        <v>#N/A</v>
      </c>
      <c r="AG615" s="50" t="b">
        <f>_xlfn.XLOOKUP(Tableau119[[#This Row],[Key(ID-date)]],'DATA BTO'!S:S,'DATA BTO'!I:I,FALSE)</f>
        <v>0</v>
      </c>
      <c r="AH615" s="3" t="b">
        <f>_xlfn.XLOOKUP(Tableau119[[#This Row],[Key(ID-date)]],'DATA BTO'!S:S,'DATA BTO'!J:J,FALSE)</f>
        <v>0</v>
      </c>
      <c r="AI615" s="3" t="b">
        <f>_xlfn.XLOOKUP(Tableau119[[#This Row],[Key(ID-date)]],'DATA BTO'!S:S,'DATA BTO'!K:K,FALSE)</f>
        <v>0</v>
      </c>
      <c r="AJ615" s="50" t="b">
        <f>_xlfn.XLOOKUP(Tableau119[[#This Row],[Key(ID-date)]],'DATA BTO'!S:S,'DATA BTO'!L:L,FALSE)</f>
        <v>0</v>
      </c>
      <c r="AK615" s="53" t="b">
        <f>_xlfn.XLOOKUP(Tableau119[[#This Row],[Key(ID-date)]],'DATA BTO'!S:S,'DATA BTO'!N:N,FALSE)</f>
        <v>0</v>
      </c>
      <c r="AL615" s="54" t="e">
        <f>VLOOKUP(Tableau119[[#This Row],[Key(POD -PFI- Usine)]],'DATA Consignee'!A:F,6,FALSE)</f>
        <v>#N/A</v>
      </c>
      <c r="AM615" s="127" t="s">
        <v>164</v>
      </c>
      <c r="AN615" s="376">
        <f>IF(Tableau119[[#This Row],[Name PFI/CDD]]="","-",VLOOKUP(Tableau119[[#This Row],[Name PFI/CDD]],Plant_AILN!I:J,2,FALSE))</f>
        <v>2839004</v>
      </c>
      <c r="AO6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5" s="2" t="e">
        <f>VLOOKUP(Tableau119[[#This Row],[Key(POD -PFI- Usine)]],'DATA Consignee'!A:J,10,FALSE)</f>
        <v>#N/A</v>
      </c>
      <c r="AR615" s="50" t="e">
        <f>VLOOKUP(Tableau119[[#This Row],[Key(POD -PFI- Usine)]],'DATA Consignee'!A:N,14,FALSE)</f>
        <v>#N/A</v>
      </c>
      <c r="AS6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5" s="50">
        <f>Tableau119[[#This Row],[Transit time]]+Tableau119[[#This Row],[Time for security]]+Tableau119[[#This Row],[Time for security2 buffer]]</f>
        <v>0</v>
      </c>
      <c r="AV6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5" s="50" t="e">
        <f>Tableau119[[#This Row],[Leadtime SI2C]]+Tableau119[[#This Row],[First Receipt Days]]-Tableau119[[#This Row],[Day Customer Order]]+1</f>
        <v>#N/A</v>
      </c>
      <c r="AX615" s="119" t="e">
        <f>IF(Tableau119[[#This Row],[Name ILN]]&lt;&gt;"SFK Freight Forwarder",Tableau119[[#This Row],[Cust. Leadtime]],Tableau119[[#This Row],[Leadtime SI2C]])</f>
        <v>#N/A</v>
      </c>
      <c r="AY615" s="51" t="b">
        <f>_xlfn.XLOOKUP(Tableau119[[#This Row],[Key(ID-date)]],'DATA BTO'!S:S,'DATA BTO'!P:P,FALSE)</f>
        <v>0</v>
      </c>
      <c r="AZ615" s="338">
        <v>46053</v>
      </c>
      <c r="BA615" s="50"/>
    </row>
    <row r="616" spans="2:53">
      <c r="B616" s="446" t="str">
        <f>_xlfn.CONCAT(Tableau119[[#This Row],[Name ILN]],"-",Tableau119[[#This Row],[Name Shipper]],"-",Tableau119[[#This Row],[Name Site]])</f>
        <v>KWE Shanghai-KWE Shanghai-RM MIOVENI</v>
      </c>
      <c r="C616" s="66" t="str">
        <f>_xlfn.CONCAT(Tableau119[[#This Row],[Compte ILN]],"-",Tableau119[[#This Row],[Compte Shipper]],"-",Tableau119[[#This Row],[POL]],"-",Tableau119[[#This Row],[Compte Consignee]])</f>
        <v>26037000-26037000-FALSO-90012300</v>
      </c>
      <c r="D616" s="66" t="str">
        <f>_xlfn.CONCAT(Tableau119[[#This Row],[Compte ILN]],"-",Tableau119[[#This Row],[Compte Shipper]],"-",Tableau119[[#This Row],[POL]])</f>
        <v>26037000-26037000-FALSO</v>
      </c>
      <c r="E616" s="130" t="str">
        <f>_xlfn.CONCAT(Tableau119[[#This Row],[POL]],"-",Tableau119[[#This Row],[Carrier]],"-",Tableau119[[#This Row],[POD]])</f>
        <v>FALSO-FALSO-FALSO</v>
      </c>
      <c r="F616" s="66" t="str">
        <f>_xlfn.CONCAT(Tableau119[[#This Row],[ID]],"-","Actif")</f>
        <v>241-Actif</v>
      </c>
      <c r="G616" s="66" t="str">
        <f>_xlfn.CONCAT(Tableau119[[#This Row],[POD]],"-",Tableau119[[#This Row],[Code PFI]],"-",Tableau119[[#This Row],[Compte Consignee]])</f>
        <v>FALSO-2839004-90012300</v>
      </c>
      <c r="H6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ShanghaiFALSORM MIOVENI</v>
      </c>
      <c r="I616" s="434" t="str">
        <f>_xlfn.CONCAT(Tableau119[[#This Row],[ID]],"-",Tableau119[[#This Row],[Expiration Date]])</f>
        <v>241-45900</v>
      </c>
      <c r="J6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RM MIOVENI-KWE Shanghai-KWE Shanghai-241-FALSO-FALSO-FALSO-Magasin Dacia-45900</v>
      </c>
      <c r="K616" s="119" t="str">
        <f ca="1">IF(COUNTIF(J:J,Tableau119[[#This Row],[Plant-ILN-shipper-POL-Carrier-POD-PFI]])=1,"Non","Oui")</f>
        <v>Non</v>
      </c>
      <c r="L616" s="128" t="str">
        <f>VLOOKUP(Tableau119[[#This Row],[Name Site]],Plant_AILN!A:D,4,FALSE)</f>
        <v>ROMANIA</v>
      </c>
      <c r="M616" s="411" t="s">
        <v>212</v>
      </c>
      <c r="N616" s="454">
        <f>VLOOKUP(Tableau119[[#This Row],[Name Site]],Plant_AILN!A:C,3,FALSE)</f>
        <v>90012300</v>
      </c>
      <c r="O616" s="55">
        <f>VLOOKUP(Tableau119[[#This Row],[Compte Consignee]],Order!C:D,2,FALSE)</f>
        <v>7</v>
      </c>
      <c r="P616" s="124" t="s">
        <v>62</v>
      </c>
      <c r="Q616" s="365">
        <f>VLOOKUP(Tableau119[[#This Row],[Name ILN]],Plant_AILN!F:G,2,FALSE)</f>
        <v>26037000</v>
      </c>
      <c r="R616" s="50">
        <f>VLOOKUP(Tableau119[[#This Row],[Compte ILN]],'DATA ILN'!D:I,6,FALSE)</f>
        <v>9</v>
      </c>
      <c r="S616" s="50" t="e">
        <f>IFERROR(VLOOKUP(Tableau119[[#This Row],[Key(Compte ILN - shipper - POL - plant)]],'DATA ILN'!A:J,10,FALSE),VLOOKUP(Tableau119[[#This Row],[Key(Compte ILN - shipper - POL)]],'DATA ILN'!B:J,9,FALSE))</f>
        <v>#N/A</v>
      </c>
      <c r="T616" s="50" t="e">
        <f>IFERROR(VLOOKUP(Tableau119[[#This Row],[Key(Compte ILN - shipper - POL - plant)]],'DATA ILN'!A:K,11,FALSE),VLOOKUP(Tableau119[[#This Row],[Key(Compte ILN - shipper - POL)]],'DATA ILN'!B:K,10,FALSE))</f>
        <v>#N/A</v>
      </c>
      <c r="U616" s="50" t="e">
        <f>IFERROR(VLOOKUP(Tableau119[[#This Row],[Key(Compte ILN - shipper - POL - plant)]],'DATA ILN'!A:L,12,FALSE),VLOOKUP(Tableau119[[#This Row],[Key(Compte ILN - shipper - POL)]],'DATA ILN'!B:L,11,FALSE))</f>
        <v>#N/A</v>
      </c>
      <c r="V616" s="50" t="e">
        <f>Tableau119[[#This Row],[Day ILN Order]]+Tableau119[[#This Row],[Delivery time to ILN/Shipper]]-1</f>
        <v>#N/A</v>
      </c>
      <c r="W616" s="50" t="e">
        <f>IFERROR(VLOOKUP(Tableau119[[#This Row],[Key(Compte ILN - shipper - POL - plant)]],'DATA ILN'!A:N,14,FALSE),VLOOKUP(Tableau119[[#This Row],[Key(Compte ILN - shipper - POL)]],'DATA ILN'!B:N,13,FALSE))</f>
        <v>#N/A</v>
      </c>
      <c r="X616" s="50" t="e">
        <f>IFERROR(VLOOKUP(Tableau119[[#This Row],[Key(Compte ILN - shipper - POL - plant)]],'DATA ILN'!A:P,16,FALSE),VLOOKUP(Tableau119[[#This Row],[Key(Compte ILN - shipper - POL)]],'DATA ILN'!B:P,15,FALSE))</f>
        <v>#N/A</v>
      </c>
      <c r="Y616" s="284" t="s">
        <v>62</v>
      </c>
      <c r="Z616" s="430">
        <f>IFERROR(VLOOKUP(Tableau119[[#This Row],[Name Shipper]],Plant_AILN!L:M,2,FALSE),0)</f>
        <v>26037000</v>
      </c>
      <c r="AA616" s="406">
        <v>241</v>
      </c>
      <c r="AB616" s="396" t="b">
        <f>_xlfn.XLOOKUP(Tableau119[[#This Row],[Key(ID-date)]],'DATA BTO'!S:S,'DATA BTO'!E:E,FALSE)</f>
        <v>0</v>
      </c>
      <c r="AC616" s="3" t="b">
        <f>_xlfn.XLOOKUP(Tableau119[[#This Row],[Key(ID-date)]],'DATA BTO'!S:S,'DATA BTO'!F:F,FALSE)</f>
        <v>0</v>
      </c>
      <c r="AD616" s="50" t="b">
        <f>_xlfn.XLOOKUP(Tableau119[[#This Row],[Key(ID-date)]],'DATA BTO'!S:S,'DATA BTO'!G:G,FALSE)</f>
        <v>0</v>
      </c>
      <c r="AE616" s="50" t="b">
        <f>_xlfn.XLOOKUP(Tableau119[[#This Row],[Key(ID-date)]],'DATA BTO'!S:S,'DATA BTO'!H:H,FALSE)</f>
        <v>0</v>
      </c>
      <c r="AF616" s="447" t="e">
        <f>IF(Tableau119[[#This Row],[First Day to POL]]&lt;=Tableau119[[#This Row],[Day Cut Off]],Tableau119[[#This Row],[Day ETD]],Tableau119[[#This Row],[Day ETD]]+7)</f>
        <v>#N/A</v>
      </c>
      <c r="AG616" s="50" t="b">
        <f>_xlfn.XLOOKUP(Tableau119[[#This Row],[Key(ID-date)]],'DATA BTO'!S:S,'DATA BTO'!I:I,FALSE)</f>
        <v>0</v>
      </c>
      <c r="AH616" s="3" t="b">
        <f>_xlfn.XLOOKUP(Tableau119[[#This Row],[Key(ID-date)]],'DATA BTO'!S:S,'DATA BTO'!J:J,FALSE)</f>
        <v>0</v>
      </c>
      <c r="AI616" s="3" t="b">
        <f>_xlfn.XLOOKUP(Tableau119[[#This Row],[Key(ID-date)]],'DATA BTO'!S:S,'DATA BTO'!K:K,FALSE)</f>
        <v>0</v>
      </c>
      <c r="AJ616" s="50" t="b">
        <f>_xlfn.XLOOKUP(Tableau119[[#This Row],[Key(ID-date)]],'DATA BTO'!S:S,'DATA BTO'!L:L,FALSE)</f>
        <v>0</v>
      </c>
      <c r="AK616" s="53" t="b">
        <f>_xlfn.XLOOKUP(Tableau119[[#This Row],[Key(ID-date)]],'DATA BTO'!S:S,'DATA BTO'!N:N,FALSE)</f>
        <v>0</v>
      </c>
      <c r="AL616" s="54" t="e">
        <f>VLOOKUP(Tableau119[[#This Row],[Key(POD -PFI- Usine)]],'DATA Consignee'!A:F,6,FALSE)</f>
        <v>#N/A</v>
      </c>
      <c r="AM616" s="127" t="s">
        <v>164</v>
      </c>
      <c r="AN616" s="376">
        <f>IF(Tableau119[[#This Row],[Name PFI/CDD]]="","-",VLOOKUP(Tableau119[[#This Row],[Name PFI/CDD]],Plant_AILN!I:J,2,FALSE))</f>
        <v>2839004</v>
      </c>
      <c r="AO6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6" s="2" t="e">
        <f>VLOOKUP(Tableau119[[#This Row],[Key(POD -PFI- Usine)]],'DATA Consignee'!A:J,10,FALSE)</f>
        <v>#N/A</v>
      </c>
      <c r="AR616" s="50" t="e">
        <f>VLOOKUP(Tableau119[[#This Row],[Key(POD -PFI- Usine)]],'DATA Consignee'!A:N,14,FALSE)</f>
        <v>#N/A</v>
      </c>
      <c r="AS6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6" s="50">
        <f>Tableau119[[#This Row],[Transit time]]+Tableau119[[#This Row],[Time for security]]+Tableau119[[#This Row],[Time for security2 buffer]]</f>
        <v>0</v>
      </c>
      <c r="AV6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6" s="50" t="e">
        <f>Tableau119[[#This Row],[Leadtime SI2C]]+Tableau119[[#This Row],[First Receipt Days]]-Tableau119[[#This Row],[Day Customer Order]]+1</f>
        <v>#N/A</v>
      </c>
      <c r="AX616" s="119" t="e">
        <f>IF(Tableau119[[#This Row],[Name ILN]]&lt;&gt;"SFK Freight Forwarder",Tableau119[[#This Row],[Cust. Leadtime]],Tableau119[[#This Row],[Leadtime SI2C]])</f>
        <v>#N/A</v>
      </c>
      <c r="AY616" s="51" t="b">
        <f>_xlfn.XLOOKUP(Tableau119[[#This Row],[Key(ID-date)]],'DATA BTO'!S:S,'DATA BTO'!P:P,FALSE)</f>
        <v>0</v>
      </c>
      <c r="AZ616" s="338">
        <v>45900</v>
      </c>
      <c r="BA616" s="50"/>
    </row>
    <row r="617" spans="2:53">
      <c r="B617" s="446" t="str">
        <f>_xlfn.CONCAT(Tableau119[[#This Row],[Name ILN]],"-",Tableau119[[#This Row],[Name Shipper]],"-",Tableau119[[#This Row],[Name Site]])</f>
        <v>KWE Shanghai-KWE Shanghai-REVOZ</v>
      </c>
      <c r="C617" s="66" t="str">
        <f>_xlfn.CONCAT(Tableau119[[#This Row],[Compte ILN]],"-",Tableau119[[#This Row],[Compte Shipper]],"-",Tableau119[[#This Row],[POL]],"-",Tableau119[[#This Row],[Compte Consignee]])</f>
        <v>26037000-26037000-FALSO-90016700</v>
      </c>
      <c r="D617" s="66" t="str">
        <f>_xlfn.CONCAT(Tableau119[[#This Row],[Compte ILN]],"-",Tableau119[[#This Row],[Compte Shipper]],"-",Tableau119[[#This Row],[POL]])</f>
        <v>26037000-26037000-FALSO</v>
      </c>
      <c r="E617" s="130" t="str">
        <f>_xlfn.CONCAT(Tableau119[[#This Row],[POL]],"-",Tableau119[[#This Row],[Carrier]],"-",Tableau119[[#This Row],[POD]])</f>
        <v>FALSO-FALSO-FALSO</v>
      </c>
      <c r="F617" s="66" t="str">
        <f>_xlfn.CONCAT(Tableau119[[#This Row],[ID]],"-","Actif")</f>
        <v>241-Actif</v>
      </c>
      <c r="G617" s="66" t="str">
        <f>_xlfn.CONCAT(Tableau119[[#This Row],[POD]],"-",Tableau119[[#This Row],[Code PFI]],"-",Tableau119[[#This Row],[Compte Consignee]])</f>
        <v>FALSO-2839004-90016700</v>
      </c>
      <c r="H6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ShanghaiFALSOREVOZ</v>
      </c>
      <c r="I617" s="434" t="str">
        <f>_xlfn.CONCAT(Tableau119[[#This Row],[ID]],"-",Tableau119[[#This Row],[Expiration Date]])</f>
        <v>241-45900</v>
      </c>
      <c r="J6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REVOZ-KWE Shanghai-KWE Shanghai-241-FALSO-FALSO-FALSO-PFI Mioveni-45900</v>
      </c>
      <c r="K617" s="119" t="str">
        <f ca="1">IF(COUNTIF(J:J,Tableau119[[#This Row],[Plant-ILN-shipper-POL-Carrier-POD-PFI]])=1,"Non","Oui")</f>
        <v>Non</v>
      </c>
      <c r="L617" s="128" t="str">
        <f>VLOOKUP(Tableau119[[#This Row],[Name Site]],Plant_AILN!A:D,4,FALSE)</f>
        <v>SLOVENIA</v>
      </c>
      <c r="M617" s="411" t="s">
        <v>35</v>
      </c>
      <c r="N617" s="454">
        <f>VLOOKUP(Tableau119[[#This Row],[Name Site]],Plant_AILN!A:C,3,FALSE)</f>
        <v>90016700</v>
      </c>
      <c r="O617" s="55">
        <f>VLOOKUP(Tableau119[[#This Row],[Compte Consignee]],Order!C:D,2,FALSE)</f>
        <v>7</v>
      </c>
      <c r="P617" s="124" t="s">
        <v>62</v>
      </c>
      <c r="Q617" s="365">
        <f>VLOOKUP(Tableau119[[#This Row],[Name ILN]],Plant_AILN!F:G,2,FALSE)</f>
        <v>26037000</v>
      </c>
      <c r="R617" s="50">
        <f>VLOOKUP(Tableau119[[#This Row],[Compte ILN]],'DATA ILN'!D:I,6,FALSE)</f>
        <v>9</v>
      </c>
      <c r="S617" s="50" t="e">
        <f>IFERROR(VLOOKUP(Tableau119[[#This Row],[Key(Compte ILN - shipper - POL - plant)]],'DATA ILN'!A:J,10,FALSE),VLOOKUP(Tableau119[[#This Row],[Key(Compte ILN - shipper - POL)]],'DATA ILN'!B:J,9,FALSE))</f>
        <v>#N/A</v>
      </c>
      <c r="T617" s="50" t="e">
        <f>IFERROR(VLOOKUP(Tableau119[[#This Row],[Key(Compte ILN - shipper - POL - plant)]],'DATA ILN'!A:K,11,FALSE),VLOOKUP(Tableau119[[#This Row],[Key(Compte ILN - shipper - POL)]],'DATA ILN'!B:K,10,FALSE))</f>
        <v>#N/A</v>
      </c>
      <c r="U617" s="50" t="e">
        <f>IFERROR(VLOOKUP(Tableau119[[#This Row],[Key(Compte ILN - shipper - POL - plant)]],'DATA ILN'!A:L,12,FALSE),VLOOKUP(Tableau119[[#This Row],[Key(Compte ILN - shipper - POL)]],'DATA ILN'!B:L,11,FALSE))</f>
        <v>#N/A</v>
      </c>
      <c r="V617" s="50" t="e">
        <f>Tableau119[[#This Row],[Day ILN Order]]+Tableau119[[#This Row],[Delivery time to ILN/Shipper]]-1</f>
        <v>#N/A</v>
      </c>
      <c r="W617" s="50" t="e">
        <f>IFERROR(VLOOKUP(Tableau119[[#This Row],[Key(Compte ILN - shipper - POL - plant)]],'DATA ILN'!A:N,14,FALSE),VLOOKUP(Tableau119[[#This Row],[Key(Compte ILN - shipper - POL)]],'DATA ILN'!B:N,13,FALSE))</f>
        <v>#N/A</v>
      </c>
      <c r="X617" s="50" t="e">
        <f>IFERROR(VLOOKUP(Tableau119[[#This Row],[Key(Compte ILN - shipper - POL - plant)]],'DATA ILN'!A:P,16,FALSE),VLOOKUP(Tableau119[[#This Row],[Key(Compte ILN - shipper - POL)]],'DATA ILN'!B:P,15,FALSE))</f>
        <v>#N/A</v>
      </c>
      <c r="Y617" s="284" t="s">
        <v>62</v>
      </c>
      <c r="Z617" s="430">
        <f>IFERROR(VLOOKUP(Tableau119[[#This Row],[Name Shipper]],Plant_AILN!L:M,2,FALSE),0)</f>
        <v>26037000</v>
      </c>
      <c r="AA617" s="406">
        <v>241</v>
      </c>
      <c r="AB617" s="396" t="b">
        <f>_xlfn.XLOOKUP(Tableau119[[#This Row],[Key(ID-date)]],'DATA BTO'!S:S,'DATA BTO'!E:E,FALSE)</f>
        <v>0</v>
      </c>
      <c r="AC617" s="3" t="b">
        <f>_xlfn.XLOOKUP(Tableau119[[#This Row],[Key(ID-date)]],'DATA BTO'!S:S,'DATA BTO'!F:F,FALSE)</f>
        <v>0</v>
      </c>
      <c r="AD617" s="50" t="b">
        <f>_xlfn.XLOOKUP(Tableau119[[#This Row],[Key(ID-date)]],'DATA BTO'!S:S,'DATA BTO'!G:G,FALSE)</f>
        <v>0</v>
      </c>
      <c r="AE617" s="50" t="b">
        <f>_xlfn.XLOOKUP(Tableau119[[#This Row],[Key(ID-date)]],'DATA BTO'!S:S,'DATA BTO'!H:H,FALSE)</f>
        <v>0</v>
      </c>
      <c r="AF617" s="447" t="e">
        <f>IF(Tableau119[[#This Row],[First Day to POL]]&lt;=Tableau119[[#This Row],[Day Cut Off]],Tableau119[[#This Row],[Day ETD]],Tableau119[[#This Row],[Day ETD]]+7)</f>
        <v>#N/A</v>
      </c>
      <c r="AG617" s="50" t="b">
        <f>_xlfn.XLOOKUP(Tableau119[[#This Row],[Key(ID-date)]],'DATA BTO'!S:S,'DATA BTO'!I:I,FALSE)</f>
        <v>0</v>
      </c>
      <c r="AH617" s="3" t="b">
        <f>_xlfn.XLOOKUP(Tableau119[[#This Row],[Key(ID-date)]],'DATA BTO'!S:S,'DATA BTO'!J:J,FALSE)</f>
        <v>0</v>
      </c>
      <c r="AI617" s="3" t="b">
        <f>_xlfn.XLOOKUP(Tableau119[[#This Row],[Key(ID-date)]],'DATA BTO'!S:S,'DATA BTO'!K:K,FALSE)</f>
        <v>0</v>
      </c>
      <c r="AJ617" s="50" t="b">
        <f>_xlfn.XLOOKUP(Tableau119[[#This Row],[Key(ID-date)]],'DATA BTO'!S:S,'DATA BTO'!L:L,FALSE)</f>
        <v>0</v>
      </c>
      <c r="AK617" s="53" t="b">
        <f>_xlfn.XLOOKUP(Tableau119[[#This Row],[Key(ID-date)]],'DATA BTO'!S:S,'DATA BTO'!N:N,FALSE)</f>
        <v>0</v>
      </c>
      <c r="AL617" s="54" t="e">
        <f>VLOOKUP(Tableau119[[#This Row],[Key(POD -PFI- Usine)]],'DATA Consignee'!A:F,6,FALSE)</f>
        <v>#N/A</v>
      </c>
      <c r="AM617" s="127" t="s">
        <v>278</v>
      </c>
      <c r="AN617" s="376">
        <f>IF(Tableau119[[#This Row],[Name PFI/CDD]]="","-",VLOOKUP(Tableau119[[#This Row],[Name PFI/CDD]],Plant_AILN!I:J,2,FALSE))</f>
        <v>2839004</v>
      </c>
      <c r="AO6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7" s="2" t="e">
        <f>VLOOKUP(Tableau119[[#This Row],[Key(POD -PFI- Usine)]],'DATA Consignee'!A:J,10,FALSE)</f>
        <v>#N/A</v>
      </c>
      <c r="AR617" s="50" t="e">
        <f>VLOOKUP(Tableau119[[#This Row],[Key(POD -PFI- Usine)]],'DATA Consignee'!A:N,14,FALSE)</f>
        <v>#N/A</v>
      </c>
      <c r="AS6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7" s="50">
        <f>Tableau119[[#This Row],[Transit time]]+Tableau119[[#This Row],[Time for security]]+Tableau119[[#This Row],[Time for security2 buffer]]</f>
        <v>0</v>
      </c>
      <c r="AV6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7" s="50" t="e">
        <f>Tableau119[[#This Row],[Leadtime SI2C]]+Tableau119[[#This Row],[First Receipt Days]]-Tableau119[[#This Row],[Day Customer Order]]+1</f>
        <v>#N/A</v>
      </c>
      <c r="AX617" s="119" t="e">
        <f>IF(Tableau119[[#This Row],[Name ILN]]&lt;&gt;"SFK Freight Forwarder",Tableau119[[#This Row],[Cust. Leadtime]],Tableau119[[#This Row],[Leadtime SI2C]])</f>
        <v>#N/A</v>
      </c>
      <c r="AY617" s="51" t="b">
        <f>_xlfn.XLOOKUP(Tableau119[[#This Row],[Key(ID-date)]],'DATA BTO'!S:S,'DATA BTO'!P:P,FALSE)</f>
        <v>0</v>
      </c>
      <c r="AZ617" s="338">
        <v>45900</v>
      </c>
      <c r="BA617" s="50"/>
    </row>
    <row r="618" spans="2:53">
      <c r="B618" s="446" t="str">
        <f>_xlfn.CONCAT(Tableau119[[#This Row],[Name ILN]],"-",Tableau119[[#This Row],[Name Shipper]],"-",Tableau119[[#This Row],[Name Site]])</f>
        <v>KWE Shanghai-KWE Shanghai-DACIA MONT</v>
      </c>
      <c r="C618" s="66" t="str">
        <f>_xlfn.CONCAT(Tableau119[[#This Row],[Compte ILN]],"-",Tableau119[[#This Row],[Compte Shipper]],"-",Tableau119[[#This Row],[POL]],"-",Tableau119[[#This Row],[Compte Consignee]])</f>
        <v>26037000-26037000-FALSO-90016800</v>
      </c>
      <c r="D618" s="66" t="str">
        <f>_xlfn.CONCAT(Tableau119[[#This Row],[Compte ILN]],"-",Tableau119[[#This Row],[Compte Shipper]],"-",Tableau119[[#This Row],[POL]])</f>
        <v>26037000-26037000-FALSO</v>
      </c>
      <c r="E618" s="130" t="str">
        <f>_xlfn.CONCAT(Tableau119[[#This Row],[POL]],"-",Tableau119[[#This Row],[Carrier]],"-",Tableau119[[#This Row],[POD]])</f>
        <v>FALSO-FALSO-FALSO</v>
      </c>
      <c r="F618" s="66" t="str">
        <f>_xlfn.CONCAT(Tableau119[[#This Row],[ID]],"-","Actif")</f>
        <v>241-Actif</v>
      </c>
      <c r="G618" s="66" t="str">
        <f>_xlfn.CONCAT(Tableau119[[#This Row],[POD]],"-",Tableau119[[#This Row],[Code PFI]],"-",Tableau119[[#This Row],[Compte Consignee]])</f>
        <v>FALSO---90016800</v>
      </c>
      <c r="H6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ShanghaiFALSODACIA MONT</v>
      </c>
      <c r="I618" s="434" t="str">
        <f>_xlfn.CONCAT(Tableau119[[#This Row],[ID]],"-",Tableau119[[#This Row],[Expiration Date]])</f>
        <v>241-45900</v>
      </c>
      <c r="J6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MONT-KWE Shanghai-KWE Shanghai-241-FALSO-FALSO-FALSO--45900</v>
      </c>
      <c r="K618" s="119" t="str">
        <f ca="1">IF(COUNTIF(J:J,Tableau119[[#This Row],[Plant-ILN-shipper-POL-Carrier-POD-PFI]])=1,"Non","Oui")</f>
        <v>Non</v>
      </c>
      <c r="L618" s="128" t="str">
        <f>VLOOKUP(Tableau119[[#This Row],[Name Site]],Plant_AILN!A:D,4,FALSE)</f>
        <v>ROMANIA</v>
      </c>
      <c r="M618" s="415" t="s">
        <v>185</v>
      </c>
      <c r="N618" s="455">
        <f>VLOOKUP(Tableau119[[#This Row],[Name Site]],Plant_AILN!A:C,3,FALSE)</f>
        <v>90016800</v>
      </c>
      <c r="O618" s="104">
        <f>VLOOKUP(Tableau119[[#This Row],[Compte Consignee]],Order!C:D,2,FALSE)</f>
        <v>7</v>
      </c>
      <c r="P618" s="126" t="s">
        <v>62</v>
      </c>
      <c r="Q618" s="366">
        <f>VLOOKUP(Tableau119[[#This Row],[Name ILN]],Plant_AILN!F:G,2,FALSE)</f>
        <v>26037000</v>
      </c>
      <c r="R618" s="81">
        <f>VLOOKUP(Tableau119[[#This Row],[Compte ILN]],'DATA ILN'!D:I,6,FALSE)</f>
        <v>9</v>
      </c>
      <c r="S618" s="81" t="e">
        <f>IFERROR(VLOOKUP(Tableau119[[#This Row],[Key(Compte ILN - shipper - POL - plant)]],'DATA ILN'!A:J,10,FALSE),VLOOKUP(Tableau119[[#This Row],[Key(Compte ILN - shipper - POL)]],'DATA ILN'!B:J,9,FALSE))</f>
        <v>#N/A</v>
      </c>
      <c r="T618" s="81" t="e">
        <f>IFERROR(VLOOKUP(Tableau119[[#This Row],[Key(Compte ILN - shipper - POL - plant)]],'DATA ILN'!A:K,11,FALSE),VLOOKUP(Tableau119[[#This Row],[Key(Compte ILN - shipper - POL)]],'DATA ILN'!B:K,10,FALSE))</f>
        <v>#N/A</v>
      </c>
      <c r="U618" s="81" t="e">
        <f>IFERROR(VLOOKUP(Tableau119[[#This Row],[Key(Compte ILN - shipper - POL - plant)]],'DATA ILN'!A:L,12,FALSE),VLOOKUP(Tableau119[[#This Row],[Key(Compte ILN - shipper - POL)]],'DATA ILN'!B:L,11,FALSE))</f>
        <v>#N/A</v>
      </c>
      <c r="V618" s="81" t="e">
        <f>Tableau119[[#This Row],[Day ILN Order]]+Tableau119[[#This Row],[Delivery time to ILN/Shipper]]-1</f>
        <v>#N/A</v>
      </c>
      <c r="W618" s="81" t="e">
        <f>IFERROR(VLOOKUP(Tableau119[[#This Row],[Key(Compte ILN - shipper - POL - plant)]],'DATA ILN'!A:N,14,FALSE),VLOOKUP(Tableau119[[#This Row],[Key(Compte ILN - shipper - POL)]],'DATA ILN'!B:N,13,FALSE))</f>
        <v>#N/A</v>
      </c>
      <c r="X618" s="81" t="e">
        <f>IFERROR(VLOOKUP(Tableau119[[#This Row],[Key(Compte ILN - shipper - POL - plant)]],'DATA ILN'!A:P,16,FALSE),VLOOKUP(Tableau119[[#This Row],[Key(Compte ILN - shipper - POL)]],'DATA ILN'!B:P,15,FALSE))</f>
        <v>#N/A</v>
      </c>
      <c r="Y618" s="102" t="s">
        <v>62</v>
      </c>
      <c r="Z618" s="417">
        <f>IFERROR(VLOOKUP(Tableau119[[#This Row],[Name Shipper]],Plant_AILN!L:M,2,FALSE),0)</f>
        <v>26037000</v>
      </c>
      <c r="AA618" s="416">
        <v>241</v>
      </c>
      <c r="AB618" s="396" t="b">
        <f>_xlfn.XLOOKUP(Tableau119[[#This Row],[Key(ID-date)]],'DATA BTO'!S:S,'DATA BTO'!E:E,FALSE)</f>
        <v>0</v>
      </c>
      <c r="AC618" s="3" t="b">
        <f>_xlfn.XLOOKUP(Tableau119[[#This Row],[Key(ID-date)]],'DATA BTO'!S:S,'DATA BTO'!F:F,FALSE)</f>
        <v>0</v>
      </c>
      <c r="AD618" s="50" t="b">
        <f>_xlfn.XLOOKUP(Tableau119[[#This Row],[Key(ID-date)]],'DATA BTO'!S:S,'DATA BTO'!G:G,FALSE)</f>
        <v>0</v>
      </c>
      <c r="AE618" s="50" t="b">
        <f>_xlfn.XLOOKUP(Tableau119[[#This Row],[Key(ID-date)]],'DATA BTO'!S:S,'DATA BTO'!H:H,FALSE)</f>
        <v>0</v>
      </c>
      <c r="AF618" s="447" t="e">
        <f>IF(Tableau119[[#This Row],[First Day to POL]]&lt;=Tableau119[[#This Row],[Day Cut Off]],Tableau119[[#This Row],[Day ETD]],Tableau119[[#This Row],[Day ETD]]+7)</f>
        <v>#N/A</v>
      </c>
      <c r="AG618" s="50" t="b">
        <f>_xlfn.XLOOKUP(Tableau119[[#This Row],[Key(ID-date)]],'DATA BTO'!S:S,'DATA BTO'!I:I,FALSE)</f>
        <v>0</v>
      </c>
      <c r="AH618" s="3" t="b">
        <f>_xlfn.XLOOKUP(Tableau119[[#This Row],[Key(ID-date)]],'DATA BTO'!S:S,'DATA BTO'!J:J,FALSE)</f>
        <v>0</v>
      </c>
      <c r="AI618" s="3" t="b">
        <f>_xlfn.XLOOKUP(Tableau119[[#This Row],[Key(ID-date)]],'DATA BTO'!S:S,'DATA BTO'!K:K,FALSE)</f>
        <v>0</v>
      </c>
      <c r="AJ618" s="50" t="b">
        <f>_xlfn.XLOOKUP(Tableau119[[#This Row],[Key(ID-date)]],'DATA BTO'!S:S,'DATA BTO'!L:L,FALSE)</f>
        <v>0</v>
      </c>
      <c r="AK618" s="53" t="b">
        <f>_xlfn.XLOOKUP(Tableau119[[#This Row],[Key(ID-date)]],'DATA BTO'!S:S,'DATA BTO'!N:N,FALSE)</f>
        <v>0</v>
      </c>
      <c r="AL618" s="54" t="e">
        <f>VLOOKUP(Tableau119[[#This Row],[Key(POD -PFI- Usine)]],'DATA Consignee'!A:F,6,FALSE)</f>
        <v>#N/A</v>
      </c>
      <c r="AM618" s="127"/>
      <c r="AN618" s="375" t="str">
        <f>IF(Tableau119[[#This Row],[Name PFI/CDD]]="","-",VLOOKUP(Tableau119[[#This Row],[Name PFI/CDD]],Plant_AILN!I:J,2,FALSE))</f>
        <v>-</v>
      </c>
      <c r="AO61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8" s="110" t="e">
        <f>VLOOKUP(Tableau119[[#This Row],[Key(POD -PFI- Usine)]],'DATA Consignee'!A:J,10,FALSE)</f>
        <v>#N/A</v>
      </c>
      <c r="AR618" s="81" t="e">
        <f>VLOOKUP(Tableau119[[#This Row],[Key(POD -PFI- Usine)]],'DATA Consignee'!A:N,14,FALSE)</f>
        <v>#N/A</v>
      </c>
      <c r="AS61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8" s="81">
        <f>Tableau119[[#This Row],[Transit time]]+Tableau119[[#This Row],[Time for security]]+Tableau119[[#This Row],[Time for security2 buffer]]</f>
        <v>0</v>
      </c>
      <c r="AV6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8" s="50" t="e">
        <f>Tableau119[[#This Row],[Leadtime SI2C]]+Tableau119[[#This Row],[First Receipt Days]]-Tableau119[[#This Row],[Day Customer Order]]+1</f>
        <v>#N/A</v>
      </c>
      <c r="AX618" s="119" t="e">
        <f>IF(Tableau119[[#This Row],[Name ILN]]&lt;&gt;"SFK Freight Forwarder",Tableau119[[#This Row],[Cust. Leadtime]],Tableau119[[#This Row],[Leadtime SI2C]])</f>
        <v>#N/A</v>
      </c>
      <c r="AY618" s="51" t="b">
        <f>_xlfn.XLOOKUP(Tableau119[[#This Row],[Key(ID-date)]],'DATA BTO'!S:S,'DATA BTO'!P:P,FALSE)</f>
        <v>0</v>
      </c>
      <c r="AZ618" s="388">
        <v>45900</v>
      </c>
      <c r="BA618" s="81"/>
    </row>
    <row r="619" spans="2:53">
      <c r="B619" s="446" t="str">
        <f>_xlfn.CONCAT(Tableau119[[#This Row],[Name ILN]],"-",Tableau119[[#This Row],[Name Shipper]],"-",Tableau119[[#This Row],[Name Site]])</f>
        <v>KWE Shanghai-KWE Shanghai-RM MIOVENI</v>
      </c>
      <c r="C619" s="66" t="str">
        <f>_xlfn.CONCAT(Tableau119[[#This Row],[Compte ILN]],"-",Tableau119[[#This Row],[Compte Shipper]],"-",Tableau119[[#This Row],[POL]],"-",Tableau119[[#This Row],[Compte Consignee]])</f>
        <v>26037000-26037000-FALSO-90012300</v>
      </c>
      <c r="D619" s="66" t="str">
        <f>_xlfn.CONCAT(Tableau119[[#This Row],[Compte ILN]],"-",Tableau119[[#This Row],[Compte Shipper]],"-",Tableau119[[#This Row],[POL]])</f>
        <v>26037000-26037000-FALSO</v>
      </c>
      <c r="E619" s="130" t="str">
        <f>_xlfn.CONCAT(Tableau119[[#This Row],[POL]],"-",Tableau119[[#This Row],[Carrier]],"-",Tableau119[[#This Row],[POD]])</f>
        <v>FALSO-FALSO-FALSO</v>
      </c>
      <c r="F619" s="66" t="str">
        <f>_xlfn.CONCAT(Tableau119[[#This Row],[ID]],"-","Actif")</f>
        <v>241-Actif</v>
      </c>
      <c r="G619" s="66" t="str">
        <f>_xlfn.CONCAT(Tableau119[[#This Row],[POD]],"-",Tableau119[[#This Row],[Code PFI]],"-",Tableau119[[#This Row],[Compte Consignee]])</f>
        <v>FALSO-2839004-90012300</v>
      </c>
      <c r="H6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ShanghaiFALSORM MIOVENI</v>
      </c>
      <c r="I619" s="434" t="str">
        <f>_xlfn.CONCAT(Tableau119[[#This Row],[ID]],"-",Tableau119[[#This Row],[Expiration Date]])</f>
        <v>241-45777</v>
      </c>
      <c r="J6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RM MIOVENI-KWE Shanghai-KWE Shanghai-241-FALSO-FALSO-FALSO-Magasin Dacia-45777</v>
      </c>
      <c r="K619" s="119" t="str">
        <f ca="1">IF(COUNTIF(J:J,Tableau119[[#This Row],[Plant-ILN-shipper-POL-Carrier-POD-PFI]])=1,"Non","Oui")</f>
        <v>Non</v>
      </c>
      <c r="L619" s="128" t="str">
        <f>VLOOKUP(Tableau119[[#This Row],[Name Site]],Plant_AILN!A:D,4,FALSE)</f>
        <v>ROMANIA</v>
      </c>
      <c r="M619" s="411" t="s">
        <v>212</v>
      </c>
      <c r="N619" s="454">
        <f>VLOOKUP(Tableau119[[#This Row],[Name Site]],Plant_AILN!A:C,3,FALSE)</f>
        <v>90012300</v>
      </c>
      <c r="O619" s="55">
        <f>VLOOKUP(Tableau119[[#This Row],[Compte Consignee]],Order!C:D,2,FALSE)</f>
        <v>7</v>
      </c>
      <c r="P619" s="124" t="s">
        <v>62</v>
      </c>
      <c r="Q619" s="365">
        <f>VLOOKUP(Tableau119[[#This Row],[Name ILN]],Plant_AILN!F:G,2,FALSE)</f>
        <v>26037000</v>
      </c>
      <c r="R619" s="50">
        <f>VLOOKUP(Tableau119[[#This Row],[Compte ILN]],'DATA ILN'!D:I,6,FALSE)</f>
        <v>9</v>
      </c>
      <c r="S619" s="50" t="e">
        <f>IFERROR(VLOOKUP(Tableau119[[#This Row],[Key(Compte ILN - shipper - POL - plant)]],'DATA ILN'!A:J,10,FALSE),VLOOKUP(Tableau119[[#This Row],[Key(Compte ILN - shipper - POL)]],'DATA ILN'!B:J,9,FALSE))</f>
        <v>#N/A</v>
      </c>
      <c r="T619" s="50" t="e">
        <f>IFERROR(VLOOKUP(Tableau119[[#This Row],[Key(Compte ILN - shipper - POL - plant)]],'DATA ILN'!A:K,11,FALSE),VLOOKUP(Tableau119[[#This Row],[Key(Compte ILN - shipper - POL)]],'DATA ILN'!B:K,10,FALSE))</f>
        <v>#N/A</v>
      </c>
      <c r="U619" s="50" t="e">
        <f>IFERROR(VLOOKUP(Tableau119[[#This Row],[Key(Compte ILN - shipper - POL - plant)]],'DATA ILN'!A:L,12,FALSE),VLOOKUP(Tableau119[[#This Row],[Key(Compte ILN - shipper - POL)]],'DATA ILN'!B:L,11,FALSE))</f>
        <v>#N/A</v>
      </c>
      <c r="V619" s="50" t="e">
        <f>Tableau119[[#This Row],[Day ILN Order]]+Tableau119[[#This Row],[Delivery time to ILN/Shipper]]-1</f>
        <v>#N/A</v>
      </c>
      <c r="W619" s="50" t="e">
        <f>IFERROR(VLOOKUP(Tableau119[[#This Row],[Key(Compte ILN - shipper - POL - plant)]],'DATA ILN'!A:N,14,FALSE),VLOOKUP(Tableau119[[#This Row],[Key(Compte ILN - shipper - POL)]],'DATA ILN'!B:N,13,FALSE))</f>
        <v>#N/A</v>
      </c>
      <c r="X619" s="50" t="e">
        <f>IFERROR(VLOOKUP(Tableau119[[#This Row],[Key(Compte ILN - shipper - POL - plant)]],'DATA ILN'!A:P,16,FALSE),VLOOKUP(Tableau119[[#This Row],[Key(Compte ILN - shipper - POL)]],'DATA ILN'!B:P,15,FALSE))</f>
        <v>#N/A</v>
      </c>
      <c r="Y619" s="284" t="s">
        <v>62</v>
      </c>
      <c r="Z619" s="430">
        <f>IFERROR(VLOOKUP(Tableau119[[#This Row],[Name Shipper]],Plant_AILN!L:M,2,FALSE),0)</f>
        <v>26037000</v>
      </c>
      <c r="AA619" s="406">
        <v>241</v>
      </c>
      <c r="AB619" s="396" t="b">
        <f>_xlfn.XLOOKUP(Tableau119[[#This Row],[Key(ID-date)]],'DATA BTO'!S:S,'DATA BTO'!E:E,FALSE)</f>
        <v>0</v>
      </c>
      <c r="AC619" s="3" t="b">
        <f>_xlfn.XLOOKUP(Tableau119[[#This Row],[Key(ID-date)]],'DATA BTO'!S:S,'DATA BTO'!F:F,FALSE)</f>
        <v>0</v>
      </c>
      <c r="AD619" s="50" t="b">
        <f>_xlfn.XLOOKUP(Tableau119[[#This Row],[Key(ID-date)]],'DATA BTO'!S:S,'DATA BTO'!G:G,FALSE)</f>
        <v>0</v>
      </c>
      <c r="AE619" s="50" t="b">
        <f>_xlfn.XLOOKUP(Tableau119[[#This Row],[Key(ID-date)]],'DATA BTO'!S:S,'DATA BTO'!H:H,FALSE)</f>
        <v>0</v>
      </c>
      <c r="AF619" s="447" t="e">
        <f>IF(Tableau119[[#This Row],[First Day to POL]]&lt;=Tableau119[[#This Row],[Day Cut Off]],Tableau119[[#This Row],[Day ETD]],Tableau119[[#This Row],[Day ETD]]+7)</f>
        <v>#N/A</v>
      </c>
      <c r="AG619" s="50" t="b">
        <f>_xlfn.XLOOKUP(Tableau119[[#This Row],[Key(ID-date)]],'DATA BTO'!S:S,'DATA BTO'!I:I,FALSE)</f>
        <v>0</v>
      </c>
      <c r="AH619" s="3" t="b">
        <f>_xlfn.XLOOKUP(Tableau119[[#This Row],[Key(ID-date)]],'DATA BTO'!S:S,'DATA BTO'!J:J,FALSE)</f>
        <v>0</v>
      </c>
      <c r="AI619" s="3" t="b">
        <f>_xlfn.XLOOKUP(Tableau119[[#This Row],[Key(ID-date)]],'DATA BTO'!S:S,'DATA BTO'!K:K,FALSE)</f>
        <v>0</v>
      </c>
      <c r="AJ619" s="50" t="b">
        <f>_xlfn.XLOOKUP(Tableau119[[#This Row],[Key(ID-date)]],'DATA BTO'!S:S,'DATA BTO'!L:L,FALSE)</f>
        <v>0</v>
      </c>
      <c r="AK619" s="53" t="b">
        <f>_xlfn.XLOOKUP(Tableau119[[#This Row],[Key(ID-date)]],'DATA BTO'!S:S,'DATA BTO'!N:N,FALSE)</f>
        <v>0</v>
      </c>
      <c r="AL619" s="54" t="e">
        <f>VLOOKUP(Tableau119[[#This Row],[Key(POD -PFI- Usine)]],'DATA Consignee'!A:F,6,FALSE)</f>
        <v>#N/A</v>
      </c>
      <c r="AM619" s="127" t="s">
        <v>164</v>
      </c>
      <c r="AN619" s="376">
        <f>IF(Tableau119[[#This Row],[Name PFI/CDD]]="","-",VLOOKUP(Tableau119[[#This Row],[Name PFI/CDD]],Plant_AILN!I:J,2,FALSE))</f>
        <v>2839004</v>
      </c>
      <c r="AO6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19" s="2" t="e">
        <f>VLOOKUP(Tableau119[[#This Row],[Key(POD -PFI- Usine)]],'DATA Consignee'!A:J,10,FALSE)</f>
        <v>#N/A</v>
      </c>
      <c r="AR619" s="50" t="e">
        <f>VLOOKUP(Tableau119[[#This Row],[Key(POD -PFI- Usine)]],'DATA Consignee'!A:N,14,FALSE)</f>
        <v>#N/A</v>
      </c>
      <c r="AS61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1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19" s="50">
        <f>Tableau119[[#This Row],[Transit time]]+Tableau119[[#This Row],[Time for security]]+Tableau119[[#This Row],[Time for security2 buffer]]</f>
        <v>0</v>
      </c>
      <c r="AV6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19" s="50" t="e">
        <f>Tableau119[[#This Row],[Leadtime SI2C]]+Tableau119[[#This Row],[First Receipt Days]]-Tableau119[[#This Row],[Day Customer Order]]+1</f>
        <v>#N/A</v>
      </c>
      <c r="AX619" s="119" t="e">
        <f>IF(Tableau119[[#This Row],[Name ILN]]&lt;&gt;"SFK Freight Forwarder",Tableau119[[#This Row],[Cust. Leadtime]],Tableau119[[#This Row],[Leadtime SI2C]])</f>
        <v>#N/A</v>
      </c>
      <c r="AY619" s="51" t="b">
        <f>_xlfn.XLOOKUP(Tableau119[[#This Row],[Key(ID-date)]],'DATA BTO'!S:S,'DATA BTO'!P:P,FALSE)</f>
        <v>0</v>
      </c>
      <c r="AZ619" s="338">
        <v>45777</v>
      </c>
      <c r="BA619" s="50"/>
    </row>
    <row r="620" spans="2:53">
      <c r="B620" s="446" t="str">
        <f>_xlfn.CONCAT(Tableau119[[#This Row],[Name ILN]],"-",Tableau119[[#This Row],[Name Shipper]],"-",Tableau119[[#This Row],[Name Site]])</f>
        <v>KWE Shanghai-KWE Shanghai-REVOZ</v>
      </c>
      <c r="C620" s="66" t="str">
        <f>_xlfn.CONCAT(Tableau119[[#This Row],[Compte ILN]],"-",Tableau119[[#This Row],[Compte Shipper]],"-",Tableau119[[#This Row],[POL]],"-",Tableau119[[#This Row],[Compte Consignee]])</f>
        <v>26037000-26037000-FALSO-90016700</v>
      </c>
      <c r="D620" s="66" t="str">
        <f>_xlfn.CONCAT(Tableau119[[#This Row],[Compte ILN]],"-",Tableau119[[#This Row],[Compte Shipper]],"-",Tableau119[[#This Row],[POL]])</f>
        <v>26037000-26037000-FALSO</v>
      </c>
      <c r="E620" s="130" t="str">
        <f>_xlfn.CONCAT(Tableau119[[#This Row],[POL]],"-",Tableau119[[#This Row],[Carrier]],"-",Tableau119[[#This Row],[POD]])</f>
        <v>FALSO-FALSO-FALSO</v>
      </c>
      <c r="F620" s="66" t="str">
        <f>_xlfn.CONCAT(Tableau119[[#This Row],[ID]],"-","Actif")</f>
        <v>241-Actif</v>
      </c>
      <c r="G620" s="66" t="str">
        <f>_xlfn.CONCAT(Tableau119[[#This Row],[POD]],"-",Tableau119[[#This Row],[Code PFI]],"-",Tableau119[[#This Row],[Compte Consignee]])</f>
        <v>FALSO-2839004-90016700</v>
      </c>
      <c r="H6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ShanghaiFALSOREVOZ</v>
      </c>
      <c r="I620" s="434" t="str">
        <f>_xlfn.CONCAT(Tableau119[[#This Row],[ID]],"-",Tableau119[[#This Row],[Expiration Date]])</f>
        <v>241-45777</v>
      </c>
      <c r="J6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REVOZ-KWE Shanghai-KWE Shanghai-241-FALSO-FALSO-FALSO-PFI Mioveni-45777</v>
      </c>
      <c r="K620" s="119" t="str">
        <f ca="1">IF(COUNTIF(J:J,Tableau119[[#This Row],[Plant-ILN-shipper-POL-Carrier-POD-PFI]])=1,"Non","Oui")</f>
        <v>Non</v>
      </c>
      <c r="L620" s="128" t="str">
        <f>VLOOKUP(Tableau119[[#This Row],[Name Site]],Plant_AILN!A:D,4,FALSE)</f>
        <v>SLOVENIA</v>
      </c>
      <c r="M620" s="411" t="s">
        <v>35</v>
      </c>
      <c r="N620" s="454">
        <f>VLOOKUP(Tableau119[[#This Row],[Name Site]],Plant_AILN!A:C,3,FALSE)</f>
        <v>90016700</v>
      </c>
      <c r="O620" s="55">
        <f>VLOOKUP(Tableau119[[#This Row],[Compte Consignee]],Order!C:D,2,FALSE)</f>
        <v>7</v>
      </c>
      <c r="P620" s="124" t="s">
        <v>62</v>
      </c>
      <c r="Q620" s="365">
        <f>VLOOKUP(Tableau119[[#This Row],[Name ILN]],Plant_AILN!F:G,2,FALSE)</f>
        <v>26037000</v>
      </c>
      <c r="R620" s="50">
        <f>VLOOKUP(Tableau119[[#This Row],[Compte ILN]],'DATA ILN'!D:I,6,FALSE)</f>
        <v>9</v>
      </c>
      <c r="S620" s="50" t="e">
        <f>IFERROR(VLOOKUP(Tableau119[[#This Row],[Key(Compte ILN - shipper - POL - plant)]],'DATA ILN'!A:J,10,FALSE),VLOOKUP(Tableau119[[#This Row],[Key(Compte ILN - shipper - POL)]],'DATA ILN'!B:J,9,FALSE))</f>
        <v>#N/A</v>
      </c>
      <c r="T620" s="50" t="e">
        <f>IFERROR(VLOOKUP(Tableau119[[#This Row],[Key(Compte ILN - shipper - POL - plant)]],'DATA ILN'!A:K,11,FALSE),VLOOKUP(Tableau119[[#This Row],[Key(Compte ILN - shipper - POL)]],'DATA ILN'!B:K,10,FALSE))</f>
        <v>#N/A</v>
      </c>
      <c r="U620" s="50" t="e">
        <f>IFERROR(VLOOKUP(Tableau119[[#This Row],[Key(Compte ILN - shipper - POL - plant)]],'DATA ILN'!A:L,12,FALSE),VLOOKUP(Tableau119[[#This Row],[Key(Compte ILN - shipper - POL)]],'DATA ILN'!B:L,11,FALSE))</f>
        <v>#N/A</v>
      </c>
      <c r="V620" s="50" t="e">
        <f>Tableau119[[#This Row],[Day ILN Order]]+Tableau119[[#This Row],[Delivery time to ILN/Shipper]]-1</f>
        <v>#N/A</v>
      </c>
      <c r="W620" s="50" t="e">
        <f>IFERROR(VLOOKUP(Tableau119[[#This Row],[Key(Compte ILN - shipper - POL - plant)]],'DATA ILN'!A:N,14,FALSE),VLOOKUP(Tableau119[[#This Row],[Key(Compte ILN - shipper - POL)]],'DATA ILN'!B:N,13,FALSE))</f>
        <v>#N/A</v>
      </c>
      <c r="X620" s="50" t="e">
        <f>IFERROR(VLOOKUP(Tableau119[[#This Row],[Key(Compte ILN - shipper - POL - plant)]],'DATA ILN'!A:P,16,FALSE),VLOOKUP(Tableau119[[#This Row],[Key(Compte ILN - shipper - POL)]],'DATA ILN'!B:P,15,FALSE))</f>
        <v>#N/A</v>
      </c>
      <c r="Y620" s="284" t="s">
        <v>62</v>
      </c>
      <c r="Z620" s="430">
        <f>IFERROR(VLOOKUP(Tableau119[[#This Row],[Name Shipper]],Plant_AILN!L:M,2,FALSE),0)</f>
        <v>26037000</v>
      </c>
      <c r="AA620" s="406">
        <v>241</v>
      </c>
      <c r="AB620" s="396" t="b">
        <f>_xlfn.XLOOKUP(Tableau119[[#This Row],[Key(ID-date)]],'DATA BTO'!S:S,'DATA BTO'!E:E,FALSE)</f>
        <v>0</v>
      </c>
      <c r="AC620" s="3" t="b">
        <f>_xlfn.XLOOKUP(Tableau119[[#This Row],[Key(ID-date)]],'DATA BTO'!S:S,'DATA BTO'!F:F,FALSE)</f>
        <v>0</v>
      </c>
      <c r="AD620" s="50" t="b">
        <f>_xlfn.XLOOKUP(Tableau119[[#This Row],[Key(ID-date)]],'DATA BTO'!S:S,'DATA BTO'!G:G,FALSE)</f>
        <v>0</v>
      </c>
      <c r="AE620" s="50" t="b">
        <f>_xlfn.XLOOKUP(Tableau119[[#This Row],[Key(ID-date)]],'DATA BTO'!S:S,'DATA BTO'!H:H,FALSE)</f>
        <v>0</v>
      </c>
      <c r="AF620" s="447" t="e">
        <f>IF(Tableau119[[#This Row],[First Day to POL]]&lt;=Tableau119[[#This Row],[Day Cut Off]],Tableau119[[#This Row],[Day ETD]],Tableau119[[#This Row],[Day ETD]]+7)</f>
        <v>#N/A</v>
      </c>
      <c r="AG620" s="50" t="b">
        <f>_xlfn.XLOOKUP(Tableau119[[#This Row],[Key(ID-date)]],'DATA BTO'!S:S,'DATA BTO'!I:I,FALSE)</f>
        <v>0</v>
      </c>
      <c r="AH620" s="3" t="b">
        <f>_xlfn.XLOOKUP(Tableau119[[#This Row],[Key(ID-date)]],'DATA BTO'!S:S,'DATA BTO'!J:J,FALSE)</f>
        <v>0</v>
      </c>
      <c r="AI620" s="3" t="b">
        <f>_xlfn.XLOOKUP(Tableau119[[#This Row],[Key(ID-date)]],'DATA BTO'!S:S,'DATA BTO'!K:K,FALSE)</f>
        <v>0</v>
      </c>
      <c r="AJ620" s="50" t="b">
        <f>_xlfn.XLOOKUP(Tableau119[[#This Row],[Key(ID-date)]],'DATA BTO'!S:S,'DATA BTO'!L:L,FALSE)</f>
        <v>0</v>
      </c>
      <c r="AK620" s="53" t="b">
        <f>_xlfn.XLOOKUP(Tableau119[[#This Row],[Key(ID-date)]],'DATA BTO'!S:S,'DATA BTO'!N:N,FALSE)</f>
        <v>0</v>
      </c>
      <c r="AL620" s="54" t="e">
        <f>VLOOKUP(Tableau119[[#This Row],[Key(POD -PFI- Usine)]],'DATA Consignee'!A:F,6,FALSE)</f>
        <v>#N/A</v>
      </c>
      <c r="AM620" s="127" t="s">
        <v>278</v>
      </c>
      <c r="AN620" s="376">
        <f>IF(Tableau119[[#This Row],[Name PFI/CDD]]="","-",VLOOKUP(Tableau119[[#This Row],[Name PFI/CDD]],Plant_AILN!I:J,2,FALSE))</f>
        <v>2839004</v>
      </c>
      <c r="AO6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0" s="2" t="e">
        <f>VLOOKUP(Tableau119[[#This Row],[Key(POD -PFI- Usine)]],'DATA Consignee'!A:J,10,FALSE)</f>
        <v>#N/A</v>
      </c>
      <c r="AR620" s="50" t="e">
        <f>VLOOKUP(Tableau119[[#This Row],[Key(POD -PFI- Usine)]],'DATA Consignee'!A:N,14,FALSE)</f>
        <v>#N/A</v>
      </c>
      <c r="AS6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0" s="50">
        <f>Tableau119[[#This Row],[Transit time]]+Tableau119[[#This Row],[Time for security]]+Tableau119[[#This Row],[Time for security2 buffer]]</f>
        <v>0</v>
      </c>
      <c r="AV6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0" s="50" t="e">
        <f>Tableau119[[#This Row],[Leadtime SI2C]]+Tableau119[[#This Row],[First Receipt Days]]-Tableau119[[#This Row],[Day Customer Order]]+1</f>
        <v>#N/A</v>
      </c>
      <c r="AX620" s="119" t="e">
        <f>IF(Tableau119[[#This Row],[Name ILN]]&lt;&gt;"SFK Freight Forwarder",Tableau119[[#This Row],[Cust. Leadtime]],Tableau119[[#This Row],[Leadtime SI2C]])</f>
        <v>#N/A</v>
      </c>
      <c r="AY620" s="51" t="b">
        <f>_xlfn.XLOOKUP(Tableau119[[#This Row],[Key(ID-date)]],'DATA BTO'!S:S,'DATA BTO'!P:P,FALSE)</f>
        <v>0</v>
      </c>
      <c r="AZ620" s="338">
        <v>45777</v>
      </c>
      <c r="BA620" s="50"/>
    </row>
    <row r="621" spans="2:53">
      <c r="B621" s="446" t="str">
        <f>_xlfn.CONCAT(Tableau119[[#This Row],[Name ILN]],"-",Tableau119[[#This Row],[Name Shipper]],"-",Tableau119[[#This Row],[Name Site]])</f>
        <v>KWE Shanghai-KWE Shanghai-DACIA MONT</v>
      </c>
      <c r="C621" s="66" t="str">
        <f>_xlfn.CONCAT(Tableau119[[#This Row],[Compte ILN]],"-",Tableau119[[#This Row],[Compte Shipper]],"-",Tableau119[[#This Row],[POL]],"-",Tableau119[[#This Row],[Compte Consignee]])</f>
        <v>26037000-26037000-FALSO-90016800</v>
      </c>
      <c r="D621" s="66" t="str">
        <f>_xlfn.CONCAT(Tableau119[[#This Row],[Compte ILN]],"-",Tableau119[[#This Row],[Compte Shipper]],"-",Tableau119[[#This Row],[POL]])</f>
        <v>26037000-26037000-FALSO</v>
      </c>
      <c r="E621" s="130" t="str">
        <f>_xlfn.CONCAT(Tableau119[[#This Row],[POL]],"-",Tableau119[[#This Row],[Carrier]],"-",Tableau119[[#This Row],[POD]])</f>
        <v>FALSO-FALSO-FALSO</v>
      </c>
      <c r="F621" s="66" t="str">
        <f>_xlfn.CONCAT(Tableau119[[#This Row],[ID]],"-","Actif")</f>
        <v>241-Actif</v>
      </c>
      <c r="G621" s="66" t="str">
        <f>_xlfn.CONCAT(Tableau119[[#This Row],[POD]],"-",Tableau119[[#This Row],[Code PFI]],"-",Tableau119[[#This Row],[Compte Consignee]])</f>
        <v>FALSO---90016800</v>
      </c>
      <c r="H6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ShanghaiFALSODACIA MONT</v>
      </c>
      <c r="I621" s="434" t="str">
        <f>_xlfn.CONCAT(Tableau119[[#This Row],[ID]],"-",Tableau119[[#This Row],[Expiration Date]])</f>
        <v>241-45777</v>
      </c>
      <c r="J6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MONT-KWE Shanghai-KWE Shanghai-241-FALSO-FALSO-FALSO--45777</v>
      </c>
      <c r="K621" s="119" t="str">
        <f ca="1">IF(COUNTIF(J:J,Tableau119[[#This Row],[Plant-ILN-shipper-POL-Carrier-POD-PFI]])=1,"Non","Oui")</f>
        <v>Non</v>
      </c>
      <c r="L621" s="128" t="str">
        <f>VLOOKUP(Tableau119[[#This Row],[Name Site]],Plant_AILN!A:D,4,FALSE)</f>
        <v>ROMANIA</v>
      </c>
      <c r="M621" s="411" t="s">
        <v>185</v>
      </c>
      <c r="N621" s="454">
        <f>VLOOKUP(Tableau119[[#This Row],[Name Site]],Plant_AILN!A:C,3,FALSE)</f>
        <v>90016800</v>
      </c>
      <c r="O621" s="55">
        <f>VLOOKUP(Tableau119[[#This Row],[Compte Consignee]],Order!C:D,2,FALSE)</f>
        <v>7</v>
      </c>
      <c r="P621" s="124" t="s">
        <v>62</v>
      </c>
      <c r="Q621" s="365">
        <f>VLOOKUP(Tableau119[[#This Row],[Name ILN]],Plant_AILN!F:G,2,FALSE)</f>
        <v>26037000</v>
      </c>
      <c r="R621" s="50">
        <f>VLOOKUP(Tableau119[[#This Row],[Compte ILN]],'DATA ILN'!D:I,6,FALSE)</f>
        <v>9</v>
      </c>
      <c r="S621" s="50" t="e">
        <f>IFERROR(VLOOKUP(Tableau119[[#This Row],[Key(Compte ILN - shipper - POL - plant)]],'DATA ILN'!A:J,10,FALSE),VLOOKUP(Tableau119[[#This Row],[Key(Compte ILN - shipper - POL)]],'DATA ILN'!B:J,9,FALSE))</f>
        <v>#N/A</v>
      </c>
      <c r="T621" s="50" t="e">
        <f>IFERROR(VLOOKUP(Tableau119[[#This Row],[Key(Compte ILN - shipper - POL - plant)]],'DATA ILN'!A:K,11,FALSE),VLOOKUP(Tableau119[[#This Row],[Key(Compte ILN - shipper - POL)]],'DATA ILN'!B:K,10,FALSE))</f>
        <v>#N/A</v>
      </c>
      <c r="U621" s="50" t="e">
        <f>IFERROR(VLOOKUP(Tableau119[[#This Row],[Key(Compte ILN - shipper - POL - plant)]],'DATA ILN'!A:L,12,FALSE),VLOOKUP(Tableau119[[#This Row],[Key(Compte ILN - shipper - POL)]],'DATA ILN'!B:L,11,FALSE))</f>
        <v>#N/A</v>
      </c>
      <c r="V621" s="50" t="e">
        <f>Tableau119[[#This Row],[Day ILN Order]]+Tableau119[[#This Row],[Delivery time to ILN/Shipper]]-1</f>
        <v>#N/A</v>
      </c>
      <c r="W621" s="50" t="e">
        <f>IFERROR(VLOOKUP(Tableau119[[#This Row],[Key(Compte ILN - shipper - POL - plant)]],'DATA ILN'!A:N,14,FALSE),VLOOKUP(Tableau119[[#This Row],[Key(Compte ILN - shipper - POL)]],'DATA ILN'!B:N,13,FALSE))</f>
        <v>#N/A</v>
      </c>
      <c r="X621" s="50" t="e">
        <f>IFERROR(VLOOKUP(Tableau119[[#This Row],[Key(Compte ILN - shipper - POL - plant)]],'DATA ILN'!A:P,16,FALSE),VLOOKUP(Tableau119[[#This Row],[Key(Compte ILN - shipper - POL)]],'DATA ILN'!B:P,15,FALSE))</f>
        <v>#N/A</v>
      </c>
      <c r="Y621" s="284" t="s">
        <v>62</v>
      </c>
      <c r="Z621" s="430">
        <f>IFERROR(VLOOKUP(Tableau119[[#This Row],[Name Shipper]],Plant_AILN!L:M,2,FALSE),0)</f>
        <v>26037000</v>
      </c>
      <c r="AA621" s="406">
        <v>241</v>
      </c>
      <c r="AB621" s="396" t="b">
        <f>_xlfn.XLOOKUP(Tableau119[[#This Row],[Key(ID-date)]],'DATA BTO'!S:S,'DATA BTO'!E:E,FALSE)</f>
        <v>0</v>
      </c>
      <c r="AC621" s="3" t="b">
        <f>_xlfn.XLOOKUP(Tableau119[[#This Row],[Key(ID-date)]],'DATA BTO'!S:S,'DATA BTO'!F:F,FALSE)</f>
        <v>0</v>
      </c>
      <c r="AD621" s="50" t="b">
        <f>_xlfn.XLOOKUP(Tableau119[[#This Row],[Key(ID-date)]],'DATA BTO'!S:S,'DATA BTO'!G:G,FALSE)</f>
        <v>0</v>
      </c>
      <c r="AE621" s="50" t="b">
        <f>_xlfn.XLOOKUP(Tableau119[[#This Row],[Key(ID-date)]],'DATA BTO'!S:S,'DATA BTO'!H:H,FALSE)</f>
        <v>0</v>
      </c>
      <c r="AF621" s="447" t="e">
        <f>IF(Tableau119[[#This Row],[First Day to POL]]&lt;=Tableau119[[#This Row],[Day Cut Off]],Tableau119[[#This Row],[Day ETD]],Tableau119[[#This Row],[Day ETD]]+7)</f>
        <v>#N/A</v>
      </c>
      <c r="AG621" s="50" t="b">
        <f>_xlfn.XLOOKUP(Tableau119[[#This Row],[Key(ID-date)]],'DATA BTO'!S:S,'DATA BTO'!I:I,FALSE)</f>
        <v>0</v>
      </c>
      <c r="AH621" s="3" t="b">
        <f>_xlfn.XLOOKUP(Tableau119[[#This Row],[Key(ID-date)]],'DATA BTO'!S:S,'DATA BTO'!J:J,FALSE)</f>
        <v>0</v>
      </c>
      <c r="AI621" s="3" t="b">
        <f>_xlfn.XLOOKUP(Tableau119[[#This Row],[Key(ID-date)]],'DATA BTO'!S:S,'DATA BTO'!K:K,FALSE)</f>
        <v>0</v>
      </c>
      <c r="AJ621" s="50" t="b">
        <f>_xlfn.XLOOKUP(Tableau119[[#This Row],[Key(ID-date)]],'DATA BTO'!S:S,'DATA BTO'!L:L,FALSE)</f>
        <v>0</v>
      </c>
      <c r="AK621" s="53" t="b">
        <f>_xlfn.XLOOKUP(Tableau119[[#This Row],[Key(ID-date)]],'DATA BTO'!S:S,'DATA BTO'!N:N,FALSE)</f>
        <v>0</v>
      </c>
      <c r="AL621" s="54" t="e">
        <f>VLOOKUP(Tableau119[[#This Row],[Key(POD -PFI- Usine)]],'DATA Consignee'!A:F,6,FALSE)</f>
        <v>#N/A</v>
      </c>
      <c r="AM621" s="127"/>
      <c r="AN621" s="376" t="str">
        <f>IF(Tableau119[[#This Row],[Name PFI/CDD]]="","-",VLOOKUP(Tableau119[[#This Row],[Name PFI/CDD]],Plant_AILN!I:J,2,FALSE))</f>
        <v>-</v>
      </c>
      <c r="AO6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1" s="2" t="e">
        <f>VLOOKUP(Tableau119[[#This Row],[Key(POD -PFI- Usine)]],'DATA Consignee'!A:J,10,FALSE)</f>
        <v>#N/A</v>
      </c>
      <c r="AR621" s="50" t="e">
        <f>VLOOKUP(Tableau119[[#This Row],[Key(POD -PFI- Usine)]],'DATA Consignee'!A:N,14,FALSE)</f>
        <v>#N/A</v>
      </c>
      <c r="AS6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1" s="50">
        <f>Tableau119[[#This Row],[Transit time]]+Tableau119[[#This Row],[Time for security]]+Tableau119[[#This Row],[Time for security2 buffer]]</f>
        <v>0</v>
      </c>
      <c r="AV6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1" s="50" t="e">
        <f>Tableau119[[#This Row],[Leadtime SI2C]]+Tableau119[[#This Row],[First Receipt Days]]-Tableau119[[#This Row],[Day Customer Order]]+1</f>
        <v>#N/A</v>
      </c>
      <c r="AX621" s="119" t="e">
        <f>IF(Tableau119[[#This Row],[Name ILN]]&lt;&gt;"SFK Freight Forwarder",Tableau119[[#This Row],[Cust. Leadtime]],Tableau119[[#This Row],[Leadtime SI2C]])</f>
        <v>#N/A</v>
      </c>
      <c r="AY621" s="51" t="b">
        <f>_xlfn.XLOOKUP(Tableau119[[#This Row],[Key(ID-date)]],'DATA BTO'!S:S,'DATA BTO'!P:P,FALSE)</f>
        <v>0</v>
      </c>
      <c r="AZ621" s="338">
        <v>45777</v>
      </c>
      <c r="BA621" s="50"/>
    </row>
    <row r="622" spans="2:53">
      <c r="B622" s="446" t="str">
        <f>_xlfn.CONCAT(Tableau119[[#This Row],[Name ILN]],"-",Tableau119[[#This Row],[Name Shipper]],"-",Tableau119[[#This Row],[Name Site]])</f>
        <v>KWE Shanghai-KWE Shanghai-RM MIOVENI</v>
      </c>
      <c r="C622" s="66" t="str">
        <f>_xlfn.CONCAT(Tableau119[[#This Row],[Compte ILN]],"-",Tableau119[[#This Row],[Compte Shipper]],"-",Tableau119[[#This Row],[POL]],"-",Tableau119[[#This Row],[Compte Consignee]])</f>
        <v>26037000-26037000-FALSO-90012300</v>
      </c>
      <c r="D622" s="66" t="str">
        <f>_xlfn.CONCAT(Tableau119[[#This Row],[Compte ILN]],"-",Tableau119[[#This Row],[Compte Shipper]],"-",Tableau119[[#This Row],[POL]])</f>
        <v>26037000-26037000-FALSO</v>
      </c>
      <c r="E622" s="130" t="str">
        <f>_xlfn.CONCAT(Tableau119[[#This Row],[POL]],"-",Tableau119[[#This Row],[Carrier]],"-",Tableau119[[#This Row],[POD]])</f>
        <v>FALSO-FALSO-FALSO</v>
      </c>
      <c r="F622" s="66" t="str">
        <f>_xlfn.CONCAT(Tableau119[[#This Row],[ID]],"-","Actif")</f>
        <v>241-Actif</v>
      </c>
      <c r="G622" s="66" t="str">
        <f>_xlfn.CONCAT(Tableau119[[#This Row],[POD]],"-",Tableau119[[#This Row],[Code PFI]],"-",Tableau119[[#This Row],[Compte Consignee]])</f>
        <v>FALSO-2839004-90012300</v>
      </c>
      <c r="H6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ShanghaiFALSORM MIOVENI</v>
      </c>
      <c r="I622" s="434" t="str">
        <f>_xlfn.CONCAT(Tableau119[[#This Row],[ID]],"-",Tableau119[[#This Row],[Expiration Date]])</f>
        <v>241-45690</v>
      </c>
      <c r="J6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RM MIOVENI-KWE Shanghai-KWE Shanghai-241-FALSO-FALSO-FALSO-Magasin Dacia-45690</v>
      </c>
      <c r="K622" s="119" t="str">
        <f ca="1">IF(COUNTIF(J:J,Tableau119[[#This Row],[Plant-ILN-shipper-POL-Carrier-POD-PFI]])=1,"Non","Oui")</f>
        <v>Non</v>
      </c>
      <c r="L622" s="128" t="str">
        <f>VLOOKUP(Tableau119[[#This Row],[Name Site]],Plant_AILN!A:D,4,FALSE)</f>
        <v>ROMANIA</v>
      </c>
      <c r="M622" s="411" t="s">
        <v>212</v>
      </c>
      <c r="N622" s="454">
        <f>VLOOKUP(Tableau119[[#This Row],[Name Site]],Plant_AILN!A:C,3,FALSE)</f>
        <v>90012300</v>
      </c>
      <c r="O622" s="55">
        <f>VLOOKUP(Tableau119[[#This Row],[Compte Consignee]],Order!C:D,2,FALSE)</f>
        <v>7</v>
      </c>
      <c r="P622" s="124" t="s">
        <v>62</v>
      </c>
      <c r="Q622" s="365">
        <f>VLOOKUP(Tableau119[[#This Row],[Name ILN]],Plant_AILN!F:G,2,FALSE)</f>
        <v>26037000</v>
      </c>
      <c r="R622" s="50">
        <f>VLOOKUP(Tableau119[[#This Row],[Compte ILN]],'DATA ILN'!D:I,6,FALSE)</f>
        <v>9</v>
      </c>
      <c r="S622" s="50" t="e">
        <f>IFERROR(VLOOKUP(Tableau119[[#This Row],[Key(Compte ILN - shipper - POL - plant)]],'DATA ILN'!A:J,10,FALSE),VLOOKUP(Tableau119[[#This Row],[Key(Compte ILN - shipper - POL)]],'DATA ILN'!B:J,9,FALSE))</f>
        <v>#N/A</v>
      </c>
      <c r="T622" s="50" t="e">
        <f>IFERROR(VLOOKUP(Tableau119[[#This Row],[Key(Compte ILN - shipper - POL - plant)]],'DATA ILN'!A:K,11,FALSE),VLOOKUP(Tableau119[[#This Row],[Key(Compte ILN - shipper - POL)]],'DATA ILN'!B:K,10,FALSE))</f>
        <v>#N/A</v>
      </c>
      <c r="U622" s="50" t="e">
        <f>IFERROR(VLOOKUP(Tableau119[[#This Row],[Key(Compte ILN - shipper - POL - plant)]],'DATA ILN'!A:L,12,FALSE),VLOOKUP(Tableau119[[#This Row],[Key(Compte ILN - shipper - POL)]],'DATA ILN'!B:L,11,FALSE))</f>
        <v>#N/A</v>
      </c>
      <c r="V622" s="50" t="e">
        <f>Tableau119[[#This Row],[Day ILN Order]]+Tableau119[[#This Row],[Delivery time to ILN/Shipper]]-1</f>
        <v>#N/A</v>
      </c>
      <c r="W622" s="50" t="e">
        <f>IFERROR(VLOOKUP(Tableau119[[#This Row],[Key(Compte ILN - shipper - POL - plant)]],'DATA ILN'!A:N,14,FALSE),VLOOKUP(Tableau119[[#This Row],[Key(Compte ILN - shipper - POL)]],'DATA ILN'!B:N,13,FALSE))</f>
        <v>#N/A</v>
      </c>
      <c r="X622" s="50" t="e">
        <f>IFERROR(VLOOKUP(Tableau119[[#This Row],[Key(Compte ILN - shipper - POL - plant)]],'DATA ILN'!A:P,16,FALSE),VLOOKUP(Tableau119[[#This Row],[Key(Compte ILN - shipper - POL)]],'DATA ILN'!B:P,15,FALSE))</f>
        <v>#N/A</v>
      </c>
      <c r="Y622" s="284" t="s">
        <v>62</v>
      </c>
      <c r="Z622" s="430">
        <f>IFERROR(VLOOKUP(Tableau119[[#This Row],[Name Shipper]],Plant_AILN!L:M,2,FALSE),0)</f>
        <v>26037000</v>
      </c>
      <c r="AA622" s="406">
        <v>241</v>
      </c>
      <c r="AB622" s="396" t="b">
        <f>_xlfn.XLOOKUP(Tableau119[[#This Row],[Key(ID-date)]],'DATA BTO'!S:S,'DATA BTO'!E:E,FALSE)</f>
        <v>0</v>
      </c>
      <c r="AC622" s="3" t="b">
        <f>_xlfn.XLOOKUP(Tableau119[[#This Row],[Key(ID-date)]],'DATA BTO'!S:S,'DATA BTO'!F:F,FALSE)</f>
        <v>0</v>
      </c>
      <c r="AD622" s="50" t="b">
        <f>_xlfn.XLOOKUP(Tableau119[[#This Row],[Key(ID-date)]],'DATA BTO'!S:S,'DATA BTO'!G:G,FALSE)</f>
        <v>0</v>
      </c>
      <c r="AE622" s="50" t="b">
        <f>_xlfn.XLOOKUP(Tableau119[[#This Row],[Key(ID-date)]],'DATA BTO'!S:S,'DATA BTO'!H:H,FALSE)</f>
        <v>0</v>
      </c>
      <c r="AF622" s="447" t="e">
        <f>IF(Tableau119[[#This Row],[First Day to POL]]&lt;=Tableau119[[#This Row],[Day Cut Off]],Tableau119[[#This Row],[Day ETD]],Tableau119[[#This Row],[Day ETD]]+7)</f>
        <v>#N/A</v>
      </c>
      <c r="AG622" s="50" t="b">
        <f>_xlfn.XLOOKUP(Tableau119[[#This Row],[Key(ID-date)]],'DATA BTO'!S:S,'DATA BTO'!I:I,FALSE)</f>
        <v>0</v>
      </c>
      <c r="AH622" s="3" t="b">
        <f>_xlfn.XLOOKUP(Tableau119[[#This Row],[Key(ID-date)]],'DATA BTO'!S:S,'DATA BTO'!J:J,FALSE)</f>
        <v>0</v>
      </c>
      <c r="AI622" s="3" t="b">
        <f>_xlfn.XLOOKUP(Tableau119[[#This Row],[Key(ID-date)]],'DATA BTO'!S:S,'DATA BTO'!K:K,FALSE)</f>
        <v>0</v>
      </c>
      <c r="AJ622" s="50" t="b">
        <f>_xlfn.XLOOKUP(Tableau119[[#This Row],[Key(ID-date)]],'DATA BTO'!S:S,'DATA BTO'!L:L,FALSE)</f>
        <v>0</v>
      </c>
      <c r="AK622" s="53" t="b">
        <f>_xlfn.XLOOKUP(Tableau119[[#This Row],[Key(ID-date)]],'DATA BTO'!S:S,'DATA BTO'!N:N,FALSE)</f>
        <v>0</v>
      </c>
      <c r="AL622" s="54" t="e">
        <f>VLOOKUP(Tableau119[[#This Row],[Key(POD -PFI- Usine)]],'DATA Consignee'!A:F,6,FALSE)</f>
        <v>#N/A</v>
      </c>
      <c r="AM622" s="127" t="s">
        <v>164</v>
      </c>
      <c r="AN622" s="376">
        <f>IF(Tableau119[[#This Row],[Name PFI/CDD]]="","-",VLOOKUP(Tableau119[[#This Row],[Name PFI/CDD]],Plant_AILN!I:J,2,FALSE))</f>
        <v>2839004</v>
      </c>
      <c r="AO6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2" s="2" t="e">
        <f>VLOOKUP(Tableau119[[#This Row],[Key(POD -PFI- Usine)]],'DATA Consignee'!A:J,10,FALSE)</f>
        <v>#N/A</v>
      </c>
      <c r="AR622" s="50" t="e">
        <f>VLOOKUP(Tableau119[[#This Row],[Key(POD -PFI- Usine)]],'DATA Consignee'!A:N,14,FALSE)</f>
        <v>#N/A</v>
      </c>
      <c r="AS62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2" s="50">
        <f>Tableau119[[#This Row],[Transit time]]+Tableau119[[#This Row],[Time for security]]+Tableau119[[#This Row],[Time for security2 buffer]]</f>
        <v>0</v>
      </c>
      <c r="AV6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2" s="50" t="e">
        <f>Tableau119[[#This Row],[Leadtime SI2C]]+Tableau119[[#This Row],[First Receipt Days]]-Tableau119[[#This Row],[Day Customer Order]]+1</f>
        <v>#N/A</v>
      </c>
      <c r="AX622" s="119" t="e">
        <f>IF(Tableau119[[#This Row],[Name ILN]]&lt;&gt;"SFK Freight Forwarder",Tableau119[[#This Row],[Cust. Leadtime]],Tableau119[[#This Row],[Leadtime SI2C]])</f>
        <v>#N/A</v>
      </c>
      <c r="AY622" s="51" t="b">
        <f>_xlfn.XLOOKUP(Tableau119[[#This Row],[Key(ID-date)]],'DATA BTO'!S:S,'DATA BTO'!P:P,FALSE)</f>
        <v>0</v>
      </c>
      <c r="AZ622" s="338">
        <v>45690</v>
      </c>
      <c r="BA622" s="50"/>
    </row>
    <row r="623" spans="2:53">
      <c r="B623" s="446" t="str">
        <f>_xlfn.CONCAT(Tableau119[[#This Row],[Name ILN]],"-",Tableau119[[#This Row],[Name Shipper]],"-",Tableau119[[#This Row],[Name Site]])</f>
        <v>KWE Shanghai-KWE Shanghai-REVOZ</v>
      </c>
      <c r="C623" s="66" t="str">
        <f>_xlfn.CONCAT(Tableau119[[#This Row],[Compte ILN]],"-",Tableau119[[#This Row],[Compte Shipper]],"-",Tableau119[[#This Row],[POL]],"-",Tableau119[[#This Row],[Compte Consignee]])</f>
        <v>26037000-26037000-FALSO-90016700</v>
      </c>
      <c r="D623" s="66" t="str">
        <f>_xlfn.CONCAT(Tableau119[[#This Row],[Compte ILN]],"-",Tableau119[[#This Row],[Compte Shipper]],"-",Tableau119[[#This Row],[POL]])</f>
        <v>26037000-26037000-FALSO</v>
      </c>
      <c r="E623" s="130" t="str">
        <f>_xlfn.CONCAT(Tableau119[[#This Row],[POL]],"-",Tableau119[[#This Row],[Carrier]],"-",Tableau119[[#This Row],[POD]])</f>
        <v>FALSO-FALSO-FALSO</v>
      </c>
      <c r="F623" s="66" t="str">
        <f>_xlfn.CONCAT(Tableau119[[#This Row],[ID]],"-","Actif")</f>
        <v>241-Actif</v>
      </c>
      <c r="G623" s="66" t="str">
        <f>_xlfn.CONCAT(Tableau119[[#This Row],[POD]],"-",Tableau119[[#This Row],[Code PFI]],"-",Tableau119[[#This Row],[Compte Consignee]])</f>
        <v>FALSO-2839004-90016700</v>
      </c>
      <c r="H6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ShanghaiFALSOREVOZ</v>
      </c>
      <c r="I623" s="434" t="str">
        <f>_xlfn.CONCAT(Tableau119[[#This Row],[ID]],"-",Tableau119[[#This Row],[Expiration Date]])</f>
        <v>241-45690</v>
      </c>
      <c r="J6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REVOZ-KWE Shanghai-KWE Shanghai-241-FALSO-FALSO-FALSO-PFI Mioveni-45690</v>
      </c>
      <c r="K623" s="119" t="str">
        <f ca="1">IF(COUNTIF(J:J,Tableau119[[#This Row],[Plant-ILN-shipper-POL-Carrier-POD-PFI]])=1,"Non","Oui")</f>
        <v>Non</v>
      </c>
      <c r="L623" s="128" t="str">
        <f>VLOOKUP(Tableau119[[#This Row],[Name Site]],Plant_AILN!A:D,4,FALSE)</f>
        <v>SLOVENIA</v>
      </c>
      <c r="M623" s="415" t="s">
        <v>35</v>
      </c>
      <c r="N623" s="455">
        <f>VLOOKUP(Tableau119[[#This Row],[Name Site]],Plant_AILN!A:C,3,FALSE)</f>
        <v>90016700</v>
      </c>
      <c r="O623" s="104">
        <f>VLOOKUP(Tableau119[[#This Row],[Compte Consignee]],Order!C:D,2,FALSE)</f>
        <v>7</v>
      </c>
      <c r="P623" s="126" t="s">
        <v>62</v>
      </c>
      <c r="Q623" s="366">
        <f>VLOOKUP(Tableau119[[#This Row],[Name ILN]],Plant_AILN!F:G,2,FALSE)</f>
        <v>26037000</v>
      </c>
      <c r="R623" s="81">
        <f>VLOOKUP(Tableau119[[#This Row],[Compte ILN]],'DATA ILN'!D:I,6,FALSE)</f>
        <v>9</v>
      </c>
      <c r="S623" s="81" t="e">
        <f>IFERROR(VLOOKUP(Tableau119[[#This Row],[Key(Compte ILN - shipper - POL - plant)]],'DATA ILN'!A:J,10,FALSE),VLOOKUP(Tableau119[[#This Row],[Key(Compte ILN - shipper - POL)]],'DATA ILN'!B:J,9,FALSE))</f>
        <v>#N/A</v>
      </c>
      <c r="T623" s="81" t="e">
        <f>IFERROR(VLOOKUP(Tableau119[[#This Row],[Key(Compte ILN - shipper - POL - plant)]],'DATA ILN'!A:K,11,FALSE),VLOOKUP(Tableau119[[#This Row],[Key(Compte ILN - shipper - POL)]],'DATA ILN'!B:K,10,FALSE))</f>
        <v>#N/A</v>
      </c>
      <c r="U623" s="81" t="e">
        <f>IFERROR(VLOOKUP(Tableau119[[#This Row],[Key(Compte ILN - shipper - POL - plant)]],'DATA ILN'!A:L,12,FALSE),VLOOKUP(Tableau119[[#This Row],[Key(Compte ILN - shipper - POL)]],'DATA ILN'!B:L,11,FALSE))</f>
        <v>#N/A</v>
      </c>
      <c r="V623" s="81" t="e">
        <f>Tableau119[[#This Row],[Day ILN Order]]+Tableau119[[#This Row],[Delivery time to ILN/Shipper]]-1</f>
        <v>#N/A</v>
      </c>
      <c r="W623" s="81" t="e">
        <f>IFERROR(VLOOKUP(Tableau119[[#This Row],[Key(Compte ILN - shipper - POL - plant)]],'DATA ILN'!A:N,14,FALSE),VLOOKUP(Tableau119[[#This Row],[Key(Compte ILN - shipper - POL)]],'DATA ILN'!B:N,13,FALSE))</f>
        <v>#N/A</v>
      </c>
      <c r="X623" s="81" t="e">
        <f>IFERROR(VLOOKUP(Tableau119[[#This Row],[Key(Compte ILN - shipper - POL - plant)]],'DATA ILN'!A:P,16,FALSE),VLOOKUP(Tableau119[[#This Row],[Key(Compte ILN - shipper - POL)]],'DATA ILN'!B:P,15,FALSE))</f>
        <v>#N/A</v>
      </c>
      <c r="Y623" s="102" t="s">
        <v>62</v>
      </c>
      <c r="Z623" s="417">
        <f>IFERROR(VLOOKUP(Tableau119[[#This Row],[Name Shipper]],Plant_AILN!L:M,2,FALSE),0)</f>
        <v>26037000</v>
      </c>
      <c r="AA623" s="416">
        <v>241</v>
      </c>
      <c r="AB623" s="396" t="b">
        <f>_xlfn.XLOOKUP(Tableau119[[#This Row],[Key(ID-date)]],'DATA BTO'!S:S,'DATA BTO'!E:E,FALSE)</f>
        <v>0</v>
      </c>
      <c r="AC623" s="3" t="b">
        <f>_xlfn.XLOOKUP(Tableau119[[#This Row],[Key(ID-date)]],'DATA BTO'!S:S,'DATA BTO'!F:F,FALSE)</f>
        <v>0</v>
      </c>
      <c r="AD623" s="50" t="b">
        <f>_xlfn.XLOOKUP(Tableau119[[#This Row],[Key(ID-date)]],'DATA BTO'!S:S,'DATA BTO'!G:G,FALSE)</f>
        <v>0</v>
      </c>
      <c r="AE623" s="50" t="b">
        <f>_xlfn.XLOOKUP(Tableau119[[#This Row],[Key(ID-date)]],'DATA BTO'!S:S,'DATA BTO'!H:H,FALSE)</f>
        <v>0</v>
      </c>
      <c r="AF623" s="447" t="e">
        <f>IF(Tableau119[[#This Row],[First Day to POL]]&lt;=Tableau119[[#This Row],[Day Cut Off]],Tableau119[[#This Row],[Day ETD]],Tableau119[[#This Row],[Day ETD]]+7)</f>
        <v>#N/A</v>
      </c>
      <c r="AG623" s="50" t="b">
        <f>_xlfn.XLOOKUP(Tableau119[[#This Row],[Key(ID-date)]],'DATA BTO'!S:S,'DATA BTO'!I:I,FALSE)</f>
        <v>0</v>
      </c>
      <c r="AH623" s="3" t="b">
        <f>_xlfn.XLOOKUP(Tableau119[[#This Row],[Key(ID-date)]],'DATA BTO'!S:S,'DATA BTO'!J:J,FALSE)</f>
        <v>0</v>
      </c>
      <c r="AI623" s="3" t="b">
        <f>_xlfn.XLOOKUP(Tableau119[[#This Row],[Key(ID-date)]],'DATA BTO'!S:S,'DATA BTO'!K:K,FALSE)</f>
        <v>0</v>
      </c>
      <c r="AJ623" s="50" t="b">
        <f>_xlfn.XLOOKUP(Tableau119[[#This Row],[Key(ID-date)]],'DATA BTO'!S:S,'DATA BTO'!L:L,FALSE)</f>
        <v>0</v>
      </c>
      <c r="AK623" s="53" t="b">
        <f>_xlfn.XLOOKUP(Tableau119[[#This Row],[Key(ID-date)]],'DATA BTO'!S:S,'DATA BTO'!N:N,FALSE)</f>
        <v>0</v>
      </c>
      <c r="AL623" s="54" t="e">
        <f>VLOOKUP(Tableau119[[#This Row],[Key(POD -PFI- Usine)]],'DATA Consignee'!A:F,6,FALSE)</f>
        <v>#N/A</v>
      </c>
      <c r="AM623" s="127" t="s">
        <v>278</v>
      </c>
      <c r="AN623" s="375">
        <f>IF(Tableau119[[#This Row],[Name PFI/CDD]]="","-",VLOOKUP(Tableau119[[#This Row],[Name PFI/CDD]],Plant_AILN!I:J,2,FALSE))</f>
        <v>2839004</v>
      </c>
      <c r="AO62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3" s="110" t="e">
        <f>VLOOKUP(Tableau119[[#This Row],[Key(POD -PFI- Usine)]],'DATA Consignee'!A:J,10,FALSE)</f>
        <v>#N/A</v>
      </c>
      <c r="AR623" s="81" t="e">
        <f>VLOOKUP(Tableau119[[#This Row],[Key(POD -PFI- Usine)]],'DATA Consignee'!A:N,14,FALSE)</f>
        <v>#N/A</v>
      </c>
      <c r="AS62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3" s="81">
        <f>Tableau119[[#This Row],[Transit time]]+Tableau119[[#This Row],[Time for security]]+Tableau119[[#This Row],[Time for security2 buffer]]</f>
        <v>0</v>
      </c>
      <c r="AV6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3" s="50" t="e">
        <f>Tableau119[[#This Row],[Leadtime SI2C]]+Tableau119[[#This Row],[First Receipt Days]]-Tableau119[[#This Row],[Day Customer Order]]+1</f>
        <v>#N/A</v>
      </c>
      <c r="AX623" s="119" t="e">
        <f>IF(Tableau119[[#This Row],[Name ILN]]&lt;&gt;"SFK Freight Forwarder",Tableau119[[#This Row],[Cust. Leadtime]],Tableau119[[#This Row],[Leadtime SI2C]])</f>
        <v>#N/A</v>
      </c>
      <c r="AY623" s="51" t="b">
        <f>_xlfn.XLOOKUP(Tableau119[[#This Row],[Key(ID-date)]],'DATA BTO'!S:S,'DATA BTO'!P:P,FALSE)</f>
        <v>0</v>
      </c>
      <c r="AZ623" s="388">
        <v>45690</v>
      </c>
      <c r="BA623" s="81"/>
    </row>
    <row r="624" spans="2:53">
      <c r="B624" s="446" t="str">
        <f>_xlfn.CONCAT(Tableau119[[#This Row],[Name ILN]],"-",Tableau119[[#This Row],[Name Shipper]],"-",Tableau119[[#This Row],[Name Site]])</f>
        <v>KWE Shanghai-KWE Shanghai-DACIA MONT</v>
      </c>
      <c r="C624" s="66" t="str">
        <f>_xlfn.CONCAT(Tableau119[[#This Row],[Compte ILN]],"-",Tableau119[[#This Row],[Compte Shipper]],"-",Tableau119[[#This Row],[POL]],"-",Tableau119[[#This Row],[Compte Consignee]])</f>
        <v>26037000-26037000-FALSO-90016800</v>
      </c>
      <c r="D624" s="66" t="str">
        <f>_xlfn.CONCAT(Tableau119[[#This Row],[Compte ILN]],"-",Tableau119[[#This Row],[Compte Shipper]],"-",Tableau119[[#This Row],[POL]])</f>
        <v>26037000-26037000-FALSO</v>
      </c>
      <c r="E624" s="130" t="str">
        <f>_xlfn.CONCAT(Tableau119[[#This Row],[POL]],"-",Tableau119[[#This Row],[Carrier]],"-",Tableau119[[#This Row],[POD]])</f>
        <v>FALSO-FALSO-FALSO</v>
      </c>
      <c r="F624" s="66" t="str">
        <f>_xlfn.CONCAT(Tableau119[[#This Row],[ID]],"-","Actif")</f>
        <v>241-Actif</v>
      </c>
      <c r="G624" s="66" t="str">
        <f>_xlfn.CONCAT(Tableau119[[#This Row],[POD]],"-",Tableau119[[#This Row],[Code PFI]],"-",Tableau119[[#This Row],[Compte Consignee]])</f>
        <v>FALSO---90016800</v>
      </c>
      <c r="H6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ShanghaiFALSODACIA MONT</v>
      </c>
      <c r="I624" s="434" t="str">
        <f>_xlfn.CONCAT(Tableau119[[#This Row],[ID]],"-",Tableau119[[#This Row],[Expiration Date]])</f>
        <v>241-45690</v>
      </c>
      <c r="J6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MONT-KWE Shanghai-KWE Shanghai-241-FALSO-FALSO-FALSO--45690</v>
      </c>
      <c r="K624" s="119" t="str">
        <f ca="1">IF(COUNTIF(J:J,Tableau119[[#This Row],[Plant-ILN-shipper-POL-Carrier-POD-PFI]])=1,"Non","Oui")</f>
        <v>Non</v>
      </c>
      <c r="L624" s="128" t="str">
        <f>VLOOKUP(Tableau119[[#This Row],[Name Site]],Plant_AILN!A:D,4,FALSE)</f>
        <v>ROMANIA</v>
      </c>
      <c r="M624" s="411" t="s">
        <v>185</v>
      </c>
      <c r="N624" s="454">
        <f>VLOOKUP(Tableau119[[#This Row],[Name Site]],Plant_AILN!A:C,3,FALSE)</f>
        <v>90016800</v>
      </c>
      <c r="O624" s="55">
        <f>VLOOKUP(Tableau119[[#This Row],[Compte Consignee]],Order!C:D,2,FALSE)</f>
        <v>7</v>
      </c>
      <c r="P624" s="124" t="s">
        <v>62</v>
      </c>
      <c r="Q624" s="365">
        <f>VLOOKUP(Tableau119[[#This Row],[Name ILN]],Plant_AILN!F:G,2,FALSE)</f>
        <v>26037000</v>
      </c>
      <c r="R624" s="50">
        <f>VLOOKUP(Tableau119[[#This Row],[Compte ILN]],'DATA ILN'!D:I,6,FALSE)</f>
        <v>9</v>
      </c>
      <c r="S624" s="50" t="e">
        <f>IFERROR(VLOOKUP(Tableau119[[#This Row],[Key(Compte ILN - shipper - POL - plant)]],'DATA ILN'!A:J,10,FALSE),VLOOKUP(Tableau119[[#This Row],[Key(Compte ILN - shipper - POL)]],'DATA ILN'!B:J,9,FALSE))</f>
        <v>#N/A</v>
      </c>
      <c r="T624" s="50" t="e">
        <f>IFERROR(VLOOKUP(Tableau119[[#This Row],[Key(Compte ILN - shipper - POL - plant)]],'DATA ILN'!A:K,11,FALSE),VLOOKUP(Tableau119[[#This Row],[Key(Compte ILN - shipper - POL)]],'DATA ILN'!B:K,10,FALSE))</f>
        <v>#N/A</v>
      </c>
      <c r="U624" s="50" t="e">
        <f>IFERROR(VLOOKUP(Tableau119[[#This Row],[Key(Compte ILN - shipper - POL - plant)]],'DATA ILN'!A:L,12,FALSE),VLOOKUP(Tableau119[[#This Row],[Key(Compte ILN - shipper - POL)]],'DATA ILN'!B:L,11,FALSE))</f>
        <v>#N/A</v>
      </c>
      <c r="V624" s="50" t="e">
        <f>Tableau119[[#This Row],[Day ILN Order]]+Tableau119[[#This Row],[Delivery time to ILN/Shipper]]-1</f>
        <v>#N/A</v>
      </c>
      <c r="W624" s="50" t="e">
        <f>IFERROR(VLOOKUP(Tableau119[[#This Row],[Key(Compte ILN - shipper - POL - plant)]],'DATA ILN'!A:N,14,FALSE),VLOOKUP(Tableau119[[#This Row],[Key(Compte ILN - shipper - POL)]],'DATA ILN'!B:N,13,FALSE))</f>
        <v>#N/A</v>
      </c>
      <c r="X624" s="50" t="e">
        <f>IFERROR(VLOOKUP(Tableau119[[#This Row],[Key(Compte ILN - shipper - POL - plant)]],'DATA ILN'!A:P,16,FALSE),VLOOKUP(Tableau119[[#This Row],[Key(Compte ILN - shipper - POL)]],'DATA ILN'!B:P,15,FALSE))</f>
        <v>#N/A</v>
      </c>
      <c r="Y624" s="284" t="s">
        <v>62</v>
      </c>
      <c r="Z624" s="430">
        <f>IFERROR(VLOOKUP(Tableau119[[#This Row],[Name Shipper]],Plant_AILN!L:M,2,FALSE),0)</f>
        <v>26037000</v>
      </c>
      <c r="AA624" s="406">
        <v>241</v>
      </c>
      <c r="AB624" s="396" t="b">
        <f>_xlfn.XLOOKUP(Tableau119[[#This Row],[Key(ID-date)]],'DATA BTO'!S:S,'DATA BTO'!E:E,FALSE)</f>
        <v>0</v>
      </c>
      <c r="AC624" s="3" t="b">
        <f>_xlfn.XLOOKUP(Tableau119[[#This Row],[Key(ID-date)]],'DATA BTO'!S:S,'DATA BTO'!F:F,FALSE)</f>
        <v>0</v>
      </c>
      <c r="AD624" s="50" t="b">
        <f>_xlfn.XLOOKUP(Tableau119[[#This Row],[Key(ID-date)]],'DATA BTO'!S:S,'DATA BTO'!G:G,FALSE)</f>
        <v>0</v>
      </c>
      <c r="AE624" s="50" t="b">
        <f>_xlfn.XLOOKUP(Tableau119[[#This Row],[Key(ID-date)]],'DATA BTO'!S:S,'DATA BTO'!H:H,FALSE)</f>
        <v>0</v>
      </c>
      <c r="AF624" s="447" t="e">
        <f>IF(Tableau119[[#This Row],[First Day to POL]]&lt;=Tableau119[[#This Row],[Day Cut Off]],Tableau119[[#This Row],[Day ETD]],Tableau119[[#This Row],[Day ETD]]+7)</f>
        <v>#N/A</v>
      </c>
      <c r="AG624" s="50" t="b">
        <f>_xlfn.XLOOKUP(Tableau119[[#This Row],[Key(ID-date)]],'DATA BTO'!S:S,'DATA BTO'!I:I,FALSE)</f>
        <v>0</v>
      </c>
      <c r="AH624" s="3" t="b">
        <f>_xlfn.XLOOKUP(Tableau119[[#This Row],[Key(ID-date)]],'DATA BTO'!S:S,'DATA BTO'!J:J,FALSE)</f>
        <v>0</v>
      </c>
      <c r="AI624" s="3" t="b">
        <f>_xlfn.XLOOKUP(Tableau119[[#This Row],[Key(ID-date)]],'DATA BTO'!S:S,'DATA BTO'!K:K,FALSE)</f>
        <v>0</v>
      </c>
      <c r="AJ624" s="50" t="b">
        <f>_xlfn.XLOOKUP(Tableau119[[#This Row],[Key(ID-date)]],'DATA BTO'!S:S,'DATA BTO'!L:L,FALSE)</f>
        <v>0</v>
      </c>
      <c r="AK624" s="53" t="b">
        <f>_xlfn.XLOOKUP(Tableau119[[#This Row],[Key(ID-date)]],'DATA BTO'!S:S,'DATA BTO'!N:N,FALSE)</f>
        <v>0</v>
      </c>
      <c r="AL624" s="54" t="e">
        <f>VLOOKUP(Tableau119[[#This Row],[Key(POD -PFI- Usine)]],'DATA Consignee'!A:F,6,FALSE)</f>
        <v>#N/A</v>
      </c>
      <c r="AM624" s="127"/>
      <c r="AN624" s="376" t="str">
        <f>IF(Tableau119[[#This Row],[Name PFI/CDD]]="","-",VLOOKUP(Tableau119[[#This Row],[Name PFI/CDD]],Plant_AILN!I:J,2,FALSE))</f>
        <v>-</v>
      </c>
      <c r="AO62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4" s="2" t="e">
        <f>VLOOKUP(Tableau119[[#This Row],[Key(POD -PFI- Usine)]],'DATA Consignee'!A:J,10,FALSE)</f>
        <v>#N/A</v>
      </c>
      <c r="AR624" s="50" t="e">
        <f>VLOOKUP(Tableau119[[#This Row],[Key(POD -PFI- Usine)]],'DATA Consignee'!A:N,14,FALSE)</f>
        <v>#N/A</v>
      </c>
      <c r="AS62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4" s="50">
        <f>Tableau119[[#This Row],[Transit time]]+Tableau119[[#This Row],[Time for security]]+Tableau119[[#This Row],[Time for security2 buffer]]</f>
        <v>0</v>
      </c>
      <c r="AV6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4" s="50" t="e">
        <f>Tableau119[[#This Row],[Leadtime SI2C]]+Tableau119[[#This Row],[First Receipt Days]]-Tableau119[[#This Row],[Day Customer Order]]+1</f>
        <v>#N/A</v>
      </c>
      <c r="AX624" s="119" t="e">
        <f>IF(Tableau119[[#This Row],[Name ILN]]&lt;&gt;"SFK Freight Forwarder",Tableau119[[#This Row],[Cust. Leadtime]],Tableau119[[#This Row],[Leadtime SI2C]])</f>
        <v>#N/A</v>
      </c>
      <c r="AY624" s="51" t="b">
        <f>_xlfn.XLOOKUP(Tableau119[[#This Row],[Key(ID-date)]],'DATA BTO'!S:S,'DATA BTO'!P:P,FALSE)</f>
        <v>0</v>
      </c>
      <c r="AZ624" s="338">
        <v>45690</v>
      </c>
      <c r="BA624" s="50"/>
    </row>
    <row r="625" spans="2:53">
      <c r="B625" s="446" t="str">
        <f>_xlfn.CONCAT(Tableau119[[#This Row],[Name ILN]],"-",Tableau119[[#This Row],[Name Shipper]],"-",Tableau119[[#This Row],[Name Site]])</f>
        <v>KWE Shanghai-KWE Shanghai-RM MIOVENI</v>
      </c>
      <c r="C625" s="66" t="str">
        <f>_xlfn.CONCAT(Tableau119[[#This Row],[Compte ILN]],"-",Tableau119[[#This Row],[Compte Shipper]],"-",Tableau119[[#This Row],[POL]],"-",Tableau119[[#This Row],[Compte Consignee]])</f>
        <v>26037000-26037000-FALSO-90012300</v>
      </c>
      <c r="D625" s="66" t="str">
        <f>_xlfn.CONCAT(Tableau119[[#This Row],[Compte ILN]],"-",Tableau119[[#This Row],[Compte Shipper]],"-",Tableau119[[#This Row],[POL]])</f>
        <v>26037000-26037000-FALSO</v>
      </c>
      <c r="E625" s="130" t="str">
        <f>_xlfn.CONCAT(Tableau119[[#This Row],[POL]],"-",Tableau119[[#This Row],[Carrier]],"-",Tableau119[[#This Row],[POD]])</f>
        <v>FALSO-FALSO-FALSO</v>
      </c>
      <c r="F625" s="66" t="str">
        <f>_xlfn.CONCAT(Tableau119[[#This Row],[ID]],"-","Actif")</f>
        <v>241-Actif</v>
      </c>
      <c r="G625" s="66" t="str">
        <f>_xlfn.CONCAT(Tableau119[[#This Row],[POD]],"-",Tableau119[[#This Row],[Code PFI]],"-",Tableau119[[#This Row],[Compte Consignee]])</f>
        <v>FALSO-2839004-90012300</v>
      </c>
      <c r="H6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ShanghaiFALSORM MIOVENI</v>
      </c>
      <c r="I625" s="434" t="str">
        <f>_xlfn.CONCAT(Tableau119[[#This Row],[ID]],"-",Tableau119[[#This Row],[Expiration Date]])</f>
        <v>241-45475</v>
      </c>
      <c r="J6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RM MIOVENI-KWE Shanghai-KWE Shanghai-241-FALSO-FALSO-FALSO-Magasin Dacia-45475</v>
      </c>
      <c r="K625" s="119" t="str">
        <f ca="1">IF(COUNTIF(J:J,Tableau119[[#This Row],[Plant-ILN-shipper-POL-Carrier-POD-PFI]])=1,"Non","Oui")</f>
        <v>Non</v>
      </c>
      <c r="L625" s="128" t="str">
        <f>VLOOKUP(Tableau119[[#This Row],[Name Site]],Plant_AILN!A:D,4,FALSE)</f>
        <v>ROMANIA</v>
      </c>
      <c r="M625" s="411" t="s">
        <v>212</v>
      </c>
      <c r="N625" s="454">
        <f>VLOOKUP(Tableau119[[#This Row],[Name Site]],Plant_AILN!A:C,3,FALSE)</f>
        <v>90012300</v>
      </c>
      <c r="O625" s="55">
        <f>VLOOKUP(Tableau119[[#This Row],[Compte Consignee]],Order!C:D,2,FALSE)</f>
        <v>7</v>
      </c>
      <c r="P625" s="124" t="s">
        <v>62</v>
      </c>
      <c r="Q625" s="365">
        <f>VLOOKUP(Tableau119[[#This Row],[Name ILN]],Plant_AILN!F:G,2,FALSE)</f>
        <v>26037000</v>
      </c>
      <c r="R625" s="50">
        <f>VLOOKUP(Tableau119[[#This Row],[Compte ILN]],'DATA ILN'!D:I,6,FALSE)</f>
        <v>9</v>
      </c>
      <c r="S625" s="50" t="e">
        <f>IFERROR(VLOOKUP(Tableau119[[#This Row],[Key(Compte ILN - shipper - POL - plant)]],'DATA ILN'!A:J,10,FALSE),VLOOKUP(Tableau119[[#This Row],[Key(Compte ILN - shipper - POL)]],'DATA ILN'!B:J,9,FALSE))</f>
        <v>#N/A</v>
      </c>
      <c r="T625" s="50" t="e">
        <f>IFERROR(VLOOKUP(Tableau119[[#This Row],[Key(Compte ILN - shipper - POL - plant)]],'DATA ILN'!A:K,11,FALSE),VLOOKUP(Tableau119[[#This Row],[Key(Compte ILN - shipper - POL)]],'DATA ILN'!B:K,10,FALSE))</f>
        <v>#N/A</v>
      </c>
      <c r="U625" s="50" t="e">
        <f>IFERROR(VLOOKUP(Tableau119[[#This Row],[Key(Compte ILN - shipper - POL - plant)]],'DATA ILN'!A:L,12,FALSE),VLOOKUP(Tableau119[[#This Row],[Key(Compte ILN - shipper - POL)]],'DATA ILN'!B:L,11,FALSE))</f>
        <v>#N/A</v>
      </c>
      <c r="V625" s="50" t="e">
        <f>Tableau119[[#This Row],[Day ILN Order]]+Tableau119[[#This Row],[Delivery time to ILN/Shipper]]-1</f>
        <v>#N/A</v>
      </c>
      <c r="W625" s="50" t="e">
        <f>IFERROR(VLOOKUP(Tableau119[[#This Row],[Key(Compte ILN - shipper - POL - plant)]],'DATA ILN'!A:N,14,FALSE),VLOOKUP(Tableau119[[#This Row],[Key(Compte ILN - shipper - POL)]],'DATA ILN'!B:N,13,FALSE))</f>
        <v>#N/A</v>
      </c>
      <c r="X625" s="50" t="e">
        <f>IFERROR(VLOOKUP(Tableau119[[#This Row],[Key(Compte ILN - shipper - POL - plant)]],'DATA ILN'!A:P,16,FALSE),VLOOKUP(Tableau119[[#This Row],[Key(Compte ILN - shipper - POL)]],'DATA ILN'!B:P,15,FALSE))</f>
        <v>#N/A</v>
      </c>
      <c r="Y625" s="284" t="s">
        <v>62</v>
      </c>
      <c r="Z625" s="430">
        <f>IFERROR(VLOOKUP(Tableau119[[#This Row],[Name Shipper]],Plant_AILN!L:M,2,FALSE),0)</f>
        <v>26037000</v>
      </c>
      <c r="AA625" s="406">
        <v>241</v>
      </c>
      <c r="AB625" s="396" t="b">
        <f>_xlfn.XLOOKUP(Tableau119[[#This Row],[Key(ID-date)]],'DATA BTO'!S:S,'DATA BTO'!E:E,FALSE)</f>
        <v>0</v>
      </c>
      <c r="AC625" s="3" t="b">
        <f>_xlfn.XLOOKUP(Tableau119[[#This Row],[Key(ID-date)]],'DATA BTO'!S:S,'DATA BTO'!F:F,FALSE)</f>
        <v>0</v>
      </c>
      <c r="AD625" s="50" t="b">
        <f>_xlfn.XLOOKUP(Tableau119[[#This Row],[Key(ID-date)]],'DATA BTO'!S:S,'DATA BTO'!G:G,FALSE)</f>
        <v>0</v>
      </c>
      <c r="AE625" s="50" t="b">
        <f>_xlfn.XLOOKUP(Tableau119[[#This Row],[Key(ID-date)]],'DATA BTO'!S:S,'DATA BTO'!H:H,FALSE)</f>
        <v>0</v>
      </c>
      <c r="AF625" s="447" t="e">
        <f>IF(Tableau119[[#This Row],[First Day to POL]]&lt;=Tableau119[[#This Row],[Day Cut Off]],Tableau119[[#This Row],[Day ETD]],Tableau119[[#This Row],[Day ETD]]+7)</f>
        <v>#N/A</v>
      </c>
      <c r="AG625" s="50" t="b">
        <f>_xlfn.XLOOKUP(Tableau119[[#This Row],[Key(ID-date)]],'DATA BTO'!S:S,'DATA BTO'!I:I,FALSE)</f>
        <v>0</v>
      </c>
      <c r="AH625" s="3" t="b">
        <f>_xlfn.XLOOKUP(Tableau119[[#This Row],[Key(ID-date)]],'DATA BTO'!S:S,'DATA BTO'!J:J,FALSE)</f>
        <v>0</v>
      </c>
      <c r="AI625" s="3" t="b">
        <f>_xlfn.XLOOKUP(Tableau119[[#This Row],[Key(ID-date)]],'DATA BTO'!S:S,'DATA BTO'!K:K,FALSE)</f>
        <v>0</v>
      </c>
      <c r="AJ625" s="50" t="b">
        <f>_xlfn.XLOOKUP(Tableau119[[#This Row],[Key(ID-date)]],'DATA BTO'!S:S,'DATA BTO'!L:L,FALSE)</f>
        <v>0</v>
      </c>
      <c r="AK625" s="53" t="b">
        <f>_xlfn.XLOOKUP(Tableau119[[#This Row],[Key(ID-date)]],'DATA BTO'!S:S,'DATA BTO'!N:N,FALSE)</f>
        <v>0</v>
      </c>
      <c r="AL625" s="54" t="e">
        <f>VLOOKUP(Tableau119[[#This Row],[Key(POD -PFI- Usine)]],'DATA Consignee'!A:F,6,FALSE)</f>
        <v>#N/A</v>
      </c>
      <c r="AM625" s="127" t="s">
        <v>164</v>
      </c>
      <c r="AN625" s="376">
        <f>IF(Tableau119[[#This Row],[Name PFI/CDD]]="","-",VLOOKUP(Tableau119[[#This Row],[Name PFI/CDD]],Plant_AILN!I:J,2,FALSE))</f>
        <v>2839004</v>
      </c>
      <c r="AO6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5" s="2" t="e">
        <f>VLOOKUP(Tableau119[[#This Row],[Key(POD -PFI- Usine)]],'DATA Consignee'!A:J,10,FALSE)</f>
        <v>#N/A</v>
      </c>
      <c r="AR625" s="50" t="e">
        <f>VLOOKUP(Tableau119[[#This Row],[Key(POD -PFI- Usine)]],'DATA Consignee'!A:N,14,FALSE)</f>
        <v>#N/A</v>
      </c>
      <c r="AS6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5" s="50">
        <f>Tableau119[[#This Row],[Transit time]]+Tableau119[[#This Row],[Time for security]]+Tableau119[[#This Row],[Time for security2 buffer]]</f>
        <v>0</v>
      </c>
      <c r="AV6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5" s="50" t="e">
        <f>Tableau119[[#This Row],[Leadtime SI2C]]+Tableau119[[#This Row],[First Receipt Days]]-Tableau119[[#This Row],[Day Customer Order]]+1</f>
        <v>#N/A</v>
      </c>
      <c r="AX625" s="119" t="e">
        <f>IF(Tableau119[[#This Row],[Name ILN]]&lt;&gt;"SFK Freight Forwarder",Tableau119[[#This Row],[Cust. Leadtime]],Tableau119[[#This Row],[Leadtime SI2C]])</f>
        <v>#N/A</v>
      </c>
      <c r="AY625" s="51" t="b">
        <f>_xlfn.XLOOKUP(Tableau119[[#This Row],[Key(ID-date)]],'DATA BTO'!S:S,'DATA BTO'!P:P,FALSE)</f>
        <v>0</v>
      </c>
      <c r="AZ625" s="338">
        <v>45475</v>
      </c>
      <c r="BA625" s="50"/>
    </row>
    <row r="626" spans="2:53">
      <c r="B626" s="446" t="str">
        <f>_xlfn.CONCAT(Tableau119[[#This Row],[Name ILN]],"-",Tableau119[[#This Row],[Name Shipper]],"-",Tableau119[[#This Row],[Name Site]])</f>
        <v>KWE Shanghai-KWE Shanghai-REVOZ</v>
      </c>
      <c r="C626" s="66" t="str">
        <f>_xlfn.CONCAT(Tableau119[[#This Row],[Compte ILN]],"-",Tableau119[[#This Row],[Compte Shipper]],"-",Tableau119[[#This Row],[POL]],"-",Tableau119[[#This Row],[Compte Consignee]])</f>
        <v>26037000-26037000-FALSO-90016700</v>
      </c>
      <c r="D626" s="66" t="str">
        <f>_xlfn.CONCAT(Tableau119[[#This Row],[Compte ILN]],"-",Tableau119[[#This Row],[Compte Shipper]],"-",Tableau119[[#This Row],[POL]])</f>
        <v>26037000-26037000-FALSO</v>
      </c>
      <c r="E626" s="130" t="str">
        <f>_xlfn.CONCAT(Tableau119[[#This Row],[POL]],"-",Tableau119[[#This Row],[Carrier]],"-",Tableau119[[#This Row],[POD]])</f>
        <v>FALSO-FALSO-FALSO</v>
      </c>
      <c r="F626" s="66" t="str">
        <f>_xlfn.CONCAT(Tableau119[[#This Row],[ID]],"-","Actif")</f>
        <v>241-Actif</v>
      </c>
      <c r="G626" s="66" t="str">
        <f>_xlfn.CONCAT(Tableau119[[#This Row],[POD]],"-",Tableau119[[#This Row],[Code PFI]],"-",Tableau119[[#This Row],[Compte Consignee]])</f>
        <v>FALSO-2839004-90016700</v>
      </c>
      <c r="H6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ShanghaiFALSOREVOZ</v>
      </c>
      <c r="I626" s="434" t="str">
        <f>_xlfn.CONCAT(Tableau119[[#This Row],[ID]],"-",Tableau119[[#This Row],[Expiration Date]])</f>
        <v>241-45475</v>
      </c>
      <c r="J6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REVOZ-KWE Shanghai-KWE Shanghai-241-FALSO-FALSO-FALSO-PFI Mioveni-45475</v>
      </c>
      <c r="K626" s="119" t="str">
        <f ca="1">IF(COUNTIF(J:J,Tableau119[[#This Row],[Plant-ILN-shipper-POL-Carrier-POD-PFI]])=1,"Non","Oui")</f>
        <v>Non</v>
      </c>
      <c r="L626" s="128" t="str">
        <f>VLOOKUP(Tableau119[[#This Row],[Name Site]],Plant_AILN!A:D,4,FALSE)</f>
        <v>SLOVENIA</v>
      </c>
      <c r="M626" s="411" t="s">
        <v>35</v>
      </c>
      <c r="N626" s="454">
        <f>VLOOKUP(Tableau119[[#This Row],[Name Site]],Plant_AILN!A:C,3,FALSE)</f>
        <v>90016700</v>
      </c>
      <c r="O626" s="55">
        <f>VLOOKUP(Tableau119[[#This Row],[Compte Consignee]],Order!C:D,2,FALSE)</f>
        <v>7</v>
      </c>
      <c r="P626" s="124" t="s">
        <v>62</v>
      </c>
      <c r="Q626" s="365">
        <f>VLOOKUP(Tableau119[[#This Row],[Name ILN]],Plant_AILN!F:G,2,FALSE)</f>
        <v>26037000</v>
      </c>
      <c r="R626" s="50">
        <f>VLOOKUP(Tableau119[[#This Row],[Compte ILN]],'DATA ILN'!D:I,6,FALSE)</f>
        <v>9</v>
      </c>
      <c r="S626" s="50" t="e">
        <f>IFERROR(VLOOKUP(Tableau119[[#This Row],[Key(Compte ILN - shipper - POL - plant)]],'DATA ILN'!A:J,10,FALSE),VLOOKUP(Tableau119[[#This Row],[Key(Compte ILN - shipper - POL)]],'DATA ILN'!B:J,9,FALSE))</f>
        <v>#N/A</v>
      </c>
      <c r="T626" s="50" t="e">
        <f>IFERROR(VLOOKUP(Tableau119[[#This Row],[Key(Compte ILN - shipper - POL - plant)]],'DATA ILN'!A:K,11,FALSE),VLOOKUP(Tableau119[[#This Row],[Key(Compte ILN - shipper - POL)]],'DATA ILN'!B:K,10,FALSE))</f>
        <v>#N/A</v>
      </c>
      <c r="U626" s="50" t="e">
        <f>IFERROR(VLOOKUP(Tableau119[[#This Row],[Key(Compte ILN - shipper - POL - plant)]],'DATA ILN'!A:L,12,FALSE),VLOOKUP(Tableau119[[#This Row],[Key(Compte ILN - shipper - POL)]],'DATA ILN'!B:L,11,FALSE))</f>
        <v>#N/A</v>
      </c>
      <c r="V626" s="50" t="e">
        <f>Tableau119[[#This Row],[Day ILN Order]]+Tableau119[[#This Row],[Delivery time to ILN/Shipper]]-1</f>
        <v>#N/A</v>
      </c>
      <c r="W626" s="50" t="e">
        <f>IFERROR(VLOOKUP(Tableau119[[#This Row],[Key(Compte ILN - shipper - POL - plant)]],'DATA ILN'!A:N,14,FALSE),VLOOKUP(Tableau119[[#This Row],[Key(Compte ILN - shipper - POL)]],'DATA ILN'!B:N,13,FALSE))</f>
        <v>#N/A</v>
      </c>
      <c r="X626" s="50" t="e">
        <f>IFERROR(VLOOKUP(Tableau119[[#This Row],[Key(Compte ILN - shipper - POL - plant)]],'DATA ILN'!A:P,16,FALSE),VLOOKUP(Tableau119[[#This Row],[Key(Compte ILN - shipper - POL)]],'DATA ILN'!B:P,15,FALSE))</f>
        <v>#N/A</v>
      </c>
      <c r="Y626" s="284" t="s">
        <v>62</v>
      </c>
      <c r="Z626" s="430">
        <f>IFERROR(VLOOKUP(Tableau119[[#This Row],[Name Shipper]],Plant_AILN!L:M,2,FALSE),0)</f>
        <v>26037000</v>
      </c>
      <c r="AA626" s="406">
        <v>241</v>
      </c>
      <c r="AB626" s="396" t="b">
        <f>_xlfn.XLOOKUP(Tableau119[[#This Row],[Key(ID-date)]],'DATA BTO'!S:S,'DATA BTO'!E:E,FALSE)</f>
        <v>0</v>
      </c>
      <c r="AC626" s="3" t="b">
        <f>_xlfn.XLOOKUP(Tableau119[[#This Row],[Key(ID-date)]],'DATA BTO'!S:S,'DATA BTO'!F:F,FALSE)</f>
        <v>0</v>
      </c>
      <c r="AD626" s="50" t="b">
        <f>_xlfn.XLOOKUP(Tableau119[[#This Row],[Key(ID-date)]],'DATA BTO'!S:S,'DATA BTO'!G:G,FALSE)</f>
        <v>0</v>
      </c>
      <c r="AE626" s="50" t="b">
        <f>_xlfn.XLOOKUP(Tableau119[[#This Row],[Key(ID-date)]],'DATA BTO'!S:S,'DATA BTO'!H:H,FALSE)</f>
        <v>0</v>
      </c>
      <c r="AF626" s="447" t="e">
        <f>IF(Tableau119[[#This Row],[First Day to POL]]&lt;=Tableau119[[#This Row],[Day Cut Off]],Tableau119[[#This Row],[Day ETD]],Tableau119[[#This Row],[Day ETD]]+7)</f>
        <v>#N/A</v>
      </c>
      <c r="AG626" s="50" t="b">
        <f>_xlfn.XLOOKUP(Tableau119[[#This Row],[Key(ID-date)]],'DATA BTO'!S:S,'DATA BTO'!I:I,FALSE)</f>
        <v>0</v>
      </c>
      <c r="AH626" s="3" t="b">
        <f>_xlfn.XLOOKUP(Tableau119[[#This Row],[Key(ID-date)]],'DATA BTO'!S:S,'DATA BTO'!J:J,FALSE)</f>
        <v>0</v>
      </c>
      <c r="AI626" s="3" t="b">
        <f>_xlfn.XLOOKUP(Tableau119[[#This Row],[Key(ID-date)]],'DATA BTO'!S:S,'DATA BTO'!K:K,FALSE)</f>
        <v>0</v>
      </c>
      <c r="AJ626" s="50" t="b">
        <f>_xlfn.XLOOKUP(Tableau119[[#This Row],[Key(ID-date)]],'DATA BTO'!S:S,'DATA BTO'!L:L,FALSE)</f>
        <v>0</v>
      </c>
      <c r="AK626" s="53" t="b">
        <f>_xlfn.XLOOKUP(Tableau119[[#This Row],[Key(ID-date)]],'DATA BTO'!S:S,'DATA BTO'!N:N,FALSE)</f>
        <v>0</v>
      </c>
      <c r="AL626" s="54" t="e">
        <f>VLOOKUP(Tableau119[[#This Row],[Key(POD -PFI- Usine)]],'DATA Consignee'!A:F,6,FALSE)</f>
        <v>#N/A</v>
      </c>
      <c r="AM626" s="127" t="s">
        <v>278</v>
      </c>
      <c r="AN626" s="376">
        <f>IF(Tableau119[[#This Row],[Name PFI/CDD]]="","-",VLOOKUP(Tableau119[[#This Row],[Name PFI/CDD]],Plant_AILN!I:J,2,FALSE))</f>
        <v>2839004</v>
      </c>
      <c r="AO6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6" s="2" t="e">
        <f>VLOOKUP(Tableau119[[#This Row],[Key(POD -PFI- Usine)]],'DATA Consignee'!A:J,10,FALSE)</f>
        <v>#N/A</v>
      </c>
      <c r="AR626" s="50" t="e">
        <f>VLOOKUP(Tableau119[[#This Row],[Key(POD -PFI- Usine)]],'DATA Consignee'!A:N,14,FALSE)</f>
        <v>#N/A</v>
      </c>
      <c r="AS6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6" s="50">
        <f>Tableau119[[#This Row],[Transit time]]+Tableau119[[#This Row],[Time for security]]+Tableau119[[#This Row],[Time for security2 buffer]]</f>
        <v>0</v>
      </c>
      <c r="AV6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6" s="50" t="e">
        <f>Tableau119[[#This Row],[Leadtime SI2C]]+Tableau119[[#This Row],[First Receipt Days]]-Tableau119[[#This Row],[Day Customer Order]]+1</f>
        <v>#N/A</v>
      </c>
      <c r="AX626" s="119" t="e">
        <f>IF(Tableau119[[#This Row],[Name ILN]]&lt;&gt;"SFK Freight Forwarder",Tableau119[[#This Row],[Cust. Leadtime]],Tableau119[[#This Row],[Leadtime SI2C]])</f>
        <v>#N/A</v>
      </c>
      <c r="AY626" s="51" t="b">
        <f>_xlfn.XLOOKUP(Tableau119[[#This Row],[Key(ID-date)]],'DATA BTO'!S:S,'DATA BTO'!P:P,FALSE)</f>
        <v>0</v>
      </c>
      <c r="AZ626" s="338">
        <v>45475</v>
      </c>
      <c r="BA626" s="50"/>
    </row>
    <row r="627" spans="2:53">
      <c r="B627" s="446" t="str">
        <f>_xlfn.CONCAT(Tableau119[[#This Row],[Name ILN]],"-",Tableau119[[#This Row],[Name Shipper]],"-",Tableau119[[#This Row],[Name Site]])</f>
        <v>KWE Shanghai-KWE Shanghai-DACIA MONT</v>
      </c>
      <c r="C627" s="66" t="str">
        <f>_xlfn.CONCAT(Tableau119[[#This Row],[Compte ILN]],"-",Tableau119[[#This Row],[Compte Shipper]],"-",Tableau119[[#This Row],[POL]],"-",Tableau119[[#This Row],[Compte Consignee]])</f>
        <v>26037000-26037000-FALSO-90016800</v>
      </c>
      <c r="D627" s="66" t="str">
        <f>_xlfn.CONCAT(Tableau119[[#This Row],[Compte ILN]],"-",Tableau119[[#This Row],[Compte Shipper]],"-",Tableau119[[#This Row],[POL]])</f>
        <v>26037000-26037000-FALSO</v>
      </c>
      <c r="E627" s="130" t="str">
        <f>_xlfn.CONCAT(Tableau119[[#This Row],[POL]],"-",Tableau119[[#This Row],[Carrier]],"-",Tableau119[[#This Row],[POD]])</f>
        <v>FALSO-FALSO-FALSO</v>
      </c>
      <c r="F627" s="66" t="str">
        <f>_xlfn.CONCAT(Tableau119[[#This Row],[ID]],"-","Actif")</f>
        <v>241-Actif</v>
      </c>
      <c r="G627" s="66" t="str">
        <f>_xlfn.CONCAT(Tableau119[[#This Row],[POD]],"-",Tableau119[[#This Row],[Code PFI]],"-",Tableau119[[#This Row],[Compte Consignee]])</f>
        <v>FALSO---90016800</v>
      </c>
      <c r="H6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ShanghaiFALSODACIA MONT</v>
      </c>
      <c r="I627" s="434" t="str">
        <f>_xlfn.CONCAT(Tableau119[[#This Row],[ID]],"-",Tableau119[[#This Row],[Expiration Date]])</f>
        <v>241-45475</v>
      </c>
      <c r="J6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MONT-KWE Shanghai-KWE Shanghai-241-FALSO-FALSO-FALSO--45475</v>
      </c>
      <c r="K627" s="119" t="str">
        <f ca="1">IF(COUNTIF(J:J,Tableau119[[#This Row],[Plant-ILN-shipper-POL-Carrier-POD-PFI]])=1,"Non","Oui")</f>
        <v>Non</v>
      </c>
      <c r="L627" s="128" t="str">
        <f>VLOOKUP(Tableau119[[#This Row],[Name Site]],Plant_AILN!A:D,4,FALSE)</f>
        <v>ROMANIA</v>
      </c>
      <c r="M627" s="411" t="s">
        <v>185</v>
      </c>
      <c r="N627" s="454">
        <f>VLOOKUP(Tableau119[[#This Row],[Name Site]],Plant_AILN!A:C,3,FALSE)</f>
        <v>90016800</v>
      </c>
      <c r="O627" s="55">
        <f>VLOOKUP(Tableau119[[#This Row],[Compte Consignee]],Order!C:D,2,FALSE)</f>
        <v>7</v>
      </c>
      <c r="P627" s="124" t="s">
        <v>62</v>
      </c>
      <c r="Q627" s="365">
        <f>VLOOKUP(Tableau119[[#This Row],[Name ILN]],Plant_AILN!F:G,2,FALSE)</f>
        <v>26037000</v>
      </c>
      <c r="R627" s="50">
        <f>VLOOKUP(Tableau119[[#This Row],[Compte ILN]],'DATA ILN'!D:I,6,FALSE)</f>
        <v>9</v>
      </c>
      <c r="S627" s="50" t="e">
        <f>IFERROR(VLOOKUP(Tableau119[[#This Row],[Key(Compte ILN - shipper - POL - plant)]],'DATA ILN'!A:J,10,FALSE),VLOOKUP(Tableau119[[#This Row],[Key(Compte ILN - shipper - POL)]],'DATA ILN'!B:J,9,FALSE))</f>
        <v>#N/A</v>
      </c>
      <c r="T627" s="50" t="e">
        <f>IFERROR(VLOOKUP(Tableau119[[#This Row],[Key(Compte ILN - shipper - POL - plant)]],'DATA ILN'!A:K,11,FALSE),VLOOKUP(Tableau119[[#This Row],[Key(Compte ILN - shipper - POL)]],'DATA ILN'!B:K,10,FALSE))</f>
        <v>#N/A</v>
      </c>
      <c r="U627" s="50" t="e">
        <f>IFERROR(VLOOKUP(Tableau119[[#This Row],[Key(Compte ILN - shipper - POL - plant)]],'DATA ILN'!A:L,12,FALSE),VLOOKUP(Tableau119[[#This Row],[Key(Compte ILN - shipper - POL)]],'DATA ILN'!B:L,11,FALSE))</f>
        <v>#N/A</v>
      </c>
      <c r="V627" s="50" t="e">
        <f>Tableau119[[#This Row],[Day ILN Order]]+Tableau119[[#This Row],[Delivery time to ILN/Shipper]]-1</f>
        <v>#N/A</v>
      </c>
      <c r="W627" s="50" t="e">
        <f>IFERROR(VLOOKUP(Tableau119[[#This Row],[Key(Compte ILN - shipper - POL - plant)]],'DATA ILN'!A:N,14,FALSE),VLOOKUP(Tableau119[[#This Row],[Key(Compte ILN - shipper - POL)]],'DATA ILN'!B:N,13,FALSE))</f>
        <v>#N/A</v>
      </c>
      <c r="X627" s="50" t="e">
        <f>IFERROR(VLOOKUP(Tableau119[[#This Row],[Key(Compte ILN - shipper - POL - plant)]],'DATA ILN'!A:P,16,FALSE),VLOOKUP(Tableau119[[#This Row],[Key(Compte ILN - shipper - POL)]],'DATA ILN'!B:P,15,FALSE))</f>
        <v>#N/A</v>
      </c>
      <c r="Y627" s="284" t="s">
        <v>62</v>
      </c>
      <c r="Z627" s="430">
        <f>IFERROR(VLOOKUP(Tableau119[[#This Row],[Name Shipper]],Plant_AILN!L:M,2,FALSE),0)</f>
        <v>26037000</v>
      </c>
      <c r="AA627" s="406">
        <v>241</v>
      </c>
      <c r="AB627" s="396" t="b">
        <f>_xlfn.XLOOKUP(Tableau119[[#This Row],[Key(ID-date)]],'DATA BTO'!S:S,'DATA BTO'!E:E,FALSE)</f>
        <v>0</v>
      </c>
      <c r="AC627" s="3" t="b">
        <f>_xlfn.XLOOKUP(Tableau119[[#This Row],[Key(ID-date)]],'DATA BTO'!S:S,'DATA BTO'!F:F,FALSE)</f>
        <v>0</v>
      </c>
      <c r="AD627" s="50" t="b">
        <f>_xlfn.XLOOKUP(Tableau119[[#This Row],[Key(ID-date)]],'DATA BTO'!S:S,'DATA BTO'!G:G,FALSE)</f>
        <v>0</v>
      </c>
      <c r="AE627" s="50" t="b">
        <f>_xlfn.XLOOKUP(Tableau119[[#This Row],[Key(ID-date)]],'DATA BTO'!S:S,'DATA BTO'!H:H,FALSE)</f>
        <v>0</v>
      </c>
      <c r="AF627" s="447" t="e">
        <f>IF(Tableau119[[#This Row],[First Day to POL]]&lt;=Tableau119[[#This Row],[Day Cut Off]],Tableau119[[#This Row],[Day ETD]],Tableau119[[#This Row],[Day ETD]]+7)</f>
        <v>#N/A</v>
      </c>
      <c r="AG627" s="50" t="b">
        <f>_xlfn.XLOOKUP(Tableau119[[#This Row],[Key(ID-date)]],'DATA BTO'!S:S,'DATA BTO'!I:I,FALSE)</f>
        <v>0</v>
      </c>
      <c r="AH627" s="3" t="b">
        <f>_xlfn.XLOOKUP(Tableau119[[#This Row],[Key(ID-date)]],'DATA BTO'!S:S,'DATA BTO'!J:J,FALSE)</f>
        <v>0</v>
      </c>
      <c r="AI627" s="3" t="b">
        <f>_xlfn.XLOOKUP(Tableau119[[#This Row],[Key(ID-date)]],'DATA BTO'!S:S,'DATA BTO'!K:K,FALSE)</f>
        <v>0</v>
      </c>
      <c r="AJ627" s="50" t="b">
        <f>_xlfn.XLOOKUP(Tableau119[[#This Row],[Key(ID-date)]],'DATA BTO'!S:S,'DATA BTO'!L:L,FALSE)</f>
        <v>0</v>
      </c>
      <c r="AK627" s="53" t="b">
        <f>_xlfn.XLOOKUP(Tableau119[[#This Row],[Key(ID-date)]],'DATA BTO'!S:S,'DATA BTO'!N:N,FALSE)</f>
        <v>0</v>
      </c>
      <c r="AL627" s="54" t="e">
        <f>VLOOKUP(Tableau119[[#This Row],[Key(POD -PFI- Usine)]],'DATA Consignee'!A:F,6,FALSE)</f>
        <v>#N/A</v>
      </c>
      <c r="AM627" s="127"/>
      <c r="AN627" s="376" t="str">
        <f>IF(Tableau119[[#This Row],[Name PFI/CDD]]="","-",VLOOKUP(Tableau119[[#This Row],[Name PFI/CDD]],Plant_AILN!I:J,2,FALSE))</f>
        <v>-</v>
      </c>
      <c r="AO6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7" s="2" t="e">
        <f>VLOOKUP(Tableau119[[#This Row],[Key(POD -PFI- Usine)]],'DATA Consignee'!A:J,10,FALSE)</f>
        <v>#N/A</v>
      </c>
      <c r="AR627" s="50" t="e">
        <f>VLOOKUP(Tableau119[[#This Row],[Key(POD -PFI- Usine)]],'DATA Consignee'!A:N,14,FALSE)</f>
        <v>#N/A</v>
      </c>
      <c r="AS62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7" s="50">
        <f>Tableau119[[#This Row],[Transit time]]+Tableau119[[#This Row],[Time for security]]+Tableau119[[#This Row],[Time for security2 buffer]]</f>
        <v>0</v>
      </c>
      <c r="AV6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7" s="50" t="e">
        <f>Tableau119[[#This Row],[Leadtime SI2C]]+Tableau119[[#This Row],[First Receipt Days]]-Tableau119[[#This Row],[Day Customer Order]]+1</f>
        <v>#N/A</v>
      </c>
      <c r="AX627" s="119" t="e">
        <f>IF(Tableau119[[#This Row],[Name ILN]]&lt;&gt;"SFK Freight Forwarder",Tableau119[[#This Row],[Cust. Leadtime]],Tableau119[[#This Row],[Leadtime SI2C]])</f>
        <v>#N/A</v>
      </c>
      <c r="AY627" s="51" t="b">
        <f>_xlfn.XLOOKUP(Tableau119[[#This Row],[Key(ID-date)]],'DATA BTO'!S:S,'DATA BTO'!P:P,FALSE)</f>
        <v>0</v>
      </c>
      <c r="AZ627" s="338">
        <v>45475</v>
      </c>
      <c r="BA627" s="50"/>
    </row>
    <row r="628" spans="2:53">
      <c r="B628" s="66" t="str">
        <f>_xlfn.CONCAT(Tableau119[[#This Row],[Name ILN]],"-",Tableau119[[#This Row],[Name Shipper]],"-",Tableau119[[#This Row],[Name Site]])</f>
        <v>ILN VLL-ILN VLL-CORDOBA</v>
      </c>
      <c r="C628" s="66" t="str">
        <f>_xlfn.CONCAT(Tableau119[[#This Row],[Compte ILN]],"-",Tableau119[[#This Row],[Compte Shipper]],"-",Tableau119[[#This Row],[POL]],"-",Tableau119[[#This Row],[Compte Consignee]])</f>
        <v>91018400-91018400-FALSO-90016000</v>
      </c>
      <c r="D628" s="66" t="str">
        <f>_xlfn.CONCAT(Tableau119[[#This Row],[Compte ILN]],"-",Tableau119[[#This Row],[Compte Shipper]],"-",Tableau119[[#This Row],[POL]])</f>
        <v>91018400-91018400-FALSO</v>
      </c>
      <c r="E628" s="130" t="str">
        <f>_xlfn.CONCAT(Tableau119[[#This Row],[POL]],"-",Tableau119[[#This Row],[Carrier]],"-",Tableau119[[#This Row],[POD]])</f>
        <v>FALSO-FALSO-FALSO</v>
      </c>
      <c r="F628" s="66" t="str">
        <f>_xlfn.CONCAT(Tableau119[[#This Row],[ID]],"-","Actif")</f>
        <v>248-Actif</v>
      </c>
      <c r="G628" s="66" t="str">
        <f>_xlfn.CONCAT(Tableau119[[#This Row],[POD]],"-",Tableau119[[#This Row],[Code PFI]],"-",Tableau119[[#This Row],[Compte Consignee]])</f>
        <v>FALSO---90016000</v>
      </c>
      <c r="H6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VLLFALSOCORDOBA</v>
      </c>
      <c r="I628" s="434" t="str">
        <f>_xlfn.CONCAT(Tableau119[[#This Row],[ID]],"-",Tableau119[[#This Row],[Expiration Date]])</f>
        <v>248-46142</v>
      </c>
      <c r="J6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VLL-ILN VLL-248-FALSO-FALSO-FALSO--46142</v>
      </c>
      <c r="K628" s="119" t="str">
        <f ca="1">IF(COUNTIF(J:J,Tableau119[[#This Row],[Plant-ILN-shipper-POL-Carrier-POD-PFI]])=1,"Non","Oui")</f>
        <v>Non</v>
      </c>
      <c r="L628" s="436" t="str">
        <f>VLOOKUP(Tableau119[[#This Row],[Name Site]],Plant_AILN!A:D,4,FALSE)</f>
        <v>ARGENTINA</v>
      </c>
      <c r="M628" s="485" t="s">
        <v>158</v>
      </c>
      <c r="N628" s="455">
        <f>VLOOKUP(Tableau119[[#This Row],[Name Site]],Plant_AILN!A:C,3,FALSE)</f>
        <v>90016000</v>
      </c>
      <c r="O628" s="104">
        <f>IF(Tableau119[[#This Row],[Name PFI/CDD]]="PFI VLL",2,VLOOKUP(Tableau119[[#This Row],[Compte Consignee]],Order!C:D,2,FALSE))</f>
        <v>7</v>
      </c>
      <c r="P628" s="126" t="s">
        <v>151</v>
      </c>
      <c r="Q628" s="366">
        <f>VLOOKUP(Tableau119[[#This Row],[Name ILN]],Plant_AILN!F:G,2,FALSE)</f>
        <v>91018400</v>
      </c>
      <c r="R628" s="81">
        <f>VLOOKUP(Tableau119[[#This Row],[Compte ILN]],'DATA ILN'!D:I,6,FALSE)</f>
        <v>9</v>
      </c>
      <c r="S628" s="81" t="e">
        <f>IFERROR(VLOOKUP(Tableau119[[#This Row],[Key(Compte ILN - shipper - POL - plant)]],'DATA ILN'!A:J,10,FALSE),VLOOKUP(Tableau119[[#This Row],[Key(Compte ILN - shipper - POL)]],'DATA ILN'!B:J,9,FALSE))</f>
        <v>#N/A</v>
      </c>
      <c r="T628" s="81" t="e">
        <f>IFERROR(VLOOKUP(Tableau119[[#This Row],[Key(Compte ILN - shipper - POL - plant)]],'DATA ILN'!A:K,11,FALSE),VLOOKUP(Tableau119[[#This Row],[Key(Compte ILN - shipper - POL)]],'DATA ILN'!B:K,10,FALSE))</f>
        <v>#N/A</v>
      </c>
      <c r="U628" s="81" t="e">
        <f>IFERROR(VLOOKUP(Tableau119[[#This Row],[Key(Compte ILN - shipper - POL - plant)]],'DATA ILN'!A:L,12,FALSE),VLOOKUP(Tableau119[[#This Row],[Key(Compte ILN - shipper - POL)]],'DATA ILN'!B:L,11,FALSE))</f>
        <v>#N/A</v>
      </c>
      <c r="V628" s="81" t="e">
        <f>Tableau119[[#This Row],[Day ILN Order]]+Tableau119[[#This Row],[Delivery time to ILN/Shipper]]-1</f>
        <v>#N/A</v>
      </c>
      <c r="W628" s="81" t="e">
        <f>IFERROR(VLOOKUP(Tableau119[[#This Row],[Key(Compte ILN - shipper - POL - plant)]],'DATA ILN'!A:N,14,FALSE),VLOOKUP(Tableau119[[#This Row],[Key(Compte ILN - shipper - POL)]],'DATA ILN'!B:N,13,FALSE))</f>
        <v>#N/A</v>
      </c>
      <c r="X628" s="81" t="e">
        <f>IFERROR(VLOOKUP(Tableau119[[#This Row],[Key(Compte ILN - shipper - POL - plant)]],'DATA ILN'!A:P,16,FALSE),VLOOKUP(Tableau119[[#This Row],[Key(Compte ILN - shipper - POL)]],'DATA ILN'!B:P,15,FALSE))</f>
        <v>#N/A</v>
      </c>
      <c r="Y628" s="102" t="s">
        <v>151</v>
      </c>
      <c r="Z628" s="417">
        <f>IFERROR(VLOOKUP(Tableau119[[#This Row],[Name Shipper]],Plant_AILN!L:M,2,FALSE),0)</f>
        <v>91018400</v>
      </c>
      <c r="AA628" s="416">
        <v>248</v>
      </c>
      <c r="AB628" s="396" t="b">
        <f>_xlfn.XLOOKUP(Tableau119[[#This Row],[Key(ID-date)]],'DATA BTO'!S:S,'DATA BTO'!E:E,FALSE)</f>
        <v>0</v>
      </c>
      <c r="AC628" s="3" t="b">
        <f>_xlfn.XLOOKUP(Tableau119[[#This Row],[Key(ID-date)]],'DATA BTO'!S:S,'DATA BTO'!F:F,FALSE)</f>
        <v>0</v>
      </c>
      <c r="AD628" s="50" t="b">
        <f>_xlfn.XLOOKUP(Tableau119[[#This Row],[Key(ID-date)]],'DATA BTO'!S:S,'DATA BTO'!G:G,FALSE)</f>
        <v>0</v>
      </c>
      <c r="AE628" s="50" t="b">
        <f>_xlfn.XLOOKUP(Tableau119[[#This Row],[Key(ID-date)]],'DATA BTO'!S:S,'DATA BTO'!H:H,FALSE)</f>
        <v>0</v>
      </c>
      <c r="AF628" s="447" t="e">
        <f>IF(Tableau119[[#This Row],[First Day to POL]]&lt;=Tableau119[[#This Row],[Day Cut Off]],Tableau119[[#This Row],[Day ETD]],Tableau119[[#This Row],[Day ETD]]+7)</f>
        <v>#N/A</v>
      </c>
      <c r="AG628" s="50" t="b">
        <f>_xlfn.XLOOKUP(Tableau119[[#This Row],[Key(ID-date)]],'DATA BTO'!S:S,'DATA BTO'!I:I,FALSE)</f>
        <v>0</v>
      </c>
      <c r="AH628" s="3" t="b">
        <f>_xlfn.XLOOKUP(Tableau119[[#This Row],[Key(ID-date)]],'DATA BTO'!S:S,'DATA BTO'!J:J,FALSE)</f>
        <v>0</v>
      </c>
      <c r="AI628" s="3" t="b">
        <f>_xlfn.XLOOKUP(Tableau119[[#This Row],[Key(ID-date)]],'DATA BTO'!S:S,'DATA BTO'!K:K,FALSE)</f>
        <v>0</v>
      </c>
      <c r="AJ628" s="50" t="b">
        <f>_xlfn.XLOOKUP(Tableau119[[#This Row],[Key(ID-date)]],'DATA BTO'!S:S,'DATA BTO'!L:L,FALSE)</f>
        <v>0</v>
      </c>
      <c r="AK628" s="53" t="b">
        <f>_xlfn.XLOOKUP(Tableau119[[#This Row],[Key(ID-date)]],'DATA BTO'!S:S,'DATA BTO'!N:N,FALSE)</f>
        <v>0</v>
      </c>
      <c r="AL628" s="54" t="e">
        <f>VLOOKUP(Tableau119[[#This Row],[Key(POD -PFI- Usine)]],'DATA Consignee'!A:F,6,FALSE)</f>
        <v>#N/A</v>
      </c>
      <c r="AM628" s="127"/>
      <c r="AN628" s="375" t="str">
        <f>IF(Tableau119[[#This Row],[Name PFI/CDD]]="","-",VLOOKUP(Tableau119[[#This Row],[Name PFI/CDD]],Plant_AILN!I:J,2,FALSE))</f>
        <v>-</v>
      </c>
      <c r="AO62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8" s="110" t="e">
        <f>VLOOKUP(Tableau119[[#This Row],[Key(POD -PFI- Usine)]],'DATA Consignee'!A:J,10,FALSE)</f>
        <v>#N/A</v>
      </c>
      <c r="AR628" s="81" t="e">
        <f>VLOOKUP(Tableau119[[#This Row],[Key(POD -PFI- Usine)]],'DATA Consignee'!A:N,14,FALSE)</f>
        <v>#N/A</v>
      </c>
      <c r="AS62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8" s="81">
        <f>Tableau119[[#This Row],[Transit time]]+Tableau119[[#This Row],[Time for security]]+Tableau119[[#This Row],[Time for security2 buffer]]</f>
        <v>0</v>
      </c>
      <c r="AV6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8" s="50" t="e">
        <f>Tableau119[[#This Row],[Leadtime SI2C]]+Tableau119[[#This Row],[First Receipt Days]]-Tableau119[[#This Row],[Day Customer Order]]+1</f>
        <v>#N/A</v>
      </c>
      <c r="AX628" s="119" t="e">
        <f>IF(Tableau119[[#This Row],[Name ILN]]&lt;&gt;"SFK Freight Forwarder",Tableau119[[#This Row],[Cust. Leadtime]],Tableau119[[#This Row],[Leadtime SI2C]])</f>
        <v>#N/A</v>
      </c>
      <c r="AY628" s="51" t="b">
        <f>_xlfn.XLOOKUP(Tableau119[[#This Row],[Key(ID-date)]],'DATA BTO'!S:S,'DATA BTO'!P:P,FALSE)</f>
        <v>0</v>
      </c>
      <c r="AZ628" s="388">
        <v>46142</v>
      </c>
      <c r="BA628" s="81"/>
    </row>
    <row r="629" spans="2:53">
      <c r="B629" s="446" t="str">
        <f>_xlfn.CONCAT(Tableau119[[#This Row],[Name ILN]],"-",Tableau119[[#This Row],[Name Shipper]],"-",Tableau119[[#This Row],[Name Site]])</f>
        <v>ILN VLL-ILN VLL-CORDOBA</v>
      </c>
      <c r="C629" s="66" t="str">
        <f>_xlfn.CONCAT(Tableau119[[#This Row],[Compte ILN]],"-",Tableau119[[#This Row],[Compte Shipper]],"-",Tableau119[[#This Row],[POL]],"-",Tableau119[[#This Row],[Compte Consignee]])</f>
        <v>91018400-91018400-FALSO-90016000</v>
      </c>
      <c r="D629" s="66" t="str">
        <f>_xlfn.CONCAT(Tableau119[[#This Row],[Compte ILN]],"-",Tableau119[[#This Row],[Compte Shipper]],"-",Tableau119[[#This Row],[POL]])</f>
        <v>91018400-91018400-FALSO</v>
      </c>
      <c r="E629" s="130" t="str">
        <f>_xlfn.CONCAT(Tableau119[[#This Row],[POL]],"-",Tableau119[[#This Row],[Carrier]],"-",Tableau119[[#This Row],[POD]])</f>
        <v>FALSO-FALSO-FALSO</v>
      </c>
      <c r="F629" s="66" t="str">
        <f>_xlfn.CONCAT(Tableau119[[#This Row],[ID]],"-","Actif")</f>
        <v>248-Actif</v>
      </c>
      <c r="G629" s="66" t="str">
        <f>_xlfn.CONCAT(Tableau119[[#This Row],[POD]],"-",Tableau119[[#This Row],[Code PFI]],"-",Tableau119[[#This Row],[Compte Consignee]])</f>
        <v>FALSO---90016000</v>
      </c>
      <c r="H6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VLLFALSOCORDOBA</v>
      </c>
      <c r="I629" s="434" t="str">
        <f>_xlfn.CONCAT(Tableau119[[#This Row],[ID]],"-",Tableau119[[#This Row],[Expiration Date]])</f>
        <v>248-45899</v>
      </c>
      <c r="J6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VLL-ILN VLL-248-FALSO-FALSO-FALSO--45899</v>
      </c>
      <c r="K629" s="119" t="str">
        <f ca="1">IF(COUNTIF(J:J,Tableau119[[#This Row],[Plant-ILN-shipper-POL-Carrier-POD-PFI]])=1,"Non","Oui")</f>
        <v>Non</v>
      </c>
      <c r="L629" s="128" t="str">
        <f>VLOOKUP(Tableau119[[#This Row],[Name Site]],Plant_AILN!A:D,4,FALSE)</f>
        <v>ARGENTINA</v>
      </c>
      <c r="M629" s="411" t="s">
        <v>158</v>
      </c>
      <c r="N629" s="454">
        <f>VLOOKUP(Tableau119[[#This Row],[Name Site]],Plant_AILN!A:C,3,FALSE)</f>
        <v>90016000</v>
      </c>
      <c r="O629" s="55">
        <f>VLOOKUP(Tableau119[[#This Row],[Compte Consignee]],Order!C:D,2,FALSE)</f>
        <v>7</v>
      </c>
      <c r="P629" s="124" t="s">
        <v>151</v>
      </c>
      <c r="Q629" s="365">
        <f>VLOOKUP(Tableau119[[#This Row],[Name ILN]],Plant_AILN!F:G,2,FALSE)</f>
        <v>91018400</v>
      </c>
      <c r="R629" s="50">
        <f>VLOOKUP(Tableau119[[#This Row],[Compte ILN]],'DATA ILN'!D:I,6,FALSE)</f>
        <v>9</v>
      </c>
      <c r="S629" s="50" t="e">
        <f>IFERROR(VLOOKUP(Tableau119[[#This Row],[Key(Compte ILN - shipper - POL - plant)]],'DATA ILN'!A:J,10,FALSE),VLOOKUP(Tableau119[[#This Row],[Key(Compte ILN - shipper - POL)]],'DATA ILN'!B:J,9,FALSE))</f>
        <v>#N/A</v>
      </c>
      <c r="T629" s="50" t="e">
        <f>IFERROR(VLOOKUP(Tableau119[[#This Row],[Key(Compte ILN - shipper - POL - plant)]],'DATA ILN'!A:K,11,FALSE),VLOOKUP(Tableau119[[#This Row],[Key(Compte ILN - shipper - POL)]],'DATA ILN'!B:K,10,FALSE))</f>
        <v>#N/A</v>
      </c>
      <c r="U629" s="50" t="e">
        <f>IFERROR(VLOOKUP(Tableau119[[#This Row],[Key(Compte ILN - shipper - POL - plant)]],'DATA ILN'!A:L,12,FALSE),VLOOKUP(Tableau119[[#This Row],[Key(Compte ILN - shipper - POL)]],'DATA ILN'!B:L,11,FALSE))</f>
        <v>#N/A</v>
      </c>
      <c r="V629" s="50" t="e">
        <f>Tableau119[[#This Row],[Day ILN Order]]+Tableau119[[#This Row],[Delivery time to ILN/Shipper]]-1</f>
        <v>#N/A</v>
      </c>
      <c r="W629" s="50" t="e">
        <f>IFERROR(VLOOKUP(Tableau119[[#This Row],[Key(Compte ILN - shipper - POL - plant)]],'DATA ILN'!A:N,14,FALSE),VLOOKUP(Tableau119[[#This Row],[Key(Compte ILN - shipper - POL)]],'DATA ILN'!B:N,13,FALSE))</f>
        <v>#N/A</v>
      </c>
      <c r="X629" s="50" t="e">
        <f>IFERROR(VLOOKUP(Tableau119[[#This Row],[Key(Compte ILN - shipper - POL - plant)]],'DATA ILN'!A:P,16,FALSE),VLOOKUP(Tableau119[[#This Row],[Key(Compte ILN - shipper - POL)]],'DATA ILN'!B:P,15,FALSE))</f>
        <v>#N/A</v>
      </c>
      <c r="Y629" s="284" t="s">
        <v>151</v>
      </c>
      <c r="Z629" s="430">
        <f>IFERROR(VLOOKUP(Tableau119[[#This Row],[Name Shipper]],Plant_AILN!L:M,2,FALSE),0)</f>
        <v>91018400</v>
      </c>
      <c r="AA629" s="406">
        <v>248</v>
      </c>
      <c r="AB629" s="396" t="b">
        <f>_xlfn.XLOOKUP(Tableau119[[#This Row],[Key(ID-date)]],'DATA BTO'!S:S,'DATA BTO'!E:E,FALSE)</f>
        <v>0</v>
      </c>
      <c r="AC629" s="3" t="b">
        <f>_xlfn.XLOOKUP(Tableau119[[#This Row],[Key(ID-date)]],'DATA BTO'!S:S,'DATA BTO'!F:F,FALSE)</f>
        <v>0</v>
      </c>
      <c r="AD629" s="50" t="b">
        <f>_xlfn.XLOOKUP(Tableau119[[#This Row],[Key(ID-date)]],'DATA BTO'!S:S,'DATA BTO'!G:G,FALSE)</f>
        <v>0</v>
      </c>
      <c r="AE629" s="50" t="b">
        <f>_xlfn.XLOOKUP(Tableau119[[#This Row],[Key(ID-date)]],'DATA BTO'!S:S,'DATA BTO'!H:H,FALSE)</f>
        <v>0</v>
      </c>
      <c r="AF629" s="447" t="e">
        <f>IF(Tableau119[[#This Row],[First Day to POL]]&lt;=Tableau119[[#This Row],[Day Cut Off]],Tableau119[[#This Row],[Day ETD]],Tableau119[[#This Row],[Day ETD]]+7)</f>
        <v>#N/A</v>
      </c>
      <c r="AG629" s="50" t="b">
        <f>_xlfn.XLOOKUP(Tableau119[[#This Row],[Key(ID-date)]],'DATA BTO'!S:S,'DATA BTO'!I:I,FALSE)</f>
        <v>0</v>
      </c>
      <c r="AH629" s="3" t="b">
        <f>_xlfn.XLOOKUP(Tableau119[[#This Row],[Key(ID-date)]],'DATA BTO'!S:S,'DATA BTO'!J:J,FALSE)</f>
        <v>0</v>
      </c>
      <c r="AI629" s="3" t="b">
        <f>_xlfn.XLOOKUP(Tableau119[[#This Row],[Key(ID-date)]],'DATA BTO'!S:S,'DATA BTO'!K:K,FALSE)</f>
        <v>0</v>
      </c>
      <c r="AJ629" s="50" t="b">
        <f>_xlfn.XLOOKUP(Tableau119[[#This Row],[Key(ID-date)]],'DATA BTO'!S:S,'DATA BTO'!L:L,FALSE)</f>
        <v>0</v>
      </c>
      <c r="AK629" s="53" t="b">
        <f>_xlfn.XLOOKUP(Tableau119[[#This Row],[Key(ID-date)]],'DATA BTO'!S:S,'DATA BTO'!N:N,FALSE)</f>
        <v>0</v>
      </c>
      <c r="AL629" s="54" t="e">
        <f>VLOOKUP(Tableau119[[#This Row],[Key(POD -PFI- Usine)]],'DATA Consignee'!A:F,6,FALSE)</f>
        <v>#N/A</v>
      </c>
      <c r="AM629" s="127"/>
      <c r="AN629" s="376" t="str">
        <f>IF(Tableau119[[#This Row],[Name PFI/CDD]]="","-",VLOOKUP(Tableau119[[#This Row],[Name PFI/CDD]],Plant_AILN!I:J,2,FALSE))</f>
        <v>-</v>
      </c>
      <c r="AO6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29" s="2" t="e">
        <f>VLOOKUP(Tableau119[[#This Row],[Key(POD -PFI- Usine)]],'DATA Consignee'!A:J,10,FALSE)</f>
        <v>#N/A</v>
      </c>
      <c r="AR629" s="50" t="e">
        <f>VLOOKUP(Tableau119[[#This Row],[Key(POD -PFI- Usine)]],'DATA Consignee'!A:N,14,FALSE)</f>
        <v>#N/A</v>
      </c>
      <c r="AS6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29" s="50">
        <f>Tableau119[[#This Row],[Transit time]]+Tableau119[[#This Row],[Time for security]]+Tableau119[[#This Row],[Time for security2 buffer]]</f>
        <v>0</v>
      </c>
      <c r="AV6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29" s="50" t="e">
        <f>Tableau119[[#This Row],[Leadtime SI2C]]+Tableau119[[#This Row],[First Receipt Days]]-Tableau119[[#This Row],[Day Customer Order]]+1</f>
        <v>#N/A</v>
      </c>
      <c r="AX629" s="119" t="e">
        <f>IF(Tableau119[[#This Row],[Name ILN]]&lt;&gt;"SFK Freight Forwarder",Tableau119[[#This Row],[Cust. Leadtime]],Tableau119[[#This Row],[Leadtime SI2C]])</f>
        <v>#N/A</v>
      </c>
      <c r="AY629" s="51" t="b">
        <f>_xlfn.XLOOKUP(Tableau119[[#This Row],[Key(ID-date)]],'DATA BTO'!S:S,'DATA BTO'!P:P,FALSE)</f>
        <v>0</v>
      </c>
      <c r="AZ629" s="338">
        <v>45899</v>
      </c>
      <c r="BA629" s="50"/>
    </row>
    <row r="630" spans="2:53">
      <c r="B630" s="446" t="str">
        <f>_xlfn.CONCAT(Tableau119[[#This Row],[Name ILN]],"-",Tableau119[[#This Row],[Name Shipper]],"-",Tableau119[[#This Row],[Name Site]])</f>
        <v>ILN VLL-ILN VLL-CORDOBA</v>
      </c>
      <c r="C630" s="66" t="str">
        <f>_xlfn.CONCAT(Tableau119[[#This Row],[Compte ILN]],"-",Tableau119[[#This Row],[Compte Shipper]],"-",Tableau119[[#This Row],[POL]],"-",Tableau119[[#This Row],[Compte Consignee]])</f>
        <v>91018400-91018400-FALSO-90016000</v>
      </c>
      <c r="D630" s="66" t="str">
        <f>_xlfn.CONCAT(Tableau119[[#This Row],[Compte ILN]],"-",Tableau119[[#This Row],[Compte Shipper]],"-",Tableau119[[#This Row],[POL]])</f>
        <v>91018400-91018400-FALSO</v>
      </c>
      <c r="E630" s="130" t="str">
        <f>_xlfn.CONCAT(Tableau119[[#This Row],[POL]],"-",Tableau119[[#This Row],[Carrier]],"-",Tableau119[[#This Row],[POD]])</f>
        <v>FALSO-FALSO-FALSO</v>
      </c>
      <c r="F630" s="66" t="str">
        <f>_xlfn.CONCAT(Tableau119[[#This Row],[ID]],"-","Actif")</f>
        <v>248-Actif</v>
      </c>
      <c r="G630" s="66" t="str">
        <f>_xlfn.CONCAT(Tableau119[[#This Row],[POD]],"-",Tableau119[[#This Row],[Code PFI]],"-",Tableau119[[#This Row],[Compte Consignee]])</f>
        <v>FALSO---90016000</v>
      </c>
      <c r="H6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VLLFALSOCORDOBA</v>
      </c>
      <c r="I630" s="434" t="str">
        <f>_xlfn.CONCAT(Tableau119[[#This Row],[ID]],"-",Tableau119[[#This Row],[Expiration Date]])</f>
        <v>248-45473</v>
      </c>
      <c r="J6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VLL-ILN VLL-248-FALSO-FALSO-FALSO--45473</v>
      </c>
      <c r="K630" s="119" t="str">
        <f ca="1">IF(COUNTIF(J:J,Tableau119[[#This Row],[Plant-ILN-shipper-POL-Carrier-POD-PFI]])=1,"Non","Oui")</f>
        <v>Non</v>
      </c>
      <c r="L630" s="128" t="str">
        <f>VLOOKUP(Tableau119[[#This Row],[Name Site]],Plant_AILN!A:D,4,FALSE)</f>
        <v>ARGENTINA</v>
      </c>
      <c r="M630" s="411" t="s">
        <v>158</v>
      </c>
      <c r="N630" s="454">
        <f>VLOOKUP(Tableau119[[#This Row],[Name Site]],Plant_AILN!A:C,3,FALSE)</f>
        <v>90016000</v>
      </c>
      <c r="O630" s="55">
        <f>VLOOKUP(Tableau119[[#This Row],[Compte Consignee]],Order!C:D,2,FALSE)</f>
        <v>7</v>
      </c>
      <c r="P630" s="124" t="s">
        <v>151</v>
      </c>
      <c r="Q630" s="365">
        <f>VLOOKUP(Tableau119[[#This Row],[Name ILN]],Plant_AILN!F:G,2,FALSE)</f>
        <v>91018400</v>
      </c>
      <c r="R630" s="50">
        <f>VLOOKUP(Tableau119[[#This Row],[Compte ILN]],'DATA ILN'!D:I,6,FALSE)</f>
        <v>9</v>
      </c>
      <c r="S630" s="50" t="e">
        <f>IFERROR(VLOOKUP(Tableau119[[#This Row],[Key(Compte ILN - shipper - POL - plant)]],'DATA ILN'!A:J,10,FALSE),VLOOKUP(Tableau119[[#This Row],[Key(Compte ILN - shipper - POL)]],'DATA ILN'!B:J,9,FALSE))</f>
        <v>#N/A</v>
      </c>
      <c r="T630" s="50" t="e">
        <f>IFERROR(VLOOKUP(Tableau119[[#This Row],[Key(Compte ILN - shipper - POL - plant)]],'DATA ILN'!A:K,11,FALSE),VLOOKUP(Tableau119[[#This Row],[Key(Compte ILN - shipper - POL)]],'DATA ILN'!B:K,10,FALSE))</f>
        <v>#N/A</v>
      </c>
      <c r="U630" s="50" t="e">
        <f>IFERROR(VLOOKUP(Tableau119[[#This Row],[Key(Compte ILN - shipper - POL - plant)]],'DATA ILN'!A:L,12,FALSE),VLOOKUP(Tableau119[[#This Row],[Key(Compte ILN - shipper - POL)]],'DATA ILN'!B:L,11,FALSE))</f>
        <v>#N/A</v>
      </c>
      <c r="V630" s="50" t="e">
        <f>Tableau119[[#This Row],[Day ILN Order]]+Tableau119[[#This Row],[Delivery time to ILN/Shipper]]-1</f>
        <v>#N/A</v>
      </c>
      <c r="W630" s="50" t="e">
        <f>IFERROR(VLOOKUP(Tableau119[[#This Row],[Key(Compte ILN - shipper - POL - plant)]],'DATA ILN'!A:N,14,FALSE),VLOOKUP(Tableau119[[#This Row],[Key(Compte ILN - shipper - POL)]],'DATA ILN'!B:N,13,FALSE))</f>
        <v>#N/A</v>
      </c>
      <c r="X630" s="50" t="e">
        <f>IFERROR(VLOOKUP(Tableau119[[#This Row],[Key(Compte ILN - shipper - POL - plant)]],'DATA ILN'!A:P,16,FALSE),VLOOKUP(Tableau119[[#This Row],[Key(Compte ILN - shipper - POL)]],'DATA ILN'!B:P,15,FALSE))</f>
        <v>#N/A</v>
      </c>
      <c r="Y630" s="284" t="s">
        <v>151</v>
      </c>
      <c r="Z630" s="430">
        <f>IFERROR(VLOOKUP(Tableau119[[#This Row],[Name Shipper]],Plant_AILN!L:M,2,FALSE),0)</f>
        <v>91018400</v>
      </c>
      <c r="AA630" s="406">
        <v>248</v>
      </c>
      <c r="AB630" s="396" t="b">
        <f>_xlfn.XLOOKUP(Tableau119[[#This Row],[Key(ID-date)]],'DATA BTO'!S:S,'DATA BTO'!E:E,FALSE)</f>
        <v>0</v>
      </c>
      <c r="AC630" s="3" t="b">
        <f>_xlfn.XLOOKUP(Tableau119[[#This Row],[Key(ID-date)]],'DATA BTO'!S:S,'DATA BTO'!F:F,FALSE)</f>
        <v>0</v>
      </c>
      <c r="AD630" s="50" t="b">
        <f>_xlfn.XLOOKUP(Tableau119[[#This Row],[Key(ID-date)]],'DATA BTO'!S:S,'DATA BTO'!G:G,FALSE)</f>
        <v>0</v>
      </c>
      <c r="AE630" s="50" t="b">
        <f>_xlfn.XLOOKUP(Tableau119[[#This Row],[Key(ID-date)]],'DATA BTO'!S:S,'DATA BTO'!H:H,FALSE)</f>
        <v>0</v>
      </c>
      <c r="AF630" s="447" t="e">
        <f>IF(Tableau119[[#This Row],[First Day to POL]]&lt;=Tableau119[[#This Row],[Day Cut Off]],Tableau119[[#This Row],[Day ETD]],Tableau119[[#This Row],[Day ETD]]+7)</f>
        <v>#N/A</v>
      </c>
      <c r="AG630" s="50" t="b">
        <f>_xlfn.XLOOKUP(Tableau119[[#This Row],[Key(ID-date)]],'DATA BTO'!S:S,'DATA BTO'!I:I,FALSE)</f>
        <v>0</v>
      </c>
      <c r="AH630" s="3" t="b">
        <f>_xlfn.XLOOKUP(Tableau119[[#This Row],[Key(ID-date)]],'DATA BTO'!S:S,'DATA BTO'!J:J,FALSE)</f>
        <v>0</v>
      </c>
      <c r="AI630" s="3" t="b">
        <f>_xlfn.XLOOKUP(Tableau119[[#This Row],[Key(ID-date)]],'DATA BTO'!S:S,'DATA BTO'!K:K,FALSE)</f>
        <v>0</v>
      </c>
      <c r="AJ630" s="50" t="b">
        <f>_xlfn.XLOOKUP(Tableau119[[#This Row],[Key(ID-date)]],'DATA BTO'!S:S,'DATA BTO'!L:L,FALSE)</f>
        <v>0</v>
      </c>
      <c r="AK630" s="53" t="b">
        <f>_xlfn.XLOOKUP(Tableau119[[#This Row],[Key(ID-date)]],'DATA BTO'!S:S,'DATA BTO'!N:N,FALSE)</f>
        <v>0</v>
      </c>
      <c r="AL630" s="54" t="e">
        <f>VLOOKUP(Tableau119[[#This Row],[Key(POD -PFI- Usine)]],'DATA Consignee'!A:F,6,FALSE)</f>
        <v>#N/A</v>
      </c>
      <c r="AM630" s="127"/>
      <c r="AN630" s="376" t="str">
        <f>IF(Tableau119[[#This Row],[Name PFI/CDD]]="","-",VLOOKUP(Tableau119[[#This Row],[Name PFI/CDD]],Plant_AILN!I:J,2,FALSE))</f>
        <v>-</v>
      </c>
      <c r="AO6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0" s="2" t="e">
        <f>VLOOKUP(Tableau119[[#This Row],[Key(POD -PFI- Usine)]],'DATA Consignee'!A:J,10,FALSE)</f>
        <v>#N/A</v>
      </c>
      <c r="AR630" s="50" t="e">
        <f>VLOOKUP(Tableau119[[#This Row],[Key(POD -PFI- Usine)]],'DATA Consignee'!A:N,14,FALSE)</f>
        <v>#N/A</v>
      </c>
      <c r="AS6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0" s="50">
        <f>Tableau119[[#This Row],[Transit time]]+Tableau119[[#This Row],[Time for security]]+Tableau119[[#This Row],[Time for security2 buffer]]</f>
        <v>0</v>
      </c>
      <c r="AV6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0" s="50" t="e">
        <f>Tableau119[[#This Row],[Leadtime SI2C]]+Tableau119[[#This Row],[First Receipt Days]]-Tableau119[[#This Row],[Day Customer Order]]+1</f>
        <v>#N/A</v>
      </c>
      <c r="AX630" s="119" t="e">
        <f>IF(Tableau119[[#This Row],[Name ILN]]&lt;&gt;"SFK Freight Forwarder",Tableau119[[#This Row],[Cust. Leadtime]],Tableau119[[#This Row],[Leadtime SI2C]])</f>
        <v>#N/A</v>
      </c>
      <c r="AY630" s="51" t="b">
        <f>_xlfn.XLOOKUP(Tableau119[[#This Row],[Key(ID-date)]],'DATA BTO'!S:S,'DATA BTO'!P:P,FALSE)</f>
        <v>0</v>
      </c>
      <c r="AZ630" s="338">
        <v>45473</v>
      </c>
      <c r="BA630" s="50"/>
    </row>
    <row r="631" spans="2:53">
      <c r="B631" s="446" t="str">
        <f>_xlfn.CONCAT(Tableau119[[#This Row],[Name ILN]],"-",Tableau119[[#This Row],[Name Shipper]],"-",Tableau119[[#This Row],[Name Site]])</f>
        <v>ILN VLL-ILN VLL-CORDOBA</v>
      </c>
      <c r="C631" s="66" t="str">
        <f>_xlfn.CONCAT(Tableau119[[#This Row],[Compte ILN]],"-",Tableau119[[#This Row],[Compte Shipper]],"-",Tableau119[[#This Row],[POL]],"-",Tableau119[[#This Row],[Compte Consignee]])</f>
        <v>91018400-91018400-FALSO-90016000</v>
      </c>
      <c r="D631" s="66" t="str">
        <f>_xlfn.CONCAT(Tableau119[[#This Row],[Compte ILN]],"-",Tableau119[[#This Row],[Compte Shipper]],"-",Tableau119[[#This Row],[POL]])</f>
        <v>91018400-91018400-FALSO</v>
      </c>
      <c r="E631" s="130" t="str">
        <f>_xlfn.CONCAT(Tableau119[[#This Row],[POL]],"-",Tableau119[[#This Row],[Carrier]],"-",Tableau119[[#This Row],[POD]])</f>
        <v>FALSO-FALSO-FALSO</v>
      </c>
      <c r="F631" s="66" t="str">
        <f>_xlfn.CONCAT(Tableau119[[#This Row],[ID]],"-","Actif")</f>
        <v>248-Actif</v>
      </c>
      <c r="G631" s="66" t="str">
        <f>_xlfn.CONCAT(Tableau119[[#This Row],[POD]],"-",Tableau119[[#This Row],[Code PFI]],"-",Tableau119[[#This Row],[Compte Consignee]])</f>
        <v>FALSO---90016000</v>
      </c>
      <c r="H6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VLLFALSOCORDOBA</v>
      </c>
      <c r="I631" s="434" t="str">
        <f>_xlfn.CONCAT(Tableau119[[#This Row],[ID]],"-",Tableau119[[#This Row],[Expiration Date]])</f>
        <v>248-45443</v>
      </c>
      <c r="J6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VLL-ILN VLL-248-FALSO-FALSO-FALSO--45443</v>
      </c>
      <c r="K631" s="119" t="str">
        <f ca="1">IF(COUNTIF(J:J,Tableau119[[#This Row],[Plant-ILN-shipper-POL-Carrier-POD-PFI]])=1,"Non","Oui")</f>
        <v>Non</v>
      </c>
      <c r="L631" s="128" t="str">
        <f>VLOOKUP(Tableau119[[#This Row],[Name Site]],Plant_AILN!A:D,4,FALSE)</f>
        <v>ARGENTINA</v>
      </c>
      <c r="M631" s="411" t="s">
        <v>158</v>
      </c>
      <c r="N631" s="454">
        <f>VLOOKUP(Tableau119[[#This Row],[Name Site]],Plant_AILN!A:C,3,FALSE)</f>
        <v>90016000</v>
      </c>
      <c r="O631" s="55">
        <f>VLOOKUP(Tableau119[[#This Row],[Compte Consignee]],Order!C:D,2,FALSE)</f>
        <v>7</v>
      </c>
      <c r="P631" s="124" t="s">
        <v>151</v>
      </c>
      <c r="Q631" s="365">
        <f>VLOOKUP(Tableau119[[#This Row],[Name ILN]],Plant_AILN!F:G,2,FALSE)</f>
        <v>91018400</v>
      </c>
      <c r="R631" s="50">
        <f>VLOOKUP(Tableau119[[#This Row],[Compte ILN]],'DATA ILN'!D:I,6,FALSE)</f>
        <v>9</v>
      </c>
      <c r="S631" s="50" t="e">
        <f>IFERROR(VLOOKUP(Tableau119[[#This Row],[Key(Compte ILN - shipper - POL - plant)]],'DATA ILN'!A:J,10,FALSE),VLOOKUP(Tableau119[[#This Row],[Key(Compte ILN - shipper - POL)]],'DATA ILN'!B:J,9,FALSE))</f>
        <v>#N/A</v>
      </c>
      <c r="T631" s="50" t="e">
        <f>IFERROR(VLOOKUP(Tableau119[[#This Row],[Key(Compte ILN - shipper - POL - plant)]],'DATA ILN'!A:K,11,FALSE),VLOOKUP(Tableau119[[#This Row],[Key(Compte ILN - shipper - POL)]],'DATA ILN'!B:K,10,FALSE))</f>
        <v>#N/A</v>
      </c>
      <c r="U631" s="50" t="e">
        <f>IFERROR(VLOOKUP(Tableau119[[#This Row],[Key(Compte ILN - shipper - POL - plant)]],'DATA ILN'!A:L,12,FALSE),VLOOKUP(Tableau119[[#This Row],[Key(Compte ILN - shipper - POL)]],'DATA ILN'!B:L,11,FALSE))</f>
        <v>#N/A</v>
      </c>
      <c r="V631" s="50" t="e">
        <f>Tableau119[[#This Row],[Day ILN Order]]+Tableau119[[#This Row],[Delivery time to ILN/Shipper]]-1</f>
        <v>#N/A</v>
      </c>
      <c r="W631" s="50" t="e">
        <f>IFERROR(VLOOKUP(Tableau119[[#This Row],[Key(Compte ILN - shipper - POL - plant)]],'DATA ILN'!A:N,14,FALSE),VLOOKUP(Tableau119[[#This Row],[Key(Compte ILN - shipper - POL)]],'DATA ILN'!B:N,13,FALSE))</f>
        <v>#N/A</v>
      </c>
      <c r="X631" s="50" t="e">
        <f>IFERROR(VLOOKUP(Tableau119[[#This Row],[Key(Compte ILN - shipper - POL - plant)]],'DATA ILN'!A:P,16,FALSE),VLOOKUP(Tableau119[[#This Row],[Key(Compte ILN - shipper - POL)]],'DATA ILN'!B:P,15,FALSE))</f>
        <v>#N/A</v>
      </c>
      <c r="Y631" s="284" t="s">
        <v>151</v>
      </c>
      <c r="Z631" s="430">
        <f>IFERROR(VLOOKUP(Tableau119[[#This Row],[Name Shipper]],Plant_AILN!L:M,2,FALSE),0)</f>
        <v>91018400</v>
      </c>
      <c r="AA631" s="406">
        <v>248</v>
      </c>
      <c r="AB631" s="396" t="b">
        <f>_xlfn.XLOOKUP(Tableau119[[#This Row],[Key(ID-date)]],'DATA BTO'!S:S,'DATA BTO'!E:E,FALSE)</f>
        <v>0</v>
      </c>
      <c r="AC631" s="3" t="b">
        <f>_xlfn.XLOOKUP(Tableau119[[#This Row],[Key(ID-date)]],'DATA BTO'!S:S,'DATA BTO'!F:F,FALSE)</f>
        <v>0</v>
      </c>
      <c r="AD631" s="50" t="b">
        <f>_xlfn.XLOOKUP(Tableau119[[#This Row],[Key(ID-date)]],'DATA BTO'!S:S,'DATA BTO'!G:G,FALSE)</f>
        <v>0</v>
      </c>
      <c r="AE631" s="50" t="b">
        <f>_xlfn.XLOOKUP(Tableau119[[#This Row],[Key(ID-date)]],'DATA BTO'!S:S,'DATA BTO'!H:H,FALSE)</f>
        <v>0</v>
      </c>
      <c r="AF631" s="447" t="e">
        <f>IF(Tableau119[[#This Row],[First Day to POL]]&lt;=Tableau119[[#This Row],[Day Cut Off]],Tableau119[[#This Row],[Day ETD]],Tableau119[[#This Row],[Day ETD]]+7)</f>
        <v>#N/A</v>
      </c>
      <c r="AG631" s="50" t="b">
        <f>_xlfn.XLOOKUP(Tableau119[[#This Row],[Key(ID-date)]],'DATA BTO'!S:S,'DATA BTO'!I:I,FALSE)</f>
        <v>0</v>
      </c>
      <c r="AH631" s="3" t="b">
        <f>_xlfn.XLOOKUP(Tableau119[[#This Row],[Key(ID-date)]],'DATA BTO'!S:S,'DATA BTO'!J:J,FALSE)</f>
        <v>0</v>
      </c>
      <c r="AI631" s="3" t="b">
        <f>_xlfn.XLOOKUP(Tableau119[[#This Row],[Key(ID-date)]],'DATA BTO'!S:S,'DATA BTO'!K:K,FALSE)</f>
        <v>0</v>
      </c>
      <c r="AJ631" s="50" t="b">
        <f>_xlfn.XLOOKUP(Tableau119[[#This Row],[Key(ID-date)]],'DATA BTO'!S:S,'DATA BTO'!L:L,FALSE)</f>
        <v>0</v>
      </c>
      <c r="AK631" s="53" t="b">
        <f>_xlfn.XLOOKUP(Tableau119[[#This Row],[Key(ID-date)]],'DATA BTO'!S:S,'DATA BTO'!N:N,FALSE)</f>
        <v>0</v>
      </c>
      <c r="AL631" s="54" t="e">
        <f>VLOOKUP(Tableau119[[#This Row],[Key(POD -PFI- Usine)]],'DATA Consignee'!A:F,6,FALSE)</f>
        <v>#N/A</v>
      </c>
      <c r="AM631" s="127"/>
      <c r="AN631" s="376" t="str">
        <f>IF(Tableau119[[#This Row],[Name PFI/CDD]]="","-",VLOOKUP(Tableau119[[#This Row],[Name PFI/CDD]],Plant_AILN!I:J,2,FALSE))</f>
        <v>-</v>
      </c>
      <c r="AO6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1" s="2" t="e">
        <f>VLOOKUP(Tableau119[[#This Row],[Key(POD -PFI- Usine)]],'DATA Consignee'!A:J,10,FALSE)</f>
        <v>#N/A</v>
      </c>
      <c r="AR631" s="50" t="e">
        <f>VLOOKUP(Tableau119[[#This Row],[Key(POD -PFI- Usine)]],'DATA Consignee'!A:N,14,FALSE)</f>
        <v>#N/A</v>
      </c>
      <c r="AS6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1" s="50">
        <f>Tableau119[[#This Row],[Transit time]]+Tableau119[[#This Row],[Time for security]]+Tableau119[[#This Row],[Time for security2 buffer]]</f>
        <v>0</v>
      </c>
      <c r="AV6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1" s="50" t="e">
        <f>Tableau119[[#This Row],[Leadtime SI2C]]+Tableau119[[#This Row],[First Receipt Days]]-Tableau119[[#This Row],[Day Customer Order]]+1</f>
        <v>#N/A</v>
      </c>
      <c r="AX631" s="119" t="e">
        <f>IF(Tableau119[[#This Row],[Name ILN]]&lt;&gt;"SFK Freight Forwarder",Tableau119[[#This Row],[Cust. Leadtime]],Tableau119[[#This Row],[Leadtime SI2C]])</f>
        <v>#N/A</v>
      </c>
      <c r="AY631" s="51" t="b">
        <f>_xlfn.XLOOKUP(Tableau119[[#This Row],[Key(ID-date)]],'DATA BTO'!S:S,'DATA BTO'!P:P,FALSE)</f>
        <v>0</v>
      </c>
      <c r="AZ631" s="338">
        <v>45443</v>
      </c>
      <c r="BA631" s="50"/>
    </row>
    <row r="632" spans="2:53">
      <c r="B632" s="446" t="str">
        <f>_xlfn.CONCAT(Tableau119[[#This Row],[Name ILN]],"-",Tableau119[[#This Row],[Name Shipper]],"-",Tableau119[[#This Row],[Name Site]])</f>
        <v>ILN VLL-ILN VLL-CORDOBA</v>
      </c>
      <c r="C632" s="66" t="str">
        <f>_xlfn.CONCAT(Tableau119[[#This Row],[Compte ILN]],"-",Tableau119[[#This Row],[Compte Shipper]],"-",Tableau119[[#This Row],[POL]],"-",Tableau119[[#This Row],[Compte Consignee]])</f>
        <v>91018400-91018400-FALSO-90016000</v>
      </c>
      <c r="D632" s="66" t="str">
        <f>_xlfn.CONCAT(Tableau119[[#This Row],[Compte ILN]],"-",Tableau119[[#This Row],[Compte Shipper]],"-",Tableau119[[#This Row],[POL]])</f>
        <v>91018400-91018400-FALSO</v>
      </c>
      <c r="E632" s="130" t="str">
        <f>_xlfn.CONCAT(Tableau119[[#This Row],[POL]],"-",Tableau119[[#This Row],[Carrier]],"-",Tableau119[[#This Row],[POD]])</f>
        <v>FALSO-FALSO-FALSO</v>
      </c>
      <c r="F632" s="66" t="str">
        <f>_xlfn.CONCAT(Tableau119[[#This Row],[ID]],"-","Actif")</f>
        <v>248-Actif</v>
      </c>
      <c r="G632" s="66" t="str">
        <f>_xlfn.CONCAT(Tableau119[[#This Row],[POD]],"-",Tableau119[[#This Row],[Code PFI]],"-",Tableau119[[#This Row],[Compte Consignee]])</f>
        <v>FALSO---90016000</v>
      </c>
      <c r="H6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VLLFALSOCORDOBA</v>
      </c>
      <c r="I632" s="434" t="str">
        <f>_xlfn.CONCAT(Tableau119[[#This Row],[ID]],"-",Tableau119[[#This Row],[Expiration Date]])</f>
        <v>248-45412</v>
      </c>
      <c r="J6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VLL-ILN VLL-248-FALSO-FALSO-FALSO--45412</v>
      </c>
      <c r="K632" s="119" t="str">
        <f ca="1">IF(COUNTIF(J:J,Tableau119[[#This Row],[Plant-ILN-shipper-POL-Carrier-POD-PFI]])=1,"Non","Oui")</f>
        <v>Non</v>
      </c>
      <c r="L632" s="128" t="str">
        <f>VLOOKUP(Tableau119[[#This Row],[Name Site]],Plant_AILN!A:D,4,FALSE)</f>
        <v>ARGENTINA</v>
      </c>
      <c r="M632" s="411" t="s">
        <v>158</v>
      </c>
      <c r="N632" s="454">
        <f>VLOOKUP(Tableau119[[#This Row],[Name Site]],Plant_AILN!A:C,3,FALSE)</f>
        <v>90016000</v>
      </c>
      <c r="O632" s="55">
        <f>VLOOKUP(Tableau119[[#This Row],[Compte Consignee]],Order!C:D,2,FALSE)</f>
        <v>7</v>
      </c>
      <c r="P632" s="124" t="s">
        <v>151</v>
      </c>
      <c r="Q632" s="365">
        <f>VLOOKUP(Tableau119[[#This Row],[Name ILN]],Plant_AILN!F:G,2,FALSE)</f>
        <v>91018400</v>
      </c>
      <c r="R632" s="50">
        <f>VLOOKUP(Tableau119[[#This Row],[Compte ILN]],'DATA ILN'!D:I,6,FALSE)</f>
        <v>9</v>
      </c>
      <c r="S632" s="50" t="e">
        <f>IFERROR(VLOOKUP(Tableau119[[#This Row],[Key(Compte ILN - shipper - POL - plant)]],'DATA ILN'!A:J,10,FALSE),VLOOKUP(Tableau119[[#This Row],[Key(Compte ILN - shipper - POL)]],'DATA ILN'!B:J,9,FALSE))</f>
        <v>#N/A</v>
      </c>
      <c r="T632" s="50" t="e">
        <f>IFERROR(VLOOKUP(Tableau119[[#This Row],[Key(Compte ILN - shipper - POL - plant)]],'DATA ILN'!A:K,11,FALSE),VLOOKUP(Tableau119[[#This Row],[Key(Compte ILN - shipper - POL)]],'DATA ILN'!B:K,10,FALSE))</f>
        <v>#N/A</v>
      </c>
      <c r="U632" s="50" t="e">
        <f>IFERROR(VLOOKUP(Tableau119[[#This Row],[Key(Compte ILN - shipper - POL - plant)]],'DATA ILN'!A:L,12,FALSE),VLOOKUP(Tableau119[[#This Row],[Key(Compte ILN - shipper - POL)]],'DATA ILN'!B:L,11,FALSE))</f>
        <v>#N/A</v>
      </c>
      <c r="V632" s="50" t="e">
        <f>Tableau119[[#This Row],[Day ILN Order]]+Tableau119[[#This Row],[Delivery time to ILN/Shipper]]-1</f>
        <v>#N/A</v>
      </c>
      <c r="W632" s="50" t="e">
        <f>IFERROR(VLOOKUP(Tableau119[[#This Row],[Key(Compte ILN - shipper - POL - plant)]],'DATA ILN'!A:N,14,FALSE),VLOOKUP(Tableau119[[#This Row],[Key(Compte ILN - shipper - POL)]],'DATA ILN'!B:N,13,FALSE))</f>
        <v>#N/A</v>
      </c>
      <c r="X632" s="50" t="e">
        <f>IFERROR(VLOOKUP(Tableau119[[#This Row],[Key(Compte ILN - shipper - POL - plant)]],'DATA ILN'!A:P,16,FALSE),VLOOKUP(Tableau119[[#This Row],[Key(Compte ILN - shipper - POL)]],'DATA ILN'!B:P,15,FALSE))</f>
        <v>#N/A</v>
      </c>
      <c r="Y632" s="284" t="s">
        <v>151</v>
      </c>
      <c r="Z632" s="430">
        <f>IFERROR(VLOOKUP(Tableau119[[#This Row],[Name Shipper]],Plant_AILN!L:M,2,FALSE),0)</f>
        <v>91018400</v>
      </c>
      <c r="AA632" s="406">
        <v>248</v>
      </c>
      <c r="AB632" s="396" t="b">
        <f>_xlfn.XLOOKUP(Tableau119[[#This Row],[Key(ID-date)]],'DATA BTO'!S:S,'DATA BTO'!E:E,FALSE)</f>
        <v>0</v>
      </c>
      <c r="AC632" s="3" t="b">
        <f>_xlfn.XLOOKUP(Tableau119[[#This Row],[Key(ID-date)]],'DATA BTO'!S:S,'DATA BTO'!F:F,FALSE)</f>
        <v>0</v>
      </c>
      <c r="AD632" s="50" t="b">
        <f>_xlfn.XLOOKUP(Tableau119[[#This Row],[Key(ID-date)]],'DATA BTO'!S:S,'DATA BTO'!G:G,FALSE)</f>
        <v>0</v>
      </c>
      <c r="AE632" s="50" t="b">
        <f>_xlfn.XLOOKUP(Tableau119[[#This Row],[Key(ID-date)]],'DATA BTO'!S:S,'DATA BTO'!H:H,FALSE)</f>
        <v>0</v>
      </c>
      <c r="AF632" s="447" t="e">
        <f>IF(Tableau119[[#This Row],[First Day to POL]]&lt;=Tableau119[[#This Row],[Day Cut Off]],Tableau119[[#This Row],[Day ETD]],Tableau119[[#This Row],[Day ETD]]+7)</f>
        <v>#N/A</v>
      </c>
      <c r="AG632" s="50" t="b">
        <f>_xlfn.XLOOKUP(Tableau119[[#This Row],[Key(ID-date)]],'DATA BTO'!S:S,'DATA BTO'!I:I,FALSE)</f>
        <v>0</v>
      </c>
      <c r="AH632" s="3" t="b">
        <f>_xlfn.XLOOKUP(Tableau119[[#This Row],[Key(ID-date)]],'DATA BTO'!S:S,'DATA BTO'!J:J,FALSE)</f>
        <v>0</v>
      </c>
      <c r="AI632" s="3" t="b">
        <f>_xlfn.XLOOKUP(Tableau119[[#This Row],[Key(ID-date)]],'DATA BTO'!S:S,'DATA BTO'!K:K,FALSE)</f>
        <v>0</v>
      </c>
      <c r="AJ632" s="50" t="b">
        <f>_xlfn.XLOOKUP(Tableau119[[#This Row],[Key(ID-date)]],'DATA BTO'!S:S,'DATA BTO'!L:L,FALSE)</f>
        <v>0</v>
      </c>
      <c r="AK632" s="53" t="b">
        <f>_xlfn.XLOOKUP(Tableau119[[#This Row],[Key(ID-date)]],'DATA BTO'!S:S,'DATA BTO'!N:N,FALSE)</f>
        <v>0</v>
      </c>
      <c r="AL632" s="54" t="e">
        <f>VLOOKUP(Tableau119[[#This Row],[Key(POD -PFI- Usine)]],'DATA Consignee'!A:F,6,FALSE)</f>
        <v>#N/A</v>
      </c>
      <c r="AM632" s="127"/>
      <c r="AN632" s="376" t="str">
        <f>IF(Tableau119[[#This Row],[Name PFI/CDD]]="","-",VLOOKUP(Tableau119[[#This Row],[Name PFI/CDD]],Plant_AILN!I:J,2,FALSE))</f>
        <v>-</v>
      </c>
      <c r="AO6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2" s="2" t="e">
        <f>VLOOKUP(Tableau119[[#This Row],[Key(POD -PFI- Usine)]],'DATA Consignee'!A:J,10,FALSE)</f>
        <v>#N/A</v>
      </c>
      <c r="AR632" s="50" t="e">
        <f>VLOOKUP(Tableau119[[#This Row],[Key(POD -PFI- Usine)]],'DATA Consignee'!A:N,14,FALSE)</f>
        <v>#N/A</v>
      </c>
      <c r="AS6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2" s="50">
        <f>Tableau119[[#This Row],[Transit time]]+Tableau119[[#This Row],[Time for security]]+Tableau119[[#This Row],[Time for security2 buffer]]</f>
        <v>0</v>
      </c>
      <c r="AV6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2" s="50" t="e">
        <f>Tableau119[[#This Row],[Leadtime SI2C]]+Tableau119[[#This Row],[First Receipt Days]]-Tableau119[[#This Row],[Day Customer Order]]+1</f>
        <v>#N/A</v>
      </c>
      <c r="AX632" s="119" t="e">
        <f>IF(Tableau119[[#This Row],[Name ILN]]&lt;&gt;"SFK Freight Forwarder",Tableau119[[#This Row],[Cust. Leadtime]],Tableau119[[#This Row],[Leadtime SI2C]])</f>
        <v>#N/A</v>
      </c>
      <c r="AY632" s="51" t="b">
        <f>_xlfn.XLOOKUP(Tableau119[[#This Row],[Key(ID-date)]],'DATA BTO'!S:S,'DATA BTO'!P:P,FALSE)</f>
        <v>0</v>
      </c>
      <c r="AZ632" s="338">
        <v>45412</v>
      </c>
      <c r="BA632" s="50"/>
    </row>
    <row r="633" spans="2:53">
      <c r="B633" s="66" t="str">
        <f>_xlfn.CONCAT(Tableau119[[#This Row],[Name ILN]],"-",Tableau119[[#This Row],[Name Shipper]],"-",Tableau119[[#This Row],[Name Site]])</f>
        <v>ILN VLL-ILN VLL-Curitiba CVP</v>
      </c>
      <c r="C633" s="66" t="str">
        <f>_xlfn.CONCAT(Tableau119[[#This Row],[Compte ILN]],"-",Tableau119[[#This Row],[Compte Shipper]],"-",Tableau119[[#This Row],[POL]],"-",Tableau119[[#This Row],[Compte Consignee]])</f>
        <v>91018400-91018400-FALSO-90018000</v>
      </c>
      <c r="D633" s="66" t="str">
        <f>_xlfn.CONCAT(Tableau119[[#This Row],[Compte ILN]],"-",Tableau119[[#This Row],[Compte Shipper]],"-",Tableau119[[#This Row],[POL]])</f>
        <v>91018400-91018400-FALSO</v>
      </c>
      <c r="E633" s="130" t="str">
        <f>_xlfn.CONCAT(Tableau119[[#This Row],[POL]],"-",Tableau119[[#This Row],[Carrier]],"-",Tableau119[[#This Row],[POD]])</f>
        <v>FALSO-FALSO-FALSO</v>
      </c>
      <c r="F633" s="66" t="str">
        <f>_xlfn.CONCAT(Tableau119[[#This Row],[ID]],"-","Actif")</f>
        <v>249-Actif</v>
      </c>
      <c r="G633" s="66" t="str">
        <f>_xlfn.CONCAT(Tableau119[[#This Row],[POD]],"-",Tableau119[[#This Row],[Code PFI]],"-",Tableau119[[#This Row],[Compte Consignee]])</f>
        <v>FALSO---90018000</v>
      </c>
      <c r="H6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CVP</v>
      </c>
      <c r="I633" s="434" t="str">
        <f>_xlfn.CONCAT(Tableau119[[#This Row],[ID]],"-",Tableau119[[#This Row],[Expiration Date]])</f>
        <v>249-46142</v>
      </c>
      <c r="J6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VLL-ILN VLL-249-FALSO-FALSO-FALSO--46142</v>
      </c>
      <c r="K633" s="119" t="str">
        <f ca="1">IF(COUNTIF(J:J,Tableau119[[#This Row],[Plant-ILN-shipper-POL-Carrier-POD-PFI]])=1,"Non","Oui")</f>
        <v>Non</v>
      </c>
      <c r="L633" s="436" t="str">
        <f>VLOOKUP(Tableau119[[#This Row],[Name Site]],Plant_AILN!A:D,4,FALSE)</f>
        <v>BRAZIL</v>
      </c>
      <c r="M633" s="485" t="s">
        <v>152</v>
      </c>
      <c r="N633" s="455">
        <f>VLOOKUP(Tableau119[[#This Row],[Name Site]],Plant_AILN!A:C,3,FALSE)</f>
        <v>90018000</v>
      </c>
      <c r="O633" s="104">
        <f>IF(Tableau119[[#This Row],[Name PFI/CDD]]="PFI VLL",2,VLOOKUP(Tableau119[[#This Row],[Compte Consignee]],Order!C:D,2,FALSE))</f>
        <v>7</v>
      </c>
      <c r="P633" s="126" t="s">
        <v>151</v>
      </c>
      <c r="Q633" s="366">
        <f>VLOOKUP(Tableau119[[#This Row],[Name ILN]],Plant_AILN!F:G,2,FALSE)</f>
        <v>91018400</v>
      </c>
      <c r="R633" s="81">
        <f>VLOOKUP(Tableau119[[#This Row],[Compte ILN]],'DATA ILN'!D:I,6,FALSE)</f>
        <v>9</v>
      </c>
      <c r="S633" s="81" t="e">
        <f>IFERROR(VLOOKUP(Tableau119[[#This Row],[Key(Compte ILN - shipper - POL - plant)]],'DATA ILN'!A:J,10,FALSE),VLOOKUP(Tableau119[[#This Row],[Key(Compte ILN - shipper - POL)]],'DATA ILN'!B:J,9,FALSE))</f>
        <v>#N/A</v>
      </c>
      <c r="T633" s="81" t="e">
        <f>IFERROR(VLOOKUP(Tableau119[[#This Row],[Key(Compte ILN - shipper - POL - plant)]],'DATA ILN'!A:K,11,FALSE),VLOOKUP(Tableau119[[#This Row],[Key(Compte ILN - shipper - POL)]],'DATA ILN'!B:K,10,FALSE))</f>
        <v>#N/A</v>
      </c>
      <c r="U633" s="81" t="e">
        <f>IFERROR(VLOOKUP(Tableau119[[#This Row],[Key(Compte ILN - shipper - POL - plant)]],'DATA ILN'!A:L,12,FALSE),VLOOKUP(Tableau119[[#This Row],[Key(Compte ILN - shipper - POL)]],'DATA ILN'!B:L,11,FALSE))</f>
        <v>#N/A</v>
      </c>
      <c r="V633" s="81" t="e">
        <f>Tableau119[[#This Row],[Day ILN Order]]+Tableau119[[#This Row],[Delivery time to ILN/Shipper]]-1</f>
        <v>#N/A</v>
      </c>
      <c r="W633" s="81" t="e">
        <f>IFERROR(VLOOKUP(Tableau119[[#This Row],[Key(Compte ILN - shipper - POL - plant)]],'DATA ILN'!A:N,14,FALSE),VLOOKUP(Tableau119[[#This Row],[Key(Compte ILN - shipper - POL)]],'DATA ILN'!B:N,13,FALSE))</f>
        <v>#N/A</v>
      </c>
      <c r="X633" s="81" t="e">
        <f>IFERROR(VLOOKUP(Tableau119[[#This Row],[Key(Compte ILN - shipper - POL - plant)]],'DATA ILN'!A:P,16,FALSE),VLOOKUP(Tableau119[[#This Row],[Key(Compte ILN - shipper - POL)]],'DATA ILN'!B:P,15,FALSE))</f>
        <v>#N/A</v>
      </c>
      <c r="Y633" s="102" t="s">
        <v>151</v>
      </c>
      <c r="Z633" s="417">
        <f>IFERROR(VLOOKUP(Tableau119[[#This Row],[Name Shipper]],Plant_AILN!L:M,2,FALSE),0)</f>
        <v>91018400</v>
      </c>
      <c r="AA633" s="416">
        <v>249</v>
      </c>
      <c r="AB633" s="396" t="b">
        <f>_xlfn.XLOOKUP(Tableau119[[#This Row],[Key(ID-date)]],'DATA BTO'!S:S,'DATA BTO'!E:E,FALSE)</f>
        <v>0</v>
      </c>
      <c r="AC633" s="3" t="b">
        <f>_xlfn.XLOOKUP(Tableau119[[#This Row],[Key(ID-date)]],'DATA BTO'!S:S,'DATA BTO'!F:F,FALSE)</f>
        <v>0</v>
      </c>
      <c r="AD633" s="50" t="b">
        <f>_xlfn.XLOOKUP(Tableau119[[#This Row],[Key(ID-date)]],'DATA BTO'!S:S,'DATA BTO'!G:G,FALSE)</f>
        <v>0</v>
      </c>
      <c r="AE633" s="50" t="b">
        <f>_xlfn.XLOOKUP(Tableau119[[#This Row],[Key(ID-date)]],'DATA BTO'!S:S,'DATA BTO'!H:H,FALSE)</f>
        <v>0</v>
      </c>
      <c r="AF633" s="447" t="e">
        <f>IF(Tableau119[[#This Row],[First Day to POL]]&lt;=Tableau119[[#This Row],[Day Cut Off]],Tableau119[[#This Row],[Day ETD]],Tableau119[[#This Row],[Day ETD]]+7)</f>
        <v>#N/A</v>
      </c>
      <c r="AG633" s="50" t="b">
        <f>_xlfn.XLOOKUP(Tableau119[[#This Row],[Key(ID-date)]],'DATA BTO'!S:S,'DATA BTO'!I:I,FALSE)</f>
        <v>0</v>
      </c>
      <c r="AH633" s="3" t="b">
        <f>_xlfn.XLOOKUP(Tableau119[[#This Row],[Key(ID-date)]],'DATA BTO'!S:S,'DATA BTO'!J:J,FALSE)</f>
        <v>0</v>
      </c>
      <c r="AI633" s="3" t="b">
        <f>_xlfn.XLOOKUP(Tableau119[[#This Row],[Key(ID-date)]],'DATA BTO'!S:S,'DATA BTO'!K:K,FALSE)</f>
        <v>0</v>
      </c>
      <c r="AJ633" s="50" t="b">
        <f>_xlfn.XLOOKUP(Tableau119[[#This Row],[Key(ID-date)]],'DATA BTO'!S:S,'DATA BTO'!L:L,FALSE)</f>
        <v>0</v>
      </c>
      <c r="AK633" s="53" t="b">
        <f>_xlfn.XLOOKUP(Tableau119[[#This Row],[Key(ID-date)]],'DATA BTO'!S:S,'DATA BTO'!N:N,FALSE)</f>
        <v>0</v>
      </c>
      <c r="AL633" s="54" t="e">
        <f>VLOOKUP(Tableau119[[#This Row],[Key(POD -PFI- Usine)]],'DATA Consignee'!A:F,6,FALSE)</f>
        <v>#N/A</v>
      </c>
      <c r="AM633" s="127"/>
      <c r="AN633" s="375" t="str">
        <f>IF(Tableau119[[#This Row],[Name PFI/CDD]]="","-",VLOOKUP(Tableau119[[#This Row],[Name PFI/CDD]],Plant_AILN!I:J,2,FALSE))</f>
        <v>-</v>
      </c>
      <c r="AO63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3" s="110" t="e">
        <f>VLOOKUP(Tableau119[[#This Row],[Key(POD -PFI- Usine)]],'DATA Consignee'!A:J,10,FALSE)</f>
        <v>#N/A</v>
      </c>
      <c r="AR633" s="81" t="e">
        <f>VLOOKUP(Tableau119[[#This Row],[Key(POD -PFI- Usine)]],'DATA Consignee'!A:N,14,FALSE)</f>
        <v>#N/A</v>
      </c>
      <c r="AS63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3" s="81">
        <f>Tableau119[[#This Row],[Transit time]]+Tableau119[[#This Row],[Time for security]]+Tableau119[[#This Row],[Time for security2 buffer]]</f>
        <v>0</v>
      </c>
      <c r="AV6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3" s="50" t="e">
        <f>Tableau119[[#This Row],[Leadtime SI2C]]+Tableau119[[#This Row],[First Receipt Days]]-Tableau119[[#This Row],[Day Customer Order]]+1</f>
        <v>#N/A</v>
      </c>
      <c r="AX633" s="119" t="e">
        <f>IF(Tableau119[[#This Row],[Name ILN]]&lt;&gt;"SFK Freight Forwarder",Tableau119[[#This Row],[Cust. Leadtime]],Tableau119[[#This Row],[Leadtime SI2C]])</f>
        <v>#N/A</v>
      </c>
      <c r="AY633" s="51" t="b">
        <f>_xlfn.XLOOKUP(Tableau119[[#This Row],[Key(ID-date)]],'DATA BTO'!S:S,'DATA BTO'!P:P,FALSE)</f>
        <v>0</v>
      </c>
      <c r="AZ633" s="388">
        <v>46142</v>
      </c>
      <c r="BA633" s="81"/>
    </row>
    <row r="634" spans="2:53">
      <c r="B634" s="66" t="str">
        <f>_xlfn.CONCAT(Tableau119[[#This Row],[Name ILN]],"-",Tableau119[[#This Row],[Name Shipper]],"-",Tableau119[[#This Row],[Name Site]])</f>
        <v>ILN VLL-ILN VLL-Curitiba CVU</v>
      </c>
      <c r="C634" s="66" t="str">
        <f>_xlfn.CONCAT(Tableau119[[#This Row],[Compte ILN]],"-",Tableau119[[#This Row],[Compte Shipper]],"-",Tableau119[[#This Row],[POL]],"-",Tableau119[[#This Row],[Compte Consignee]])</f>
        <v>91018400-91018400-FALSO-90018500</v>
      </c>
      <c r="D634" s="66" t="str">
        <f>_xlfn.CONCAT(Tableau119[[#This Row],[Compte ILN]],"-",Tableau119[[#This Row],[Compte Shipper]],"-",Tableau119[[#This Row],[POL]])</f>
        <v>91018400-91018400-FALSO</v>
      </c>
      <c r="E634" s="130" t="str">
        <f>_xlfn.CONCAT(Tableau119[[#This Row],[POL]],"-",Tableau119[[#This Row],[Carrier]],"-",Tableau119[[#This Row],[POD]])</f>
        <v>FALSO-FALSO-FALSO</v>
      </c>
      <c r="F634" s="66" t="str">
        <f>_xlfn.CONCAT(Tableau119[[#This Row],[ID]],"-","Actif")</f>
        <v>249-Actif</v>
      </c>
      <c r="G634" s="66" t="str">
        <f>_xlfn.CONCAT(Tableau119[[#This Row],[POD]],"-",Tableau119[[#This Row],[Code PFI]],"-",Tableau119[[#This Row],[Compte Consignee]])</f>
        <v>FALSO---90018500</v>
      </c>
      <c r="H6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CVU</v>
      </c>
      <c r="I634" s="434" t="str">
        <f>_xlfn.CONCAT(Tableau119[[#This Row],[ID]],"-",Tableau119[[#This Row],[Expiration Date]])</f>
        <v>249-46142</v>
      </c>
      <c r="J6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VLL-ILN VLL-249-FALSO-FALSO-FALSO--46142</v>
      </c>
      <c r="K634" s="119" t="str">
        <f ca="1">IF(COUNTIF(J:J,Tableau119[[#This Row],[Plant-ILN-shipper-POL-Carrier-POD-PFI]])=1,"Non","Oui")</f>
        <v>Non</v>
      </c>
      <c r="L634" s="440" t="str">
        <f>VLOOKUP(Tableau119[[#This Row],[Name Site]],Plant_AILN!A:D,4,FALSE)</f>
        <v>BRAZIL</v>
      </c>
      <c r="M634" s="10" t="s">
        <v>639</v>
      </c>
      <c r="N634" s="454">
        <f>VLOOKUP(Tableau119[[#This Row],[Name Site]],Plant_AILN!A:C,3,FALSE)</f>
        <v>90018500</v>
      </c>
      <c r="O634" s="55">
        <f>IF(Tableau119[[#This Row],[Name PFI/CDD]]="PFI VLL",2,VLOOKUP(Tableau119[[#This Row],[Compte Consignee]],Order!C:D,2,FALSE))</f>
        <v>7</v>
      </c>
      <c r="P634" s="124" t="s">
        <v>151</v>
      </c>
      <c r="Q634" s="365">
        <f>VLOOKUP(Tableau119[[#This Row],[Name ILN]],Plant_AILN!F:G,2,FALSE)</f>
        <v>91018400</v>
      </c>
      <c r="R634" s="50">
        <f>VLOOKUP(Tableau119[[#This Row],[Compte ILN]],'DATA ILN'!D:I,6,FALSE)</f>
        <v>9</v>
      </c>
      <c r="S634" s="50" t="e">
        <f>IFERROR(VLOOKUP(Tableau119[[#This Row],[Key(Compte ILN - shipper - POL - plant)]],'DATA ILN'!A:J,10,FALSE),VLOOKUP(Tableau119[[#This Row],[Key(Compte ILN - shipper - POL)]],'DATA ILN'!B:J,9,FALSE))</f>
        <v>#N/A</v>
      </c>
      <c r="T634" s="50" t="e">
        <f>IFERROR(VLOOKUP(Tableau119[[#This Row],[Key(Compte ILN - shipper - POL - plant)]],'DATA ILN'!A:K,11,FALSE),VLOOKUP(Tableau119[[#This Row],[Key(Compte ILN - shipper - POL)]],'DATA ILN'!B:K,10,FALSE))</f>
        <v>#N/A</v>
      </c>
      <c r="U634" s="50" t="e">
        <f>IFERROR(VLOOKUP(Tableau119[[#This Row],[Key(Compte ILN - shipper - POL - plant)]],'DATA ILN'!A:L,12,FALSE),VLOOKUP(Tableau119[[#This Row],[Key(Compte ILN - shipper - POL)]],'DATA ILN'!B:L,11,FALSE))</f>
        <v>#N/A</v>
      </c>
      <c r="V634" s="50" t="e">
        <f>Tableau119[[#This Row],[Day ILN Order]]+Tableau119[[#This Row],[Delivery time to ILN/Shipper]]-1</f>
        <v>#N/A</v>
      </c>
      <c r="W634" s="50" t="e">
        <f>IFERROR(VLOOKUP(Tableau119[[#This Row],[Key(Compte ILN - shipper - POL - plant)]],'DATA ILN'!A:N,14,FALSE),VLOOKUP(Tableau119[[#This Row],[Key(Compte ILN - shipper - POL)]],'DATA ILN'!B:N,13,FALSE))</f>
        <v>#N/A</v>
      </c>
      <c r="X634" s="50" t="e">
        <f>IFERROR(VLOOKUP(Tableau119[[#This Row],[Key(Compte ILN - shipper - POL - plant)]],'DATA ILN'!A:P,16,FALSE),VLOOKUP(Tableau119[[#This Row],[Key(Compte ILN - shipper - POL)]],'DATA ILN'!B:P,15,FALSE))</f>
        <v>#N/A</v>
      </c>
      <c r="Y634" s="284" t="s">
        <v>151</v>
      </c>
      <c r="Z634" s="430">
        <f>IFERROR(VLOOKUP(Tableau119[[#This Row],[Name Shipper]],Plant_AILN!L:M,2,FALSE),0)</f>
        <v>91018400</v>
      </c>
      <c r="AA634" s="406">
        <v>249</v>
      </c>
      <c r="AB634" s="396" t="b">
        <f>_xlfn.XLOOKUP(Tableau119[[#This Row],[Key(ID-date)]],'DATA BTO'!S:S,'DATA BTO'!E:E,FALSE)</f>
        <v>0</v>
      </c>
      <c r="AC634" s="3" t="b">
        <f>_xlfn.XLOOKUP(Tableau119[[#This Row],[Key(ID-date)]],'DATA BTO'!S:S,'DATA BTO'!F:F,FALSE)</f>
        <v>0</v>
      </c>
      <c r="AD634" s="50" t="b">
        <f>_xlfn.XLOOKUP(Tableau119[[#This Row],[Key(ID-date)]],'DATA BTO'!S:S,'DATA BTO'!G:G,FALSE)</f>
        <v>0</v>
      </c>
      <c r="AE634" s="50" t="b">
        <f>_xlfn.XLOOKUP(Tableau119[[#This Row],[Key(ID-date)]],'DATA BTO'!S:S,'DATA BTO'!H:H,FALSE)</f>
        <v>0</v>
      </c>
      <c r="AF634" s="447" t="e">
        <f>IF(Tableau119[[#This Row],[First Day to POL]]&lt;=Tableau119[[#This Row],[Day Cut Off]],Tableau119[[#This Row],[Day ETD]],Tableau119[[#This Row],[Day ETD]]+7)</f>
        <v>#N/A</v>
      </c>
      <c r="AG634" s="50" t="b">
        <f>_xlfn.XLOOKUP(Tableau119[[#This Row],[Key(ID-date)]],'DATA BTO'!S:S,'DATA BTO'!I:I,FALSE)</f>
        <v>0</v>
      </c>
      <c r="AH634" s="3" t="b">
        <f>_xlfn.XLOOKUP(Tableau119[[#This Row],[Key(ID-date)]],'DATA BTO'!S:S,'DATA BTO'!J:J,FALSE)</f>
        <v>0</v>
      </c>
      <c r="AI634" s="3" t="b">
        <f>_xlfn.XLOOKUP(Tableau119[[#This Row],[Key(ID-date)]],'DATA BTO'!S:S,'DATA BTO'!K:K,FALSE)</f>
        <v>0</v>
      </c>
      <c r="AJ634" s="50" t="b">
        <f>_xlfn.XLOOKUP(Tableau119[[#This Row],[Key(ID-date)]],'DATA BTO'!S:S,'DATA BTO'!L:L,FALSE)</f>
        <v>0</v>
      </c>
      <c r="AK634" s="53" t="b">
        <f>_xlfn.XLOOKUP(Tableau119[[#This Row],[Key(ID-date)]],'DATA BTO'!S:S,'DATA BTO'!N:N,FALSE)</f>
        <v>0</v>
      </c>
      <c r="AL634" s="54" t="e">
        <f>VLOOKUP(Tableau119[[#This Row],[Key(POD -PFI- Usine)]],'DATA Consignee'!A:F,6,FALSE)</f>
        <v>#N/A</v>
      </c>
      <c r="AM634" s="284"/>
      <c r="AN634" s="376" t="str">
        <f>IF(Tableau119[[#This Row],[Name PFI/CDD]]="","-",VLOOKUP(Tableau119[[#This Row],[Name PFI/CDD]],Plant_AILN!I:J,2,FALSE))</f>
        <v>-</v>
      </c>
      <c r="AO6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4" s="2" t="e">
        <f>VLOOKUP(Tableau119[[#This Row],[Key(POD -PFI- Usine)]],'DATA Consignee'!A:J,10,FALSE)</f>
        <v>#N/A</v>
      </c>
      <c r="AR634" s="50" t="e">
        <f>VLOOKUP(Tableau119[[#This Row],[Key(POD -PFI- Usine)]],'DATA Consignee'!A:N,14,FALSE)</f>
        <v>#N/A</v>
      </c>
      <c r="AS6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4" s="50">
        <f>Tableau119[[#This Row],[Transit time]]+Tableau119[[#This Row],[Time for security]]+Tableau119[[#This Row],[Time for security2 buffer]]</f>
        <v>0</v>
      </c>
      <c r="AV6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4" s="50" t="e">
        <f>Tableau119[[#This Row],[Leadtime SI2C]]+Tableau119[[#This Row],[First Receipt Days]]-Tableau119[[#This Row],[Day Customer Order]]+1</f>
        <v>#N/A</v>
      </c>
      <c r="AX634" s="119" t="e">
        <f>IF(Tableau119[[#This Row],[Name ILN]]&lt;&gt;"SFK Freight Forwarder",Tableau119[[#This Row],[Cust. Leadtime]],Tableau119[[#This Row],[Leadtime SI2C]])</f>
        <v>#N/A</v>
      </c>
      <c r="AY634" s="51" t="b">
        <f>_xlfn.XLOOKUP(Tableau119[[#This Row],[Key(ID-date)]],'DATA BTO'!S:S,'DATA BTO'!P:P,FALSE)</f>
        <v>0</v>
      </c>
      <c r="AZ634" s="338">
        <v>46142</v>
      </c>
      <c r="BA634" s="50"/>
    </row>
    <row r="635" spans="2:53">
      <c r="B635" s="446" t="str">
        <f>_xlfn.CONCAT(Tableau119[[#This Row],[Name ILN]],"-",Tableau119[[#This Row],[Name Shipper]],"-",Tableau119[[#This Row],[Name Site]])</f>
        <v>ILN VLL-ILN VLL-Curitiba CVP</v>
      </c>
      <c r="C635" s="66" t="str">
        <f>_xlfn.CONCAT(Tableau119[[#This Row],[Compte ILN]],"-",Tableau119[[#This Row],[Compte Shipper]],"-",Tableau119[[#This Row],[POL]],"-",Tableau119[[#This Row],[Compte Consignee]])</f>
        <v>91018400-91018400-FALSO-90018000</v>
      </c>
      <c r="D635" s="66" t="str">
        <f>_xlfn.CONCAT(Tableau119[[#This Row],[Compte ILN]],"-",Tableau119[[#This Row],[Compte Shipper]],"-",Tableau119[[#This Row],[POL]])</f>
        <v>91018400-91018400-FALSO</v>
      </c>
      <c r="E635" s="130" t="str">
        <f>_xlfn.CONCAT(Tableau119[[#This Row],[POL]],"-",Tableau119[[#This Row],[Carrier]],"-",Tableau119[[#This Row],[POD]])</f>
        <v>FALSO-FALSO-FALSO</v>
      </c>
      <c r="F635" s="66" t="str">
        <f>_xlfn.CONCAT(Tableau119[[#This Row],[ID]],"-","Actif")</f>
        <v>249-Actif</v>
      </c>
      <c r="G635" s="66" t="str">
        <f>_xlfn.CONCAT(Tableau119[[#This Row],[POD]],"-",Tableau119[[#This Row],[Code PFI]],"-",Tableau119[[#This Row],[Compte Consignee]])</f>
        <v>FALSO---90018000</v>
      </c>
      <c r="H6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CVP</v>
      </c>
      <c r="I635" s="434" t="str">
        <f>_xlfn.CONCAT(Tableau119[[#This Row],[ID]],"-",Tableau119[[#This Row],[Expiration Date]])</f>
        <v>249-45777</v>
      </c>
      <c r="J6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VLL-ILN VLL-249-FALSO-FALSO-FALSO--45777</v>
      </c>
      <c r="K635" s="119" t="str">
        <f ca="1">IF(COUNTIF(J:J,Tableau119[[#This Row],[Plant-ILN-shipper-POL-Carrier-POD-PFI]])=1,"Non","Oui")</f>
        <v>Non</v>
      </c>
      <c r="L635" s="128" t="str">
        <f>VLOOKUP(Tableau119[[#This Row],[Name Site]],Plant_AILN!A:D,4,FALSE)</f>
        <v>BRAZIL</v>
      </c>
      <c r="M635" s="415" t="s">
        <v>152</v>
      </c>
      <c r="N635" s="455">
        <f>VLOOKUP(Tableau119[[#This Row],[Name Site]],Plant_AILN!A:C,3,FALSE)</f>
        <v>90018000</v>
      </c>
      <c r="O635" s="104">
        <f>VLOOKUP(Tableau119[[#This Row],[Compte Consignee]],Order!C:D,2,FALSE)</f>
        <v>7</v>
      </c>
      <c r="P635" s="126" t="s">
        <v>151</v>
      </c>
      <c r="Q635" s="366">
        <f>VLOOKUP(Tableau119[[#This Row],[Name ILN]],Plant_AILN!F:G,2,FALSE)</f>
        <v>91018400</v>
      </c>
      <c r="R635" s="81">
        <f>VLOOKUP(Tableau119[[#This Row],[Compte ILN]],'DATA ILN'!D:I,6,FALSE)</f>
        <v>9</v>
      </c>
      <c r="S635" s="81" t="e">
        <f>IFERROR(VLOOKUP(Tableau119[[#This Row],[Key(Compte ILN - shipper - POL - plant)]],'DATA ILN'!A:J,10,FALSE),VLOOKUP(Tableau119[[#This Row],[Key(Compte ILN - shipper - POL)]],'DATA ILN'!B:J,9,FALSE))</f>
        <v>#N/A</v>
      </c>
      <c r="T635" s="81" t="e">
        <f>IFERROR(VLOOKUP(Tableau119[[#This Row],[Key(Compte ILN - shipper - POL - plant)]],'DATA ILN'!A:K,11,FALSE),VLOOKUP(Tableau119[[#This Row],[Key(Compte ILN - shipper - POL)]],'DATA ILN'!B:K,10,FALSE))</f>
        <v>#N/A</v>
      </c>
      <c r="U635" s="81" t="e">
        <f>IFERROR(VLOOKUP(Tableau119[[#This Row],[Key(Compte ILN - shipper - POL - plant)]],'DATA ILN'!A:L,12,FALSE),VLOOKUP(Tableau119[[#This Row],[Key(Compte ILN - shipper - POL)]],'DATA ILN'!B:L,11,FALSE))</f>
        <v>#N/A</v>
      </c>
      <c r="V635" s="81" t="e">
        <f>Tableau119[[#This Row],[Day ILN Order]]+Tableau119[[#This Row],[Delivery time to ILN/Shipper]]-1</f>
        <v>#N/A</v>
      </c>
      <c r="W635" s="81" t="e">
        <f>IFERROR(VLOOKUP(Tableau119[[#This Row],[Key(Compte ILN - shipper - POL - plant)]],'DATA ILN'!A:N,14,FALSE),VLOOKUP(Tableau119[[#This Row],[Key(Compte ILN - shipper - POL)]],'DATA ILN'!B:N,13,FALSE))</f>
        <v>#N/A</v>
      </c>
      <c r="X635" s="81" t="e">
        <f>IFERROR(VLOOKUP(Tableau119[[#This Row],[Key(Compte ILN - shipper - POL - plant)]],'DATA ILN'!A:P,16,FALSE),VLOOKUP(Tableau119[[#This Row],[Key(Compte ILN - shipper - POL)]],'DATA ILN'!B:P,15,FALSE))</f>
        <v>#N/A</v>
      </c>
      <c r="Y635" s="102" t="s">
        <v>151</v>
      </c>
      <c r="Z635" s="417">
        <f>IFERROR(VLOOKUP(Tableau119[[#This Row],[Name Shipper]],Plant_AILN!L:M,2,FALSE),0)</f>
        <v>91018400</v>
      </c>
      <c r="AA635" s="416">
        <v>249</v>
      </c>
      <c r="AB635" s="396" t="b">
        <f>_xlfn.XLOOKUP(Tableau119[[#This Row],[Key(ID-date)]],'DATA BTO'!S:S,'DATA BTO'!E:E,FALSE)</f>
        <v>0</v>
      </c>
      <c r="AC635" s="3" t="b">
        <f>_xlfn.XLOOKUP(Tableau119[[#This Row],[Key(ID-date)]],'DATA BTO'!S:S,'DATA BTO'!F:F,FALSE)</f>
        <v>0</v>
      </c>
      <c r="AD635" s="50" t="b">
        <f>_xlfn.XLOOKUP(Tableau119[[#This Row],[Key(ID-date)]],'DATA BTO'!S:S,'DATA BTO'!G:G,FALSE)</f>
        <v>0</v>
      </c>
      <c r="AE635" s="50" t="b">
        <f>_xlfn.XLOOKUP(Tableau119[[#This Row],[Key(ID-date)]],'DATA BTO'!S:S,'DATA BTO'!H:H,FALSE)</f>
        <v>0</v>
      </c>
      <c r="AF635" s="447" t="e">
        <f>IF(Tableau119[[#This Row],[First Day to POL]]&lt;=Tableau119[[#This Row],[Day Cut Off]],Tableau119[[#This Row],[Day ETD]],Tableau119[[#This Row],[Day ETD]]+7)</f>
        <v>#N/A</v>
      </c>
      <c r="AG635" s="50" t="b">
        <f>_xlfn.XLOOKUP(Tableau119[[#This Row],[Key(ID-date)]],'DATA BTO'!S:S,'DATA BTO'!I:I,FALSE)</f>
        <v>0</v>
      </c>
      <c r="AH635" s="3" t="b">
        <f>_xlfn.XLOOKUP(Tableau119[[#This Row],[Key(ID-date)]],'DATA BTO'!S:S,'DATA BTO'!J:J,FALSE)</f>
        <v>0</v>
      </c>
      <c r="AI635" s="3" t="b">
        <f>_xlfn.XLOOKUP(Tableau119[[#This Row],[Key(ID-date)]],'DATA BTO'!S:S,'DATA BTO'!K:K,FALSE)</f>
        <v>0</v>
      </c>
      <c r="AJ635" s="50" t="b">
        <f>_xlfn.XLOOKUP(Tableau119[[#This Row],[Key(ID-date)]],'DATA BTO'!S:S,'DATA BTO'!L:L,FALSE)</f>
        <v>0</v>
      </c>
      <c r="AK635" s="53" t="b">
        <f>_xlfn.XLOOKUP(Tableau119[[#This Row],[Key(ID-date)]],'DATA BTO'!S:S,'DATA BTO'!N:N,FALSE)</f>
        <v>0</v>
      </c>
      <c r="AL635" s="54" t="e">
        <f>VLOOKUP(Tableau119[[#This Row],[Key(POD -PFI- Usine)]],'DATA Consignee'!A:F,6,FALSE)</f>
        <v>#N/A</v>
      </c>
      <c r="AM635" s="102"/>
      <c r="AN635" s="375" t="str">
        <f>IF(Tableau119[[#This Row],[Name PFI/CDD]]="","-",VLOOKUP(Tableau119[[#This Row],[Name PFI/CDD]],Plant_AILN!I:J,2,FALSE))</f>
        <v>-</v>
      </c>
      <c r="AO63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5" s="110" t="e">
        <f>VLOOKUP(Tableau119[[#This Row],[Key(POD -PFI- Usine)]],'DATA Consignee'!A:J,10,FALSE)</f>
        <v>#N/A</v>
      </c>
      <c r="AR635" s="81" t="e">
        <f>VLOOKUP(Tableau119[[#This Row],[Key(POD -PFI- Usine)]],'DATA Consignee'!A:N,14,FALSE)</f>
        <v>#N/A</v>
      </c>
      <c r="AS63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5" s="81">
        <f>Tableau119[[#This Row],[Transit time]]+Tableau119[[#This Row],[Time for security]]+Tableau119[[#This Row],[Time for security2 buffer]]</f>
        <v>0</v>
      </c>
      <c r="AV6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5" s="50" t="e">
        <f>Tableau119[[#This Row],[Leadtime SI2C]]+Tableau119[[#This Row],[First Receipt Days]]-Tableau119[[#This Row],[Day Customer Order]]+1</f>
        <v>#N/A</v>
      </c>
      <c r="AX635" s="119" t="e">
        <f>IF(Tableau119[[#This Row],[Name ILN]]&lt;&gt;"SFK Freight Forwarder",Tableau119[[#This Row],[Cust. Leadtime]],Tableau119[[#This Row],[Leadtime SI2C]])</f>
        <v>#N/A</v>
      </c>
      <c r="AY635" s="51" t="b">
        <f>_xlfn.XLOOKUP(Tableau119[[#This Row],[Key(ID-date)]],'DATA BTO'!S:S,'DATA BTO'!P:P,FALSE)</f>
        <v>0</v>
      </c>
      <c r="AZ635" s="388">
        <v>45777</v>
      </c>
      <c r="BA635" s="81"/>
    </row>
    <row r="636" spans="2:53">
      <c r="B636" s="446" t="str">
        <f>_xlfn.CONCAT(Tableau119[[#This Row],[Name ILN]],"-",Tableau119[[#This Row],[Name Shipper]],"-",Tableau119[[#This Row],[Name Site]])</f>
        <v>ILN VLL-ILN VLL-Curitiba CVU</v>
      </c>
      <c r="C636" s="66" t="str">
        <f>_xlfn.CONCAT(Tableau119[[#This Row],[Compte ILN]],"-",Tableau119[[#This Row],[Compte Shipper]],"-",Tableau119[[#This Row],[POL]],"-",Tableau119[[#This Row],[Compte Consignee]])</f>
        <v>91018400-91018400-FALSO-90018500</v>
      </c>
      <c r="D636" s="66" t="str">
        <f>_xlfn.CONCAT(Tableau119[[#This Row],[Compte ILN]],"-",Tableau119[[#This Row],[Compte Shipper]],"-",Tableau119[[#This Row],[POL]])</f>
        <v>91018400-91018400-FALSO</v>
      </c>
      <c r="E636" s="130" t="str">
        <f>_xlfn.CONCAT(Tableau119[[#This Row],[POL]],"-",Tableau119[[#This Row],[Carrier]],"-",Tableau119[[#This Row],[POD]])</f>
        <v>FALSO-FALSO-FALSO</v>
      </c>
      <c r="F636" s="66" t="str">
        <f>_xlfn.CONCAT(Tableau119[[#This Row],[ID]],"-","Actif")</f>
        <v>249-Actif</v>
      </c>
      <c r="G636" s="66" t="str">
        <f>_xlfn.CONCAT(Tableau119[[#This Row],[POD]],"-",Tableau119[[#This Row],[Code PFI]],"-",Tableau119[[#This Row],[Compte Consignee]])</f>
        <v>FALSO---90018500</v>
      </c>
      <c r="H6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CVU</v>
      </c>
      <c r="I636" s="434" t="str">
        <f>_xlfn.CONCAT(Tableau119[[#This Row],[ID]],"-",Tableau119[[#This Row],[Expiration Date]])</f>
        <v>249-45777</v>
      </c>
      <c r="J6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VLL-ILN VLL-249-FALSO-FALSO-FALSO--45777</v>
      </c>
      <c r="K636" s="119" t="str">
        <f ca="1">IF(COUNTIF(J:J,Tableau119[[#This Row],[Plant-ILN-shipper-POL-Carrier-POD-PFI]])=1,"Non","Oui")</f>
        <v>Non</v>
      </c>
      <c r="L636" s="128" t="str">
        <f>VLOOKUP(Tableau119[[#This Row],[Name Site]],Plant_AILN!A:D,4,FALSE)</f>
        <v>BRAZIL</v>
      </c>
      <c r="M636" s="411" t="s">
        <v>639</v>
      </c>
      <c r="N636" s="454">
        <f>VLOOKUP(Tableau119[[#This Row],[Name Site]],Plant_AILN!A:C,3,FALSE)</f>
        <v>90018500</v>
      </c>
      <c r="O636" s="55">
        <f>VLOOKUP(Tableau119[[#This Row],[Compte Consignee]],Order!C:D,2,FALSE)</f>
        <v>7</v>
      </c>
      <c r="P636" s="124" t="s">
        <v>151</v>
      </c>
      <c r="Q636" s="365">
        <f>VLOOKUP(Tableau119[[#This Row],[Name ILN]],Plant_AILN!F:G,2,FALSE)</f>
        <v>91018400</v>
      </c>
      <c r="R636" s="50">
        <f>VLOOKUP(Tableau119[[#This Row],[Compte ILN]],'DATA ILN'!D:I,6,FALSE)</f>
        <v>9</v>
      </c>
      <c r="S636" s="50" t="e">
        <f>IFERROR(VLOOKUP(Tableau119[[#This Row],[Key(Compte ILN - shipper - POL - plant)]],'DATA ILN'!A:J,10,FALSE),VLOOKUP(Tableau119[[#This Row],[Key(Compte ILN - shipper - POL)]],'DATA ILN'!B:J,9,FALSE))</f>
        <v>#N/A</v>
      </c>
      <c r="T636" s="50" t="e">
        <f>IFERROR(VLOOKUP(Tableau119[[#This Row],[Key(Compte ILN - shipper - POL - plant)]],'DATA ILN'!A:K,11,FALSE),VLOOKUP(Tableau119[[#This Row],[Key(Compte ILN - shipper - POL)]],'DATA ILN'!B:K,10,FALSE))</f>
        <v>#N/A</v>
      </c>
      <c r="U636" s="50" t="e">
        <f>IFERROR(VLOOKUP(Tableau119[[#This Row],[Key(Compte ILN - shipper - POL - plant)]],'DATA ILN'!A:L,12,FALSE),VLOOKUP(Tableau119[[#This Row],[Key(Compte ILN - shipper - POL)]],'DATA ILN'!B:L,11,FALSE))</f>
        <v>#N/A</v>
      </c>
      <c r="V636" s="50" t="e">
        <f>Tableau119[[#This Row],[Day ILN Order]]+Tableau119[[#This Row],[Delivery time to ILN/Shipper]]-1</f>
        <v>#N/A</v>
      </c>
      <c r="W636" s="50" t="e">
        <f>IFERROR(VLOOKUP(Tableau119[[#This Row],[Key(Compte ILN - shipper - POL - plant)]],'DATA ILN'!A:N,14,FALSE),VLOOKUP(Tableau119[[#This Row],[Key(Compte ILN - shipper - POL)]],'DATA ILN'!B:N,13,FALSE))</f>
        <v>#N/A</v>
      </c>
      <c r="X636" s="50" t="e">
        <f>IFERROR(VLOOKUP(Tableau119[[#This Row],[Key(Compte ILN - shipper - POL - plant)]],'DATA ILN'!A:P,16,FALSE),VLOOKUP(Tableau119[[#This Row],[Key(Compte ILN - shipper - POL)]],'DATA ILN'!B:P,15,FALSE))</f>
        <v>#N/A</v>
      </c>
      <c r="Y636" s="284" t="s">
        <v>151</v>
      </c>
      <c r="Z636" s="430">
        <f>IFERROR(VLOOKUP(Tableau119[[#This Row],[Name Shipper]],Plant_AILN!L:M,2,FALSE),0)</f>
        <v>91018400</v>
      </c>
      <c r="AA636" s="406">
        <v>249</v>
      </c>
      <c r="AB636" s="396" t="b">
        <f>_xlfn.XLOOKUP(Tableau119[[#This Row],[Key(ID-date)]],'DATA BTO'!S:S,'DATA BTO'!E:E,FALSE)</f>
        <v>0</v>
      </c>
      <c r="AC636" s="3" t="b">
        <f>_xlfn.XLOOKUP(Tableau119[[#This Row],[Key(ID-date)]],'DATA BTO'!S:S,'DATA BTO'!F:F,FALSE)</f>
        <v>0</v>
      </c>
      <c r="AD636" s="50" t="b">
        <f>_xlfn.XLOOKUP(Tableau119[[#This Row],[Key(ID-date)]],'DATA BTO'!S:S,'DATA BTO'!G:G,FALSE)</f>
        <v>0</v>
      </c>
      <c r="AE636" s="50" t="b">
        <f>_xlfn.XLOOKUP(Tableau119[[#This Row],[Key(ID-date)]],'DATA BTO'!S:S,'DATA BTO'!H:H,FALSE)</f>
        <v>0</v>
      </c>
      <c r="AF636" s="447" t="e">
        <f>IF(Tableau119[[#This Row],[First Day to POL]]&lt;=Tableau119[[#This Row],[Day Cut Off]],Tableau119[[#This Row],[Day ETD]],Tableau119[[#This Row],[Day ETD]]+7)</f>
        <v>#N/A</v>
      </c>
      <c r="AG636" s="50" t="b">
        <f>_xlfn.XLOOKUP(Tableau119[[#This Row],[Key(ID-date)]],'DATA BTO'!S:S,'DATA BTO'!I:I,FALSE)</f>
        <v>0</v>
      </c>
      <c r="AH636" s="3" t="b">
        <f>_xlfn.XLOOKUP(Tableau119[[#This Row],[Key(ID-date)]],'DATA BTO'!S:S,'DATA BTO'!J:J,FALSE)</f>
        <v>0</v>
      </c>
      <c r="AI636" s="3" t="b">
        <f>_xlfn.XLOOKUP(Tableau119[[#This Row],[Key(ID-date)]],'DATA BTO'!S:S,'DATA BTO'!K:K,FALSE)</f>
        <v>0</v>
      </c>
      <c r="AJ636" s="50" t="b">
        <f>_xlfn.XLOOKUP(Tableau119[[#This Row],[Key(ID-date)]],'DATA BTO'!S:S,'DATA BTO'!L:L,FALSE)</f>
        <v>0</v>
      </c>
      <c r="AK636" s="53" t="b">
        <f>_xlfn.XLOOKUP(Tableau119[[#This Row],[Key(ID-date)]],'DATA BTO'!S:S,'DATA BTO'!N:N,FALSE)</f>
        <v>0</v>
      </c>
      <c r="AL636" s="54" t="e">
        <f>VLOOKUP(Tableau119[[#This Row],[Key(POD -PFI- Usine)]],'DATA Consignee'!A:F,6,FALSE)</f>
        <v>#N/A</v>
      </c>
      <c r="AM636" s="127"/>
      <c r="AN636" s="376" t="str">
        <f>IF(Tableau119[[#This Row],[Name PFI/CDD]]="","-",VLOOKUP(Tableau119[[#This Row],[Name PFI/CDD]],Plant_AILN!I:J,2,FALSE))</f>
        <v>-</v>
      </c>
      <c r="AO63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6" s="2" t="e">
        <f>VLOOKUP(Tableau119[[#This Row],[Key(POD -PFI- Usine)]],'DATA Consignee'!A:J,10,FALSE)</f>
        <v>#N/A</v>
      </c>
      <c r="AR636" s="50" t="e">
        <f>VLOOKUP(Tableau119[[#This Row],[Key(POD -PFI- Usine)]],'DATA Consignee'!A:N,14,FALSE)</f>
        <v>#N/A</v>
      </c>
      <c r="AS63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6" s="50">
        <f>Tableau119[[#This Row],[Transit time]]+Tableau119[[#This Row],[Time for security]]+Tableau119[[#This Row],[Time for security2 buffer]]</f>
        <v>0</v>
      </c>
      <c r="AV6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6" s="50" t="e">
        <f>Tableau119[[#This Row],[Leadtime SI2C]]+Tableau119[[#This Row],[First Receipt Days]]-Tableau119[[#This Row],[Day Customer Order]]+1</f>
        <v>#N/A</v>
      </c>
      <c r="AX636" s="119" t="e">
        <f>IF(Tableau119[[#This Row],[Name ILN]]&lt;&gt;"SFK Freight Forwarder",Tableau119[[#This Row],[Cust. Leadtime]],Tableau119[[#This Row],[Leadtime SI2C]])</f>
        <v>#N/A</v>
      </c>
      <c r="AY636" s="51" t="b">
        <f>_xlfn.XLOOKUP(Tableau119[[#This Row],[Key(ID-date)]],'DATA BTO'!S:S,'DATA BTO'!P:P,FALSE)</f>
        <v>0</v>
      </c>
      <c r="AZ636" s="338">
        <v>45777</v>
      </c>
      <c r="BA636" s="50"/>
    </row>
    <row r="637" spans="2:53">
      <c r="B637" s="446" t="str">
        <f>_xlfn.CONCAT(Tableau119[[#This Row],[Name ILN]],"-",Tableau119[[#This Row],[Name Shipper]],"-",Tableau119[[#This Row],[Name Site]])</f>
        <v>ILN VLL-ILN VLL-Curitiba CVP</v>
      </c>
      <c r="C637" s="66" t="str">
        <f>_xlfn.CONCAT(Tableau119[[#This Row],[Compte ILN]],"-",Tableau119[[#This Row],[Compte Shipper]],"-",Tableau119[[#This Row],[POL]],"-",Tableau119[[#This Row],[Compte Consignee]])</f>
        <v>91018400-91018400-FALSO-90018000</v>
      </c>
      <c r="D637" s="66" t="str">
        <f>_xlfn.CONCAT(Tableau119[[#This Row],[Compte ILN]],"-",Tableau119[[#This Row],[Compte Shipper]],"-",Tableau119[[#This Row],[POL]])</f>
        <v>91018400-91018400-FALSO</v>
      </c>
      <c r="E637" s="130" t="str">
        <f>_xlfn.CONCAT(Tableau119[[#This Row],[POL]],"-",Tableau119[[#This Row],[Carrier]],"-",Tableau119[[#This Row],[POD]])</f>
        <v>FALSO-FALSO-FALSO</v>
      </c>
      <c r="F637" s="66" t="str">
        <f>_xlfn.CONCAT(Tableau119[[#This Row],[ID]],"-","Actif")</f>
        <v>249-Actif</v>
      </c>
      <c r="G637" s="66" t="str">
        <f>_xlfn.CONCAT(Tableau119[[#This Row],[POD]],"-",Tableau119[[#This Row],[Code PFI]],"-",Tableau119[[#This Row],[Compte Consignee]])</f>
        <v>FALSO---90018000</v>
      </c>
      <c r="H6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CVP</v>
      </c>
      <c r="I637" s="434" t="str">
        <f>_xlfn.CONCAT(Tableau119[[#This Row],[ID]],"-",Tableau119[[#This Row],[Expiration Date]])</f>
        <v>249-45473</v>
      </c>
      <c r="J6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VLL-ILN VLL-249-FALSO-FALSO-FALSO--45473</v>
      </c>
      <c r="K637" s="119" t="str">
        <f ca="1">IF(COUNTIF(J:J,Tableau119[[#This Row],[Plant-ILN-shipper-POL-Carrier-POD-PFI]])=1,"Non","Oui")</f>
        <v>Non</v>
      </c>
      <c r="L637" s="128" t="str">
        <f>VLOOKUP(Tableau119[[#This Row],[Name Site]],Plant_AILN!A:D,4,FALSE)</f>
        <v>BRAZIL</v>
      </c>
      <c r="M637" s="415" t="s">
        <v>152</v>
      </c>
      <c r="N637" s="455">
        <f>VLOOKUP(Tableau119[[#This Row],[Name Site]],Plant_AILN!A:C,3,FALSE)</f>
        <v>90018000</v>
      </c>
      <c r="O637" s="104">
        <f>VLOOKUP(Tableau119[[#This Row],[Compte Consignee]],Order!C:D,2,FALSE)</f>
        <v>7</v>
      </c>
      <c r="P637" s="126" t="s">
        <v>151</v>
      </c>
      <c r="Q637" s="366">
        <f>VLOOKUP(Tableau119[[#This Row],[Name ILN]],Plant_AILN!F:G,2,FALSE)</f>
        <v>91018400</v>
      </c>
      <c r="R637" s="81">
        <f>VLOOKUP(Tableau119[[#This Row],[Compte ILN]],'DATA ILN'!D:I,6,FALSE)</f>
        <v>9</v>
      </c>
      <c r="S637" s="81" t="e">
        <f>IFERROR(VLOOKUP(Tableau119[[#This Row],[Key(Compte ILN - shipper - POL - plant)]],'DATA ILN'!A:J,10,FALSE),VLOOKUP(Tableau119[[#This Row],[Key(Compte ILN - shipper - POL)]],'DATA ILN'!B:J,9,FALSE))</f>
        <v>#N/A</v>
      </c>
      <c r="T637" s="81" t="e">
        <f>IFERROR(VLOOKUP(Tableau119[[#This Row],[Key(Compte ILN - shipper - POL - plant)]],'DATA ILN'!A:K,11,FALSE),VLOOKUP(Tableau119[[#This Row],[Key(Compte ILN - shipper - POL)]],'DATA ILN'!B:K,10,FALSE))</f>
        <v>#N/A</v>
      </c>
      <c r="U637" s="81" t="e">
        <f>IFERROR(VLOOKUP(Tableau119[[#This Row],[Key(Compte ILN - shipper - POL - plant)]],'DATA ILN'!A:L,12,FALSE),VLOOKUP(Tableau119[[#This Row],[Key(Compte ILN - shipper - POL)]],'DATA ILN'!B:L,11,FALSE))</f>
        <v>#N/A</v>
      </c>
      <c r="V637" s="81" t="e">
        <f>Tableau119[[#This Row],[Day ILN Order]]+Tableau119[[#This Row],[Delivery time to ILN/Shipper]]-1</f>
        <v>#N/A</v>
      </c>
      <c r="W637" s="81" t="e">
        <f>IFERROR(VLOOKUP(Tableau119[[#This Row],[Key(Compte ILN - shipper - POL - plant)]],'DATA ILN'!A:N,14,FALSE),VLOOKUP(Tableau119[[#This Row],[Key(Compte ILN - shipper - POL)]],'DATA ILN'!B:N,13,FALSE))</f>
        <v>#N/A</v>
      </c>
      <c r="X637" s="81" t="e">
        <f>IFERROR(VLOOKUP(Tableau119[[#This Row],[Key(Compte ILN - shipper - POL - plant)]],'DATA ILN'!A:P,16,FALSE),VLOOKUP(Tableau119[[#This Row],[Key(Compte ILN - shipper - POL)]],'DATA ILN'!B:P,15,FALSE))</f>
        <v>#N/A</v>
      </c>
      <c r="Y637" s="102" t="s">
        <v>151</v>
      </c>
      <c r="Z637" s="417">
        <f>IFERROR(VLOOKUP(Tableau119[[#This Row],[Name Shipper]],Plant_AILN!L:M,2,FALSE),0)</f>
        <v>91018400</v>
      </c>
      <c r="AA637" s="416">
        <v>249</v>
      </c>
      <c r="AB637" s="396" t="b">
        <f>_xlfn.XLOOKUP(Tableau119[[#This Row],[Key(ID-date)]],'DATA BTO'!S:S,'DATA BTO'!E:E,FALSE)</f>
        <v>0</v>
      </c>
      <c r="AC637" s="3" t="b">
        <f>_xlfn.XLOOKUP(Tableau119[[#This Row],[Key(ID-date)]],'DATA BTO'!S:S,'DATA BTO'!F:F,FALSE)</f>
        <v>0</v>
      </c>
      <c r="AD637" s="50" t="b">
        <f>_xlfn.XLOOKUP(Tableau119[[#This Row],[Key(ID-date)]],'DATA BTO'!S:S,'DATA BTO'!G:G,FALSE)</f>
        <v>0</v>
      </c>
      <c r="AE637" s="50" t="b">
        <f>_xlfn.XLOOKUP(Tableau119[[#This Row],[Key(ID-date)]],'DATA BTO'!S:S,'DATA BTO'!H:H,FALSE)</f>
        <v>0</v>
      </c>
      <c r="AF637" s="447" t="e">
        <f>IF(Tableau119[[#This Row],[First Day to POL]]&lt;=Tableau119[[#This Row],[Day Cut Off]],Tableau119[[#This Row],[Day ETD]],Tableau119[[#This Row],[Day ETD]]+7)</f>
        <v>#N/A</v>
      </c>
      <c r="AG637" s="50" t="b">
        <f>_xlfn.XLOOKUP(Tableau119[[#This Row],[Key(ID-date)]],'DATA BTO'!S:S,'DATA BTO'!I:I,FALSE)</f>
        <v>0</v>
      </c>
      <c r="AH637" s="3" t="b">
        <f>_xlfn.XLOOKUP(Tableau119[[#This Row],[Key(ID-date)]],'DATA BTO'!S:S,'DATA BTO'!J:J,FALSE)</f>
        <v>0</v>
      </c>
      <c r="AI637" s="3" t="b">
        <f>_xlfn.XLOOKUP(Tableau119[[#This Row],[Key(ID-date)]],'DATA BTO'!S:S,'DATA BTO'!K:K,FALSE)</f>
        <v>0</v>
      </c>
      <c r="AJ637" s="50" t="b">
        <f>_xlfn.XLOOKUP(Tableau119[[#This Row],[Key(ID-date)]],'DATA BTO'!S:S,'DATA BTO'!L:L,FALSE)</f>
        <v>0</v>
      </c>
      <c r="AK637" s="53" t="b">
        <f>_xlfn.XLOOKUP(Tableau119[[#This Row],[Key(ID-date)]],'DATA BTO'!S:S,'DATA BTO'!N:N,FALSE)</f>
        <v>0</v>
      </c>
      <c r="AL637" s="54" t="e">
        <f>VLOOKUP(Tableau119[[#This Row],[Key(POD -PFI- Usine)]],'DATA Consignee'!A:F,6,FALSE)</f>
        <v>#N/A</v>
      </c>
      <c r="AM637" s="127"/>
      <c r="AN637" s="375" t="str">
        <f>IF(Tableau119[[#This Row],[Name PFI/CDD]]="","-",VLOOKUP(Tableau119[[#This Row],[Name PFI/CDD]],Plant_AILN!I:J,2,FALSE))</f>
        <v>-</v>
      </c>
      <c r="AO63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7" s="110" t="e">
        <f>VLOOKUP(Tableau119[[#This Row],[Key(POD -PFI- Usine)]],'DATA Consignee'!A:J,10,FALSE)</f>
        <v>#N/A</v>
      </c>
      <c r="AR637" s="81" t="e">
        <f>VLOOKUP(Tableau119[[#This Row],[Key(POD -PFI- Usine)]],'DATA Consignee'!A:N,14,FALSE)</f>
        <v>#N/A</v>
      </c>
      <c r="AS63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7" s="81">
        <f>Tableau119[[#This Row],[Transit time]]+Tableau119[[#This Row],[Time for security]]+Tableau119[[#This Row],[Time for security2 buffer]]</f>
        <v>0</v>
      </c>
      <c r="AV6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7" s="50" t="e">
        <f>Tableau119[[#This Row],[Leadtime SI2C]]+Tableau119[[#This Row],[First Receipt Days]]-Tableau119[[#This Row],[Day Customer Order]]+1</f>
        <v>#N/A</v>
      </c>
      <c r="AX637" s="119" t="e">
        <f>IF(Tableau119[[#This Row],[Name ILN]]&lt;&gt;"SFK Freight Forwarder",Tableau119[[#This Row],[Cust. Leadtime]],Tableau119[[#This Row],[Leadtime SI2C]])</f>
        <v>#N/A</v>
      </c>
      <c r="AY637" s="51" t="b">
        <f>_xlfn.XLOOKUP(Tableau119[[#This Row],[Key(ID-date)]],'DATA BTO'!S:S,'DATA BTO'!P:P,FALSE)</f>
        <v>0</v>
      </c>
      <c r="AZ637" s="388">
        <v>45473</v>
      </c>
      <c r="BA637" s="81"/>
    </row>
    <row r="638" spans="2:53">
      <c r="B638" s="446" t="str">
        <f>_xlfn.CONCAT(Tableau119[[#This Row],[Name ILN]],"-",Tableau119[[#This Row],[Name Shipper]],"-",Tableau119[[#This Row],[Name Site]])</f>
        <v>ILN VLL-ILN VLL-Curitiba CVU</v>
      </c>
      <c r="C638" s="66" t="str">
        <f>_xlfn.CONCAT(Tableau119[[#This Row],[Compte ILN]],"-",Tableau119[[#This Row],[Compte Shipper]],"-",Tableau119[[#This Row],[POL]],"-",Tableau119[[#This Row],[Compte Consignee]])</f>
        <v>91018400-91018400-FALSO-90018500</v>
      </c>
      <c r="D638" s="66" t="str">
        <f>_xlfn.CONCAT(Tableau119[[#This Row],[Compte ILN]],"-",Tableau119[[#This Row],[Compte Shipper]],"-",Tableau119[[#This Row],[POL]])</f>
        <v>91018400-91018400-FALSO</v>
      </c>
      <c r="E638" s="130" t="str">
        <f>_xlfn.CONCAT(Tableau119[[#This Row],[POL]],"-",Tableau119[[#This Row],[Carrier]],"-",Tableau119[[#This Row],[POD]])</f>
        <v>FALSO-FALSO-FALSO</v>
      </c>
      <c r="F638" s="66" t="str">
        <f>_xlfn.CONCAT(Tableau119[[#This Row],[ID]],"-","Actif")</f>
        <v>249-Actif</v>
      </c>
      <c r="G638" s="66" t="str">
        <f>_xlfn.CONCAT(Tableau119[[#This Row],[POD]],"-",Tableau119[[#This Row],[Code PFI]],"-",Tableau119[[#This Row],[Compte Consignee]])</f>
        <v>FALSO---90018500</v>
      </c>
      <c r="H6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VLLFALSOCuritiba CVU</v>
      </c>
      <c r="I638" s="434" t="str">
        <f>_xlfn.CONCAT(Tableau119[[#This Row],[ID]],"-",Tableau119[[#This Row],[Expiration Date]])</f>
        <v>249-45473</v>
      </c>
      <c r="J6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VLL-ILN VLL-249-FALSO-FALSO-FALSO--45473</v>
      </c>
      <c r="K638" s="119" t="str">
        <f ca="1">IF(COUNTIF(J:J,Tableau119[[#This Row],[Plant-ILN-shipper-POL-Carrier-POD-PFI]])=1,"Non","Oui")</f>
        <v>Non</v>
      </c>
      <c r="L638" s="128" t="str">
        <f>VLOOKUP(Tableau119[[#This Row],[Name Site]],Plant_AILN!A:D,4,FALSE)</f>
        <v>BRAZIL</v>
      </c>
      <c r="M638" s="411" t="s">
        <v>639</v>
      </c>
      <c r="N638" s="454">
        <f>VLOOKUP(Tableau119[[#This Row],[Name Site]],Plant_AILN!A:C,3,FALSE)</f>
        <v>90018500</v>
      </c>
      <c r="O638" s="55">
        <f>VLOOKUP(Tableau119[[#This Row],[Compte Consignee]],Order!C:D,2,FALSE)</f>
        <v>7</v>
      </c>
      <c r="P638" s="124" t="s">
        <v>151</v>
      </c>
      <c r="Q638" s="365">
        <f>VLOOKUP(Tableau119[[#This Row],[Name ILN]],Plant_AILN!F:G,2,FALSE)</f>
        <v>91018400</v>
      </c>
      <c r="R638" s="50">
        <f>VLOOKUP(Tableau119[[#This Row],[Compte ILN]],'DATA ILN'!D:I,6,FALSE)</f>
        <v>9</v>
      </c>
      <c r="S638" s="50" t="e">
        <f>IFERROR(VLOOKUP(Tableau119[[#This Row],[Key(Compte ILN - shipper - POL - plant)]],'DATA ILN'!A:J,10,FALSE),VLOOKUP(Tableau119[[#This Row],[Key(Compte ILN - shipper - POL)]],'DATA ILN'!B:J,9,FALSE))</f>
        <v>#N/A</v>
      </c>
      <c r="T638" s="50" t="e">
        <f>IFERROR(VLOOKUP(Tableau119[[#This Row],[Key(Compte ILN - shipper - POL - plant)]],'DATA ILN'!A:K,11,FALSE),VLOOKUP(Tableau119[[#This Row],[Key(Compte ILN - shipper - POL)]],'DATA ILN'!B:K,10,FALSE))</f>
        <v>#N/A</v>
      </c>
      <c r="U638" s="50" t="e">
        <f>IFERROR(VLOOKUP(Tableau119[[#This Row],[Key(Compte ILN - shipper - POL - plant)]],'DATA ILN'!A:L,12,FALSE),VLOOKUP(Tableau119[[#This Row],[Key(Compte ILN - shipper - POL)]],'DATA ILN'!B:L,11,FALSE))</f>
        <v>#N/A</v>
      </c>
      <c r="V638" s="50" t="e">
        <f>Tableau119[[#This Row],[Day ILN Order]]+Tableau119[[#This Row],[Delivery time to ILN/Shipper]]-1</f>
        <v>#N/A</v>
      </c>
      <c r="W638" s="50" t="e">
        <f>IFERROR(VLOOKUP(Tableau119[[#This Row],[Key(Compte ILN - shipper - POL - plant)]],'DATA ILN'!A:N,14,FALSE),VLOOKUP(Tableau119[[#This Row],[Key(Compte ILN - shipper - POL)]],'DATA ILN'!B:N,13,FALSE))</f>
        <v>#N/A</v>
      </c>
      <c r="X638" s="50" t="e">
        <f>IFERROR(VLOOKUP(Tableau119[[#This Row],[Key(Compte ILN - shipper - POL - plant)]],'DATA ILN'!A:P,16,FALSE),VLOOKUP(Tableau119[[#This Row],[Key(Compte ILN - shipper - POL)]],'DATA ILN'!B:P,15,FALSE))</f>
        <v>#N/A</v>
      </c>
      <c r="Y638" s="284" t="s">
        <v>151</v>
      </c>
      <c r="Z638" s="430">
        <f>IFERROR(VLOOKUP(Tableau119[[#This Row],[Name Shipper]],Plant_AILN!L:M,2,FALSE),0)</f>
        <v>91018400</v>
      </c>
      <c r="AA638" s="406">
        <v>249</v>
      </c>
      <c r="AB638" s="396" t="b">
        <f>_xlfn.XLOOKUP(Tableau119[[#This Row],[Key(ID-date)]],'DATA BTO'!S:S,'DATA BTO'!E:E,FALSE)</f>
        <v>0</v>
      </c>
      <c r="AC638" s="3" t="b">
        <f>_xlfn.XLOOKUP(Tableau119[[#This Row],[Key(ID-date)]],'DATA BTO'!S:S,'DATA BTO'!F:F,FALSE)</f>
        <v>0</v>
      </c>
      <c r="AD638" s="50" t="b">
        <f>_xlfn.XLOOKUP(Tableau119[[#This Row],[Key(ID-date)]],'DATA BTO'!S:S,'DATA BTO'!G:G,FALSE)</f>
        <v>0</v>
      </c>
      <c r="AE638" s="50" t="b">
        <f>_xlfn.XLOOKUP(Tableau119[[#This Row],[Key(ID-date)]],'DATA BTO'!S:S,'DATA BTO'!H:H,FALSE)</f>
        <v>0</v>
      </c>
      <c r="AF638" s="447" t="e">
        <f>IF(Tableau119[[#This Row],[First Day to POL]]&lt;=Tableau119[[#This Row],[Day Cut Off]],Tableau119[[#This Row],[Day ETD]],Tableau119[[#This Row],[Day ETD]]+7)</f>
        <v>#N/A</v>
      </c>
      <c r="AG638" s="50" t="b">
        <f>_xlfn.XLOOKUP(Tableau119[[#This Row],[Key(ID-date)]],'DATA BTO'!S:S,'DATA BTO'!I:I,FALSE)</f>
        <v>0</v>
      </c>
      <c r="AH638" s="3" t="b">
        <f>_xlfn.XLOOKUP(Tableau119[[#This Row],[Key(ID-date)]],'DATA BTO'!S:S,'DATA BTO'!J:J,FALSE)</f>
        <v>0</v>
      </c>
      <c r="AI638" s="3" t="b">
        <f>_xlfn.XLOOKUP(Tableau119[[#This Row],[Key(ID-date)]],'DATA BTO'!S:S,'DATA BTO'!K:K,FALSE)</f>
        <v>0</v>
      </c>
      <c r="AJ638" s="50" t="b">
        <f>_xlfn.XLOOKUP(Tableau119[[#This Row],[Key(ID-date)]],'DATA BTO'!S:S,'DATA BTO'!L:L,FALSE)</f>
        <v>0</v>
      </c>
      <c r="AK638" s="53" t="b">
        <f>_xlfn.XLOOKUP(Tableau119[[#This Row],[Key(ID-date)]],'DATA BTO'!S:S,'DATA BTO'!N:N,FALSE)</f>
        <v>0</v>
      </c>
      <c r="AL638" s="54" t="e">
        <f>VLOOKUP(Tableau119[[#This Row],[Key(POD -PFI- Usine)]],'DATA Consignee'!A:F,6,FALSE)</f>
        <v>#N/A</v>
      </c>
      <c r="AM638" s="127"/>
      <c r="AN638" s="376" t="str">
        <f>IF(Tableau119[[#This Row],[Name PFI/CDD]]="","-",VLOOKUP(Tableau119[[#This Row],[Name PFI/CDD]],Plant_AILN!I:J,2,FALSE))</f>
        <v>-</v>
      </c>
      <c r="AO6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8" s="2" t="e">
        <f>VLOOKUP(Tableau119[[#This Row],[Key(POD -PFI- Usine)]],'DATA Consignee'!A:J,10,FALSE)</f>
        <v>#N/A</v>
      </c>
      <c r="AR638" s="50" t="e">
        <f>VLOOKUP(Tableau119[[#This Row],[Key(POD -PFI- Usine)]],'DATA Consignee'!A:N,14,FALSE)</f>
        <v>#N/A</v>
      </c>
      <c r="AS6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8" s="50">
        <f>Tableau119[[#This Row],[Transit time]]+Tableau119[[#This Row],[Time for security]]+Tableau119[[#This Row],[Time for security2 buffer]]</f>
        <v>0</v>
      </c>
      <c r="AV6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8" s="50" t="e">
        <f>Tableau119[[#This Row],[Leadtime SI2C]]+Tableau119[[#This Row],[First Receipt Days]]-Tableau119[[#This Row],[Day Customer Order]]+1</f>
        <v>#N/A</v>
      </c>
      <c r="AX638" s="119" t="e">
        <f>IF(Tableau119[[#This Row],[Name ILN]]&lt;&gt;"SFK Freight Forwarder",Tableau119[[#This Row],[Cust. Leadtime]],Tableau119[[#This Row],[Leadtime SI2C]])</f>
        <v>#N/A</v>
      </c>
      <c r="AY638" s="51" t="b">
        <f>_xlfn.XLOOKUP(Tableau119[[#This Row],[Key(ID-date)]],'DATA BTO'!S:S,'DATA BTO'!P:P,FALSE)</f>
        <v>0</v>
      </c>
      <c r="AZ638" s="338">
        <v>45473</v>
      </c>
      <c r="BA638" s="50"/>
    </row>
    <row r="639" spans="2:53">
      <c r="B639" s="66" t="str">
        <f>_xlfn.CONCAT(Tableau119[[#This Row],[Name ILN]],"-",Tableau119[[#This Row],[Name Shipper]],"-",Tableau119[[#This Row],[Name Site]])</f>
        <v>ILN VLL-SEVILLE-MEXIQUE AGV</v>
      </c>
      <c r="C639" s="66" t="str">
        <f>_xlfn.CONCAT(Tableau119[[#This Row],[Compte ILN]],"-",Tableau119[[#This Row],[Compte Shipper]],"-",Tableau119[[#This Row],[POL]],"-",Tableau119[[#This Row],[Compte Consignee]])</f>
        <v>91018400-91017500-FALSO-90101300</v>
      </c>
      <c r="D639" s="66" t="str">
        <f>_xlfn.CONCAT(Tableau119[[#This Row],[Compte ILN]],"-",Tableau119[[#This Row],[Compte Shipper]],"-",Tableau119[[#This Row],[POL]])</f>
        <v>91018400-91017500-FALSO</v>
      </c>
      <c r="E639" s="130" t="str">
        <f>_xlfn.CONCAT(Tableau119[[#This Row],[POL]],"-",Tableau119[[#This Row],[Carrier]],"-",Tableau119[[#This Row],[POD]])</f>
        <v>FALSO-FALSO-FALSO</v>
      </c>
      <c r="F639" s="66" t="str">
        <f>_xlfn.CONCAT(Tableau119[[#This Row],[ID]],"-","Actif")</f>
        <v>258-Actif</v>
      </c>
      <c r="G639" s="66" t="str">
        <f>_xlfn.CONCAT(Tableau119[[#This Row],[POD]],"-",Tableau119[[#This Row],[Code PFI]],"-",Tableau119[[#This Row],[Compte Consignee]])</f>
        <v>FALSO---90101300</v>
      </c>
      <c r="H6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91017500FALSOMEXIQUE AGV</v>
      </c>
      <c r="I639" s="434" t="str">
        <f>_xlfn.CONCAT(Tableau119[[#This Row],[ID]],"-",Tableau119[[#This Row],[Expiration Date]])</f>
        <v>258-46142</v>
      </c>
      <c r="J6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AGV-ILN VLL-SEVILLE-258-FALSO-FALSO-FALSO--46142</v>
      </c>
      <c r="K639" s="119" t="str">
        <f ca="1">IF(COUNTIF(J:J,Tableau119[[#This Row],[Plant-ILN-shipper-POL-Carrier-POD-PFI]])=1,"Non","Oui")</f>
        <v>Non</v>
      </c>
      <c r="L639" s="436" t="str">
        <f>VLOOKUP(Tableau119[[#This Row],[Name Site]],Plant_AILN!A:D,4,FALSE)</f>
        <v>MEXICO</v>
      </c>
      <c r="M639" s="485" t="s">
        <v>467</v>
      </c>
      <c r="N639" s="455">
        <f>VLOOKUP(Tableau119[[#This Row],[Name Site]],Plant_AILN!A:C,3,FALSE)</f>
        <v>90101300</v>
      </c>
      <c r="O639" s="104">
        <f>IF(Tableau119[[#This Row],[Name PFI/CDD]]="PFI VLL",2,VLOOKUP(Tableau119[[#This Row],[Compte Consignee]],Order!C:D,2,FALSE))</f>
        <v>7</v>
      </c>
      <c r="P639" s="126" t="s">
        <v>151</v>
      </c>
      <c r="Q639" s="366">
        <f>VLOOKUP(Tableau119[[#This Row],[Name ILN]],Plant_AILN!F:G,2,FALSE)</f>
        <v>91018400</v>
      </c>
      <c r="R639" s="81">
        <f>VLOOKUP(Tableau119[[#This Row],[Compte ILN]],'DATA ILN'!D:I,6,FALSE)</f>
        <v>9</v>
      </c>
      <c r="S639" s="81" t="e">
        <f>IFERROR(VLOOKUP(Tableau119[[#This Row],[Key(Compte ILN - shipper - POL - plant)]],'DATA ILN'!A:J,10,FALSE),VLOOKUP(Tableau119[[#This Row],[Key(Compte ILN - shipper - POL)]],'DATA ILN'!B:J,9,FALSE))</f>
        <v>#N/A</v>
      </c>
      <c r="T639" s="81" t="e">
        <f>IFERROR(VLOOKUP(Tableau119[[#This Row],[Key(Compte ILN - shipper - POL - plant)]],'DATA ILN'!A:K,11,FALSE),VLOOKUP(Tableau119[[#This Row],[Key(Compte ILN - shipper - POL)]],'DATA ILN'!B:K,10,FALSE))</f>
        <v>#N/A</v>
      </c>
      <c r="U639" s="81" t="e">
        <f>IFERROR(VLOOKUP(Tableau119[[#This Row],[Key(Compte ILN - shipper - POL - plant)]],'DATA ILN'!A:L,12,FALSE),VLOOKUP(Tableau119[[#This Row],[Key(Compte ILN - shipper - POL)]],'DATA ILN'!B:L,11,FALSE))</f>
        <v>#N/A</v>
      </c>
      <c r="V639" s="81" t="e">
        <f>Tableau119[[#This Row],[Day ILN Order]]+Tableau119[[#This Row],[Delivery time to ILN/Shipper]]-1</f>
        <v>#N/A</v>
      </c>
      <c r="W639" s="81" t="e">
        <f>IFERROR(VLOOKUP(Tableau119[[#This Row],[Key(Compte ILN - shipper - POL - plant)]],'DATA ILN'!A:N,14,FALSE),VLOOKUP(Tableau119[[#This Row],[Key(Compte ILN - shipper - POL)]],'DATA ILN'!B:N,13,FALSE))</f>
        <v>#N/A</v>
      </c>
      <c r="X639" s="81" t="e">
        <f>IFERROR(VLOOKUP(Tableau119[[#This Row],[Key(Compte ILN - shipper - POL - plant)]],'DATA ILN'!A:P,16,FALSE),VLOOKUP(Tableau119[[#This Row],[Key(Compte ILN - shipper - POL)]],'DATA ILN'!B:P,15,FALSE))</f>
        <v>#N/A</v>
      </c>
      <c r="Y639" s="102" t="s">
        <v>156</v>
      </c>
      <c r="Z639" s="417">
        <f>IFERROR(VLOOKUP(Tableau119[[#This Row],[Name Shipper]],Plant_AILN!L:M,2,FALSE),0)</f>
        <v>91017500</v>
      </c>
      <c r="AA639" s="416">
        <v>258</v>
      </c>
      <c r="AB639" s="396" t="b">
        <f>_xlfn.XLOOKUP(Tableau119[[#This Row],[Key(ID-date)]],'DATA BTO'!S:S,'DATA BTO'!E:E,FALSE)</f>
        <v>0</v>
      </c>
      <c r="AC639" s="3" t="b">
        <f>_xlfn.XLOOKUP(Tableau119[[#This Row],[Key(ID-date)]],'DATA BTO'!S:S,'DATA BTO'!F:F,FALSE)</f>
        <v>0</v>
      </c>
      <c r="AD639" s="50" t="b">
        <f>_xlfn.XLOOKUP(Tableau119[[#This Row],[Key(ID-date)]],'DATA BTO'!S:S,'DATA BTO'!G:G,FALSE)</f>
        <v>0</v>
      </c>
      <c r="AE639" s="50" t="b">
        <f>_xlfn.XLOOKUP(Tableau119[[#This Row],[Key(ID-date)]],'DATA BTO'!S:S,'DATA BTO'!H:H,FALSE)</f>
        <v>0</v>
      </c>
      <c r="AF639" s="447" t="e">
        <f>IF(Tableau119[[#This Row],[First Day to POL]]&lt;=Tableau119[[#This Row],[Day Cut Off]],Tableau119[[#This Row],[Day ETD]],Tableau119[[#This Row],[Day ETD]]+7)</f>
        <v>#N/A</v>
      </c>
      <c r="AG639" s="50" t="b">
        <f>_xlfn.XLOOKUP(Tableau119[[#This Row],[Key(ID-date)]],'DATA BTO'!S:S,'DATA BTO'!I:I,FALSE)</f>
        <v>0</v>
      </c>
      <c r="AH639" s="3" t="b">
        <f>_xlfn.XLOOKUP(Tableau119[[#This Row],[Key(ID-date)]],'DATA BTO'!S:S,'DATA BTO'!J:J,FALSE)</f>
        <v>0</v>
      </c>
      <c r="AI639" s="3" t="b">
        <f>_xlfn.XLOOKUP(Tableau119[[#This Row],[Key(ID-date)]],'DATA BTO'!S:S,'DATA BTO'!K:K,FALSE)</f>
        <v>0</v>
      </c>
      <c r="AJ639" s="50" t="b">
        <f>_xlfn.XLOOKUP(Tableau119[[#This Row],[Key(ID-date)]],'DATA BTO'!S:S,'DATA BTO'!L:L,FALSE)</f>
        <v>0</v>
      </c>
      <c r="AK639" s="53" t="b">
        <f>_xlfn.XLOOKUP(Tableau119[[#This Row],[Key(ID-date)]],'DATA BTO'!S:S,'DATA BTO'!N:N,FALSE)</f>
        <v>0</v>
      </c>
      <c r="AL639" s="54" t="e">
        <f>VLOOKUP(Tableau119[[#This Row],[Key(POD -PFI- Usine)]],'DATA Consignee'!A:F,6,FALSE)</f>
        <v>#N/A</v>
      </c>
      <c r="AM639" s="127"/>
      <c r="AN639" s="375" t="str">
        <f>IF(Tableau119[[#This Row],[Name PFI/CDD]]="","-",VLOOKUP(Tableau119[[#This Row],[Name PFI/CDD]],Plant_AILN!I:J,2,FALSE))</f>
        <v>-</v>
      </c>
      <c r="AO63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3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39" s="110" t="e">
        <f>VLOOKUP(Tableau119[[#This Row],[Key(POD -PFI- Usine)]],'DATA Consignee'!A:J,10,FALSE)</f>
        <v>#N/A</v>
      </c>
      <c r="AR639" s="81" t="e">
        <f>VLOOKUP(Tableau119[[#This Row],[Key(POD -PFI- Usine)]],'DATA Consignee'!A:N,14,FALSE)</f>
        <v>#N/A</v>
      </c>
      <c r="AS63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3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39" s="81">
        <f>Tableau119[[#This Row],[Transit time]]+Tableau119[[#This Row],[Time for security]]+Tableau119[[#This Row],[Time for security2 buffer]]</f>
        <v>0</v>
      </c>
      <c r="AV6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39" s="50" t="e">
        <f>Tableau119[[#This Row],[Leadtime SI2C]]+Tableau119[[#This Row],[First Receipt Days]]-Tableau119[[#This Row],[Day Customer Order]]+1</f>
        <v>#N/A</v>
      </c>
      <c r="AX639" s="119" t="e">
        <f>IF(Tableau119[[#This Row],[Name ILN]]&lt;&gt;"SFK Freight Forwarder",Tableau119[[#This Row],[Cust. Leadtime]],Tableau119[[#This Row],[Leadtime SI2C]])</f>
        <v>#N/A</v>
      </c>
      <c r="AY639" s="51" t="b">
        <f>_xlfn.XLOOKUP(Tableau119[[#This Row],[Key(ID-date)]],'DATA BTO'!S:S,'DATA BTO'!P:P,FALSE)</f>
        <v>0</v>
      </c>
      <c r="AZ639" s="388">
        <v>46142</v>
      </c>
      <c r="BA639" s="81"/>
    </row>
    <row r="640" spans="2:53">
      <c r="B640" s="446" t="str">
        <f>_xlfn.CONCAT(Tableau119[[#This Row],[Name ILN]],"-",Tableau119[[#This Row],[Name Shipper]],"-",Tableau119[[#This Row],[Name Site]])</f>
        <v>ILN VLL-SEVILLE-MEXIQUE AGV</v>
      </c>
      <c r="C640" s="66" t="str">
        <f>_xlfn.CONCAT(Tableau119[[#This Row],[Compte ILN]],"-",Tableau119[[#This Row],[Compte Shipper]],"-",Tableau119[[#This Row],[POL]],"-",Tableau119[[#This Row],[Compte Consignee]])</f>
        <v>91018400-91017500-FALSO-90101300</v>
      </c>
      <c r="D640" s="66" t="str">
        <f>_xlfn.CONCAT(Tableau119[[#This Row],[Compte ILN]],"-",Tableau119[[#This Row],[Compte Shipper]],"-",Tableau119[[#This Row],[POL]])</f>
        <v>91018400-91017500-FALSO</v>
      </c>
      <c r="E640" s="130" t="str">
        <f>_xlfn.CONCAT(Tableau119[[#This Row],[POL]],"-",Tableau119[[#This Row],[Carrier]],"-",Tableau119[[#This Row],[POD]])</f>
        <v>FALSO-FALSO-FALSO</v>
      </c>
      <c r="F640" s="66" t="str">
        <f>_xlfn.CONCAT(Tableau119[[#This Row],[ID]],"-","Actif")</f>
        <v>258-Actif</v>
      </c>
      <c r="G640" s="66" t="str">
        <f>_xlfn.CONCAT(Tableau119[[#This Row],[POD]],"-",Tableau119[[#This Row],[Code PFI]],"-",Tableau119[[#This Row],[Compte Consignee]])</f>
        <v>FALSO---90101300</v>
      </c>
      <c r="H6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91017500FALSOMEXIQUE AGV</v>
      </c>
      <c r="I640" s="434" t="str">
        <f>_xlfn.CONCAT(Tableau119[[#This Row],[ID]],"-",Tableau119[[#This Row],[Expiration Date]])</f>
        <v>258-45777</v>
      </c>
      <c r="J6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AGV-ILN VLL-SEVILLE-258-FALSO-FALSO-FALSO--45777</v>
      </c>
      <c r="K640" s="119" t="str">
        <f ca="1">IF(COUNTIF(J:J,Tableau119[[#This Row],[Plant-ILN-shipper-POL-Carrier-POD-PFI]])=1,"Non","Oui")</f>
        <v>Non</v>
      </c>
      <c r="L640" s="128" t="str">
        <f>VLOOKUP(Tableau119[[#This Row],[Name Site]],Plant_AILN!A:D,4,FALSE)</f>
        <v>MEXICO</v>
      </c>
      <c r="M640" s="411" t="s">
        <v>467</v>
      </c>
      <c r="N640" s="454">
        <f>VLOOKUP(Tableau119[[#This Row],[Name Site]],Plant_AILN!A:C,3,FALSE)</f>
        <v>90101300</v>
      </c>
      <c r="O640" s="55">
        <f>VLOOKUP(Tableau119[[#This Row],[Compte Consignee]],Order!C:D,2,FALSE)</f>
        <v>7</v>
      </c>
      <c r="P640" s="124" t="s">
        <v>151</v>
      </c>
      <c r="Q640" s="365">
        <f>VLOOKUP(Tableau119[[#This Row],[Name ILN]],Plant_AILN!F:G,2,FALSE)</f>
        <v>91018400</v>
      </c>
      <c r="R640" s="50">
        <f>VLOOKUP(Tableau119[[#This Row],[Compte ILN]],'DATA ILN'!D:I,6,FALSE)</f>
        <v>9</v>
      </c>
      <c r="S640" s="50" t="e">
        <f>IFERROR(VLOOKUP(Tableau119[[#This Row],[Key(Compte ILN - shipper - POL - plant)]],'DATA ILN'!A:J,10,FALSE),VLOOKUP(Tableau119[[#This Row],[Key(Compte ILN - shipper - POL)]],'DATA ILN'!B:J,9,FALSE))</f>
        <v>#N/A</v>
      </c>
      <c r="T640" s="50" t="e">
        <f>IFERROR(VLOOKUP(Tableau119[[#This Row],[Key(Compte ILN - shipper - POL - plant)]],'DATA ILN'!A:K,11,FALSE),VLOOKUP(Tableau119[[#This Row],[Key(Compte ILN - shipper - POL)]],'DATA ILN'!B:K,10,FALSE))</f>
        <v>#N/A</v>
      </c>
      <c r="U640" s="50" t="e">
        <f>IFERROR(VLOOKUP(Tableau119[[#This Row],[Key(Compte ILN - shipper - POL - plant)]],'DATA ILN'!A:L,12,FALSE),VLOOKUP(Tableau119[[#This Row],[Key(Compte ILN - shipper - POL)]],'DATA ILN'!B:L,11,FALSE))</f>
        <v>#N/A</v>
      </c>
      <c r="V640" s="50" t="e">
        <f>Tableau119[[#This Row],[Day ILN Order]]+Tableau119[[#This Row],[Delivery time to ILN/Shipper]]-1</f>
        <v>#N/A</v>
      </c>
      <c r="W640" s="50" t="e">
        <f>IFERROR(VLOOKUP(Tableau119[[#This Row],[Key(Compte ILN - shipper - POL - plant)]],'DATA ILN'!A:N,14,FALSE),VLOOKUP(Tableau119[[#This Row],[Key(Compte ILN - shipper - POL)]],'DATA ILN'!B:N,13,FALSE))</f>
        <v>#N/A</v>
      </c>
      <c r="X640" s="50" t="e">
        <f>IFERROR(VLOOKUP(Tableau119[[#This Row],[Key(Compte ILN - shipper - POL - plant)]],'DATA ILN'!A:P,16,FALSE),VLOOKUP(Tableau119[[#This Row],[Key(Compte ILN - shipper - POL)]],'DATA ILN'!B:P,15,FALSE))</f>
        <v>#N/A</v>
      </c>
      <c r="Y640" s="284" t="s">
        <v>156</v>
      </c>
      <c r="Z640" s="430">
        <f>IFERROR(VLOOKUP(Tableau119[[#This Row],[Name Shipper]],Plant_AILN!L:M,2,FALSE),0)</f>
        <v>91017500</v>
      </c>
      <c r="AA640" s="406">
        <v>258</v>
      </c>
      <c r="AB640" s="396" t="b">
        <f>_xlfn.XLOOKUP(Tableau119[[#This Row],[Key(ID-date)]],'DATA BTO'!S:S,'DATA BTO'!E:E,FALSE)</f>
        <v>0</v>
      </c>
      <c r="AC640" s="3" t="b">
        <f>_xlfn.XLOOKUP(Tableau119[[#This Row],[Key(ID-date)]],'DATA BTO'!S:S,'DATA BTO'!F:F,FALSE)</f>
        <v>0</v>
      </c>
      <c r="AD640" s="50" t="b">
        <f>_xlfn.XLOOKUP(Tableau119[[#This Row],[Key(ID-date)]],'DATA BTO'!S:S,'DATA BTO'!G:G,FALSE)</f>
        <v>0</v>
      </c>
      <c r="AE640" s="50" t="b">
        <f>_xlfn.XLOOKUP(Tableau119[[#This Row],[Key(ID-date)]],'DATA BTO'!S:S,'DATA BTO'!H:H,FALSE)</f>
        <v>0</v>
      </c>
      <c r="AF640" s="447" t="e">
        <f>IF(Tableau119[[#This Row],[First Day to POL]]&lt;=Tableau119[[#This Row],[Day Cut Off]],Tableau119[[#This Row],[Day ETD]],Tableau119[[#This Row],[Day ETD]]+7)</f>
        <v>#N/A</v>
      </c>
      <c r="AG640" s="50" t="b">
        <f>_xlfn.XLOOKUP(Tableau119[[#This Row],[Key(ID-date)]],'DATA BTO'!S:S,'DATA BTO'!I:I,FALSE)</f>
        <v>0</v>
      </c>
      <c r="AH640" s="3" t="b">
        <f>_xlfn.XLOOKUP(Tableau119[[#This Row],[Key(ID-date)]],'DATA BTO'!S:S,'DATA BTO'!J:J,FALSE)</f>
        <v>0</v>
      </c>
      <c r="AI640" s="3" t="b">
        <f>_xlfn.XLOOKUP(Tableau119[[#This Row],[Key(ID-date)]],'DATA BTO'!S:S,'DATA BTO'!K:K,FALSE)</f>
        <v>0</v>
      </c>
      <c r="AJ640" s="50" t="b">
        <f>_xlfn.XLOOKUP(Tableau119[[#This Row],[Key(ID-date)]],'DATA BTO'!S:S,'DATA BTO'!L:L,FALSE)</f>
        <v>0</v>
      </c>
      <c r="AK640" s="53" t="b">
        <f>_xlfn.XLOOKUP(Tableau119[[#This Row],[Key(ID-date)]],'DATA BTO'!S:S,'DATA BTO'!N:N,FALSE)</f>
        <v>0</v>
      </c>
      <c r="AL640" s="54" t="e">
        <f>VLOOKUP(Tableau119[[#This Row],[Key(POD -PFI- Usine)]],'DATA Consignee'!A:F,6,FALSE)</f>
        <v>#N/A</v>
      </c>
      <c r="AM640" s="127"/>
      <c r="AN640" s="376" t="str">
        <f>IF(Tableau119[[#This Row],[Name PFI/CDD]]="","-",VLOOKUP(Tableau119[[#This Row],[Name PFI/CDD]],Plant_AILN!I:J,2,FALSE))</f>
        <v>-</v>
      </c>
      <c r="AO6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0" s="2" t="e">
        <f>VLOOKUP(Tableau119[[#This Row],[Key(POD -PFI- Usine)]],'DATA Consignee'!A:J,10,FALSE)</f>
        <v>#N/A</v>
      </c>
      <c r="AR640" s="50" t="e">
        <f>VLOOKUP(Tableau119[[#This Row],[Key(POD -PFI- Usine)]],'DATA Consignee'!A:N,14,FALSE)</f>
        <v>#N/A</v>
      </c>
      <c r="AS6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0" s="50">
        <f>Tableau119[[#This Row],[Transit time]]+Tableau119[[#This Row],[Time for security]]+Tableau119[[#This Row],[Time for security2 buffer]]</f>
        <v>0</v>
      </c>
      <c r="AV6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0" s="50" t="e">
        <f>Tableau119[[#This Row],[Leadtime SI2C]]+Tableau119[[#This Row],[First Receipt Days]]-Tableau119[[#This Row],[Day Customer Order]]+1</f>
        <v>#N/A</v>
      </c>
      <c r="AX640" s="119" t="e">
        <f>IF(Tableau119[[#This Row],[Name ILN]]&lt;&gt;"SFK Freight Forwarder",Tableau119[[#This Row],[Cust. Leadtime]],Tableau119[[#This Row],[Leadtime SI2C]])</f>
        <v>#N/A</v>
      </c>
      <c r="AY640" s="51" t="b">
        <f>_xlfn.XLOOKUP(Tableau119[[#This Row],[Key(ID-date)]],'DATA BTO'!S:S,'DATA BTO'!P:P,FALSE)</f>
        <v>0</v>
      </c>
      <c r="AZ640" s="338">
        <v>45777</v>
      </c>
      <c r="BA640" s="50"/>
    </row>
    <row r="641" spans="2:53">
      <c r="B641" s="446" t="str">
        <f>_xlfn.CONCAT(Tableau119[[#This Row],[Name ILN]],"-",Tableau119[[#This Row],[Name Shipper]],"-",Tableau119[[#This Row],[Name Site]])</f>
        <v>ILN VLL-SEVILLE-MEXIQUE AGV</v>
      </c>
      <c r="C641" s="66" t="str">
        <f>_xlfn.CONCAT(Tableau119[[#This Row],[Compte ILN]],"-",Tableau119[[#This Row],[Compte Shipper]],"-",Tableau119[[#This Row],[POL]],"-",Tableau119[[#This Row],[Compte Consignee]])</f>
        <v>91018400-91017500-FALSO-90101300</v>
      </c>
      <c r="D641" s="66" t="str">
        <f>_xlfn.CONCAT(Tableau119[[#This Row],[Compte ILN]],"-",Tableau119[[#This Row],[Compte Shipper]],"-",Tableau119[[#This Row],[POL]])</f>
        <v>91018400-91017500-FALSO</v>
      </c>
      <c r="E641" s="130" t="str">
        <f>_xlfn.CONCAT(Tableau119[[#This Row],[POL]],"-",Tableau119[[#This Row],[Carrier]],"-",Tableau119[[#This Row],[POD]])</f>
        <v>FALSO-FALSO-FALSO</v>
      </c>
      <c r="F641" s="66" t="str">
        <f>_xlfn.CONCAT(Tableau119[[#This Row],[ID]],"-","Actif")</f>
        <v>258-Actif</v>
      </c>
      <c r="G641" s="66" t="str">
        <f>_xlfn.CONCAT(Tableau119[[#This Row],[POD]],"-",Tableau119[[#This Row],[Code PFI]],"-",Tableau119[[#This Row],[Compte Consignee]])</f>
        <v>FALSO---90101300</v>
      </c>
      <c r="H6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91017500FALSOMEXIQUE AGV</v>
      </c>
      <c r="I641" s="434" t="str">
        <f>_xlfn.CONCAT(Tableau119[[#This Row],[ID]],"-",Tableau119[[#This Row],[Expiration Date]])</f>
        <v>258-45412</v>
      </c>
      <c r="J6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MEXIQUE AGV-ILN VLL-SEVILLE-258-FALSO-FALSO-FALSO--45412</v>
      </c>
      <c r="K641" s="119" t="str">
        <f ca="1">IF(COUNTIF(J:J,Tableau119[[#This Row],[Plant-ILN-shipper-POL-Carrier-POD-PFI]])=1,"Non","Oui")</f>
        <v>Non</v>
      </c>
      <c r="L641" s="128" t="str">
        <f>VLOOKUP(Tableau119[[#This Row],[Name Site]],Plant_AILN!A:D,4,FALSE)</f>
        <v>MEXICO</v>
      </c>
      <c r="M641" s="415" t="s">
        <v>467</v>
      </c>
      <c r="N641" s="455">
        <f>VLOOKUP(Tableau119[[#This Row],[Name Site]],Plant_AILN!A:C,3,FALSE)</f>
        <v>90101300</v>
      </c>
      <c r="O641" s="104">
        <f>VLOOKUP(Tableau119[[#This Row],[Compte Consignee]],Order!C:D,2,FALSE)</f>
        <v>7</v>
      </c>
      <c r="P641" s="126" t="s">
        <v>151</v>
      </c>
      <c r="Q641" s="366">
        <f>VLOOKUP(Tableau119[[#This Row],[Name ILN]],Plant_AILN!F:G,2,FALSE)</f>
        <v>91018400</v>
      </c>
      <c r="R641" s="81">
        <f>VLOOKUP(Tableau119[[#This Row],[Compte ILN]],'DATA ILN'!D:I,6,FALSE)</f>
        <v>9</v>
      </c>
      <c r="S641" s="81" t="e">
        <f>IFERROR(VLOOKUP(Tableau119[[#This Row],[Key(Compte ILN - shipper - POL - plant)]],'DATA ILN'!A:J,10,FALSE),VLOOKUP(Tableau119[[#This Row],[Key(Compte ILN - shipper - POL)]],'DATA ILN'!B:J,9,FALSE))</f>
        <v>#N/A</v>
      </c>
      <c r="T641" s="81" t="e">
        <f>IFERROR(VLOOKUP(Tableau119[[#This Row],[Key(Compte ILN - shipper - POL - plant)]],'DATA ILN'!A:K,11,FALSE),VLOOKUP(Tableau119[[#This Row],[Key(Compte ILN - shipper - POL)]],'DATA ILN'!B:K,10,FALSE))</f>
        <v>#N/A</v>
      </c>
      <c r="U641" s="81" t="e">
        <f>IFERROR(VLOOKUP(Tableau119[[#This Row],[Key(Compte ILN - shipper - POL - plant)]],'DATA ILN'!A:L,12,FALSE),VLOOKUP(Tableau119[[#This Row],[Key(Compte ILN - shipper - POL)]],'DATA ILN'!B:L,11,FALSE))</f>
        <v>#N/A</v>
      </c>
      <c r="V641" s="81" t="e">
        <f>Tableau119[[#This Row],[Day ILN Order]]+Tableau119[[#This Row],[Delivery time to ILN/Shipper]]-1</f>
        <v>#N/A</v>
      </c>
      <c r="W641" s="81" t="e">
        <f>IFERROR(VLOOKUP(Tableau119[[#This Row],[Key(Compte ILN - shipper - POL - plant)]],'DATA ILN'!A:N,14,FALSE),VLOOKUP(Tableau119[[#This Row],[Key(Compte ILN - shipper - POL)]],'DATA ILN'!B:N,13,FALSE))</f>
        <v>#N/A</v>
      </c>
      <c r="X641" s="81" t="e">
        <f>IFERROR(VLOOKUP(Tableau119[[#This Row],[Key(Compte ILN - shipper - POL - plant)]],'DATA ILN'!A:P,16,FALSE),VLOOKUP(Tableau119[[#This Row],[Key(Compte ILN - shipper - POL)]],'DATA ILN'!B:P,15,FALSE))</f>
        <v>#N/A</v>
      </c>
      <c r="Y641" s="102" t="s">
        <v>156</v>
      </c>
      <c r="Z641" s="417">
        <f>IFERROR(VLOOKUP(Tableau119[[#This Row],[Name Shipper]],Plant_AILN!L:M,2,FALSE),0)</f>
        <v>91017500</v>
      </c>
      <c r="AA641" s="416">
        <v>258</v>
      </c>
      <c r="AB641" s="396" t="b">
        <f>_xlfn.XLOOKUP(Tableau119[[#This Row],[Key(ID-date)]],'DATA BTO'!S:S,'DATA BTO'!E:E,FALSE)</f>
        <v>0</v>
      </c>
      <c r="AC641" s="3" t="b">
        <f>_xlfn.XLOOKUP(Tableau119[[#This Row],[Key(ID-date)]],'DATA BTO'!S:S,'DATA BTO'!F:F,FALSE)</f>
        <v>0</v>
      </c>
      <c r="AD641" s="50" t="b">
        <f>_xlfn.XLOOKUP(Tableau119[[#This Row],[Key(ID-date)]],'DATA BTO'!S:S,'DATA BTO'!G:G,FALSE)</f>
        <v>0</v>
      </c>
      <c r="AE641" s="50" t="b">
        <f>_xlfn.XLOOKUP(Tableau119[[#This Row],[Key(ID-date)]],'DATA BTO'!S:S,'DATA BTO'!H:H,FALSE)</f>
        <v>0</v>
      </c>
      <c r="AF641" s="447" t="e">
        <f>IF(Tableau119[[#This Row],[First Day to POL]]&lt;=Tableau119[[#This Row],[Day Cut Off]],Tableau119[[#This Row],[Day ETD]],Tableau119[[#This Row],[Day ETD]]+7)</f>
        <v>#N/A</v>
      </c>
      <c r="AG641" s="50" t="b">
        <f>_xlfn.XLOOKUP(Tableau119[[#This Row],[Key(ID-date)]],'DATA BTO'!S:S,'DATA BTO'!I:I,FALSE)</f>
        <v>0</v>
      </c>
      <c r="AH641" s="3" t="b">
        <f>_xlfn.XLOOKUP(Tableau119[[#This Row],[Key(ID-date)]],'DATA BTO'!S:S,'DATA BTO'!J:J,FALSE)</f>
        <v>0</v>
      </c>
      <c r="AI641" s="3" t="b">
        <f>_xlfn.XLOOKUP(Tableau119[[#This Row],[Key(ID-date)]],'DATA BTO'!S:S,'DATA BTO'!K:K,FALSE)</f>
        <v>0</v>
      </c>
      <c r="AJ641" s="50" t="b">
        <f>_xlfn.XLOOKUP(Tableau119[[#This Row],[Key(ID-date)]],'DATA BTO'!S:S,'DATA BTO'!L:L,FALSE)</f>
        <v>0</v>
      </c>
      <c r="AK641" s="53" t="b">
        <f>_xlfn.XLOOKUP(Tableau119[[#This Row],[Key(ID-date)]],'DATA BTO'!S:S,'DATA BTO'!N:N,FALSE)</f>
        <v>0</v>
      </c>
      <c r="AL641" s="54" t="e">
        <f>VLOOKUP(Tableau119[[#This Row],[Key(POD -PFI- Usine)]],'DATA Consignee'!A:F,6,FALSE)</f>
        <v>#N/A</v>
      </c>
      <c r="AM641" s="127"/>
      <c r="AN641" s="375" t="str">
        <f>IF(Tableau119[[#This Row],[Name PFI/CDD]]="","-",VLOOKUP(Tableau119[[#This Row],[Name PFI/CDD]],Plant_AILN!I:J,2,FALSE))</f>
        <v>-</v>
      </c>
      <c r="AO64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1" s="110" t="e">
        <f>VLOOKUP(Tableau119[[#This Row],[Key(POD -PFI- Usine)]],'DATA Consignee'!A:J,10,FALSE)</f>
        <v>#N/A</v>
      </c>
      <c r="AR641" s="81" t="e">
        <f>VLOOKUP(Tableau119[[#This Row],[Key(POD -PFI- Usine)]],'DATA Consignee'!A:N,14,FALSE)</f>
        <v>#N/A</v>
      </c>
      <c r="AS64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1" s="81">
        <f>Tableau119[[#This Row],[Transit time]]+Tableau119[[#This Row],[Time for security]]+Tableau119[[#This Row],[Time for security2 buffer]]</f>
        <v>0</v>
      </c>
      <c r="AV6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1" s="50" t="e">
        <f>Tableau119[[#This Row],[Leadtime SI2C]]+Tableau119[[#This Row],[First Receipt Days]]-Tableau119[[#This Row],[Day Customer Order]]+1</f>
        <v>#N/A</v>
      </c>
      <c r="AX641" s="119" t="e">
        <f>IF(Tableau119[[#This Row],[Name ILN]]&lt;&gt;"SFK Freight Forwarder",Tableau119[[#This Row],[Cust. Leadtime]],Tableau119[[#This Row],[Leadtime SI2C]])</f>
        <v>#N/A</v>
      </c>
      <c r="AY641" s="51" t="b">
        <f>_xlfn.XLOOKUP(Tableau119[[#This Row],[Key(ID-date)]],'DATA BTO'!S:S,'DATA BTO'!P:P,FALSE)</f>
        <v>0</v>
      </c>
      <c r="AZ641" s="388">
        <v>45412</v>
      </c>
      <c r="BA641" s="81"/>
    </row>
    <row r="642" spans="2:53">
      <c r="B642" s="66" t="str">
        <f>_xlfn.CONCAT(Tableau119[[#This Row],[Name ILN]],"-",Tableau119[[#This Row],[Name Shipper]],"-",Tableau119[[#This Row],[Name Site]])</f>
        <v>ILN Mioveni-ILN Mioveni-SOFASA</v>
      </c>
      <c r="C642" s="66" t="str">
        <f>_xlfn.CONCAT(Tableau119[[#This Row],[Compte ILN]],"-",Tableau119[[#This Row],[Compte Shipper]],"-",Tableau119[[#This Row],[POL]],"-",Tableau119[[#This Row],[Compte Consignee]])</f>
        <v>28390-28390-FALSO-9510600</v>
      </c>
      <c r="D642" s="66" t="str">
        <f>_xlfn.CONCAT(Tableau119[[#This Row],[Compte ILN]],"-",Tableau119[[#This Row],[Compte Shipper]],"-",Tableau119[[#This Row],[POL]])</f>
        <v>28390-28390-FALSO</v>
      </c>
      <c r="E642" s="130" t="str">
        <f>_xlfn.CONCAT(Tableau119[[#This Row],[POL]],"-",Tableau119[[#This Row],[Carrier]],"-",Tableau119[[#This Row],[POD]])</f>
        <v>FALSO-FALSO-FALSO</v>
      </c>
      <c r="F642" s="66" t="str">
        <f>_xlfn.CONCAT(Tableau119[[#This Row],[ID]],"-","Actif")</f>
        <v>271-Actif</v>
      </c>
      <c r="G642" s="66" t="str">
        <f>_xlfn.CONCAT(Tableau119[[#This Row],[POD]],"-",Tableau119[[#This Row],[Code PFI]],"-",Tableau119[[#This Row],[Compte Consignee]])</f>
        <v>FALSO---9510600</v>
      </c>
      <c r="H6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2" s="434" t="str">
        <f>_xlfn.CONCAT(Tableau119[[#This Row],[ID]],"-",Tableau119[[#This Row],[Expiration Date]])</f>
        <v>271-46142</v>
      </c>
      <c r="J6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Mioveni-271-FALSO-FALSO-FALSO--46142</v>
      </c>
      <c r="K642" s="119" t="str">
        <f ca="1">IF(COUNTIF(J:J,Tableau119[[#This Row],[Plant-ILN-shipper-POL-Carrier-POD-PFI]])=1,"Non","Oui")</f>
        <v>Non</v>
      </c>
      <c r="L642" s="436" t="str">
        <f>VLOOKUP(Tableau119[[#This Row],[Name Site]],Plant_AILN!A:D,4,FALSE)</f>
        <v>COLOMBIA</v>
      </c>
      <c r="M642" s="285" t="s">
        <v>177</v>
      </c>
      <c r="N642" s="454">
        <f>VLOOKUP(Tableau119[[#This Row],[Name Site]],Plant_AILN!A:C,3,FALSE)</f>
        <v>9510600</v>
      </c>
      <c r="O642" s="55">
        <f>IF(Tableau119[[#This Row],[Name PFI/CDD]]="PFI VLL",2,VLOOKUP(Tableau119[[#This Row],[Compte Consignee]],Order!C:D,2,FALSE))</f>
        <v>7</v>
      </c>
      <c r="P642" s="124" t="s">
        <v>168</v>
      </c>
      <c r="Q642" s="365">
        <f>VLOOKUP(Tableau119[[#This Row],[Name ILN]],Plant_AILN!F:G,2,FALSE)</f>
        <v>28390</v>
      </c>
      <c r="R642" s="50">
        <f>VLOOKUP(Tableau119[[#This Row],[Compte ILN]],'DATA ILN'!D:I,6,FALSE)</f>
        <v>9</v>
      </c>
      <c r="S642" s="50" t="e">
        <f>IFERROR(VLOOKUP(Tableau119[[#This Row],[Key(Compte ILN - shipper - POL - plant)]],'DATA ILN'!A:J,10,FALSE),VLOOKUP(Tableau119[[#This Row],[Key(Compte ILN - shipper - POL)]],'DATA ILN'!B:J,9,FALSE))</f>
        <v>#N/A</v>
      </c>
      <c r="T642" s="50" t="e">
        <f>IFERROR(VLOOKUP(Tableau119[[#This Row],[Key(Compte ILN - shipper - POL - plant)]],'DATA ILN'!A:K,11,FALSE),VLOOKUP(Tableau119[[#This Row],[Key(Compte ILN - shipper - POL)]],'DATA ILN'!B:K,10,FALSE))</f>
        <v>#N/A</v>
      </c>
      <c r="U642" s="50" t="e">
        <f>IFERROR(VLOOKUP(Tableau119[[#This Row],[Key(Compte ILN - shipper - POL - plant)]],'DATA ILN'!A:L,12,FALSE),VLOOKUP(Tableau119[[#This Row],[Key(Compte ILN - shipper - POL)]],'DATA ILN'!B:L,11,FALSE))</f>
        <v>#N/A</v>
      </c>
      <c r="V642" s="50" t="e">
        <f>Tableau119[[#This Row],[Day ILN Order]]+Tableau119[[#This Row],[Delivery time to ILN/Shipper]]-1</f>
        <v>#N/A</v>
      </c>
      <c r="W642" s="50" t="e">
        <f>IFERROR(VLOOKUP(Tableau119[[#This Row],[Key(Compte ILN - shipper - POL - plant)]],'DATA ILN'!A:N,14,FALSE),VLOOKUP(Tableau119[[#This Row],[Key(Compte ILN - shipper - POL)]],'DATA ILN'!B:N,13,FALSE))</f>
        <v>#N/A</v>
      </c>
      <c r="X642" s="50" t="e">
        <f>IFERROR(VLOOKUP(Tableau119[[#This Row],[Key(Compte ILN - shipper - POL - plant)]],'DATA ILN'!A:P,16,FALSE),VLOOKUP(Tableau119[[#This Row],[Key(Compte ILN - shipper - POL)]],'DATA ILN'!B:P,15,FALSE))</f>
        <v>#N/A</v>
      </c>
      <c r="Y642" s="284" t="s">
        <v>168</v>
      </c>
      <c r="Z642" s="430">
        <f>IFERROR(VLOOKUP(Tableau119[[#This Row],[Name Shipper]],Plant_AILN!L:M,2,FALSE),0)</f>
        <v>28390</v>
      </c>
      <c r="AA642" s="406">
        <v>271</v>
      </c>
      <c r="AB642" s="396" t="b">
        <f>_xlfn.XLOOKUP(Tableau119[[#This Row],[Key(ID-date)]],'DATA BTO'!S:S,'DATA BTO'!E:E,FALSE)</f>
        <v>0</v>
      </c>
      <c r="AC642" s="3" t="b">
        <f>_xlfn.XLOOKUP(Tableau119[[#This Row],[Key(ID-date)]],'DATA BTO'!S:S,'DATA BTO'!F:F,FALSE)</f>
        <v>0</v>
      </c>
      <c r="AD642" s="50" t="b">
        <f>_xlfn.XLOOKUP(Tableau119[[#This Row],[Key(ID-date)]],'DATA BTO'!S:S,'DATA BTO'!G:G,FALSE)</f>
        <v>0</v>
      </c>
      <c r="AE642" s="50" t="b">
        <f>_xlfn.XLOOKUP(Tableau119[[#This Row],[Key(ID-date)]],'DATA BTO'!S:S,'DATA BTO'!H:H,FALSE)</f>
        <v>0</v>
      </c>
      <c r="AF642" s="447" t="e">
        <f>IF(Tableau119[[#This Row],[First Day to POL]]&lt;=Tableau119[[#This Row],[Day Cut Off]],Tableau119[[#This Row],[Day ETD]],Tableau119[[#This Row],[Day ETD]]+7)</f>
        <v>#N/A</v>
      </c>
      <c r="AG642" s="50" t="b">
        <f>_xlfn.XLOOKUP(Tableau119[[#This Row],[Key(ID-date)]],'DATA BTO'!S:S,'DATA BTO'!I:I,FALSE)</f>
        <v>0</v>
      </c>
      <c r="AH642" s="3" t="b">
        <f>_xlfn.XLOOKUP(Tableau119[[#This Row],[Key(ID-date)]],'DATA BTO'!S:S,'DATA BTO'!J:J,FALSE)</f>
        <v>0</v>
      </c>
      <c r="AI642" s="3" t="b">
        <f>_xlfn.XLOOKUP(Tableau119[[#This Row],[Key(ID-date)]],'DATA BTO'!S:S,'DATA BTO'!K:K,FALSE)</f>
        <v>0</v>
      </c>
      <c r="AJ642" s="50" t="b">
        <f>_xlfn.XLOOKUP(Tableau119[[#This Row],[Key(ID-date)]],'DATA BTO'!S:S,'DATA BTO'!L:L,FALSE)</f>
        <v>0</v>
      </c>
      <c r="AK642" s="53" t="b">
        <f>_xlfn.XLOOKUP(Tableau119[[#This Row],[Key(ID-date)]],'DATA BTO'!S:S,'DATA BTO'!N:N,FALSE)</f>
        <v>0</v>
      </c>
      <c r="AL642" s="54" t="e">
        <f>VLOOKUP(Tableau119[[#This Row],[Key(POD -PFI- Usine)]],'DATA Consignee'!A:F,6,FALSE)</f>
        <v>#N/A</v>
      </c>
      <c r="AM642" s="127"/>
      <c r="AN642" s="376" t="str">
        <f>IF(Tableau119[[#This Row],[Name PFI/CDD]]="","-",VLOOKUP(Tableau119[[#This Row],[Name PFI/CDD]],Plant_AILN!I:J,2,FALSE))</f>
        <v>-</v>
      </c>
      <c r="AO6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2" s="2" t="e">
        <f>VLOOKUP(Tableau119[[#This Row],[Key(POD -PFI- Usine)]],'DATA Consignee'!A:J,10,FALSE)</f>
        <v>#N/A</v>
      </c>
      <c r="AR642" s="50" t="e">
        <f>VLOOKUP(Tableau119[[#This Row],[Key(POD -PFI- Usine)]],'DATA Consignee'!A:N,14,FALSE)</f>
        <v>#N/A</v>
      </c>
      <c r="AS6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2" s="50">
        <f>Tableau119[[#This Row],[Transit time]]+Tableau119[[#This Row],[Time for security]]+Tableau119[[#This Row],[Time for security2 buffer]]</f>
        <v>0</v>
      </c>
      <c r="AV6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2" s="50" t="e">
        <f>Tableau119[[#This Row],[Leadtime SI2C]]+Tableau119[[#This Row],[First Receipt Days]]-Tableau119[[#This Row],[Day Customer Order]]+1</f>
        <v>#N/A</v>
      </c>
      <c r="AX642" s="119" t="e">
        <f>IF(Tableau119[[#This Row],[Name ILN]]&lt;&gt;"SFK Freight Forwarder",Tableau119[[#This Row],[Cust. Leadtime]],Tableau119[[#This Row],[Leadtime SI2C]])</f>
        <v>#N/A</v>
      </c>
      <c r="AY642" s="51" t="b">
        <f>_xlfn.XLOOKUP(Tableau119[[#This Row],[Key(ID-date)]],'DATA BTO'!S:S,'DATA BTO'!P:P,FALSE)</f>
        <v>0</v>
      </c>
      <c r="AZ642" s="338">
        <v>46142</v>
      </c>
      <c r="BA642" s="50"/>
    </row>
    <row r="643" spans="2:53">
      <c r="B643" s="446" t="str">
        <f>_xlfn.CONCAT(Tableau119[[#This Row],[Name ILN]],"-",Tableau119[[#This Row],[Name Shipper]],"-",Tableau119[[#This Row],[Name Site]])</f>
        <v>ILN Mioveni-ILN Mioveni-SOFASA</v>
      </c>
      <c r="C643" s="66" t="str">
        <f>_xlfn.CONCAT(Tableau119[[#This Row],[Compte ILN]],"-",Tableau119[[#This Row],[Compte Shipper]],"-",Tableau119[[#This Row],[POL]],"-",Tableau119[[#This Row],[Compte Consignee]])</f>
        <v>28390-28390-FALSO-9510600</v>
      </c>
      <c r="D643" s="66" t="str">
        <f>_xlfn.CONCAT(Tableau119[[#This Row],[Compte ILN]],"-",Tableau119[[#This Row],[Compte Shipper]],"-",Tableau119[[#This Row],[POL]])</f>
        <v>28390-28390-FALSO</v>
      </c>
      <c r="E643" s="130" t="str">
        <f>_xlfn.CONCAT(Tableau119[[#This Row],[POL]],"-",Tableau119[[#This Row],[Carrier]],"-",Tableau119[[#This Row],[POD]])</f>
        <v>FALSO-FALSO-FALSO</v>
      </c>
      <c r="F643" s="66" t="str">
        <f>_xlfn.CONCAT(Tableau119[[#This Row],[ID]],"-","Actif")</f>
        <v>271-Actif</v>
      </c>
      <c r="G643" s="66" t="str">
        <f>_xlfn.CONCAT(Tableau119[[#This Row],[POD]],"-",Tableau119[[#This Row],[Code PFI]],"-",Tableau119[[#This Row],[Compte Consignee]])</f>
        <v>FALSO---9510600</v>
      </c>
      <c r="H6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3" s="434" t="str">
        <f>_xlfn.CONCAT(Tableau119[[#This Row],[ID]],"-",Tableau119[[#This Row],[Expiration Date]])</f>
        <v>271-46018</v>
      </c>
      <c r="J6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Mioveni-271-FALSO-FALSO-FALSO--46018</v>
      </c>
      <c r="K643" s="119" t="str">
        <f ca="1">IF(COUNTIF(J:J,Tableau119[[#This Row],[Plant-ILN-shipper-POL-Carrier-POD-PFI]])=1,"Non","Oui")</f>
        <v>Non</v>
      </c>
      <c r="L643" s="128" t="str">
        <f>VLOOKUP(Tableau119[[#This Row],[Name Site]],Plant_AILN!A:D,4,FALSE)</f>
        <v>COLOMBIA</v>
      </c>
      <c r="M643" s="415" t="s">
        <v>177</v>
      </c>
      <c r="N643" s="455">
        <f>VLOOKUP(Tableau119[[#This Row],[Name Site]],Plant_AILN!A:C,3,FALSE)</f>
        <v>9510600</v>
      </c>
      <c r="O643" s="104">
        <f>VLOOKUP(Tableau119[[#This Row],[Compte Consignee]],Order!C:D,2,FALSE)</f>
        <v>7</v>
      </c>
      <c r="P643" s="126" t="s">
        <v>168</v>
      </c>
      <c r="Q643" s="366">
        <f>VLOOKUP(Tableau119[[#This Row],[Name ILN]],Plant_AILN!F:G,2,FALSE)</f>
        <v>28390</v>
      </c>
      <c r="R643" s="81">
        <f>VLOOKUP(Tableau119[[#This Row],[Compte ILN]],'DATA ILN'!D:I,6,FALSE)</f>
        <v>9</v>
      </c>
      <c r="S643" s="81" t="e">
        <f>IFERROR(VLOOKUP(Tableau119[[#This Row],[Key(Compte ILN - shipper - POL - plant)]],'DATA ILN'!A:J,10,FALSE),VLOOKUP(Tableau119[[#This Row],[Key(Compte ILN - shipper - POL)]],'DATA ILN'!B:J,9,FALSE))</f>
        <v>#N/A</v>
      </c>
      <c r="T643" s="81" t="e">
        <f>IFERROR(VLOOKUP(Tableau119[[#This Row],[Key(Compte ILN - shipper - POL - plant)]],'DATA ILN'!A:K,11,FALSE),VLOOKUP(Tableau119[[#This Row],[Key(Compte ILN - shipper - POL)]],'DATA ILN'!B:K,10,FALSE))</f>
        <v>#N/A</v>
      </c>
      <c r="U643" s="81" t="e">
        <f>IFERROR(VLOOKUP(Tableau119[[#This Row],[Key(Compte ILN - shipper - POL - plant)]],'DATA ILN'!A:L,12,FALSE),VLOOKUP(Tableau119[[#This Row],[Key(Compte ILN - shipper - POL)]],'DATA ILN'!B:L,11,FALSE))</f>
        <v>#N/A</v>
      </c>
      <c r="V643" s="81" t="e">
        <f>Tableau119[[#This Row],[Day ILN Order]]+Tableau119[[#This Row],[Delivery time to ILN/Shipper]]-1</f>
        <v>#N/A</v>
      </c>
      <c r="W643" s="81" t="e">
        <f>IFERROR(VLOOKUP(Tableau119[[#This Row],[Key(Compte ILN - shipper - POL - plant)]],'DATA ILN'!A:N,14,FALSE),VLOOKUP(Tableau119[[#This Row],[Key(Compte ILN - shipper - POL)]],'DATA ILN'!B:N,13,FALSE))</f>
        <v>#N/A</v>
      </c>
      <c r="X643" s="81" t="e">
        <f>IFERROR(VLOOKUP(Tableau119[[#This Row],[Key(Compte ILN - shipper - POL - plant)]],'DATA ILN'!A:P,16,FALSE),VLOOKUP(Tableau119[[#This Row],[Key(Compte ILN - shipper - POL)]],'DATA ILN'!B:P,15,FALSE))</f>
        <v>#N/A</v>
      </c>
      <c r="Y643" s="102" t="s">
        <v>168</v>
      </c>
      <c r="Z643" s="417">
        <f>IFERROR(VLOOKUP(Tableau119[[#This Row],[Name Shipper]],Plant_AILN!L:M,2,FALSE),0)</f>
        <v>28390</v>
      </c>
      <c r="AA643" s="416">
        <v>271</v>
      </c>
      <c r="AB643" s="396" t="b">
        <f>_xlfn.XLOOKUP(Tableau119[[#This Row],[Key(ID-date)]],'DATA BTO'!S:S,'DATA BTO'!E:E,FALSE)</f>
        <v>0</v>
      </c>
      <c r="AC643" s="3" t="b">
        <f>_xlfn.XLOOKUP(Tableau119[[#This Row],[Key(ID-date)]],'DATA BTO'!S:S,'DATA BTO'!F:F,FALSE)</f>
        <v>0</v>
      </c>
      <c r="AD643" s="50" t="b">
        <f>_xlfn.XLOOKUP(Tableau119[[#This Row],[Key(ID-date)]],'DATA BTO'!S:S,'DATA BTO'!G:G,FALSE)</f>
        <v>0</v>
      </c>
      <c r="AE643" s="50" t="b">
        <f>_xlfn.XLOOKUP(Tableau119[[#This Row],[Key(ID-date)]],'DATA BTO'!S:S,'DATA BTO'!H:H,FALSE)</f>
        <v>0</v>
      </c>
      <c r="AF643" s="447" t="e">
        <f>IF(Tableau119[[#This Row],[First Day to POL]]&lt;=Tableau119[[#This Row],[Day Cut Off]],Tableau119[[#This Row],[Day ETD]],Tableau119[[#This Row],[Day ETD]]+7)</f>
        <v>#N/A</v>
      </c>
      <c r="AG643" s="50" t="b">
        <f>_xlfn.XLOOKUP(Tableau119[[#This Row],[Key(ID-date)]],'DATA BTO'!S:S,'DATA BTO'!I:I,FALSE)</f>
        <v>0</v>
      </c>
      <c r="AH643" s="3" t="b">
        <f>_xlfn.XLOOKUP(Tableau119[[#This Row],[Key(ID-date)]],'DATA BTO'!S:S,'DATA BTO'!J:J,FALSE)</f>
        <v>0</v>
      </c>
      <c r="AI643" s="3" t="b">
        <f>_xlfn.XLOOKUP(Tableau119[[#This Row],[Key(ID-date)]],'DATA BTO'!S:S,'DATA BTO'!K:K,FALSE)</f>
        <v>0</v>
      </c>
      <c r="AJ643" s="50" t="b">
        <f>_xlfn.XLOOKUP(Tableau119[[#This Row],[Key(ID-date)]],'DATA BTO'!S:S,'DATA BTO'!L:L,FALSE)</f>
        <v>0</v>
      </c>
      <c r="AK643" s="53" t="b">
        <f>_xlfn.XLOOKUP(Tableau119[[#This Row],[Key(ID-date)]],'DATA BTO'!S:S,'DATA BTO'!N:N,FALSE)</f>
        <v>0</v>
      </c>
      <c r="AL643" s="54" t="e">
        <f>VLOOKUP(Tableau119[[#This Row],[Key(POD -PFI- Usine)]],'DATA Consignee'!A:F,6,FALSE)</f>
        <v>#N/A</v>
      </c>
      <c r="AM643" s="127"/>
      <c r="AN643" s="375" t="str">
        <f>IF(Tableau119[[#This Row],[Name PFI/CDD]]="","-",VLOOKUP(Tableau119[[#This Row],[Name PFI/CDD]],Plant_AILN!I:J,2,FALSE))</f>
        <v>-</v>
      </c>
      <c r="AO64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3" s="110" t="e">
        <f>VLOOKUP(Tableau119[[#This Row],[Key(POD -PFI- Usine)]],'DATA Consignee'!A:J,10,FALSE)</f>
        <v>#N/A</v>
      </c>
      <c r="AR643" s="81" t="e">
        <f>VLOOKUP(Tableau119[[#This Row],[Key(POD -PFI- Usine)]],'DATA Consignee'!A:N,14,FALSE)</f>
        <v>#N/A</v>
      </c>
      <c r="AS64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3" s="81">
        <f>Tableau119[[#This Row],[Transit time]]+Tableau119[[#This Row],[Time for security]]+Tableau119[[#This Row],[Time for security2 buffer]]</f>
        <v>0</v>
      </c>
      <c r="AV6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3" s="50" t="e">
        <f>Tableau119[[#This Row],[Leadtime SI2C]]+Tableau119[[#This Row],[First Receipt Days]]-Tableau119[[#This Row],[Day Customer Order]]+1</f>
        <v>#N/A</v>
      </c>
      <c r="AX643" s="119" t="e">
        <f>IF(Tableau119[[#This Row],[Name ILN]]&lt;&gt;"SFK Freight Forwarder",Tableau119[[#This Row],[Cust. Leadtime]],Tableau119[[#This Row],[Leadtime SI2C]])</f>
        <v>#N/A</v>
      </c>
      <c r="AY643" s="51" t="b">
        <f>_xlfn.XLOOKUP(Tableau119[[#This Row],[Key(ID-date)]],'DATA BTO'!S:S,'DATA BTO'!P:P,FALSE)</f>
        <v>0</v>
      </c>
      <c r="AZ643" s="388">
        <v>46018</v>
      </c>
      <c r="BA643" s="81"/>
    </row>
    <row r="644" spans="2:53">
      <c r="B644" s="446" t="str">
        <f>_xlfn.CONCAT(Tableau119[[#This Row],[Name ILN]],"-",Tableau119[[#This Row],[Name Shipper]],"-",Tableau119[[#This Row],[Name Site]])</f>
        <v>ILN Mioveni-ILN Mioveni-SOFASA</v>
      </c>
      <c r="C644" s="66" t="str">
        <f>_xlfn.CONCAT(Tableau119[[#This Row],[Compte ILN]],"-",Tableau119[[#This Row],[Compte Shipper]],"-",Tableau119[[#This Row],[POL]],"-",Tableau119[[#This Row],[Compte Consignee]])</f>
        <v>28390-28390-FALSO-9510600</v>
      </c>
      <c r="D644" s="66" t="str">
        <f>_xlfn.CONCAT(Tableau119[[#This Row],[Compte ILN]],"-",Tableau119[[#This Row],[Compte Shipper]],"-",Tableau119[[#This Row],[POL]])</f>
        <v>28390-28390-FALSO</v>
      </c>
      <c r="E644" s="130" t="str">
        <f>_xlfn.CONCAT(Tableau119[[#This Row],[POL]],"-",Tableau119[[#This Row],[Carrier]],"-",Tableau119[[#This Row],[POD]])</f>
        <v>FALSO-FALSO-FALSO</v>
      </c>
      <c r="F644" s="66" t="str">
        <f>_xlfn.CONCAT(Tableau119[[#This Row],[ID]],"-","Actif")</f>
        <v>271-Actif</v>
      </c>
      <c r="G644" s="66" t="str">
        <f>_xlfn.CONCAT(Tableau119[[#This Row],[POD]],"-",Tableau119[[#This Row],[Code PFI]],"-",Tableau119[[#This Row],[Compte Consignee]])</f>
        <v>FALSO---9510600</v>
      </c>
      <c r="H6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4" s="434" t="str">
        <f>_xlfn.CONCAT(Tableau119[[#This Row],[ID]],"-",Tableau119[[#This Row],[Expiration Date]])</f>
        <v>271-45949</v>
      </c>
      <c r="J6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Mioveni-271-FALSO-FALSO-FALSO--45949</v>
      </c>
      <c r="K644" s="119" t="str">
        <f ca="1">IF(COUNTIF(J:J,Tableau119[[#This Row],[Plant-ILN-shipper-POL-Carrier-POD-PFI]])=1,"Non","Oui")</f>
        <v>Non</v>
      </c>
      <c r="L644" s="128" t="str">
        <f>VLOOKUP(Tableau119[[#This Row],[Name Site]],Plant_AILN!A:D,4,FALSE)</f>
        <v>COLOMBIA</v>
      </c>
      <c r="M644" s="411" t="s">
        <v>177</v>
      </c>
      <c r="N644" s="454">
        <f>VLOOKUP(Tableau119[[#This Row],[Name Site]],Plant_AILN!A:C,3,FALSE)</f>
        <v>9510600</v>
      </c>
      <c r="O644" s="55">
        <f>VLOOKUP(Tableau119[[#This Row],[Compte Consignee]],Order!C:D,2,FALSE)</f>
        <v>7</v>
      </c>
      <c r="P644" s="124" t="s">
        <v>168</v>
      </c>
      <c r="Q644" s="365">
        <f>VLOOKUP(Tableau119[[#This Row],[Name ILN]],Plant_AILN!F:G,2,FALSE)</f>
        <v>28390</v>
      </c>
      <c r="R644" s="50">
        <f>VLOOKUP(Tableau119[[#This Row],[Compte ILN]],'DATA ILN'!D:I,6,FALSE)</f>
        <v>9</v>
      </c>
      <c r="S644" s="50" t="e">
        <f>IFERROR(VLOOKUP(Tableau119[[#This Row],[Key(Compte ILN - shipper - POL - plant)]],'DATA ILN'!A:J,10,FALSE),VLOOKUP(Tableau119[[#This Row],[Key(Compte ILN - shipper - POL)]],'DATA ILN'!B:J,9,FALSE))</f>
        <v>#N/A</v>
      </c>
      <c r="T644" s="50" t="e">
        <f>IFERROR(VLOOKUP(Tableau119[[#This Row],[Key(Compte ILN - shipper - POL - plant)]],'DATA ILN'!A:K,11,FALSE),VLOOKUP(Tableau119[[#This Row],[Key(Compte ILN - shipper - POL)]],'DATA ILN'!B:K,10,FALSE))</f>
        <v>#N/A</v>
      </c>
      <c r="U644" s="50" t="e">
        <f>IFERROR(VLOOKUP(Tableau119[[#This Row],[Key(Compte ILN - shipper - POL - plant)]],'DATA ILN'!A:L,12,FALSE),VLOOKUP(Tableau119[[#This Row],[Key(Compte ILN - shipper - POL)]],'DATA ILN'!B:L,11,FALSE))</f>
        <v>#N/A</v>
      </c>
      <c r="V644" s="50" t="e">
        <f>Tableau119[[#This Row],[Day ILN Order]]+Tableau119[[#This Row],[Delivery time to ILN/Shipper]]-1</f>
        <v>#N/A</v>
      </c>
      <c r="W644" s="50" t="e">
        <f>IFERROR(VLOOKUP(Tableau119[[#This Row],[Key(Compte ILN - shipper - POL - plant)]],'DATA ILN'!A:N,14,FALSE),VLOOKUP(Tableau119[[#This Row],[Key(Compte ILN - shipper - POL)]],'DATA ILN'!B:N,13,FALSE))</f>
        <v>#N/A</v>
      </c>
      <c r="X644" s="50" t="e">
        <f>IFERROR(VLOOKUP(Tableau119[[#This Row],[Key(Compte ILN - shipper - POL - plant)]],'DATA ILN'!A:P,16,FALSE),VLOOKUP(Tableau119[[#This Row],[Key(Compte ILN - shipper - POL)]],'DATA ILN'!B:P,15,FALSE))</f>
        <v>#N/A</v>
      </c>
      <c r="Y644" s="284" t="s">
        <v>168</v>
      </c>
      <c r="Z644" s="430">
        <f>IFERROR(VLOOKUP(Tableau119[[#This Row],[Name Shipper]],Plant_AILN!L:M,2,FALSE),0)</f>
        <v>28390</v>
      </c>
      <c r="AA644" s="406">
        <v>271</v>
      </c>
      <c r="AB644" s="396" t="b">
        <f>_xlfn.XLOOKUP(Tableau119[[#This Row],[Key(ID-date)]],'DATA BTO'!S:S,'DATA BTO'!E:E,FALSE)</f>
        <v>0</v>
      </c>
      <c r="AC644" s="3" t="b">
        <f>_xlfn.XLOOKUP(Tableau119[[#This Row],[Key(ID-date)]],'DATA BTO'!S:S,'DATA BTO'!F:F,FALSE)</f>
        <v>0</v>
      </c>
      <c r="AD644" s="50" t="b">
        <f>_xlfn.XLOOKUP(Tableau119[[#This Row],[Key(ID-date)]],'DATA BTO'!S:S,'DATA BTO'!G:G,FALSE)</f>
        <v>0</v>
      </c>
      <c r="AE644" s="50" t="b">
        <f>_xlfn.XLOOKUP(Tableau119[[#This Row],[Key(ID-date)]],'DATA BTO'!S:S,'DATA BTO'!H:H,FALSE)</f>
        <v>0</v>
      </c>
      <c r="AF644" s="447" t="e">
        <f>IF(Tableau119[[#This Row],[First Day to POL]]&lt;=Tableau119[[#This Row],[Day Cut Off]],Tableau119[[#This Row],[Day ETD]],Tableau119[[#This Row],[Day ETD]]+7)</f>
        <v>#N/A</v>
      </c>
      <c r="AG644" s="50" t="b">
        <f>_xlfn.XLOOKUP(Tableau119[[#This Row],[Key(ID-date)]],'DATA BTO'!S:S,'DATA BTO'!I:I,FALSE)</f>
        <v>0</v>
      </c>
      <c r="AH644" s="3" t="b">
        <f>_xlfn.XLOOKUP(Tableau119[[#This Row],[Key(ID-date)]],'DATA BTO'!S:S,'DATA BTO'!J:J,FALSE)</f>
        <v>0</v>
      </c>
      <c r="AI644" s="3" t="b">
        <f>_xlfn.XLOOKUP(Tableau119[[#This Row],[Key(ID-date)]],'DATA BTO'!S:S,'DATA BTO'!K:K,FALSE)</f>
        <v>0</v>
      </c>
      <c r="AJ644" s="50" t="b">
        <f>_xlfn.XLOOKUP(Tableau119[[#This Row],[Key(ID-date)]],'DATA BTO'!S:S,'DATA BTO'!L:L,FALSE)</f>
        <v>0</v>
      </c>
      <c r="AK644" s="53" t="b">
        <f>_xlfn.XLOOKUP(Tableau119[[#This Row],[Key(ID-date)]],'DATA BTO'!S:S,'DATA BTO'!N:N,FALSE)</f>
        <v>0</v>
      </c>
      <c r="AL644" s="54" t="e">
        <f>VLOOKUP(Tableau119[[#This Row],[Key(POD -PFI- Usine)]],'DATA Consignee'!A:F,6,FALSE)</f>
        <v>#N/A</v>
      </c>
      <c r="AM644" s="127"/>
      <c r="AN644" s="376" t="str">
        <f>IF(Tableau119[[#This Row],[Name PFI/CDD]]="","-",VLOOKUP(Tableau119[[#This Row],[Name PFI/CDD]],Plant_AILN!I:J,2,FALSE))</f>
        <v>-</v>
      </c>
      <c r="AO6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4" s="2" t="e">
        <f>VLOOKUP(Tableau119[[#This Row],[Key(POD -PFI- Usine)]],'DATA Consignee'!A:J,10,FALSE)</f>
        <v>#N/A</v>
      </c>
      <c r="AR644" s="50" t="e">
        <f>VLOOKUP(Tableau119[[#This Row],[Key(POD -PFI- Usine)]],'DATA Consignee'!A:N,14,FALSE)</f>
        <v>#N/A</v>
      </c>
      <c r="AS6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4" s="50">
        <f>Tableau119[[#This Row],[Transit time]]+Tableau119[[#This Row],[Time for security]]+Tableau119[[#This Row],[Time for security2 buffer]]</f>
        <v>0</v>
      </c>
      <c r="AV6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4" s="50" t="e">
        <f>Tableau119[[#This Row],[Leadtime SI2C]]+Tableau119[[#This Row],[First Receipt Days]]-Tableau119[[#This Row],[Day Customer Order]]+1</f>
        <v>#N/A</v>
      </c>
      <c r="AX644" s="119" t="e">
        <f>IF(Tableau119[[#This Row],[Name ILN]]&lt;&gt;"SFK Freight Forwarder",Tableau119[[#This Row],[Cust. Leadtime]],Tableau119[[#This Row],[Leadtime SI2C]])</f>
        <v>#N/A</v>
      </c>
      <c r="AY644" s="51" t="b">
        <f>_xlfn.XLOOKUP(Tableau119[[#This Row],[Key(ID-date)]],'DATA BTO'!S:S,'DATA BTO'!P:P,FALSE)</f>
        <v>0</v>
      </c>
      <c r="AZ644" s="338">
        <v>45949</v>
      </c>
      <c r="BA644" s="50"/>
    </row>
    <row r="645" spans="2:53">
      <c r="B645" s="446" t="str">
        <f>_xlfn.CONCAT(Tableau119[[#This Row],[Name ILN]],"-",Tableau119[[#This Row],[Name Shipper]],"-",Tableau119[[#This Row],[Name Site]])</f>
        <v>ILN Mioveni-ILN Mioveni-SOFASA</v>
      </c>
      <c r="C645" s="66" t="str">
        <f>_xlfn.CONCAT(Tableau119[[#This Row],[Compte ILN]],"-",Tableau119[[#This Row],[Compte Shipper]],"-",Tableau119[[#This Row],[POL]],"-",Tableau119[[#This Row],[Compte Consignee]])</f>
        <v>28390-28390-FALSO-9510600</v>
      </c>
      <c r="D645" s="66" t="str">
        <f>_xlfn.CONCAT(Tableau119[[#This Row],[Compte ILN]],"-",Tableau119[[#This Row],[Compte Shipper]],"-",Tableau119[[#This Row],[POL]])</f>
        <v>28390-28390-FALSO</v>
      </c>
      <c r="E645" s="130" t="str">
        <f>_xlfn.CONCAT(Tableau119[[#This Row],[POL]],"-",Tableau119[[#This Row],[Carrier]],"-",Tableau119[[#This Row],[POD]])</f>
        <v>FALSO-FALSO-FALSO</v>
      </c>
      <c r="F645" s="66" t="str">
        <f>_xlfn.CONCAT(Tableau119[[#This Row],[ID]],"-","Actif")</f>
        <v>271-Actif</v>
      </c>
      <c r="G645" s="66" t="str">
        <f>_xlfn.CONCAT(Tableau119[[#This Row],[POD]],"-",Tableau119[[#This Row],[Code PFI]],"-",Tableau119[[#This Row],[Compte Consignee]])</f>
        <v>FALSO---9510600</v>
      </c>
      <c r="H6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5" s="434" t="str">
        <f>_xlfn.CONCAT(Tableau119[[#This Row],[ID]],"-",Tableau119[[#This Row],[Expiration Date]])</f>
        <v>271-45777</v>
      </c>
      <c r="J6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Mioveni-271-FALSO-FALSO-FALSO--45777</v>
      </c>
      <c r="K645" s="119" t="str">
        <f ca="1">IF(COUNTIF(J:J,Tableau119[[#This Row],[Plant-ILN-shipper-POL-Carrier-POD-PFI]])=1,"Non","Oui")</f>
        <v>Non</v>
      </c>
      <c r="L645" s="128" t="str">
        <f>VLOOKUP(Tableau119[[#This Row],[Name Site]],Plant_AILN!A:D,4,FALSE)</f>
        <v>COLOMBIA</v>
      </c>
      <c r="M645" s="411" t="s">
        <v>177</v>
      </c>
      <c r="N645" s="454">
        <f>VLOOKUP(Tableau119[[#This Row],[Name Site]],Plant_AILN!A:C,3,FALSE)</f>
        <v>9510600</v>
      </c>
      <c r="O645" s="55">
        <f>VLOOKUP(Tableau119[[#This Row],[Compte Consignee]],Order!C:D,2,FALSE)</f>
        <v>7</v>
      </c>
      <c r="P645" s="124" t="s">
        <v>168</v>
      </c>
      <c r="Q645" s="365">
        <f>VLOOKUP(Tableau119[[#This Row],[Name ILN]],Plant_AILN!F:G,2,FALSE)</f>
        <v>28390</v>
      </c>
      <c r="R645" s="50">
        <f>VLOOKUP(Tableau119[[#This Row],[Compte ILN]],'DATA ILN'!D:I,6,FALSE)</f>
        <v>9</v>
      </c>
      <c r="S645" s="50" t="e">
        <f>IFERROR(VLOOKUP(Tableau119[[#This Row],[Key(Compte ILN - shipper - POL - plant)]],'DATA ILN'!A:J,10,FALSE),VLOOKUP(Tableau119[[#This Row],[Key(Compte ILN - shipper - POL)]],'DATA ILN'!B:J,9,FALSE))</f>
        <v>#N/A</v>
      </c>
      <c r="T645" s="50" t="e">
        <f>IFERROR(VLOOKUP(Tableau119[[#This Row],[Key(Compte ILN - shipper - POL - plant)]],'DATA ILN'!A:K,11,FALSE),VLOOKUP(Tableau119[[#This Row],[Key(Compte ILN - shipper - POL)]],'DATA ILN'!B:K,10,FALSE))</f>
        <v>#N/A</v>
      </c>
      <c r="U645" s="50" t="e">
        <f>IFERROR(VLOOKUP(Tableau119[[#This Row],[Key(Compte ILN - shipper - POL - plant)]],'DATA ILN'!A:L,12,FALSE),VLOOKUP(Tableau119[[#This Row],[Key(Compte ILN - shipper - POL)]],'DATA ILN'!B:L,11,FALSE))</f>
        <v>#N/A</v>
      </c>
      <c r="V645" s="50" t="e">
        <f>Tableau119[[#This Row],[Day ILN Order]]+Tableau119[[#This Row],[Delivery time to ILN/Shipper]]-1</f>
        <v>#N/A</v>
      </c>
      <c r="W645" s="50" t="e">
        <f>IFERROR(VLOOKUP(Tableau119[[#This Row],[Key(Compte ILN - shipper - POL - plant)]],'DATA ILN'!A:N,14,FALSE),VLOOKUP(Tableau119[[#This Row],[Key(Compte ILN - shipper - POL)]],'DATA ILN'!B:N,13,FALSE))</f>
        <v>#N/A</v>
      </c>
      <c r="X645" s="50" t="e">
        <f>IFERROR(VLOOKUP(Tableau119[[#This Row],[Key(Compte ILN - shipper - POL - plant)]],'DATA ILN'!A:P,16,FALSE),VLOOKUP(Tableau119[[#This Row],[Key(Compte ILN - shipper - POL)]],'DATA ILN'!B:P,15,FALSE))</f>
        <v>#N/A</v>
      </c>
      <c r="Y645" s="284" t="s">
        <v>168</v>
      </c>
      <c r="Z645" s="430">
        <f>IFERROR(VLOOKUP(Tableau119[[#This Row],[Name Shipper]],Plant_AILN!L:M,2,FALSE),0)</f>
        <v>28390</v>
      </c>
      <c r="AA645" s="406">
        <v>271</v>
      </c>
      <c r="AB645" s="396" t="b">
        <f>_xlfn.XLOOKUP(Tableau119[[#This Row],[Key(ID-date)]],'DATA BTO'!S:S,'DATA BTO'!E:E,FALSE)</f>
        <v>0</v>
      </c>
      <c r="AC645" s="3" t="b">
        <f>_xlfn.XLOOKUP(Tableau119[[#This Row],[Key(ID-date)]],'DATA BTO'!S:S,'DATA BTO'!F:F,FALSE)</f>
        <v>0</v>
      </c>
      <c r="AD645" s="50" t="b">
        <f>_xlfn.XLOOKUP(Tableau119[[#This Row],[Key(ID-date)]],'DATA BTO'!S:S,'DATA BTO'!G:G,FALSE)</f>
        <v>0</v>
      </c>
      <c r="AE645" s="50" t="b">
        <f>_xlfn.XLOOKUP(Tableau119[[#This Row],[Key(ID-date)]],'DATA BTO'!S:S,'DATA BTO'!H:H,FALSE)</f>
        <v>0</v>
      </c>
      <c r="AF645" s="447" t="e">
        <f>IF(Tableau119[[#This Row],[First Day to POL]]&lt;=Tableau119[[#This Row],[Day Cut Off]],Tableau119[[#This Row],[Day ETD]],Tableau119[[#This Row],[Day ETD]]+7)</f>
        <v>#N/A</v>
      </c>
      <c r="AG645" s="50" t="b">
        <f>_xlfn.XLOOKUP(Tableau119[[#This Row],[Key(ID-date)]],'DATA BTO'!S:S,'DATA BTO'!I:I,FALSE)</f>
        <v>0</v>
      </c>
      <c r="AH645" s="3" t="b">
        <f>_xlfn.XLOOKUP(Tableau119[[#This Row],[Key(ID-date)]],'DATA BTO'!S:S,'DATA BTO'!J:J,FALSE)</f>
        <v>0</v>
      </c>
      <c r="AI645" s="3" t="b">
        <f>_xlfn.XLOOKUP(Tableau119[[#This Row],[Key(ID-date)]],'DATA BTO'!S:S,'DATA BTO'!K:K,FALSE)</f>
        <v>0</v>
      </c>
      <c r="AJ645" s="50" t="b">
        <f>_xlfn.XLOOKUP(Tableau119[[#This Row],[Key(ID-date)]],'DATA BTO'!S:S,'DATA BTO'!L:L,FALSE)</f>
        <v>0</v>
      </c>
      <c r="AK645" s="53" t="b">
        <f>_xlfn.XLOOKUP(Tableau119[[#This Row],[Key(ID-date)]],'DATA BTO'!S:S,'DATA BTO'!N:N,FALSE)</f>
        <v>0</v>
      </c>
      <c r="AL645" s="54" t="e">
        <f>VLOOKUP(Tableau119[[#This Row],[Key(POD -PFI- Usine)]],'DATA Consignee'!A:F,6,FALSE)</f>
        <v>#N/A</v>
      </c>
      <c r="AM645" s="127"/>
      <c r="AN645" s="376" t="str">
        <f>IF(Tableau119[[#This Row],[Name PFI/CDD]]="","-",VLOOKUP(Tableau119[[#This Row],[Name PFI/CDD]],Plant_AILN!I:J,2,FALSE))</f>
        <v>-</v>
      </c>
      <c r="AO6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5" s="2" t="e">
        <f>VLOOKUP(Tableau119[[#This Row],[Key(POD -PFI- Usine)]],'DATA Consignee'!A:J,10,FALSE)</f>
        <v>#N/A</v>
      </c>
      <c r="AR645" s="50" t="e">
        <f>VLOOKUP(Tableau119[[#This Row],[Key(POD -PFI- Usine)]],'DATA Consignee'!A:N,14,FALSE)</f>
        <v>#N/A</v>
      </c>
      <c r="AS6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5" s="50">
        <f>Tableau119[[#This Row],[Transit time]]+Tableau119[[#This Row],[Time for security]]+Tableau119[[#This Row],[Time for security2 buffer]]</f>
        <v>0</v>
      </c>
      <c r="AV6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5" s="50" t="e">
        <f>Tableau119[[#This Row],[Leadtime SI2C]]+Tableau119[[#This Row],[First Receipt Days]]-Tableau119[[#This Row],[Day Customer Order]]+1</f>
        <v>#N/A</v>
      </c>
      <c r="AX645" s="119" t="e">
        <f>IF(Tableau119[[#This Row],[Name ILN]]&lt;&gt;"SFK Freight Forwarder",Tableau119[[#This Row],[Cust. Leadtime]],Tableau119[[#This Row],[Leadtime SI2C]])</f>
        <v>#N/A</v>
      </c>
      <c r="AY645" s="51" t="b">
        <f>_xlfn.XLOOKUP(Tableau119[[#This Row],[Key(ID-date)]],'DATA BTO'!S:S,'DATA BTO'!P:P,FALSE)</f>
        <v>0</v>
      </c>
      <c r="AZ645" s="338">
        <v>45777</v>
      </c>
      <c r="BA645" s="50"/>
    </row>
    <row r="646" spans="2:53">
      <c r="B646" s="446" t="str">
        <f>_xlfn.CONCAT(Tableau119[[#This Row],[Name ILN]],"-",Tableau119[[#This Row],[Name Shipper]],"-",Tableau119[[#This Row],[Name Site]])</f>
        <v>ILN Mioveni-ILN Mioveni-SOFASA</v>
      </c>
      <c r="C646" s="66" t="str">
        <f>_xlfn.CONCAT(Tableau119[[#This Row],[Compte ILN]],"-",Tableau119[[#This Row],[Compte Shipper]],"-",Tableau119[[#This Row],[POL]],"-",Tableau119[[#This Row],[Compte Consignee]])</f>
        <v>28390-28390-FALSO-9510600</v>
      </c>
      <c r="D646" s="66" t="str">
        <f>_xlfn.CONCAT(Tableau119[[#This Row],[Compte ILN]],"-",Tableau119[[#This Row],[Compte Shipper]],"-",Tableau119[[#This Row],[POL]])</f>
        <v>28390-28390-FALSO</v>
      </c>
      <c r="E646" s="130" t="str">
        <f>_xlfn.CONCAT(Tableau119[[#This Row],[POL]],"-",Tableau119[[#This Row],[Carrier]],"-",Tableau119[[#This Row],[POD]])</f>
        <v>FALSO-FALSO-FALSO</v>
      </c>
      <c r="F646" s="66" t="str">
        <f>_xlfn.CONCAT(Tableau119[[#This Row],[ID]],"-","Actif")</f>
        <v>271-Actif</v>
      </c>
      <c r="G646" s="66" t="str">
        <f>_xlfn.CONCAT(Tableau119[[#This Row],[POD]],"-",Tableau119[[#This Row],[Code PFI]],"-",Tableau119[[#This Row],[Compte Consignee]])</f>
        <v>FALSO---9510600</v>
      </c>
      <c r="H6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6" s="434" t="str">
        <f>_xlfn.CONCAT(Tableau119[[#This Row],[ID]],"-",Tableau119[[#This Row],[Expiration Date]])</f>
        <v>271-45473</v>
      </c>
      <c r="J6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Mioveni-271-FALSO-FALSO-FALSO--45473</v>
      </c>
      <c r="K646" s="119" t="str">
        <f ca="1">IF(COUNTIF(J:J,Tableau119[[#This Row],[Plant-ILN-shipper-POL-Carrier-POD-PFI]])=1,"Non","Oui")</f>
        <v>Non</v>
      </c>
      <c r="L646" s="128" t="str">
        <f>VLOOKUP(Tableau119[[#This Row],[Name Site]],Plant_AILN!A:D,4,FALSE)</f>
        <v>COLOMBIA</v>
      </c>
      <c r="M646" s="411" t="s">
        <v>177</v>
      </c>
      <c r="N646" s="454">
        <f>VLOOKUP(Tableau119[[#This Row],[Name Site]],Plant_AILN!A:C,3,FALSE)</f>
        <v>9510600</v>
      </c>
      <c r="O646" s="55">
        <f>VLOOKUP(Tableau119[[#This Row],[Compte Consignee]],Order!C:D,2,FALSE)</f>
        <v>7</v>
      </c>
      <c r="P646" s="124" t="s">
        <v>168</v>
      </c>
      <c r="Q646" s="365">
        <f>VLOOKUP(Tableau119[[#This Row],[Name ILN]],Plant_AILN!F:G,2,FALSE)</f>
        <v>28390</v>
      </c>
      <c r="R646" s="50">
        <f>VLOOKUP(Tableau119[[#This Row],[Compte ILN]],'DATA ILN'!D:I,6,FALSE)</f>
        <v>9</v>
      </c>
      <c r="S646" s="50" t="e">
        <f>IFERROR(VLOOKUP(Tableau119[[#This Row],[Key(Compte ILN - shipper - POL - plant)]],'DATA ILN'!A:J,10,FALSE),VLOOKUP(Tableau119[[#This Row],[Key(Compte ILN - shipper - POL)]],'DATA ILN'!B:J,9,FALSE))</f>
        <v>#N/A</v>
      </c>
      <c r="T646" s="50" t="e">
        <f>IFERROR(VLOOKUP(Tableau119[[#This Row],[Key(Compte ILN - shipper - POL - plant)]],'DATA ILN'!A:K,11,FALSE),VLOOKUP(Tableau119[[#This Row],[Key(Compte ILN - shipper - POL)]],'DATA ILN'!B:K,10,FALSE))</f>
        <v>#N/A</v>
      </c>
      <c r="U646" s="50" t="e">
        <f>IFERROR(VLOOKUP(Tableau119[[#This Row],[Key(Compte ILN - shipper - POL - plant)]],'DATA ILN'!A:L,12,FALSE),VLOOKUP(Tableau119[[#This Row],[Key(Compte ILN - shipper - POL)]],'DATA ILN'!B:L,11,FALSE))</f>
        <v>#N/A</v>
      </c>
      <c r="V646" s="50" t="e">
        <f>Tableau119[[#This Row],[Day ILN Order]]+Tableau119[[#This Row],[Delivery time to ILN/Shipper]]-1</f>
        <v>#N/A</v>
      </c>
      <c r="W646" s="50" t="e">
        <f>IFERROR(VLOOKUP(Tableau119[[#This Row],[Key(Compte ILN - shipper - POL - plant)]],'DATA ILN'!A:N,14,FALSE),VLOOKUP(Tableau119[[#This Row],[Key(Compte ILN - shipper - POL)]],'DATA ILN'!B:N,13,FALSE))</f>
        <v>#N/A</v>
      </c>
      <c r="X646" s="50" t="e">
        <f>IFERROR(VLOOKUP(Tableau119[[#This Row],[Key(Compte ILN - shipper - POL - plant)]],'DATA ILN'!A:P,16,FALSE),VLOOKUP(Tableau119[[#This Row],[Key(Compte ILN - shipper - POL)]],'DATA ILN'!B:P,15,FALSE))</f>
        <v>#N/A</v>
      </c>
      <c r="Y646" s="284" t="s">
        <v>168</v>
      </c>
      <c r="Z646" s="430">
        <f>IFERROR(VLOOKUP(Tableau119[[#This Row],[Name Shipper]],Plant_AILN!L:M,2,FALSE),0)</f>
        <v>28390</v>
      </c>
      <c r="AA646" s="406">
        <v>271</v>
      </c>
      <c r="AB646" s="396" t="b">
        <f>_xlfn.XLOOKUP(Tableau119[[#This Row],[Key(ID-date)]],'DATA BTO'!S:S,'DATA BTO'!E:E,FALSE)</f>
        <v>0</v>
      </c>
      <c r="AC646" s="3" t="b">
        <f>_xlfn.XLOOKUP(Tableau119[[#This Row],[Key(ID-date)]],'DATA BTO'!S:S,'DATA BTO'!F:F,FALSE)</f>
        <v>0</v>
      </c>
      <c r="AD646" s="50" t="b">
        <f>_xlfn.XLOOKUP(Tableau119[[#This Row],[Key(ID-date)]],'DATA BTO'!S:S,'DATA BTO'!G:G,FALSE)</f>
        <v>0</v>
      </c>
      <c r="AE646" s="50" t="b">
        <f>_xlfn.XLOOKUP(Tableau119[[#This Row],[Key(ID-date)]],'DATA BTO'!S:S,'DATA BTO'!H:H,FALSE)</f>
        <v>0</v>
      </c>
      <c r="AF646" s="447" t="e">
        <f>IF(Tableau119[[#This Row],[First Day to POL]]&lt;=Tableau119[[#This Row],[Day Cut Off]],Tableau119[[#This Row],[Day ETD]],Tableau119[[#This Row],[Day ETD]]+7)</f>
        <v>#N/A</v>
      </c>
      <c r="AG646" s="50" t="b">
        <f>_xlfn.XLOOKUP(Tableau119[[#This Row],[Key(ID-date)]],'DATA BTO'!S:S,'DATA BTO'!I:I,FALSE)</f>
        <v>0</v>
      </c>
      <c r="AH646" s="3" t="b">
        <f>_xlfn.XLOOKUP(Tableau119[[#This Row],[Key(ID-date)]],'DATA BTO'!S:S,'DATA BTO'!J:J,FALSE)</f>
        <v>0</v>
      </c>
      <c r="AI646" s="3" t="b">
        <f>_xlfn.XLOOKUP(Tableau119[[#This Row],[Key(ID-date)]],'DATA BTO'!S:S,'DATA BTO'!K:K,FALSE)</f>
        <v>0</v>
      </c>
      <c r="AJ646" s="50" t="b">
        <f>_xlfn.XLOOKUP(Tableau119[[#This Row],[Key(ID-date)]],'DATA BTO'!S:S,'DATA BTO'!L:L,FALSE)</f>
        <v>0</v>
      </c>
      <c r="AK646" s="53" t="b">
        <f>_xlfn.XLOOKUP(Tableau119[[#This Row],[Key(ID-date)]],'DATA BTO'!S:S,'DATA BTO'!N:N,FALSE)</f>
        <v>0</v>
      </c>
      <c r="AL646" s="54" t="e">
        <f>VLOOKUP(Tableau119[[#This Row],[Key(POD -PFI- Usine)]],'DATA Consignee'!A:F,6,FALSE)</f>
        <v>#N/A</v>
      </c>
      <c r="AM646" s="127"/>
      <c r="AN646" s="376" t="str">
        <f>IF(Tableau119[[#This Row],[Name PFI/CDD]]="","-",VLOOKUP(Tableau119[[#This Row],[Name PFI/CDD]],Plant_AILN!I:J,2,FALSE))</f>
        <v>-</v>
      </c>
      <c r="AO6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6" s="2" t="e">
        <f>VLOOKUP(Tableau119[[#This Row],[Key(POD -PFI- Usine)]],'DATA Consignee'!A:J,10,FALSE)</f>
        <v>#N/A</v>
      </c>
      <c r="AR646" s="50" t="e">
        <f>VLOOKUP(Tableau119[[#This Row],[Key(POD -PFI- Usine)]],'DATA Consignee'!A:N,14,FALSE)</f>
        <v>#N/A</v>
      </c>
      <c r="AS6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6" s="50">
        <f>Tableau119[[#This Row],[Transit time]]+Tableau119[[#This Row],[Time for security]]+Tableau119[[#This Row],[Time for security2 buffer]]</f>
        <v>0</v>
      </c>
      <c r="AV6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6" s="50" t="e">
        <f>Tableau119[[#This Row],[Leadtime SI2C]]+Tableau119[[#This Row],[First Receipt Days]]-Tableau119[[#This Row],[Day Customer Order]]+1</f>
        <v>#N/A</v>
      </c>
      <c r="AX646" s="119" t="e">
        <f>IF(Tableau119[[#This Row],[Name ILN]]&lt;&gt;"SFK Freight Forwarder",Tableau119[[#This Row],[Cust. Leadtime]],Tableau119[[#This Row],[Leadtime SI2C]])</f>
        <v>#N/A</v>
      </c>
      <c r="AY646" s="51" t="b">
        <f>_xlfn.XLOOKUP(Tableau119[[#This Row],[Key(ID-date)]],'DATA BTO'!S:S,'DATA BTO'!P:P,FALSE)</f>
        <v>0</v>
      </c>
      <c r="AZ646" s="338">
        <v>45473</v>
      </c>
      <c r="BA646" s="50"/>
    </row>
    <row r="647" spans="2:53">
      <c r="B647" s="446" t="str">
        <f>_xlfn.CONCAT(Tableau119[[#This Row],[Name ILN]],"-",Tableau119[[#This Row],[Name Shipper]],"-",Tableau119[[#This Row],[Name Site]])</f>
        <v>ILN Mioveni-ILN Mioveni-SOFASA</v>
      </c>
      <c r="C647" s="66" t="str">
        <f>_xlfn.CONCAT(Tableau119[[#This Row],[Compte ILN]],"-",Tableau119[[#This Row],[Compte Shipper]],"-",Tableau119[[#This Row],[POL]],"-",Tableau119[[#This Row],[Compte Consignee]])</f>
        <v>28390-28390-FALSO-9510600</v>
      </c>
      <c r="D647" s="66" t="str">
        <f>_xlfn.CONCAT(Tableau119[[#This Row],[Compte ILN]],"-",Tableau119[[#This Row],[Compte Shipper]],"-",Tableau119[[#This Row],[POL]])</f>
        <v>28390-28390-FALSO</v>
      </c>
      <c r="E647" s="130" t="str">
        <f>_xlfn.CONCAT(Tableau119[[#This Row],[POL]],"-",Tableau119[[#This Row],[Carrier]],"-",Tableau119[[#This Row],[POD]])</f>
        <v>FALSO-FALSO-FALSO</v>
      </c>
      <c r="F647" s="66" t="str">
        <f>_xlfn.CONCAT(Tableau119[[#This Row],[ID]],"-","Actif")</f>
        <v>271-Actif</v>
      </c>
      <c r="G647" s="66" t="str">
        <f>_xlfn.CONCAT(Tableau119[[#This Row],[POD]],"-",Tableau119[[#This Row],[Code PFI]],"-",Tableau119[[#This Row],[Compte Consignee]])</f>
        <v>FALSO---9510600</v>
      </c>
      <c r="H6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MioveniFALSOSOFASA</v>
      </c>
      <c r="I647" s="434" t="str">
        <f>_xlfn.CONCAT(Tableau119[[#This Row],[ID]],"-",Tableau119[[#This Row],[Expiration Date]])</f>
        <v>271-45392</v>
      </c>
      <c r="J6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Mioveni-ILN Mioveni-271-FALSO-FALSO-FALSO--45392</v>
      </c>
      <c r="K647" s="119" t="str">
        <f ca="1">IF(COUNTIF(J:J,Tableau119[[#This Row],[Plant-ILN-shipper-POL-Carrier-POD-PFI]])=1,"Non","Oui")</f>
        <v>Non</v>
      </c>
      <c r="L647" s="128" t="str">
        <f>VLOOKUP(Tableau119[[#This Row],[Name Site]],Plant_AILN!A:D,4,FALSE)</f>
        <v>COLOMBIA</v>
      </c>
      <c r="M647" s="415" t="s">
        <v>177</v>
      </c>
      <c r="N647" s="455">
        <f>VLOOKUP(Tableau119[[#This Row],[Name Site]],Plant_AILN!A:C,3,FALSE)</f>
        <v>9510600</v>
      </c>
      <c r="O647" s="104">
        <f>VLOOKUP(Tableau119[[#This Row],[Compte Consignee]],Order!C:D,2,FALSE)</f>
        <v>7</v>
      </c>
      <c r="P647" s="126" t="s">
        <v>168</v>
      </c>
      <c r="Q647" s="366">
        <f>VLOOKUP(Tableau119[[#This Row],[Name ILN]],Plant_AILN!F:G,2,FALSE)</f>
        <v>28390</v>
      </c>
      <c r="R647" s="81">
        <f>VLOOKUP(Tableau119[[#This Row],[Compte ILN]],'DATA ILN'!D:I,6,FALSE)</f>
        <v>9</v>
      </c>
      <c r="S647" s="81" t="e">
        <f>IFERROR(VLOOKUP(Tableau119[[#This Row],[Key(Compte ILN - shipper - POL - plant)]],'DATA ILN'!A:J,10,FALSE),VLOOKUP(Tableau119[[#This Row],[Key(Compte ILN - shipper - POL)]],'DATA ILN'!B:J,9,FALSE))</f>
        <v>#N/A</v>
      </c>
      <c r="T647" s="81" t="e">
        <f>IFERROR(VLOOKUP(Tableau119[[#This Row],[Key(Compte ILN - shipper - POL - plant)]],'DATA ILN'!A:K,11,FALSE),VLOOKUP(Tableau119[[#This Row],[Key(Compte ILN - shipper - POL)]],'DATA ILN'!B:K,10,FALSE))</f>
        <v>#N/A</v>
      </c>
      <c r="U647" s="81" t="e">
        <f>IFERROR(VLOOKUP(Tableau119[[#This Row],[Key(Compte ILN - shipper - POL - plant)]],'DATA ILN'!A:L,12,FALSE),VLOOKUP(Tableau119[[#This Row],[Key(Compte ILN - shipper - POL)]],'DATA ILN'!B:L,11,FALSE))</f>
        <v>#N/A</v>
      </c>
      <c r="V647" s="81" t="e">
        <f>Tableau119[[#This Row],[Day ILN Order]]+Tableau119[[#This Row],[Delivery time to ILN/Shipper]]-1</f>
        <v>#N/A</v>
      </c>
      <c r="W647" s="81" t="e">
        <f>IFERROR(VLOOKUP(Tableau119[[#This Row],[Key(Compte ILN - shipper - POL - plant)]],'DATA ILN'!A:N,14,FALSE),VLOOKUP(Tableau119[[#This Row],[Key(Compte ILN - shipper - POL)]],'DATA ILN'!B:N,13,FALSE))</f>
        <v>#N/A</v>
      </c>
      <c r="X647" s="81" t="e">
        <f>IFERROR(VLOOKUP(Tableau119[[#This Row],[Key(Compte ILN - shipper - POL - plant)]],'DATA ILN'!A:P,16,FALSE),VLOOKUP(Tableau119[[#This Row],[Key(Compte ILN - shipper - POL)]],'DATA ILN'!B:P,15,FALSE))</f>
        <v>#N/A</v>
      </c>
      <c r="Y647" s="102" t="s">
        <v>168</v>
      </c>
      <c r="Z647" s="417">
        <f>IFERROR(VLOOKUP(Tableau119[[#This Row],[Name Shipper]],Plant_AILN!L:M,2,FALSE),0)</f>
        <v>28390</v>
      </c>
      <c r="AA647" s="416">
        <v>271</v>
      </c>
      <c r="AB647" s="396" t="b">
        <f>_xlfn.XLOOKUP(Tableau119[[#This Row],[Key(ID-date)]],'DATA BTO'!S:S,'DATA BTO'!E:E,FALSE)</f>
        <v>0</v>
      </c>
      <c r="AC647" s="3" t="b">
        <f>_xlfn.XLOOKUP(Tableau119[[#This Row],[Key(ID-date)]],'DATA BTO'!S:S,'DATA BTO'!F:F,FALSE)</f>
        <v>0</v>
      </c>
      <c r="AD647" s="50" t="b">
        <f>_xlfn.XLOOKUP(Tableau119[[#This Row],[Key(ID-date)]],'DATA BTO'!S:S,'DATA BTO'!G:G,FALSE)</f>
        <v>0</v>
      </c>
      <c r="AE647" s="50" t="b">
        <f>_xlfn.XLOOKUP(Tableau119[[#This Row],[Key(ID-date)]],'DATA BTO'!S:S,'DATA BTO'!H:H,FALSE)</f>
        <v>0</v>
      </c>
      <c r="AF647" s="447" t="e">
        <f>IF(Tableau119[[#This Row],[First Day to POL]]&lt;=Tableau119[[#This Row],[Day Cut Off]],Tableau119[[#This Row],[Day ETD]],Tableau119[[#This Row],[Day ETD]]+7)</f>
        <v>#N/A</v>
      </c>
      <c r="AG647" s="50" t="b">
        <f>_xlfn.XLOOKUP(Tableau119[[#This Row],[Key(ID-date)]],'DATA BTO'!S:S,'DATA BTO'!I:I,FALSE)</f>
        <v>0</v>
      </c>
      <c r="AH647" s="3" t="b">
        <f>_xlfn.XLOOKUP(Tableau119[[#This Row],[Key(ID-date)]],'DATA BTO'!S:S,'DATA BTO'!J:J,FALSE)</f>
        <v>0</v>
      </c>
      <c r="AI647" s="3" t="b">
        <f>_xlfn.XLOOKUP(Tableau119[[#This Row],[Key(ID-date)]],'DATA BTO'!S:S,'DATA BTO'!K:K,FALSE)</f>
        <v>0</v>
      </c>
      <c r="AJ647" s="50" t="b">
        <f>_xlfn.XLOOKUP(Tableau119[[#This Row],[Key(ID-date)]],'DATA BTO'!S:S,'DATA BTO'!L:L,FALSE)</f>
        <v>0</v>
      </c>
      <c r="AK647" s="53" t="b">
        <f>_xlfn.XLOOKUP(Tableau119[[#This Row],[Key(ID-date)]],'DATA BTO'!S:S,'DATA BTO'!N:N,FALSE)</f>
        <v>0</v>
      </c>
      <c r="AL647" s="54" t="e">
        <f>VLOOKUP(Tableau119[[#This Row],[Key(POD -PFI- Usine)]],'DATA Consignee'!A:F,6,FALSE)</f>
        <v>#N/A</v>
      </c>
      <c r="AM647" s="127"/>
      <c r="AN647" s="375" t="str">
        <f>IF(Tableau119[[#This Row],[Name PFI/CDD]]="","-",VLOOKUP(Tableau119[[#This Row],[Name PFI/CDD]],Plant_AILN!I:J,2,FALSE))</f>
        <v>-</v>
      </c>
      <c r="AO64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7" s="110" t="e">
        <f>VLOOKUP(Tableau119[[#This Row],[Key(POD -PFI- Usine)]],'DATA Consignee'!A:J,10,FALSE)</f>
        <v>#N/A</v>
      </c>
      <c r="AR647" s="81" t="e">
        <f>VLOOKUP(Tableau119[[#This Row],[Key(POD -PFI- Usine)]],'DATA Consignee'!A:N,14,FALSE)</f>
        <v>#N/A</v>
      </c>
      <c r="AS64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7" s="81">
        <f>Tableau119[[#This Row],[Transit time]]+Tableau119[[#This Row],[Time for security]]+Tableau119[[#This Row],[Time for security2 buffer]]</f>
        <v>0</v>
      </c>
      <c r="AV6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7" s="50" t="e">
        <f>Tableau119[[#This Row],[Leadtime SI2C]]+Tableau119[[#This Row],[First Receipt Days]]-Tableau119[[#This Row],[Day Customer Order]]+1</f>
        <v>#N/A</v>
      </c>
      <c r="AX647" s="119" t="e">
        <f>IF(Tableau119[[#This Row],[Name ILN]]&lt;&gt;"SFK Freight Forwarder",Tableau119[[#This Row],[Cust. Leadtime]],Tableau119[[#This Row],[Leadtime SI2C]])</f>
        <v>#N/A</v>
      </c>
      <c r="AY647" s="51" t="b">
        <f>_xlfn.XLOOKUP(Tableau119[[#This Row],[Key(ID-date)]],'DATA BTO'!S:S,'DATA BTO'!P:P,FALSE)</f>
        <v>0</v>
      </c>
      <c r="AZ647" s="388">
        <v>45392</v>
      </c>
      <c r="BA647" s="81"/>
    </row>
    <row r="648" spans="2:53">
      <c r="B648" s="446" t="str">
        <f>_xlfn.CONCAT(Tableau119[[#This Row],[Name ILN]],"-",Tableau119[[#This Row],[Name Shipper]],"-",Tableau119[[#This Row],[Name Site]])</f>
        <v>KWE Shanghai-KWE Shanghai-KARSAN</v>
      </c>
      <c r="C648" s="66" t="str">
        <f>_xlfn.CONCAT(Tableau119[[#This Row],[Compte ILN]],"-",Tableau119[[#This Row],[Compte Shipper]],"-",Tableau119[[#This Row],[POL]],"-",Tableau119[[#This Row],[Compte Consignee]])</f>
        <v>26037000-26037000-FALSO-90022000</v>
      </c>
      <c r="D648" s="66" t="str">
        <f>_xlfn.CONCAT(Tableau119[[#This Row],[Compte ILN]],"-",Tableau119[[#This Row],[Compte Shipper]],"-",Tableau119[[#This Row],[POL]])</f>
        <v>26037000-26037000-FALSO</v>
      </c>
      <c r="E648" s="130" t="str">
        <f>_xlfn.CONCAT(Tableau119[[#This Row],[POL]],"-",Tableau119[[#This Row],[Carrier]],"-",Tableau119[[#This Row],[POD]])</f>
        <v>FALSO-FALSO-FALSO</v>
      </c>
      <c r="F648" s="66" t="str">
        <f>_xlfn.CONCAT(Tableau119[[#This Row],[ID]],"-","Actif")</f>
        <v>286-Actif</v>
      </c>
      <c r="G648" s="66" t="str">
        <f>_xlfn.CONCAT(Tableau119[[#This Row],[POD]],"-",Tableau119[[#This Row],[Code PFI]],"-",Tableau119[[#This Row],[Compte Consignee]])</f>
        <v>FALSO---90022000</v>
      </c>
      <c r="H6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ShanghaiFALSOKARSAN</v>
      </c>
      <c r="I648" s="434" t="str">
        <f>_xlfn.CONCAT(Tableau119[[#This Row],[ID]],"-",Tableau119[[#This Row],[Expiration Date]])</f>
        <v>286-46142</v>
      </c>
      <c r="J6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KARSAN-KWE Shanghai-KWE Shanghai-286-FALSO-FALSO-FALSO--46142</v>
      </c>
      <c r="K648" s="119" t="str">
        <f ca="1">IF(COUNTIF(J:J,Tableau119[[#This Row],[Plant-ILN-shipper-POL-Carrier-POD-PFI]])=1,"Non","Oui")</f>
        <v>Oui</v>
      </c>
      <c r="L648" s="128" t="str">
        <f>VLOOKUP(Tableau119[[#This Row],[Name Site]],Plant_AILN!A:D,4,FALSE)</f>
        <v>TURKEY</v>
      </c>
      <c r="M648" s="411" t="s">
        <v>235</v>
      </c>
      <c r="N648" s="454">
        <f>VLOOKUP(Tableau119[[#This Row],[Name Site]],Plant_AILN!A:C,3,FALSE)</f>
        <v>90022000</v>
      </c>
      <c r="O648" s="55">
        <f>IF(Tableau119[[#This Row],[Name PFI/CDD]]="PFI VLL",2,VLOOKUP(Tableau119[[#This Row],[Compte Consignee]],Order!C:D,2,FALSE))</f>
        <v>7</v>
      </c>
      <c r="P648" s="124" t="s">
        <v>62</v>
      </c>
      <c r="Q648" s="365">
        <f>VLOOKUP(Tableau119[[#This Row],[Name ILN]],Plant_AILN!F:G,2,FALSE)</f>
        <v>26037000</v>
      </c>
      <c r="R648" s="50">
        <f>VLOOKUP(Tableau119[[#This Row],[Compte ILN]],'DATA ILN'!D:I,6,FALSE)</f>
        <v>9</v>
      </c>
      <c r="S648" s="50" t="e">
        <f>IFERROR(VLOOKUP(Tableau119[[#This Row],[Key(Compte ILN - shipper - POL - plant)]],'DATA ILN'!A:J,10,FALSE),VLOOKUP(Tableau119[[#This Row],[Key(Compte ILN - shipper - POL)]],'DATA ILN'!B:J,9,FALSE))</f>
        <v>#N/A</v>
      </c>
      <c r="T648" s="50" t="e">
        <f>IFERROR(VLOOKUP(Tableau119[[#This Row],[Key(Compte ILN - shipper - POL - plant)]],'DATA ILN'!A:K,11,FALSE),VLOOKUP(Tableau119[[#This Row],[Key(Compte ILN - shipper - POL)]],'DATA ILN'!B:K,10,FALSE))</f>
        <v>#N/A</v>
      </c>
      <c r="U648" s="50" t="e">
        <f>IFERROR(VLOOKUP(Tableau119[[#This Row],[Key(Compte ILN - shipper - POL - plant)]],'DATA ILN'!A:L,12,FALSE),VLOOKUP(Tableau119[[#This Row],[Key(Compte ILN - shipper - POL)]],'DATA ILN'!B:L,11,FALSE))</f>
        <v>#N/A</v>
      </c>
      <c r="V648" s="50" t="e">
        <f>Tableau119[[#This Row],[Day ILN Order]]+Tableau119[[#This Row],[Delivery time to ILN/Shipper]]-1</f>
        <v>#N/A</v>
      </c>
      <c r="W648" s="50" t="e">
        <f>IFERROR(VLOOKUP(Tableau119[[#This Row],[Key(Compte ILN - shipper - POL - plant)]],'DATA ILN'!A:N,14,FALSE),VLOOKUP(Tableau119[[#This Row],[Key(Compte ILN - shipper - POL)]],'DATA ILN'!B:N,13,FALSE))</f>
        <v>#N/A</v>
      </c>
      <c r="X648" s="50" t="e">
        <f>IFERROR(VLOOKUP(Tableau119[[#This Row],[Key(Compte ILN - shipper - POL - plant)]],'DATA ILN'!A:P,16,FALSE),VLOOKUP(Tableau119[[#This Row],[Key(Compte ILN - shipper - POL)]],'DATA ILN'!B:P,15,FALSE))</f>
        <v>#N/A</v>
      </c>
      <c r="Y648" s="284" t="s">
        <v>62</v>
      </c>
      <c r="Z648" s="430">
        <f>IFERROR(VLOOKUP(Tableau119[[#This Row],[Name Shipper]],Plant_AILN!L:M,2,FALSE),0)</f>
        <v>26037000</v>
      </c>
      <c r="AA648" s="406">
        <v>286</v>
      </c>
      <c r="AB648" s="396" t="b">
        <f>_xlfn.XLOOKUP(Tableau119[[#This Row],[Key(ID-date)]],'DATA BTO'!S:S,'DATA BTO'!E:E,FALSE)</f>
        <v>0</v>
      </c>
      <c r="AC648" s="3" t="b">
        <f>_xlfn.XLOOKUP(Tableau119[[#This Row],[Key(ID-date)]],'DATA BTO'!S:S,'DATA BTO'!F:F,FALSE)</f>
        <v>0</v>
      </c>
      <c r="AD648" s="50" t="b">
        <f>_xlfn.XLOOKUP(Tableau119[[#This Row],[Key(ID-date)]],'DATA BTO'!S:S,'DATA BTO'!G:G,FALSE)</f>
        <v>0</v>
      </c>
      <c r="AE648" s="50" t="b">
        <f>_xlfn.XLOOKUP(Tableau119[[#This Row],[Key(ID-date)]],'DATA BTO'!S:S,'DATA BTO'!H:H,FALSE)</f>
        <v>0</v>
      </c>
      <c r="AF648" s="447" t="e">
        <f>IF(Tableau119[[#This Row],[First Day to POL]]&lt;=Tableau119[[#This Row],[Day Cut Off]],Tableau119[[#This Row],[Day ETD]],Tableau119[[#This Row],[Day ETD]]+7)</f>
        <v>#N/A</v>
      </c>
      <c r="AG648" s="50" t="b">
        <f>_xlfn.XLOOKUP(Tableau119[[#This Row],[Key(ID-date)]],'DATA BTO'!S:S,'DATA BTO'!I:I,FALSE)</f>
        <v>0</v>
      </c>
      <c r="AH648" s="3" t="b">
        <f>_xlfn.XLOOKUP(Tableau119[[#This Row],[Key(ID-date)]],'DATA BTO'!S:S,'DATA BTO'!J:J,FALSE)</f>
        <v>0</v>
      </c>
      <c r="AI648" s="3" t="b">
        <f>_xlfn.XLOOKUP(Tableau119[[#This Row],[Key(ID-date)]],'DATA BTO'!S:S,'DATA BTO'!K:K,FALSE)</f>
        <v>0</v>
      </c>
      <c r="AJ648" s="50" t="b">
        <f>_xlfn.XLOOKUP(Tableau119[[#This Row],[Key(ID-date)]],'DATA BTO'!S:S,'DATA BTO'!L:L,FALSE)</f>
        <v>0</v>
      </c>
      <c r="AK648" s="53" t="b">
        <f>_xlfn.XLOOKUP(Tableau119[[#This Row],[Key(ID-date)]],'DATA BTO'!S:S,'DATA BTO'!N:N,FALSE)</f>
        <v>0</v>
      </c>
      <c r="AL648" s="54" t="e">
        <f>VLOOKUP(Tableau119[[#This Row],[Key(POD -PFI- Usine)]],'DATA Consignee'!A:F,6,FALSE)</f>
        <v>#N/A</v>
      </c>
      <c r="AM648" s="127"/>
      <c r="AN648" s="376" t="str">
        <f>IF(Tableau119[[#This Row],[Name PFI/CDD]]="","-",VLOOKUP(Tableau119[[#This Row],[Name PFI/CDD]],Plant_AILN!I:J,2,FALSE))</f>
        <v>-</v>
      </c>
      <c r="AO6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8" s="2" t="e">
        <f>VLOOKUP(Tableau119[[#This Row],[Key(POD -PFI- Usine)]],'DATA Consignee'!A:J,10,FALSE)</f>
        <v>#N/A</v>
      </c>
      <c r="AR648" s="50" t="e">
        <f>VLOOKUP(Tableau119[[#This Row],[Key(POD -PFI- Usine)]],'DATA Consignee'!A:N,14,FALSE)</f>
        <v>#N/A</v>
      </c>
      <c r="AS6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8" s="50">
        <f>Tableau119[[#This Row],[Transit time]]+Tableau119[[#This Row],[Time for security]]+Tableau119[[#This Row],[Time for security2 buffer]]</f>
        <v>0</v>
      </c>
      <c r="AV6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8" s="50" t="e">
        <f>Tableau119[[#This Row],[Leadtime SI2C]]+Tableau119[[#This Row],[First Receipt Days]]-Tableau119[[#This Row],[Day Customer Order]]+1</f>
        <v>#N/A</v>
      </c>
      <c r="AX648" s="119" t="e">
        <f>IF(Tableau119[[#This Row],[Name ILN]]&lt;&gt;"SFK Freight Forwarder",Tableau119[[#This Row],[Cust. Leadtime]],Tableau119[[#This Row],[Leadtime SI2C]])</f>
        <v>#N/A</v>
      </c>
      <c r="AY648" s="51" t="b">
        <f>_xlfn.XLOOKUP(Tableau119[[#This Row],[Key(ID-date)]],'DATA BTO'!S:S,'DATA BTO'!P:P,FALSE)</f>
        <v>0</v>
      </c>
      <c r="AZ648" s="338">
        <v>46142</v>
      </c>
      <c r="BA648" s="50"/>
    </row>
    <row r="649" spans="2:53">
      <c r="B649" s="66" t="str">
        <f>_xlfn.CONCAT(Tableau119[[#This Row],[Name ILN]],"-",Tableau119[[#This Row],[Name Shipper]],"-",Tableau119[[#This Row],[Name Site]])</f>
        <v>KWE Shanghai-KWE Shanghai-OYAK MONT</v>
      </c>
      <c r="C649" s="66" t="str">
        <f>_xlfn.CONCAT(Tableau119[[#This Row],[Compte ILN]],"-",Tableau119[[#This Row],[Compte Shipper]],"-",Tableau119[[#This Row],[POL]],"-",Tableau119[[#This Row],[Compte Consignee]])</f>
        <v>26037000-26037000-FALSO-90017000</v>
      </c>
      <c r="D649" s="66" t="str">
        <f>_xlfn.CONCAT(Tableau119[[#This Row],[Compte ILN]],"-",Tableau119[[#This Row],[Compte Shipper]],"-",Tableau119[[#This Row],[POL]])</f>
        <v>26037000-26037000-FALSO</v>
      </c>
      <c r="E649" s="130" t="str">
        <f>_xlfn.CONCAT(Tableau119[[#This Row],[POL]],"-",Tableau119[[#This Row],[Carrier]],"-",Tableau119[[#This Row],[POD]])</f>
        <v>FALSO-FALSO-FALSO</v>
      </c>
      <c r="F649" s="66" t="str">
        <f>_xlfn.CONCAT(Tableau119[[#This Row],[ID]],"-","Actif")</f>
        <v>286-Actif</v>
      </c>
      <c r="G649" s="66" t="str">
        <f>_xlfn.CONCAT(Tableau119[[#This Row],[POD]],"-",Tableau119[[#This Row],[Code PFI]],"-",Tableau119[[#This Row],[Compte Consignee]])</f>
        <v>FALSO---90017000</v>
      </c>
      <c r="H6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ShanghaiFALSOOYAK MONT</v>
      </c>
      <c r="I649" s="434" t="str">
        <f>_xlfn.CONCAT(Tableau119[[#This Row],[ID]],"-",Tableau119[[#This Row],[Expiration Date]])</f>
        <v>286-46142</v>
      </c>
      <c r="J6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MONT-KWE Shanghai-KWE Shanghai-286-FALSO-FALSO-FALSO--46142</v>
      </c>
      <c r="K649" s="119" t="str">
        <f ca="1">IF(COUNTIF(J:J,Tableau119[[#This Row],[Plant-ILN-shipper-POL-Carrier-POD-PFI]])=1,"Non","Oui")</f>
        <v>Oui</v>
      </c>
      <c r="L649" s="436" t="str">
        <f>VLOOKUP(Tableau119[[#This Row],[Name Site]],Plant_AILN!A:D,4,FALSE)</f>
        <v>TURKEY</v>
      </c>
      <c r="M649" s="485" t="s">
        <v>173</v>
      </c>
      <c r="N649" s="455">
        <f>VLOOKUP(Tableau119[[#This Row],[Name Site]],Plant_AILN!A:C,3,FALSE)</f>
        <v>90017000</v>
      </c>
      <c r="O649" s="104">
        <f>IF(Tableau119[[#This Row],[Name PFI/CDD]]="PFI VLL",2,VLOOKUP(Tableau119[[#This Row],[Compte Consignee]],Order!C:D,2,FALSE))</f>
        <v>7</v>
      </c>
      <c r="P649" s="126" t="s">
        <v>62</v>
      </c>
      <c r="Q649" s="366">
        <f>VLOOKUP(Tableau119[[#This Row],[Name ILN]],Plant_AILN!F:G,2,FALSE)</f>
        <v>26037000</v>
      </c>
      <c r="R649" s="81">
        <f>VLOOKUP(Tableau119[[#This Row],[Compte ILN]],'DATA ILN'!D:I,6,FALSE)</f>
        <v>9</v>
      </c>
      <c r="S649" s="81" t="e">
        <f>IFERROR(VLOOKUP(Tableau119[[#This Row],[Key(Compte ILN - shipper - POL - plant)]],'DATA ILN'!A:J,10,FALSE),VLOOKUP(Tableau119[[#This Row],[Key(Compte ILN - shipper - POL)]],'DATA ILN'!B:J,9,FALSE))</f>
        <v>#N/A</v>
      </c>
      <c r="T649" s="81" t="e">
        <f>IFERROR(VLOOKUP(Tableau119[[#This Row],[Key(Compte ILN - shipper - POL - plant)]],'DATA ILN'!A:K,11,FALSE),VLOOKUP(Tableau119[[#This Row],[Key(Compte ILN - shipper - POL)]],'DATA ILN'!B:K,10,FALSE))</f>
        <v>#N/A</v>
      </c>
      <c r="U649" s="81" t="e">
        <f>IFERROR(VLOOKUP(Tableau119[[#This Row],[Key(Compte ILN - shipper - POL - plant)]],'DATA ILN'!A:L,12,FALSE),VLOOKUP(Tableau119[[#This Row],[Key(Compte ILN - shipper - POL)]],'DATA ILN'!B:L,11,FALSE))</f>
        <v>#N/A</v>
      </c>
      <c r="V649" s="81" t="e">
        <f>Tableau119[[#This Row],[Day ILN Order]]+Tableau119[[#This Row],[Delivery time to ILN/Shipper]]-1</f>
        <v>#N/A</v>
      </c>
      <c r="W649" s="81" t="e">
        <f>IFERROR(VLOOKUP(Tableau119[[#This Row],[Key(Compte ILN - shipper - POL - plant)]],'DATA ILN'!A:N,14,FALSE),VLOOKUP(Tableau119[[#This Row],[Key(Compte ILN - shipper - POL)]],'DATA ILN'!B:N,13,FALSE))</f>
        <v>#N/A</v>
      </c>
      <c r="X649" s="81" t="e">
        <f>IFERROR(VLOOKUP(Tableau119[[#This Row],[Key(Compte ILN - shipper - POL - plant)]],'DATA ILN'!A:P,16,FALSE),VLOOKUP(Tableau119[[#This Row],[Key(Compte ILN - shipper - POL)]],'DATA ILN'!B:P,15,FALSE))</f>
        <v>#N/A</v>
      </c>
      <c r="Y649" s="102" t="s">
        <v>62</v>
      </c>
      <c r="Z649" s="417">
        <f>IFERROR(VLOOKUP(Tableau119[[#This Row],[Name Shipper]],Plant_AILN!L:M,2,FALSE),0)</f>
        <v>26037000</v>
      </c>
      <c r="AA649" s="416">
        <v>286</v>
      </c>
      <c r="AB649" s="396" t="b">
        <f>_xlfn.XLOOKUP(Tableau119[[#This Row],[Key(ID-date)]],'DATA BTO'!S:S,'DATA BTO'!E:E,FALSE)</f>
        <v>0</v>
      </c>
      <c r="AC649" s="3" t="b">
        <f>_xlfn.XLOOKUP(Tableau119[[#This Row],[Key(ID-date)]],'DATA BTO'!S:S,'DATA BTO'!F:F,FALSE)</f>
        <v>0</v>
      </c>
      <c r="AD649" s="50" t="b">
        <f>_xlfn.XLOOKUP(Tableau119[[#This Row],[Key(ID-date)]],'DATA BTO'!S:S,'DATA BTO'!G:G,FALSE)</f>
        <v>0</v>
      </c>
      <c r="AE649" s="50" t="b">
        <f>_xlfn.XLOOKUP(Tableau119[[#This Row],[Key(ID-date)]],'DATA BTO'!S:S,'DATA BTO'!H:H,FALSE)</f>
        <v>0</v>
      </c>
      <c r="AF649" s="447" t="e">
        <f>IF(Tableau119[[#This Row],[First Day to POL]]&lt;=Tableau119[[#This Row],[Day Cut Off]],Tableau119[[#This Row],[Day ETD]],Tableau119[[#This Row],[Day ETD]]+7)</f>
        <v>#N/A</v>
      </c>
      <c r="AG649" s="50" t="b">
        <f>_xlfn.XLOOKUP(Tableau119[[#This Row],[Key(ID-date)]],'DATA BTO'!S:S,'DATA BTO'!I:I,FALSE)</f>
        <v>0</v>
      </c>
      <c r="AH649" s="3" t="b">
        <f>_xlfn.XLOOKUP(Tableau119[[#This Row],[Key(ID-date)]],'DATA BTO'!S:S,'DATA BTO'!J:J,FALSE)</f>
        <v>0</v>
      </c>
      <c r="AI649" s="3" t="b">
        <f>_xlfn.XLOOKUP(Tableau119[[#This Row],[Key(ID-date)]],'DATA BTO'!S:S,'DATA BTO'!K:K,FALSE)</f>
        <v>0</v>
      </c>
      <c r="AJ649" s="50" t="b">
        <f>_xlfn.XLOOKUP(Tableau119[[#This Row],[Key(ID-date)]],'DATA BTO'!S:S,'DATA BTO'!L:L,FALSE)</f>
        <v>0</v>
      </c>
      <c r="AK649" s="53" t="b">
        <f>_xlfn.XLOOKUP(Tableau119[[#This Row],[Key(ID-date)]],'DATA BTO'!S:S,'DATA BTO'!N:N,FALSE)</f>
        <v>0</v>
      </c>
      <c r="AL649" s="54" t="e">
        <f>VLOOKUP(Tableau119[[#This Row],[Key(POD -PFI- Usine)]],'DATA Consignee'!A:F,6,FALSE)</f>
        <v>#N/A</v>
      </c>
      <c r="AM649" s="127"/>
      <c r="AN649" s="375" t="str">
        <f>IF(Tableau119[[#This Row],[Name PFI/CDD]]="","-",VLOOKUP(Tableau119[[#This Row],[Name PFI/CDD]],Plant_AILN!I:J,2,FALSE))</f>
        <v>-</v>
      </c>
      <c r="AO64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4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49" s="110" t="e">
        <f>VLOOKUP(Tableau119[[#This Row],[Key(POD -PFI- Usine)]],'DATA Consignee'!A:J,10,FALSE)</f>
        <v>#N/A</v>
      </c>
      <c r="AR649" s="81" t="e">
        <f>VLOOKUP(Tableau119[[#This Row],[Key(POD -PFI- Usine)]],'DATA Consignee'!A:N,14,FALSE)</f>
        <v>#N/A</v>
      </c>
      <c r="AS64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4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49" s="81">
        <f>Tableau119[[#This Row],[Transit time]]+Tableau119[[#This Row],[Time for security]]+Tableau119[[#This Row],[Time for security2 buffer]]</f>
        <v>0</v>
      </c>
      <c r="AV6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49" s="50" t="e">
        <f>Tableau119[[#This Row],[Leadtime SI2C]]+Tableau119[[#This Row],[First Receipt Days]]-Tableau119[[#This Row],[Day Customer Order]]+1</f>
        <v>#N/A</v>
      </c>
      <c r="AX649" s="119" t="e">
        <f>IF(Tableau119[[#This Row],[Name ILN]]&lt;&gt;"SFK Freight Forwarder",Tableau119[[#This Row],[Cust. Leadtime]],Tableau119[[#This Row],[Leadtime SI2C]])</f>
        <v>#N/A</v>
      </c>
      <c r="AY649" s="51" t="b">
        <f>_xlfn.XLOOKUP(Tableau119[[#This Row],[Key(ID-date)]],'DATA BTO'!S:S,'DATA BTO'!P:P,FALSE)</f>
        <v>0</v>
      </c>
      <c r="AZ649" s="388">
        <v>46142</v>
      </c>
      <c r="BA649" s="81"/>
    </row>
    <row r="650" spans="2:53">
      <c r="B650" s="446" t="str">
        <f>_xlfn.CONCAT(Tableau119[[#This Row],[Name ILN]],"-",Tableau119[[#This Row],[Name Shipper]],"-",Tableau119[[#This Row],[Name Site]])</f>
        <v>KWE Shanghai-KWE Shanghai-OYAK MONT</v>
      </c>
      <c r="C650" s="66" t="str">
        <f>_xlfn.CONCAT(Tableau119[[#This Row],[Compte ILN]],"-",Tableau119[[#This Row],[Compte Shipper]],"-",Tableau119[[#This Row],[POL]],"-",Tableau119[[#This Row],[Compte Consignee]])</f>
        <v>26037000-26037000-FALSO-90017000</v>
      </c>
      <c r="D650" s="66" t="str">
        <f>_xlfn.CONCAT(Tableau119[[#This Row],[Compte ILN]],"-",Tableau119[[#This Row],[Compte Shipper]],"-",Tableau119[[#This Row],[POL]])</f>
        <v>26037000-26037000-FALSO</v>
      </c>
      <c r="E650" s="130" t="str">
        <f>_xlfn.CONCAT(Tableau119[[#This Row],[POL]],"-",Tableau119[[#This Row],[Carrier]],"-",Tableau119[[#This Row],[POD]])</f>
        <v>FALSO-FALSO-FALSO</v>
      </c>
      <c r="F650" s="66" t="str">
        <f>_xlfn.CONCAT(Tableau119[[#This Row],[ID]],"-","Actif")</f>
        <v>286-Actif</v>
      </c>
      <c r="G650" s="66" t="str">
        <f>_xlfn.CONCAT(Tableau119[[#This Row],[POD]],"-",Tableau119[[#This Row],[Code PFI]],"-",Tableau119[[#This Row],[Compte Consignee]])</f>
        <v>FALSO---90017000</v>
      </c>
      <c r="H6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ShanghaiFALSOOYAK MONT</v>
      </c>
      <c r="I650" s="434" t="str">
        <f>_xlfn.CONCAT(Tableau119[[#This Row],[ID]],"-",Tableau119[[#This Row],[Expiration Date]])</f>
        <v>286-46142</v>
      </c>
      <c r="J6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MONT-KWE Shanghai-KWE Shanghai-286-FALSO-FALSO-FALSO--46142</v>
      </c>
      <c r="K650" s="119" t="str">
        <f ca="1">IF(COUNTIF(J:J,Tableau119[[#This Row],[Plant-ILN-shipper-POL-Carrier-POD-PFI]])=1,"Non","Oui")</f>
        <v>Oui</v>
      </c>
      <c r="L650" s="128" t="str">
        <f>VLOOKUP(Tableau119[[#This Row],[Name Site]],Plant_AILN!A:D,4,FALSE)</f>
        <v>TURKEY</v>
      </c>
      <c r="M650" s="411" t="s">
        <v>173</v>
      </c>
      <c r="N650" s="454">
        <f>VLOOKUP(Tableau119[[#This Row],[Name Site]],Plant_AILN!A:C,3,FALSE)</f>
        <v>90017000</v>
      </c>
      <c r="O650" s="55">
        <f>VLOOKUP(Tableau119[[#This Row],[Compte Consignee]],Order!C:D,2,FALSE)</f>
        <v>7</v>
      </c>
      <c r="P650" s="124" t="s">
        <v>62</v>
      </c>
      <c r="Q650" s="365">
        <f>VLOOKUP(Tableau119[[#This Row],[Name ILN]],Plant_AILN!F:G,2,FALSE)</f>
        <v>26037000</v>
      </c>
      <c r="R650" s="50">
        <f>VLOOKUP(Tableau119[[#This Row],[Compte ILN]],'DATA ILN'!D:I,6,FALSE)</f>
        <v>9</v>
      </c>
      <c r="S650" s="50" t="e">
        <f>IFERROR(VLOOKUP(Tableau119[[#This Row],[Key(Compte ILN - shipper - POL - plant)]],'DATA ILN'!A:J,10,FALSE),VLOOKUP(Tableau119[[#This Row],[Key(Compte ILN - shipper - POL)]],'DATA ILN'!B:J,9,FALSE))</f>
        <v>#N/A</v>
      </c>
      <c r="T650" s="50" t="e">
        <f>IFERROR(VLOOKUP(Tableau119[[#This Row],[Key(Compte ILN - shipper - POL - plant)]],'DATA ILN'!A:K,11,FALSE),VLOOKUP(Tableau119[[#This Row],[Key(Compte ILN - shipper - POL)]],'DATA ILN'!B:K,10,FALSE))</f>
        <v>#N/A</v>
      </c>
      <c r="U650" s="50" t="e">
        <f>IFERROR(VLOOKUP(Tableau119[[#This Row],[Key(Compte ILN - shipper - POL - plant)]],'DATA ILN'!A:L,12,FALSE),VLOOKUP(Tableau119[[#This Row],[Key(Compte ILN - shipper - POL)]],'DATA ILN'!B:L,11,FALSE))</f>
        <v>#N/A</v>
      </c>
      <c r="V650" s="50" t="e">
        <f>Tableau119[[#This Row],[Day ILN Order]]+Tableau119[[#This Row],[Delivery time to ILN/Shipper]]-1</f>
        <v>#N/A</v>
      </c>
      <c r="W650" s="50" t="e">
        <f>IFERROR(VLOOKUP(Tableau119[[#This Row],[Key(Compte ILN - shipper - POL - plant)]],'DATA ILN'!A:N,14,FALSE),VLOOKUP(Tableau119[[#This Row],[Key(Compte ILN - shipper - POL)]],'DATA ILN'!B:N,13,FALSE))</f>
        <v>#N/A</v>
      </c>
      <c r="X650" s="50" t="e">
        <f>IFERROR(VLOOKUP(Tableau119[[#This Row],[Key(Compte ILN - shipper - POL - plant)]],'DATA ILN'!A:P,16,FALSE),VLOOKUP(Tableau119[[#This Row],[Key(Compte ILN - shipper - POL)]],'DATA ILN'!B:P,15,FALSE))</f>
        <v>#N/A</v>
      </c>
      <c r="Y650" s="284" t="s">
        <v>62</v>
      </c>
      <c r="Z650" s="430">
        <f>IFERROR(VLOOKUP(Tableau119[[#This Row],[Name Shipper]],Plant_AILN!L:M,2,FALSE),0)</f>
        <v>26037000</v>
      </c>
      <c r="AA650" s="406">
        <v>286</v>
      </c>
      <c r="AB650" s="396" t="b">
        <f>_xlfn.XLOOKUP(Tableau119[[#This Row],[Key(ID-date)]],'DATA BTO'!S:S,'DATA BTO'!E:E,FALSE)</f>
        <v>0</v>
      </c>
      <c r="AC650" s="3" t="b">
        <f>_xlfn.XLOOKUP(Tableau119[[#This Row],[Key(ID-date)]],'DATA BTO'!S:S,'DATA BTO'!F:F,FALSE)</f>
        <v>0</v>
      </c>
      <c r="AD650" s="50" t="b">
        <f>_xlfn.XLOOKUP(Tableau119[[#This Row],[Key(ID-date)]],'DATA BTO'!S:S,'DATA BTO'!G:G,FALSE)</f>
        <v>0</v>
      </c>
      <c r="AE650" s="50" t="b">
        <f>_xlfn.XLOOKUP(Tableau119[[#This Row],[Key(ID-date)]],'DATA BTO'!S:S,'DATA BTO'!H:H,FALSE)</f>
        <v>0</v>
      </c>
      <c r="AF650" s="447" t="e">
        <f>IF(Tableau119[[#This Row],[First Day to POL]]&lt;=Tableau119[[#This Row],[Day Cut Off]],Tableau119[[#This Row],[Day ETD]],Tableau119[[#This Row],[Day ETD]]+7)</f>
        <v>#N/A</v>
      </c>
      <c r="AG650" s="50" t="b">
        <f>_xlfn.XLOOKUP(Tableau119[[#This Row],[Key(ID-date)]],'DATA BTO'!S:S,'DATA BTO'!I:I,FALSE)</f>
        <v>0</v>
      </c>
      <c r="AH650" s="3" t="b">
        <f>_xlfn.XLOOKUP(Tableau119[[#This Row],[Key(ID-date)]],'DATA BTO'!S:S,'DATA BTO'!J:J,FALSE)</f>
        <v>0</v>
      </c>
      <c r="AI650" s="3" t="b">
        <f>_xlfn.XLOOKUP(Tableau119[[#This Row],[Key(ID-date)]],'DATA BTO'!S:S,'DATA BTO'!K:K,FALSE)</f>
        <v>0</v>
      </c>
      <c r="AJ650" s="50" t="b">
        <f>_xlfn.XLOOKUP(Tableau119[[#This Row],[Key(ID-date)]],'DATA BTO'!S:S,'DATA BTO'!L:L,FALSE)</f>
        <v>0</v>
      </c>
      <c r="AK650" s="53" t="b">
        <f>_xlfn.XLOOKUP(Tableau119[[#This Row],[Key(ID-date)]],'DATA BTO'!S:S,'DATA BTO'!N:N,FALSE)</f>
        <v>0</v>
      </c>
      <c r="AL650" s="54" t="e">
        <f>VLOOKUP(Tableau119[[#This Row],[Key(POD -PFI- Usine)]],'DATA Consignee'!A:F,6,FALSE)</f>
        <v>#N/A</v>
      </c>
      <c r="AM650" s="127"/>
      <c r="AN650" s="376" t="str">
        <f>IF(Tableau119[[#This Row],[Name PFI/CDD]]="","-",VLOOKUP(Tableau119[[#This Row],[Name PFI/CDD]],Plant_AILN!I:J,2,FALSE))</f>
        <v>-</v>
      </c>
      <c r="AO6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0" s="2" t="e">
        <f>VLOOKUP(Tableau119[[#This Row],[Key(POD -PFI- Usine)]],'DATA Consignee'!A:J,10,FALSE)</f>
        <v>#N/A</v>
      </c>
      <c r="AR650" s="50" t="e">
        <f>VLOOKUP(Tableau119[[#This Row],[Key(POD -PFI- Usine)]],'DATA Consignee'!A:N,14,FALSE)</f>
        <v>#N/A</v>
      </c>
      <c r="AS6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0" s="50">
        <f>Tableau119[[#This Row],[Transit time]]+Tableau119[[#This Row],[Time for security]]+Tableau119[[#This Row],[Time for security2 buffer]]</f>
        <v>0</v>
      </c>
      <c r="AV6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0" s="50" t="e">
        <f>Tableau119[[#This Row],[Leadtime SI2C]]+Tableau119[[#This Row],[First Receipt Days]]-Tableau119[[#This Row],[Day Customer Order]]+1</f>
        <v>#N/A</v>
      </c>
      <c r="AX650" s="119" t="e">
        <f>IF(Tableau119[[#This Row],[Name ILN]]&lt;&gt;"SFK Freight Forwarder",Tableau119[[#This Row],[Cust. Leadtime]],Tableau119[[#This Row],[Leadtime SI2C]])</f>
        <v>#N/A</v>
      </c>
      <c r="AY650" s="51" t="b">
        <f>_xlfn.XLOOKUP(Tableau119[[#This Row],[Key(ID-date)]],'DATA BTO'!S:S,'DATA BTO'!P:P,FALSE)</f>
        <v>0</v>
      </c>
      <c r="AZ650" s="338">
        <v>46142</v>
      </c>
      <c r="BA650" s="50"/>
    </row>
    <row r="651" spans="2:53">
      <c r="B651" s="446" t="str">
        <f>_xlfn.CONCAT(Tableau119[[#This Row],[Name ILN]],"-",Tableau119[[#This Row],[Name Shipper]],"-",Tableau119[[#This Row],[Name Site]])</f>
        <v>KWE Shanghai-KWE Shanghai-KARSAN</v>
      </c>
      <c r="C651" s="66" t="str">
        <f>_xlfn.CONCAT(Tableau119[[#This Row],[Compte ILN]],"-",Tableau119[[#This Row],[Compte Shipper]],"-",Tableau119[[#This Row],[POL]],"-",Tableau119[[#This Row],[Compte Consignee]])</f>
        <v>26037000-26037000-FALSO-90022000</v>
      </c>
      <c r="D651" s="66" t="str">
        <f>_xlfn.CONCAT(Tableau119[[#This Row],[Compte ILN]],"-",Tableau119[[#This Row],[Compte Shipper]],"-",Tableau119[[#This Row],[POL]])</f>
        <v>26037000-26037000-FALSO</v>
      </c>
      <c r="E651" s="130" t="str">
        <f>_xlfn.CONCAT(Tableau119[[#This Row],[POL]],"-",Tableau119[[#This Row],[Carrier]],"-",Tableau119[[#This Row],[POD]])</f>
        <v>FALSO-FALSO-FALSO</v>
      </c>
      <c r="F651" s="66" t="str">
        <f>_xlfn.CONCAT(Tableau119[[#This Row],[ID]],"-","Actif")</f>
        <v>286-Actif</v>
      </c>
      <c r="G651" s="66" t="str">
        <f>_xlfn.CONCAT(Tableau119[[#This Row],[POD]],"-",Tableau119[[#This Row],[Code PFI]],"-",Tableau119[[#This Row],[Compte Consignee]])</f>
        <v>FALSO---90022000</v>
      </c>
      <c r="H6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ShanghaiFALSOKARSAN</v>
      </c>
      <c r="I651" s="434" t="str">
        <f>_xlfn.CONCAT(Tableau119[[#This Row],[ID]],"-",Tableau119[[#This Row],[Expiration Date]])</f>
        <v>286-46142</v>
      </c>
      <c r="J6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KARSAN-KWE Shanghai-KWE Shanghai-286-FALSO-FALSO-FALSO--46142</v>
      </c>
      <c r="K651" s="119" t="str">
        <f ca="1">IF(COUNTIF(J:J,Tableau119[[#This Row],[Plant-ILN-shipper-POL-Carrier-POD-PFI]])=1,"Non","Oui")</f>
        <v>Oui</v>
      </c>
      <c r="L651" s="128" t="str">
        <f>VLOOKUP(Tableau119[[#This Row],[Name Site]],Plant_AILN!A:D,4,FALSE)</f>
        <v>TURKEY</v>
      </c>
      <c r="M651" s="415" t="s">
        <v>235</v>
      </c>
      <c r="N651" s="455">
        <f>VLOOKUP(Tableau119[[#This Row],[Name Site]],Plant_AILN!A:C,3,FALSE)</f>
        <v>90022000</v>
      </c>
      <c r="O651" s="104">
        <f>VLOOKUP(Tableau119[[#This Row],[Compte Consignee]],Order!C:D,2,FALSE)</f>
        <v>7</v>
      </c>
      <c r="P651" s="126" t="s">
        <v>62</v>
      </c>
      <c r="Q651" s="366">
        <f>VLOOKUP(Tableau119[[#This Row],[Name ILN]],Plant_AILN!F:G,2,FALSE)</f>
        <v>26037000</v>
      </c>
      <c r="R651" s="81">
        <f>VLOOKUP(Tableau119[[#This Row],[Compte ILN]],'DATA ILN'!D:I,6,FALSE)</f>
        <v>9</v>
      </c>
      <c r="S651" s="81" t="e">
        <f>IFERROR(VLOOKUP(Tableau119[[#This Row],[Key(Compte ILN - shipper - POL - plant)]],'DATA ILN'!A:J,10,FALSE),VLOOKUP(Tableau119[[#This Row],[Key(Compte ILN - shipper - POL)]],'DATA ILN'!B:J,9,FALSE))</f>
        <v>#N/A</v>
      </c>
      <c r="T651" s="81" t="e">
        <f>IFERROR(VLOOKUP(Tableau119[[#This Row],[Key(Compte ILN - shipper - POL - plant)]],'DATA ILN'!A:K,11,FALSE),VLOOKUP(Tableau119[[#This Row],[Key(Compte ILN - shipper - POL)]],'DATA ILN'!B:K,10,FALSE))</f>
        <v>#N/A</v>
      </c>
      <c r="U651" s="81" t="e">
        <f>IFERROR(VLOOKUP(Tableau119[[#This Row],[Key(Compte ILN - shipper - POL - plant)]],'DATA ILN'!A:L,12,FALSE),VLOOKUP(Tableau119[[#This Row],[Key(Compte ILN - shipper - POL)]],'DATA ILN'!B:L,11,FALSE))</f>
        <v>#N/A</v>
      </c>
      <c r="V651" s="81" t="e">
        <f>Tableau119[[#This Row],[Day ILN Order]]+Tableau119[[#This Row],[Delivery time to ILN/Shipper]]-1</f>
        <v>#N/A</v>
      </c>
      <c r="W651" s="81" t="e">
        <f>IFERROR(VLOOKUP(Tableau119[[#This Row],[Key(Compte ILN - shipper - POL - plant)]],'DATA ILN'!A:N,14,FALSE),VLOOKUP(Tableau119[[#This Row],[Key(Compte ILN - shipper - POL)]],'DATA ILN'!B:N,13,FALSE))</f>
        <v>#N/A</v>
      </c>
      <c r="X651" s="81" t="e">
        <f>IFERROR(VLOOKUP(Tableau119[[#This Row],[Key(Compte ILN - shipper - POL - plant)]],'DATA ILN'!A:P,16,FALSE),VLOOKUP(Tableau119[[#This Row],[Key(Compte ILN - shipper - POL)]],'DATA ILN'!B:P,15,FALSE))</f>
        <v>#N/A</v>
      </c>
      <c r="Y651" s="102" t="s">
        <v>62</v>
      </c>
      <c r="Z651" s="417">
        <f>IFERROR(VLOOKUP(Tableau119[[#This Row],[Name Shipper]],Plant_AILN!L:M,2,FALSE),0)</f>
        <v>26037000</v>
      </c>
      <c r="AA651" s="416">
        <v>286</v>
      </c>
      <c r="AB651" s="396" t="b">
        <f>_xlfn.XLOOKUP(Tableau119[[#This Row],[Key(ID-date)]],'DATA BTO'!S:S,'DATA BTO'!E:E,FALSE)</f>
        <v>0</v>
      </c>
      <c r="AC651" s="3" t="b">
        <f>_xlfn.XLOOKUP(Tableau119[[#This Row],[Key(ID-date)]],'DATA BTO'!S:S,'DATA BTO'!F:F,FALSE)</f>
        <v>0</v>
      </c>
      <c r="AD651" s="50" t="b">
        <f>_xlfn.XLOOKUP(Tableau119[[#This Row],[Key(ID-date)]],'DATA BTO'!S:S,'DATA BTO'!G:G,FALSE)</f>
        <v>0</v>
      </c>
      <c r="AE651" s="50" t="b">
        <f>_xlfn.XLOOKUP(Tableau119[[#This Row],[Key(ID-date)]],'DATA BTO'!S:S,'DATA BTO'!H:H,FALSE)</f>
        <v>0</v>
      </c>
      <c r="AF651" s="447" t="e">
        <f>IF(Tableau119[[#This Row],[First Day to POL]]&lt;=Tableau119[[#This Row],[Day Cut Off]],Tableau119[[#This Row],[Day ETD]],Tableau119[[#This Row],[Day ETD]]+7)</f>
        <v>#N/A</v>
      </c>
      <c r="AG651" s="50" t="b">
        <f>_xlfn.XLOOKUP(Tableau119[[#This Row],[Key(ID-date)]],'DATA BTO'!S:S,'DATA BTO'!I:I,FALSE)</f>
        <v>0</v>
      </c>
      <c r="AH651" s="3" t="b">
        <f>_xlfn.XLOOKUP(Tableau119[[#This Row],[Key(ID-date)]],'DATA BTO'!S:S,'DATA BTO'!J:J,FALSE)</f>
        <v>0</v>
      </c>
      <c r="AI651" s="3" t="b">
        <f>_xlfn.XLOOKUP(Tableau119[[#This Row],[Key(ID-date)]],'DATA BTO'!S:S,'DATA BTO'!K:K,FALSE)</f>
        <v>0</v>
      </c>
      <c r="AJ651" s="50" t="b">
        <f>_xlfn.XLOOKUP(Tableau119[[#This Row],[Key(ID-date)]],'DATA BTO'!S:S,'DATA BTO'!L:L,FALSE)</f>
        <v>0</v>
      </c>
      <c r="AK651" s="53" t="b">
        <f>_xlfn.XLOOKUP(Tableau119[[#This Row],[Key(ID-date)]],'DATA BTO'!S:S,'DATA BTO'!N:N,FALSE)</f>
        <v>0</v>
      </c>
      <c r="AL651" s="54" t="e">
        <f>VLOOKUP(Tableau119[[#This Row],[Key(POD -PFI- Usine)]],'DATA Consignee'!A:F,6,FALSE)</f>
        <v>#N/A</v>
      </c>
      <c r="AM651" s="127"/>
      <c r="AN651" s="375" t="str">
        <f>IF(Tableau119[[#This Row],[Name PFI/CDD]]="","-",VLOOKUP(Tableau119[[#This Row],[Name PFI/CDD]],Plant_AILN!I:J,2,FALSE))</f>
        <v>-</v>
      </c>
      <c r="AO65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1" s="110" t="e">
        <f>VLOOKUP(Tableau119[[#This Row],[Key(POD -PFI- Usine)]],'DATA Consignee'!A:J,10,FALSE)</f>
        <v>#N/A</v>
      </c>
      <c r="AR651" s="81" t="e">
        <f>VLOOKUP(Tableau119[[#This Row],[Key(POD -PFI- Usine)]],'DATA Consignee'!A:N,14,FALSE)</f>
        <v>#N/A</v>
      </c>
      <c r="AS65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1" s="81">
        <f>Tableau119[[#This Row],[Transit time]]+Tableau119[[#This Row],[Time for security]]+Tableau119[[#This Row],[Time for security2 buffer]]</f>
        <v>0</v>
      </c>
      <c r="AV6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1" s="50" t="e">
        <f>Tableau119[[#This Row],[Leadtime SI2C]]+Tableau119[[#This Row],[First Receipt Days]]-Tableau119[[#This Row],[Day Customer Order]]+1</f>
        <v>#N/A</v>
      </c>
      <c r="AX651" s="119" t="e">
        <f>IF(Tableau119[[#This Row],[Name ILN]]&lt;&gt;"SFK Freight Forwarder",Tableau119[[#This Row],[Cust. Leadtime]],Tableau119[[#This Row],[Leadtime SI2C]])</f>
        <v>#N/A</v>
      </c>
      <c r="AY651" s="51" t="b">
        <f>_xlfn.XLOOKUP(Tableau119[[#This Row],[Key(ID-date)]],'DATA BTO'!S:S,'DATA BTO'!P:P,FALSE)</f>
        <v>0</v>
      </c>
      <c r="AZ651" s="388">
        <v>46142</v>
      </c>
      <c r="BA651" s="81"/>
    </row>
    <row r="652" spans="2:53">
      <c r="B652" s="446" t="str">
        <f>_xlfn.CONCAT(Tableau119[[#This Row],[Name ILN]],"-",Tableau119[[#This Row],[Name Shipper]],"-",Tableau119[[#This Row],[Name Site]])</f>
        <v>KWE Shanghai-KWE Shanghai-OYAK MONT</v>
      </c>
      <c r="C652" s="66" t="str">
        <f>_xlfn.CONCAT(Tableau119[[#This Row],[Compte ILN]],"-",Tableau119[[#This Row],[Compte Shipper]],"-",Tableau119[[#This Row],[POL]],"-",Tableau119[[#This Row],[Compte Consignee]])</f>
        <v>26037000-26037000-FALSO-90017000</v>
      </c>
      <c r="D652" s="66" t="str">
        <f>_xlfn.CONCAT(Tableau119[[#This Row],[Compte ILN]],"-",Tableau119[[#This Row],[Compte Shipper]],"-",Tableau119[[#This Row],[POL]])</f>
        <v>26037000-26037000-FALSO</v>
      </c>
      <c r="E652" s="130" t="str">
        <f>_xlfn.CONCAT(Tableau119[[#This Row],[POL]],"-",Tableau119[[#This Row],[Carrier]],"-",Tableau119[[#This Row],[POD]])</f>
        <v>FALSO-FALSO-FALSO</v>
      </c>
      <c r="F652" s="66" t="str">
        <f>_xlfn.CONCAT(Tableau119[[#This Row],[ID]],"-","Actif")</f>
        <v>286-Actif</v>
      </c>
      <c r="G652" s="66" t="str">
        <f>_xlfn.CONCAT(Tableau119[[#This Row],[POD]],"-",Tableau119[[#This Row],[Code PFI]],"-",Tableau119[[#This Row],[Compte Consignee]])</f>
        <v>FALSO---90017000</v>
      </c>
      <c r="H6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ShanghaiFALSOOYAK MONT</v>
      </c>
      <c r="I652" s="434" t="str">
        <f>_xlfn.CONCAT(Tableau119[[#This Row],[ID]],"-",Tableau119[[#This Row],[Expiration Date]])</f>
        <v>286-45961</v>
      </c>
      <c r="J6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MONT-KWE Shanghai-KWE Shanghai-286-FALSO-FALSO-FALSO--45961</v>
      </c>
      <c r="K652" s="119" t="str">
        <f ca="1">IF(COUNTIF(J:J,Tableau119[[#This Row],[Plant-ILN-shipper-POL-Carrier-POD-PFI]])=1,"Non","Oui")</f>
        <v>Non</v>
      </c>
      <c r="L652" s="128" t="str">
        <f>VLOOKUP(Tableau119[[#This Row],[Name Site]],Plant_AILN!A:D,4,FALSE)</f>
        <v>TURKEY</v>
      </c>
      <c r="M652" s="411" t="s">
        <v>173</v>
      </c>
      <c r="N652" s="454">
        <f>VLOOKUP(Tableau119[[#This Row],[Name Site]],Plant_AILN!A:C,3,FALSE)</f>
        <v>90017000</v>
      </c>
      <c r="O652" s="55">
        <f>VLOOKUP(Tableau119[[#This Row],[Compte Consignee]],Order!C:D,2,FALSE)</f>
        <v>7</v>
      </c>
      <c r="P652" s="124" t="s">
        <v>62</v>
      </c>
      <c r="Q652" s="365">
        <f>VLOOKUP(Tableau119[[#This Row],[Name ILN]],Plant_AILN!F:G,2,FALSE)</f>
        <v>26037000</v>
      </c>
      <c r="R652" s="50">
        <f>VLOOKUP(Tableau119[[#This Row],[Compte ILN]],'DATA ILN'!D:I,6,FALSE)</f>
        <v>9</v>
      </c>
      <c r="S652" s="50" t="e">
        <f>IFERROR(VLOOKUP(Tableau119[[#This Row],[Key(Compte ILN - shipper - POL - plant)]],'DATA ILN'!A:J,10,FALSE),VLOOKUP(Tableau119[[#This Row],[Key(Compte ILN - shipper - POL)]],'DATA ILN'!B:J,9,FALSE))</f>
        <v>#N/A</v>
      </c>
      <c r="T652" s="50" t="e">
        <f>IFERROR(VLOOKUP(Tableau119[[#This Row],[Key(Compte ILN - shipper - POL - plant)]],'DATA ILN'!A:K,11,FALSE),VLOOKUP(Tableau119[[#This Row],[Key(Compte ILN - shipper - POL)]],'DATA ILN'!B:K,10,FALSE))</f>
        <v>#N/A</v>
      </c>
      <c r="U652" s="50" t="e">
        <f>IFERROR(VLOOKUP(Tableau119[[#This Row],[Key(Compte ILN - shipper - POL - plant)]],'DATA ILN'!A:L,12,FALSE),VLOOKUP(Tableau119[[#This Row],[Key(Compte ILN - shipper - POL)]],'DATA ILN'!B:L,11,FALSE))</f>
        <v>#N/A</v>
      </c>
      <c r="V652" s="50" t="e">
        <f>Tableau119[[#This Row],[Day ILN Order]]+Tableau119[[#This Row],[Delivery time to ILN/Shipper]]-1</f>
        <v>#N/A</v>
      </c>
      <c r="W652" s="50" t="e">
        <f>IFERROR(VLOOKUP(Tableau119[[#This Row],[Key(Compte ILN - shipper - POL - plant)]],'DATA ILN'!A:N,14,FALSE),VLOOKUP(Tableau119[[#This Row],[Key(Compte ILN - shipper - POL)]],'DATA ILN'!B:N,13,FALSE))</f>
        <v>#N/A</v>
      </c>
      <c r="X652" s="50" t="e">
        <f>IFERROR(VLOOKUP(Tableau119[[#This Row],[Key(Compte ILN - shipper - POL - plant)]],'DATA ILN'!A:P,16,FALSE),VLOOKUP(Tableau119[[#This Row],[Key(Compte ILN - shipper - POL)]],'DATA ILN'!B:P,15,FALSE))</f>
        <v>#N/A</v>
      </c>
      <c r="Y652" s="284" t="s">
        <v>62</v>
      </c>
      <c r="Z652" s="430">
        <f>IFERROR(VLOOKUP(Tableau119[[#This Row],[Name Shipper]],Plant_AILN!L:M,2,FALSE),0)</f>
        <v>26037000</v>
      </c>
      <c r="AA652" s="406">
        <v>286</v>
      </c>
      <c r="AB652" s="396" t="b">
        <f>_xlfn.XLOOKUP(Tableau119[[#This Row],[Key(ID-date)]],'DATA BTO'!S:S,'DATA BTO'!E:E,FALSE)</f>
        <v>0</v>
      </c>
      <c r="AC652" s="3" t="b">
        <f>_xlfn.XLOOKUP(Tableau119[[#This Row],[Key(ID-date)]],'DATA BTO'!S:S,'DATA BTO'!F:F,FALSE)</f>
        <v>0</v>
      </c>
      <c r="AD652" s="50" t="b">
        <f>_xlfn.XLOOKUP(Tableau119[[#This Row],[Key(ID-date)]],'DATA BTO'!S:S,'DATA BTO'!G:G,FALSE)</f>
        <v>0</v>
      </c>
      <c r="AE652" s="50" t="b">
        <f>_xlfn.XLOOKUP(Tableau119[[#This Row],[Key(ID-date)]],'DATA BTO'!S:S,'DATA BTO'!H:H,FALSE)</f>
        <v>0</v>
      </c>
      <c r="AF652" s="447" t="e">
        <f>IF(Tableau119[[#This Row],[First Day to POL]]&lt;=Tableau119[[#This Row],[Day Cut Off]],Tableau119[[#This Row],[Day ETD]],Tableau119[[#This Row],[Day ETD]]+7)</f>
        <v>#N/A</v>
      </c>
      <c r="AG652" s="50" t="b">
        <f>_xlfn.XLOOKUP(Tableau119[[#This Row],[Key(ID-date)]],'DATA BTO'!S:S,'DATA BTO'!I:I,FALSE)</f>
        <v>0</v>
      </c>
      <c r="AH652" s="3" t="b">
        <f>_xlfn.XLOOKUP(Tableau119[[#This Row],[Key(ID-date)]],'DATA BTO'!S:S,'DATA BTO'!J:J,FALSE)</f>
        <v>0</v>
      </c>
      <c r="AI652" s="3" t="b">
        <f>_xlfn.XLOOKUP(Tableau119[[#This Row],[Key(ID-date)]],'DATA BTO'!S:S,'DATA BTO'!K:K,FALSE)</f>
        <v>0</v>
      </c>
      <c r="AJ652" s="50" t="b">
        <f>_xlfn.XLOOKUP(Tableau119[[#This Row],[Key(ID-date)]],'DATA BTO'!S:S,'DATA BTO'!L:L,FALSE)</f>
        <v>0</v>
      </c>
      <c r="AK652" s="53" t="b">
        <f>_xlfn.XLOOKUP(Tableau119[[#This Row],[Key(ID-date)]],'DATA BTO'!S:S,'DATA BTO'!N:N,FALSE)</f>
        <v>0</v>
      </c>
      <c r="AL652" s="54" t="e">
        <f>VLOOKUP(Tableau119[[#This Row],[Key(POD -PFI- Usine)]],'DATA Consignee'!A:F,6,FALSE)</f>
        <v>#N/A</v>
      </c>
      <c r="AM652" s="127"/>
      <c r="AN652" s="376" t="str">
        <f>IF(Tableau119[[#This Row],[Name PFI/CDD]]="","-",VLOOKUP(Tableau119[[#This Row],[Name PFI/CDD]],Plant_AILN!I:J,2,FALSE))</f>
        <v>-</v>
      </c>
      <c r="AO6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2" s="2" t="e">
        <f>VLOOKUP(Tableau119[[#This Row],[Key(POD -PFI- Usine)]],'DATA Consignee'!A:J,10,FALSE)</f>
        <v>#N/A</v>
      </c>
      <c r="AR652" s="50" t="e">
        <f>VLOOKUP(Tableau119[[#This Row],[Key(POD -PFI- Usine)]],'DATA Consignee'!A:N,14,FALSE)</f>
        <v>#N/A</v>
      </c>
      <c r="AS6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2" s="50">
        <f>Tableau119[[#This Row],[Transit time]]+Tableau119[[#This Row],[Time for security]]+Tableau119[[#This Row],[Time for security2 buffer]]</f>
        <v>0</v>
      </c>
      <c r="AV6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2" s="50" t="e">
        <f>Tableau119[[#This Row],[Leadtime SI2C]]+Tableau119[[#This Row],[First Receipt Days]]-Tableau119[[#This Row],[Day Customer Order]]+1</f>
        <v>#N/A</v>
      </c>
      <c r="AX652" s="119" t="e">
        <f>IF(Tableau119[[#This Row],[Name ILN]]&lt;&gt;"SFK Freight Forwarder",Tableau119[[#This Row],[Cust. Leadtime]],Tableau119[[#This Row],[Leadtime SI2C]])</f>
        <v>#N/A</v>
      </c>
      <c r="AY652" s="51" t="b">
        <f>_xlfn.XLOOKUP(Tableau119[[#This Row],[Key(ID-date)]],'DATA BTO'!S:S,'DATA BTO'!P:P,FALSE)</f>
        <v>0</v>
      </c>
      <c r="AZ652" s="338">
        <v>45961</v>
      </c>
      <c r="BA652" s="50"/>
    </row>
    <row r="653" spans="2:53">
      <c r="B653" s="446" t="str">
        <f>_xlfn.CONCAT(Tableau119[[#This Row],[Name ILN]],"-",Tableau119[[#This Row],[Name Shipper]],"-",Tableau119[[#This Row],[Name Site]])</f>
        <v>KWE Shanghai-KWE Shanghai-KARSAN</v>
      </c>
      <c r="C653" s="66" t="str">
        <f>_xlfn.CONCAT(Tableau119[[#This Row],[Compte ILN]],"-",Tableau119[[#This Row],[Compte Shipper]],"-",Tableau119[[#This Row],[POL]],"-",Tableau119[[#This Row],[Compte Consignee]])</f>
        <v>26037000-26037000-FALSO-90022000</v>
      </c>
      <c r="D653" s="66" t="str">
        <f>_xlfn.CONCAT(Tableau119[[#This Row],[Compte ILN]],"-",Tableau119[[#This Row],[Compte Shipper]],"-",Tableau119[[#This Row],[POL]])</f>
        <v>26037000-26037000-FALSO</v>
      </c>
      <c r="E653" s="130" t="str">
        <f>_xlfn.CONCAT(Tableau119[[#This Row],[POL]],"-",Tableau119[[#This Row],[Carrier]],"-",Tableau119[[#This Row],[POD]])</f>
        <v>FALSO-FALSO-FALSO</v>
      </c>
      <c r="F653" s="66" t="str">
        <f>_xlfn.CONCAT(Tableau119[[#This Row],[ID]],"-","Actif")</f>
        <v>286-Actif</v>
      </c>
      <c r="G653" s="66" t="str">
        <f>_xlfn.CONCAT(Tableau119[[#This Row],[POD]],"-",Tableau119[[#This Row],[Code PFI]],"-",Tableau119[[#This Row],[Compte Consignee]])</f>
        <v>FALSO---90022000</v>
      </c>
      <c r="H6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ShanghaiFALSOKARSAN</v>
      </c>
      <c r="I653" s="434" t="str">
        <f>_xlfn.CONCAT(Tableau119[[#This Row],[ID]],"-",Tableau119[[#This Row],[Expiration Date]])</f>
        <v>286-45961</v>
      </c>
      <c r="J6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KARSAN-KWE Shanghai-KWE Shanghai-286-FALSO-FALSO-FALSO--45961</v>
      </c>
      <c r="K653" s="119" t="str">
        <f ca="1">IF(COUNTIF(J:J,Tableau119[[#This Row],[Plant-ILN-shipper-POL-Carrier-POD-PFI]])=1,"Non","Oui")</f>
        <v>Non</v>
      </c>
      <c r="L653" s="128" t="str">
        <f>VLOOKUP(Tableau119[[#This Row],[Name Site]],Plant_AILN!A:D,4,FALSE)</f>
        <v>TURKEY</v>
      </c>
      <c r="M653" s="415" t="s">
        <v>235</v>
      </c>
      <c r="N653" s="455">
        <f>VLOOKUP(Tableau119[[#This Row],[Name Site]],Plant_AILN!A:C,3,FALSE)</f>
        <v>90022000</v>
      </c>
      <c r="O653" s="104">
        <f>VLOOKUP(Tableau119[[#This Row],[Compte Consignee]],Order!C:D,2,FALSE)</f>
        <v>7</v>
      </c>
      <c r="P653" s="126" t="s">
        <v>62</v>
      </c>
      <c r="Q653" s="366">
        <f>VLOOKUP(Tableau119[[#This Row],[Name ILN]],Plant_AILN!F:G,2,FALSE)</f>
        <v>26037000</v>
      </c>
      <c r="R653" s="81">
        <f>VLOOKUP(Tableau119[[#This Row],[Compte ILN]],'DATA ILN'!D:I,6,FALSE)</f>
        <v>9</v>
      </c>
      <c r="S653" s="81" t="e">
        <f>IFERROR(VLOOKUP(Tableau119[[#This Row],[Key(Compte ILN - shipper - POL - plant)]],'DATA ILN'!A:J,10,FALSE),VLOOKUP(Tableau119[[#This Row],[Key(Compte ILN - shipper - POL)]],'DATA ILN'!B:J,9,FALSE))</f>
        <v>#N/A</v>
      </c>
      <c r="T653" s="81" t="e">
        <f>IFERROR(VLOOKUP(Tableau119[[#This Row],[Key(Compte ILN - shipper - POL - plant)]],'DATA ILN'!A:K,11,FALSE),VLOOKUP(Tableau119[[#This Row],[Key(Compte ILN - shipper - POL)]],'DATA ILN'!B:K,10,FALSE))</f>
        <v>#N/A</v>
      </c>
      <c r="U653" s="81" t="e">
        <f>IFERROR(VLOOKUP(Tableau119[[#This Row],[Key(Compte ILN - shipper - POL - plant)]],'DATA ILN'!A:L,12,FALSE),VLOOKUP(Tableau119[[#This Row],[Key(Compte ILN - shipper - POL)]],'DATA ILN'!B:L,11,FALSE))</f>
        <v>#N/A</v>
      </c>
      <c r="V653" s="81" t="e">
        <f>Tableau119[[#This Row],[Day ILN Order]]+Tableau119[[#This Row],[Delivery time to ILN/Shipper]]-1</f>
        <v>#N/A</v>
      </c>
      <c r="W653" s="81" t="e">
        <f>IFERROR(VLOOKUP(Tableau119[[#This Row],[Key(Compte ILN - shipper - POL - plant)]],'DATA ILN'!A:N,14,FALSE),VLOOKUP(Tableau119[[#This Row],[Key(Compte ILN - shipper - POL)]],'DATA ILN'!B:N,13,FALSE))</f>
        <v>#N/A</v>
      </c>
      <c r="X653" s="81" t="e">
        <f>IFERROR(VLOOKUP(Tableau119[[#This Row],[Key(Compte ILN - shipper - POL - plant)]],'DATA ILN'!A:P,16,FALSE),VLOOKUP(Tableau119[[#This Row],[Key(Compte ILN - shipper - POL)]],'DATA ILN'!B:P,15,FALSE))</f>
        <v>#N/A</v>
      </c>
      <c r="Y653" s="102" t="s">
        <v>62</v>
      </c>
      <c r="Z653" s="417">
        <f>IFERROR(VLOOKUP(Tableau119[[#This Row],[Name Shipper]],Plant_AILN!L:M,2,FALSE),0)</f>
        <v>26037000</v>
      </c>
      <c r="AA653" s="416">
        <v>286</v>
      </c>
      <c r="AB653" s="396" t="b">
        <f>_xlfn.XLOOKUP(Tableau119[[#This Row],[Key(ID-date)]],'DATA BTO'!S:S,'DATA BTO'!E:E,FALSE)</f>
        <v>0</v>
      </c>
      <c r="AC653" s="3" t="b">
        <f>_xlfn.XLOOKUP(Tableau119[[#This Row],[Key(ID-date)]],'DATA BTO'!S:S,'DATA BTO'!F:F,FALSE)</f>
        <v>0</v>
      </c>
      <c r="AD653" s="50" t="b">
        <f>_xlfn.XLOOKUP(Tableau119[[#This Row],[Key(ID-date)]],'DATA BTO'!S:S,'DATA BTO'!G:G,FALSE)</f>
        <v>0</v>
      </c>
      <c r="AE653" s="50" t="b">
        <f>_xlfn.XLOOKUP(Tableau119[[#This Row],[Key(ID-date)]],'DATA BTO'!S:S,'DATA BTO'!H:H,FALSE)</f>
        <v>0</v>
      </c>
      <c r="AF653" s="447" t="e">
        <f>IF(Tableau119[[#This Row],[First Day to POL]]&lt;=Tableau119[[#This Row],[Day Cut Off]],Tableau119[[#This Row],[Day ETD]],Tableau119[[#This Row],[Day ETD]]+7)</f>
        <v>#N/A</v>
      </c>
      <c r="AG653" s="50" t="b">
        <f>_xlfn.XLOOKUP(Tableau119[[#This Row],[Key(ID-date)]],'DATA BTO'!S:S,'DATA BTO'!I:I,FALSE)</f>
        <v>0</v>
      </c>
      <c r="AH653" s="3" t="b">
        <f>_xlfn.XLOOKUP(Tableau119[[#This Row],[Key(ID-date)]],'DATA BTO'!S:S,'DATA BTO'!J:J,FALSE)</f>
        <v>0</v>
      </c>
      <c r="AI653" s="3" t="b">
        <f>_xlfn.XLOOKUP(Tableau119[[#This Row],[Key(ID-date)]],'DATA BTO'!S:S,'DATA BTO'!K:K,FALSE)</f>
        <v>0</v>
      </c>
      <c r="AJ653" s="50" t="b">
        <f>_xlfn.XLOOKUP(Tableau119[[#This Row],[Key(ID-date)]],'DATA BTO'!S:S,'DATA BTO'!L:L,FALSE)</f>
        <v>0</v>
      </c>
      <c r="AK653" s="53" t="b">
        <f>_xlfn.XLOOKUP(Tableau119[[#This Row],[Key(ID-date)]],'DATA BTO'!S:S,'DATA BTO'!N:N,FALSE)</f>
        <v>0</v>
      </c>
      <c r="AL653" s="54" t="e">
        <f>VLOOKUP(Tableau119[[#This Row],[Key(POD -PFI- Usine)]],'DATA Consignee'!A:F,6,FALSE)</f>
        <v>#N/A</v>
      </c>
      <c r="AM653" s="127"/>
      <c r="AN653" s="375" t="str">
        <f>IF(Tableau119[[#This Row],[Name PFI/CDD]]="","-",VLOOKUP(Tableau119[[#This Row],[Name PFI/CDD]],Plant_AILN!I:J,2,FALSE))</f>
        <v>-</v>
      </c>
      <c r="AO65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3" s="110" t="e">
        <f>VLOOKUP(Tableau119[[#This Row],[Key(POD -PFI- Usine)]],'DATA Consignee'!A:J,10,FALSE)</f>
        <v>#N/A</v>
      </c>
      <c r="AR653" s="81" t="e">
        <f>VLOOKUP(Tableau119[[#This Row],[Key(POD -PFI- Usine)]],'DATA Consignee'!A:N,14,FALSE)</f>
        <v>#N/A</v>
      </c>
      <c r="AS65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3" s="81">
        <f>Tableau119[[#This Row],[Transit time]]+Tableau119[[#This Row],[Time for security]]+Tableau119[[#This Row],[Time for security2 buffer]]</f>
        <v>0</v>
      </c>
      <c r="AV6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3" s="50" t="e">
        <f>Tableau119[[#This Row],[Leadtime SI2C]]+Tableau119[[#This Row],[First Receipt Days]]-Tableau119[[#This Row],[Day Customer Order]]+1</f>
        <v>#N/A</v>
      </c>
      <c r="AX653" s="119" t="e">
        <f>IF(Tableau119[[#This Row],[Name ILN]]&lt;&gt;"SFK Freight Forwarder",Tableau119[[#This Row],[Cust. Leadtime]],Tableau119[[#This Row],[Leadtime SI2C]])</f>
        <v>#N/A</v>
      </c>
      <c r="AY653" s="51" t="b">
        <f>_xlfn.XLOOKUP(Tableau119[[#This Row],[Key(ID-date)]],'DATA BTO'!S:S,'DATA BTO'!P:P,FALSE)</f>
        <v>0</v>
      </c>
      <c r="AZ653" s="388">
        <v>45961</v>
      </c>
      <c r="BA653" s="81"/>
    </row>
    <row r="654" spans="2:53">
      <c r="B654" s="446" t="str">
        <f>_xlfn.CONCAT(Tableau119[[#This Row],[Name ILN]],"-",Tableau119[[#This Row],[Name Shipper]],"-",Tableau119[[#This Row],[Name Site]])</f>
        <v>KWE Shanghai-KWE Shanghai-OYAK MONT</v>
      </c>
      <c r="C654" s="66" t="str">
        <f>_xlfn.CONCAT(Tableau119[[#This Row],[Compte ILN]],"-",Tableau119[[#This Row],[Compte Shipper]],"-",Tableau119[[#This Row],[POL]],"-",Tableau119[[#This Row],[Compte Consignee]])</f>
        <v>26037000-26037000-FALSO-90017000</v>
      </c>
      <c r="D654" s="66" t="str">
        <f>_xlfn.CONCAT(Tableau119[[#This Row],[Compte ILN]],"-",Tableau119[[#This Row],[Compte Shipper]],"-",Tableau119[[#This Row],[POL]])</f>
        <v>26037000-26037000-FALSO</v>
      </c>
      <c r="E654" s="130" t="str">
        <f>_xlfn.CONCAT(Tableau119[[#This Row],[POL]],"-",Tableau119[[#This Row],[Carrier]],"-",Tableau119[[#This Row],[POD]])</f>
        <v>FALSO-FALSO-FALSO</v>
      </c>
      <c r="F654" s="66" t="str">
        <f>_xlfn.CONCAT(Tableau119[[#This Row],[ID]],"-","Actif")</f>
        <v>286-Actif</v>
      </c>
      <c r="G654" s="66" t="str">
        <f>_xlfn.CONCAT(Tableau119[[#This Row],[POD]],"-",Tableau119[[#This Row],[Code PFI]],"-",Tableau119[[#This Row],[Compte Consignee]])</f>
        <v>FALSO---90017000</v>
      </c>
      <c r="H6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ShanghaiFALSOOYAK MONT</v>
      </c>
      <c r="I654" s="434" t="str">
        <f>_xlfn.CONCAT(Tableau119[[#This Row],[ID]],"-",Tableau119[[#This Row],[Expiration Date]])</f>
        <v>286-45777</v>
      </c>
      <c r="J6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MONT-KWE Shanghai-KWE Shanghai-286-FALSO-FALSO-FALSO--45777</v>
      </c>
      <c r="K654" s="119" t="str">
        <f ca="1">IF(COUNTIF(J:J,Tableau119[[#This Row],[Plant-ILN-shipper-POL-Carrier-POD-PFI]])=1,"Non","Oui")</f>
        <v>Non</v>
      </c>
      <c r="L654" s="128" t="str">
        <f>VLOOKUP(Tableau119[[#This Row],[Name Site]],Plant_AILN!A:D,4,FALSE)</f>
        <v>TURKEY</v>
      </c>
      <c r="M654" s="411" t="s">
        <v>173</v>
      </c>
      <c r="N654" s="454">
        <f>VLOOKUP(Tableau119[[#This Row],[Name Site]],Plant_AILN!A:C,3,FALSE)</f>
        <v>90017000</v>
      </c>
      <c r="O654" s="55">
        <f>VLOOKUP(Tableau119[[#This Row],[Compte Consignee]],Order!C:D,2,FALSE)</f>
        <v>7</v>
      </c>
      <c r="P654" s="124" t="s">
        <v>62</v>
      </c>
      <c r="Q654" s="365">
        <f>VLOOKUP(Tableau119[[#This Row],[Name ILN]],Plant_AILN!F:G,2,FALSE)</f>
        <v>26037000</v>
      </c>
      <c r="R654" s="50">
        <f>VLOOKUP(Tableau119[[#This Row],[Compte ILN]],'DATA ILN'!D:I,6,FALSE)</f>
        <v>9</v>
      </c>
      <c r="S654" s="50" t="e">
        <f>IFERROR(VLOOKUP(Tableau119[[#This Row],[Key(Compte ILN - shipper - POL - plant)]],'DATA ILN'!A:J,10,FALSE),VLOOKUP(Tableau119[[#This Row],[Key(Compte ILN - shipper - POL)]],'DATA ILN'!B:J,9,FALSE))</f>
        <v>#N/A</v>
      </c>
      <c r="T654" s="50" t="e">
        <f>IFERROR(VLOOKUP(Tableau119[[#This Row],[Key(Compte ILN - shipper - POL - plant)]],'DATA ILN'!A:K,11,FALSE),VLOOKUP(Tableau119[[#This Row],[Key(Compte ILN - shipper - POL)]],'DATA ILN'!B:K,10,FALSE))</f>
        <v>#N/A</v>
      </c>
      <c r="U654" s="50" t="e">
        <f>IFERROR(VLOOKUP(Tableau119[[#This Row],[Key(Compte ILN - shipper - POL - plant)]],'DATA ILN'!A:L,12,FALSE),VLOOKUP(Tableau119[[#This Row],[Key(Compte ILN - shipper - POL)]],'DATA ILN'!B:L,11,FALSE))</f>
        <v>#N/A</v>
      </c>
      <c r="V654" s="50" t="e">
        <f>Tableau119[[#This Row],[Day ILN Order]]+Tableau119[[#This Row],[Delivery time to ILN/Shipper]]-1</f>
        <v>#N/A</v>
      </c>
      <c r="W654" s="50" t="e">
        <f>IFERROR(VLOOKUP(Tableau119[[#This Row],[Key(Compte ILN - shipper - POL - plant)]],'DATA ILN'!A:N,14,FALSE),VLOOKUP(Tableau119[[#This Row],[Key(Compte ILN - shipper - POL)]],'DATA ILN'!B:N,13,FALSE))</f>
        <v>#N/A</v>
      </c>
      <c r="X654" s="50" t="e">
        <f>IFERROR(VLOOKUP(Tableau119[[#This Row],[Key(Compte ILN - shipper - POL - plant)]],'DATA ILN'!A:P,16,FALSE),VLOOKUP(Tableau119[[#This Row],[Key(Compte ILN - shipper - POL)]],'DATA ILN'!B:P,15,FALSE))</f>
        <v>#N/A</v>
      </c>
      <c r="Y654" s="284" t="s">
        <v>62</v>
      </c>
      <c r="Z654" s="430">
        <f>IFERROR(VLOOKUP(Tableau119[[#This Row],[Name Shipper]],Plant_AILN!L:M,2,FALSE),0)</f>
        <v>26037000</v>
      </c>
      <c r="AA654" s="406">
        <v>286</v>
      </c>
      <c r="AB654" s="396" t="b">
        <f>_xlfn.XLOOKUP(Tableau119[[#This Row],[Key(ID-date)]],'DATA BTO'!S:S,'DATA BTO'!E:E,FALSE)</f>
        <v>0</v>
      </c>
      <c r="AC654" s="3" t="b">
        <f>_xlfn.XLOOKUP(Tableau119[[#This Row],[Key(ID-date)]],'DATA BTO'!S:S,'DATA BTO'!F:F,FALSE)</f>
        <v>0</v>
      </c>
      <c r="AD654" s="50" t="b">
        <f>_xlfn.XLOOKUP(Tableau119[[#This Row],[Key(ID-date)]],'DATA BTO'!S:S,'DATA BTO'!G:G,FALSE)</f>
        <v>0</v>
      </c>
      <c r="AE654" s="50" t="b">
        <f>_xlfn.XLOOKUP(Tableau119[[#This Row],[Key(ID-date)]],'DATA BTO'!S:S,'DATA BTO'!H:H,FALSE)</f>
        <v>0</v>
      </c>
      <c r="AF654" s="447" t="e">
        <f>IF(Tableau119[[#This Row],[First Day to POL]]&lt;=Tableau119[[#This Row],[Day Cut Off]],Tableau119[[#This Row],[Day ETD]],Tableau119[[#This Row],[Day ETD]]+7)</f>
        <v>#N/A</v>
      </c>
      <c r="AG654" s="50" t="b">
        <f>_xlfn.XLOOKUP(Tableau119[[#This Row],[Key(ID-date)]],'DATA BTO'!S:S,'DATA BTO'!I:I,FALSE)</f>
        <v>0</v>
      </c>
      <c r="AH654" s="3" t="b">
        <f>_xlfn.XLOOKUP(Tableau119[[#This Row],[Key(ID-date)]],'DATA BTO'!S:S,'DATA BTO'!J:J,FALSE)</f>
        <v>0</v>
      </c>
      <c r="AI654" s="3" t="b">
        <f>_xlfn.XLOOKUP(Tableau119[[#This Row],[Key(ID-date)]],'DATA BTO'!S:S,'DATA BTO'!K:K,FALSE)</f>
        <v>0</v>
      </c>
      <c r="AJ654" s="50" t="b">
        <f>_xlfn.XLOOKUP(Tableau119[[#This Row],[Key(ID-date)]],'DATA BTO'!S:S,'DATA BTO'!L:L,FALSE)</f>
        <v>0</v>
      </c>
      <c r="AK654" s="53" t="b">
        <f>_xlfn.XLOOKUP(Tableau119[[#This Row],[Key(ID-date)]],'DATA BTO'!S:S,'DATA BTO'!N:N,FALSE)</f>
        <v>0</v>
      </c>
      <c r="AL654" s="54" t="e">
        <f>VLOOKUP(Tableau119[[#This Row],[Key(POD -PFI- Usine)]],'DATA Consignee'!A:F,6,FALSE)</f>
        <v>#N/A</v>
      </c>
      <c r="AM654" s="127"/>
      <c r="AN654" s="376" t="str">
        <f>IF(Tableau119[[#This Row],[Name PFI/CDD]]="","-",VLOOKUP(Tableau119[[#This Row],[Name PFI/CDD]],Plant_AILN!I:J,2,FALSE))</f>
        <v>-</v>
      </c>
      <c r="AO6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4" s="2" t="e">
        <f>VLOOKUP(Tableau119[[#This Row],[Key(POD -PFI- Usine)]],'DATA Consignee'!A:J,10,FALSE)</f>
        <v>#N/A</v>
      </c>
      <c r="AR654" s="50" t="e">
        <f>VLOOKUP(Tableau119[[#This Row],[Key(POD -PFI- Usine)]],'DATA Consignee'!A:N,14,FALSE)</f>
        <v>#N/A</v>
      </c>
      <c r="AS6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4" s="50">
        <f>Tableau119[[#This Row],[Transit time]]+Tableau119[[#This Row],[Time for security]]+Tableau119[[#This Row],[Time for security2 buffer]]</f>
        <v>0</v>
      </c>
      <c r="AV6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4" s="50" t="e">
        <f>Tableau119[[#This Row],[Leadtime SI2C]]+Tableau119[[#This Row],[First Receipt Days]]-Tableau119[[#This Row],[Day Customer Order]]+1</f>
        <v>#N/A</v>
      </c>
      <c r="AX654" s="119" t="e">
        <f>IF(Tableau119[[#This Row],[Name ILN]]&lt;&gt;"SFK Freight Forwarder",Tableau119[[#This Row],[Cust. Leadtime]],Tableau119[[#This Row],[Leadtime SI2C]])</f>
        <v>#N/A</v>
      </c>
      <c r="AY654" s="51" t="b">
        <f>_xlfn.XLOOKUP(Tableau119[[#This Row],[Key(ID-date)]],'DATA BTO'!S:S,'DATA BTO'!P:P,FALSE)</f>
        <v>0</v>
      </c>
      <c r="AZ654" s="338">
        <v>45777</v>
      </c>
      <c r="BA654" s="50"/>
    </row>
    <row r="655" spans="2:53">
      <c r="B655" s="446" t="str">
        <f>_xlfn.CONCAT(Tableau119[[#This Row],[Name ILN]],"-",Tableau119[[#This Row],[Name Shipper]],"-",Tableau119[[#This Row],[Name Site]])</f>
        <v>KWE Shanghai-KWE Shanghai-KARSAN</v>
      </c>
      <c r="C655" s="66" t="str">
        <f>_xlfn.CONCAT(Tableau119[[#This Row],[Compte ILN]],"-",Tableau119[[#This Row],[Compte Shipper]],"-",Tableau119[[#This Row],[POL]],"-",Tableau119[[#This Row],[Compte Consignee]])</f>
        <v>26037000-26037000-FALSO-90022000</v>
      </c>
      <c r="D655" s="66" t="str">
        <f>_xlfn.CONCAT(Tableau119[[#This Row],[Compte ILN]],"-",Tableau119[[#This Row],[Compte Shipper]],"-",Tableau119[[#This Row],[POL]])</f>
        <v>26037000-26037000-FALSO</v>
      </c>
      <c r="E655" s="130" t="str">
        <f>_xlfn.CONCAT(Tableau119[[#This Row],[POL]],"-",Tableau119[[#This Row],[Carrier]],"-",Tableau119[[#This Row],[POD]])</f>
        <v>FALSO-FALSO-FALSO</v>
      </c>
      <c r="F655" s="66" t="str">
        <f>_xlfn.CONCAT(Tableau119[[#This Row],[ID]],"-","Actif")</f>
        <v>286-Actif</v>
      </c>
      <c r="G655" s="66" t="str">
        <f>_xlfn.CONCAT(Tableau119[[#This Row],[POD]],"-",Tableau119[[#This Row],[Code PFI]],"-",Tableau119[[#This Row],[Compte Consignee]])</f>
        <v>FALSO---90022000</v>
      </c>
      <c r="H6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ShanghaiFALSOKARSAN</v>
      </c>
      <c r="I655" s="434" t="str">
        <f>_xlfn.CONCAT(Tableau119[[#This Row],[ID]],"-",Tableau119[[#This Row],[Expiration Date]])</f>
        <v>286-45777</v>
      </c>
      <c r="J6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KARSAN-KWE Shanghai-KWE Shanghai-286-FALSO-FALSO-FALSO--45777</v>
      </c>
      <c r="K655" s="119" t="str">
        <f ca="1">IF(COUNTIF(J:J,Tableau119[[#This Row],[Plant-ILN-shipper-POL-Carrier-POD-PFI]])=1,"Non","Oui")</f>
        <v>Non</v>
      </c>
      <c r="L655" s="128" t="str">
        <f>VLOOKUP(Tableau119[[#This Row],[Name Site]],Plant_AILN!A:D,4,FALSE)</f>
        <v>TURKEY</v>
      </c>
      <c r="M655" s="415" t="s">
        <v>235</v>
      </c>
      <c r="N655" s="455">
        <f>VLOOKUP(Tableau119[[#This Row],[Name Site]],Plant_AILN!A:C,3,FALSE)</f>
        <v>90022000</v>
      </c>
      <c r="O655" s="104">
        <f>VLOOKUP(Tableau119[[#This Row],[Compte Consignee]],Order!C:D,2,FALSE)</f>
        <v>7</v>
      </c>
      <c r="P655" s="126" t="s">
        <v>62</v>
      </c>
      <c r="Q655" s="366">
        <f>VLOOKUP(Tableau119[[#This Row],[Name ILN]],Plant_AILN!F:G,2,FALSE)</f>
        <v>26037000</v>
      </c>
      <c r="R655" s="81">
        <f>VLOOKUP(Tableau119[[#This Row],[Compte ILN]],'DATA ILN'!D:I,6,FALSE)</f>
        <v>9</v>
      </c>
      <c r="S655" s="81" t="e">
        <f>IFERROR(VLOOKUP(Tableau119[[#This Row],[Key(Compte ILN - shipper - POL - plant)]],'DATA ILN'!A:J,10,FALSE),VLOOKUP(Tableau119[[#This Row],[Key(Compte ILN - shipper - POL)]],'DATA ILN'!B:J,9,FALSE))</f>
        <v>#N/A</v>
      </c>
      <c r="T655" s="81" t="e">
        <f>IFERROR(VLOOKUP(Tableau119[[#This Row],[Key(Compte ILN - shipper - POL - plant)]],'DATA ILN'!A:K,11,FALSE),VLOOKUP(Tableau119[[#This Row],[Key(Compte ILN - shipper - POL)]],'DATA ILN'!B:K,10,FALSE))</f>
        <v>#N/A</v>
      </c>
      <c r="U655" s="81" t="e">
        <f>IFERROR(VLOOKUP(Tableau119[[#This Row],[Key(Compte ILN - shipper - POL - plant)]],'DATA ILN'!A:L,12,FALSE),VLOOKUP(Tableau119[[#This Row],[Key(Compte ILN - shipper - POL)]],'DATA ILN'!B:L,11,FALSE))</f>
        <v>#N/A</v>
      </c>
      <c r="V655" s="81" t="e">
        <f>Tableau119[[#This Row],[Day ILN Order]]+Tableau119[[#This Row],[Delivery time to ILN/Shipper]]-1</f>
        <v>#N/A</v>
      </c>
      <c r="W655" s="81" t="e">
        <f>IFERROR(VLOOKUP(Tableau119[[#This Row],[Key(Compte ILN - shipper - POL - plant)]],'DATA ILN'!A:N,14,FALSE),VLOOKUP(Tableau119[[#This Row],[Key(Compte ILN - shipper - POL)]],'DATA ILN'!B:N,13,FALSE))</f>
        <v>#N/A</v>
      </c>
      <c r="X655" s="81" t="e">
        <f>IFERROR(VLOOKUP(Tableau119[[#This Row],[Key(Compte ILN - shipper - POL - plant)]],'DATA ILN'!A:P,16,FALSE),VLOOKUP(Tableau119[[#This Row],[Key(Compte ILN - shipper - POL)]],'DATA ILN'!B:P,15,FALSE))</f>
        <v>#N/A</v>
      </c>
      <c r="Y655" s="102" t="s">
        <v>62</v>
      </c>
      <c r="Z655" s="417">
        <f>IFERROR(VLOOKUP(Tableau119[[#This Row],[Name Shipper]],Plant_AILN!L:M,2,FALSE),0)</f>
        <v>26037000</v>
      </c>
      <c r="AA655" s="416">
        <v>286</v>
      </c>
      <c r="AB655" s="396" t="b">
        <f>_xlfn.XLOOKUP(Tableau119[[#This Row],[Key(ID-date)]],'DATA BTO'!S:S,'DATA BTO'!E:E,FALSE)</f>
        <v>0</v>
      </c>
      <c r="AC655" s="3" t="b">
        <f>_xlfn.XLOOKUP(Tableau119[[#This Row],[Key(ID-date)]],'DATA BTO'!S:S,'DATA BTO'!F:F,FALSE)</f>
        <v>0</v>
      </c>
      <c r="AD655" s="50" t="b">
        <f>_xlfn.XLOOKUP(Tableau119[[#This Row],[Key(ID-date)]],'DATA BTO'!S:S,'DATA BTO'!G:G,FALSE)</f>
        <v>0</v>
      </c>
      <c r="AE655" s="50" t="b">
        <f>_xlfn.XLOOKUP(Tableau119[[#This Row],[Key(ID-date)]],'DATA BTO'!S:S,'DATA BTO'!H:H,FALSE)</f>
        <v>0</v>
      </c>
      <c r="AF655" s="447" t="e">
        <f>IF(Tableau119[[#This Row],[First Day to POL]]&lt;=Tableau119[[#This Row],[Day Cut Off]],Tableau119[[#This Row],[Day ETD]],Tableau119[[#This Row],[Day ETD]]+7)</f>
        <v>#N/A</v>
      </c>
      <c r="AG655" s="50" t="b">
        <f>_xlfn.XLOOKUP(Tableau119[[#This Row],[Key(ID-date)]],'DATA BTO'!S:S,'DATA BTO'!I:I,FALSE)</f>
        <v>0</v>
      </c>
      <c r="AH655" s="3" t="b">
        <f>_xlfn.XLOOKUP(Tableau119[[#This Row],[Key(ID-date)]],'DATA BTO'!S:S,'DATA BTO'!J:J,FALSE)</f>
        <v>0</v>
      </c>
      <c r="AI655" s="3" t="b">
        <f>_xlfn.XLOOKUP(Tableau119[[#This Row],[Key(ID-date)]],'DATA BTO'!S:S,'DATA BTO'!K:K,FALSE)</f>
        <v>0</v>
      </c>
      <c r="AJ655" s="50" t="b">
        <f>_xlfn.XLOOKUP(Tableau119[[#This Row],[Key(ID-date)]],'DATA BTO'!S:S,'DATA BTO'!L:L,FALSE)</f>
        <v>0</v>
      </c>
      <c r="AK655" s="53" t="b">
        <f>_xlfn.XLOOKUP(Tableau119[[#This Row],[Key(ID-date)]],'DATA BTO'!S:S,'DATA BTO'!N:N,FALSE)</f>
        <v>0</v>
      </c>
      <c r="AL655" s="54" t="e">
        <f>VLOOKUP(Tableau119[[#This Row],[Key(POD -PFI- Usine)]],'DATA Consignee'!A:F,6,FALSE)</f>
        <v>#N/A</v>
      </c>
      <c r="AM655" s="127"/>
      <c r="AN655" s="375" t="str">
        <f>IF(Tableau119[[#This Row],[Name PFI/CDD]]="","-",VLOOKUP(Tableau119[[#This Row],[Name PFI/CDD]],Plant_AILN!I:J,2,FALSE))</f>
        <v>-</v>
      </c>
      <c r="AO65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5" s="110" t="e">
        <f>VLOOKUP(Tableau119[[#This Row],[Key(POD -PFI- Usine)]],'DATA Consignee'!A:J,10,FALSE)</f>
        <v>#N/A</v>
      </c>
      <c r="AR655" s="81" t="e">
        <f>VLOOKUP(Tableau119[[#This Row],[Key(POD -PFI- Usine)]],'DATA Consignee'!A:N,14,FALSE)</f>
        <v>#N/A</v>
      </c>
      <c r="AS65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5" s="81">
        <f>Tableau119[[#This Row],[Transit time]]+Tableau119[[#This Row],[Time for security]]+Tableau119[[#This Row],[Time for security2 buffer]]</f>
        <v>0</v>
      </c>
      <c r="AV6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5" s="50" t="e">
        <f>Tableau119[[#This Row],[Leadtime SI2C]]+Tableau119[[#This Row],[First Receipt Days]]-Tableau119[[#This Row],[Day Customer Order]]+1</f>
        <v>#N/A</v>
      </c>
      <c r="AX655" s="119" t="e">
        <f>IF(Tableau119[[#This Row],[Name ILN]]&lt;&gt;"SFK Freight Forwarder",Tableau119[[#This Row],[Cust. Leadtime]],Tableau119[[#This Row],[Leadtime SI2C]])</f>
        <v>#N/A</v>
      </c>
      <c r="AY655" s="51" t="b">
        <f>_xlfn.XLOOKUP(Tableau119[[#This Row],[Key(ID-date)]],'DATA BTO'!S:S,'DATA BTO'!P:P,FALSE)</f>
        <v>0</v>
      </c>
      <c r="AZ655" s="388">
        <v>45777</v>
      </c>
      <c r="BA655" s="81"/>
    </row>
    <row r="656" spans="2:53">
      <c r="B656" s="446" t="str">
        <f>_xlfn.CONCAT(Tableau119[[#This Row],[Name ILN]],"-",Tableau119[[#This Row],[Name Shipper]],"-",Tableau119[[#This Row],[Name Site]])</f>
        <v>KWE Shanghai-KWE Shanghai-OYAK MONT</v>
      </c>
      <c r="C656" s="66" t="str">
        <f>_xlfn.CONCAT(Tableau119[[#This Row],[Compte ILN]],"-",Tableau119[[#This Row],[Compte Shipper]],"-",Tableau119[[#This Row],[POL]],"-",Tableau119[[#This Row],[Compte Consignee]])</f>
        <v>26037000-26037000-FALSO-90017000</v>
      </c>
      <c r="D656" s="66" t="str">
        <f>_xlfn.CONCAT(Tableau119[[#This Row],[Compte ILN]],"-",Tableau119[[#This Row],[Compte Shipper]],"-",Tableau119[[#This Row],[POL]])</f>
        <v>26037000-26037000-FALSO</v>
      </c>
      <c r="E656" s="130" t="str">
        <f>_xlfn.CONCAT(Tableau119[[#This Row],[POL]],"-",Tableau119[[#This Row],[Carrier]],"-",Tableau119[[#This Row],[POD]])</f>
        <v>FALSO-FALSO-FALSO</v>
      </c>
      <c r="F656" s="66" t="str">
        <f>_xlfn.CONCAT(Tableau119[[#This Row],[ID]],"-","Actif")</f>
        <v>286-Actif</v>
      </c>
      <c r="G656" s="66" t="str">
        <f>_xlfn.CONCAT(Tableau119[[#This Row],[POD]],"-",Tableau119[[#This Row],[Code PFI]],"-",Tableau119[[#This Row],[Compte Consignee]])</f>
        <v>FALSO---90017000</v>
      </c>
      <c r="H6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ShanghaiFALSOOYAK MONT</v>
      </c>
      <c r="I656" s="434" t="str">
        <f>_xlfn.CONCAT(Tableau119[[#This Row],[ID]],"-",Tableau119[[#This Row],[Expiration Date]])</f>
        <v>286-45473</v>
      </c>
      <c r="J6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MONT-KWE Shanghai-KWE Shanghai-286-FALSO-FALSO-FALSO--45473</v>
      </c>
      <c r="K656" s="119" t="str">
        <f ca="1">IF(COUNTIF(J:J,Tableau119[[#This Row],[Plant-ILN-shipper-POL-Carrier-POD-PFI]])=1,"Non","Oui")</f>
        <v>Non</v>
      </c>
      <c r="L656" s="128" t="str">
        <f>VLOOKUP(Tableau119[[#This Row],[Name Site]],Plant_AILN!A:D,4,FALSE)</f>
        <v>TURKEY</v>
      </c>
      <c r="M656" s="411" t="s">
        <v>173</v>
      </c>
      <c r="N656" s="454">
        <f>VLOOKUP(Tableau119[[#This Row],[Name Site]],Plant_AILN!A:C,3,FALSE)</f>
        <v>90017000</v>
      </c>
      <c r="O656" s="55">
        <f>VLOOKUP(Tableau119[[#This Row],[Compte Consignee]],Order!C:D,2,FALSE)</f>
        <v>7</v>
      </c>
      <c r="P656" s="124" t="s">
        <v>62</v>
      </c>
      <c r="Q656" s="365">
        <f>VLOOKUP(Tableau119[[#This Row],[Name ILN]],Plant_AILN!F:G,2,FALSE)</f>
        <v>26037000</v>
      </c>
      <c r="R656" s="50">
        <f>VLOOKUP(Tableau119[[#This Row],[Compte ILN]],'DATA ILN'!D:I,6,FALSE)</f>
        <v>9</v>
      </c>
      <c r="S656" s="50" t="e">
        <f>IFERROR(VLOOKUP(Tableau119[[#This Row],[Key(Compte ILN - shipper - POL - plant)]],'DATA ILN'!A:J,10,FALSE),VLOOKUP(Tableau119[[#This Row],[Key(Compte ILN - shipper - POL)]],'DATA ILN'!B:J,9,FALSE))</f>
        <v>#N/A</v>
      </c>
      <c r="T656" s="50" t="e">
        <f>IFERROR(VLOOKUP(Tableau119[[#This Row],[Key(Compte ILN - shipper - POL - plant)]],'DATA ILN'!A:K,11,FALSE),VLOOKUP(Tableau119[[#This Row],[Key(Compte ILN - shipper - POL)]],'DATA ILN'!B:K,10,FALSE))</f>
        <v>#N/A</v>
      </c>
      <c r="U656" s="50" t="e">
        <f>IFERROR(VLOOKUP(Tableau119[[#This Row],[Key(Compte ILN - shipper - POL - plant)]],'DATA ILN'!A:L,12,FALSE),VLOOKUP(Tableau119[[#This Row],[Key(Compte ILN - shipper - POL)]],'DATA ILN'!B:L,11,FALSE))</f>
        <v>#N/A</v>
      </c>
      <c r="V656" s="50" t="e">
        <f>Tableau119[[#This Row],[Day ILN Order]]+Tableau119[[#This Row],[Delivery time to ILN/Shipper]]-1</f>
        <v>#N/A</v>
      </c>
      <c r="W656" s="50" t="e">
        <f>IFERROR(VLOOKUP(Tableau119[[#This Row],[Key(Compte ILN - shipper - POL - plant)]],'DATA ILN'!A:N,14,FALSE),VLOOKUP(Tableau119[[#This Row],[Key(Compte ILN - shipper - POL)]],'DATA ILN'!B:N,13,FALSE))</f>
        <v>#N/A</v>
      </c>
      <c r="X656" s="50" t="e">
        <f>IFERROR(VLOOKUP(Tableau119[[#This Row],[Key(Compte ILN - shipper - POL - plant)]],'DATA ILN'!A:P,16,FALSE),VLOOKUP(Tableau119[[#This Row],[Key(Compte ILN - shipper - POL)]],'DATA ILN'!B:P,15,FALSE))</f>
        <v>#N/A</v>
      </c>
      <c r="Y656" s="284" t="s">
        <v>62</v>
      </c>
      <c r="Z656" s="430">
        <f>IFERROR(VLOOKUP(Tableau119[[#This Row],[Name Shipper]],Plant_AILN!L:M,2,FALSE),0)</f>
        <v>26037000</v>
      </c>
      <c r="AA656" s="406">
        <v>286</v>
      </c>
      <c r="AB656" s="396" t="b">
        <f>_xlfn.XLOOKUP(Tableau119[[#This Row],[Key(ID-date)]],'DATA BTO'!S:S,'DATA BTO'!E:E,FALSE)</f>
        <v>0</v>
      </c>
      <c r="AC656" s="3" t="b">
        <f>_xlfn.XLOOKUP(Tableau119[[#This Row],[Key(ID-date)]],'DATA BTO'!S:S,'DATA BTO'!F:F,FALSE)</f>
        <v>0</v>
      </c>
      <c r="AD656" s="50" t="b">
        <f>_xlfn.XLOOKUP(Tableau119[[#This Row],[Key(ID-date)]],'DATA BTO'!S:S,'DATA BTO'!G:G,FALSE)</f>
        <v>0</v>
      </c>
      <c r="AE656" s="50" t="b">
        <f>_xlfn.XLOOKUP(Tableau119[[#This Row],[Key(ID-date)]],'DATA BTO'!S:S,'DATA BTO'!H:H,FALSE)</f>
        <v>0</v>
      </c>
      <c r="AF656" s="447" t="e">
        <f>IF(Tableau119[[#This Row],[First Day to POL]]&lt;=Tableau119[[#This Row],[Day Cut Off]],Tableau119[[#This Row],[Day ETD]],Tableau119[[#This Row],[Day ETD]]+7)</f>
        <v>#N/A</v>
      </c>
      <c r="AG656" s="50" t="b">
        <f>_xlfn.XLOOKUP(Tableau119[[#This Row],[Key(ID-date)]],'DATA BTO'!S:S,'DATA BTO'!I:I,FALSE)</f>
        <v>0</v>
      </c>
      <c r="AH656" s="3" t="b">
        <f>_xlfn.XLOOKUP(Tableau119[[#This Row],[Key(ID-date)]],'DATA BTO'!S:S,'DATA BTO'!J:J,FALSE)</f>
        <v>0</v>
      </c>
      <c r="AI656" s="3" t="b">
        <f>_xlfn.XLOOKUP(Tableau119[[#This Row],[Key(ID-date)]],'DATA BTO'!S:S,'DATA BTO'!K:K,FALSE)</f>
        <v>0</v>
      </c>
      <c r="AJ656" s="50" t="b">
        <f>_xlfn.XLOOKUP(Tableau119[[#This Row],[Key(ID-date)]],'DATA BTO'!S:S,'DATA BTO'!L:L,FALSE)</f>
        <v>0</v>
      </c>
      <c r="AK656" s="53" t="b">
        <f>_xlfn.XLOOKUP(Tableau119[[#This Row],[Key(ID-date)]],'DATA BTO'!S:S,'DATA BTO'!N:N,FALSE)</f>
        <v>0</v>
      </c>
      <c r="AL656" s="54" t="e">
        <f>VLOOKUP(Tableau119[[#This Row],[Key(POD -PFI- Usine)]],'DATA Consignee'!A:F,6,FALSE)</f>
        <v>#N/A</v>
      </c>
      <c r="AM656" s="127"/>
      <c r="AN656" s="376" t="str">
        <f>IF(Tableau119[[#This Row],[Name PFI/CDD]]="","-",VLOOKUP(Tableau119[[#This Row],[Name PFI/CDD]],Plant_AILN!I:J,2,FALSE))</f>
        <v>-</v>
      </c>
      <c r="AO6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6" s="2" t="e">
        <f>VLOOKUP(Tableau119[[#This Row],[Key(POD -PFI- Usine)]],'DATA Consignee'!A:J,10,FALSE)</f>
        <v>#N/A</v>
      </c>
      <c r="AR656" s="50" t="e">
        <f>VLOOKUP(Tableau119[[#This Row],[Key(POD -PFI- Usine)]],'DATA Consignee'!A:N,14,FALSE)</f>
        <v>#N/A</v>
      </c>
      <c r="AS65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6" s="50">
        <f>Tableau119[[#This Row],[Transit time]]+Tableau119[[#This Row],[Time for security]]+Tableau119[[#This Row],[Time for security2 buffer]]</f>
        <v>0</v>
      </c>
      <c r="AV65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6" s="50" t="e">
        <f>Tableau119[[#This Row],[Leadtime SI2C]]+Tableau119[[#This Row],[First Receipt Days]]-Tableau119[[#This Row],[Day Customer Order]]+1</f>
        <v>#N/A</v>
      </c>
      <c r="AX656" s="119" t="e">
        <f>IF(Tableau119[[#This Row],[Name ILN]]&lt;&gt;"SFK Freight Forwarder",Tableau119[[#This Row],[Cust. Leadtime]],Tableau119[[#This Row],[Leadtime SI2C]])</f>
        <v>#N/A</v>
      </c>
      <c r="AY656" s="51" t="b">
        <f>_xlfn.XLOOKUP(Tableau119[[#This Row],[Key(ID-date)]],'DATA BTO'!S:S,'DATA BTO'!P:P,FALSE)</f>
        <v>0</v>
      </c>
      <c r="AZ656" s="338">
        <v>45473</v>
      </c>
      <c r="BA656" s="50"/>
    </row>
    <row r="657" spans="2:53">
      <c r="B657" s="446" t="str">
        <f>_xlfn.CONCAT(Tableau119[[#This Row],[Name ILN]],"-",Tableau119[[#This Row],[Name Shipper]],"-",Tableau119[[#This Row],[Name Site]])</f>
        <v>KWE Shanghai-KWE Shanghai-KARSAN</v>
      </c>
      <c r="C657" s="66" t="str">
        <f>_xlfn.CONCAT(Tableau119[[#This Row],[Compte ILN]],"-",Tableau119[[#This Row],[Compte Shipper]],"-",Tableau119[[#This Row],[POL]],"-",Tableau119[[#This Row],[Compte Consignee]])</f>
        <v>26037000-26037000-FALSO-90022000</v>
      </c>
      <c r="D657" s="66" t="str">
        <f>_xlfn.CONCAT(Tableau119[[#This Row],[Compte ILN]],"-",Tableau119[[#This Row],[Compte Shipper]],"-",Tableau119[[#This Row],[POL]])</f>
        <v>26037000-26037000-FALSO</v>
      </c>
      <c r="E657" s="130" t="str">
        <f>_xlfn.CONCAT(Tableau119[[#This Row],[POL]],"-",Tableau119[[#This Row],[Carrier]],"-",Tableau119[[#This Row],[POD]])</f>
        <v>FALSO-FALSO-FALSO</v>
      </c>
      <c r="F657" s="66" t="str">
        <f>_xlfn.CONCAT(Tableau119[[#This Row],[ID]],"-","Actif")</f>
        <v>286-Actif</v>
      </c>
      <c r="G657" s="66" t="str">
        <f>_xlfn.CONCAT(Tableau119[[#This Row],[POD]],"-",Tableau119[[#This Row],[Code PFI]],"-",Tableau119[[#This Row],[Compte Consignee]])</f>
        <v>FALSO---90022000</v>
      </c>
      <c r="H6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ShanghaiFALSOKARSAN</v>
      </c>
      <c r="I657" s="434" t="str">
        <f>_xlfn.CONCAT(Tableau119[[#This Row],[ID]],"-",Tableau119[[#This Row],[Expiration Date]])</f>
        <v>286-45473</v>
      </c>
      <c r="J6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KARSAN-KWE Shanghai-KWE Shanghai-286-FALSO-FALSO-FALSO--45473</v>
      </c>
      <c r="K657" s="119" t="str">
        <f ca="1">IF(COUNTIF(J:J,Tableau119[[#This Row],[Plant-ILN-shipper-POL-Carrier-POD-PFI]])=1,"Non","Oui")</f>
        <v>Non</v>
      </c>
      <c r="L657" s="128" t="str">
        <f>VLOOKUP(Tableau119[[#This Row],[Name Site]],Plant_AILN!A:D,4,FALSE)</f>
        <v>TURKEY</v>
      </c>
      <c r="M657" s="411" t="s">
        <v>235</v>
      </c>
      <c r="N657" s="454">
        <f>VLOOKUP(Tableau119[[#This Row],[Name Site]],Plant_AILN!A:C,3,FALSE)</f>
        <v>90022000</v>
      </c>
      <c r="O657" s="55">
        <f>VLOOKUP(Tableau119[[#This Row],[Compte Consignee]],Order!C:D,2,FALSE)</f>
        <v>7</v>
      </c>
      <c r="P657" s="124" t="s">
        <v>62</v>
      </c>
      <c r="Q657" s="365">
        <f>VLOOKUP(Tableau119[[#This Row],[Name ILN]],Plant_AILN!F:G,2,FALSE)</f>
        <v>26037000</v>
      </c>
      <c r="R657" s="50">
        <f>VLOOKUP(Tableau119[[#This Row],[Compte ILN]],'DATA ILN'!D:I,6,FALSE)</f>
        <v>9</v>
      </c>
      <c r="S657" s="50" t="e">
        <f>IFERROR(VLOOKUP(Tableau119[[#This Row],[Key(Compte ILN - shipper - POL - plant)]],'DATA ILN'!A:J,10,FALSE),VLOOKUP(Tableau119[[#This Row],[Key(Compte ILN - shipper - POL)]],'DATA ILN'!B:J,9,FALSE))</f>
        <v>#N/A</v>
      </c>
      <c r="T657" s="50" t="e">
        <f>IFERROR(VLOOKUP(Tableau119[[#This Row],[Key(Compte ILN - shipper - POL - plant)]],'DATA ILN'!A:K,11,FALSE),VLOOKUP(Tableau119[[#This Row],[Key(Compte ILN - shipper - POL)]],'DATA ILN'!B:K,10,FALSE))</f>
        <v>#N/A</v>
      </c>
      <c r="U657" s="50" t="e">
        <f>IFERROR(VLOOKUP(Tableau119[[#This Row],[Key(Compte ILN - shipper - POL - plant)]],'DATA ILN'!A:L,12,FALSE),VLOOKUP(Tableau119[[#This Row],[Key(Compte ILN - shipper - POL)]],'DATA ILN'!B:L,11,FALSE))</f>
        <v>#N/A</v>
      </c>
      <c r="V657" s="50" t="e">
        <f>Tableau119[[#This Row],[Day ILN Order]]+Tableau119[[#This Row],[Delivery time to ILN/Shipper]]-1</f>
        <v>#N/A</v>
      </c>
      <c r="W657" s="50" t="e">
        <f>IFERROR(VLOOKUP(Tableau119[[#This Row],[Key(Compte ILN - shipper - POL - plant)]],'DATA ILN'!A:N,14,FALSE),VLOOKUP(Tableau119[[#This Row],[Key(Compte ILN - shipper - POL)]],'DATA ILN'!B:N,13,FALSE))</f>
        <v>#N/A</v>
      </c>
      <c r="X657" s="50" t="e">
        <f>IFERROR(VLOOKUP(Tableau119[[#This Row],[Key(Compte ILN - shipper - POL - plant)]],'DATA ILN'!A:P,16,FALSE),VLOOKUP(Tableau119[[#This Row],[Key(Compte ILN - shipper - POL)]],'DATA ILN'!B:P,15,FALSE))</f>
        <v>#N/A</v>
      </c>
      <c r="Y657" s="284" t="s">
        <v>62</v>
      </c>
      <c r="Z657" s="430">
        <f>IFERROR(VLOOKUP(Tableau119[[#This Row],[Name Shipper]],Plant_AILN!L:M,2,FALSE),0)</f>
        <v>26037000</v>
      </c>
      <c r="AA657" s="406">
        <v>286</v>
      </c>
      <c r="AB657" s="396" t="b">
        <f>_xlfn.XLOOKUP(Tableau119[[#This Row],[Key(ID-date)]],'DATA BTO'!S:S,'DATA BTO'!E:E,FALSE)</f>
        <v>0</v>
      </c>
      <c r="AC657" s="3" t="b">
        <f>_xlfn.XLOOKUP(Tableau119[[#This Row],[Key(ID-date)]],'DATA BTO'!S:S,'DATA BTO'!F:F,FALSE)</f>
        <v>0</v>
      </c>
      <c r="AD657" s="50" t="b">
        <f>_xlfn.XLOOKUP(Tableau119[[#This Row],[Key(ID-date)]],'DATA BTO'!S:S,'DATA BTO'!G:G,FALSE)</f>
        <v>0</v>
      </c>
      <c r="AE657" s="50" t="b">
        <f>_xlfn.XLOOKUP(Tableau119[[#This Row],[Key(ID-date)]],'DATA BTO'!S:S,'DATA BTO'!H:H,FALSE)</f>
        <v>0</v>
      </c>
      <c r="AF657" s="447" t="e">
        <f>IF(Tableau119[[#This Row],[First Day to POL]]&lt;=Tableau119[[#This Row],[Day Cut Off]],Tableau119[[#This Row],[Day ETD]],Tableau119[[#This Row],[Day ETD]]+7)</f>
        <v>#N/A</v>
      </c>
      <c r="AG657" s="50" t="b">
        <f>_xlfn.XLOOKUP(Tableau119[[#This Row],[Key(ID-date)]],'DATA BTO'!S:S,'DATA BTO'!I:I,FALSE)</f>
        <v>0</v>
      </c>
      <c r="AH657" s="3" t="b">
        <f>_xlfn.XLOOKUP(Tableau119[[#This Row],[Key(ID-date)]],'DATA BTO'!S:S,'DATA BTO'!J:J,FALSE)</f>
        <v>0</v>
      </c>
      <c r="AI657" s="3" t="b">
        <f>_xlfn.XLOOKUP(Tableau119[[#This Row],[Key(ID-date)]],'DATA BTO'!S:S,'DATA BTO'!K:K,FALSE)</f>
        <v>0</v>
      </c>
      <c r="AJ657" s="50" t="b">
        <f>_xlfn.XLOOKUP(Tableau119[[#This Row],[Key(ID-date)]],'DATA BTO'!S:S,'DATA BTO'!L:L,FALSE)</f>
        <v>0</v>
      </c>
      <c r="AK657" s="53" t="b">
        <f>_xlfn.XLOOKUP(Tableau119[[#This Row],[Key(ID-date)]],'DATA BTO'!S:S,'DATA BTO'!N:N,FALSE)</f>
        <v>0</v>
      </c>
      <c r="AL657" s="54" t="e">
        <f>VLOOKUP(Tableau119[[#This Row],[Key(POD -PFI- Usine)]],'DATA Consignee'!A:F,6,FALSE)</f>
        <v>#N/A</v>
      </c>
      <c r="AM657" s="127"/>
      <c r="AN657" s="376" t="str">
        <f>IF(Tableau119[[#This Row],[Name PFI/CDD]]="","-",VLOOKUP(Tableau119[[#This Row],[Name PFI/CDD]],Plant_AILN!I:J,2,FALSE))</f>
        <v>-</v>
      </c>
      <c r="AO6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7" s="2" t="e">
        <f>VLOOKUP(Tableau119[[#This Row],[Key(POD -PFI- Usine)]],'DATA Consignee'!A:J,10,FALSE)</f>
        <v>#N/A</v>
      </c>
      <c r="AR657" s="50" t="e">
        <f>VLOOKUP(Tableau119[[#This Row],[Key(POD -PFI- Usine)]],'DATA Consignee'!A:N,14,FALSE)</f>
        <v>#N/A</v>
      </c>
      <c r="AS6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7" s="50">
        <f>Tableau119[[#This Row],[Transit time]]+Tableau119[[#This Row],[Time for security]]+Tableau119[[#This Row],[Time for security2 buffer]]</f>
        <v>0</v>
      </c>
      <c r="AV6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7" s="50" t="e">
        <f>Tableau119[[#This Row],[Leadtime SI2C]]+Tableau119[[#This Row],[First Receipt Days]]-Tableau119[[#This Row],[Day Customer Order]]+1</f>
        <v>#N/A</v>
      </c>
      <c r="AX657" s="119" t="e">
        <f>IF(Tableau119[[#This Row],[Name ILN]]&lt;&gt;"SFK Freight Forwarder",Tableau119[[#This Row],[Cust. Leadtime]],Tableau119[[#This Row],[Leadtime SI2C]])</f>
        <v>#N/A</v>
      </c>
      <c r="AY657" s="51" t="b">
        <f>_xlfn.XLOOKUP(Tableau119[[#This Row],[Key(ID-date)]],'DATA BTO'!S:S,'DATA BTO'!P:P,FALSE)</f>
        <v>0</v>
      </c>
      <c r="AZ657" s="338">
        <v>45473</v>
      </c>
      <c r="BA657" s="50"/>
    </row>
    <row r="658" spans="2:53">
      <c r="B658" s="66" t="str">
        <f>_xlfn.CONCAT(Tableau119[[#This Row],[Name ILN]],"-",Tableau119[[#This Row],[Name Shipper]],"-",Tableau119[[#This Row],[Name Site]])</f>
        <v>SFK Freight Forwarder-GITI RADIAL TIRE ANHUI COMPANY LTD (CNNGB)-TANGER</v>
      </c>
      <c r="C658" s="66" t="str">
        <f>_xlfn.CONCAT(Tableau119[[#This Row],[Compte ILN]],"-",Tableau119[[#This Row],[Compte Shipper]],"-",Tableau119[[#This Row],[POL]],"-",Tableau119[[#This Row],[Compte Consignee]])</f>
        <v>0-29179903-FALSO-900383</v>
      </c>
      <c r="D658" s="66" t="str">
        <f>_xlfn.CONCAT(Tableau119[[#This Row],[Compte ILN]],"-",Tableau119[[#This Row],[Compte Shipper]],"-",Tableau119[[#This Row],[POL]])</f>
        <v>0-29179903-FALSO</v>
      </c>
      <c r="E658" s="130" t="str">
        <f>_xlfn.CONCAT(Tableau119[[#This Row],[POL]],"-",Tableau119[[#This Row],[Carrier]],"-",Tableau119[[#This Row],[POD]])</f>
        <v>FALSO-FALSO-FALSO</v>
      </c>
      <c r="F658" s="66" t="str">
        <f>_xlfn.CONCAT(Tableau119[[#This Row],[ID]],"-","Actif")</f>
        <v>401-Actif</v>
      </c>
      <c r="G658" s="66" t="str">
        <f>_xlfn.CONCAT(Tableau119[[#This Row],[POD]],"-",Tableau119[[#This Row],[Code PFI]],"-",Tableau119[[#This Row],[Compte Consignee]])</f>
        <v>FALSO---900383</v>
      </c>
      <c r="H6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658" s="434" t="str">
        <f>_xlfn.CONCAT(Tableau119[[#This Row],[ID]],"-",Tableau119[[#This Row],[Expiration Date]])</f>
        <v>401-46142</v>
      </c>
      <c r="J6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(CNNGB)-401-FALSO-FALSO-FALSO--46142</v>
      </c>
      <c r="K658" s="119" t="str">
        <f ca="1">IF(COUNTIF(J:J,Tableau119[[#This Row],[Plant-ILN-shipper-POL-Carrier-POD-PFI]])=1,"Non","Oui")</f>
        <v>Non</v>
      </c>
      <c r="L658" s="436" t="str">
        <f>VLOOKUP(Tableau119[[#This Row],[Name Site]],Plant_AILN!A:D,4,FALSE)</f>
        <v>MOROCCO</v>
      </c>
      <c r="M658" s="285" t="s">
        <v>180</v>
      </c>
      <c r="N658" s="454">
        <f>VLOOKUP(Tableau119[[#This Row],[Name Site]],Plant_AILN!A:C,3,FALSE)</f>
        <v>900383</v>
      </c>
      <c r="O658" s="55">
        <f>IF(Tableau119[[#This Row],[Name PFI/CDD]]="PFI VLL",2,VLOOKUP(Tableau119[[#This Row],[Compte Consignee]],Order!C:D,2,FALSE))</f>
        <v>7</v>
      </c>
      <c r="P658" s="124" t="s">
        <v>146</v>
      </c>
      <c r="Q658" s="365">
        <f>VLOOKUP(Tableau119[[#This Row],[Name ILN]],Plant_AILN!F:G,2,FALSE)</f>
        <v>0</v>
      </c>
      <c r="R658" s="50">
        <f>VLOOKUP(Tableau119[[#This Row],[Compte ILN]],'DATA ILN'!D:I,6,FALSE)</f>
        <v>9</v>
      </c>
      <c r="S658" s="50" t="e">
        <f>IFERROR(VLOOKUP(Tableau119[[#This Row],[Key(Compte ILN - shipper - POL - plant)]],'DATA ILN'!A:J,10,FALSE),VLOOKUP(Tableau119[[#This Row],[Key(Compte ILN - shipper - POL)]],'DATA ILN'!B:J,9,FALSE))</f>
        <v>#N/A</v>
      </c>
      <c r="T658" s="50" t="e">
        <f>IFERROR(VLOOKUP(Tableau119[[#This Row],[Key(Compte ILN - shipper - POL - plant)]],'DATA ILN'!A:K,11,FALSE),VLOOKUP(Tableau119[[#This Row],[Key(Compte ILN - shipper - POL)]],'DATA ILN'!B:K,10,FALSE))</f>
        <v>#N/A</v>
      </c>
      <c r="U658" s="50" t="e">
        <f>IFERROR(VLOOKUP(Tableau119[[#This Row],[Key(Compte ILN - shipper - POL - plant)]],'DATA ILN'!A:L,12,FALSE),VLOOKUP(Tableau119[[#This Row],[Key(Compte ILN - shipper - POL)]],'DATA ILN'!B:L,11,FALSE))</f>
        <v>#N/A</v>
      </c>
      <c r="V658" s="50" t="e">
        <f>Tableau119[[#This Row],[Day ILN Order]]+Tableau119[[#This Row],[Delivery time to ILN/Shipper]]-1</f>
        <v>#N/A</v>
      </c>
      <c r="W658" s="50" t="e">
        <f>IFERROR(VLOOKUP(Tableau119[[#This Row],[Key(Compte ILN - shipper - POL - plant)]],'DATA ILN'!A:N,14,FALSE),VLOOKUP(Tableau119[[#This Row],[Key(Compte ILN - shipper - POL)]],'DATA ILN'!B:N,13,FALSE))</f>
        <v>#N/A</v>
      </c>
      <c r="X658" s="50" t="e">
        <f>IFERROR(VLOOKUP(Tableau119[[#This Row],[Key(Compte ILN - shipper - POL - plant)]],'DATA ILN'!A:P,16,FALSE),VLOOKUP(Tableau119[[#This Row],[Key(Compte ILN - shipper - POL)]],'DATA ILN'!B:P,15,FALSE))</f>
        <v>#N/A</v>
      </c>
      <c r="Y658" s="284" t="s">
        <v>292</v>
      </c>
      <c r="Z658" s="430">
        <f>IFERROR(VLOOKUP(Tableau119[[#This Row],[Name Shipper]],Plant_AILN!L:M,2,FALSE),0)</f>
        <v>29179903</v>
      </c>
      <c r="AA658" s="406">
        <v>401</v>
      </c>
      <c r="AB658" s="396" t="b">
        <f>_xlfn.XLOOKUP(Tableau119[[#This Row],[Key(ID-date)]],'DATA BTO'!S:S,'DATA BTO'!E:E,FALSE)</f>
        <v>0</v>
      </c>
      <c r="AC658" s="3" t="b">
        <f>_xlfn.XLOOKUP(Tableau119[[#This Row],[Key(ID-date)]],'DATA BTO'!S:S,'DATA BTO'!F:F,FALSE)</f>
        <v>0</v>
      </c>
      <c r="AD658" s="50" t="b">
        <f>_xlfn.XLOOKUP(Tableau119[[#This Row],[Key(ID-date)]],'DATA BTO'!S:S,'DATA BTO'!G:G,FALSE)</f>
        <v>0</v>
      </c>
      <c r="AE658" s="50" t="b">
        <f>_xlfn.XLOOKUP(Tableau119[[#This Row],[Key(ID-date)]],'DATA BTO'!S:S,'DATA BTO'!H:H,FALSE)</f>
        <v>0</v>
      </c>
      <c r="AF658" s="447" t="e">
        <f>IF(Tableau119[[#This Row],[First Day to POL]]&lt;=Tableau119[[#This Row],[Day Cut Off]],Tableau119[[#This Row],[Day ETD]],Tableau119[[#This Row],[Day ETD]]+7)</f>
        <v>#N/A</v>
      </c>
      <c r="AG658" s="50" t="b">
        <f>_xlfn.XLOOKUP(Tableau119[[#This Row],[Key(ID-date)]],'DATA BTO'!S:S,'DATA BTO'!I:I,FALSE)</f>
        <v>0</v>
      </c>
      <c r="AH658" s="3" t="b">
        <f>_xlfn.XLOOKUP(Tableau119[[#This Row],[Key(ID-date)]],'DATA BTO'!S:S,'DATA BTO'!J:J,FALSE)</f>
        <v>0</v>
      </c>
      <c r="AI658" s="3" t="b">
        <f>_xlfn.XLOOKUP(Tableau119[[#This Row],[Key(ID-date)]],'DATA BTO'!S:S,'DATA BTO'!K:K,FALSE)</f>
        <v>0</v>
      </c>
      <c r="AJ658" s="50" t="b">
        <f>_xlfn.XLOOKUP(Tableau119[[#This Row],[Key(ID-date)]],'DATA BTO'!S:S,'DATA BTO'!L:L,FALSE)</f>
        <v>0</v>
      </c>
      <c r="AK658" s="53" t="b">
        <f>_xlfn.XLOOKUP(Tableau119[[#This Row],[Key(ID-date)]],'DATA BTO'!S:S,'DATA BTO'!N:N,FALSE)</f>
        <v>0</v>
      </c>
      <c r="AL658" s="54" t="e">
        <f>VLOOKUP(Tableau119[[#This Row],[Key(POD -PFI- Usine)]],'DATA Consignee'!A:F,6,FALSE)</f>
        <v>#N/A</v>
      </c>
      <c r="AM658" s="127"/>
      <c r="AN658" s="376" t="str">
        <f>IF(Tableau119[[#This Row],[Name PFI/CDD]]="","-",VLOOKUP(Tableau119[[#This Row],[Name PFI/CDD]],Plant_AILN!I:J,2,FALSE))</f>
        <v>-</v>
      </c>
      <c r="AO6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8" s="2" t="e">
        <f>VLOOKUP(Tableau119[[#This Row],[Key(POD -PFI- Usine)]],'DATA Consignee'!A:J,10,FALSE)</f>
        <v>#N/A</v>
      </c>
      <c r="AR658" s="50" t="e">
        <f>VLOOKUP(Tableau119[[#This Row],[Key(POD -PFI- Usine)]],'DATA Consignee'!A:N,14,FALSE)</f>
        <v>#N/A</v>
      </c>
      <c r="AS65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8" s="50">
        <f>Tableau119[[#This Row],[Transit time]]+Tableau119[[#This Row],[Time for security]]+Tableau119[[#This Row],[Time for security2 buffer]]</f>
        <v>0</v>
      </c>
      <c r="AV65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8" s="50" t="e">
        <f>Tableau119[[#This Row],[Leadtime SI2C]]+Tableau119[[#This Row],[First Receipt Days]]-Tableau119[[#This Row],[Day Customer Order]]+1</f>
        <v>#N/A</v>
      </c>
      <c r="AX658" s="119" t="e">
        <f>IF(Tableau119[[#This Row],[Name ILN]]&lt;&gt;"SFK Freight Forwarder",Tableau119[[#This Row],[Cust. Leadtime]],Tableau119[[#This Row],[Leadtime SI2C]])</f>
        <v>#N/A</v>
      </c>
      <c r="AY658" s="51" t="b">
        <f>_xlfn.XLOOKUP(Tableau119[[#This Row],[Key(ID-date)]],'DATA BTO'!S:S,'DATA BTO'!P:P,FALSE)</f>
        <v>0</v>
      </c>
      <c r="AZ658" s="338">
        <v>46142</v>
      </c>
      <c r="BA658" s="50"/>
    </row>
    <row r="659" spans="2:53">
      <c r="B659" s="446" t="str">
        <f>_xlfn.CONCAT(Tableau119[[#This Row],[Name ILN]],"-",Tableau119[[#This Row],[Name Shipper]],"-",Tableau119[[#This Row],[Name Site]])</f>
        <v>SFK Freight Forwarder-GITI RADIAL TIRE ANHUI COMPANY LTD (CNNGB)-TANGER</v>
      </c>
      <c r="C659" s="66" t="str">
        <f>_xlfn.CONCAT(Tableau119[[#This Row],[Compte ILN]],"-",Tableau119[[#This Row],[Compte Shipper]],"-",Tableau119[[#This Row],[POL]],"-",Tableau119[[#This Row],[Compte Consignee]])</f>
        <v>0-29179903-FALSO-900383</v>
      </c>
      <c r="D659" s="66" t="str">
        <f>_xlfn.CONCAT(Tableau119[[#This Row],[Compte ILN]],"-",Tableau119[[#This Row],[Compte Shipper]],"-",Tableau119[[#This Row],[POL]])</f>
        <v>0-29179903-FALSO</v>
      </c>
      <c r="E659" s="130" t="str">
        <f>_xlfn.CONCAT(Tableau119[[#This Row],[POL]],"-",Tableau119[[#This Row],[Carrier]],"-",Tableau119[[#This Row],[POD]])</f>
        <v>FALSO-FALSO-FALSO</v>
      </c>
      <c r="F659" s="66" t="str">
        <f>_xlfn.CONCAT(Tableau119[[#This Row],[ID]],"-","Actif")</f>
        <v>401-Actif</v>
      </c>
      <c r="G659" s="66" t="str">
        <f>_xlfn.CONCAT(Tableau119[[#This Row],[POD]],"-",Tableau119[[#This Row],[Code PFI]],"-",Tableau119[[#This Row],[Compte Consignee]])</f>
        <v>FALSO---900383</v>
      </c>
      <c r="H6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659" s="434" t="str">
        <f>_xlfn.CONCAT(Tableau119[[#This Row],[ID]],"-",Tableau119[[#This Row],[Expiration Date]])</f>
        <v>401-45777</v>
      </c>
      <c r="J6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(CNNGB)-401-FALSO-FALSO-FALSO--45777</v>
      </c>
      <c r="K659" s="119" t="str">
        <f ca="1">IF(COUNTIF(J:J,Tableau119[[#This Row],[Plant-ILN-shipper-POL-Carrier-POD-PFI]])=1,"Non","Oui")</f>
        <v>Non</v>
      </c>
      <c r="L659" s="128" t="str">
        <f>VLOOKUP(Tableau119[[#This Row],[Name Site]],Plant_AILN!A:D,4,FALSE)</f>
        <v>MOROCCO</v>
      </c>
      <c r="M659" s="415" t="s">
        <v>180</v>
      </c>
      <c r="N659" s="455">
        <f>VLOOKUP(Tableau119[[#This Row],[Name Site]],Plant_AILN!A:C,3,FALSE)</f>
        <v>900383</v>
      </c>
      <c r="O659" s="104">
        <f>VLOOKUP(Tableau119[[#This Row],[Compte Consignee]],Order!C:D,2,FALSE)</f>
        <v>7</v>
      </c>
      <c r="P659" s="126" t="s">
        <v>146</v>
      </c>
      <c r="Q659" s="366">
        <f>VLOOKUP(Tableau119[[#This Row],[Name ILN]],Plant_AILN!F:G,2,FALSE)</f>
        <v>0</v>
      </c>
      <c r="R659" s="81">
        <f>VLOOKUP(Tableau119[[#This Row],[Compte ILN]],'DATA ILN'!D:I,6,FALSE)</f>
        <v>9</v>
      </c>
      <c r="S659" s="81" t="e">
        <f>IFERROR(VLOOKUP(Tableau119[[#This Row],[Key(Compte ILN - shipper - POL - plant)]],'DATA ILN'!A:J,10,FALSE),VLOOKUP(Tableau119[[#This Row],[Key(Compte ILN - shipper - POL)]],'DATA ILN'!B:J,9,FALSE))</f>
        <v>#N/A</v>
      </c>
      <c r="T659" s="81" t="e">
        <f>IFERROR(VLOOKUP(Tableau119[[#This Row],[Key(Compte ILN - shipper - POL - plant)]],'DATA ILN'!A:K,11,FALSE),VLOOKUP(Tableau119[[#This Row],[Key(Compte ILN - shipper - POL)]],'DATA ILN'!B:K,10,FALSE))</f>
        <v>#N/A</v>
      </c>
      <c r="U659" s="81" t="e">
        <f>IFERROR(VLOOKUP(Tableau119[[#This Row],[Key(Compte ILN - shipper - POL - plant)]],'DATA ILN'!A:L,12,FALSE),VLOOKUP(Tableau119[[#This Row],[Key(Compte ILN - shipper - POL)]],'DATA ILN'!B:L,11,FALSE))</f>
        <v>#N/A</v>
      </c>
      <c r="V659" s="81" t="e">
        <f>Tableau119[[#This Row],[Day ILN Order]]+Tableau119[[#This Row],[Delivery time to ILN/Shipper]]-1</f>
        <v>#N/A</v>
      </c>
      <c r="W659" s="81" t="e">
        <f>IFERROR(VLOOKUP(Tableau119[[#This Row],[Key(Compte ILN - shipper - POL - plant)]],'DATA ILN'!A:N,14,FALSE),VLOOKUP(Tableau119[[#This Row],[Key(Compte ILN - shipper - POL)]],'DATA ILN'!B:N,13,FALSE))</f>
        <v>#N/A</v>
      </c>
      <c r="X659" s="81" t="e">
        <f>IFERROR(VLOOKUP(Tableau119[[#This Row],[Key(Compte ILN - shipper - POL - plant)]],'DATA ILN'!A:P,16,FALSE),VLOOKUP(Tableau119[[#This Row],[Key(Compte ILN - shipper - POL)]],'DATA ILN'!B:P,15,FALSE))</f>
        <v>#N/A</v>
      </c>
      <c r="Y659" s="102" t="s">
        <v>292</v>
      </c>
      <c r="Z659" s="417">
        <f>IFERROR(VLOOKUP(Tableau119[[#This Row],[Name Shipper]],Plant_AILN!L:M,2,FALSE),0)</f>
        <v>29179903</v>
      </c>
      <c r="AA659" s="416">
        <v>401</v>
      </c>
      <c r="AB659" s="396" t="b">
        <f>_xlfn.XLOOKUP(Tableau119[[#This Row],[Key(ID-date)]],'DATA BTO'!S:S,'DATA BTO'!E:E,FALSE)</f>
        <v>0</v>
      </c>
      <c r="AC659" s="3" t="b">
        <f>_xlfn.XLOOKUP(Tableau119[[#This Row],[Key(ID-date)]],'DATA BTO'!S:S,'DATA BTO'!F:F,FALSE)</f>
        <v>0</v>
      </c>
      <c r="AD659" s="50" t="b">
        <f>_xlfn.XLOOKUP(Tableau119[[#This Row],[Key(ID-date)]],'DATA BTO'!S:S,'DATA BTO'!G:G,FALSE)</f>
        <v>0</v>
      </c>
      <c r="AE659" s="50" t="b">
        <f>_xlfn.XLOOKUP(Tableau119[[#This Row],[Key(ID-date)]],'DATA BTO'!S:S,'DATA BTO'!H:H,FALSE)</f>
        <v>0</v>
      </c>
      <c r="AF659" s="447" t="e">
        <f>IF(Tableau119[[#This Row],[First Day to POL]]&lt;=Tableau119[[#This Row],[Day Cut Off]],Tableau119[[#This Row],[Day ETD]],Tableau119[[#This Row],[Day ETD]]+7)</f>
        <v>#N/A</v>
      </c>
      <c r="AG659" s="50" t="b">
        <f>_xlfn.XLOOKUP(Tableau119[[#This Row],[Key(ID-date)]],'DATA BTO'!S:S,'DATA BTO'!I:I,FALSE)</f>
        <v>0</v>
      </c>
      <c r="AH659" s="3" t="b">
        <f>_xlfn.XLOOKUP(Tableau119[[#This Row],[Key(ID-date)]],'DATA BTO'!S:S,'DATA BTO'!J:J,FALSE)</f>
        <v>0</v>
      </c>
      <c r="AI659" s="3" t="b">
        <f>_xlfn.XLOOKUP(Tableau119[[#This Row],[Key(ID-date)]],'DATA BTO'!S:S,'DATA BTO'!K:K,FALSE)</f>
        <v>0</v>
      </c>
      <c r="AJ659" s="50" t="b">
        <f>_xlfn.XLOOKUP(Tableau119[[#This Row],[Key(ID-date)]],'DATA BTO'!S:S,'DATA BTO'!L:L,FALSE)</f>
        <v>0</v>
      </c>
      <c r="AK659" s="53" t="b">
        <f>_xlfn.XLOOKUP(Tableau119[[#This Row],[Key(ID-date)]],'DATA BTO'!S:S,'DATA BTO'!N:N,FALSE)</f>
        <v>0</v>
      </c>
      <c r="AL659" s="54" t="e">
        <f>VLOOKUP(Tableau119[[#This Row],[Key(POD -PFI- Usine)]],'DATA Consignee'!A:F,6,FALSE)</f>
        <v>#N/A</v>
      </c>
      <c r="AM659" s="127"/>
      <c r="AN659" s="375" t="str">
        <f>IF(Tableau119[[#This Row],[Name PFI/CDD]]="","-",VLOOKUP(Tableau119[[#This Row],[Name PFI/CDD]],Plant_AILN!I:J,2,FALSE))</f>
        <v>-</v>
      </c>
      <c r="AO65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5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59" s="110" t="e">
        <f>VLOOKUP(Tableau119[[#This Row],[Key(POD -PFI- Usine)]],'DATA Consignee'!A:J,10,FALSE)</f>
        <v>#N/A</v>
      </c>
      <c r="AR659" s="81" t="e">
        <f>VLOOKUP(Tableau119[[#This Row],[Key(POD -PFI- Usine)]],'DATA Consignee'!A:N,14,FALSE)</f>
        <v>#N/A</v>
      </c>
      <c r="AS65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5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59" s="81">
        <f>Tableau119[[#This Row],[Transit time]]+Tableau119[[#This Row],[Time for security]]+Tableau119[[#This Row],[Time for security2 buffer]]</f>
        <v>0</v>
      </c>
      <c r="AV65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59" s="50" t="e">
        <f>Tableau119[[#This Row],[Leadtime SI2C]]+Tableau119[[#This Row],[First Receipt Days]]-Tableau119[[#This Row],[Day Customer Order]]+1</f>
        <v>#N/A</v>
      </c>
      <c r="AX659" s="119" t="e">
        <f>IF(Tableau119[[#This Row],[Name ILN]]&lt;&gt;"SFK Freight Forwarder",Tableau119[[#This Row],[Cust. Leadtime]],Tableau119[[#This Row],[Leadtime SI2C]])</f>
        <v>#N/A</v>
      </c>
      <c r="AY659" s="51" t="b">
        <f>_xlfn.XLOOKUP(Tableau119[[#This Row],[Key(ID-date)]],'DATA BTO'!S:S,'DATA BTO'!P:P,FALSE)</f>
        <v>0</v>
      </c>
      <c r="AZ659" s="388">
        <v>45777</v>
      </c>
      <c r="BA659" s="81"/>
    </row>
    <row r="660" spans="2:53">
      <c r="B660" s="446" t="str">
        <f>_xlfn.CONCAT(Tableau119[[#This Row],[Name ILN]],"-",Tableau119[[#This Row],[Name Shipper]],"-",Tableau119[[#This Row],[Name Site]])</f>
        <v>SFK Freight Forwarder-GITI RADIAL TIRE ANHUI COMPANY LTD (CNNGB)-TANGER</v>
      </c>
      <c r="C660" s="66" t="str">
        <f>_xlfn.CONCAT(Tableau119[[#This Row],[Compte ILN]],"-",Tableau119[[#This Row],[Compte Shipper]],"-",Tableau119[[#This Row],[POL]],"-",Tableau119[[#This Row],[Compte Consignee]])</f>
        <v>0-29179903-FALSO-900383</v>
      </c>
      <c r="D660" s="66" t="str">
        <f>_xlfn.CONCAT(Tableau119[[#This Row],[Compte ILN]],"-",Tableau119[[#This Row],[Compte Shipper]],"-",Tableau119[[#This Row],[POL]])</f>
        <v>0-29179903-FALSO</v>
      </c>
      <c r="E660" s="130" t="str">
        <f>_xlfn.CONCAT(Tableau119[[#This Row],[POL]],"-",Tableau119[[#This Row],[Carrier]],"-",Tableau119[[#This Row],[POD]])</f>
        <v>FALSO-FALSO-FALSO</v>
      </c>
      <c r="F660" s="66" t="str">
        <f>_xlfn.CONCAT(Tableau119[[#This Row],[ID]],"-","Actif")</f>
        <v>401-Actif</v>
      </c>
      <c r="G660" s="66" t="str">
        <f>_xlfn.CONCAT(Tableau119[[#This Row],[POD]],"-",Tableau119[[#This Row],[Code PFI]],"-",Tableau119[[#This Row],[Compte Consignee]])</f>
        <v>FALSO---900383</v>
      </c>
      <c r="H6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29179903FALSOTANGER</v>
      </c>
      <c r="I660" s="434" t="str">
        <f>_xlfn.CONCAT(Tableau119[[#This Row],[ID]],"-",Tableau119[[#This Row],[Expiration Date]])</f>
        <v>401-45473</v>
      </c>
      <c r="J6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Forwarder-GITI RADIAL TIRE ANHUI COMPANY LTD (CNNGB)-401-FALSO-FALSO-FALSO--45473</v>
      </c>
      <c r="K660" s="119" t="str">
        <f ca="1">IF(COUNTIF(J:J,Tableau119[[#This Row],[Plant-ILN-shipper-POL-Carrier-POD-PFI]])=1,"Non","Oui")</f>
        <v>Non</v>
      </c>
      <c r="L660" s="128" t="str">
        <f>VLOOKUP(Tableau119[[#This Row],[Name Site]],Plant_AILN!A:D,4,FALSE)</f>
        <v>MOROCCO</v>
      </c>
      <c r="M660" s="411" t="s">
        <v>180</v>
      </c>
      <c r="N660" s="454">
        <f>VLOOKUP(Tableau119[[#This Row],[Name Site]],Plant_AILN!A:C,3,FALSE)</f>
        <v>900383</v>
      </c>
      <c r="O660" s="55">
        <f>VLOOKUP(Tableau119[[#This Row],[Compte Consignee]],Order!C:D,2,FALSE)</f>
        <v>7</v>
      </c>
      <c r="P660" s="124" t="s">
        <v>146</v>
      </c>
      <c r="Q660" s="365">
        <f>VLOOKUP(Tableau119[[#This Row],[Name ILN]],Plant_AILN!F:G,2,FALSE)</f>
        <v>0</v>
      </c>
      <c r="R660" s="50">
        <f>VLOOKUP(Tableau119[[#This Row],[Compte ILN]],'DATA ILN'!D:I,6,FALSE)</f>
        <v>9</v>
      </c>
      <c r="S660" s="50" t="e">
        <f>IFERROR(VLOOKUP(Tableau119[[#This Row],[Key(Compte ILN - shipper - POL - plant)]],'DATA ILN'!A:J,10,FALSE),VLOOKUP(Tableau119[[#This Row],[Key(Compte ILN - shipper - POL)]],'DATA ILN'!B:J,9,FALSE))</f>
        <v>#N/A</v>
      </c>
      <c r="T660" s="50" t="e">
        <f>IFERROR(VLOOKUP(Tableau119[[#This Row],[Key(Compte ILN - shipper - POL - plant)]],'DATA ILN'!A:K,11,FALSE),VLOOKUP(Tableau119[[#This Row],[Key(Compte ILN - shipper - POL)]],'DATA ILN'!B:K,10,FALSE))</f>
        <v>#N/A</v>
      </c>
      <c r="U660" s="50" t="e">
        <f>IFERROR(VLOOKUP(Tableau119[[#This Row],[Key(Compte ILN - shipper - POL - plant)]],'DATA ILN'!A:L,12,FALSE),VLOOKUP(Tableau119[[#This Row],[Key(Compte ILN - shipper - POL)]],'DATA ILN'!B:L,11,FALSE))</f>
        <v>#N/A</v>
      </c>
      <c r="V660" s="50" t="e">
        <f>Tableau119[[#This Row],[Day ILN Order]]+Tableau119[[#This Row],[Delivery time to ILN/Shipper]]-1</f>
        <v>#N/A</v>
      </c>
      <c r="W660" s="50" t="e">
        <f>IFERROR(VLOOKUP(Tableau119[[#This Row],[Key(Compte ILN - shipper - POL - plant)]],'DATA ILN'!A:N,14,FALSE),VLOOKUP(Tableau119[[#This Row],[Key(Compte ILN - shipper - POL)]],'DATA ILN'!B:N,13,FALSE))</f>
        <v>#N/A</v>
      </c>
      <c r="X660" s="50" t="e">
        <f>IFERROR(VLOOKUP(Tableau119[[#This Row],[Key(Compte ILN - shipper - POL - plant)]],'DATA ILN'!A:P,16,FALSE),VLOOKUP(Tableau119[[#This Row],[Key(Compte ILN - shipper - POL)]],'DATA ILN'!B:P,15,FALSE))</f>
        <v>#N/A</v>
      </c>
      <c r="Y660" s="284" t="s">
        <v>292</v>
      </c>
      <c r="Z660" s="430">
        <f>IFERROR(VLOOKUP(Tableau119[[#This Row],[Name Shipper]],Plant_AILN!L:M,2,FALSE),0)</f>
        <v>29179903</v>
      </c>
      <c r="AA660" s="406">
        <v>401</v>
      </c>
      <c r="AB660" s="396" t="b">
        <f>_xlfn.XLOOKUP(Tableau119[[#This Row],[Key(ID-date)]],'DATA BTO'!S:S,'DATA BTO'!E:E,FALSE)</f>
        <v>0</v>
      </c>
      <c r="AC660" s="3" t="b">
        <f>_xlfn.XLOOKUP(Tableau119[[#This Row],[Key(ID-date)]],'DATA BTO'!S:S,'DATA BTO'!F:F,FALSE)</f>
        <v>0</v>
      </c>
      <c r="AD660" s="50" t="b">
        <f>_xlfn.XLOOKUP(Tableau119[[#This Row],[Key(ID-date)]],'DATA BTO'!S:S,'DATA BTO'!G:G,FALSE)</f>
        <v>0</v>
      </c>
      <c r="AE660" s="50" t="b">
        <f>_xlfn.XLOOKUP(Tableau119[[#This Row],[Key(ID-date)]],'DATA BTO'!S:S,'DATA BTO'!H:H,FALSE)</f>
        <v>0</v>
      </c>
      <c r="AF660" s="447" t="e">
        <f>IF(Tableau119[[#This Row],[First Day to POL]]&lt;=Tableau119[[#This Row],[Day Cut Off]],Tableau119[[#This Row],[Day ETD]],Tableau119[[#This Row],[Day ETD]]+7)</f>
        <v>#N/A</v>
      </c>
      <c r="AG660" s="50" t="b">
        <f>_xlfn.XLOOKUP(Tableau119[[#This Row],[Key(ID-date)]],'DATA BTO'!S:S,'DATA BTO'!I:I,FALSE)</f>
        <v>0</v>
      </c>
      <c r="AH660" s="3" t="b">
        <f>_xlfn.XLOOKUP(Tableau119[[#This Row],[Key(ID-date)]],'DATA BTO'!S:S,'DATA BTO'!J:J,FALSE)</f>
        <v>0</v>
      </c>
      <c r="AI660" s="3" t="b">
        <f>_xlfn.XLOOKUP(Tableau119[[#This Row],[Key(ID-date)]],'DATA BTO'!S:S,'DATA BTO'!K:K,FALSE)</f>
        <v>0</v>
      </c>
      <c r="AJ660" s="50" t="b">
        <f>_xlfn.XLOOKUP(Tableau119[[#This Row],[Key(ID-date)]],'DATA BTO'!S:S,'DATA BTO'!L:L,FALSE)</f>
        <v>0</v>
      </c>
      <c r="AK660" s="53" t="b">
        <f>_xlfn.XLOOKUP(Tableau119[[#This Row],[Key(ID-date)]],'DATA BTO'!S:S,'DATA BTO'!N:N,FALSE)</f>
        <v>0</v>
      </c>
      <c r="AL660" s="54" t="e">
        <f>VLOOKUP(Tableau119[[#This Row],[Key(POD -PFI- Usine)]],'DATA Consignee'!A:F,6,FALSE)</f>
        <v>#N/A</v>
      </c>
      <c r="AM660" s="284"/>
      <c r="AN660" s="376" t="str">
        <f>IF(Tableau119[[#This Row],[Name PFI/CDD]]="","-",VLOOKUP(Tableau119[[#This Row],[Name PFI/CDD]],Plant_AILN!I:J,2,FALSE))</f>
        <v>-</v>
      </c>
      <c r="AO6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0" s="2" t="e">
        <f>VLOOKUP(Tableau119[[#This Row],[Key(POD -PFI- Usine)]],'DATA Consignee'!A:J,10,FALSE)</f>
        <v>#N/A</v>
      </c>
      <c r="AR660" s="50" t="e">
        <f>VLOOKUP(Tableau119[[#This Row],[Key(POD -PFI- Usine)]],'DATA Consignee'!A:N,14,FALSE)</f>
        <v>#N/A</v>
      </c>
      <c r="AS66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0" s="50">
        <f>Tableau119[[#This Row],[Transit time]]+Tableau119[[#This Row],[Time for security]]+Tableau119[[#This Row],[Time for security2 buffer]]</f>
        <v>0</v>
      </c>
      <c r="AV6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0" s="50" t="e">
        <f>Tableau119[[#This Row],[Leadtime SI2C]]+Tableau119[[#This Row],[First Receipt Days]]-Tableau119[[#This Row],[Day Customer Order]]+1</f>
        <v>#N/A</v>
      </c>
      <c r="AX660" s="119" t="e">
        <f>IF(Tableau119[[#This Row],[Name ILN]]&lt;&gt;"SFK Freight Forwarder",Tableau119[[#This Row],[Cust. Leadtime]],Tableau119[[#This Row],[Leadtime SI2C]])</f>
        <v>#N/A</v>
      </c>
      <c r="AY660" s="51" t="b">
        <f>_xlfn.XLOOKUP(Tableau119[[#This Row],[Key(ID-date)]],'DATA BTO'!S:S,'DATA BTO'!P:P,FALSE)</f>
        <v>0</v>
      </c>
      <c r="AZ660" s="338">
        <v>45473</v>
      </c>
      <c r="BA660" s="50"/>
    </row>
    <row r="661" spans="2:53">
      <c r="B661" s="66" t="str">
        <f>_xlfn.CONCAT(Tableau119[[#This Row],[Name ILN]],"-",Tableau119[[#This Row],[Name Shipper]],"-",Tableau119[[#This Row],[Name Site]])</f>
        <v>SFK Freight Forwarder-HIGHLY MARELLI MALAYSIA SDN. BHD.-TANGER</v>
      </c>
      <c r="C661" s="66" t="str">
        <f>_xlfn.CONCAT(Tableau119[[#This Row],[Compte ILN]],"-",Tableau119[[#This Row],[Compte Shipper]],"-",Tableau119[[#This Row],[POL]],"-",Tableau119[[#This Row],[Compte Consignee]])</f>
        <v>0-27002800-FALSO-900383</v>
      </c>
      <c r="D661" s="66" t="str">
        <f>_xlfn.CONCAT(Tableau119[[#This Row],[Compte ILN]],"-",Tableau119[[#This Row],[Compte Shipper]],"-",Tableau119[[#This Row],[POL]])</f>
        <v>0-27002800-FALSO</v>
      </c>
      <c r="E661" s="130" t="str">
        <f>_xlfn.CONCAT(Tableau119[[#This Row],[POL]],"-",Tableau119[[#This Row],[Carrier]],"-",Tableau119[[#This Row],[POD]])</f>
        <v>FALSO-FALSO-FALSO</v>
      </c>
      <c r="F661" s="66" t="str">
        <f>_xlfn.CONCAT(Tableau119[[#This Row],[ID]],"-","Actif")</f>
        <v>403-Actif</v>
      </c>
      <c r="G661" s="66" t="str">
        <f>_xlfn.CONCAT(Tableau119[[#This Row],[POD]],"-",Tableau119[[#This Row],[Code PFI]],"-",Tableau119[[#This Row],[Compte Consignee]])</f>
        <v>FALSO---900383</v>
      </c>
      <c r="H6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27002800FALSOTANGER</v>
      </c>
      <c r="I661" s="434" t="str">
        <f>_xlfn.CONCAT(Tableau119[[#This Row],[ID]],"-",Tableau119[[#This Row],[Expiration Date]])</f>
        <v>403-46142</v>
      </c>
      <c r="J6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Forwarder-HIGHLY MARELLI MALAYSIA SDN. BHD.-403-FALSO-FALSO-FALSO--46142</v>
      </c>
      <c r="K661" s="119" t="str">
        <f ca="1">IF(COUNTIF(J:J,Tableau119[[#This Row],[Plant-ILN-shipper-POL-Carrier-POD-PFI]])=1,"Non","Oui")</f>
        <v>Non</v>
      </c>
      <c r="L661" s="436" t="str">
        <f>VLOOKUP(Tableau119[[#This Row],[Name Site]],Plant_AILN!A:D,4,FALSE)</f>
        <v>MOROCCO</v>
      </c>
      <c r="M661" s="285" t="s">
        <v>180</v>
      </c>
      <c r="N661" s="454">
        <f>VLOOKUP(Tableau119[[#This Row],[Name Site]],Plant_AILN!A:C,3,FALSE)</f>
        <v>900383</v>
      </c>
      <c r="O661" s="55">
        <f>IF(Tableau119[[#This Row],[Name PFI/CDD]]="PFI VLL",2,VLOOKUP(Tableau119[[#This Row],[Compte Consignee]],Order!C:D,2,FALSE))</f>
        <v>7</v>
      </c>
      <c r="P661" s="124" t="s">
        <v>146</v>
      </c>
      <c r="Q661" s="365">
        <f>VLOOKUP(Tableau119[[#This Row],[Name ILN]],Plant_AILN!F:G,2,FALSE)</f>
        <v>0</v>
      </c>
      <c r="R661" s="50">
        <f>VLOOKUP(Tableau119[[#This Row],[Compte ILN]],'DATA ILN'!D:I,6,FALSE)</f>
        <v>9</v>
      </c>
      <c r="S661" s="50" t="e">
        <f>IFERROR(VLOOKUP(Tableau119[[#This Row],[Key(Compte ILN - shipper - POL - plant)]],'DATA ILN'!A:J,10,FALSE),VLOOKUP(Tableau119[[#This Row],[Key(Compte ILN - shipper - POL)]],'DATA ILN'!B:J,9,FALSE))</f>
        <v>#N/A</v>
      </c>
      <c r="T661" s="50" t="e">
        <f>IFERROR(VLOOKUP(Tableau119[[#This Row],[Key(Compte ILN - shipper - POL - plant)]],'DATA ILN'!A:K,11,FALSE),VLOOKUP(Tableau119[[#This Row],[Key(Compte ILN - shipper - POL)]],'DATA ILN'!B:K,10,FALSE))</f>
        <v>#N/A</v>
      </c>
      <c r="U661" s="50" t="e">
        <f>IFERROR(VLOOKUP(Tableau119[[#This Row],[Key(Compte ILN - shipper - POL - plant)]],'DATA ILN'!A:L,12,FALSE),VLOOKUP(Tableau119[[#This Row],[Key(Compte ILN - shipper - POL)]],'DATA ILN'!B:L,11,FALSE))</f>
        <v>#N/A</v>
      </c>
      <c r="V661" s="50" t="e">
        <f>Tableau119[[#This Row],[Day ILN Order]]+Tableau119[[#This Row],[Delivery time to ILN/Shipper]]-1</f>
        <v>#N/A</v>
      </c>
      <c r="W661" s="50" t="e">
        <f>IFERROR(VLOOKUP(Tableau119[[#This Row],[Key(Compte ILN - shipper - POL - plant)]],'DATA ILN'!A:N,14,FALSE),VLOOKUP(Tableau119[[#This Row],[Key(Compte ILN - shipper - POL)]],'DATA ILN'!B:N,13,FALSE))</f>
        <v>#N/A</v>
      </c>
      <c r="X661" s="50" t="e">
        <f>IFERROR(VLOOKUP(Tableau119[[#This Row],[Key(Compte ILN - shipper - POL - plant)]],'DATA ILN'!A:P,16,FALSE),VLOOKUP(Tableau119[[#This Row],[Key(Compte ILN - shipper - POL)]],'DATA ILN'!B:P,15,FALSE))</f>
        <v>#N/A</v>
      </c>
      <c r="Y661" s="284" t="s">
        <v>322</v>
      </c>
      <c r="Z661" s="430">
        <f>IFERROR(VLOOKUP(Tableau119[[#This Row],[Name Shipper]],Plant_AILN!L:M,2,FALSE),0)</f>
        <v>27002800</v>
      </c>
      <c r="AA661" s="406">
        <v>403</v>
      </c>
      <c r="AB661" s="396" t="b">
        <f>_xlfn.XLOOKUP(Tableau119[[#This Row],[Key(ID-date)]],'DATA BTO'!S:S,'DATA BTO'!E:E,FALSE)</f>
        <v>0</v>
      </c>
      <c r="AC661" s="3" t="b">
        <f>_xlfn.XLOOKUP(Tableau119[[#This Row],[Key(ID-date)]],'DATA BTO'!S:S,'DATA BTO'!F:F,FALSE)</f>
        <v>0</v>
      </c>
      <c r="AD661" s="50" t="b">
        <f>_xlfn.XLOOKUP(Tableau119[[#This Row],[Key(ID-date)]],'DATA BTO'!S:S,'DATA BTO'!G:G,FALSE)</f>
        <v>0</v>
      </c>
      <c r="AE661" s="50" t="b">
        <f>_xlfn.XLOOKUP(Tableau119[[#This Row],[Key(ID-date)]],'DATA BTO'!S:S,'DATA BTO'!H:H,FALSE)</f>
        <v>0</v>
      </c>
      <c r="AF661" s="447" t="e">
        <f>IF(Tableau119[[#This Row],[First Day to POL]]&lt;=Tableau119[[#This Row],[Day Cut Off]],Tableau119[[#This Row],[Day ETD]],Tableau119[[#This Row],[Day ETD]]+7)</f>
        <v>#N/A</v>
      </c>
      <c r="AG661" s="50" t="b">
        <f>_xlfn.XLOOKUP(Tableau119[[#This Row],[Key(ID-date)]],'DATA BTO'!S:S,'DATA BTO'!I:I,FALSE)</f>
        <v>0</v>
      </c>
      <c r="AH661" s="3" t="b">
        <f>_xlfn.XLOOKUP(Tableau119[[#This Row],[Key(ID-date)]],'DATA BTO'!S:S,'DATA BTO'!J:J,FALSE)</f>
        <v>0</v>
      </c>
      <c r="AI661" s="3" t="b">
        <f>_xlfn.XLOOKUP(Tableau119[[#This Row],[Key(ID-date)]],'DATA BTO'!S:S,'DATA BTO'!K:K,FALSE)</f>
        <v>0</v>
      </c>
      <c r="AJ661" s="50" t="b">
        <f>_xlfn.XLOOKUP(Tableau119[[#This Row],[Key(ID-date)]],'DATA BTO'!S:S,'DATA BTO'!L:L,FALSE)</f>
        <v>0</v>
      </c>
      <c r="AK661" s="53" t="b">
        <f>_xlfn.XLOOKUP(Tableau119[[#This Row],[Key(ID-date)]],'DATA BTO'!S:S,'DATA BTO'!N:N,FALSE)</f>
        <v>0</v>
      </c>
      <c r="AL661" s="54" t="e">
        <f>VLOOKUP(Tableau119[[#This Row],[Key(POD -PFI- Usine)]],'DATA Consignee'!A:F,6,FALSE)</f>
        <v>#N/A</v>
      </c>
      <c r="AM661" s="284"/>
      <c r="AN661" s="376" t="str">
        <f>IF(Tableau119[[#This Row],[Name PFI/CDD]]="","-",VLOOKUP(Tableau119[[#This Row],[Name PFI/CDD]],Plant_AILN!I:J,2,FALSE))</f>
        <v>-</v>
      </c>
      <c r="AO6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1" s="2" t="e">
        <f>VLOOKUP(Tableau119[[#This Row],[Key(POD -PFI- Usine)]],'DATA Consignee'!A:J,10,FALSE)</f>
        <v>#N/A</v>
      </c>
      <c r="AR661" s="50" t="e">
        <f>VLOOKUP(Tableau119[[#This Row],[Key(POD -PFI- Usine)]],'DATA Consignee'!A:N,14,FALSE)</f>
        <v>#N/A</v>
      </c>
      <c r="AS6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1" s="50">
        <f>Tableau119[[#This Row],[Transit time]]+Tableau119[[#This Row],[Time for security]]+Tableau119[[#This Row],[Time for security2 buffer]]</f>
        <v>0</v>
      </c>
      <c r="AV6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1" s="50" t="e">
        <f>Tableau119[[#This Row],[Leadtime SI2C]]+Tableau119[[#This Row],[First Receipt Days]]-Tableau119[[#This Row],[Day Customer Order]]+1</f>
        <v>#N/A</v>
      </c>
      <c r="AX661" s="119" t="e">
        <f>IF(Tableau119[[#This Row],[Name ILN]]&lt;&gt;"SFK Freight Forwarder",Tableau119[[#This Row],[Cust. Leadtime]],Tableau119[[#This Row],[Leadtime SI2C]])</f>
        <v>#N/A</v>
      </c>
      <c r="AY661" s="51" t="b">
        <f>_xlfn.XLOOKUP(Tableau119[[#This Row],[Key(ID-date)]],'DATA BTO'!S:S,'DATA BTO'!P:P,FALSE)</f>
        <v>0</v>
      </c>
      <c r="AZ661" s="338">
        <v>46142</v>
      </c>
      <c r="BA661" s="50"/>
    </row>
    <row r="662" spans="2:53">
      <c r="B662" s="446" t="str">
        <f>_xlfn.CONCAT(Tableau119[[#This Row],[Name ILN]],"-",Tableau119[[#This Row],[Name Shipper]],"-",Tableau119[[#This Row],[Name Site]])</f>
        <v>SFK Freight Forwarder-HIGHLY MARELLI MALAYSIA SDN. BHD.-TANGER</v>
      </c>
      <c r="C662" s="66" t="str">
        <f>_xlfn.CONCAT(Tableau119[[#This Row],[Compte ILN]],"-",Tableau119[[#This Row],[Compte Shipper]],"-",Tableau119[[#This Row],[POL]],"-",Tableau119[[#This Row],[Compte Consignee]])</f>
        <v>0-27002800-FALSO-900383</v>
      </c>
      <c r="D662" s="66" t="str">
        <f>_xlfn.CONCAT(Tableau119[[#This Row],[Compte ILN]],"-",Tableau119[[#This Row],[Compte Shipper]],"-",Tableau119[[#This Row],[POL]])</f>
        <v>0-27002800-FALSO</v>
      </c>
      <c r="E662" s="130" t="str">
        <f>_xlfn.CONCAT(Tableau119[[#This Row],[POL]],"-",Tableau119[[#This Row],[Carrier]],"-",Tableau119[[#This Row],[POD]])</f>
        <v>FALSO-FALSO-FALSO</v>
      </c>
      <c r="F662" s="66" t="str">
        <f>_xlfn.CONCAT(Tableau119[[#This Row],[ID]],"-","Actif")</f>
        <v>403-Actif</v>
      </c>
      <c r="G662" s="66" t="str">
        <f>_xlfn.CONCAT(Tableau119[[#This Row],[POD]],"-",Tableau119[[#This Row],[Code PFI]],"-",Tableau119[[#This Row],[Compte Consignee]])</f>
        <v>FALSO---900383</v>
      </c>
      <c r="H6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27002800FALSOTANGER</v>
      </c>
      <c r="I662" s="434" t="str">
        <f>_xlfn.CONCAT(Tableau119[[#This Row],[ID]],"-",Tableau119[[#This Row],[Expiration Date]])</f>
        <v>403-46022</v>
      </c>
      <c r="J6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Forwarder-HIGHLY MARELLI MALAYSIA SDN. BHD.-403-FALSO-FALSO-FALSO--46022</v>
      </c>
      <c r="K662" s="119" t="str">
        <f ca="1">IF(COUNTIF(J:J,Tableau119[[#This Row],[Plant-ILN-shipper-POL-Carrier-POD-PFI]])=1,"Non","Oui")</f>
        <v>Non</v>
      </c>
      <c r="L662" s="128" t="str">
        <f>VLOOKUP(Tableau119[[#This Row],[Name Site]],Plant_AILN!A:D,4,FALSE)</f>
        <v>MOROCCO</v>
      </c>
      <c r="M662" s="415" t="s">
        <v>180</v>
      </c>
      <c r="N662" s="455">
        <f>VLOOKUP(Tableau119[[#This Row],[Name Site]],Plant_AILN!A:C,3,FALSE)</f>
        <v>900383</v>
      </c>
      <c r="O662" s="104">
        <f>VLOOKUP(Tableau119[[#This Row],[Compte Consignee]],Order!C:D,2,FALSE)</f>
        <v>7</v>
      </c>
      <c r="P662" s="126" t="s">
        <v>146</v>
      </c>
      <c r="Q662" s="366">
        <f>VLOOKUP(Tableau119[[#This Row],[Name ILN]],Plant_AILN!F:G,2,FALSE)</f>
        <v>0</v>
      </c>
      <c r="R662" s="81">
        <f>VLOOKUP(Tableau119[[#This Row],[Compte ILN]],'DATA ILN'!D:I,6,FALSE)</f>
        <v>9</v>
      </c>
      <c r="S662" s="81" t="e">
        <f>IFERROR(VLOOKUP(Tableau119[[#This Row],[Key(Compte ILN - shipper - POL - plant)]],'DATA ILN'!A:J,10,FALSE),VLOOKUP(Tableau119[[#This Row],[Key(Compte ILN - shipper - POL)]],'DATA ILN'!B:J,9,FALSE))</f>
        <v>#N/A</v>
      </c>
      <c r="T662" s="81" t="e">
        <f>IFERROR(VLOOKUP(Tableau119[[#This Row],[Key(Compte ILN - shipper - POL - plant)]],'DATA ILN'!A:K,11,FALSE),VLOOKUP(Tableau119[[#This Row],[Key(Compte ILN - shipper - POL)]],'DATA ILN'!B:K,10,FALSE))</f>
        <v>#N/A</v>
      </c>
      <c r="U662" s="81" t="e">
        <f>IFERROR(VLOOKUP(Tableau119[[#This Row],[Key(Compte ILN - shipper - POL - plant)]],'DATA ILN'!A:L,12,FALSE),VLOOKUP(Tableau119[[#This Row],[Key(Compte ILN - shipper - POL)]],'DATA ILN'!B:L,11,FALSE))</f>
        <v>#N/A</v>
      </c>
      <c r="V662" s="81" t="e">
        <f>Tableau119[[#This Row],[Day ILN Order]]+Tableau119[[#This Row],[Delivery time to ILN/Shipper]]-1</f>
        <v>#N/A</v>
      </c>
      <c r="W662" s="81" t="e">
        <f>IFERROR(VLOOKUP(Tableau119[[#This Row],[Key(Compte ILN - shipper - POL - plant)]],'DATA ILN'!A:N,14,FALSE),VLOOKUP(Tableau119[[#This Row],[Key(Compte ILN - shipper - POL)]],'DATA ILN'!B:N,13,FALSE))</f>
        <v>#N/A</v>
      </c>
      <c r="X662" s="81" t="e">
        <f>IFERROR(VLOOKUP(Tableau119[[#This Row],[Key(Compte ILN - shipper - POL - plant)]],'DATA ILN'!A:P,16,FALSE),VLOOKUP(Tableau119[[#This Row],[Key(Compte ILN - shipper - POL)]],'DATA ILN'!B:P,15,FALSE))</f>
        <v>#N/A</v>
      </c>
      <c r="Y662" s="102" t="s">
        <v>322</v>
      </c>
      <c r="Z662" s="417">
        <f>IFERROR(VLOOKUP(Tableau119[[#This Row],[Name Shipper]],Plant_AILN!L:M,2,FALSE),0)</f>
        <v>27002800</v>
      </c>
      <c r="AA662" s="416">
        <v>403</v>
      </c>
      <c r="AB662" s="396" t="b">
        <f>_xlfn.XLOOKUP(Tableau119[[#This Row],[Key(ID-date)]],'DATA BTO'!S:S,'DATA BTO'!E:E,FALSE)</f>
        <v>0</v>
      </c>
      <c r="AC662" s="3" t="b">
        <f>_xlfn.XLOOKUP(Tableau119[[#This Row],[Key(ID-date)]],'DATA BTO'!S:S,'DATA BTO'!F:F,FALSE)</f>
        <v>0</v>
      </c>
      <c r="AD662" s="50" t="b">
        <f>_xlfn.XLOOKUP(Tableau119[[#This Row],[Key(ID-date)]],'DATA BTO'!S:S,'DATA BTO'!G:G,FALSE)</f>
        <v>0</v>
      </c>
      <c r="AE662" s="50" t="b">
        <f>_xlfn.XLOOKUP(Tableau119[[#This Row],[Key(ID-date)]],'DATA BTO'!S:S,'DATA BTO'!H:H,FALSE)</f>
        <v>0</v>
      </c>
      <c r="AF662" s="447" t="e">
        <f>IF(Tableau119[[#This Row],[First Day to POL]]&lt;=Tableau119[[#This Row],[Day Cut Off]],Tableau119[[#This Row],[Day ETD]],Tableau119[[#This Row],[Day ETD]]+7)</f>
        <v>#N/A</v>
      </c>
      <c r="AG662" s="50" t="b">
        <f>_xlfn.XLOOKUP(Tableau119[[#This Row],[Key(ID-date)]],'DATA BTO'!S:S,'DATA BTO'!I:I,FALSE)</f>
        <v>0</v>
      </c>
      <c r="AH662" s="3" t="b">
        <f>_xlfn.XLOOKUP(Tableau119[[#This Row],[Key(ID-date)]],'DATA BTO'!S:S,'DATA BTO'!J:J,FALSE)</f>
        <v>0</v>
      </c>
      <c r="AI662" s="3" t="b">
        <f>_xlfn.XLOOKUP(Tableau119[[#This Row],[Key(ID-date)]],'DATA BTO'!S:S,'DATA BTO'!K:K,FALSE)</f>
        <v>0</v>
      </c>
      <c r="AJ662" s="50" t="b">
        <f>_xlfn.XLOOKUP(Tableau119[[#This Row],[Key(ID-date)]],'DATA BTO'!S:S,'DATA BTO'!L:L,FALSE)</f>
        <v>0</v>
      </c>
      <c r="AK662" s="53" t="b">
        <f>_xlfn.XLOOKUP(Tableau119[[#This Row],[Key(ID-date)]],'DATA BTO'!S:S,'DATA BTO'!N:N,FALSE)</f>
        <v>0</v>
      </c>
      <c r="AL662" s="54" t="e">
        <f>VLOOKUP(Tableau119[[#This Row],[Key(POD -PFI- Usine)]],'DATA Consignee'!A:F,6,FALSE)</f>
        <v>#N/A</v>
      </c>
      <c r="AM662" s="102"/>
      <c r="AN662" s="375" t="str">
        <f>IF(Tableau119[[#This Row],[Name PFI/CDD]]="","-",VLOOKUP(Tableau119[[#This Row],[Name PFI/CDD]],Plant_AILN!I:J,2,FALSE))</f>
        <v>-</v>
      </c>
      <c r="AO66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2" s="110" t="e">
        <f>VLOOKUP(Tableau119[[#This Row],[Key(POD -PFI- Usine)]],'DATA Consignee'!A:J,10,FALSE)</f>
        <v>#N/A</v>
      </c>
      <c r="AR662" s="81" t="e">
        <f>VLOOKUP(Tableau119[[#This Row],[Key(POD -PFI- Usine)]],'DATA Consignee'!A:N,14,FALSE)</f>
        <v>#N/A</v>
      </c>
      <c r="AS66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2" s="81">
        <f>Tableau119[[#This Row],[Transit time]]+Tableau119[[#This Row],[Time for security]]+Tableau119[[#This Row],[Time for security2 buffer]]</f>
        <v>0</v>
      </c>
      <c r="AV6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2" s="50" t="e">
        <f>Tableau119[[#This Row],[Leadtime SI2C]]+Tableau119[[#This Row],[First Receipt Days]]-Tableau119[[#This Row],[Day Customer Order]]+1</f>
        <v>#N/A</v>
      </c>
      <c r="AX662" s="119" t="e">
        <f>IF(Tableau119[[#This Row],[Name ILN]]&lt;&gt;"SFK Freight Forwarder",Tableau119[[#This Row],[Cust. Leadtime]],Tableau119[[#This Row],[Leadtime SI2C]])</f>
        <v>#N/A</v>
      </c>
      <c r="AY662" s="51" t="b">
        <f>_xlfn.XLOOKUP(Tableau119[[#This Row],[Key(ID-date)]],'DATA BTO'!S:S,'DATA BTO'!P:P,FALSE)</f>
        <v>0</v>
      </c>
      <c r="AZ662" s="388">
        <v>46022</v>
      </c>
      <c r="BA662" s="81"/>
    </row>
    <row r="663" spans="2:53">
      <c r="B663" s="446" t="str">
        <f>_xlfn.CONCAT(Tableau119[[#This Row],[Name ILN]],"-",Tableau119[[#This Row],[Name Shipper]],"-",Tableau119[[#This Row],[Name Site]])</f>
        <v>SFK Freight Forwarder-HIGHLY MARELLI MALAYSIA SDN. BHD.-TANGER</v>
      </c>
      <c r="C663" s="66" t="str">
        <f>_xlfn.CONCAT(Tableau119[[#This Row],[Compte ILN]],"-",Tableau119[[#This Row],[Compte Shipper]],"-",Tableau119[[#This Row],[POL]],"-",Tableau119[[#This Row],[Compte Consignee]])</f>
        <v>0-27002800-FALSO-900383</v>
      </c>
      <c r="D663" s="66" t="str">
        <f>_xlfn.CONCAT(Tableau119[[#This Row],[Compte ILN]],"-",Tableau119[[#This Row],[Compte Shipper]],"-",Tableau119[[#This Row],[POL]])</f>
        <v>0-27002800-FALSO</v>
      </c>
      <c r="E663" s="130" t="str">
        <f>_xlfn.CONCAT(Tableau119[[#This Row],[POL]],"-",Tableau119[[#This Row],[Carrier]],"-",Tableau119[[#This Row],[POD]])</f>
        <v>FALSO-FALSO-FALSO</v>
      </c>
      <c r="F663" s="66" t="str">
        <f>_xlfn.CONCAT(Tableau119[[#This Row],[ID]],"-","Actif")</f>
        <v>403-Actif</v>
      </c>
      <c r="G663" s="66" t="str">
        <f>_xlfn.CONCAT(Tableau119[[#This Row],[POD]],"-",Tableau119[[#This Row],[Code PFI]],"-",Tableau119[[#This Row],[Compte Consignee]])</f>
        <v>FALSO---900383</v>
      </c>
      <c r="H6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27002800FALSOTANGER</v>
      </c>
      <c r="I663" s="434" t="str">
        <f>_xlfn.CONCAT(Tableau119[[#This Row],[ID]],"-",Tableau119[[#This Row],[Expiration Date]])</f>
        <v>403-45944</v>
      </c>
      <c r="J6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Forwarder-HIGHLY MARELLI MALAYSIA SDN. BHD.-403-FALSO-FALSO-FALSO--45944</v>
      </c>
      <c r="K663" s="119" t="str">
        <f ca="1">IF(COUNTIF(J:J,Tableau119[[#This Row],[Plant-ILN-shipper-POL-Carrier-POD-PFI]])=1,"Non","Oui")</f>
        <v>Non</v>
      </c>
      <c r="L663" s="128" t="str">
        <f>VLOOKUP(Tableau119[[#This Row],[Name Site]],Plant_AILN!A:D,4,FALSE)</f>
        <v>MOROCCO</v>
      </c>
      <c r="M663" s="411" t="s">
        <v>180</v>
      </c>
      <c r="N663" s="454">
        <f>VLOOKUP(Tableau119[[#This Row],[Name Site]],Plant_AILN!A:C,3,FALSE)</f>
        <v>900383</v>
      </c>
      <c r="O663" s="55">
        <f>VLOOKUP(Tableau119[[#This Row],[Compte Consignee]],Order!C:D,2,FALSE)</f>
        <v>7</v>
      </c>
      <c r="P663" s="124" t="s">
        <v>146</v>
      </c>
      <c r="Q663" s="365">
        <f>VLOOKUP(Tableau119[[#This Row],[Name ILN]],Plant_AILN!F:G,2,FALSE)</f>
        <v>0</v>
      </c>
      <c r="R663" s="50">
        <f>VLOOKUP(Tableau119[[#This Row],[Compte ILN]],'DATA ILN'!D:I,6,FALSE)</f>
        <v>9</v>
      </c>
      <c r="S663" s="50" t="e">
        <f>IFERROR(VLOOKUP(Tableau119[[#This Row],[Key(Compte ILN - shipper - POL - plant)]],'DATA ILN'!A:J,10,FALSE),VLOOKUP(Tableau119[[#This Row],[Key(Compte ILN - shipper - POL)]],'DATA ILN'!B:J,9,FALSE))</f>
        <v>#N/A</v>
      </c>
      <c r="T663" s="50" t="e">
        <f>IFERROR(VLOOKUP(Tableau119[[#This Row],[Key(Compte ILN - shipper - POL - plant)]],'DATA ILN'!A:K,11,FALSE),VLOOKUP(Tableau119[[#This Row],[Key(Compte ILN - shipper - POL)]],'DATA ILN'!B:K,10,FALSE))</f>
        <v>#N/A</v>
      </c>
      <c r="U663" s="50" t="e">
        <f>IFERROR(VLOOKUP(Tableau119[[#This Row],[Key(Compte ILN - shipper - POL - plant)]],'DATA ILN'!A:L,12,FALSE),VLOOKUP(Tableau119[[#This Row],[Key(Compte ILN - shipper - POL)]],'DATA ILN'!B:L,11,FALSE))</f>
        <v>#N/A</v>
      </c>
      <c r="V663" s="50" t="e">
        <f>Tableau119[[#This Row],[Day ILN Order]]+Tableau119[[#This Row],[Delivery time to ILN/Shipper]]-1</f>
        <v>#N/A</v>
      </c>
      <c r="W663" s="50" t="e">
        <f>IFERROR(VLOOKUP(Tableau119[[#This Row],[Key(Compte ILN - shipper - POL - plant)]],'DATA ILN'!A:N,14,FALSE),VLOOKUP(Tableau119[[#This Row],[Key(Compte ILN - shipper - POL)]],'DATA ILN'!B:N,13,FALSE))</f>
        <v>#N/A</v>
      </c>
      <c r="X663" s="50" t="e">
        <f>IFERROR(VLOOKUP(Tableau119[[#This Row],[Key(Compte ILN - shipper - POL - plant)]],'DATA ILN'!A:P,16,FALSE),VLOOKUP(Tableau119[[#This Row],[Key(Compte ILN - shipper - POL)]],'DATA ILN'!B:P,15,FALSE))</f>
        <v>#N/A</v>
      </c>
      <c r="Y663" s="284" t="s">
        <v>322</v>
      </c>
      <c r="Z663" s="430">
        <f>IFERROR(VLOOKUP(Tableau119[[#This Row],[Name Shipper]],Plant_AILN!L:M,2,FALSE),0)</f>
        <v>27002800</v>
      </c>
      <c r="AA663" s="406">
        <v>403</v>
      </c>
      <c r="AB663" s="396" t="b">
        <f>_xlfn.XLOOKUP(Tableau119[[#This Row],[Key(ID-date)]],'DATA BTO'!S:S,'DATA BTO'!E:E,FALSE)</f>
        <v>0</v>
      </c>
      <c r="AC663" s="3" t="b">
        <f>_xlfn.XLOOKUP(Tableau119[[#This Row],[Key(ID-date)]],'DATA BTO'!S:S,'DATA BTO'!F:F,FALSE)</f>
        <v>0</v>
      </c>
      <c r="AD663" s="50" t="b">
        <f>_xlfn.XLOOKUP(Tableau119[[#This Row],[Key(ID-date)]],'DATA BTO'!S:S,'DATA BTO'!G:G,FALSE)</f>
        <v>0</v>
      </c>
      <c r="AE663" s="50" t="b">
        <f>_xlfn.XLOOKUP(Tableau119[[#This Row],[Key(ID-date)]],'DATA BTO'!S:S,'DATA BTO'!H:H,FALSE)</f>
        <v>0</v>
      </c>
      <c r="AF663" s="447" t="e">
        <f>IF(Tableau119[[#This Row],[First Day to POL]]&lt;=Tableau119[[#This Row],[Day Cut Off]],Tableau119[[#This Row],[Day ETD]],Tableau119[[#This Row],[Day ETD]]+7)</f>
        <v>#N/A</v>
      </c>
      <c r="AG663" s="50" t="b">
        <f>_xlfn.XLOOKUP(Tableau119[[#This Row],[Key(ID-date)]],'DATA BTO'!S:S,'DATA BTO'!I:I,FALSE)</f>
        <v>0</v>
      </c>
      <c r="AH663" s="3" t="b">
        <f>_xlfn.XLOOKUP(Tableau119[[#This Row],[Key(ID-date)]],'DATA BTO'!S:S,'DATA BTO'!J:J,FALSE)</f>
        <v>0</v>
      </c>
      <c r="AI663" s="3" t="b">
        <f>_xlfn.XLOOKUP(Tableau119[[#This Row],[Key(ID-date)]],'DATA BTO'!S:S,'DATA BTO'!K:K,FALSE)</f>
        <v>0</v>
      </c>
      <c r="AJ663" s="50" t="b">
        <f>_xlfn.XLOOKUP(Tableau119[[#This Row],[Key(ID-date)]],'DATA BTO'!S:S,'DATA BTO'!L:L,FALSE)</f>
        <v>0</v>
      </c>
      <c r="AK663" s="53" t="b">
        <f>_xlfn.XLOOKUP(Tableau119[[#This Row],[Key(ID-date)]],'DATA BTO'!S:S,'DATA BTO'!N:N,FALSE)</f>
        <v>0</v>
      </c>
      <c r="AL663" s="54" t="e">
        <f>VLOOKUP(Tableau119[[#This Row],[Key(POD -PFI- Usine)]],'DATA Consignee'!A:F,6,FALSE)</f>
        <v>#N/A</v>
      </c>
      <c r="AM663" s="127"/>
      <c r="AN663" s="376" t="str">
        <f>IF(Tableau119[[#This Row],[Name PFI/CDD]]="","-",VLOOKUP(Tableau119[[#This Row],[Name PFI/CDD]],Plant_AILN!I:J,2,FALSE))</f>
        <v>-</v>
      </c>
      <c r="AO6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3" s="2" t="e">
        <f>VLOOKUP(Tableau119[[#This Row],[Key(POD -PFI- Usine)]],'DATA Consignee'!A:J,10,FALSE)</f>
        <v>#N/A</v>
      </c>
      <c r="AR663" s="50" t="e">
        <f>VLOOKUP(Tableau119[[#This Row],[Key(POD -PFI- Usine)]],'DATA Consignee'!A:N,14,FALSE)</f>
        <v>#N/A</v>
      </c>
      <c r="AS66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3" s="50">
        <f>Tableau119[[#This Row],[Transit time]]+Tableau119[[#This Row],[Time for security]]+Tableau119[[#This Row],[Time for security2 buffer]]</f>
        <v>0</v>
      </c>
      <c r="AV66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3" s="50" t="e">
        <f>Tableau119[[#This Row],[Leadtime SI2C]]+Tableau119[[#This Row],[First Receipt Days]]-Tableau119[[#This Row],[Day Customer Order]]+1</f>
        <v>#N/A</v>
      </c>
      <c r="AX663" s="119" t="e">
        <f>IF(Tableau119[[#This Row],[Name ILN]]&lt;&gt;"SFK Freight Forwarder",Tableau119[[#This Row],[Cust. Leadtime]],Tableau119[[#This Row],[Leadtime SI2C]])</f>
        <v>#N/A</v>
      </c>
      <c r="AY663" s="51" t="b">
        <f>_xlfn.XLOOKUP(Tableau119[[#This Row],[Key(ID-date)]],'DATA BTO'!S:S,'DATA BTO'!P:P,FALSE)</f>
        <v>0</v>
      </c>
      <c r="AZ663" s="338">
        <v>45944</v>
      </c>
      <c r="BA663" s="50"/>
    </row>
    <row r="664" spans="2:53">
      <c r="B664" s="446" t="str">
        <f>_xlfn.CONCAT(Tableau119[[#This Row],[Name ILN]],"-",Tableau119[[#This Row],[Name Shipper]],"-",Tableau119[[#This Row],[Name Site]])</f>
        <v>SFK Freight Forwarder-HIGHLY MARELLI MALAYSIA SDN. BHD.-TANGER</v>
      </c>
      <c r="C664" s="66" t="str">
        <f>_xlfn.CONCAT(Tableau119[[#This Row],[Compte ILN]],"-",Tableau119[[#This Row],[Compte Shipper]],"-",Tableau119[[#This Row],[POL]],"-",Tableau119[[#This Row],[Compte Consignee]])</f>
        <v>0-27002800-FALSO-900383</v>
      </c>
      <c r="D664" s="66" t="str">
        <f>_xlfn.CONCAT(Tableau119[[#This Row],[Compte ILN]],"-",Tableau119[[#This Row],[Compte Shipper]],"-",Tableau119[[#This Row],[POL]])</f>
        <v>0-27002800-FALSO</v>
      </c>
      <c r="E664" s="130" t="str">
        <f>_xlfn.CONCAT(Tableau119[[#This Row],[POL]],"-",Tableau119[[#This Row],[Carrier]],"-",Tableau119[[#This Row],[POD]])</f>
        <v>FALSO-FALSO-FALSO</v>
      </c>
      <c r="F664" s="66" t="str">
        <f>_xlfn.CONCAT(Tableau119[[#This Row],[ID]],"-","Actif")</f>
        <v>403-Actif</v>
      </c>
      <c r="G664" s="66" t="str">
        <f>_xlfn.CONCAT(Tableau119[[#This Row],[POD]],"-",Tableau119[[#This Row],[Code PFI]],"-",Tableau119[[#This Row],[Compte Consignee]])</f>
        <v>FALSO---900383</v>
      </c>
      <c r="H6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27002800FALSOTANGER</v>
      </c>
      <c r="I664" s="434" t="str">
        <f>_xlfn.CONCAT(Tableau119[[#This Row],[ID]],"-",Tableau119[[#This Row],[Expiration Date]])</f>
        <v>403-45777</v>
      </c>
      <c r="J6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Forwarder-HIGHLY MARELLI MALAYSIA SDN. BHD.-403-FALSO-FALSO-FALSO--45777</v>
      </c>
      <c r="K664" s="119" t="str">
        <f ca="1">IF(COUNTIF(J:J,Tableau119[[#This Row],[Plant-ILN-shipper-POL-Carrier-POD-PFI]])=1,"Non","Oui")</f>
        <v>Non</v>
      </c>
      <c r="L664" s="128" t="str">
        <f>VLOOKUP(Tableau119[[#This Row],[Name Site]],Plant_AILN!A:D,4,FALSE)</f>
        <v>MOROCCO</v>
      </c>
      <c r="M664" s="411" t="s">
        <v>180</v>
      </c>
      <c r="N664" s="454">
        <f>VLOOKUP(Tableau119[[#This Row],[Name Site]],Plant_AILN!A:C,3,FALSE)</f>
        <v>900383</v>
      </c>
      <c r="O664" s="55">
        <f>VLOOKUP(Tableau119[[#This Row],[Compte Consignee]],Order!C:D,2,FALSE)</f>
        <v>7</v>
      </c>
      <c r="P664" s="124" t="s">
        <v>146</v>
      </c>
      <c r="Q664" s="365">
        <f>VLOOKUP(Tableau119[[#This Row],[Name ILN]],Plant_AILN!F:G,2,FALSE)</f>
        <v>0</v>
      </c>
      <c r="R664" s="50">
        <f>VLOOKUP(Tableau119[[#This Row],[Compte ILN]],'DATA ILN'!D:I,6,FALSE)</f>
        <v>9</v>
      </c>
      <c r="S664" s="50" t="e">
        <f>IFERROR(VLOOKUP(Tableau119[[#This Row],[Key(Compte ILN - shipper - POL - plant)]],'DATA ILN'!A:J,10,FALSE),VLOOKUP(Tableau119[[#This Row],[Key(Compte ILN - shipper - POL)]],'DATA ILN'!B:J,9,FALSE))</f>
        <v>#N/A</v>
      </c>
      <c r="T664" s="50" t="e">
        <f>IFERROR(VLOOKUP(Tableau119[[#This Row],[Key(Compte ILN - shipper - POL - plant)]],'DATA ILN'!A:K,11,FALSE),VLOOKUP(Tableau119[[#This Row],[Key(Compte ILN - shipper - POL)]],'DATA ILN'!B:K,10,FALSE))</f>
        <v>#N/A</v>
      </c>
      <c r="U664" s="50" t="e">
        <f>IFERROR(VLOOKUP(Tableau119[[#This Row],[Key(Compte ILN - shipper - POL - plant)]],'DATA ILN'!A:L,12,FALSE),VLOOKUP(Tableau119[[#This Row],[Key(Compte ILN - shipper - POL)]],'DATA ILN'!B:L,11,FALSE))</f>
        <v>#N/A</v>
      </c>
      <c r="V664" s="50" t="e">
        <f>Tableau119[[#This Row],[Day ILN Order]]+Tableau119[[#This Row],[Delivery time to ILN/Shipper]]-1</f>
        <v>#N/A</v>
      </c>
      <c r="W664" s="50" t="e">
        <f>IFERROR(VLOOKUP(Tableau119[[#This Row],[Key(Compte ILN - shipper - POL - plant)]],'DATA ILN'!A:N,14,FALSE),VLOOKUP(Tableau119[[#This Row],[Key(Compte ILN - shipper - POL)]],'DATA ILN'!B:N,13,FALSE))</f>
        <v>#N/A</v>
      </c>
      <c r="X664" s="50" t="e">
        <f>IFERROR(VLOOKUP(Tableau119[[#This Row],[Key(Compte ILN - shipper - POL - plant)]],'DATA ILN'!A:P,16,FALSE),VLOOKUP(Tableau119[[#This Row],[Key(Compte ILN - shipper - POL)]],'DATA ILN'!B:P,15,FALSE))</f>
        <v>#N/A</v>
      </c>
      <c r="Y664" s="284" t="s">
        <v>322</v>
      </c>
      <c r="Z664" s="430">
        <f>IFERROR(VLOOKUP(Tableau119[[#This Row],[Name Shipper]],Plant_AILN!L:M,2,FALSE),0)</f>
        <v>27002800</v>
      </c>
      <c r="AA664" s="406">
        <v>403</v>
      </c>
      <c r="AB664" s="396" t="b">
        <f>_xlfn.XLOOKUP(Tableau119[[#This Row],[Key(ID-date)]],'DATA BTO'!S:S,'DATA BTO'!E:E,FALSE)</f>
        <v>0</v>
      </c>
      <c r="AC664" s="3" t="b">
        <f>_xlfn.XLOOKUP(Tableau119[[#This Row],[Key(ID-date)]],'DATA BTO'!S:S,'DATA BTO'!F:F,FALSE)</f>
        <v>0</v>
      </c>
      <c r="AD664" s="50" t="b">
        <f>_xlfn.XLOOKUP(Tableau119[[#This Row],[Key(ID-date)]],'DATA BTO'!S:S,'DATA BTO'!G:G,FALSE)</f>
        <v>0</v>
      </c>
      <c r="AE664" s="50" t="b">
        <f>_xlfn.XLOOKUP(Tableau119[[#This Row],[Key(ID-date)]],'DATA BTO'!S:S,'DATA BTO'!H:H,FALSE)</f>
        <v>0</v>
      </c>
      <c r="AF664" s="447" t="e">
        <f>IF(Tableau119[[#This Row],[First Day to POL]]&lt;=Tableau119[[#This Row],[Day Cut Off]],Tableau119[[#This Row],[Day ETD]],Tableau119[[#This Row],[Day ETD]]+7)</f>
        <v>#N/A</v>
      </c>
      <c r="AG664" s="50" t="b">
        <f>_xlfn.XLOOKUP(Tableau119[[#This Row],[Key(ID-date)]],'DATA BTO'!S:S,'DATA BTO'!I:I,FALSE)</f>
        <v>0</v>
      </c>
      <c r="AH664" s="3" t="b">
        <f>_xlfn.XLOOKUP(Tableau119[[#This Row],[Key(ID-date)]],'DATA BTO'!S:S,'DATA BTO'!J:J,FALSE)</f>
        <v>0</v>
      </c>
      <c r="AI664" s="3" t="b">
        <f>_xlfn.XLOOKUP(Tableau119[[#This Row],[Key(ID-date)]],'DATA BTO'!S:S,'DATA BTO'!K:K,FALSE)</f>
        <v>0</v>
      </c>
      <c r="AJ664" s="50" t="b">
        <f>_xlfn.XLOOKUP(Tableau119[[#This Row],[Key(ID-date)]],'DATA BTO'!S:S,'DATA BTO'!L:L,FALSE)</f>
        <v>0</v>
      </c>
      <c r="AK664" s="53" t="b">
        <f>_xlfn.XLOOKUP(Tableau119[[#This Row],[Key(ID-date)]],'DATA BTO'!S:S,'DATA BTO'!N:N,FALSE)</f>
        <v>0</v>
      </c>
      <c r="AL664" s="54" t="e">
        <f>VLOOKUP(Tableau119[[#This Row],[Key(POD -PFI- Usine)]],'DATA Consignee'!A:F,6,FALSE)</f>
        <v>#N/A</v>
      </c>
      <c r="AM664" s="127"/>
      <c r="AN664" s="376" t="str">
        <f>IF(Tableau119[[#This Row],[Name PFI/CDD]]="","-",VLOOKUP(Tableau119[[#This Row],[Name PFI/CDD]],Plant_AILN!I:J,2,FALSE))</f>
        <v>-</v>
      </c>
      <c r="AO6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4" s="2" t="e">
        <f>VLOOKUP(Tableau119[[#This Row],[Key(POD -PFI- Usine)]],'DATA Consignee'!A:J,10,FALSE)</f>
        <v>#N/A</v>
      </c>
      <c r="AR664" s="50" t="e">
        <f>VLOOKUP(Tableau119[[#This Row],[Key(POD -PFI- Usine)]],'DATA Consignee'!A:N,14,FALSE)</f>
        <v>#N/A</v>
      </c>
      <c r="AS66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4" s="50">
        <f>Tableau119[[#This Row],[Transit time]]+Tableau119[[#This Row],[Time for security]]+Tableau119[[#This Row],[Time for security2 buffer]]</f>
        <v>0</v>
      </c>
      <c r="AV6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4" s="50" t="e">
        <f>Tableau119[[#This Row],[Leadtime SI2C]]+Tableau119[[#This Row],[First Receipt Days]]-Tableau119[[#This Row],[Day Customer Order]]+1</f>
        <v>#N/A</v>
      </c>
      <c r="AX664" s="119" t="e">
        <f>IF(Tableau119[[#This Row],[Name ILN]]&lt;&gt;"SFK Freight Forwarder",Tableau119[[#This Row],[Cust. Leadtime]],Tableau119[[#This Row],[Leadtime SI2C]])</f>
        <v>#N/A</v>
      </c>
      <c r="AY664" s="51" t="b">
        <f>_xlfn.XLOOKUP(Tableau119[[#This Row],[Key(ID-date)]],'DATA BTO'!S:S,'DATA BTO'!P:P,FALSE)</f>
        <v>0</v>
      </c>
      <c r="AZ664" s="338">
        <v>45777</v>
      </c>
      <c r="BA664" s="50"/>
    </row>
    <row r="665" spans="2:53">
      <c r="B665" s="446" t="str">
        <f>_xlfn.CONCAT(Tableau119[[#This Row],[Name ILN]],"-",Tableau119[[#This Row],[Name Shipper]],"-",Tableau119[[#This Row],[Name Site]])</f>
        <v>SFK Freight Forwarder-HIGHLY MARELLI MALAYSIA SDN. BHD.-TANGER</v>
      </c>
      <c r="C665" s="66" t="str">
        <f>_xlfn.CONCAT(Tableau119[[#This Row],[Compte ILN]],"-",Tableau119[[#This Row],[Compte Shipper]],"-",Tableau119[[#This Row],[POL]],"-",Tableau119[[#This Row],[Compte Consignee]])</f>
        <v>0-27002800-FALSO-900383</v>
      </c>
      <c r="D665" s="66" t="str">
        <f>_xlfn.CONCAT(Tableau119[[#This Row],[Compte ILN]],"-",Tableau119[[#This Row],[Compte Shipper]],"-",Tableau119[[#This Row],[POL]])</f>
        <v>0-27002800-FALSO</v>
      </c>
      <c r="E665" s="130" t="str">
        <f>_xlfn.CONCAT(Tableau119[[#This Row],[POL]],"-",Tableau119[[#This Row],[Carrier]],"-",Tableau119[[#This Row],[POD]])</f>
        <v>FALSO-FALSO-FALSO</v>
      </c>
      <c r="F665" s="66" t="str">
        <f>_xlfn.CONCAT(Tableau119[[#This Row],[ID]],"-","Actif")</f>
        <v>403-Actif</v>
      </c>
      <c r="G665" s="66" t="str">
        <f>_xlfn.CONCAT(Tableau119[[#This Row],[POD]],"-",Tableau119[[#This Row],[Code PFI]],"-",Tableau119[[#This Row],[Compte Consignee]])</f>
        <v>FALSO---900383</v>
      </c>
      <c r="H6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27002800FALSOTANGER</v>
      </c>
      <c r="I665" s="434" t="str">
        <f>_xlfn.CONCAT(Tableau119[[#This Row],[ID]],"-",Tableau119[[#This Row],[Expiration Date]])</f>
        <v>403-45473</v>
      </c>
      <c r="J6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Forwarder-HIGHLY MARELLI MALAYSIA SDN. BHD.-403-FALSO-FALSO-FALSO--45473</v>
      </c>
      <c r="K665" s="119" t="str">
        <f ca="1">IF(COUNTIF(J:J,Tableau119[[#This Row],[Plant-ILN-shipper-POL-Carrier-POD-PFI]])=1,"Non","Oui")</f>
        <v>Non</v>
      </c>
      <c r="L665" s="128" t="str">
        <f>VLOOKUP(Tableau119[[#This Row],[Name Site]],Plant_AILN!A:D,4,FALSE)</f>
        <v>MOROCCO</v>
      </c>
      <c r="M665" s="415" t="s">
        <v>180</v>
      </c>
      <c r="N665" s="455">
        <f>VLOOKUP(Tableau119[[#This Row],[Name Site]],Plant_AILN!A:C,3,FALSE)</f>
        <v>900383</v>
      </c>
      <c r="O665" s="104">
        <f>VLOOKUP(Tableau119[[#This Row],[Compte Consignee]],Order!C:D,2,FALSE)</f>
        <v>7</v>
      </c>
      <c r="P665" s="126" t="s">
        <v>146</v>
      </c>
      <c r="Q665" s="366">
        <f>VLOOKUP(Tableau119[[#This Row],[Name ILN]],Plant_AILN!F:G,2,FALSE)</f>
        <v>0</v>
      </c>
      <c r="R665" s="81">
        <f>VLOOKUP(Tableau119[[#This Row],[Compte ILN]],'DATA ILN'!D:I,6,FALSE)</f>
        <v>9</v>
      </c>
      <c r="S665" s="81" t="e">
        <f>IFERROR(VLOOKUP(Tableau119[[#This Row],[Key(Compte ILN - shipper - POL - plant)]],'DATA ILN'!A:J,10,FALSE),VLOOKUP(Tableau119[[#This Row],[Key(Compte ILN - shipper - POL)]],'DATA ILN'!B:J,9,FALSE))</f>
        <v>#N/A</v>
      </c>
      <c r="T665" s="81" t="e">
        <f>IFERROR(VLOOKUP(Tableau119[[#This Row],[Key(Compte ILN - shipper - POL - plant)]],'DATA ILN'!A:K,11,FALSE),VLOOKUP(Tableau119[[#This Row],[Key(Compte ILN - shipper - POL)]],'DATA ILN'!B:K,10,FALSE))</f>
        <v>#N/A</v>
      </c>
      <c r="U665" s="81" t="e">
        <f>IFERROR(VLOOKUP(Tableau119[[#This Row],[Key(Compte ILN - shipper - POL - plant)]],'DATA ILN'!A:L,12,FALSE),VLOOKUP(Tableau119[[#This Row],[Key(Compte ILN - shipper - POL)]],'DATA ILN'!B:L,11,FALSE))</f>
        <v>#N/A</v>
      </c>
      <c r="V665" s="81" t="e">
        <f>Tableau119[[#This Row],[Day ILN Order]]+Tableau119[[#This Row],[Delivery time to ILN/Shipper]]-1</f>
        <v>#N/A</v>
      </c>
      <c r="W665" s="81" t="e">
        <f>IFERROR(VLOOKUP(Tableau119[[#This Row],[Key(Compte ILN - shipper - POL - plant)]],'DATA ILN'!A:N,14,FALSE),VLOOKUP(Tableau119[[#This Row],[Key(Compte ILN - shipper - POL)]],'DATA ILN'!B:N,13,FALSE))</f>
        <v>#N/A</v>
      </c>
      <c r="X665" s="81" t="e">
        <f>IFERROR(VLOOKUP(Tableau119[[#This Row],[Key(Compte ILN - shipper - POL - plant)]],'DATA ILN'!A:P,16,FALSE),VLOOKUP(Tableau119[[#This Row],[Key(Compte ILN - shipper - POL)]],'DATA ILN'!B:P,15,FALSE))</f>
        <v>#N/A</v>
      </c>
      <c r="Y665" s="102" t="s">
        <v>322</v>
      </c>
      <c r="Z665" s="417">
        <f>IFERROR(VLOOKUP(Tableau119[[#This Row],[Name Shipper]],Plant_AILN!L:M,2,FALSE),0)</f>
        <v>27002800</v>
      </c>
      <c r="AA665" s="416">
        <v>403</v>
      </c>
      <c r="AB665" s="396" t="b">
        <f>_xlfn.XLOOKUP(Tableau119[[#This Row],[Key(ID-date)]],'DATA BTO'!S:S,'DATA BTO'!E:E,FALSE)</f>
        <v>0</v>
      </c>
      <c r="AC665" s="3" t="b">
        <f>_xlfn.XLOOKUP(Tableau119[[#This Row],[Key(ID-date)]],'DATA BTO'!S:S,'DATA BTO'!F:F,FALSE)</f>
        <v>0</v>
      </c>
      <c r="AD665" s="50" t="b">
        <f>_xlfn.XLOOKUP(Tableau119[[#This Row],[Key(ID-date)]],'DATA BTO'!S:S,'DATA BTO'!G:G,FALSE)</f>
        <v>0</v>
      </c>
      <c r="AE665" s="50" t="b">
        <f>_xlfn.XLOOKUP(Tableau119[[#This Row],[Key(ID-date)]],'DATA BTO'!S:S,'DATA BTO'!H:H,FALSE)</f>
        <v>0</v>
      </c>
      <c r="AF665" s="447" t="e">
        <f>IF(Tableau119[[#This Row],[First Day to POL]]&lt;=Tableau119[[#This Row],[Day Cut Off]],Tableau119[[#This Row],[Day ETD]],Tableau119[[#This Row],[Day ETD]]+7)</f>
        <v>#N/A</v>
      </c>
      <c r="AG665" s="50" t="b">
        <f>_xlfn.XLOOKUP(Tableau119[[#This Row],[Key(ID-date)]],'DATA BTO'!S:S,'DATA BTO'!I:I,FALSE)</f>
        <v>0</v>
      </c>
      <c r="AH665" s="3" t="b">
        <f>_xlfn.XLOOKUP(Tableau119[[#This Row],[Key(ID-date)]],'DATA BTO'!S:S,'DATA BTO'!J:J,FALSE)</f>
        <v>0</v>
      </c>
      <c r="AI665" s="3" t="b">
        <f>_xlfn.XLOOKUP(Tableau119[[#This Row],[Key(ID-date)]],'DATA BTO'!S:S,'DATA BTO'!K:K,FALSE)</f>
        <v>0</v>
      </c>
      <c r="AJ665" s="50" t="b">
        <f>_xlfn.XLOOKUP(Tableau119[[#This Row],[Key(ID-date)]],'DATA BTO'!S:S,'DATA BTO'!L:L,FALSE)</f>
        <v>0</v>
      </c>
      <c r="AK665" s="53" t="b">
        <f>_xlfn.XLOOKUP(Tableau119[[#This Row],[Key(ID-date)]],'DATA BTO'!S:S,'DATA BTO'!N:N,FALSE)</f>
        <v>0</v>
      </c>
      <c r="AL665" s="54" t="e">
        <f>VLOOKUP(Tableau119[[#This Row],[Key(POD -PFI- Usine)]],'DATA Consignee'!A:F,6,FALSE)</f>
        <v>#N/A</v>
      </c>
      <c r="AM665" s="127"/>
      <c r="AN665" s="375" t="str">
        <f>IF(Tableau119[[#This Row],[Name PFI/CDD]]="","-",VLOOKUP(Tableau119[[#This Row],[Name PFI/CDD]],Plant_AILN!I:J,2,FALSE))</f>
        <v>-</v>
      </c>
      <c r="AO66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5" s="110" t="e">
        <f>VLOOKUP(Tableau119[[#This Row],[Key(POD -PFI- Usine)]],'DATA Consignee'!A:J,10,FALSE)</f>
        <v>#N/A</v>
      </c>
      <c r="AR665" s="81" t="e">
        <f>VLOOKUP(Tableau119[[#This Row],[Key(POD -PFI- Usine)]],'DATA Consignee'!A:N,14,FALSE)</f>
        <v>#N/A</v>
      </c>
      <c r="AS66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5" s="81">
        <f>Tableau119[[#This Row],[Transit time]]+Tableau119[[#This Row],[Time for security]]+Tableau119[[#This Row],[Time for security2 buffer]]</f>
        <v>0</v>
      </c>
      <c r="AV6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5" s="50" t="e">
        <f>Tableau119[[#This Row],[Leadtime SI2C]]+Tableau119[[#This Row],[First Receipt Days]]-Tableau119[[#This Row],[Day Customer Order]]+1</f>
        <v>#N/A</v>
      </c>
      <c r="AX665" s="119" t="e">
        <f>IF(Tableau119[[#This Row],[Name ILN]]&lt;&gt;"SFK Freight Forwarder",Tableau119[[#This Row],[Cust. Leadtime]],Tableau119[[#This Row],[Leadtime SI2C]])</f>
        <v>#N/A</v>
      </c>
      <c r="AY665" s="51" t="b">
        <f>_xlfn.XLOOKUP(Tableau119[[#This Row],[Key(ID-date)]],'DATA BTO'!S:S,'DATA BTO'!P:P,FALSE)</f>
        <v>0</v>
      </c>
      <c r="AZ665" s="388">
        <v>45473</v>
      </c>
      <c r="BA665" s="81"/>
    </row>
    <row r="666" spans="2:53">
      <c r="B666" s="66" t="str">
        <f>_xlfn.CONCAT(Tableau119[[#This Row],[Name ILN]],"-",Tableau119[[#This Row],[Name Shipper]],"-",Tableau119[[#This Row],[Name Site]])</f>
        <v>ILN Pune-ILN Pune-SOMACA</v>
      </c>
      <c r="C666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66" s="66" t="str">
        <f>_xlfn.CONCAT(Tableau119[[#This Row],[Compte ILN]],"-",Tableau119[[#This Row],[Compte Shipper]],"-",Tableau119[[#This Row],[POL]])</f>
        <v>2533780535-2533780535-FALSO</v>
      </c>
      <c r="E666" s="130" t="str">
        <f>_xlfn.CONCAT(Tableau119[[#This Row],[POL]],"-",Tableau119[[#This Row],[Carrier]],"-",Tableau119[[#This Row],[POD]])</f>
        <v>FALSO-FALSO-FALSO</v>
      </c>
      <c r="F666" s="66" t="str">
        <f>_xlfn.CONCAT(Tableau119[[#This Row],[ID]],"-","Actif")</f>
        <v>405-Actif</v>
      </c>
      <c r="G666" s="66" t="str">
        <f>_xlfn.CONCAT(Tableau119[[#This Row],[POD]],"-",Tableau119[[#This Row],[Code PFI]],"-",Tableau119[[#This Row],[Compte Consignee]])</f>
        <v>FALSO---90038200</v>
      </c>
      <c r="H6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PuneFALSOSOMACA</v>
      </c>
      <c r="I666" s="434" t="str">
        <f>_xlfn.CONCAT(Tableau119[[#This Row],[ID]],"-",Tableau119[[#This Row],[Expiration Date]])</f>
        <v>405-46142</v>
      </c>
      <c r="J6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Pune-ILN Pune-405-FALSO-FALSO-FALSO--46142</v>
      </c>
      <c r="K666" s="119" t="str">
        <f ca="1">IF(COUNTIF(J:J,Tableau119[[#This Row],[Plant-ILN-shipper-POL-Carrier-POD-PFI]])=1,"Non","Oui")</f>
        <v>Non</v>
      </c>
      <c r="L666" s="128" t="str">
        <f>VLOOKUP(Tableau119[[#This Row],[Name Site]],Plant_AILN!A:D,4,FALSE)</f>
        <v>MOROCCO</v>
      </c>
      <c r="M666" s="411" t="s">
        <v>179</v>
      </c>
      <c r="N666" s="454">
        <f>VLOOKUP(Tableau119[[#This Row],[Name Site]],Plant_AILN!A:C,3,FALSE)</f>
        <v>90038200</v>
      </c>
      <c r="O666" s="55">
        <f>IF(Tableau119[[#This Row],[Name PFI/CDD]]="PFI VLL",2,VLOOKUP(Tableau119[[#This Row],[Compte Consignee]],Order!C:D,2,FALSE))</f>
        <v>7</v>
      </c>
      <c r="P666" s="124" t="s">
        <v>150</v>
      </c>
      <c r="Q666" s="365">
        <f>VLOOKUP(Tableau119[[#This Row],[Name ILN]],Plant_AILN!F:G,2,FALSE)</f>
        <v>2533780535</v>
      </c>
      <c r="R666" s="50">
        <f>VLOOKUP(Tableau119[[#This Row],[Compte ILN]],'DATA ILN'!D:I,6,FALSE)</f>
        <v>9</v>
      </c>
      <c r="S666" s="50" t="e">
        <f>IFERROR(VLOOKUP(Tableau119[[#This Row],[Key(Compte ILN - shipper - POL - plant)]],'DATA ILN'!A:J,10,FALSE),VLOOKUP(Tableau119[[#This Row],[Key(Compte ILN - shipper - POL)]],'DATA ILN'!B:J,9,FALSE))</f>
        <v>#N/A</v>
      </c>
      <c r="T666" s="50" t="e">
        <f>IFERROR(VLOOKUP(Tableau119[[#This Row],[Key(Compte ILN - shipper - POL - plant)]],'DATA ILN'!A:K,11,FALSE),VLOOKUP(Tableau119[[#This Row],[Key(Compte ILN - shipper - POL)]],'DATA ILN'!B:K,10,FALSE))</f>
        <v>#N/A</v>
      </c>
      <c r="U666" s="50" t="e">
        <f>IFERROR(VLOOKUP(Tableau119[[#This Row],[Key(Compte ILN - shipper - POL - plant)]],'DATA ILN'!A:L,12,FALSE),VLOOKUP(Tableau119[[#This Row],[Key(Compte ILN - shipper - POL)]],'DATA ILN'!B:L,11,FALSE))</f>
        <v>#N/A</v>
      </c>
      <c r="V666" s="50" t="e">
        <f>Tableau119[[#This Row],[Day ILN Order]]+Tableau119[[#This Row],[Delivery time to ILN/Shipper]]-1</f>
        <v>#N/A</v>
      </c>
      <c r="W666" s="50" t="e">
        <f>IFERROR(VLOOKUP(Tableau119[[#This Row],[Key(Compte ILN - shipper - POL - plant)]],'DATA ILN'!A:N,14,FALSE),VLOOKUP(Tableau119[[#This Row],[Key(Compte ILN - shipper - POL)]],'DATA ILN'!B:N,13,FALSE))</f>
        <v>#N/A</v>
      </c>
      <c r="X666" s="50" t="e">
        <f>IFERROR(VLOOKUP(Tableau119[[#This Row],[Key(Compte ILN - shipper - POL - plant)]],'DATA ILN'!A:P,16,FALSE),VLOOKUP(Tableau119[[#This Row],[Key(Compte ILN - shipper - POL)]],'DATA ILN'!B:P,15,FALSE))</f>
        <v>#N/A</v>
      </c>
      <c r="Y666" s="284" t="s">
        <v>150</v>
      </c>
      <c r="Z666" s="430">
        <f>IFERROR(VLOOKUP(Tableau119[[#This Row],[Name Shipper]],Plant_AILN!L:M,2,FALSE),0)</f>
        <v>2533780535</v>
      </c>
      <c r="AA666" s="414">
        <v>405</v>
      </c>
      <c r="AB666" s="396" t="b">
        <f>_xlfn.XLOOKUP(Tableau119[[#This Row],[Key(ID-date)]],'DATA BTO'!S:S,'DATA BTO'!E:E,FALSE)</f>
        <v>0</v>
      </c>
      <c r="AC666" s="3" t="b">
        <f>_xlfn.XLOOKUP(Tableau119[[#This Row],[Key(ID-date)]],'DATA BTO'!S:S,'DATA BTO'!F:F,FALSE)</f>
        <v>0</v>
      </c>
      <c r="AD666" s="50" t="b">
        <f>_xlfn.XLOOKUP(Tableau119[[#This Row],[Key(ID-date)]],'DATA BTO'!S:S,'DATA BTO'!G:G,FALSE)</f>
        <v>0</v>
      </c>
      <c r="AE666" s="50" t="b">
        <f>_xlfn.XLOOKUP(Tableau119[[#This Row],[Key(ID-date)]],'DATA BTO'!S:S,'DATA BTO'!H:H,FALSE)</f>
        <v>0</v>
      </c>
      <c r="AF666" s="447" t="e">
        <f>IF(Tableau119[[#This Row],[First Day to POL]]&lt;=Tableau119[[#This Row],[Day Cut Off]],Tableau119[[#This Row],[Day ETD]],Tableau119[[#This Row],[Day ETD]]+7)</f>
        <v>#N/A</v>
      </c>
      <c r="AG666" s="50" t="b">
        <f>_xlfn.XLOOKUP(Tableau119[[#This Row],[Key(ID-date)]],'DATA BTO'!S:S,'DATA BTO'!I:I,FALSE)</f>
        <v>0</v>
      </c>
      <c r="AH666" s="3" t="b">
        <f>_xlfn.XLOOKUP(Tableau119[[#This Row],[Key(ID-date)]],'DATA BTO'!S:S,'DATA BTO'!J:J,FALSE)</f>
        <v>0</v>
      </c>
      <c r="AI666" s="3" t="b">
        <f>_xlfn.XLOOKUP(Tableau119[[#This Row],[Key(ID-date)]],'DATA BTO'!S:S,'DATA BTO'!K:K,FALSE)</f>
        <v>0</v>
      </c>
      <c r="AJ666" s="50" t="b">
        <f>_xlfn.XLOOKUP(Tableau119[[#This Row],[Key(ID-date)]],'DATA BTO'!S:S,'DATA BTO'!L:L,FALSE)</f>
        <v>0</v>
      </c>
      <c r="AK666" s="53" t="b">
        <f>_xlfn.XLOOKUP(Tableau119[[#This Row],[Key(ID-date)]],'DATA BTO'!S:S,'DATA BTO'!N:N,FALSE)</f>
        <v>0</v>
      </c>
      <c r="AL666" s="54" t="e">
        <f>VLOOKUP(Tableau119[[#This Row],[Key(POD -PFI- Usine)]],'DATA Consignee'!A:F,6,FALSE)</f>
        <v>#N/A</v>
      </c>
      <c r="AM666" s="127"/>
      <c r="AN666" s="376" t="str">
        <f>IF(Tableau119[[#This Row],[Name PFI/CDD]]="","-",VLOOKUP(Tableau119[[#This Row],[Name PFI/CDD]],Plant_AILN!I:J,2,FALSE))</f>
        <v>-</v>
      </c>
      <c r="AO6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6" s="2" t="e">
        <f>VLOOKUP(Tableau119[[#This Row],[Key(POD -PFI- Usine)]],'DATA Consignee'!A:J,10,FALSE)</f>
        <v>#N/A</v>
      </c>
      <c r="AR666" s="50" t="e">
        <f>VLOOKUP(Tableau119[[#This Row],[Key(POD -PFI- Usine)]],'DATA Consignee'!A:N,14,FALSE)</f>
        <v>#N/A</v>
      </c>
      <c r="AS6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6" s="50">
        <f>Tableau119[[#This Row],[Transit time]]+Tableau119[[#This Row],[Time for security]]+Tableau119[[#This Row],[Time for security2 buffer]]</f>
        <v>0</v>
      </c>
      <c r="AV6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6" s="50" t="e">
        <f>Tableau119[[#This Row],[Leadtime SI2C]]+Tableau119[[#This Row],[First Receipt Days]]-Tableau119[[#This Row],[Day Customer Order]]+1</f>
        <v>#N/A</v>
      </c>
      <c r="AX666" s="119" t="e">
        <f>IF(Tableau119[[#This Row],[Name ILN]]&lt;&gt;"SFK Freight Forwarder",Tableau119[[#This Row],[Cust. Leadtime]],Tableau119[[#This Row],[Leadtime SI2C]])</f>
        <v>#N/A</v>
      </c>
      <c r="AY666" s="51" t="b">
        <f>_xlfn.XLOOKUP(Tableau119[[#This Row],[Key(ID-date)]],'DATA BTO'!S:S,'DATA BTO'!P:P,FALSE)</f>
        <v>0</v>
      </c>
      <c r="AZ666" s="338">
        <v>46142</v>
      </c>
      <c r="BA666" s="50"/>
    </row>
    <row r="667" spans="2:53">
      <c r="B667" s="66" t="str">
        <f>_xlfn.CONCAT(Tableau119[[#This Row],[Name ILN]],"-",Tableau119[[#This Row],[Name Shipper]],"-",Tableau119[[#This Row],[Name Site]])</f>
        <v>ILN Pune-ILN Pune-TANGER</v>
      </c>
      <c r="C667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67" s="66" t="str">
        <f>_xlfn.CONCAT(Tableau119[[#This Row],[Compte ILN]],"-",Tableau119[[#This Row],[Compte Shipper]],"-",Tableau119[[#This Row],[POL]])</f>
        <v>2533780535-2533780535-FALSO</v>
      </c>
      <c r="E667" s="130" t="str">
        <f>_xlfn.CONCAT(Tableau119[[#This Row],[POL]],"-",Tableau119[[#This Row],[Carrier]],"-",Tableau119[[#This Row],[POD]])</f>
        <v>FALSO-FALSO-FALSO</v>
      </c>
      <c r="F667" s="66" t="str">
        <f>_xlfn.CONCAT(Tableau119[[#This Row],[ID]],"-","Actif")</f>
        <v>405-Actif</v>
      </c>
      <c r="G667" s="66" t="str">
        <f>_xlfn.CONCAT(Tableau119[[#This Row],[POD]],"-",Tableau119[[#This Row],[Code PFI]],"-",Tableau119[[#This Row],[Compte Consignee]])</f>
        <v>FALSO---900383</v>
      </c>
      <c r="H6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PuneFALSOTANGER</v>
      </c>
      <c r="I667" s="434" t="str">
        <f>_xlfn.CONCAT(Tableau119[[#This Row],[ID]],"-",Tableau119[[#This Row],[Expiration Date]])</f>
        <v>405-46142</v>
      </c>
      <c r="J6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Pune-ILN Pune-405-FALSO-FALSO-FALSO--46142</v>
      </c>
      <c r="K667" s="119" t="str">
        <f ca="1">IF(COUNTIF(J:J,Tableau119[[#This Row],[Plant-ILN-shipper-POL-Carrier-POD-PFI]])=1,"Non","Oui")</f>
        <v>Non</v>
      </c>
      <c r="L667" s="436" t="str">
        <f>VLOOKUP(Tableau119[[#This Row],[Name Site]],Plant_AILN!A:D,4,FALSE)</f>
        <v>MOROCCO</v>
      </c>
      <c r="M667" s="285" t="s">
        <v>180</v>
      </c>
      <c r="N667" s="454">
        <f>VLOOKUP(Tableau119[[#This Row],[Name Site]],Plant_AILN!A:C,3,FALSE)</f>
        <v>900383</v>
      </c>
      <c r="O667" s="55">
        <f>IF(Tableau119[[#This Row],[Name PFI/CDD]]="PFI VLL",2,VLOOKUP(Tableau119[[#This Row],[Compte Consignee]],Order!C:D,2,FALSE))</f>
        <v>7</v>
      </c>
      <c r="P667" s="124" t="s">
        <v>150</v>
      </c>
      <c r="Q667" s="365">
        <f>VLOOKUP(Tableau119[[#This Row],[Name ILN]],Plant_AILN!F:G,2,FALSE)</f>
        <v>2533780535</v>
      </c>
      <c r="R667" s="50">
        <f>VLOOKUP(Tableau119[[#This Row],[Compte ILN]],'DATA ILN'!D:I,6,FALSE)</f>
        <v>9</v>
      </c>
      <c r="S667" s="50" t="e">
        <f>IFERROR(VLOOKUP(Tableau119[[#This Row],[Key(Compte ILN - shipper - POL - plant)]],'DATA ILN'!A:J,10,FALSE),VLOOKUP(Tableau119[[#This Row],[Key(Compte ILN - shipper - POL)]],'DATA ILN'!B:J,9,FALSE))</f>
        <v>#N/A</v>
      </c>
      <c r="T667" s="50" t="e">
        <f>IFERROR(VLOOKUP(Tableau119[[#This Row],[Key(Compte ILN - shipper - POL - plant)]],'DATA ILN'!A:K,11,FALSE),VLOOKUP(Tableau119[[#This Row],[Key(Compte ILN - shipper - POL)]],'DATA ILN'!B:K,10,FALSE))</f>
        <v>#N/A</v>
      </c>
      <c r="U667" s="50" t="e">
        <f>IFERROR(VLOOKUP(Tableau119[[#This Row],[Key(Compte ILN - shipper - POL - plant)]],'DATA ILN'!A:L,12,FALSE),VLOOKUP(Tableau119[[#This Row],[Key(Compte ILN - shipper - POL)]],'DATA ILN'!B:L,11,FALSE))</f>
        <v>#N/A</v>
      </c>
      <c r="V667" s="50" t="e">
        <f>Tableau119[[#This Row],[Day ILN Order]]+Tableau119[[#This Row],[Delivery time to ILN/Shipper]]-1</f>
        <v>#N/A</v>
      </c>
      <c r="W667" s="50" t="e">
        <f>IFERROR(VLOOKUP(Tableau119[[#This Row],[Key(Compte ILN - shipper - POL - plant)]],'DATA ILN'!A:N,14,FALSE),VLOOKUP(Tableau119[[#This Row],[Key(Compte ILN - shipper - POL)]],'DATA ILN'!B:N,13,FALSE))</f>
        <v>#N/A</v>
      </c>
      <c r="X667" s="50" t="e">
        <f>IFERROR(VLOOKUP(Tableau119[[#This Row],[Key(Compte ILN - shipper - POL - plant)]],'DATA ILN'!A:P,16,FALSE),VLOOKUP(Tableau119[[#This Row],[Key(Compte ILN - shipper - POL)]],'DATA ILN'!B:P,15,FALSE))</f>
        <v>#N/A</v>
      </c>
      <c r="Y667" s="284" t="s">
        <v>150</v>
      </c>
      <c r="Z667" s="430">
        <f>IFERROR(VLOOKUP(Tableau119[[#This Row],[Name Shipper]],Plant_AILN!L:M,2,FALSE),0)</f>
        <v>2533780535</v>
      </c>
      <c r="AA667" s="406">
        <v>405</v>
      </c>
      <c r="AB667" s="396" t="b">
        <f>_xlfn.XLOOKUP(Tableau119[[#This Row],[Key(ID-date)]],'DATA BTO'!S:S,'DATA BTO'!E:E,FALSE)</f>
        <v>0</v>
      </c>
      <c r="AC667" s="3" t="b">
        <f>_xlfn.XLOOKUP(Tableau119[[#This Row],[Key(ID-date)]],'DATA BTO'!S:S,'DATA BTO'!F:F,FALSE)</f>
        <v>0</v>
      </c>
      <c r="AD667" s="50" t="b">
        <f>_xlfn.XLOOKUP(Tableau119[[#This Row],[Key(ID-date)]],'DATA BTO'!S:S,'DATA BTO'!G:G,FALSE)</f>
        <v>0</v>
      </c>
      <c r="AE667" s="50" t="b">
        <f>_xlfn.XLOOKUP(Tableau119[[#This Row],[Key(ID-date)]],'DATA BTO'!S:S,'DATA BTO'!H:H,FALSE)</f>
        <v>0</v>
      </c>
      <c r="AF667" s="447" t="e">
        <f>IF(Tableau119[[#This Row],[First Day to POL]]&lt;=Tableau119[[#This Row],[Day Cut Off]],Tableau119[[#This Row],[Day ETD]],Tableau119[[#This Row],[Day ETD]]+7)</f>
        <v>#N/A</v>
      </c>
      <c r="AG667" s="50" t="b">
        <f>_xlfn.XLOOKUP(Tableau119[[#This Row],[Key(ID-date)]],'DATA BTO'!S:S,'DATA BTO'!I:I,FALSE)</f>
        <v>0</v>
      </c>
      <c r="AH667" s="3" t="b">
        <f>_xlfn.XLOOKUP(Tableau119[[#This Row],[Key(ID-date)]],'DATA BTO'!S:S,'DATA BTO'!J:J,FALSE)</f>
        <v>0</v>
      </c>
      <c r="AI667" s="3" t="b">
        <f>_xlfn.XLOOKUP(Tableau119[[#This Row],[Key(ID-date)]],'DATA BTO'!S:S,'DATA BTO'!K:K,FALSE)</f>
        <v>0</v>
      </c>
      <c r="AJ667" s="50" t="b">
        <f>_xlfn.XLOOKUP(Tableau119[[#This Row],[Key(ID-date)]],'DATA BTO'!S:S,'DATA BTO'!L:L,FALSE)</f>
        <v>0</v>
      </c>
      <c r="AK667" s="53" t="b">
        <f>_xlfn.XLOOKUP(Tableau119[[#This Row],[Key(ID-date)]],'DATA BTO'!S:S,'DATA BTO'!N:N,FALSE)</f>
        <v>0</v>
      </c>
      <c r="AL667" s="54" t="e">
        <f>VLOOKUP(Tableau119[[#This Row],[Key(POD -PFI- Usine)]],'DATA Consignee'!A:F,6,FALSE)</f>
        <v>#N/A</v>
      </c>
      <c r="AM667" s="127"/>
      <c r="AN667" s="376" t="str">
        <f>IF(Tableau119[[#This Row],[Name PFI/CDD]]="","-",VLOOKUP(Tableau119[[#This Row],[Name PFI/CDD]],Plant_AILN!I:J,2,FALSE))</f>
        <v>-</v>
      </c>
      <c r="AO66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7" s="2" t="e">
        <f>VLOOKUP(Tableau119[[#This Row],[Key(POD -PFI- Usine)]],'DATA Consignee'!A:J,10,FALSE)</f>
        <v>#N/A</v>
      </c>
      <c r="AR667" s="50" t="e">
        <f>VLOOKUP(Tableau119[[#This Row],[Key(POD -PFI- Usine)]],'DATA Consignee'!A:N,14,FALSE)</f>
        <v>#N/A</v>
      </c>
      <c r="AS66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7" s="50">
        <f>Tableau119[[#This Row],[Transit time]]+Tableau119[[#This Row],[Time for security]]+Tableau119[[#This Row],[Time for security2 buffer]]</f>
        <v>0</v>
      </c>
      <c r="AV6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7" s="50" t="e">
        <f>Tableau119[[#This Row],[Leadtime SI2C]]+Tableau119[[#This Row],[First Receipt Days]]-Tableau119[[#This Row],[Day Customer Order]]+1</f>
        <v>#N/A</v>
      </c>
      <c r="AX667" s="119" t="e">
        <f>IF(Tableau119[[#This Row],[Name ILN]]&lt;&gt;"SFK Freight Forwarder",Tableau119[[#This Row],[Cust. Leadtime]],Tableau119[[#This Row],[Leadtime SI2C]])</f>
        <v>#N/A</v>
      </c>
      <c r="AY667" s="51" t="b">
        <f>_xlfn.XLOOKUP(Tableau119[[#This Row],[Key(ID-date)]],'DATA BTO'!S:S,'DATA BTO'!P:P,FALSE)</f>
        <v>0</v>
      </c>
      <c r="AZ667" s="338">
        <v>46142</v>
      </c>
      <c r="BA667" s="50"/>
    </row>
    <row r="668" spans="2:53">
      <c r="B668" s="446" t="str">
        <f>_xlfn.CONCAT(Tableau119[[#This Row],[Name ILN]],"-",Tableau119[[#This Row],[Name Shipper]],"-",Tableau119[[#This Row],[Name Site]])</f>
        <v>ILN Pune-ILN Pune-SOMACA</v>
      </c>
      <c r="C668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68" s="66" t="str">
        <f>_xlfn.CONCAT(Tableau119[[#This Row],[Compte ILN]],"-",Tableau119[[#This Row],[Compte Shipper]],"-",Tableau119[[#This Row],[POL]])</f>
        <v>2533780535-2533780535-FALSO</v>
      </c>
      <c r="E668" s="130" t="str">
        <f>_xlfn.CONCAT(Tableau119[[#This Row],[POL]],"-",Tableau119[[#This Row],[Carrier]],"-",Tableau119[[#This Row],[POD]])</f>
        <v>FALSO-FALSO-FALSO</v>
      </c>
      <c r="F668" s="66" t="str">
        <f>_xlfn.CONCAT(Tableau119[[#This Row],[ID]],"-","Actif")</f>
        <v>405-Actif</v>
      </c>
      <c r="G668" s="66" t="str">
        <f>_xlfn.CONCAT(Tableau119[[#This Row],[POD]],"-",Tableau119[[#This Row],[Code PFI]],"-",Tableau119[[#This Row],[Compte Consignee]])</f>
        <v>FALSO---90038200</v>
      </c>
      <c r="H6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PuneFALSOSOMACA</v>
      </c>
      <c r="I668" s="434" t="str">
        <f>_xlfn.CONCAT(Tableau119[[#This Row],[ID]],"-",Tableau119[[#This Row],[Expiration Date]])</f>
        <v>405-45777</v>
      </c>
      <c r="J6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Pune-ILN Pune-405-FALSO-FALSO-FALSO--45777</v>
      </c>
      <c r="K668" s="119" t="str">
        <f ca="1">IF(COUNTIF(J:J,Tableau119[[#This Row],[Plant-ILN-shipper-POL-Carrier-POD-PFI]])=1,"Non","Oui")</f>
        <v>Non</v>
      </c>
      <c r="L668" s="128" t="str">
        <f>VLOOKUP(Tableau119[[#This Row],[Name Site]],Plant_AILN!A:D,4,FALSE)</f>
        <v>MOROCCO</v>
      </c>
      <c r="M668" s="415" t="s">
        <v>179</v>
      </c>
      <c r="N668" s="455">
        <f>VLOOKUP(Tableau119[[#This Row],[Name Site]],Plant_AILN!A:C,3,FALSE)</f>
        <v>90038200</v>
      </c>
      <c r="O668" s="104">
        <f>VLOOKUP(Tableau119[[#This Row],[Compte Consignee]],Order!C:D,2,FALSE)</f>
        <v>7</v>
      </c>
      <c r="P668" s="126" t="s">
        <v>150</v>
      </c>
      <c r="Q668" s="366">
        <f>VLOOKUP(Tableau119[[#This Row],[Name ILN]],Plant_AILN!F:G,2,FALSE)</f>
        <v>2533780535</v>
      </c>
      <c r="R668" s="81">
        <f>VLOOKUP(Tableau119[[#This Row],[Compte ILN]],'DATA ILN'!D:I,6,FALSE)</f>
        <v>9</v>
      </c>
      <c r="S668" s="81" t="e">
        <f>IFERROR(VLOOKUP(Tableau119[[#This Row],[Key(Compte ILN - shipper - POL - plant)]],'DATA ILN'!A:J,10,FALSE),VLOOKUP(Tableau119[[#This Row],[Key(Compte ILN - shipper - POL)]],'DATA ILN'!B:J,9,FALSE))</f>
        <v>#N/A</v>
      </c>
      <c r="T668" s="81" t="e">
        <f>IFERROR(VLOOKUP(Tableau119[[#This Row],[Key(Compte ILN - shipper - POL - plant)]],'DATA ILN'!A:K,11,FALSE),VLOOKUP(Tableau119[[#This Row],[Key(Compte ILN - shipper - POL)]],'DATA ILN'!B:K,10,FALSE))</f>
        <v>#N/A</v>
      </c>
      <c r="U668" s="81" t="e">
        <f>IFERROR(VLOOKUP(Tableau119[[#This Row],[Key(Compte ILN - shipper - POL - plant)]],'DATA ILN'!A:L,12,FALSE),VLOOKUP(Tableau119[[#This Row],[Key(Compte ILN - shipper - POL)]],'DATA ILN'!B:L,11,FALSE))</f>
        <v>#N/A</v>
      </c>
      <c r="V668" s="81" t="e">
        <f>Tableau119[[#This Row],[Day ILN Order]]+Tableau119[[#This Row],[Delivery time to ILN/Shipper]]-1</f>
        <v>#N/A</v>
      </c>
      <c r="W668" s="81" t="e">
        <f>IFERROR(VLOOKUP(Tableau119[[#This Row],[Key(Compte ILN - shipper - POL - plant)]],'DATA ILN'!A:N,14,FALSE),VLOOKUP(Tableau119[[#This Row],[Key(Compte ILN - shipper - POL)]],'DATA ILN'!B:N,13,FALSE))</f>
        <v>#N/A</v>
      </c>
      <c r="X668" s="81" t="e">
        <f>IFERROR(VLOOKUP(Tableau119[[#This Row],[Key(Compte ILN - shipper - POL - plant)]],'DATA ILN'!A:P,16,FALSE),VLOOKUP(Tableau119[[#This Row],[Key(Compte ILN - shipper - POL)]],'DATA ILN'!B:P,15,FALSE))</f>
        <v>#N/A</v>
      </c>
      <c r="Y668" s="102" t="s">
        <v>150</v>
      </c>
      <c r="Z668" s="417">
        <f>IFERROR(VLOOKUP(Tableau119[[#This Row],[Name Shipper]],Plant_AILN!L:M,2,FALSE),0)</f>
        <v>2533780535</v>
      </c>
      <c r="AA668" s="416">
        <v>405</v>
      </c>
      <c r="AB668" s="396" t="b">
        <f>_xlfn.XLOOKUP(Tableau119[[#This Row],[Key(ID-date)]],'DATA BTO'!S:S,'DATA BTO'!E:E,FALSE)</f>
        <v>0</v>
      </c>
      <c r="AC668" s="3" t="b">
        <f>_xlfn.XLOOKUP(Tableau119[[#This Row],[Key(ID-date)]],'DATA BTO'!S:S,'DATA BTO'!F:F,FALSE)</f>
        <v>0</v>
      </c>
      <c r="AD668" s="50" t="b">
        <f>_xlfn.XLOOKUP(Tableau119[[#This Row],[Key(ID-date)]],'DATA BTO'!S:S,'DATA BTO'!G:G,FALSE)</f>
        <v>0</v>
      </c>
      <c r="AE668" s="50" t="b">
        <f>_xlfn.XLOOKUP(Tableau119[[#This Row],[Key(ID-date)]],'DATA BTO'!S:S,'DATA BTO'!H:H,FALSE)</f>
        <v>0</v>
      </c>
      <c r="AF668" s="447" t="e">
        <f>IF(Tableau119[[#This Row],[First Day to POL]]&lt;=Tableau119[[#This Row],[Day Cut Off]],Tableau119[[#This Row],[Day ETD]],Tableau119[[#This Row],[Day ETD]]+7)</f>
        <v>#N/A</v>
      </c>
      <c r="AG668" s="50" t="b">
        <f>_xlfn.XLOOKUP(Tableau119[[#This Row],[Key(ID-date)]],'DATA BTO'!S:S,'DATA BTO'!I:I,FALSE)</f>
        <v>0</v>
      </c>
      <c r="AH668" s="3" t="b">
        <f>_xlfn.XLOOKUP(Tableau119[[#This Row],[Key(ID-date)]],'DATA BTO'!S:S,'DATA BTO'!J:J,FALSE)</f>
        <v>0</v>
      </c>
      <c r="AI668" s="3" t="b">
        <f>_xlfn.XLOOKUP(Tableau119[[#This Row],[Key(ID-date)]],'DATA BTO'!S:S,'DATA BTO'!K:K,FALSE)</f>
        <v>0</v>
      </c>
      <c r="AJ668" s="50" t="b">
        <f>_xlfn.XLOOKUP(Tableau119[[#This Row],[Key(ID-date)]],'DATA BTO'!S:S,'DATA BTO'!L:L,FALSE)</f>
        <v>0</v>
      </c>
      <c r="AK668" s="53" t="b">
        <f>_xlfn.XLOOKUP(Tableau119[[#This Row],[Key(ID-date)]],'DATA BTO'!S:S,'DATA BTO'!N:N,FALSE)</f>
        <v>0</v>
      </c>
      <c r="AL668" s="54" t="e">
        <f>VLOOKUP(Tableau119[[#This Row],[Key(POD -PFI- Usine)]],'DATA Consignee'!A:F,6,FALSE)</f>
        <v>#N/A</v>
      </c>
      <c r="AM668" s="127"/>
      <c r="AN668" s="375" t="str">
        <f>IF(Tableau119[[#This Row],[Name PFI/CDD]]="","-",VLOOKUP(Tableau119[[#This Row],[Name PFI/CDD]],Plant_AILN!I:J,2,FALSE))</f>
        <v>-</v>
      </c>
      <c r="AO66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8" s="110" t="e">
        <f>VLOOKUP(Tableau119[[#This Row],[Key(POD -PFI- Usine)]],'DATA Consignee'!A:J,10,FALSE)</f>
        <v>#N/A</v>
      </c>
      <c r="AR668" s="81" t="e">
        <f>VLOOKUP(Tableau119[[#This Row],[Key(POD -PFI- Usine)]],'DATA Consignee'!A:N,14,FALSE)</f>
        <v>#N/A</v>
      </c>
      <c r="AS66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8" s="81">
        <f>Tableau119[[#This Row],[Transit time]]+Tableau119[[#This Row],[Time for security]]+Tableau119[[#This Row],[Time for security2 buffer]]</f>
        <v>0</v>
      </c>
      <c r="AV6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8" s="50" t="e">
        <f>Tableau119[[#This Row],[Leadtime SI2C]]+Tableau119[[#This Row],[First Receipt Days]]-Tableau119[[#This Row],[Day Customer Order]]+1</f>
        <v>#N/A</v>
      </c>
      <c r="AX668" s="119" t="e">
        <f>IF(Tableau119[[#This Row],[Name ILN]]&lt;&gt;"SFK Freight Forwarder",Tableau119[[#This Row],[Cust. Leadtime]],Tableau119[[#This Row],[Leadtime SI2C]])</f>
        <v>#N/A</v>
      </c>
      <c r="AY668" s="51" t="b">
        <f>_xlfn.XLOOKUP(Tableau119[[#This Row],[Key(ID-date)]],'DATA BTO'!S:S,'DATA BTO'!P:P,FALSE)</f>
        <v>0</v>
      </c>
      <c r="AZ668" s="388">
        <v>45777</v>
      </c>
      <c r="BA668" s="81"/>
    </row>
    <row r="669" spans="2:53">
      <c r="B669" s="446" t="str">
        <f>_xlfn.CONCAT(Tableau119[[#This Row],[Name ILN]],"-",Tableau119[[#This Row],[Name Shipper]],"-",Tableau119[[#This Row],[Name Site]])</f>
        <v>ILN Pune-ILN Pune-TANGER</v>
      </c>
      <c r="C669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69" s="66" t="str">
        <f>_xlfn.CONCAT(Tableau119[[#This Row],[Compte ILN]],"-",Tableau119[[#This Row],[Compte Shipper]],"-",Tableau119[[#This Row],[POL]])</f>
        <v>2533780535-2533780535-FALSO</v>
      </c>
      <c r="E669" s="130" t="str">
        <f>_xlfn.CONCAT(Tableau119[[#This Row],[POL]],"-",Tableau119[[#This Row],[Carrier]],"-",Tableau119[[#This Row],[POD]])</f>
        <v>FALSO-FALSO-FALSO</v>
      </c>
      <c r="F669" s="66" t="str">
        <f>_xlfn.CONCAT(Tableau119[[#This Row],[ID]],"-","Actif")</f>
        <v>405-Actif</v>
      </c>
      <c r="G669" s="66" t="str">
        <f>_xlfn.CONCAT(Tableau119[[#This Row],[POD]],"-",Tableau119[[#This Row],[Code PFI]],"-",Tableau119[[#This Row],[Compte Consignee]])</f>
        <v>FALSO---900383</v>
      </c>
      <c r="H6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PuneFALSOTANGER</v>
      </c>
      <c r="I669" s="434" t="str">
        <f>_xlfn.CONCAT(Tableau119[[#This Row],[ID]],"-",Tableau119[[#This Row],[Expiration Date]])</f>
        <v>405-45777</v>
      </c>
      <c r="J6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Pune-ILN Pune-405-FALSO-FALSO-FALSO--45777</v>
      </c>
      <c r="K669" s="119" t="str">
        <f ca="1">IF(COUNTIF(J:J,Tableau119[[#This Row],[Plant-ILN-shipper-POL-Carrier-POD-PFI]])=1,"Non","Oui")</f>
        <v>Non</v>
      </c>
      <c r="L669" s="128" t="str">
        <f>VLOOKUP(Tableau119[[#This Row],[Name Site]],Plant_AILN!A:D,4,FALSE)</f>
        <v>MOROCCO</v>
      </c>
      <c r="M669" s="411" t="s">
        <v>180</v>
      </c>
      <c r="N669" s="454">
        <f>VLOOKUP(Tableau119[[#This Row],[Name Site]],Plant_AILN!A:C,3,FALSE)</f>
        <v>900383</v>
      </c>
      <c r="O669" s="55">
        <f>VLOOKUP(Tableau119[[#This Row],[Compte Consignee]],Order!C:D,2,FALSE)</f>
        <v>7</v>
      </c>
      <c r="P669" s="124" t="s">
        <v>150</v>
      </c>
      <c r="Q669" s="365">
        <f>VLOOKUP(Tableau119[[#This Row],[Name ILN]],Plant_AILN!F:G,2,FALSE)</f>
        <v>2533780535</v>
      </c>
      <c r="R669" s="50">
        <f>VLOOKUP(Tableau119[[#This Row],[Compte ILN]],'DATA ILN'!D:I,6,FALSE)</f>
        <v>9</v>
      </c>
      <c r="S669" s="50" t="e">
        <f>IFERROR(VLOOKUP(Tableau119[[#This Row],[Key(Compte ILN - shipper - POL - plant)]],'DATA ILN'!A:J,10,FALSE),VLOOKUP(Tableau119[[#This Row],[Key(Compte ILN - shipper - POL)]],'DATA ILN'!B:J,9,FALSE))</f>
        <v>#N/A</v>
      </c>
      <c r="T669" s="50" t="e">
        <f>IFERROR(VLOOKUP(Tableau119[[#This Row],[Key(Compte ILN - shipper - POL - plant)]],'DATA ILN'!A:K,11,FALSE),VLOOKUP(Tableau119[[#This Row],[Key(Compte ILN - shipper - POL)]],'DATA ILN'!B:K,10,FALSE))</f>
        <v>#N/A</v>
      </c>
      <c r="U669" s="50" t="e">
        <f>IFERROR(VLOOKUP(Tableau119[[#This Row],[Key(Compte ILN - shipper - POL - plant)]],'DATA ILN'!A:L,12,FALSE),VLOOKUP(Tableau119[[#This Row],[Key(Compte ILN - shipper - POL)]],'DATA ILN'!B:L,11,FALSE))</f>
        <v>#N/A</v>
      </c>
      <c r="V669" s="50" t="e">
        <f>Tableau119[[#This Row],[Day ILN Order]]+Tableau119[[#This Row],[Delivery time to ILN/Shipper]]-1</f>
        <v>#N/A</v>
      </c>
      <c r="W669" s="50" t="e">
        <f>IFERROR(VLOOKUP(Tableau119[[#This Row],[Key(Compte ILN - shipper - POL - plant)]],'DATA ILN'!A:N,14,FALSE),VLOOKUP(Tableau119[[#This Row],[Key(Compte ILN - shipper - POL)]],'DATA ILN'!B:N,13,FALSE))</f>
        <v>#N/A</v>
      </c>
      <c r="X669" s="50" t="e">
        <f>IFERROR(VLOOKUP(Tableau119[[#This Row],[Key(Compte ILN - shipper - POL - plant)]],'DATA ILN'!A:P,16,FALSE),VLOOKUP(Tableau119[[#This Row],[Key(Compte ILN - shipper - POL)]],'DATA ILN'!B:P,15,FALSE))</f>
        <v>#N/A</v>
      </c>
      <c r="Y669" s="284" t="s">
        <v>150</v>
      </c>
      <c r="Z669" s="430">
        <f>IFERROR(VLOOKUP(Tableau119[[#This Row],[Name Shipper]],Plant_AILN!L:M,2,FALSE),0)</f>
        <v>2533780535</v>
      </c>
      <c r="AA669" s="406">
        <v>405</v>
      </c>
      <c r="AB669" s="396" t="b">
        <f>_xlfn.XLOOKUP(Tableau119[[#This Row],[Key(ID-date)]],'DATA BTO'!S:S,'DATA BTO'!E:E,FALSE)</f>
        <v>0</v>
      </c>
      <c r="AC669" s="3" t="b">
        <f>_xlfn.XLOOKUP(Tableau119[[#This Row],[Key(ID-date)]],'DATA BTO'!S:S,'DATA BTO'!F:F,FALSE)</f>
        <v>0</v>
      </c>
      <c r="AD669" s="50" t="b">
        <f>_xlfn.XLOOKUP(Tableau119[[#This Row],[Key(ID-date)]],'DATA BTO'!S:S,'DATA BTO'!G:G,FALSE)</f>
        <v>0</v>
      </c>
      <c r="AE669" s="50" t="b">
        <f>_xlfn.XLOOKUP(Tableau119[[#This Row],[Key(ID-date)]],'DATA BTO'!S:S,'DATA BTO'!H:H,FALSE)</f>
        <v>0</v>
      </c>
      <c r="AF669" s="447" t="e">
        <f>IF(Tableau119[[#This Row],[First Day to POL]]&lt;=Tableau119[[#This Row],[Day Cut Off]],Tableau119[[#This Row],[Day ETD]],Tableau119[[#This Row],[Day ETD]]+7)</f>
        <v>#N/A</v>
      </c>
      <c r="AG669" s="50" t="b">
        <f>_xlfn.XLOOKUP(Tableau119[[#This Row],[Key(ID-date)]],'DATA BTO'!S:S,'DATA BTO'!I:I,FALSE)</f>
        <v>0</v>
      </c>
      <c r="AH669" s="3" t="b">
        <f>_xlfn.XLOOKUP(Tableau119[[#This Row],[Key(ID-date)]],'DATA BTO'!S:S,'DATA BTO'!J:J,FALSE)</f>
        <v>0</v>
      </c>
      <c r="AI669" s="3" t="b">
        <f>_xlfn.XLOOKUP(Tableau119[[#This Row],[Key(ID-date)]],'DATA BTO'!S:S,'DATA BTO'!K:K,FALSE)</f>
        <v>0</v>
      </c>
      <c r="AJ669" s="50" t="b">
        <f>_xlfn.XLOOKUP(Tableau119[[#This Row],[Key(ID-date)]],'DATA BTO'!S:S,'DATA BTO'!L:L,FALSE)</f>
        <v>0</v>
      </c>
      <c r="AK669" s="53" t="b">
        <f>_xlfn.XLOOKUP(Tableau119[[#This Row],[Key(ID-date)]],'DATA BTO'!S:S,'DATA BTO'!N:N,FALSE)</f>
        <v>0</v>
      </c>
      <c r="AL669" s="54" t="e">
        <f>VLOOKUP(Tableau119[[#This Row],[Key(POD -PFI- Usine)]],'DATA Consignee'!A:F,6,FALSE)</f>
        <v>#N/A</v>
      </c>
      <c r="AM669" s="127"/>
      <c r="AN669" s="376" t="str">
        <f>IF(Tableau119[[#This Row],[Name PFI/CDD]]="","-",VLOOKUP(Tableau119[[#This Row],[Name PFI/CDD]],Plant_AILN!I:J,2,FALSE))</f>
        <v>-</v>
      </c>
      <c r="AO6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69" s="2" t="e">
        <f>VLOOKUP(Tableau119[[#This Row],[Key(POD -PFI- Usine)]],'DATA Consignee'!A:J,10,FALSE)</f>
        <v>#N/A</v>
      </c>
      <c r="AR669" s="50" t="e">
        <f>VLOOKUP(Tableau119[[#This Row],[Key(POD -PFI- Usine)]],'DATA Consignee'!A:N,14,FALSE)</f>
        <v>#N/A</v>
      </c>
      <c r="AS6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69" s="50">
        <f>Tableau119[[#This Row],[Transit time]]+Tableau119[[#This Row],[Time for security]]+Tableau119[[#This Row],[Time for security2 buffer]]</f>
        <v>0</v>
      </c>
      <c r="AV6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69" s="50" t="e">
        <f>Tableau119[[#This Row],[Leadtime SI2C]]+Tableau119[[#This Row],[First Receipt Days]]-Tableau119[[#This Row],[Day Customer Order]]+1</f>
        <v>#N/A</v>
      </c>
      <c r="AX669" s="119" t="e">
        <f>IF(Tableau119[[#This Row],[Name ILN]]&lt;&gt;"SFK Freight Forwarder",Tableau119[[#This Row],[Cust. Leadtime]],Tableau119[[#This Row],[Leadtime SI2C]])</f>
        <v>#N/A</v>
      </c>
      <c r="AY669" s="51" t="b">
        <f>_xlfn.XLOOKUP(Tableau119[[#This Row],[Key(ID-date)]],'DATA BTO'!S:S,'DATA BTO'!P:P,FALSE)</f>
        <v>0</v>
      </c>
      <c r="AZ669" s="338">
        <v>45777</v>
      </c>
      <c r="BA669" s="50"/>
    </row>
    <row r="670" spans="2:53">
      <c r="B670" s="446" t="str">
        <f>_xlfn.CONCAT(Tableau119[[#This Row],[Name ILN]],"-",Tableau119[[#This Row],[Name Shipper]],"-",Tableau119[[#This Row],[Name Site]])</f>
        <v>ILN Pune-ILN Pune-SOMACA</v>
      </c>
      <c r="C670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70" s="66" t="str">
        <f>_xlfn.CONCAT(Tableau119[[#This Row],[Compte ILN]],"-",Tableau119[[#This Row],[Compte Shipper]],"-",Tableau119[[#This Row],[POL]])</f>
        <v>2533780535-2533780535-FALSO</v>
      </c>
      <c r="E670" s="130" t="str">
        <f>_xlfn.CONCAT(Tableau119[[#This Row],[POL]],"-",Tableau119[[#This Row],[Carrier]],"-",Tableau119[[#This Row],[POD]])</f>
        <v>FALSO-FALSO-FALSO</v>
      </c>
      <c r="F670" s="66" t="str">
        <f>_xlfn.CONCAT(Tableau119[[#This Row],[ID]],"-","Actif")</f>
        <v>405-Actif</v>
      </c>
      <c r="G670" s="66" t="str">
        <f>_xlfn.CONCAT(Tableau119[[#This Row],[POD]],"-",Tableau119[[#This Row],[Code PFI]],"-",Tableau119[[#This Row],[Compte Consignee]])</f>
        <v>FALSO---90038200</v>
      </c>
      <c r="H6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PuneFALSOSOMACA</v>
      </c>
      <c r="I670" s="434" t="str">
        <f>_xlfn.CONCAT(Tableau119[[#This Row],[ID]],"-",Tableau119[[#This Row],[Expiration Date]])</f>
        <v>405-45657</v>
      </c>
      <c r="J6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Pune-ILN Pune-405-FALSO-FALSO-FALSO--45657</v>
      </c>
      <c r="K670" s="119" t="str">
        <f ca="1">IF(COUNTIF(J:J,Tableau119[[#This Row],[Plant-ILN-shipper-POL-Carrier-POD-PFI]])=1,"Non","Oui")</f>
        <v>Non</v>
      </c>
      <c r="L670" s="128" t="str">
        <f>VLOOKUP(Tableau119[[#This Row],[Name Site]],Plant_AILN!A:D,4,FALSE)</f>
        <v>MOROCCO</v>
      </c>
      <c r="M670" s="411" t="s">
        <v>179</v>
      </c>
      <c r="N670" s="454">
        <f>VLOOKUP(Tableau119[[#This Row],[Name Site]],Plant_AILN!A:C,3,FALSE)</f>
        <v>90038200</v>
      </c>
      <c r="O670" s="55">
        <f>VLOOKUP(Tableau119[[#This Row],[Compte Consignee]],Order!C:D,2,FALSE)</f>
        <v>7</v>
      </c>
      <c r="P670" s="124" t="s">
        <v>150</v>
      </c>
      <c r="Q670" s="365">
        <f>VLOOKUP(Tableau119[[#This Row],[Name ILN]],Plant_AILN!F:G,2,FALSE)</f>
        <v>2533780535</v>
      </c>
      <c r="R670" s="50">
        <f>VLOOKUP(Tableau119[[#This Row],[Compte ILN]],'DATA ILN'!D:I,6,FALSE)</f>
        <v>9</v>
      </c>
      <c r="S670" s="50" t="e">
        <f>IFERROR(VLOOKUP(Tableau119[[#This Row],[Key(Compte ILN - shipper - POL - plant)]],'DATA ILN'!A:J,10,FALSE),VLOOKUP(Tableau119[[#This Row],[Key(Compte ILN - shipper - POL)]],'DATA ILN'!B:J,9,FALSE))</f>
        <v>#N/A</v>
      </c>
      <c r="T670" s="50" t="e">
        <f>IFERROR(VLOOKUP(Tableau119[[#This Row],[Key(Compte ILN - shipper - POL - plant)]],'DATA ILN'!A:K,11,FALSE),VLOOKUP(Tableau119[[#This Row],[Key(Compte ILN - shipper - POL)]],'DATA ILN'!B:K,10,FALSE))</f>
        <v>#N/A</v>
      </c>
      <c r="U670" s="50" t="e">
        <f>IFERROR(VLOOKUP(Tableau119[[#This Row],[Key(Compte ILN - shipper - POL - plant)]],'DATA ILN'!A:L,12,FALSE),VLOOKUP(Tableau119[[#This Row],[Key(Compte ILN - shipper - POL)]],'DATA ILN'!B:L,11,FALSE))</f>
        <v>#N/A</v>
      </c>
      <c r="V670" s="50" t="e">
        <f>Tableau119[[#This Row],[Day ILN Order]]+Tableau119[[#This Row],[Delivery time to ILN/Shipper]]-1</f>
        <v>#N/A</v>
      </c>
      <c r="W670" s="50" t="e">
        <f>IFERROR(VLOOKUP(Tableau119[[#This Row],[Key(Compte ILN - shipper - POL - plant)]],'DATA ILN'!A:N,14,FALSE),VLOOKUP(Tableau119[[#This Row],[Key(Compte ILN - shipper - POL)]],'DATA ILN'!B:N,13,FALSE))</f>
        <v>#N/A</v>
      </c>
      <c r="X670" s="50" t="e">
        <f>IFERROR(VLOOKUP(Tableau119[[#This Row],[Key(Compte ILN - shipper - POL - plant)]],'DATA ILN'!A:P,16,FALSE),VLOOKUP(Tableau119[[#This Row],[Key(Compte ILN - shipper - POL)]],'DATA ILN'!B:P,15,FALSE))</f>
        <v>#N/A</v>
      </c>
      <c r="Y670" s="284" t="s">
        <v>150</v>
      </c>
      <c r="Z670" s="430">
        <f>IFERROR(VLOOKUP(Tableau119[[#This Row],[Name Shipper]],Plant_AILN!L:M,2,FALSE),0)</f>
        <v>2533780535</v>
      </c>
      <c r="AA670" s="406">
        <v>405</v>
      </c>
      <c r="AB670" s="396" t="b">
        <f>_xlfn.XLOOKUP(Tableau119[[#This Row],[Key(ID-date)]],'DATA BTO'!S:S,'DATA BTO'!E:E,FALSE)</f>
        <v>0</v>
      </c>
      <c r="AC670" s="3" t="b">
        <f>_xlfn.XLOOKUP(Tableau119[[#This Row],[Key(ID-date)]],'DATA BTO'!S:S,'DATA BTO'!F:F,FALSE)</f>
        <v>0</v>
      </c>
      <c r="AD670" s="50" t="b">
        <f>_xlfn.XLOOKUP(Tableau119[[#This Row],[Key(ID-date)]],'DATA BTO'!S:S,'DATA BTO'!G:G,FALSE)</f>
        <v>0</v>
      </c>
      <c r="AE670" s="50" t="b">
        <f>_xlfn.XLOOKUP(Tableau119[[#This Row],[Key(ID-date)]],'DATA BTO'!S:S,'DATA BTO'!H:H,FALSE)</f>
        <v>0</v>
      </c>
      <c r="AF670" s="447" t="e">
        <f>IF(Tableau119[[#This Row],[First Day to POL]]&lt;=Tableau119[[#This Row],[Day Cut Off]],Tableau119[[#This Row],[Day ETD]],Tableau119[[#This Row],[Day ETD]]+7)</f>
        <v>#N/A</v>
      </c>
      <c r="AG670" s="50" t="b">
        <f>_xlfn.XLOOKUP(Tableau119[[#This Row],[Key(ID-date)]],'DATA BTO'!S:S,'DATA BTO'!I:I,FALSE)</f>
        <v>0</v>
      </c>
      <c r="AH670" s="3" t="b">
        <f>_xlfn.XLOOKUP(Tableau119[[#This Row],[Key(ID-date)]],'DATA BTO'!S:S,'DATA BTO'!J:J,FALSE)</f>
        <v>0</v>
      </c>
      <c r="AI670" s="3" t="b">
        <f>_xlfn.XLOOKUP(Tableau119[[#This Row],[Key(ID-date)]],'DATA BTO'!S:S,'DATA BTO'!K:K,FALSE)</f>
        <v>0</v>
      </c>
      <c r="AJ670" s="50" t="b">
        <f>_xlfn.XLOOKUP(Tableau119[[#This Row],[Key(ID-date)]],'DATA BTO'!S:S,'DATA BTO'!L:L,FALSE)</f>
        <v>0</v>
      </c>
      <c r="AK670" s="53" t="b">
        <f>_xlfn.XLOOKUP(Tableau119[[#This Row],[Key(ID-date)]],'DATA BTO'!S:S,'DATA BTO'!N:N,FALSE)</f>
        <v>0</v>
      </c>
      <c r="AL670" s="54" t="e">
        <f>VLOOKUP(Tableau119[[#This Row],[Key(POD -PFI- Usine)]],'DATA Consignee'!A:F,6,FALSE)</f>
        <v>#N/A</v>
      </c>
      <c r="AM670" s="127"/>
      <c r="AN670" s="376" t="str">
        <f>IF(Tableau119[[#This Row],[Name PFI/CDD]]="","-",VLOOKUP(Tableau119[[#This Row],[Name PFI/CDD]],Plant_AILN!I:J,2,FALSE))</f>
        <v>-</v>
      </c>
      <c r="AO67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0" s="2" t="e">
        <f>VLOOKUP(Tableau119[[#This Row],[Key(POD -PFI- Usine)]],'DATA Consignee'!A:J,10,FALSE)</f>
        <v>#N/A</v>
      </c>
      <c r="AR670" s="50" t="e">
        <f>VLOOKUP(Tableau119[[#This Row],[Key(POD -PFI- Usine)]],'DATA Consignee'!A:N,14,FALSE)</f>
        <v>#N/A</v>
      </c>
      <c r="AS67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0" s="50">
        <f>Tableau119[[#This Row],[Transit time]]+Tableau119[[#This Row],[Time for security]]+Tableau119[[#This Row],[Time for security2 buffer]]</f>
        <v>0</v>
      </c>
      <c r="AV6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0" s="50" t="e">
        <f>Tableau119[[#This Row],[Leadtime SI2C]]+Tableau119[[#This Row],[First Receipt Days]]-Tableau119[[#This Row],[Day Customer Order]]+1</f>
        <v>#N/A</v>
      </c>
      <c r="AX670" s="119" t="e">
        <f>IF(Tableau119[[#This Row],[Name ILN]]&lt;&gt;"SFK Freight Forwarder",Tableau119[[#This Row],[Cust. Leadtime]],Tableau119[[#This Row],[Leadtime SI2C]])</f>
        <v>#N/A</v>
      </c>
      <c r="AY670" s="51" t="b">
        <f>_xlfn.XLOOKUP(Tableau119[[#This Row],[Key(ID-date)]],'DATA BTO'!S:S,'DATA BTO'!P:P,FALSE)</f>
        <v>0</v>
      </c>
      <c r="AZ670" s="338">
        <v>45657</v>
      </c>
      <c r="BA670" s="50"/>
    </row>
    <row r="671" spans="2:53">
      <c r="B671" s="446" t="str">
        <f>_xlfn.CONCAT(Tableau119[[#This Row],[Name ILN]],"-",Tableau119[[#This Row],[Name Shipper]],"-",Tableau119[[#This Row],[Name Site]])</f>
        <v>ILN Pune-ILN Pune-TANGER</v>
      </c>
      <c r="C671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71" s="66" t="str">
        <f>_xlfn.CONCAT(Tableau119[[#This Row],[Compte ILN]],"-",Tableau119[[#This Row],[Compte Shipper]],"-",Tableau119[[#This Row],[POL]])</f>
        <v>2533780535-2533780535-FALSO</v>
      </c>
      <c r="E671" s="130" t="str">
        <f>_xlfn.CONCAT(Tableau119[[#This Row],[POL]],"-",Tableau119[[#This Row],[Carrier]],"-",Tableau119[[#This Row],[POD]])</f>
        <v>FALSO-FALSO-FALSO</v>
      </c>
      <c r="F671" s="66" t="str">
        <f>_xlfn.CONCAT(Tableau119[[#This Row],[ID]],"-","Actif")</f>
        <v>405-Actif</v>
      </c>
      <c r="G671" s="66" t="str">
        <f>_xlfn.CONCAT(Tableau119[[#This Row],[POD]],"-",Tableau119[[#This Row],[Code PFI]],"-",Tableau119[[#This Row],[Compte Consignee]])</f>
        <v>FALSO---900383</v>
      </c>
      <c r="H6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PuneFALSOTANGER</v>
      </c>
      <c r="I671" s="434" t="str">
        <f>_xlfn.CONCAT(Tableau119[[#This Row],[ID]],"-",Tableau119[[#This Row],[Expiration Date]])</f>
        <v>405-45657</v>
      </c>
      <c r="J6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Pune-ILN Pune-405-FALSO-FALSO-FALSO--45657</v>
      </c>
      <c r="K671" s="119" t="str">
        <f ca="1">IF(COUNTIF(J:J,Tableau119[[#This Row],[Plant-ILN-shipper-POL-Carrier-POD-PFI]])=1,"Non","Oui")</f>
        <v>Non</v>
      </c>
      <c r="L671" s="128" t="str">
        <f>VLOOKUP(Tableau119[[#This Row],[Name Site]],Plant_AILN!A:D,4,FALSE)</f>
        <v>MOROCCO</v>
      </c>
      <c r="M671" s="415" t="s">
        <v>180</v>
      </c>
      <c r="N671" s="455">
        <f>VLOOKUP(Tableau119[[#This Row],[Name Site]],Plant_AILN!A:C,3,FALSE)</f>
        <v>900383</v>
      </c>
      <c r="O671" s="104">
        <f>VLOOKUP(Tableau119[[#This Row],[Compte Consignee]],Order!C:D,2,FALSE)</f>
        <v>7</v>
      </c>
      <c r="P671" s="126" t="s">
        <v>150</v>
      </c>
      <c r="Q671" s="366">
        <f>VLOOKUP(Tableau119[[#This Row],[Name ILN]],Plant_AILN!F:G,2,FALSE)</f>
        <v>2533780535</v>
      </c>
      <c r="R671" s="81">
        <f>VLOOKUP(Tableau119[[#This Row],[Compte ILN]],'DATA ILN'!D:I,6,FALSE)</f>
        <v>9</v>
      </c>
      <c r="S671" s="81" t="e">
        <f>IFERROR(VLOOKUP(Tableau119[[#This Row],[Key(Compte ILN - shipper - POL - plant)]],'DATA ILN'!A:J,10,FALSE),VLOOKUP(Tableau119[[#This Row],[Key(Compte ILN - shipper - POL)]],'DATA ILN'!B:J,9,FALSE))</f>
        <v>#N/A</v>
      </c>
      <c r="T671" s="81" t="e">
        <f>IFERROR(VLOOKUP(Tableau119[[#This Row],[Key(Compte ILN - shipper - POL - plant)]],'DATA ILN'!A:K,11,FALSE),VLOOKUP(Tableau119[[#This Row],[Key(Compte ILN - shipper - POL)]],'DATA ILN'!B:K,10,FALSE))</f>
        <v>#N/A</v>
      </c>
      <c r="U671" s="81" t="e">
        <f>IFERROR(VLOOKUP(Tableau119[[#This Row],[Key(Compte ILN - shipper - POL - plant)]],'DATA ILN'!A:L,12,FALSE),VLOOKUP(Tableau119[[#This Row],[Key(Compte ILN - shipper - POL)]],'DATA ILN'!B:L,11,FALSE))</f>
        <v>#N/A</v>
      </c>
      <c r="V671" s="81" t="e">
        <f>Tableau119[[#This Row],[Day ILN Order]]+Tableau119[[#This Row],[Delivery time to ILN/Shipper]]-1</f>
        <v>#N/A</v>
      </c>
      <c r="W671" s="81" t="e">
        <f>IFERROR(VLOOKUP(Tableau119[[#This Row],[Key(Compte ILN - shipper - POL - plant)]],'DATA ILN'!A:N,14,FALSE),VLOOKUP(Tableau119[[#This Row],[Key(Compte ILN - shipper - POL)]],'DATA ILN'!B:N,13,FALSE))</f>
        <v>#N/A</v>
      </c>
      <c r="X671" s="81" t="e">
        <f>IFERROR(VLOOKUP(Tableau119[[#This Row],[Key(Compte ILN - shipper - POL - plant)]],'DATA ILN'!A:P,16,FALSE),VLOOKUP(Tableau119[[#This Row],[Key(Compte ILN - shipper - POL)]],'DATA ILN'!B:P,15,FALSE))</f>
        <v>#N/A</v>
      </c>
      <c r="Y671" s="102" t="s">
        <v>150</v>
      </c>
      <c r="Z671" s="417">
        <f>IFERROR(VLOOKUP(Tableau119[[#This Row],[Name Shipper]],Plant_AILN!L:M,2,FALSE),0)</f>
        <v>2533780535</v>
      </c>
      <c r="AA671" s="416">
        <v>405</v>
      </c>
      <c r="AB671" s="396" t="b">
        <f>_xlfn.XLOOKUP(Tableau119[[#This Row],[Key(ID-date)]],'DATA BTO'!S:S,'DATA BTO'!E:E,FALSE)</f>
        <v>0</v>
      </c>
      <c r="AC671" s="3" t="b">
        <f>_xlfn.XLOOKUP(Tableau119[[#This Row],[Key(ID-date)]],'DATA BTO'!S:S,'DATA BTO'!F:F,FALSE)</f>
        <v>0</v>
      </c>
      <c r="AD671" s="50" t="b">
        <f>_xlfn.XLOOKUP(Tableau119[[#This Row],[Key(ID-date)]],'DATA BTO'!S:S,'DATA BTO'!G:G,FALSE)</f>
        <v>0</v>
      </c>
      <c r="AE671" s="50" t="b">
        <f>_xlfn.XLOOKUP(Tableau119[[#This Row],[Key(ID-date)]],'DATA BTO'!S:S,'DATA BTO'!H:H,FALSE)</f>
        <v>0</v>
      </c>
      <c r="AF671" s="447" t="e">
        <f>IF(Tableau119[[#This Row],[First Day to POL]]&lt;=Tableau119[[#This Row],[Day Cut Off]],Tableau119[[#This Row],[Day ETD]],Tableau119[[#This Row],[Day ETD]]+7)</f>
        <v>#N/A</v>
      </c>
      <c r="AG671" s="50" t="b">
        <f>_xlfn.XLOOKUP(Tableau119[[#This Row],[Key(ID-date)]],'DATA BTO'!S:S,'DATA BTO'!I:I,FALSE)</f>
        <v>0</v>
      </c>
      <c r="AH671" s="3" t="b">
        <f>_xlfn.XLOOKUP(Tableau119[[#This Row],[Key(ID-date)]],'DATA BTO'!S:S,'DATA BTO'!J:J,FALSE)</f>
        <v>0</v>
      </c>
      <c r="AI671" s="3" t="b">
        <f>_xlfn.XLOOKUP(Tableau119[[#This Row],[Key(ID-date)]],'DATA BTO'!S:S,'DATA BTO'!K:K,FALSE)</f>
        <v>0</v>
      </c>
      <c r="AJ671" s="50" t="b">
        <f>_xlfn.XLOOKUP(Tableau119[[#This Row],[Key(ID-date)]],'DATA BTO'!S:S,'DATA BTO'!L:L,FALSE)</f>
        <v>0</v>
      </c>
      <c r="AK671" s="53" t="b">
        <f>_xlfn.XLOOKUP(Tableau119[[#This Row],[Key(ID-date)]],'DATA BTO'!S:S,'DATA BTO'!N:N,FALSE)</f>
        <v>0</v>
      </c>
      <c r="AL671" s="54" t="e">
        <f>VLOOKUP(Tableau119[[#This Row],[Key(POD -PFI- Usine)]],'DATA Consignee'!A:F,6,FALSE)</f>
        <v>#N/A</v>
      </c>
      <c r="AM671" s="127"/>
      <c r="AN671" s="375" t="str">
        <f>IF(Tableau119[[#This Row],[Name PFI/CDD]]="","-",VLOOKUP(Tableau119[[#This Row],[Name PFI/CDD]],Plant_AILN!I:J,2,FALSE))</f>
        <v>-</v>
      </c>
      <c r="AO67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1" s="110" t="e">
        <f>VLOOKUP(Tableau119[[#This Row],[Key(POD -PFI- Usine)]],'DATA Consignee'!A:J,10,FALSE)</f>
        <v>#N/A</v>
      </c>
      <c r="AR671" s="81" t="e">
        <f>VLOOKUP(Tableau119[[#This Row],[Key(POD -PFI- Usine)]],'DATA Consignee'!A:N,14,FALSE)</f>
        <v>#N/A</v>
      </c>
      <c r="AS67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1" s="81">
        <f>Tableau119[[#This Row],[Transit time]]+Tableau119[[#This Row],[Time for security]]+Tableau119[[#This Row],[Time for security2 buffer]]</f>
        <v>0</v>
      </c>
      <c r="AV6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1" s="50" t="e">
        <f>Tableau119[[#This Row],[Leadtime SI2C]]+Tableau119[[#This Row],[First Receipt Days]]-Tableau119[[#This Row],[Day Customer Order]]+1</f>
        <v>#N/A</v>
      </c>
      <c r="AX671" s="119" t="e">
        <f>IF(Tableau119[[#This Row],[Name ILN]]&lt;&gt;"SFK Freight Forwarder",Tableau119[[#This Row],[Cust. Leadtime]],Tableau119[[#This Row],[Leadtime SI2C]])</f>
        <v>#N/A</v>
      </c>
      <c r="AY671" s="51" t="b">
        <f>_xlfn.XLOOKUP(Tableau119[[#This Row],[Key(ID-date)]],'DATA BTO'!S:S,'DATA BTO'!P:P,FALSE)</f>
        <v>0</v>
      </c>
      <c r="AZ671" s="388">
        <v>45657</v>
      </c>
      <c r="BA671" s="81"/>
    </row>
    <row r="672" spans="2:53">
      <c r="B672" s="66" t="str">
        <f>_xlfn.CONCAT(Tableau119[[#This Row],[Name ILN]],"-",Tableau119[[#This Row],[Name Shipper]],"-",Tableau119[[#This Row],[Name Site]])</f>
        <v>SFK Freight Forwarder-HIGHLY MARELLI MALAYSIA SDN. BHD.-Curitiba CVP</v>
      </c>
      <c r="C672" s="66" t="str">
        <f>_xlfn.CONCAT(Tableau119[[#This Row],[Compte ILN]],"-",Tableau119[[#This Row],[Compte Shipper]],"-",Tableau119[[#This Row],[POL]],"-",Tableau119[[#This Row],[Compte Consignee]])</f>
        <v>0-27002800-FALSO-90018000</v>
      </c>
      <c r="D672" s="66" t="str">
        <f>_xlfn.CONCAT(Tableau119[[#This Row],[Compte ILN]],"-",Tableau119[[#This Row],[Compte Shipper]],"-",Tableau119[[#This Row],[POL]])</f>
        <v>0-27002800-FALSO</v>
      </c>
      <c r="E672" s="130" t="str">
        <f>_xlfn.CONCAT(Tableau119[[#This Row],[POL]],"-",Tableau119[[#This Row],[Carrier]],"-",Tableau119[[#This Row],[POD]])</f>
        <v>FALSO-FALSO-FALSO</v>
      </c>
      <c r="F672" s="66" t="str">
        <f>_xlfn.CONCAT(Tableau119[[#This Row],[ID]],"-","Actif")</f>
        <v>408-Actif</v>
      </c>
      <c r="G672" s="66" t="str">
        <f>_xlfn.CONCAT(Tableau119[[#This Row],[POD]],"-",Tableau119[[#This Row],[Code PFI]],"-",Tableau119[[#This Row],[Compte Consignee]])</f>
        <v>FALSO---90018000</v>
      </c>
      <c r="H6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CVP</v>
      </c>
      <c r="I672" s="434" t="str">
        <f>_xlfn.CONCAT(Tableau119[[#This Row],[ID]],"-",Tableau119[[#This Row],[Expiration Date]])</f>
        <v>408-46142</v>
      </c>
      <c r="J6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Forwarder-HIGHLY MARELLI MALAYSIA SDN. BHD.-408-FALSO-FALSO-FALSO--46142</v>
      </c>
      <c r="K672" s="119" t="str">
        <f ca="1">IF(COUNTIF(J:J,Tableau119[[#This Row],[Plant-ILN-shipper-POL-Carrier-POD-PFI]])=1,"Non","Oui")</f>
        <v>Non</v>
      </c>
      <c r="L672" s="436" t="str">
        <f>VLOOKUP(Tableau119[[#This Row],[Name Site]],Plant_AILN!A:D,4,FALSE)</f>
        <v>BRAZIL</v>
      </c>
      <c r="M672" s="285" t="s">
        <v>152</v>
      </c>
      <c r="N672" s="454">
        <f>VLOOKUP(Tableau119[[#This Row],[Name Site]],Plant_AILN!A:C,3,FALSE)</f>
        <v>90018000</v>
      </c>
      <c r="O672" s="55">
        <f>IF(Tableau119[[#This Row],[Name PFI/CDD]]="PFI VLL",2,VLOOKUP(Tableau119[[#This Row],[Compte Consignee]],Order!C:D,2,FALSE))</f>
        <v>7</v>
      </c>
      <c r="P672" s="124" t="s">
        <v>146</v>
      </c>
      <c r="Q672" s="365">
        <f>VLOOKUP(Tableau119[[#This Row],[Name ILN]],Plant_AILN!F:G,2,FALSE)</f>
        <v>0</v>
      </c>
      <c r="R672" s="50">
        <f>VLOOKUP(Tableau119[[#This Row],[Compte ILN]],'DATA ILN'!D:I,6,FALSE)</f>
        <v>9</v>
      </c>
      <c r="S672" s="50" t="e">
        <f>IFERROR(VLOOKUP(Tableau119[[#This Row],[Key(Compte ILN - shipper - POL - plant)]],'DATA ILN'!A:J,10,FALSE),VLOOKUP(Tableau119[[#This Row],[Key(Compte ILN - shipper - POL)]],'DATA ILN'!B:J,9,FALSE))</f>
        <v>#N/A</v>
      </c>
      <c r="T672" s="50" t="e">
        <f>IFERROR(VLOOKUP(Tableau119[[#This Row],[Key(Compte ILN - shipper - POL - plant)]],'DATA ILN'!A:K,11,FALSE),VLOOKUP(Tableau119[[#This Row],[Key(Compte ILN - shipper - POL)]],'DATA ILN'!B:K,10,FALSE))</f>
        <v>#N/A</v>
      </c>
      <c r="U672" s="50" t="e">
        <f>IFERROR(VLOOKUP(Tableau119[[#This Row],[Key(Compte ILN - shipper - POL - plant)]],'DATA ILN'!A:L,12,FALSE),VLOOKUP(Tableau119[[#This Row],[Key(Compte ILN - shipper - POL)]],'DATA ILN'!B:L,11,FALSE))</f>
        <v>#N/A</v>
      </c>
      <c r="V672" s="50" t="e">
        <f>Tableau119[[#This Row],[Day ILN Order]]+Tableau119[[#This Row],[Delivery time to ILN/Shipper]]-1</f>
        <v>#N/A</v>
      </c>
      <c r="W672" s="50" t="e">
        <f>IFERROR(VLOOKUP(Tableau119[[#This Row],[Key(Compte ILN - shipper - POL - plant)]],'DATA ILN'!A:N,14,FALSE),VLOOKUP(Tableau119[[#This Row],[Key(Compte ILN - shipper - POL)]],'DATA ILN'!B:N,13,FALSE))</f>
        <v>#N/A</v>
      </c>
      <c r="X672" s="50" t="e">
        <f>IFERROR(VLOOKUP(Tableau119[[#This Row],[Key(Compte ILN - shipper - POL - plant)]],'DATA ILN'!A:P,16,FALSE),VLOOKUP(Tableau119[[#This Row],[Key(Compte ILN - shipper - POL)]],'DATA ILN'!B:P,15,FALSE))</f>
        <v>#N/A</v>
      </c>
      <c r="Y672" s="284" t="s">
        <v>322</v>
      </c>
      <c r="Z672" s="430">
        <f>IFERROR(VLOOKUP(Tableau119[[#This Row],[Name Shipper]],Plant_AILN!L:M,2,FALSE),0)</f>
        <v>27002800</v>
      </c>
      <c r="AA672" s="406">
        <v>408</v>
      </c>
      <c r="AB672" s="396" t="b">
        <f>_xlfn.XLOOKUP(Tableau119[[#This Row],[Key(ID-date)]],'DATA BTO'!S:S,'DATA BTO'!E:E,FALSE)</f>
        <v>0</v>
      </c>
      <c r="AC672" s="3" t="b">
        <f>_xlfn.XLOOKUP(Tableau119[[#This Row],[Key(ID-date)]],'DATA BTO'!S:S,'DATA BTO'!F:F,FALSE)</f>
        <v>0</v>
      </c>
      <c r="AD672" s="50" t="b">
        <f>_xlfn.XLOOKUP(Tableau119[[#This Row],[Key(ID-date)]],'DATA BTO'!S:S,'DATA BTO'!G:G,FALSE)</f>
        <v>0</v>
      </c>
      <c r="AE672" s="50" t="b">
        <f>_xlfn.XLOOKUP(Tableau119[[#This Row],[Key(ID-date)]],'DATA BTO'!S:S,'DATA BTO'!H:H,FALSE)</f>
        <v>0</v>
      </c>
      <c r="AF672" s="447" t="e">
        <f>IF(Tableau119[[#This Row],[First Day to POL]]&lt;=Tableau119[[#This Row],[Day Cut Off]],Tableau119[[#This Row],[Day ETD]],Tableau119[[#This Row],[Day ETD]]+7)</f>
        <v>#N/A</v>
      </c>
      <c r="AG672" s="50" t="b">
        <f>_xlfn.XLOOKUP(Tableau119[[#This Row],[Key(ID-date)]],'DATA BTO'!S:S,'DATA BTO'!I:I,FALSE)</f>
        <v>0</v>
      </c>
      <c r="AH672" s="3" t="b">
        <f>_xlfn.XLOOKUP(Tableau119[[#This Row],[Key(ID-date)]],'DATA BTO'!S:S,'DATA BTO'!J:J,FALSE)</f>
        <v>0</v>
      </c>
      <c r="AI672" s="3" t="b">
        <f>_xlfn.XLOOKUP(Tableau119[[#This Row],[Key(ID-date)]],'DATA BTO'!S:S,'DATA BTO'!K:K,FALSE)</f>
        <v>0</v>
      </c>
      <c r="AJ672" s="50" t="b">
        <f>_xlfn.XLOOKUP(Tableau119[[#This Row],[Key(ID-date)]],'DATA BTO'!S:S,'DATA BTO'!L:L,FALSE)</f>
        <v>0</v>
      </c>
      <c r="AK672" s="53" t="b">
        <f>_xlfn.XLOOKUP(Tableau119[[#This Row],[Key(ID-date)]],'DATA BTO'!S:S,'DATA BTO'!N:N,FALSE)</f>
        <v>0</v>
      </c>
      <c r="AL672" s="54" t="e">
        <f>VLOOKUP(Tableau119[[#This Row],[Key(POD -PFI- Usine)]],'DATA Consignee'!A:F,6,FALSE)</f>
        <v>#N/A</v>
      </c>
      <c r="AM672" s="127"/>
      <c r="AN672" s="376" t="str">
        <f>IF(Tableau119[[#This Row],[Name PFI/CDD]]="","-",VLOOKUP(Tableau119[[#This Row],[Name PFI/CDD]],Plant_AILN!I:J,2,FALSE))</f>
        <v>-</v>
      </c>
      <c r="AO6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2" s="2" t="e">
        <f>VLOOKUP(Tableau119[[#This Row],[Key(POD -PFI- Usine)]],'DATA Consignee'!A:J,10,FALSE)</f>
        <v>#N/A</v>
      </c>
      <c r="AR672" s="50" t="e">
        <f>VLOOKUP(Tableau119[[#This Row],[Key(POD -PFI- Usine)]],'DATA Consignee'!A:N,14,FALSE)</f>
        <v>#N/A</v>
      </c>
      <c r="AS6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2" s="50">
        <f>Tableau119[[#This Row],[Transit time]]+Tableau119[[#This Row],[Time for security]]+Tableau119[[#This Row],[Time for security2 buffer]]</f>
        <v>0</v>
      </c>
      <c r="AV6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2" s="50" t="e">
        <f>Tableau119[[#This Row],[Leadtime SI2C]]+Tableau119[[#This Row],[First Receipt Days]]-Tableau119[[#This Row],[Day Customer Order]]+1</f>
        <v>#N/A</v>
      </c>
      <c r="AX672" s="119" t="e">
        <f>IF(Tableau119[[#This Row],[Name ILN]]&lt;&gt;"SFK Freight Forwarder",Tableau119[[#This Row],[Cust. Leadtime]],Tableau119[[#This Row],[Leadtime SI2C]])</f>
        <v>#N/A</v>
      </c>
      <c r="AY672" s="51" t="b">
        <f>_xlfn.XLOOKUP(Tableau119[[#This Row],[Key(ID-date)]],'DATA BTO'!S:S,'DATA BTO'!P:P,FALSE)</f>
        <v>0</v>
      </c>
      <c r="AZ672" s="338">
        <v>46142</v>
      </c>
      <c r="BA672" s="50"/>
    </row>
    <row r="673" spans="2:53">
      <c r="B673" s="66" t="str">
        <f>_xlfn.CONCAT(Tableau119[[#This Row],[Name ILN]],"-",Tableau119[[#This Row],[Name Shipper]],"-",Tableau119[[#This Row],[Name Site]])</f>
        <v>SFK Freight Forwarder-HIGHLY MARELLI MALAYSIA SDN. BHD.-CURITIBA CVU</v>
      </c>
      <c r="C673" s="66" t="str">
        <f>_xlfn.CONCAT(Tableau119[[#This Row],[Compte ILN]],"-",Tableau119[[#This Row],[Compte Shipper]],"-",Tableau119[[#This Row],[POL]],"-",Tableau119[[#This Row],[Compte Consignee]])</f>
        <v>0-27002800-FALSO-90018500</v>
      </c>
      <c r="D673" s="66" t="str">
        <f>_xlfn.CONCAT(Tableau119[[#This Row],[Compte ILN]],"-",Tableau119[[#This Row],[Compte Shipper]],"-",Tableau119[[#This Row],[POL]])</f>
        <v>0-27002800-FALSO</v>
      </c>
      <c r="E673" s="130" t="str">
        <f>_xlfn.CONCAT(Tableau119[[#This Row],[POL]],"-",Tableau119[[#This Row],[Carrier]],"-",Tableau119[[#This Row],[POD]])</f>
        <v>FALSO-FALSO-FALSO</v>
      </c>
      <c r="F673" s="66" t="str">
        <f>_xlfn.CONCAT(Tableau119[[#This Row],[ID]],"-","Actif")</f>
        <v>408-Actif</v>
      </c>
      <c r="G673" s="66" t="str">
        <f>_xlfn.CONCAT(Tableau119[[#This Row],[POD]],"-",Tableau119[[#This Row],[Code PFI]],"-",Tableau119[[#This Row],[Compte Consignee]])</f>
        <v>FALSO---90018500</v>
      </c>
      <c r="H6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CVU</v>
      </c>
      <c r="I673" s="434" t="str">
        <f>_xlfn.CONCAT(Tableau119[[#This Row],[ID]],"-",Tableau119[[#This Row],[Expiration Date]])</f>
        <v>408-46142</v>
      </c>
      <c r="J6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CVU-SFK Freight Forwarder-HIGHLY MARELLI MALAYSIA SDN. BHD.-408-FALSO-FALSO-FALSO--46142</v>
      </c>
      <c r="K673" s="119" t="str">
        <f ca="1">IF(COUNTIF(J:J,Tableau119[[#This Row],[Plant-ILN-shipper-POL-Carrier-POD-PFI]])=1,"Non","Oui")</f>
        <v>Non</v>
      </c>
      <c r="L673" s="128" t="str">
        <f>VLOOKUP(Tableau119[[#This Row],[Name Site]],Plant_AILN!A:D,4,FALSE)</f>
        <v>BRAZIL</v>
      </c>
      <c r="M673" s="10" t="s">
        <v>206</v>
      </c>
      <c r="N673" s="454">
        <f>VLOOKUP(Tableau119[[#This Row],[Name Site]],Plant_AILN!A:C,3,FALSE)</f>
        <v>90018500</v>
      </c>
      <c r="O673" s="55">
        <f>IF(Tableau119[[#This Row],[Name PFI/CDD]]="PFI VLL",2,VLOOKUP(Tableau119[[#This Row],[Compte Consignee]],Order!C:D,2,FALSE))</f>
        <v>7</v>
      </c>
      <c r="P673" s="124" t="s">
        <v>146</v>
      </c>
      <c r="Q673" s="365">
        <f>VLOOKUP(Tableau119[[#This Row],[Name ILN]],Plant_AILN!F:G,2,FALSE)</f>
        <v>0</v>
      </c>
      <c r="R673" s="50">
        <f>VLOOKUP(Tableau119[[#This Row],[Compte ILN]],'DATA ILN'!D:I,6,FALSE)</f>
        <v>9</v>
      </c>
      <c r="S673" s="50" t="e">
        <f>IFERROR(VLOOKUP(Tableau119[[#This Row],[Key(Compte ILN - shipper - POL - plant)]],'DATA ILN'!A:J,10,FALSE),VLOOKUP(Tableau119[[#This Row],[Key(Compte ILN - shipper - POL)]],'DATA ILN'!B:J,9,FALSE))</f>
        <v>#N/A</v>
      </c>
      <c r="T673" s="50" t="e">
        <f>IFERROR(VLOOKUP(Tableau119[[#This Row],[Key(Compte ILN - shipper - POL - plant)]],'DATA ILN'!A:K,11,FALSE),VLOOKUP(Tableau119[[#This Row],[Key(Compte ILN - shipper - POL)]],'DATA ILN'!B:K,10,FALSE))</f>
        <v>#N/A</v>
      </c>
      <c r="U673" s="50" t="e">
        <f>IFERROR(VLOOKUP(Tableau119[[#This Row],[Key(Compte ILN - shipper - POL - plant)]],'DATA ILN'!A:L,12,FALSE),VLOOKUP(Tableau119[[#This Row],[Key(Compte ILN - shipper - POL)]],'DATA ILN'!B:L,11,FALSE))</f>
        <v>#N/A</v>
      </c>
      <c r="V673" s="50" t="e">
        <f>Tableau119[[#This Row],[Day ILN Order]]+Tableau119[[#This Row],[Delivery time to ILN/Shipper]]-1</f>
        <v>#N/A</v>
      </c>
      <c r="W673" s="50" t="e">
        <f>IFERROR(VLOOKUP(Tableau119[[#This Row],[Key(Compte ILN - shipper - POL - plant)]],'DATA ILN'!A:N,14,FALSE),VLOOKUP(Tableau119[[#This Row],[Key(Compte ILN - shipper - POL)]],'DATA ILN'!B:N,13,FALSE))</f>
        <v>#N/A</v>
      </c>
      <c r="X673" s="50" t="e">
        <f>IFERROR(VLOOKUP(Tableau119[[#This Row],[Key(Compte ILN - shipper - POL - plant)]],'DATA ILN'!A:P,16,FALSE),VLOOKUP(Tableau119[[#This Row],[Key(Compte ILN - shipper - POL)]],'DATA ILN'!B:P,15,FALSE))</f>
        <v>#N/A</v>
      </c>
      <c r="Y673" s="284" t="s">
        <v>322</v>
      </c>
      <c r="Z673" s="430">
        <f>IFERROR(VLOOKUP(Tableau119[[#This Row],[Name Shipper]],Plant_AILN!L:M,2,FALSE),0)</f>
        <v>27002800</v>
      </c>
      <c r="AA673" s="406">
        <v>408</v>
      </c>
      <c r="AB673" s="396" t="b">
        <f>_xlfn.XLOOKUP(Tableau119[[#This Row],[Key(ID-date)]],'DATA BTO'!S:S,'DATA BTO'!E:E,FALSE)</f>
        <v>0</v>
      </c>
      <c r="AC673" s="3" t="b">
        <f>_xlfn.XLOOKUP(Tableau119[[#This Row],[Key(ID-date)]],'DATA BTO'!S:S,'DATA BTO'!F:F,FALSE)</f>
        <v>0</v>
      </c>
      <c r="AD673" s="50" t="b">
        <f>_xlfn.XLOOKUP(Tableau119[[#This Row],[Key(ID-date)]],'DATA BTO'!S:S,'DATA BTO'!G:G,FALSE)</f>
        <v>0</v>
      </c>
      <c r="AE673" s="50" t="b">
        <f>_xlfn.XLOOKUP(Tableau119[[#This Row],[Key(ID-date)]],'DATA BTO'!S:S,'DATA BTO'!H:H,FALSE)</f>
        <v>0</v>
      </c>
      <c r="AF673" s="447" t="e">
        <f>IF(Tableau119[[#This Row],[First Day to POL]]&lt;=Tableau119[[#This Row],[Day Cut Off]],Tableau119[[#This Row],[Day ETD]],Tableau119[[#This Row],[Day ETD]]+7)</f>
        <v>#N/A</v>
      </c>
      <c r="AG673" s="50" t="b">
        <f>_xlfn.XLOOKUP(Tableau119[[#This Row],[Key(ID-date)]],'DATA BTO'!S:S,'DATA BTO'!I:I,FALSE)</f>
        <v>0</v>
      </c>
      <c r="AH673" s="3" t="b">
        <f>_xlfn.XLOOKUP(Tableau119[[#This Row],[Key(ID-date)]],'DATA BTO'!S:S,'DATA BTO'!J:J,FALSE)</f>
        <v>0</v>
      </c>
      <c r="AI673" s="3" t="b">
        <f>_xlfn.XLOOKUP(Tableau119[[#This Row],[Key(ID-date)]],'DATA BTO'!S:S,'DATA BTO'!K:K,FALSE)</f>
        <v>0</v>
      </c>
      <c r="AJ673" s="50" t="b">
        <f>_xlfn.XLOOKUP(Tableau119[[#This Row],[Key(ID-date)]],'DATA BTO'!S:S,'DATA BTO'!L:L,FALSE)</f>
        <v>0</v>
      </c>
      <c r="AK673" s="53" t="b">
        <f>_xlfn.XLOOKUP(Tableau119[[#This Row],[Key(ID-date)]],'DATA BTO'!S:S,'DATA BTO'!N:N,FALSE)</f>
        <v>0</v>
      </c>
      <c r="AL673" s="54" t="e">
        <f>VLOOKUP(Tableau119[[#This Row],[Key(POD -PFI- Usine)]],'DATA Consignee'!A:F,6,FALSE)</f>
        <v>#N/A</v>
      </c>
      <c r="AM673" s="127"/>
      <c r="AN673" s="376" t="str">
        <f>IF(Tableau119[[#This Row],[Name PFI/CDD]]="","-",VLOOKUP(Tableau119[[#This Row],[Name PFI/CDD]],Plant_AILN!I:J,2,FALSE))</f>
        <v>-</v>
      </c>
      <c r="AO6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3" s="2" t="e">
        <f>VLOOKUP(Tableau119[[#This Row],[Key(POD -PFI- Usine)]],'DATA Consignee'!A:J,10,FALSE)</f>
        <v>#N/A</v>
      </c>
      <c r="AR673" s="50" t="e">
        <f>VLOOKUP(Tableau119[[#This Row],[Key(POD -PFI- Usine)]],'DATA Consignee'!A:N,14,FALSE)</f>
        <v>#N/A</v>
      </c>
      <c r="AS6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3" s="50">
        <f>Tableau119[[#This Row],[Transit time]]+Tableau119[[#This Row],[Time for security]]+Tableau119[[#This Row],[Time for security2 buffer]]</f>
        <v>0</v>
      </c>
      <c r="AV6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3" s="50" t="e">
        <f>Tableau119[[#This Row],[Leadtime SI2C]]+Tableau119[[#This Row],[First Receipt Days]]-Tableau119[[#This Row],[Day Customer Order]]+1</f>
        <v>#N/A</v>
      </c>
      <c r="AX673" s="119" t="e">
        <f>IF(Tableau119[[#This Row],[Name ILN]]&lt;&gt;"SFK Freight Forwarder",Tableau119[[#This Row],[Cust. Leadtime]],Tableau119[[#This Row],[Leadtime SI2C]])</f>
        <v>#N/A</v>
      </c>
      <c r="AY673" s="51" t="b">
        <f>_xlfn.XLOOKUP(Tableau119[[#This Row],[Key(ID-date)]],'DATA BTO'!S:S,'DATA BTO'!P:P,FALSE)</f>
        <v>0</v>
      </c>
      <c r="AZ673" s="338">
        <v>46142</v>
      </c>
      <c r="BA673" s="50"/>
    </row>
    <row r="674" spans="2:53">
      <c r="B674" s="446" t="str">
        <f>_xlfn.CONCAT(Tableau119[[#This Row],[Name ILN]],"-",Tableau119[[#This Row],[Name Shipper]],"-",Tableau119[[#This Row],[Name Site]])</f>
        <v>SFK Freight Forwarder-HIGHLY MARELLI MALAYSIA SDN. BHD.-Curitiba CVP</v>
      </c>
      <c r="C674" s="66" t="str">
        <f>_xlfn.CONCAT(Tableau119[[#This Row],[Compte ILN]],"-",Tableau119[[#This Row],[Compte Shipper]],"-",Tableau119[[#This Row],[POL]],"-",Tableau119[[#This Row],[Compte Consignee]])</f>
        <v>0-27002800-FALSO-90018000</v>
      </c>
      <c r="D674" s="66" t="str">
        <f>_xlfn.CONCAT(Tableau119[[#This Row],[Compte ILN]],"-",Tableau119[[#This Row],[Compte Shipper]],"-",Tableau119[[#This Row],[POL]])</f>
        <v>0-27002800-FALSO</v>
      </c>
      <c r="E674" s="130" t="str">
        <f>_xlfn.CONCAT(Tableau119[[#This Row],[POL]],"-",Tableau119[[#This Row],[Carrier]],"-",Tableau119[[#This Row],[POD]])</f>
        <v>FALSO-FALSO-FALSO</v>
      </c>
      <c r="F674" s="66" t="str">
        <f>_xlfn.CONCAT(Tableau119[[#This Row],[ID]],"-","Actif")</f>
        <v>408-Actif</v>
      </c>
      <c r="G674" s="66" t="str">
        <f>_xlfn.CONCAT(Tableau119[[#This Row],[POD]],"-",Tableau119[[#This Row],[Code PFI]],"-",Tableau119[[#This Row],[Compte Consignee]])</f>
        <v>FALSO---90018000</v>
      </c>
      <c r="H6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CVP</v>
      </c>
      <c r="I674" s="434" t="str">
        <f>_xlfn.CONCAT(Tableau119[[#This Row],[ID]],"-",Tableau119[[#This Row],[Expiration Date]])</f>
        <v>408-45777</v>
      </c>
      <c r="J6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Forwarder-HIGHLY MARELLI MALAYSIA SDN. BHD.-408-FALSO-FALSO-FALSO--45777</v>
      </c>
      <c r="K674" s="119" t="str">
        <f ca="1">IF(COUNTIF(J:J,Tableau119[[#This Row],[Plant-ILN-shipper-POL-Carrier-POD-PFI]])=1,"Non","Oui")</f>
        <v>Non</v>
      </c>
      <c r="L674" s="128" t="str">
        <f>VLOOKUP(Tableau119[[#This Row],[Name Site]],Plant_AILN!A:D,4,FALSE)</f>
        <v>BRAZIL</v>
      </c>
      <c r="M674" s="415" t="s">
        <v>152</v>
      </c>
      <c r="N674" s="455">
        <f>VLOOKUP(Tableau119[[#This Row],[Name Site]],Plant_AILN!A:C,3,FALSE)</f>
        <v>90018000</v>
      </c>
      <c r="O674" s="104">
        <f>VLOOKUP(Tableau119[[#This Row],[Compte Consignee]],Order!C:D,2,FALSE)</f>
        <v>7</v>
      </c>
      <c r="P674" s="126" t="s">
        <v>146</v>
      </c>
      <c r="Q674" s="366">
        <f>VLOOKUP(Tableau119[[#This Row],[Name ILN]],Plant_AILN!F:G,2,FALSE)</f>
        <v>0</v>
      </c>
      <c r="R674" s="81">
        <f>VLOOKUP(Tableau119[[#This Row],[Compte ILN]],'DATA ILN'!D:I,6,FALSE)</f>
        <v>9</v>
      </c>
      <c r="S674" s="81" t="e">
        <f>IFERROR(VLOOKUP(Tableau119[[#This Row],[Key(Compte ILN - shipper - POL - plant)]],'DATA ILN'!A:J,10,FALSE),VLOOKUP(Tableau119[[#This Row],[Key(Compte ILN - shipper - POL)]],'DATA ILN'!B:J,9,FALSE))</f>
        <v>#N/A</v>
      </c>
      <c r="T674" s="81" t="e">
        <f>IFERROR(VLOOKUP(Tableau119[[#This Row],[Key(Compte ILN - shipper - POL - plant)]],'DATA ILN'!A:K,11,FALSE),VLOOKUP(Tableau119[[#This Row],[Key(Compte ILN - shipper - POL)]],'DATA ILN'!B:K,10,FALSE))</f>
        <v>#N/A</v>
      </c>
      <c r="U674" s="81" t="e">
        <f>IFERROR(VLOOKUP(Tableau119[[#This Row],[Key(Compte ILN - shipper - POL - plant)]],'DATA ILN'!A:L,12,FALSE),VLOOKUP(Tableau119[[#This Row],[Key(Compte ILN - shipper - POL)]],'DATA ILN'!B:L,11,FALSE))</f>
        <v>#N/A</v>
      </c>
      <c r="V674" s="81" t="e">
        <f>Tableau119[[#This Row],[Day ILN Order]]+Tableau119[[#This Row],[Delivery time to ILN/Shipper]]-1</f>
        <v>#N/A</v>
      </c>
      <c r="W674" s="81" t="e">
        <f>IFERROR(VLOOKUP(Tableau119[[#This Row],[Key(Compte ILN - shipper - POL - plant)]],'DATA ILN'!A:N,14,FALSE),VLOOKUP(Tableau119[[#This Row],[Key(Compte ILN - shipper - POL)]],'DATA ILN'!B:N,13,FALSE))</f>
        <v>#N/A</v>
      </c>
      <c r="X674" s="81" t="e">
        <f>IFERROR(VLOOKUP(Tableau119[[#This Row],[Key(Compte ILN - shipper - POL - plant)]],'DATA ILN'!A:P,16,FALSE),VLOOKUP(Tableau119[[#This Row],[Key(Compte ILN - shipper - POL)]],'DATA ILN'!B:P,15,FALSE))</f>
        <v>#N/A</v>
      </c>
      <c r="Y674" s="102" t="s">
        <v>322</v>
      </c>
      <c r="Z674" s="417">
        <f>IFERROR(VLOOKUP(Tableau119[[#This Row],[Name Shipper]],Plant_AILN!L:M,2,FALSE),0)</f>
        <v>27002800</v>
      </c>
      <c r="AA674" s="416">
        <v>408</v>
      </c>
      <c r="AB674" s="396" t="b">
        <f>_xlfn.XLOOKUP(Tableau119[[#This Row],[Key(ID-date)]],'DATA BTO'!S:S,'DATA BTO'!E:E,FALSE)</f>
        <v>0</v>
      </c>
      <c r="AC674" s="3" t="b">
        <f>_xlfn.XLOOKUP(Tableau119[[#This Row],[Key(ID-date)]],'DATA BTO'!S:S,'DATA BTO'!F:F,FALSE)</f>
        <v>0</v>
      </c>
      <c r="AD674" s="50" t="b">
        <f>_xlfn.XLOOKUP(Tableau119[[#This Row],[Key(ID-date)]],'DATA BTO'!S:S,'DATA BTO'!G:G,FALSE)</f>
        <v>0</v>
      </c>
      <c r="AE674" s="50" t="b">
        <f>_xlfn.XLOOKUP(Tableau119[[#This Row],[Key(ID-date)]],'DATA BTO'!S:S,'DATA BTO'!H:H,FALSE)</f>
        <v>0</v>
      </c>
      <c r="AF674" s="447" t="e">
        <f>IF(Tableau119[[#This Row],[First Day to POL]]&lt;=Tableau119[[#This Row],[Day Cut Off]],Tableau119[[#This Row],[Day ETD]],Tableau119[[#This Row],[Day ETD]]+7)</f>
        <v>#N/A</v>
      </c>
      <c r="AG674" s="50" t="b">
        <f>_xlfn.XLOOKUP(Tableau119[[#This Row],[Key(ID-date)]],'DATA BTO'!S:S,'DATA BTO'!I:I,FALSE)</f>
        <v>0</v>
      </c>
      <c r="AH674" s="3" t="b">
        <f>_xlfn.XLOOKUP(Tableau119[[#This Row],[Key(ID-date)]],'DATA BTO'!S:S,'DATA BTO'!J:J,FALSE)</f>
        <v>0</v>
      </c>
      <c r="AI674" s="3" t="b">
        <f>_xlfn.XLOOKUP(Tableau119[[#This Row],[Key(ID-date)]],'DATA BTO'!S:S,'DATA BTO'!K:K,FALSE)</f>
        <v>0</v>
      </c>
      <c r="AJ674" s="50" t="b">
        <f>_xlfn.XLOOKUP(Tableau119[[#This Row],[Key(ID-date)]],'DATA BTO'!S:S,'DATA BTO'!L:L,FALSE)</f>
        <v>0</v>
      </c>
      <c r="AK674" s="53" t="b">
        <f>_xlfn.XLOOKUP(Tableau119[[#This Row],[Key(ID-date)]],'DATA BTO'!S:S,'DATA BTO'!N:N,FALSE)</f>
        <v>0</v>
      </c>
      <c r="AL674" s="54" t="e">
        <f>VLOOKUP(Tableau119[[#This Row],[Key(POD -PFI- Usine)]],'DATA Consignee'!A:F,6,FALSE)</f>
        <v>#N/A</v>
      </c>
      <c r="AM674" s="127"/>
      <c r="AN674" s="375" t="str">
        <f>IF(Tableau119[[#This Row],[Name PFI/CDD]]="","-",VLOOKUP(Tableau119[[#This Row],[Name PFI/CDD]],Plant_AILN!I:J,2,FALSE))</f>
        <v>-</v>
      </c>
      <c r="AO67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4" s="110" t="e">
        <f>VLOOKUP(Tableau119[[#This Row],[Key(POD -PFI- Usine)]],'DATA Consignee'!A:J,10,FALSE)</f>
        <v>#N/A</v>
      </c>
      <c r="AR674" s="81" t="e">
        <f>VLOOKUP(Tableau119[[#This Row],[Key(POD -PFI- Usine)]],'DATA Consignee'!A:N,14,FALSE)</f>
        <v>#N/A</v>
      </c>
      <c r="AS67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4" s="81">
        <f>Tableau119[[#This Row],[Transit time]]+Tableau119[[#This Row],[Time for security]]+Tableau119[[#This Row],[Time for security2 buffer]]</f>
        <v>0</v>
      </c>
      <c r="AV6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4" s="50" t="e">
        <f>Tableau119[[#This Row],[Leadtime SI2C]]+Tableau119[[#This Row],[First Receipt Days]]-Tableau119[[#This Row],[Day Customer Order]]+1</f>
        <v>#N/A</v>
      </c>
      <c r="AX674" s="119" t="e">
        <f>IF(Tableau119[[#This Row],[Name ILN]]&lt;&gt;"SFK Freight Forwarder",Tableau119[[#This Row],[Cust. Leadtime]],Tableau119[[#This Row],[Leadtime SI2C]])</f>
        <v>#N/A</v>
      </c>
      <c r="AY674" s="51" t="b">
        <f>_xlfn.XLOOKUP(Tableau119[[#This Row],[Key(ID-date)]],'DATA BTO'!S:S,'DATA BTO'!P:P,FALSE)</f>
        <v>0</v>
      </c>
      <c r="AZ674" s="388">
        <v>45777</v>
      </c>
      <c r="BA674" s="81"/>
    </row>
    <row r="675" spans="2:53">
      <c r="B675" s="446" t="str">
        <f>_xlfn.CONCAT(Tableau119[[#This Row],[Name ILN]],"-",Tableau119[[#This Row],[Name Shipper]],"-",Tableau119[[#This Row],[Name Site]])</f>
        <v>SFK Freight Forwarder-HIGHLY MARELLI MALAYSIA SDN. BHD.-CURITIBA CVU</v>
      </c>
      <c r="C675" s="66" t="str">
        <f>_xlfn.CONCAT(Tableau119[[#This Row],[Compte ILN]],"-",Tableau119[[#This Row],[Compte Shipper]],"-",Tableau119[[#This Row],[POL]],"-",Tableau119[[#This Row],[Compte Consignee]])</f>
        <v>0-27002800-FALSO-90018500</v>
      </c>
      <c r="D675" s="66" t="str">
        <f>_xlfn.CONCAT(Tableau119[[#This Row],[Compte ILN]],"-",Tableau119[[#This Row],[Compte Shipper]],"-",Tableau119[[#This Row],[POL]])</f>
        <v>0-27002800-FALSO</v>
      </c>
      <c r="E675" s="130" t="str">
        <f>_xlfn.CONCAT(Tableau119[[#This Row],[POL]],"-",Tableau119[[#This Row],[Carrier]],"-",Tableau119[[#This Row],[POD]])</f>
        <v>FALSO-FALSO-FALSO</v>
      </c>
      <c r="F675" s="66" t="str">
        <f>_xlfn.CONCAT(Tableau119[[#This Row],[ID]],"-","Actif")</f>
        <v>408-Actif</v>
      </c>
      <c r="G675" s="66" t="str">
        <f>_xlfn.CONCAT(Tableau119[[#This Row],[POD]],"-",Tableau119[[#This Row],[Code PFI]],"-",Tableau119[[#This Row],[Compte Consignee]])</f>
        <v>FALSO---90018500</v>
      </c>
      <c r="H6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CVU</v>
      </c>
      <c r="I675" s="434" t="str">
        <f>_xlfn.CONCAT(Tableau119[[#This Row],[ID]],"-",Tableau119[[#This Row],[Expiration Date]])</f>
        <v>408-45777</v>
      </c>
      <c r="J6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CVU-SFK Freight Forwarder-HIGHLY MARELLI MALAYSIA SDN. BHD.-408-FALSO-FALSO-FALSO--45777</v>
      </c>
      <c r="K675" s="119" t="str">
        <f ca="1">IF(COUNTIF(J:J,Tableau119[[#This Row],[Plant-ILN-shipper-POL-Carrier-POD-PFI]])=1,"Non","Oui")</f>
        <v>Non</v>
      </c>
      <c r="L675" s="128" t="str">
        <f>VLOOKUP(Tableau119[[#This Row],[Name Site]],Plant_AILN!A:D,4,FALSE)</f>
        <v>BRAZIL</v>
      </c>
      <c r="M675" s="411" t="s">
        <v>206</v>
      </c>
      <c r="N675" s="454">
        <f>VLOOKUP(Tableau119[[#This Row],[Name Site]],Plant_AILN!A:C,3,FALSE)</f>
        <v>90018500</v>
      </c>
      <c r="O675" s="55">
        <f>VLOOKUP(Tableau119[[#This Row],[Compte Consignee]],Order!C:D,2,FALSE)</f>
        <v>7</v>
      </c>
      <c r="P675" s="124" t="s">
        <v>146</v>
      </c>
      <c r="Q675" s="365">
        <f>VLOOKUP(Tableau119[[#This Row],[Name ILN]],Plant_AILN!F:G,2,FALSE)</f>
        <v>0</v>
      </c>
      <c r="R675" s="50">
        <f>VLOOKUP(Tableau119[[#This Row],[Compte ILN]],'DATA ILN'!D:I,6,FALSE)</f>
        <v>9</v>
      </c>
      <c r="S675" s="50" t="e">
        <f>IFERROR(VLOOKUP(Tableau119[[#This Row],[Key(Compte ILN - shipper - POL - plant)]],'DATA ILN'!A:J,10,FALSE),VLOOKUP(Tableau119[[#This Row],[Key(Compte ILN - shipper - POL)]],'DATA ILN'!B:J,9,FALSE))</f>
        <v>#N/A</v>
      </c>
      <c r="T675" s="50" t="e">
        <f>IFERROR(VLOOKUP(Tableau119[[#This Row],[Key(Compte ILN - shipper - POL - plant)]],'DATA ILN'!A:K,11,FALSE),VLOOKUP(Tableau119[[#This Row],[Key(Compte ILN - shipper - POL)]],'DATA ILN'!B:K,10,FALSE))</f>
        <v>#N/A</v>
      </c>
      <c r="U675" s="50" t="e">
        <f>IFERROR(VLOOKUP(Tableau119[[#This Row],[Key(Compte ILN - shipper - POL - plant)]],'DATA ILN'!A:L,12,FALSE),VLOOKUP(Tableau119[[#This Row],[Key(Compte ILN - shipper - POL)]],'DATA ILN'!B:L,11,FALSE))</f>
        <v>#N/A</v>
      </c>
      <c r="V675" s="50" t="e">
        <f>Tableau119[[#This Row],[Day ILN Order]]+Tableau119[[#This Row],[Delivery time to ILN/Shipper]]-1</f>
        <v>#N/A</v>
      </c>
      <c r="W675" s="50" t="e">
        <f>IFERROR(VLOOKUP(Tableau119[[#This Row],[Key(Compte ILN - shipper - POL - plant)]],'DATA ILN'!A:N,14,FALSE),VLOOKUP(Tableau119[[#This Row],[Key(Compte ILN - shipper - POL)]],'DATA ILN'!B:N,13,FALSE))</f>
        <v>#N/A</v>
      </c>
      <c r="X675" s="50" t="e">
        <f>IFERROR(VLOOKUP(Tableau119[[#This Row],[Key(Compte ILN - shipper - POL - plant)]],'DATA ILN'!A:P,16,FALSE),VLOOKUP(Tableau119[[#This Row],[Key(Compte ILN - shipper - POL)]],'DATA ILN'!B:P,15,FALSE))</f>
        <v>#N/A</v>
      </c>
      <c r="Y675" s="284" t="s">
        <v>322</v>
      </c>
      <c r="Z675" s="430">
        <f>IFERROR(VLOOKUP(Tableau119[[#This Row],[Name Shipper]],Plant_AILN!L:M,2,FALSE),0)</f>
        <v>27002800</v>
      </c>
      <c r="AA675" s="406">
        <v>408</v>
      </c>
      <c r="AB675" s="396" t="b">
        <f>_xlfn.XLOOKUP(Tableau119[[#This Row],[Key(ID-date)]],'DATA BTO'!S:S,'DATA BTO'!E:E,FALSE)</f>
        <v>0</v>
      </c>
      <c r="AC675" s="3" t="b">
        <f>_xlfn.XLOOKUP(Tableau119[[#This Row],[Key(ID-date)]],'DATA BTO'!S:S,'DATA BTO'!F:F,FALSE)</f>
        <v>0</v>
      </c>
      <c r="AD675" s="50" t="b">
        <f>_xlfn.XLOOKUP(Tableau119[[#This Row],[Key(ID-date)]],'DATA BTO'!S:S,'DATA BTO'!G:G,FALSE)</f>
        <v>0</v>
      </c>
      <c r="AE675" s="50" t="b">
        <f>_xlfn.XLOOKUP(Tableau119[[#This Row],[Key(ID-date)]],'DATA BTO'!S:S,'DATA BTO'!H:H,FALSE)</f>
        <v>0</v>
      </c>
      <c r="AF675" s="447" t="e">
        <f>IF(Tableau119[[#This Row],[First Day to POL]]&lt;=Tableau119[[#This Row],[Day Cut Off]],Tableau119[[#This Row],[Day ETD]],Tableau119[[#This Row],[Day ETD]]+7)</f>
        <v>#N/A</v>
      </c>
      <c r="AG675" s="50" t="b">
        <f>_xlfn.XLOOKUP(Tableau119[[#This Row],[Key(ID-date)]],'DATA BTO'!S:S,'DATA BTO'!I:I,FALSE)</f>
        <v>0</v>
      </c>
      <c r="AH675" s="3" t="b">
        <f>_xlfn.XLOOKUP(Tableau119[[#This Row],[Key(ID-date)]],'DATA BTO'!S:S,'DATA BTO'!J:J,FALSE)</f>
        <v>0</v>
      </c>
      <c r="AI675" s="3" t="b">
        <f>_xlfn.XLOOKUP(Tableau119[[#This Row],[Key(ID-date)]],'DATA BTO'!S:S,'DATA BTO'!K:K,FALSE)</f>
        <v>0</v>
      </c>
      <c r="AJ675" s="50" t="b">
        <f>_xlfn.XLOOKUP(Tableau119[[#This Row],[Key(ID-date)]],'DATA BTO'!S:S,'DATA BTO'!L:L,FALSE)</f>
        <v>0</v>
      </c>
      <c r="AK675" s="53" t="b">
        <f>_xlfn.XLOOKUP(Tableau119[[#This Row],[Key(ID-date)]],'DATA BTO'!S:S,'DATA BTO'!N:N,FALSE)</f>
        <v>0</v>
      </c>
      <c r="AL675" s="54" t="e">
        <f>VLOOKUP(Tableau119[[#This Row],[Key(POD -PFI- Usine)]],'DATA Consignee'!A:F,6,FALSE)</f>
        <v>#N/A</v>
      </c>
      <c r="AM675" s="127"/>
      <c r="AN675" s="376" t="str">
        <f>IF(Tableau119[[#This Row],[Name PFI/CDD]]="","-",VLOOKUP(Tableau119[[#This Row],[Name PFI/CDD]],Plant_AILN!I:J,2,FALSE))</f>
        <v>-</v>
      </c>
      <c r="AO6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5" s="2" t="e">
        <f>VLOOKUP(Tableau119[[#This Row],[Key(POD -PFI- Usine)]],'DATA Consignee'!A:J,10,FALSE)</f>
        <v>#N/A</v>
      </c>
      <c r="AR675" s="50" t="e">
        <f>VLOOKUP(Tableau119[[#This Row],[Key(POD -PFI- Usine)]],'DATA Consignee'!A:N,14,FALSE)</f>
        <v>#N/A</v>
      </c>
      <c r="AS6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5" s="50">
        <f>Tableau119[[#This Row],[Transit time]]+Tableau119[[#This Row],[Time for security]]+Tableau119[[#This Row],[Time for security2 buffer]]</f>
        <v>0</v>
      </c>
      <c r="AV6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5" s="50" t="e">
        <f>Tableau119[[#This Row],[Leadtime SI2C]]+Tableau119[[#This Row],[First Receipt Days]]-Tableau119[[#This Row],[Day Customer Order]]+1</f>
        <v>#N/A</v>
      </c>
      <c r="AX675" s="119" t="e">
        <f>IF(Tableau119[[#This Row],[Name ILN]]&lt;&gt;"SFK Freight Forwarder",Tableau119[[#This Row],[Cust. Leadtime]],Tableau119[[#This Row],[Leadtime SI2C]])</f>
        <v>#N/A</v>
      </c>
      <c r="AY675" s="51" t="b">
        <f>_xlfn.XLOOKUP(Tableau119[[#This Row],[Key(ID-date)]],'DATA BTO'!S:S,'DATA BTO'!P:P,FALSE)</f>
        <v>0</v>
      </c>
      <c r="AZ675" s="338">
        <v>45777</v>
      </c>
      <c r="BA675" s="50"/>
    </row>
    <row r="676" spans="2:53">
      <c r="B676" s="446" t="str">
        <f>_xlfn.CONCAT(Tableau119[[#This Row],[Name ILN]],"-",Tableau119[[#This Row],[Name Shipper]],"-",Tableau119[[#This Row],[Name Site]])</f>
        <v>SFK Freight Forwarder-HIGHLY MARELLI MALAYSIA SDN. BHD.-Curitiba CVP</v>
      </c>
      <c r="C676" s="66" t="str">
        <f>_xlfn.CONCAT(Tableau119[[#This Row],[Compte ILN]],"-",Tableau119[[#This Row],[Compte Shipper]],"-",Tableau119[[#This Row],[POL]],"-",Tableau119[[#This Row],[Compte Consignee]])</f>
        <v>0-27002800-FALSO-90018000</v>
      </c>
      <c r="D676" s="66" t="str">
        <f>_xlfn.CONCAT(Tableau119[[#This Row],[Compte ILN]],"-",Tableau119[[#This Row],[Compte Shipper]],"-",Tableau119[[#This Row],[POL]])</f>
        <v>0-27002800-FALSO</v>
      </c>
      <c r="E676" s="130" t="str">
        <f>_xlfn.CONCAT(Tableau119[[#This Row],[POL]],"-",Tableau119[[#This Row],[Carrier]],"-",Tableau119[[#This Row],[POD]])</f>
        <v>FALSO-FALSO-FALSO</v>
      </c>
      <c r="F676" s="66" t="str">
        <f>_xlfn.CONCAT(Tableau119[[#This Row],[ID]],"-","Actif")</f>
        <v>408-Actif</v>
      </c>
      <c r="G676" s="66" t="str">
        <f>_xlfn.CONCAT(Tableau119[[#This Row],[POD]],"-",Tableau119[[#This Row],[Code PFI]],"-",Tableau119[[#This Row],[Compte Consignee]])</f>
        <v>FALSO---90018000</v>
      </c>
      <c r="H6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CVP</v>
      </c>
      <c r="I676" s="434" t="str">
        <f>_xlfn.CONCAT(Tableau119[[#This Row],[ID]],"-",Tableau119[[#This Row],[Expiration Date]])</f>
        <v>408-45473</v>
      </c>
      <c r="J6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Forwarder-HIGHLY MARELLI MALAYSIA SDN. BHD.-408-FALSO-FALSO-FALSO--45473</v>
      </c>
      <c r="K676" s="119" t="str">
        <f ca="1">IF(COUNTIF(J:J,Tableau119[[#This Row],[Plant-ILN-shipper-POL-Carrier-POD-PFI]])=1,"Non","Oui")</f>
        <v>Non</v>
      </c>
      <c r="L676" s="128" t="str">
        <f>VLOOKUP(Tableau119[[#This Row],[Name Site]],Plant_AILN!A:D,4,FALSE)</f>
        <v>BRAZIL</v>
      </c>
      <c r="M676" s="411" t="s">
        <v>152</v>
      </c>
      <c r="N676" s="454">
        <f>VLOOKUP(Tableau119[[#This Row],[Name Site]],Plant_AILN!A:C,3,FALSE)</f>
        <v>90018000</v>
      </c>
      <c r="O676" s="55">
        <f>VLOOKUP(Tableau119[[#This Row],[Compte Consignee]],Order!C:D,2,FALSE)</f>
        <v>7</v>
      </c>
      <c r="P676" s="124" t="s">
        <v>146</v>
      </c>
      <c r="Q676" s="365">
        <f>VLOOKUP(Tableau119[[#This Row],[Name ILN]],Plant_AILN!F:G,2,FALSE)</f>
        <v>0</v>
      </c>
      <c r="R676" s="50">
        <f>VLOOKUP(Tableau119[[#This Row],[Compte ILN]],'DATA ILN'!D:I,6,FALSE)</f>
        <v>9</v>
      </c>
      <c r="S676" s="50" t="e">
        <f>IFERROR(VLOOKUP(Tableau119[[#This Row],[Key(Compte ILN - shipper - POL - plant)]],'DATA ILN'!A:J,10,FALSE),VLOOKUP(Tableau119[[#This Row],[Key(Compte ILN - shipper - POL)]],'DATA ILN'!B:J,9,FALSE))</f>
        <v>#N/A</v>
      </c>
      <c r="T676" s="50" t="e">
        <f>IFERROR(VLOOKUP(Tableau119[[#This Row],[Key(Compte ILN - shipper - POL - plant)]],'DATA ILN'!A:K,11,FALSE),VLOOKUP(Tableau119[[#This Row],[Key(Compte ILN - shipper - POL)]],'DATA ILN'!B:K,10,FALSE))</f>
        <v>#N/A</v>
      </c>
      <c r="U676" s="50" t="e">
        <f>IFERROR(VLOOKUP(Tableau119[[#This Row],[Key(Compte ILN - shipper - POL - plant)]],'DATA ILN'!A:L,12,FALSE),VLOOKUP(Tableau119[[#This Row],[Key(Compte ILN - shipper - POL)]],'DATA ILN'!B:L,11,FALSE))</f>
        <v>#N/A</v>
      </c>
      <c r="V676" s="50" t="e">
        <f>Tableau119[[#This Row],[Day ILN Order]]+Tableau119[[#This Row],[Delivery time to ILN/Shipper]]-1</f>
        <v>#N/A</v>
      </c>
      <c r="W676" s="50" t="e">
        <f>IFERROR(VLOOKUP(Tableau119[[#This Row],[Key(Compte ILN - shipper - POL - plant)]],'DATA ILN'!A:N,14,FALSE),VLOOKUP(Tableau119[[#This Row],[Key(Compte ILN - shipper - POL)]],'DATA ILN'!B:N,13,FALSE))</f>
        <v>#N/A</v>
      </c>
      <c r="X676" s="50" t="e">
        <f>IFERROR(VLOOKUP(Tableau119[[#This Row],[Key(Compte ILN - shipper - POL - plant)]],'DATA ILN'!A:P,16,FALSE),VLOOKUP(Tableau119[[#This Row],[Key(Compte ILN - shipper - POL)]],'DATA ILN'!B:P,15,FALSE))</f>
        <v>#N/A</v>
      </c>
      <c r="Y676" s="284" t="s">
        <v>322</v>
      </c>
      <c r="Z676" s="430">
        <f>IFERROR(VLOOKUP(Tableau119[[#This Row],[Name Shipper]],Plant_AILN!L:M,2,FALSE),0)</f>
        <v>27002800</v>
      </c>
      <c r="AA676" s="406">
        <v>408</v>
      </c>
      <c r="AB676" s="396" t="b">
        <f>_xlfn.XLOOKUP(Tableau119[[#This Row],[Key(ID-date)]],'DATA BTO'!S:S,'DATA BTO'!E:E,FALSE)</f>
        <v>0</v>
      </c>
      <c r="AC676" s="3" t="b">
        <f>_xlfn.XLOOKUP(Tableau119[[#This Row],[Key(ID-date)]],'DATA BTO'!S:S,'DATA BTO'!F:F,FALSE)</f>
        <v>0</v>
      </c>
      <c r="AD676" s="50" t="b">
        <f>_xlfn.XLOOKUP(Tableau119[[#This Row],[Key(ID-date)]],'DATA BTO'!S:S,'DATA BTO'!G:G,FALSE)</f>
        <v>0</v>
      </c>
      <c r="AE676" s="50" t="b">
        <f>_xlfn.XLOOKUP(Tableau119[[#This Row],[Key(ID-date)]],'DATA BTO'!S:S,'DATA BTO'!H:H,FALSE)</f>
        <v>0</v>
      </c>
      <c r="AF676" s="447" t="e">
        <f>IF(Tableau119[[#This Row],[First Day to POL]]&lt;=Tableau119[[#This Row],[Day Cut Off]],Tableau119[[#This Row],[Day ETD]],Tableau119[[#This Row],[Day ETD]]+7)</f>
        <v>#N/A</v>
      </c>
      <c r="AG676" s="50" t="b">
        <f>_xlfn.XLOOKUP(Tableau119[[#This Row],[Key(ID-date)]],'DATA BTO'!S:S,'DATA BTO'!I:I,FALSE)</f>
        <v>0</v>
      </c>
      <c r="AH676" s="3" t="b">
        <f>_xlfn.XLOOKUP(Tableau119[[#This Row],[Key(ID-date)]],'DATA BTO'!S:S,'DATA BTO'!J:J,FALSE)</f>
        <v>0</v>
      </c>
      <c r="AI676" s="3" t="b">
        <f>_xlfn.XLOOKUP(Tableau119[[#This Row],[Key(ID-date)]],'DATA BTO'!S:S,'DATA BTO'!K:K,FALSE)</f>
        <v>0</v>
      </c>
      <c r="AJ676" s="50" t="b">
        <f>_xlfn.XLOOKUP(Tableau119[[#This Row],[Key(ID-date)]],'DATA BTO'!S:S,'DATA BTO'!L:L,FALSE)</f>
        <v>0</v>
      </c>
      <c r="AK676" s="53" t="b">
        <f>_xlfn.XLOOKUP(Tableau119[[#This Row],[Key(ID-date)]],'DATA BTO'!S:S,'DATA BTO'!N:N,FALSE)</f>
        <v>0</v>
      </c>
      <c r="AL676" s="54" t="e">
        <f>VLOOKUP(Tableau119[[#This Row],[Key(POD -PFI- Usine)]],'DATA Consignee'!A:F,6,FALSE)</f>
        <v>#N/A</v>
      </c>
      <c r="AM676" s="127"/>
      <c r="AN676" s="376" t="str">
        <f>IF(Tableau119[[#This Row],[Name PFI/CDD]]="","-",VLOOKUP(Tableau119[[#This Row],[Name PFI/CDD]],Plant_AILN!I:J,2,FALSE))</f>
        <v>-</v>
      </c>
      <c r="AO6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6" s="2" t="e">
        <f>VLOOKUP(Tableau119[[#This Row],[Key(POD -PFI- Usine)]],'DATA Consignee'!A:J,10,FALSE)</f>
        <v>#N/A</v>
      </c>
      <c r="AR676" s="50" t="e">
        <f>VLOOKUP(Tableau119[[#This Row],[Key(POD -PFI- Usine)]],'DATA Consignee'!A:N,14,FALSE)</f>
        <v>#N/A</v>
      </c>
      <c r="AS6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6" s="50">
        <f>Tableau119[[#This Row],[Transit time]]+Tableau119[[#This Row],[Time for security]]+Tableau119[[#This Row],[Time for security2 buffer]]</f>
        <v>0</v>
      </c>
      <c r="AV6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6" s="50" t="e">
        <f>Tableau119[[#This Row],[Leadtime SI2C]]+Tableau119[[#This Row],[First Receipt Days]]-Tableau119[[#This Row],[Day Customer Order]]+1</f>
        <v>#N/A</v>
      </c>
      <c r="AX676" s="119" t="e">
        <f>IF(Tableau119[[#This Row],[Name ILN]]&lt;&gt;"SFK Freight Forwarder",Tableau119[[#This Row],[Cust. Leadtime]],Tableau119[[#This Row],[Leadtime SI2C]])</f>
        <v>#N/A</v>
      </c>
      <c r="AY676" s="51" t="b">
        <f>_xlfn.XLOOKUP(Tableau119[[#This Row],[Key(ID-date)]],'DATA BTO'!S:S,'DATA BTO'!P:P,FALSE)</f>
        <v>0</v>
      </c>
      <c r="AZ676" s="338">
        <v>45473</v>
      </c>
      <c r="BA676" s="50"/>
    </row>
    <row r="677" spans="2:53">
      <c r="B677" s="446" t="str">
        <f>_xlfn.CONCAT(Tableau119[[#This Row],[Name ILN]],"-",Tableau119[[#This Row],[Name Shipper]],"-",Tableau119[[#This Row],[Name Site]])</f>
        <v>SFK Freight Forwarder-HIGHLY MARELLI MALAYSIA SDN. BHD.-CURITIBA CVU</v>
      </c>
      <c r="C677" s="66" t="str">
        <f>_xlfn.CONCAT(Tableau119[[#This Row],[Compte ILN]],"-",Tableau119[[#This Row],[Compte Shipper]],"-",Tableau119[[#This Row],[POL]],"-",Tableau119[[#This Row],[Compte Consignee]])</f>
        <v>0-27002800-FALSO-90018500</v>
      </c>
      <c r="D677" s="66" t="str">
        <f>_xlfn.CONCAT(Tableau119[[#This Row],[Compte ILN]],"-",Tableau119[[#This Row],[Compte Shipper]],"-",Tableau119[[#This Row],[POL]])</f>
        <v>0-27002800-FALSO</v>
      </c>
      <c r="E677" s="130" t="str">
        <f>_xlfn.CONCAT(Tableau119[[#This Row],[POL]],"-",Tableau119[[#This Row],[Carrier]],"-",Tableau119[[#This Row],[POD]])</f>
        <v>FALSO-FALSO-FALSO</v>
      </c>
      <c r="F677" s="66" t="str">
        <f>_xlfn.CONCAT(Tableau119[[#This Row],[ID]],"-","Actif")</f>
        <v>408-Actif</v>
      </c>
      <c r="G677" s="66" t="str">
        <f>_xlfn.CONCAT(Tableau119[[#This Row],[POD]],"-",Tableau119[[#This Row],[Code PFI]],"-",Tableau119[[#This Row],[Compte Consignee]])</f>
        <v>FALSO---90018500</v>
      </c>
      <c r="H6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CVU</v>
      </c>
      <c r="I677" s="434" t="str">
        <f>_xlfn.CONCAT(Tableau119[[#This Row],[ID]],"-",Tableau119[[#This Row],[Expiration Date]])</f>
        <v>408-45473</v>
      </c>
      <c r="J6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CVU-SFK Freight Forwarder-HIGHLY MARELLI MALAYSIA SDN. BHD.-408-FALSO-FALSO-FALSO--45473</v>
      </c>
      <c r="K677" s="119" t="str">
        <f ca="1">IF(COUNTIF(J:J,Tableau119[[#This Row],[Plant-ILN-shipper-POL-Carrier-POD-PFI]])=1,"Non","Oui")</f>
        <v>Non</v>
      </c>
      <c r="L677" s="128" t="str">
        <f>VLOOKUP(Tableau119[[#This Row],[Name Site]],Plant_AILN!A:D,4,FALSE)</f>
        <v>BRAZIL</v>
      </c>
      <c r="M677" s="415" t="s">
        <v>206</v>
      </c>
      <c r="N677" s="455">
        <f>VLOOKUP(Tableau119[[#This Row],[Name Site]],Plant_AILN!A:C,3,FALSE)</f>
        <v>90018500</v>
      </c>
      <c r="O677" s="104">
        <f>VLOOKUP(Tableau119[[#This Row],[Compte Consignee]],Order!C:D,2,FALSE)</f>
        <v>7</v>
      </c>
      <c r="P677" s="126" t="s">
        <v>146</v>
      </c>
      <c r="Q677" s="366">
        <f>VLOOKUP(Tableau119[[#This Row],[Name ILN]],Plant_AILN!F:G,2,FALSE)</f>
        <v>0</v>
      </c>
      <c r="R677" s="81">
        <f>VLOOKUP(Tableau119[[#This Row],[Compte ILN]],'DATA ILN'!D:I,6,FALSE)</f>
        <v>9</v>
      </c>
      <c r="S677" s="81" t="e">
        <f>IFERROR(VLOOKUP(Tableau119[[#This Row],[Key(Compte ILN - shipper - POL - plant)]],'DATA ILN'!A:J,10,FALSE),VLOOKUP(Tableau119[[#This Row],[Key(Compte ILN - shipper - POL)]],'DATA ILN'!B:J,9,FALSE))</f>
        <v>#N/A</v>
      </c>
      <c r="T677" s="81" t="e">
        <f>IFERROR(VLOOKUP(Tableau119[[#This Row],[Key(Compte ILN - shipper - POL - plant)]],'DATA ILN'!A:K,11,FALSE),VLOOKUP(Tableau119[[#This Row],[Key(Compte ILN - shipper - POL)]],'DATA ILN'!B:K,10,FALSE))</f>
        <v>#N/A</v>
      </c>
      <c r="U677" s="81" t="e">
        <f>IFERROR(VLOOKUP(Tableau119[[#This Row],[Key(Compte ILN - shipper - POL - plant)]],'DATA ILN'!A:L,12,FALSE),VLOOKUP(Tableau119[[#This Row],[Key(Compte ILN - shipper - POL)]],'DATA ILN'!B:L,11,FALSE))</f>
        <v>#N/A</v>
      </c>
      <c r="V677" s="81" t="e">
        <f>Tableau119[[#This Row],[Day ILN Order]]+Tableau119[[#This Row],[Delivery time to ILN/Shipper]]-1</f>
        <v>#N/A</v>
      </c>
      <c r="W677" s="81" t="e">
        <f>IFERROR(VLOOKUP(Tableau119[[#This Row],[Key(Compte ILN - shipper - POL - plant)]],'DATA ILN'!A:N,14,FALSE),VLOOKUP(Tableau119[[#This Row],[Key(Compte ILN - shipper - POL)]],'DATA ILN'!B:N,13,FALSE))</f>
        <v>#N/A</v>
      </c>
      <c r="X677" s="81" t="e">
        <f>IFERROR(VLOOKUP(Tableau119[[#This Row],[Key(Compte ILN - shipper - POL - plant)]],'DATA ILN'!A:P,16,FALSE),VLOOKUP(Tableau119[[#This Row],[Key(Compte ILN - shipper - POL)]],'DATA ILN'!B:P,15,FALSE))</f>
        <v>#N/A</v>
      </c>
      <c r="Y677" s="102" t="s">
        <v>322</v>
      </c>
      <c r="Z677" s="417">
        <f>IFERROR(VLOOKUP(Tableau119[[#This Row],[Name Shipper]],Plant_AILN!L:M,2,FALSE),0)</f>
        <v>27002800</v>
      </c>
      <c r="AA677" s="416">
        <v>408</v>
      </c>
      <c r="AB677" s="396" t="b">
        <f>_xlfn.XLOOKUP(Tableau119[[#This Row],[Key(ID-date)]],'DATA BTO'!S:S,'DATA BTO'!E:E,FALSE)</f>
        <v>0</v>
      </c>
      <c r="AC677" s="3" t="b">
        <f>_xlfn.XLOOKUP(Tableau119[[#This Row],[Key(ID-date)]],'DATA BTO'!S:S,'DATA BTO'!F:F,FALSE)</f>
        <v>0</v>
      </c>
      <c r="AD677" s="50" t="b">
        <f>_xlfn.XLOOKUP(Tableau119[[#This Row],[Key(ID-date)]],'DATA BTO'!S:S,'DATA BTO'!G:G,FALSE)</f>
        <v>0</v>
      </c>
      <c r="AE677" s="50" t="b">
        <f>_xlfn.XLOOKUP(Tableau119[[#This Row],[Key(ID-date)]],'DATA BTO'!S:S,'DATA BTO'!H:H,FALSE)</f>
        <v>0</v>
      </c>
      <c r="AF677" s="447" t="e">
        <f>IF(Tableau119[[#This Row],[First Day to POL]]&lt;=Tableau119[[#This Row],[Day Cut Off]],Tableau119[[#This Row],[Day ETD]],Tableau119[[#This Row],[Day ETD]]+7)</f>
        <v>#N/A</v>
      </c>
      <c r="AG677" s="50" t="b">
        <f>_xlfn.XLOOKUP(Tableau119[[#This Row],[Key(ID-date)]],'DATA BTO'!S:S,'DATA BTO'!I:I,FALSE)</f>
        <v>0</v>
      </c>
      <c r="AH677" s="3" t="b">
        <f>_xlfn.XLOOKUP(Tableau119[[#This Row],[Key(ID-date)]],'DATA BTO'!S:S,'DATA BTO'!J:J,FALSE)</f>
        <v>0</v>
      </c>
      <c r="AI677" s="3" t="b">
        <f>_xlfn.XLOOKUP(Tableau119[[#This Row],[Key(ID-date)]],'DATA BTO'!S:S,'DATA BTO'!K:K,FALSE)</f>
        <v>0</v>
      </c>
      <c r="AJ677" s="50" t="b">
        <f>_xlfn.XLOOKUP(Tableau119[[#This Row],[Key(ID-date)]],'DATA BTO'!S:S,'DATA BTO'!L:L,FALSE)</f>
        <v>0</v>
      </c>
      <c r="AK677" s="53" t="b">
        <f>_xlfn.XLOOKUP(Tableau119[[#This Row],[Key(ID-date)]],'DATA BTO'!S:S,'DATA BTO'!N:N,FALSE)</f>
        <v>0</v>
      </c>
      <c r="AL677" s="54" t="e">
        <f>VLOOKUP(Tableau119[[#This Row],[Key(POD -PFI- Usine)]],'DATA Consignee'!A:F,6,FALSE)</f>
        <v>#N/A</v>
      </c>
      <c r="AM677" s="127"/>
      <c r="AN677" s="375" t="str">
        <f>IF(Tableau119[[#This Row],[Name PFI/CDD]]="","-",VLOOKUP(Tableau119[[#This Row],[Name PFI/CDD]],Plant_AILN!I:J,2,FALSE))</f>
        <v>-</v>
      </c>
      <c r="AO67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7" s="110" t="e">
        <f>VLOOKUP(Tableau119[[#This Row],[Key(POD -PFI- Usine)]],'DATA Consignee'!A:J,10,FALSE)</f>
        <v>#N/A</v>
      </c>
      <c r="AR677" s="81" t="e">
        <f>VLOOKUP(Tableau119[[#This Row],[Key(POD -PFI- Usine)]],'DATA Consignee'!A:N,14,FALSE)</f>
        <v>#N/A</v>
      </c>
      <c r="AS67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7" s="81">
        <f>Tableau119[[#This Row],[Transit time]]+Tableau119[[#This Row],[Time for security]]+Tableau119[[#This Row],[Time for security2 buffer]]</f>
        <v>0</v>
      </c>
      <c r="AV6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7" s="50" t="e">
        <f>Tableau119[[#This Row],[Leadtime SI2C]]+Tableau119[[#This Row],[First Receipt Days]]-Tableau119[[#This Row],[Day Customer Order]]+1</f>
        <v>#N/A</v>
      </c>
      <c r="AX677" s="119" t="e">
        <f>IF(Tableau119[[#This Row],[Name ILN]]&lt;&gt;"SFK Freight Forwarder",Tableau119[[#This Row],[Cust. Leadtime]],Tableau119[[#This Row],[Leadtime SI2C]])</f>
        <v>#N/A</v>
      </c>
      <c r="AY677" s="51" t="b">
        <f>_xlfn.XLOOKUP(Tableau119[[#This Row],[Key(ID-date)]],'DATA BTO'!S:S,'DATA BTO'!P:P,FALSE)</f>
        <v>0</v>
      </c>
      <c r="AZ677" s="388">
        <v>45473</v>
      </c>
      <c r="BA677" s="81"/>
    </row>
    <row r="678" spans="2:53">
      <c r="B678" s="446" t="str">
        <f>_xlfn.CONCAT(Tableau119[[#This Row],[Name ILN]],"-",Tableau119[[#This Row],[Name Shipper]],"-",Tableau119[[#This Row],[Name Site]])</f>
        <v>SFK Freight Forwarder-HIGHLY MARELLI MALAYSIA SDN. BHD.-Curitiba CVP</v>
      </c>
      <c r="C678" s="66" t="str">
        <f>_xlfn.CONCAT(Tableau119[[#This Row],[Compte ILN]],"-",Tableau119[[#This Row],[Compte Shipper]],"-",Tableau119[[#This Row],[POL]],"-",Tableau119[[#This Row],[Compte Consignee]])</f>
        <v>0-27002800-FALSO-90018000</v>
      </c>
      <c r="D678" s="66" t="str">
        <f>_xlfn.CONCAT(Tableau119[[#This Row],[Compte ILN]],"-",Tableau119[[#This Row],[Compte Shipper]],"-",Tableau119[[#This Row],[POL]])</f>
        <v>0-27002800-FALSO</v>
      </c>
      <c r="E678" s="130" t="str">
        <f>_xlfn.CONCAT(Tableau119[[#This Row],[POL]],"-",Tableau119[[#This Row],[Carrier]],"-",Tableau119[[#This Row],[POD]])</f>
        <v>FALSO-FALSO-FALSO</v>
      </c>
      <c r="F678" s="66" t="str">
        <f>_xlfn.CONCAT(Tableau119[[#This Row],[ID]],"-","Actif")</f>
        <v>408-Actif</v>
      </c>
      <c r="G678" s="66" t="str">
        <f>_xlfn.CONCAT(Tableau119[[#This Row],[POD]],"-",Tableau119[[#This Row],[Code PFI]],"-",Tableau119[[#This Row],[Compte Consignee]])</f>
        <v>FALSO---90018000</v>
      </c>
      <c r="H6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CVP</v>
      </c>
      <c r="I678" s="434" t="str">
        <f>_xlfn.CONCAT(Tableau119[[#This Row],[ID]],"-",Tableau119[[#This Row],[Expiration Date]])</f>
        <v>408-45412</v>
      </c>
      <c r="J6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Forwarder-HIGHLY MARELLI MALAYSIA SDN. BHD.-408-FALSO-FALSO-FALSO--45412</v>
      </c>
      <c r="K678" s="119" t="str">
        <f ca="1">IF(COUNTIF(J:J,Tableau119[[#This Row],[Plant-ILN-shipper-POL-Carrier-POD-PFI]])=1,"Non","Oui")</f>
        <v>Non</v>
      </c>
      <c r="L678" s="128" t="str">
        <f>VLOOKUP(Tableau119[[#This Row],[Name Site]],Plant_AILN!A:D,4,FALSE)</f>
        <v>BRAZIL</v>
      </c>
      <c r="M678" s="411" t="s">
        <v>152</v>
      </c>
      <c r="N678" s="454">
        <f>VLOOKUP(Tableau119[[#This Row],[Name Site]],Plant_AILN!A:C,3,FALSE)</f>
        <v>90018000</v>
      </c>
      <c r="O678" s="55">
        <f>VLOOKUP(Tableau119[[#This Row],[Compte Consignee]],Order!C:D,2,FALSE)</f>
        <v>7</v>
      </c>
      <c r="P678" s="124" t="s">
        <v>146</v>
      </c>
      <c r="Q678" s="365">
        <f>VLOOKUP(Tableau119[[#This Row],[Name ILN]],Plant_AILN!F:G,2,FALSE)</f>
        <v>0</v>
      </c>
      <c r="R678" s="50">
        <f>VLOOKUP(Tableau119[[#This Row],[Compte ILN]],'DATA ILN'!D:I,6,FALSE)</f>
        <v>9</v>
      </c>
      <c r="S678" s="50" t="e">
        <f>IFERROR(VLOOKUP(Tableau119[[#This Row],[Key(Compte ILN - shipper - POL - plant)]],'DATA ILN'!A:J,10,FALSE),VLOOKUP(Tableau119[[#This Row],[Key(Compte ILN - shipper - POL)]],'DATA ILN'!B:J,9,FALSE))</f>
        <v>#N/A</v>
      </c>
      <c r="T678" s="50" t="e">
        <f>IFERROR(VLOOKUP(Tableau119[[#This Row],[Key(Compte ILN - shipper - POL - plant)]],'DATA ILN'!A:K,11,FALSE),VLOOKUP(Tableau119[[#This Row],[Key(Compte ILN - shipper - POL)]],'DATA ILN'!B:K,10,FALSE))</f>
        <v>#N/A</v>
      </c>
      <c r="U678" s="50" t="e">
        <f>IFERROR(VLOOKUP(Tableau119[[#This Row],[Key(Compte ILN - shipper - POL - plant)]],'DATA ILN'!A:L,12,FALSE),VLOOKUP(Tableau119[[#This Row],[Key(Compte ILN - shipper - POL)]],'DATA ILN'!B:L,11,FALSE))</f>
        <v>#N/A</v>
      </c>
      <c r="V678" s="50" t="e">
        <f>Tableau119[[#This Row],[Day ILN Order]]+Tableau119[[#This Row],[Delivery time to ILN/Shipper]]-1</f>
        <v>#N/A</v>
      </c>
      <c r="W678" s="50" t="e">
        <f>IFERROR(VLOOKUP(Tableau119[[#This Row],[Key(Compte ILN - shipper - POL - plant)]],'DATA ILN'!A:N,14,FALSE),VLOOKUP(Tableau119[[#This Row],[Key(Compte ILN - shipper - POL)]],'DATA ILN'!B:N,13,FALSE))</f>
        <v>#N/A</v>
      </c>
      <c r="X678" s="50" t="e">
        <f>IFERROR(VLOOKUP(Tableau119[[#This Row],[Key(Compte ILN - shipper - POL - plant)]],'DATA ILN'!A:P,16,FALSE),VLOOKUP(Tableau119[[#This Row],[Key(Compte ILN - shipper - POL)]],'DATA ILN'!B:P,15,FALSE))</f>
        <v>#N/A</v>
      </c>
      <c r="Y678" s="284" t="s">
        <v>322</v>
      </c>
      <c r="Z678" s="430">
        <f>IFERROR(VLOOKUP(Tableau119[[#This Row],[Name Shipper]],Plant_AILN!L:M,2,FALSE),0)</f>
        <v>27002800</v>
      </c>
      <c r="AA678" s="406">
        <v>408</v>
      </c>
      <c r="AB678" s="396" t="b">
        <f>_xlfn.XLOOKUP(Tableau119[[#This Row],[Key(ID-date)]],'DATA BTO'!S:S,'DATA BTO'!E:E,FALSE)</f>
        <v>0</v>
      </c>
      <c r="AC678" s="3" t="b">
        <f>_xlfn.XLOOKUP(Tableau119[[#This Row],[Key(ID-date)]],'DATA BTO'!S:S,'DATA BTO'!F:F,FALSE)</f>
        <v>0</v>
      </c>
      <c r="AD678" s="50" t="b">
        <f>_xlfn.XLOOKUP(Tableau119[[#This Row],[Key(ID-date)]],'DATA BTO'!S:S,'DATA BTO'!G:G,FALSE)</f>
        <v>0</v>
      </c>
      <c r="AE678" s="50" t="b">
        <f>_xlfn.XLOOKUP(Tableau119[[#This Row],[Key(ID-date)]],'DATA BTO'!S:S,'DATA BTO'!H:H,FALSE)</f>
        <v>0</v>
      </c>
      <c r="AF678" s="447" t="e">
        <f>IF(Tableau119[[#This Row],[First Day to POL]]&lt;=Tableau119[[#This Row],[Day Cut Off]],Tableau119[[#This Row],[Day ETD]],Tableau119[[#This Row],[Day ETD]]+7)</f>
        <v>#N/A</v>
      </c>
      <c r="AG678" s="50" t="b">
        <f>_xlfn.XLOOKUP(Tableau119[[#This Row],[Key(ID-date)]],'DATA BTO'!S:S,'DATA BTO'!I:I,FALSE)</f>
        <v>0</v>
      </c>
      <c r="AH678" s="3" t="b">
        <f>_xlfn.XLOOKUP(Tableau119[[#This Row],[Key(ID-date)]],'DATA BTO'!S:S,'DATA BTO'!J:J,FALSE)</f>
        <v>0</v>
      </c>
      <c r="AI678" s="3" t="b">
        <f>_xlfn.XLOOKUP(Tableau119[[#This Row],[Key(ID-date)]],'DATA BTO'!S:S,'DATA BTO'!K:K,FALSE)</f>
        <v>0</v>
      </c>
      <c r="AJ678" s="50" t="b">
        <f>_xlfn.XLOOKUP(Tableau119[[#This Row],[Key(ID-date)]],'DATA BTO'!S:S,'DATA BTO'!L:L,FALSE)</f>
        <v>0</v>
      </c>
      <c r="AK678" s="53" t="b">
        <f>_xlfn.XLOOKUP(Tableau119[[#This Row],[Key(ID-date)]],'DATA BTO'!S:S,'DATA BTO'!N:N,FALSE)</f>
        <v>0</v>
      </c>
      <c r="AL678" s="54" t="e">
        <f>VLOOKUP(Tableau119[[#This Row],[Key(POD -PFI- Usine)]],'DATA Consignee'!A:F,6,FALSE)</f>
        <v>#N/A</v>
      </c>
      <c r="AM678" s="127"/>
      <c r="AN678" s="376" t="str">
        <f>IF(Tableau119[[#This Row],[Name PFI/CDD]]="","-",VLOOKUP(Tableau119[[#This Row],[Name PFI/CDD]],Plant_AILN!I:J,2,FALSE))</f>
        <v>-</v>
      </c>
      <c r="AO67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8" s="2" t="e">
        <f>VLOOKUP(Tableau119[[#This Row],[Key(POD -PFI- Usine)]],'DATA Consignee'!A:J,10,FALSE)</f>
        <v>#N/A</v>
      </c>
      <c r="AR678" s="50" t="e">
        <f>VLOOKUP(Tableau119[[#This Row],[Key(POD -PFI- Usine)]],'DATA Consignee'!A:N,14,FALSE)</f>
        <v>#N/A</v>
      </c>
      <c r="AS67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8" s="50">
        <f>Tableau119[[#This Row],[Transit time]]+Tableau119[[#This Row],[Time for security]]+Tableau119[[#This Row],[Time for security2 buffer]]</f>
        <v>0</v>
      </c>
      <c r="AV6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8" s="50" t="e">
        <f>Tableau119[[#This Row],[Leadtime SI2C]]+Tableau119[[#This Row],[First Receipt Days]]-Tableau119[[#This Row],[Day Customer Order]]+1</f>
        <v>#N/A</v>
      </c>
      <c r="AX678" s="119" t="e">
        <f>IF(Tableau119[[#This Row],[Name ILN]]&lt;&gt;"SFK Freight Forwarder",Tableau119[[#This Row],[Cust. Leadtime]],Tableau119[[#This Row],[Leadtime SI2C]])</f>
        <v>#N/A</v>
      </c>
      <c r="AY678" s="51" t="b">
        <f>_xlfn.XLOOKUP(Tableau119[[#This Row],[Key(ID-date)]],'DATA BTO'!S:S,'DATA BTO'!P:P,FALSE)</f>
        <v>0</v>
      </c>
      <c r="AZ678" s="338">
        <v>45412</v>
      </c>
      <c r="BA678" s="50"/>
    </row>
    <row r="679" spans="2:53">
      <c r="B679" s="446" t="str">
        <f>_xlfn.CONCAT(Tableau119[[#This Row],[Name ILN]],"-",Tableau119[[#This Row],[Name Shipper]],"-",Tableau119[[#This Row],[Name Site]])</f>
        <v>SFK Freight Forwarder-HIGHLY MARELLI MALAYSIA SDN. BHD.-CURITIBA CVU</v>
      </c>
      <c r="C679" s="66" t="str">
        <f>_xlfn.CONCAT(Tableau119[[#This Row],[Compte ILN]],"-",Tableau119[[#This Row],[Compte Shipper]],"-",Tableau119[[#This Row],[POL]],"-",Tableau119[[#This Row],[Compte Consignee]])</f>
        <v>0-27002800-FALSO-90018500</v>
      </c>
      <c r="D679" s="66" t="str">
        <f>_xlfn.CONCAT(Tableau119[[#This Row],[Compte ILN]],"-",Tableau119[[#This Row],[Compte Shipper]],"-",Tableau119[[#This Row],[POL]])</f>
        <v>0-27002800-FALSO</v>
      </c>
      <c r="E679" s="130" t="str">
        <f>_xlfn.CONCAT(Tableau119[[#This Row],[POL]],"-",Tableau119[[#This Row],[Carrier]],"-",Tableau119[[#This Row],[POD]])</f>
        <v>FALSO-FALSO-FALSO</v>
      </c>
      <c r="F679" s="66" t="str">
        <f>_xlfn.CONCAT(Tableau119[[#This Row],[ID]],"-","Actif")</f>
        <v>408-Actif</v>
      </c>
      <c r="G679" s="66" t="str">
        <f>_xlfn.CONCAT(Tableau119[[#This Row],[POD]],"-",Tableau119[[#This Row],[Code PFI]],"-",Tableau119[[#This Row],[Compte Consignee]])</f>
        <v>FALSO---90018500</v>
      </c>
      <c r="H6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27002800FALSOCURITIBA CVU</v>
      </c>
      <c r="I679" s="434" t="str">
        <f>_xlfn.CONCAT(Tableau119[[#This Row],[ID]],"-",Tableau119[[#This Row],[Expiration Date]])</f>
        <v>408-45412</v>
      </c>
      <c r="J6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CVU-SFK Freight Forwarder-HIGHLY MARELLI MALAYSIA SDN. BHD.-408-FALSO-FALSO-FALSO--45412</v>
      </c>
      <c r="K679" s="119" t="str">
        <f ca="1">IF(COUNTIF(J:J,Tableau119[[#This Row],[Plant-ILN-shipper-POL-Carrier-POD-PFI]])=1,"Non","Oui")</f>
        <v>Non</v>
      </c>
      <c r="L679" s="128" t="str">
        <f>VLOOKUP(Tableau119[[#This Row],[Name Site]],Plant_AILN!A:D,4,FALSE)</f>
        <v>BRAZIL</v>
      </c>
      <c r="M679" s="411" t="s">
        <v>206</v>
      </c>
      <c r="N679" s="454">
        <f>VLOOKUP(Tableau119[[#This Row],[Name Site]],Plant_AILN!A:C,3,FALSE)</f>
        <v>90018500</v>
      </c>
      <c r="O679" s="55">
        <f>VLOOKUP(Tableau119[[#This Row],[Compte Consignee]],Order!C:D,2,FALSE)</f>
        <v>7</v>
      </c>
      <c r="P679" s="124" t="s">
        <v>146</v>
      </c>
      <c r="Q679" s="365">
        <f>VLOOKUP(Tableau119[[#This Row],[Name ILN]],Plant_AILN!F:G,2,FALSE)</f>
        <v>0</v>
      </c>
      <c r="R679" s="50">
        <f>VLOOKUP(Tableau119[[#This Row],[Compte ILN]],'DATA ILN'!D:I,6,FALSE)</f>
        <v>9</v>
      </c>
      <c r="S679" s="50" t="e">
        <f>IFERROR(VLOOKUP(Tableau119[[#This Row],[Key(Compte ILN - shipper - POL - plant)]],'DATA ILN'!A:J,10,FALSE),VLOOKUP(Tableau119[[#This Row],[Key(Compte ILN - shipper - POL)]],'DATA ILN'!B:J,9,FALSE))</f>
        <v>#N/A</v>
      </c>
      <c r="T679" s="50" t="e">
        <f>IFERROR(VLOOKUP(Tableau119[[#This Row],[Key(Compte ILN - shipper - POL - plant)]],'DATA ILN'!A:K,11,FALSE),VLOOKUP(Tableau119[[#This Row],[Key(Compte ILN - shipper - POL)]],'DATA ILN'!B:K,10,FALSE))</f>
        <v>#N/A</v>
      </c>
      <c r="U679" s="50" t="e">
        <f>IFERROR(VLOOKUP(Tableau119[[#This Row],[Key(Compte ILN - shipper - POL - plant)]],'DATA ILN'!A:L,12,FALSE),VLOOKUP(Tableau119[[#This Row],[Key(Compte ILN - shipper - POL)]],'DATA ILN'!B:L,11,FALSE))</f>
        <v>#N/A</v>
      </c>
      <c r="V679" s="50" t="e">
        <f>Tableau119[[#This Row],[Day ILN Order]]+Tableau119[[#This Row],[Delivery time to ILN/Shipper]]-1</f>
        <v>#N/A</v>
      </c>
      <c r="W679" s="50" t="e">
        <f>IFERROR(VLOOKUP(Tableau119[[#This Row],[Key(Compte ILN - shipper - POL - plant)]],'DATA ILN'!A:N,14,FALSE),VLOOKUP(Tableau119[[#This Row],[Key(Compte ILN - shipper - POL)]],'DATA ILN'!B:N,13,FALSE))</f>
        <v>#N/A</v>
      </c>
      <c r="X679" s="50" t="e">
        <f>IFERROR(VLOOKUP(Tableau119[[#This Row],[Key(Compte ILN - shipper - POL - plant)]],'DATA ILN'!A:P,16,FALSE),VLOOKUP(Tableau119[[#This Row],[Key(Compte ILN - shipper - POL)]],'DATA ILN'!B:P,15,FALSE))</f>
        <v>#N/A</v>
      </c>
      <c r="Y679" s="284" t="s">
        <v>322</v>
      </c>
      <c r="Z679" s="430">
        <f>IFERROR(VLOOKUP(Tableau119[[#This Row],[Name Shipper]],Plant_AILN!L:M,2,FALSE),0)</f>
        <v>27002800</v>
      </c>
      <c r="AA679" s="406">
        <v>408</v>
      </c>
      <c r="AB679" s="396" t="b">
        <f>_xlfn.XLOOKUP(Tableau119[[#This Row],[Key(ID-date)]],'DATA BTO'!S:S,'DATA BTO'!E:E,FALSE)</f>
        <v>0</v>
      </c>
      <c r="AC679" s="3" t="b">
        <f>_xlfn.XLOOKUP(Tableau119[[#This Row],[Key(ID-date)]],'DATA BTO'!S:S,'DATA BTO'!F:F,FALSE)</f>
        <v>0</v>
      </c>
      <c r="AD679" s="50" t="b">
        <f>_xlfn.XLOOKUP(Tableau119[[#This Row],[Key(ID-date)]],'DATA BTO'!S:S,'DATA BTO'!G:G,FALSE)</f>
        <v>0</v>
      </c>
      <c r="AE679" s="50" t="b">
        <f>_xlfn.XLOOKUP(Tableau119[[#This Row],[Key(ID-date)]],'DATA BTO'!S:S,'DATA BTO'!H:H,FALSE)</f>
        <v>0</v>
      </c>
      <c r="AF679" s="447" t="e">
        <f>IF(Tableau119[[#This Row],[First Day to POL]]&lt;=Tableau119[[#This Row],[Day Cut Off]],Tableau119[[#This Row],[Day ETD]],Tableau119[[#This Row],[Day ETD]]+7)</f>
        <v>#N/A</v>
      </c>
      <c r="AG679" s="50" t="b">
        <f>_xlfn.XLOOKUP(Tableau119[[#This Row],[Key(ID-date)]],'DATA BTO'!S:S,'DATA BTO'!I:I,FALSE)</f>
        <v>0</v>
      </c>
      <c r="AH679" s="3" t="b">
        <f>_xlfn.XLOOKUP(Tableau119[[#This Row],[Key(ID-date)]],'DATA BTO'!S:S,'DATA BTO'!J:J,FALSE)</f>
        <v>0</v>
      </c>
      <c r="AI679" s="3" t="b">
        <f>_xlfn.XLOOKUP(Tableau119[[#This Row],[Key(ID-date)]],'DATA BTO'!S:S,'DATA BTO'!K:K,FALSE)</f>
        <v>0</v>
      </c>
      <c r="AJ679" s="50" t="b">
        <f>_xlfn.XLOOKUP(Tableau119[[#This Row],[Key(ID-date)]],'DATA BTO'!S:S,'DATA BTO'!L:L,FALSE)</f>
        <v>0</v>
      </c>
      <c r="AK679" s="53" t="b">
        <f>_xlfn.XLOOKUP(Tableau119[[#This Row],[Key(ID-date)]],'DATA BTO'!S:S,'DATA BTO'!N:N,FALSE)</f>
        <v>0</v>
      </c>
      <c r="AL679" s="54" t="e">
        <f>VLOOKUP(Tableau119[[#This Row],[Key(POD -PFI- Usine)]],'DATA Consignee'!A:F,6,FALSE)</f>
        <v>#N/A</v>
      </c>
      <c r="AM679" s="127"/>
      <c r="AN679" s="376" t="str">
        <f>IF(Tableau119[[#This Row],[Name PFI/CDD]]="","-",VLOOKUP(Tableau119[[#This Row],[Name PFI/CDD]],Plant_AILN!I:J,2,FALSE))</f>
        <v>-</v>
      </c>
      <c r="AO6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79" s="2" t="e">
        <f>VLOOKUP(Tableau119[[#This Row],[Key(POD -PFI- Usine)]],'DATA Consignee'!A:J,10,FALSE)</f>
        <v>#N/A</v>
      </c>
      <c r="AR679" s="50" t="e">
        <f>VLOOKUP(Tableau119[[#This Row],[Key(POD -PFI- Usine)]],'DATA Consignee'!A:N,14,FALSE)</f>
        <v>#N/A</v>
      </c>
      <c r="AS6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79" s="50">
        <f>Tableau119[[#This Row],[Transit time]]+Tableau119[[#This Row],[Time for security]]+Tableau119[[#This Row],[Time for security2 buffer]]</f>
        <v>0</v>
      </c>
      <c r="AV6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79" s="50" t="e">
        <f>Tableau119[[#This Row],[Leadtime SI2C]]+Tableau119[[#This Row],[First Receipt Days]]-Tableau119[[#This Row],[Day Customer Order]]+1</f>
        <v>#N/A</v>
      </c>
      <c r="AX679" s="119" t="e">
        <f>IF(Tableau119[[#This Row],[Name ILN]]&lt;&gt;"SFK Freight Forwarder",Tableau119[[#This Row],[Cust. Leadtime]],Tableau119[[#This Row],[Leadtime SI2C]])</f>
        <v>#N/A</v>
      </c>
      <c r="AY679" s="51" t="b">
        <f>_xlfn.XLOOKUP(Tableau119[[#This Row],[Key(ID-date)]],'DATA BTO'!S:S,'DATA BTO'!P:P,FALSE)</f>
        <v>0</v>
      </c>
      <c r="AZ679" s="338">
        <v>45412</v>
      </c>
      <c r="BA679" s="50"/>
    </row>
    <row r="680" spans="2:53">
      <c r="B680" s="66" t="str">
        <f>_xlfn.CONCAT(Tableau119[[#This Row],[Name ILN]],"-",Tableau119[[#This Row],[Name Shipper]],"-",Tableau119[[#This Row],[Name Site]])</f>
        <v>SFK Freight Forwarder-HIGHLY MARELLI MALAYSIA SDN. BHD.-DACIA MONT</v>
      </c>
      <c r="C680" s="66" t="str">
        <f>_xlfn.CONCAT(Tableau119[[#This Row],[Compte ILN]],"-",Tableau119[[#This Row],[Compte Shipper]],"-",Tableau119[[#This Row],[POL]],"-",Tableau119[[#This Row],[Compte Consignee]])</f>
        <v>0-27002800-FALSO-90016800</v>
      </c>
      <c r="D680" s="66" t="str">
        <f>_xlfn.CONCAT(Tableau119[[#This Row],[Compte ILN]],"-",Tableau119[[#This Row],[Compte Shipper]],"-",Tableau119[[#This Row],[POL]])</f>
        <v>0-27002800-FALSO</v>
      </c>
      <c r="E680" s="130" t="str">
        <f>_xlfn.CONCAT(Tableau119[[#This Row],[POL]],"-",Tableau119[[#This Row],[Carrier]],"-",Tableau119[[#This Row],[POD]])</f>
        <v>FALSO-FALSO-FALSO</v>
      </c>
      <c r="F680" s="66" t="str">
        <f>_xlfn.CONCAT(Tableau119[[#This Row],[ID]],"-","Actif")</f>
        <v>413-Actif</v>
      </c>
      <c r="G680" s="66" t="str">
        <f>_xlfn.CONCAT(Tableau119[[#This Row],[POD]],"-",Tableau119[[#This Row],[Code PFI]],"-",Tableau119[[#This Row],[Compte Consignee]])</f>
        <v>FALSO-2839004-90016800</v>
      </c>
      <c r="H6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27002800FALSODACIA MONT</v>
      </c>
      <c r="I680" s="434" t="str">
        <f>_xlfn.CONCAT(Tableau119[[#This Row],[ID]],"-",Tableau119[[#This Row],[Expiration Date]])</f>
        <v>413-46142</v>
      </c>
      <c r="J6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Forwarder-HIGHLY MARELLI MALAYSIA SDN. BHD.-413-FALSO-FALSO-FALSO-Magasin Dacia-46142</v>
      </c>
      <c r="K680" s="119" t="str">
        <f ca="1">IF(COUNTIF(J:J,Tableau119[[#This Row],[Plant-ILN-shipper-POL-Carrier-POD-PFI]])=1,"Non","Oui")</f>
        <v>Non</v>
      </c>
      <c r="L680" s="436" t="str">
        <f>VLOOKUP(Tableau119[[#This Row],[Name Site]],Plant_AILN!A:D,4,FALSE)</f>
        <v>ROMANIA</v>
      </c>
      <c r="M680" s="485" t="s">
        <v>185</v>
      </c>
      <c r="N680" s="455">
        <f>VLOOKUP(Tableau119[[#This Row],[Name Site]],Plant_AILN!A:C,3,FALSE)</f>
        <v>90016800</v>
      </c>
      <c r="O680" s="104">
        <f>IF(Tableau119[[#This Row],[Name PFI/CDD]]="PFI VLL",2,VLOOKUP(Tableau119[[#This Row],[Compte Consignee]],Order!C:D,2,FALSE))</f>
        <v>7</v>
      </c>
      <c r="P680" s="126" t="s">
        <v>146</v>
      </c>
      <c r="Q680" s="366">
        <f>VLOOKUP(Tableau119[[#This Row],[Name ILN]],Plant_AILN!F:G,2,FALSE)</f>
        <v>0</v>
      </c>
      <c r="R680" s="81">
        <f>VLOOKUP(Tableau119[[#This Row],[Compte ILN]],'DATA ILN'!D:I,6,FALSE)</f>
        <v>9</v>
      </c>
      <c r="S680" s="81" t="e">
        <f>IFERROR(VLOOKUP(Tableau119[[#This Row],[Key(Compte ILN - shipper - POL - plant)]],'DATA ILN'!A:J,10,FALSE),VLOOKUP(Tableau119[[#This Row],[Key(Compte ILN - shipper - POL)]],'DATA ILN'!B:J,9,FALSE))</f>
        <v>#N/A</v>
      </c>
      <c r="T680" s="81" t="e">
        <f>IFERROR(VLOOKUP(Tableau119[[#This Row],[Key(Compte ILN - shipper - POL - plant)]],'DATA ILN'!A:K,11,FALSE),VLOOKUP(Tableau119[[#This Row],[Key(Compte ILN - shipper - POL)]],'DATA ILN'!B:K,10,FALSE))</f>
        <v>#N/A</v>
      </c>
      <c r="U680" s="81" t="e">
        <f>IFERROR(VLOOKUP(Tableau119[[#This Row],[Key(Compte ILN - shipper - POL - plant)]],'DATA ILN'!A:L,12,FALSE),VLOOKUP(Tableau119[[#This Row],[Key(Compte ILN - shipper - POL)]],'DATA ILN'!B:L,11,FALSE))</f>
        <v>#N/A</v>
      </c>
      <c r="V680" s="81" t="e">
        <f>Tableau119[[#This Row],[Day ILN Order]]+Tableau119[[#This Row],[Delivery time to ILN/Shipper]]-1</f>
        <v>#N/A</v>
      </c>
      <c r="W680" s="81" t="e">
        <f>IFERROR(VLOOKUP(Tableau119[[#This Row],[Key(Compte ILN - shipper - POL - plant)]],'DATA ILN'!A:N,14,FALSE),VLOOKUP(Tableau119[[#This Row],[Key(Compte ILN - shipper - POL)]],'DATA ILN'!B:N,13,FALSE))</f>
        <v>#N/A</v>
      </c>
      <c r="X680" s="81" t="e">
        <f>IFERROR(VLOOKUP(Tableau119[[#This Row],[Key(Compte ILN - shipper - POL - plant)]],'DATA ILN'!A:P,16,FALSE),VLOOKUP(Tableau119[[#This Row],[Key(Compte ILN - shipper - POL)]],'DATA ILN'!B:P,15,FALSE))</f>
        <v>#N/A</v>
      </c>
      <c r="Y680" s="102" t="s">
        <v>322</v>
      </c>
      <c r="Z680" s="417">
        <f>IFERROR(VLOOKUP(Tableau119[[#This Row],[Name Shipper]],Plant_AILN!L:M,2,FALSE),0)</f>
        <v>27002800</v>
      </c>
      <c r="AA680" s="416">
        <v>413</v>
      </c>
      <c r="AB680" s="396" t="b">
        <f>_xlfn.XLOOKUP(Tableau119[[#This Row],[Key(ID-date)]],'DATA BTO'!S:S,'DATA BTO'!E:E,FALSE)</f>
        <v>0</v>
      </c>
      <c r="AC680" s="3" t="b">
        <f>_xlfn.XLOOKUP(Tableau119[[#This Row],[Key(ID-date)]],'DATA BTO'!S:S,'DATA BTO'!F:F,FALSE)</f>
        <v>0</v>
      </c>
      <c r="AD680" s="50" t="b">
        <f>_xlfn.XLOOKUP(Tableau119[[#This Row],[Key(ID-date)]],'DATA BTO'!S:S,'DATA BTO'!G:G,FALSE)</f>
        <v>0</v>
      </c>
      <c r="AE680" s="50" t="b">
        <f>_xlfn.XLOOKUP(Tableau119[[#This Row],[Key(ID-date)]],'DATA BTO'!S:S,'DATA BTO'!H:H,FALSE)</f>
        <v>0</v>
      </c>
      <c r="AF680" s="447" t="e">
        <f>IF(Tableau119[[#This Row],[First Day to POL]]&lt;=Tableau119[[#This Row],[Day Cut Off]],Tableau119[[#This Row],[Day ETD]],Tableau119[[#This Row],[Day ETD]]+7)</f>
        <v>#N/A</v>
      </c>
      <c r="AG680" s="50" t="b">
        <f>_xlfn.XLOOKUP(Tableau119[[#This Row],[Key(ID-date)]],'DATA BTO'!S:S,'DATA BTO'!I:I,FALSE)</f>
        <v>0</v>
      </c>
      <c r="AH680" s="3" t="b">
        <f>_xlfn.XLOOKUP(Tableau119[[#This Row],[Key(ID-date)]],'DATA BTO'!S:S,'DATA BTO'!J:J,FALSE)</f>
        <v>0</v>
      </c>
      <c r="AI680" s="3" t="b">
        <f>_xlfn.XLOOKUP(Tableau119[[#This Row],[Key(ID-date)]],'DATA BTO'!S:S,'DATA BTO'!K:K,FALSE)</f>
        <v>0</v>
      </c>
      <c r="AJ680" s="50" t="b">
        <f>_xlfn.XLOOKUP(Tableau119[[#This Row],[Key(ID-date)]],'DATA BTO'!S:S,'DATA BTO'!L:L,FALSE)</f>
        <v>0</v>
      </c>
      <c r="AK680" s="53" t="b">
        <f>_xlfn.XLOOKUP(Tableau119[[#This Row],[Key(ID-date)]],'DATA BTO'!S:S,'DATA BTO'!N:N,FALSE)</f>
        <v>0</v>
      </c>
      <c r="AL680" s="54" t="e">
        <f>VLOOKUP(Tableau119[[#This Row],[Key(POD -PFI- Usine)]],'DATA Consignee'!A:F,6,FALSE)</f>
        <v>#N/A</v>
      </c>
      <c r="AM680" s="127" t="s">
        <v>164</v>
      </c>
      <c r="AN680" s="375">
        <f>IF(Tableau119[[#This Row],[Name PFI/CDD]]="","-",VLOOKUP(Tableau119[[#This Row],[Name PFI/CDD]],Plant_AILN!I:J,2,FALSE))</f>
        <v>2839004</v>
      </c>
      <c r="AO68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0" s="110" t="e">
        <f>VLOOKUP(Tableau119[[#This Row],[Key(POD -PFI- Usine)]],'DATA Consignee'!A:J,10,FALSE)</f>
        <v>#N/A</v>
      </c>
      <c r="AR680" s="81" t="e">
        <f>VLOOKUP(Tableau119[[#This Row],[Key(POD -PFI- Usine)]],'DATA Consignee'!A:N,14,FALSE)</f>
        <v>#N/A</v>
      </c>
      <c r="AS68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0" s="81">
        <f>Tableau119[[#This Row],[Transit time]]+Tableau119[[#This Row],[Time for security]]+Tableau119[[#This Row],[Time for security2 buffer]]</f>
        <v>0</v>
      </c>
      <c r="AV6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0" s="50" t="e">
        <f>Tableau119[[#This Row],[Leadtime SI2C]]+Tableau119[[#This Row],[First Receipt Days]]-Tableau119[[#This Row],[Day Customer Order]]+1</f>
        <v>#N/A</v>
      </c>
      <c r="AX680" s="119" t="e">
        <f>IF(Tableau119[[#This Row],[Name ILN]]&lt;&gt;"SFK Freight Forwarder",Tableau119[[#This Row],[Cust. Leadtime]],Tableau119[[#This Row],[Leadtime SI2C]])</f>
        <v>#N/A</v>
      </c>
      <c r="AY680" s="51" t="b">
        <f>_xlfn.XLOOKUP(Tableau119[[#This Row],[Key(ID-date)]],'DATA BTO'!S:S,'DATA BTO'!P:P,FALSE)</f>
        <v>0</v>
      </c>
      <c r="AZ680" s="388">
        <v>46142</v>
      </c>
      <c r="BA680" s="81"/>
    </row>
    <row r="681" spans="2:53">
      <c r="B681" s="446" t="str">
        <f>_xlfn.CONCAT(Tableau119[[#This Row],[Name ILN]],"-",Tableau119[[#This Row],[Name Shipper]],"-",Tableau119[[#This Row],[Name Site]])</f>
        <v>SFK Freight Forwarder-HIGHLY MARELLI MALAYSIA SDN. BHD.-DACIA MONT</v>
      </c>
      <c r="C681" s="66" t="str">
        <f>_xlfn.CONCAT(Tableau119[[#This Row],[Compte ILN]],"-",Tableau119[[#This Row],[Compte Shipper]],"-",Tableau119[[#This Row],[POL]],"-",Tableau119[[#This Row],[Compte Consignee]])</f>
        <v>0-27002800-FALSO-90016800</v>
      </c>
      <c r="D681" s="66" t="str">
        <f>_xlfn.CONCAT(Tableau119[[#This Row],[Compte ILN]],"-",Tableau119[[#This Row],[Compte Shipper]],"-",Tableau119[[#This Row],[POL]])</f>
        <v>0-27002800-FALSO</v>
      </c>
      <c r="E681" s="130" t="str">
        <f>_xlfn.CONCAT(Tableau119[[#This Row],[POL]],"-",Tableau119[[#This Row],[Carrier]],"-",Tableau119[[#This Row],[POD]])</f>
        <v>FALSO-FALSO-FALSO</v>
      </c>
      <c r="F681" s="66" t="str">
        <f>_xlfn.CONCAT(Tableau119[[#This Row],[ID]],"-","Actif")</f>
        <v>413-Actif</v>
      </c>
      <c r="G681" s="66" t="str">
        <f>_xlfn.CONCAT(Tableau119[[#This Row],[POD]],"-",Tableau119[[#This Row],[Code PFI]],"-",Tableau119[[#This Row],[Compte Consignee]])</f>
        <v>FALSO---90016800</v>
      </c>
      <c r="H6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27002800FALSODACIA MONT</v>
      </c>
      <c r="I681" s="434" t="str">
        <f>_xlfn.CONCAT(Tableau119[[#This Row],[ID]],"-",Tableau119[[#This Row],[Expiration Date]])</f>
        <v>413-45893</v>
      </c>
      <c r="J6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Forwarder-HIGHLY MARELLI MALAYSIA SDN. BHD.-413-FALSO-FALSO-FALSO--45893</v>
      </c>
      <c r="K681" s="119" t="str">
        <f ca="1">IF(COUNTIF(J:J,Tableau119[[#This Row],[Plant-ILN-shipper-POL-Carrier-POD-PFI]])=1,"Non","Oui")</f>
        <v>Non</v>
      </c>
      <c r="L681" s="128" t="str">
        <f>VLOOKUP(Tableau119[[#This Row],[Name Site]],Plant_AILN!A:D,4,FALSE)</f>
        <v>ROMANIA</v>
      </c>
      <c r="M681" s="411" t="s">
        <v>185</v>
      </c>
      <c r="N681" s="454">
        <f>VLOOKUP(Tableau119[[#This Row],[Name Site]],Plant_AILN!A:C,3,FALSE)</f>
        <v>90016800</v>
      </c>
      <c r="O681" s="55">
        <f>VLOOKUP(Tableau119[[#This Row],[Compte Consignee]],Order!C:D,2,FALSE)</f>
        <v>7</v>
      </c>
      <c r="P681" s="124" t="s">
        <v>146</v>
      </c>
      <c r="Q681" s="365">
        <f>VLOOKUP(Tableau119[[#This Row],[Name ILN]],Plant_AILN!F:G,2,FALSE)</f>
        <v>0</v>
      </c>
      <c r="R681" s="50">
        <f>VLOOKUP(Tableau119[[#This Row],[Compte ILN]],'DATA ILN'!D:I,6,FALSE)</f>
        <v>9</v>
      </c>
      <c r="S681" s="50" t="e">
        <f>IFERROR(VLOOKUP(Tableau119[[#This Row],[Key(Compte ILN - shipper - POL - plant)]],'DATA ILN'!A:J,10,FALSE),VLOOKUP(Tableau119[[#This Row],[Key(Compte ILN - shipper - POL)]],'DATA ILN'!B:J,9,FALSE))</f>
        <v>#N/A</v>
      </c>
      <c r="T681" s="50" t="e">
        <f>IFERROR(VLOOKUP(Tableau119[[#This Row],[Key(Compte ILN - shipper - POL - plant)]],'DATA ILN'!A:K,11,FALSE),VLOOKUP(Tableau119[[#This Row],[Key(Compte ILN - shipper - POL)]],'DATA ILN'!B:K,10,FALSE))</f>
        <v>#N/A</v>
      </c>
      <c r="U681" s="50" t="e">
        <f>IFERROR(VLOOKUP(Tableau119[[#This Row],[Key(Compte ILN - shipper - POL - plant)]],'DATA ILN'!A:L,12,FALSE),VLOOKUP(Tableau119[[#This Row],[Key(Compte ILN - shipper - POL)]],'DATA ILN'!B:L,11,FALSE))</f>
        <v>#N/A</v>
      </c>
      <c r="V681" s="50" t="e">
        <f>Tableau119[[#This Row],[Day ILN Order]]+Tableau119[[#This Row],[Delivery time to ILN/Shipper]]-1</f>
        <v>#N/A</v>
      </c>
      <c r="W681" s="50" t="e">
        <f>IFERROR(VLOOKUP(Tableau119[[#This Row],[Key(Compte ILN - shipper - POL - plant)]],'DATA ILN'!A:N,14,FALSE),VLOOKUP(Tableau119[[#This Row],[Key(Compte ILN - shipper - POL)]],'DATA ILN'!B:N,13,FALSE))</f>
        <v>#N/A</v>
      </c>
      <c r="X681" s="50" t="e">
        <f>IFERROR(VLOOKUP(Tableau119[[#This Row],[Key(Compte ILN - shipper - POL - plant)]],'DATA ILN'!A:P,16,FALSE),VLOOKUP(Tableau119[[#This Row],[Key(Compte ILN - shipper - POL)]],'DATA ILN'!B:P,15,FALSE))</f>
        <v>#N/A</v>
      </c>
      <c r="Y681" s="284" t="s">
        <v>322</v>
      </c>
      <c r="Z681" s="430">
        <f>IFERROR(VLOOKUP(Tableau119[[#This Row],[Name Shipper]],Plant_AILN!L:M,2,FALSE),0)</f>
        <v>27002800</v>
      </c>
      <c r="AA681" s="406">
        <v>413</v>
      </c>
      <c r="AB681" s="396" t="b">
        <f>_xlfn.XLOOKUP(Tableau119[[#This Row],[Key(ID-date)]],'DATA BTO'!S:S,'DATA BTO'!E:E,FALSE)</f>
        <v>0</v>
      </c>
      <c r="AC681" s="3" t="b">
        <f>_xlfn.XLOOKUP(Tableau119[[#This Row],[Key(ID-date)]],'DATA BTO'!S:S,'DATA BTO'!F:F,FALSE)</f>
        <v>0</v>
      </c>
      <c r="AD681" s="50" t="b">
        <f>_xlfn.XLOOKUP(Tableau119[[#This Row],[Key(ID-date)]],'DATA BTO'!S:S,'DATA BTO'!G:G,FALSE)</f>
        <v>0</v>
      </c>
      <c r="AE681" s="50" t="b">
        <f>_xlfn.XLOOKUP(Tableau119[[#This Row],[Key(ID-date)]],'DATA BTO'!S:S,'DATA BTO'!H:H,FALSE)</f>
        <v>0</v>
      </c>
      <c r="AF681" s="447" t="e">
        <f>IF(Tableau119[[#This Row],[First Day to POL]]&lt;=Tableau119[[#This Row],[Day Cut Off]],Tableau119[[#This Row],[Day ETD]],Tableau119[[#This Row],[Day ETD]]+7)</f>
        <v>#N/A</v>
      </c>
      <c r="AG681" s="50" t="b">
        <f>_xlfn.XLOOKUP(Tableau119[[#This Row],[Key(ID-date)]],'DATA BTO'!S:S,'DATA BTO'!I:I,FALSE)</f>
        <v>0</v>
      </c>
      <c r="AH681" s="3" t="b">
        <f>_xlfn.XLOOKUP(Tableau119[[#This Row],[Key(ID-date)]],'DATA BTO'!S:S,'DATA BTO'!J:J,FALSE)</f>
        <v>0</v>
      </c>
      <c r="AI681" s="3" t="b">
        <f>_xlfn.XLOOKUP(Tableau119[[#This Row],[Key(ID-date)]],'DATA BTO'!S:S,'DATA BTO'!K:K,FALSE)</f>
        <v>0</v>
      </c>
      <c r="AJ681" s="50" t="b">
        <f>_xlfn.XLOOKUP(Tableau119[[#This Row],[Key(ID-date)]],'DATA BTO'!S:S,'DATA BTO'!L:L,FALSE)</f>
        <v>0</v>
      </c>
      <c r="AK681" s="53" t="b">
        <f>_xlfn.XLOOKUP(Tableau119[[#This Row],[Key(ID-date)]],'DATA BTO'!S:S,'DATA BTO'!N:N,FALSE)</f>
        <v>0</v>
      </c>
      <c r="AL681" s="54" t="e">
        <f>VLOOKUP(Tableau119[[#This Row],[Key(POD -PFI- Usine)]],'DATA Consignee'!A:F,6,FALSE)</f>
        <v>#N/A</v>
      </c>
      <c r="AM681" s="127"/>
      <c r="AN681" s="376" t="str">
        <f>IF(Tableau119[[#This Row],[Name PFI/CDD]]="","-",VLOOKUP(Tableau119[[#This Row],[Name PFI/CDD]],Plant_AILN!I:J,2,FALSE))</f>
        <v>-</v>
      </c>
      <c r="AO6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1" s="2" t="e">
        <f>VLOOKUP(Tableau119[[#This Row],[Key(POD -PFI- Usine)]],'DATA Consignee'!A:J,10,FALSE)</f>
        <v>#N/A</v>
      </c>
      <c r="AR681" s="50" t="e">
        <f>VLOOKUP(Tableau119[[#This Row],[Key(POD -PFI- Usine)]],'DATA Consignee'!A:N,14,FALSE)</f>
        <v>#N/A</v>
      </c>
      <c r="AS6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1" s="50">
        <f>Tableau119[[#This Row],[Transit time]]+Tableau119[[#This Row],[Time for security]]+Tableau119[[#This Row],[Time for security2 buffer]]</f>
        <v>0</v>
      </c>
      <c r="AV6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1" s="50" t="e">
        <f>Tableau119[[#This Row],[Leadtime SI2C]]+Tableau119[[#This Row],[First Receipt Days]]-Tableau119[[#This Row],[Day Customer Order]]+1</f>
        <v>#N/A</v>
      </c>
      <c r="AX681" s="119" t="e">
        <f>IF(Tableau119[[#This Row],[Name ILN]]&lt;&gt;"SFK Freight Forwarder",Tableau119[[#This Row],[Cust. Leadtime]],Tableau119[[#This Row],[Leadtime SI2C]])</f>
        <v>#N/A</v>
      </c>
      <c r="AY681" s="51" t="b">
        <f>_xlfn.XLOOKUP(Tableau119[[#This Row],[Key(ID-date)]],'DATA BTO'!S:S,'DATA BTO'!P:P,FALSE)</f>
        <v>0</v>
      </c>
      <c r="AZ681" s="338">
        <v>45893</v>
      </c>
      <c r="BA681" s="50"/>
    </row>
    <row r="682" spans="2:53">
      <c r="B682" s="446" t="str">
        <f>_xlfn.CONCAT(Tableau119[[#This Row],[Name ILN]],"-",Tableau119[[#This Row],[Name Shipper]],"-",Tableau119[[#This Row],[Name Site]])</f>
        <v>SFK Freight Forwarder-HIGHLY MARELLI MALAYSIA SDN. BHD.-DACIA MONT</v>
      </c>
      <c r="C682" s="66" t="str">
        <f>_xlfn.CONCAT(Tableau119[[#This Row],[Compte ILN]],"-",Tableau119[[#This Row],[Compte Shipper]],"-",Tableau119[[#This Row],[POL]],"-",Tableau119[[#This Row],[Compte Consignee]])</f>
        <v>0-27002800-FALSO-90016800</v>
      </c>
      <c r="D682" s="66" t="str">
        <f>_xlfn.CONCAT(Tableau119[[#This Row],[Compte ILN]],"-",Tableau119[[#This Row],[Compte Shipper]],"-",Tableau119[[#This Row],[POL]])</f>
        <v>0-27002800-FALSO</v>
      </c>
      <c r="E682" s="130" t="str">
        <f>_xlfn.CONCAT(Tableau119[[#This Row],[POL]],"-",Tableau119[[#This Row],[Carrier]],"-",Tableau119[[#This Row],[POD]])</f>
        <v>FALSO-FALSO-FALSO</v>
      </c>
      <c r="F682" s="66" t="str">
        <f>_xlfn.CONCAT(Tableau119[[#This Row],[ID]],"-","Actif")</f>
        <v>413-Actif</v>
      </c>
      <c r="G682" s="66" t="str">
        <f>_xlfn.CONCAT(Tableau119[[#This Row],[POD]],"-",Tableau119[[#This Row],[Code PFI]],"-",Tableau119[[#This Row],[Compte Consignee]])</f>
        <v>FALSO---90016800</v>
      </c>
      <c r="H6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27002800FALSODACIA MONT</v>
      </c>
      <c r="I682" s="434" t="str">
        <f>_xlfn.CONCAT(Tableau119[[#This Row],[ID]],"-",Tableau119[[#This Row],[Expiration Date]])</f>
        <v>413-45777</v>
      </c>
      <c r="J6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Forwarder-HIGHLY MARELLI MALAYSIA SDN. BHD.-413-FALSO-FALSO-FALSO--45777</v>
      </c>
      <c r="K682" s="119" t="str">
        <f ca="1">IF(COUNTIF(J:J,Tableau119[[#This Row],[Plant-ILN-shipper-POL-Carrier-POD-PFI]])=1,"Non","Oui")</f>
        <v>Non</v>
      </c>
      <c r="L682" s="128" t="str">
        <f>VLOOKUP(Tableau119[[#This Row],[Name Site]],Plant_AILN!A:D,4,FALSE)</f>
        <v>ROMANIA</v>
      </c>
      <c r="M682" s="411" t="s">
        <v>185</v>
      </c>
      <c r="N682" s="454">
        <f>VLOOKUP(Tableau119[[#This Row],[Name Site]],Plant_AILN!A:C,3,FALSE)</f>
        <v>90016800</v>
      </c>
      <c r="O682" s="55">
        <f>VLOOKUP(Tableau119[[#This Row],[Compte Consignee]],Order!C:D,2,FALSE)</f>
        <v>7</v>
      </c>
      <c r="P682" s="124" t="s">
        <v>146</v>
      </c>
      <c r="Q682" s="365">
        <f>VLOOKUP(Tableau119[[#This Row],[Name ILN]],Plant_AILN!F:G,2,FALSE)</f>
        <v>0</v>
      </c>
      <c r="R682" s="50">
        <f>VLOOKUP(Tableau119[[#This Row],[Compte ILN]],'DATA ILN'!D:I,6,FALSE)</f>
        <v>9</v>
      </c>
      <c r="S682" s="50" t="e">
        <f>IFERROR(VLOOKUP(Tableau119[[#This Row],[Key(Compte ILN - shipper - POL - plant)]],'DATA ILN'!A:J,10,FALSE),VLOOKUP(Tableau119[[#This Row],[Key(Compte ILN - shipper - POL)]],'DATA ILN'!B:J,9,FALSE))</f>
        <v>#N/A</v>
      </c>
      <c r="T682" s="50" t="e">
        <f>IFERROR(VLOOKUP(Tableau119[[#This Row],[Key(Compte ILN - shipper - POL - plant)]],'DATA ILN'!A:K,11,FALSE),VLOOKUP(Tableau119[[#This Row],[Key(Compte ILN - shipper - POL)]],'DATA ILN'!B:K,10,FALSE))</f>
        <v>#N/A</v>
      </c>
      <c r="U682" s="50" t="e">
        <f>IFERROR(VLOOKUP(Tableau119[[#This Row],[Key(Compte ILN - shipper - POL - plant)]],'DATA ILN'!A:L,12,FALSE),VLOOKUP(Tableau119[[#This Row],[Key(Compte ILN - shipper - POL)]],'DATA ILN'!B:L,11,FALSE))</f>
        <v>#N/A</v>
      </c>
      <c r="V682" s="50" t="e">
        <f>Tableau119[[#This Row],[Day ILN Order]]+Tableau119[[#This Row],[Delivery time to ILN/Shipper]]-1</f>
        <v>#N/A</v>
      </c>
      <c r="W682" s="50" t="e">
        <f>IFERROR(VLOOKUP(Tableau119[[#This Row],[Key(Compte ILN - shipper - POL - plant)]],'DATA ILN'!A:N,14,FALSE),VLOOKUP(Tableau119[[#This Row],[Key(Compte ILN - shipper - POL)]],'DATA ILN'!B:N,13,FALSE))</f>
        <v>#N/A</v>
      </c>
      <c r="X682" s="50" t="e">
        <f>IFERROR(VLOOKUP(Tableau119[[#This Row],[Key(Compte ILN - shipper - POL - plant)]],'DATA ILN'!A:P,16,FALSE),VLOOKUP(Tableau119[[#This Row],[Key(Compte ILN - shipper - POL)]],'DATA ILN'!B:P,15,FALSE))</f>
        <v>#N/A</v>
      </c>
      <c r="Y682" s="284" t="s">
        <v>322</v>
      </c>
      <c r="Z682" s="430">
        <f>IFERROR(VLOOKUP(Tableau119[[#This Row],[Name Shipper]],Plant_AILN!L:M,2,FALSE),0)</f>
        <v>27002800</v>
      </c>
      <c r="AA682" s="406">
        <v>413</v>
      </c>
      <c r="AB682" s="396" t="b">
        <f>_xlfn.XLOOKUP(Tableau119[[#This Row],[Key(ID-date)]],'DATA BTO'!S:S,'DATA BTO'!E:E,FALSE)</f>
        <v>0</v>
      </c>
      <c r="AC682" s="3" t="b">
        <f>_xlfn.XLOOKUP(Tableau119[[#This Row],[Key(ID-date)]],'DATA BTO'!S:S,'DATA BTO'!F:F,FALSE)</f>
        <v>0</v>
      </c>
      <c r="AD682" s="50" t="b">
        <f>_xlfn.XLOOKUP(Tableau119[[#This Row],[Key(ID-date)]],'DATA BTO'!S:S,'DATA BTO'!G:G,FALSE)</f>
        <v>0</v>
      </c>
      <c r="AE682" s="50" t="b">
        <f>_xlfn.XLOOKUP(Tableau119[[#This Row],[Key(ID-date)]],'DATA BTO'!S:S,'DATA BTO'!H:H,FALSE)</f>
        <v>0</v>
      </c>
      <c r="AF682" s="447" t="e">
        <f>IF(Tableau119[[#This Row],[First Day to POL]]&lt;=Tableau119[[#This Row],[Day Cut Off]],Tableau119[[#This Row],[Day ETD]],Tableau119[[#This Row],[Day ETD]]+7)</f>
        <v>#N/A</v>
      </c>
      <c r="AG682" s="50" t="b">
        <f>_xlfn.XLOOKUP(Tableau119[[#This Row],[Key(ID-date)]],'DATA BTO'!S:S,'DATA BTO'!I:I,FALSE)</f>
        <v>0</v>
      </c>
      <c r="AH682" s="3" t="b">
        <f>_xlfn.XLOOKUP(Tableau119[[#This Row],[Key(ID-date)]],'DATA BTO'!S:S,'DATA BTO'!J:J,FALSE)</f>
        <v>0</v>
      </c>
      <c r="AI682" s="3" t="b">
        <f>_xlfn.XLOOKUP(Tableau119[[#This Row],[Key(ID-date)]],'DATA BTO'!S:S,'DATA BTO'!K:K,FALSE)</f>
        <v>0</v>
      </c>
      <c r="AJ682" s="50" t="b">
        <f>_xlfn.XLOOKUP(Tableau119[[#This Row],[Key(ID-date)]],'DATA BTO'!S:S,'DATA BTO'!L:L,FALSE)</f>
        <v>0</v>
      </c>
      <c r="AK682" s="53" t="b">
        <f>_xlfn.XLOOKUP(Tableau119[[#This Row],[Key(ID-date)]],'DATA BTO'!S:S,'DATA BTO'!N:N,FALSE)</f>
        <v>0</v>
      </c>
      <c r="AL682" s="54" t="e">
        <f>VLOOKUP(Tableau119[[#This Row],[Key(POD -PFI- Usine)]],'DATA Consignee'!A:F,6,FALSE)</f>
        <v>#N/A</v>
      </c>
      <c r="AM682" s="127"/>
      <c r="AN682" s="376" t="str">
        <f>IF(Tableau119[[#This Row],[Name PFI/CDD]]="","-",VLOOKUP(Tableau119[[#This Row],[Name PFI/CDD]],Plant_AILN!I:J,2,FALSE))</f>
        <v>-</v>
      </c>
      <c r="AO68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2" s="2" t="e">
        <f>VLOOKUP(Tableau119[[#This Row],[Key(POD -PFI- Usine)]],'DATA Consignee'!A:J,10,FALSE)</f>
        <v>#N/A</v>
      </c>
      <c r="AR682" s="50" t="e">
        <f>VLOOKUP(Tableau119[[#This Row],[Key(POD -PFI- Usine)]],'DATA Consignee'!A:N,14,FALSE)</f>
        <v>#N/A</v>
      </c>
      <c r="AS68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2" s="50">
        <f>Tableau119[[#This Row],[Transit time]]+Tableau119[[#This Row],[Time for security]]+Tableau119[[#This Row],[Time for security2 buffer]]</f>
        <v>0</v>
      </c>
      <c r="AV6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2" s="50" t="e">
        <f>Tableau119[[#This Row],[Leadtime SI2C]]+Tableau119[[#This Row],[First Receipt Days]]-Tableau119[[#This Row],[Day Customer Order]]+1</f>
        <v>#N/A</v>
      </c>
      <c r="AX682" s="119" t="e">
        <f>IF(Tableau119[[#This Row],[Name ILN]]&lt;&gt;"SFK Freight Forwarder",Tableau119[[#This Row],[Cust. Leadtime]],Tableau119[[#This Row],[Leadtime SI2C]])</f>
        <v>#N/A</v>
      </c>
      <c r="AY682" s="51" t="b">
        <f>_xlfn.XLOOKUP(Tableau119[[#This Row],[Key(ID-date)]],'DATA BTO'!S:S,'DATA BTO'!P:P,FALSE)</f>
        <v>0</v>
      </c>
      <c r="AZ682" s="338">
        <v>45777</v>
      </c>
      <c r="BA682" s="50"/>
    </row>
    <row r="683" spans="2:53">
      <c r="B683" s="446" t="str">
        <f>_xlfn.CONCAT(Tableau119[[#This Row],[Name ILN]],"-",Tableau119[[#This Row],[Name Shipper]],"-",Tableau119[[#This Row],[Name Site]])</f>
        <v>SFK Freight Forwarder-HIGHLY MARELLI MALAYSIA SDN. BHD.-DACIA MONT</v>
      </c>
      <c r="C683" s="66" t="str">
        <f>_xlfn.CONCAT(Tableau119[[#This Row],[Compte ILN]],"-",Tableau119[[#This Row],[Compte Shipper]],"-",Tableau119[[#This Row],[POL]],"-",Tableau119[[#This Row],[Compte Consignee]])</f>
        <v>0-27002800-FALSO-90016800</v>
      </c>
      <c r="D683" s="66" t="str">
        <f>_xlfn.CONCAT(Tableau119[[#This Row],[Compte ILN]],"-",Tableau119[[#This Row],[Compte Shipper]],"-",Tableau119[[#This Row],[POL]])</f>
        <v>0-27002800-FALSO</v>
      </c>
      <c r="E683" s="130" t="str">
        <f>_xlfn.CONCAT(Tableau119[[#This Row],[POL]],"-",Tableau119[[#This Row],[Carrier]],"-",Tableau119[[#This Row],[POD]])</f>
        <v>FALSO-FALSO-FALSO</v>
      </c>
      <c r="F683" s="66" t="str">
        <f>_xlfn.CONCAT(Tableau119[[#This Row],[ID]],"-","Actif")</f>
        <v>413-Actif</v>
      </c>
      <c r="G683" s="66" t="str">
        <f>_xlfn.CONCAT(Tableau119[[#This Row],[POD]],"-",Tableau119[[#This Row],[Code PFI]],"-",Tableau119[[#This Row],[Compte Consignee]])</f>
        <v>FALSO---90016800</v>
      </c>
      <c r="H6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27002800FALSODACIA MONT</v>
      </c>
      <c r="I683" s="434" t="str">
        <f>_xlfn.CONCAT(Tableau119[[#This Row],[ID]],"-",Tableau119[[#This Row],[Expiration Date]])</f>
        <v>413-45473</v>
      </c>
      <c r="J6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Forwarder-HIGHLY MARELLI MALAYSIA SDN. BHD.-413-FALSO-FALSO-FALSO--45473</v>
      </c>
      <c r="K683" s="119" t="str">
        <f ca="1">IF(COUNTIF(J:J,Tableau119[[#This Row],[Plant-ILN-shipper-POL-Carrier-POD-PFI]])=1,"Non","Oui")</f>
        <v>Non</v>
      </c>
      <c r="L683" s="128" t="str">
        <f>VLOOKUP(Tableau119[[#This Row],[Name Site]],Plant_AILN!A:D,4,FALSE)</f>
        <v>ROMANIA</v>
      </c>
      <c r="M683" s="415" t="s">
        <v>185</v>
      </c>
      <c r="N683" s="455">
        <f>VLOOKUP(Tableau119[[#This Row],[Name Site]],Plant_AILN!A:C,3,FALSE)</f>
        <v>90016800</v>
      </c>
      <c r="O683" s="104">
        <f>VLOOKUP(Tableau119[[#This Row],[Compte Consignee]],Order!C:D,2,FALSE)</f>
        <v>7</v>
      </c>
      <c r="P683" s="126" t="s">
        <v>146</v>
      </c>
      <c r="Q683" s="366">
        <f>VLOOKUP(Tableau119[[#This Row],[Name ILN]],Plant_AILN!F:G,2,FALSE)</f>
        <v>0</v>
      </c>
      <c r="R683" s="81">
        <f>VLOOKUP(Tableau119[[#This Row],[Compte ILN]],'DATA ILN'!D:I,6,FALSE)</f>
        <v>9</v>
      </c>
      <c r="S683" s="81" t="e">
        <f>IFERROR(VLOOKUP(Tableau119[[#This Row],[Key(Compte ILN - shipper - POL - plant)]],'DATA ILN'!A:J,10,FALSE),VLOOKUP(Tableau119[[#This Row],[Key(Compte ILN - shipper - POL)]],'DATA ILN'!B:J,9,FALSE))</f>
        <v>#N/A</v>
      </c>
      <c r="T683" s="81" t="e">
        <f>IFERROR(VLOOKUP(Tableau119[[#This Row],[Key(Compte ILN - shipper - POL - plant)]],'DATA ILN'!A:K,11,FALSE),VLOOKUP(Tableau119[[#This Row],[Key(Compte ILN - shipper - POL)]],'DATA ILN'!B:K,10,FALSE))</f>
        <v>#N/A</v>
      </c>
      <c r="U683" s="81" t="e">
        <f>IFERROR(VLOOKUP(Tableau119[[#This Row],[Key(Compte ILN - shipper - POL - plant)]],'DATA ILN'!A:L,12,FALSE),VLOOKUP(Tableau119[[#This Row],[Key(Compte ILN - shipper - POL)]],'DATA ILN'!B:L,11,FALSE))</f>
        <v>#N/A</v>
      </c>
      <c r="V683" s="81" t="e">
        <f>Tableau119[[#This Row],[Day ILN Order]]+Tableau119[[#This Row],[Delivery time to ILN/Shipper]]-1</f>
        <v>#N/A</v>
      </c>
      <c r="W683" s="81" t="e">
        <f>IFERROR(VLOOKUP(Tableau119[[#This Row],[Key(Compte ILN - shipper - POL - plant)]],'DATA ILN'!A:N,14,FALSE),VLOOKUP(Tableau119[[#This Row],[Key(Compte ILN - shipper - POL)]],'DATA ILN'!B:N,13,FALSE))</f>
        <v>#N/A</v>
      </c>
      <c r="X683" s="81" t="e">
        <f>IFERROR(VLOOKUP(Tableau119[[#This Row],[Key(Compte ILN - shipper - POL - plant)]],'DATA ILN'!A:P,16,FALSE),VLOOKUP(Tableau119[[#This Row],[Key(Compte ILN - shipper - POL)]],'DATA ILN'!B:P,15,FALSE))</f>
        <v>#N/A</v>
      </c>
      <c r="Y683" s="102" t="s">
        <v>322</v>
      </c>
      <c r="Z683" s="417">
        <f>IFERROR(VLOOKUP(Tableau119[[#This Row],[Name Shipper]],Plant_AILN!L:M,2,FALSE),0)</f>
        <v>27002800</v>
      </c>
      <c r="AA683" s="416">
        <v>413</v>
      </c>
      <c r="AB683" s="396" t="b">
        <f>_xlfn.XLOOKUP(Tableau119[[#This Row],[Key(ID-date)]],'DATA BTO'!S:S,'DATA BTO'!E:E,FALSE)</f>
        <v>0</v>
      </c>
      <c r="AC683" s="3" t="b">
        <f>_xlfn.XLOOKUP(Tableau119[[#This Row],[Key(ID-date)]],'DATA BTO'!S:S,'DATA BTO'!F:F,FALSE)</f>
        <v>0</v>
      </c>
      <c r="AD683" s="50" t="b">
        <f>_xlfn.XLOOKUP(Tableau119[[#This Row],[Key(ID-date)]],'DATA BTO'!S:S,'DATA BTO'!G:G,FALSE)</f>
        <v>0</v>
      </c>
      <c r="AE683" s="50" t="b">
        <f>_xlfn.XLOOKUP(Tableau119[[#This Row],[Key(ID-date)]],'DATA BTO'!S:S,'DATA BTO'!H:H,FALSE)</f>
        <v>0</v>
      </c>
      <c r="AF683" s="447" t="e">
        <f>IF(Tableau119[[#This Row],[First Day to POL]]&lt;=Tableau119[[#This Row],[Day Cut Off]],Tableau119[[#This Row],[Day ETD]],Tableau119[[#This Row],[Day ETD]]+7)</f>
        <v>#N/A</v>
      </c>
      <c r="AG683" s="50" t="b">
        <f>_xlfn.XLOOKUP(Tableau119[[#This Row],[Key(ID-date)]],'DATA BTO'!S:S,'DATA BTO'!I:I,FALSE)</f>
        <v>0</v>
      </c>
      <c r="AH683" s="3" t="b">
        <f>_xlfn.XLOOKUP(Tableau119[[#This Row],[Key(ID-date)]],'DATA BTO'!S:S,'DATA BTO'!J:J,FALSE)</f>
        <v>0</v>
      </c>
      <c r="AI683" s="3" t="b">
        <f>_xlfn.XLOOKUP(Tableau119[[#This Row],[Key(ID-date)]],'DATA BTO'!S:S,'DATA BTO'!K:K,FALSE)</f>
        <v>0</v>
      </c>
      <c r="AJ683" s="50" t="b">
        <f>_xlfn.XLOOKUP(Tableau119[[#This Row],[Key(ID-date)]],'DATA BTO'!S:S,'DATA BTO'!L:L,FALSE)</f>
        <v>0</v>
      </c>
      <c r="AK683" s="53" t="b">
        <f>_xlfn.XLOOKUP(Tableau119[[#This Row],[Key(ID-date)]],'DATA BTO'!S:S,'DATA BTO'!N:N,FALSE)</f>
        <v>0</v>
      </c>
      <c r="AL683" s="54" t="e">
        <f>VLOOKUP(Tableau119[[#This Row],[Key(POD -PFI- Usine)]],'DATA Consignee'!A:F,6,FALSE)</f>
        <v>#N/A</v>
      </c>
      <c r="AM683" s="127"/>
      <c r="AN683" s="375" t="str">
        <f>IF(Tableau119[[#This Row],[Name PFI/CDD]]="","-",VLOOKUP(Tableau119[[#This Row],[Name PFI/CDD]],Plant_AILN!I:J,2,FALSE))</f>
        <v>-</v>
      </c>
      <c r="AO68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3" s="110" t="e">
        <f>VLOOKUP(Tableau119[[#This Row],[Key(POD -PFI- Usine)]],'DATA Consignee'!A:J,10,FALSE)</f>
        <v>#N/A</v>
      </c>
      <c r="AR683" s="81" t="e">
        <f>VLOOKUP(Tableau119[[#This Row],[Key(POD -PFI- Usine)]],'DATA Consignee'!A:N,14,FALSE)</f>
        <v>#N/A</v>
      </c>
      <c r="AS68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3" s="81">
        <f>Tableau119[[#This Row],[Transit time]]+Tableau119[[#This Row],[Time for security]]+Tableau119[[#This Row],[Time for security2 buffer]]</f>
        <v>0</v>
      </c>
      <c r="AV6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3" s="50" t="e">
        <f>Tableau119[[#This Row],[Leadtime SI2C]]+Tableau119[[#This Row],[First Receipt Days]]-Tableau119[[#This Row],[Day Customer Order]]+1</f>
        <v>#N/A</v>
      </c>
      <c r="AX683" s="119" t="e">
        <f>IF(Tableau119[[#This Row],[Name ILN]]&lt;&gt;"SFK Freight Forwarder",Tableau119[[#This Row],[Cust. Leadtime]],Tableau119[[#This Row],[Leadtime SI2C]])</f>
        <v>#N/A</v>
      </c>
      <c r="AY683" s="51" t="b">
        <f>_xlfn.XLOOKUP(Tableau119[[#This Row],[Key(ID-date)]],'DATA BTO'!S:S,'DATA BTO'!P:P,FALSE)</f>
        <v>0</v>
      </c>
      <c r="AZ683" s="388">
        <v>45473</v>
      </c>
      <c r="BA683" s="81"/>
    </row>
    <row r="684" spans="2:53">
      <c r="B684" s="66" t="str">
        <f>_xlfn.CONCAT(Tableau119[[#This Row],[Name ILN]],"-",Tableau119[[#This Row],[Name Shipper]],"-",Tableau119[[#This Row],[Name Site]])</f>
        <v>ILN Curitiba-ILN Curitiba-KARSAN</v>
      </c>
      <c r="C684" s="66" t="str">
        <f>_xlfn.CONCAT(Tableau119[[#This Row],[Compte ILN]],"-",Tableau119[[#This Row],[Compte Shipper]],"-",Tableau119[[#This Row],[POL]],"-",Tableau119[[#This Row],[Compte Consignee]])</f>
        <v>95207-95207-FALSO-90022000</v>
      </c>
      <c r="D684" s="66" t="str">
        <f>_xlfn.CONCAT(Tableau119[[#This Row],[Compte ILN]],"-",Tableau119[[#This Row],[Compte Shipper]],"-",Tableau119[[#This Row],[POL]])</f>
        <v>95207-95207-FALSO</v>
      </c>
      <c r="E684" s="130" t="str">
        <f>_xlfn.CONCAT(Tableau119[[#This Row],[POL]],"-",Tableau119[[#This Row],[Carrier]],"-",Tableau119[[#This Row],[POD]])</f>
        <v>FALSO-FALSO-FALSO</v>
      </c>
      <c r="F684" s="66" t="str">
        <f>_xlfn.CONCAT(Tableau119[[#This Row],[ID]],"-","Actif")</f>
        <v>416-Actif</v>
      </c>
      <c r="G684" s="66" t="str">
        <f>_xlfn.CONCAT(Tableau119[[#This Row],[POD]],"-",Tableau119[[#This Row],[Code PFI]],"-",Tableau119[[#This Row],[Compte Consignee]])</f>
        <v>FALSO---90022000</v>
      </c>
      <c r="H6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CuritibaFALSOKARSAN</v>
      </c>
      <c r="I684" s="434" t="str">
        <f>_xlfn.CONCAT(Tableau119[[#This Row],[ID]],"-",Tableau119[[#This Row],[Expiration Date]])</f>
        <v>416-46142</v>
      </c>
      <c r="J6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Curitiba-ILN Curitiba-416-FALSO-FALSO-FALSO--46142</v>
      </c>
      <c r="K684" s="119" t="str">
        <f ca="1">IF(COUNTIF(J:J,Tableau119[[#This Row],[Plant-ILN-shipper-POL-Carrier-POD-PFI]])=1,"Non","Oui")</f>
        <v>Non</v>
      </c>
      <c r="L684" s="128" t="str">
        <f>VLOOKUP(Tableau119[[#This Row],[Name Site]],Plant_AILN!A:D,4,FALSE)</f>
        <v>TURKEY</v>
      </c>
      <c r="M684" s="412" t="s">
        <v>235</v>
      </c>
      <c r="N684" s="454">
        <f>VLOOKUP(Tableau119[[#This Row],[Name Site]],Plant_AILN!A:C,3,FALSE)</f>
        <v>90022000</v>
      </c>
      <c r="O684" s="55">
        <f>IF(Tableau119[[#This Row],[Name PFI/CDD]]="PFI VLL",2,VLOOKUP(Tableau119[[#This Row],[Compte Consignee]],Order!C:D,2,FALSE))</f>
        <v>7</v>
      </c>
      <c r="P684" s="124" t="s">
        <v>163</v>
      </c>
      <c r="Q684" s="365">
        <f>VLOOKUP(Tableau119[[#This Row],[Name ILN]],Plant_AILN!F:G,2,FALSE)</f>
        <v>95207</v>
      </c>
      <c r="R684" s="50">
        <f>VLOOKUP(Tableau119[[#This Row],[Compte ILN]],'DATA ILN'!D:I,6,FALSE)</f>
        <v>9</v>
      </c>
      <c r="S684" s="50" t="e">
        <f>IFERROR(VLOOKUP(Tableau119[[#This Row],[Key(Compte ILN - shipper - POL - plant)]],'DATA ILN'!A:J,10,FALSE),VLOOKUP(Tableau119[[#This Row],[Key(Compte ILN - shipper - POL)]],'DATA ILN'!B:J,9,FALSE))</f>
        <v>#N/A</v>
      </c>
      <c r="T684" s="50" t="e">
        <f>IFERROR(VLOOKUP(Tableau119[[#This Row],[Key(Compte ILN - shipper - POL - plant)]],'DATA ILN'!A:K,11,FALSE),VLOOKUP(Tableau119[[#This Row],[Key(Compte ILN - shipper - POL)]],'DATA ILN'!B:K,10,FALSE))</f>
        <v>#N/A</v>
      </c>
      <c r="U684" s="50" t="e">
        <f>IFERROR(VLOOKUP(Tableau119[[#This Row],[Key(Compte ILN - shipper - POL - plant)]],'DATA ILN'!A:L,12,FALSE),VLOOKUP(Tableau119[[#This Row],[Key(Compte ILN - shipper - POL)]],'DATA ILN'!B:L,11,FALSE))</f>
        <v>#N/A</v>
      </c>
      <c r="V684" s="50" t="e">
        <f>Tableau119[[#This Row],[Day ILN Order]]+Tableau119[[#This Row],[Delivery time to ILN/Shipper]]-1</f>
        <v>#N/A</v>
      </c>
      <c r="W684" s="50" t="e">
        <f>IFERROR(VLOOKUP(Tableau119[[#This Row],[Key(Compte ILN - shipper - POL - plant)]],'DATA ILN'!A:N,14,FALSE),VLOOKUP(Tableau119[[#This Row],[Key(Compte ILN - shipper - POL)]],'DATA ILN'!B:N,13,FALSE))</f>
        <v>#N/A</v>
      </c>
      <c r="X684" s="50" t="e">
        <f>IFERROR(VLOOKUP(Tableau119[[#This Row],[Key(Compte ILN - shipper - POL - plant)]],'DATA ILN'!A:P,16,FALSE),VLOOKUP(Tableau119[[#This Row],[Key(Compte ILN - shipper - POL)]],'DATA ILN'!B:P,15,FALSE))</f>
        <v>#N/A</v>
      </c>
      <c r="Y684" s="284" t="s">
        <v>163</v>
      </c>
      <c r="Z684" s="430">
        <f>IFERROR(VLOOKUP(Tableau119[[#This Row],[Name Shipper]],Plant_AILN!L:M,2,FALSE),0)</f>
        <v>95207</v>
      </c>
      <c r="AA684" s="406">
        <v>416</v>
      </c>
      <c r="AB684" s="396" t="b">
        <f>_xlfn.XLOOKUP(Tableau119[[#This Row],[Key(ID-date)]],'DATA BTO'!S:S,'DATA BTO'!E:E,FALSE)</f>
        <v>0</v>
      </c>
      <c r="AC684" s="3" t="b">
        <f>_xlfn.XLOOKUP(Tableau119[[#This Row],[Key(ID-date)]],'DATA BTO'!S:S,'DATA BTO'!F:F,FALSE)</f>
        <v>0</v>
      </c>
      <c r="AD684" s="50" t="b">
        <f>_xlfn.XLOOKUP(Tableau119[[#This Row],[Key(ID-date)]],'DATA BTO'!S:S,'DATA BTO'!G:G,FALSE)</f>
        <v>0</v>
      </c>
      <c r="AE684" s="50" t="b">
        <f>_xlfn.XLOOKUP(Tableau119[[#This Row],[Key(ID-date)]],'DATA BTO'!S:S,'DATA BTO'!H:H,FALSE)</f>
        <v>0</v>
      </c>
      <c r="AF684" s="447" t="e">
        <f>IF(Tableau119[[#This Row],[First Day to POL]]&lt;=Tableau119[[#This Row],[Day Cut Off]],Tableau119[[#This Row],[Day ETD]],Tableau119[[#This Row],[Day ETD]]+7)</f>
        <v>#N/A</v>
      </c>
      <c r="AG684" s="50" t="b">
        <f>_xlfn.XLOOKUP(Tableau119[[#This Row],[Key(ID-date)]],'DATA BTO'!S:S,'DATA BTO'!I:I,FALSE)</f>
        <v>0</v>
      </c>
      <c r="AH684" s="3" t="b">
        <f>_xlfn.XLOOKUP(Tableau119[[#This Row],[Key(ID-date)]],'DATA BTO'!S:S,'DATA BTO'!J:J,FALSE)</f>
        <v>0</v>
      </c>
      <c r="AI684" s="3" t="b">
        <f>_xlfn.XLOOKUP(Tableau119[[#This Row],[Key(ID-date)]],'DATA BTO'!S:S,'DATA BTO'!K:K,FALSE)</f>
        <v>0</v>
      </c>
      <c r="AJ684" s="50" t="b">
        <f>_xlfn.XLOOKUP(Tableau119[[#This Row],[Key(ID-date)]],'DATA BTO'!S:S,'DATA BTO'!L:L,FALSE)</f>
        <v>0</v>
      </c>
      <c r="AK684" s="53" t="b">
        <f>_xlfn.XLOOKUP(Tableau119[[#This Row],[Key(ID-date)]],'DATA BTO'!S:S,'DATA BTO'!N:N,FALSE)</f>
        <v>0</v>
      </c>
      <c r="AL684" s="54" t="e">
        <f>VLOOKUP(Tableau119[[#This Row],[Key(POD -PFI- Usine)]],'DATA Consignee'!A:F,6,FALSE)</f>
        <v>#N/A</v>
      </c>
      <c r="AM684" s="127"/>
      <c r="AN684" s="376" t="str">
        <f>IF(Tableau119[[#This Row],[Name PFI/CDD]]="","-",VLOOKUP(Tableau119[[#This Row],[Name PFI/CDD]],Plant_AILN!I:J,2,FALSE))</f>
        <v>-</v>
      </c>
      <c r="AO6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4" s="2" t="e">
        <f>VLOOKUP(Tableau119[[#This Row],[Key(POD -PFI- Usine)]],'DATA Consignee'!A:J,10,FALSE)</f>
        <v>#N/A</v>
      </c>
      <c r="AR684" s="50" t="e">
        <f>VLOOKUP(Tableau119[[#This Row],[Key(POD -PFI- Usine)]],'DATA Consignee'!A:N,14,FALSE)</f>
        <v>#N/A</v>
      </c>
      <c r="AS6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4" s="50">
        <f>Tableau119[[#This Row],[Transit time]]+Tableau119[[#This Row],[Time for security]]+Tableau119[[#This Row],[Time for security2 buffer]]</f>
        <v>0</v>
      </c>
      <c r="AV6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4" s="50" t="e">
        <f>Tableau119[[#This Row],[Leadtime SI2C]]+Tableau119[[#This Row],[First Receipt Days]]-Tableau119[[#This Row],[Day Customer Order]]+1</f>
        <v>#N/A</v>
      </c>
      <c r="AX684" s="119" t="e">
        <f>IF(Tableau119[[#This Row],[Name ILN]]&lt;&gt;"SFK Freight Forwarder",Tableau119[[#This Row],[Cust. Leadtime]],Tableau119[[#This Row],[Leadtime SI2C]])</f>
        <v>#N/A</v>
      </c>
      <c r="AY684" s="51" t="b">
        <f>_xlfn.XLOOKUP(Tableau119[[#This Row],[Key(ID-date)]],'DATA BTO'!S:S,'DATA BTO'!P:P,FALSE)</f>
        <v>0</v>
      </c>
      <c r="AZ684" s="338">
        <v>46142</v>
      </c>
      <c r="BA684" s="50"/>
    </row>
    <row r="685" spans="2:53">
      <c r="B685" s="66" t="str">
        <f>_xlfn.CONCAT(Tableau119[[#This Row],[Name ILN]],"-",Tableau119[[#This Row],[Name Shipper]],"-",Tableau119[[#This Row],[Name Site]])</f>
        <v>ILN Curitiba-ILN Curitiba-OYAK MEKA</v>
      </c>
      <c r="C685" s="66" t="str">
        <f>_xlfn.CONCAT(Tableau119[[#This Row],[Compte ILN]],"-",Tableau119[[#This Row],[Compte Shipper]],"-",Tableau119[[#This Row],[POL]],"-",Tableau119[[#This Row],[Compte Consignee]])</f>
        <v>95207-95207-FALSO-90014400</v>
      </c>
      <c r="D685" s="66" t="str">
        <f>_xlfn.CONCAT(Tableau119[[#This Row],[Compte ILN]],"-",Tableau119[[#This Row],[Compte Shipper]],"-",Tableau119[[#This Row],[POL]])</f>
        <v>95207-95207-FALSO</v>
      </c>
      <c r="E685" s="130" t="str">
        <f>_xlfn.CONCAT(Tableau119[[#This Row],[POL]],"-",Tableau119[[#This Row],[Carrier]],"-",Tableau119[[#This Row],[POD]])</f>
        <v>FALSO-FALSO-FALSO</v>
      </c>
      <c r="F685" s="66" t="str">
        <f>_xlfn.CONCAT(Tableau119[[#This Row],[ID]],"-","Actif")</f>
        <v>416-Actif</v>
      </c>
      <c r="G685" s="66" t="str">
        <f>_xlfn.CONCAT(Tableau119[[#This Row],[POD]],"-",Tableau119[[#This Row],[Code PFI]],"-",Tableau119[[#This Row],[Compte Consignee]])</f>
        <v>FALSO---90014400</v>
      </c>
      <c r="H6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MEKA</v>
      </c>
      <c r="I685" s="434" t="str">
        <f>_xlfn.CONCAT(Tableau119[[#This Row],[ID]],"-",Tableau119[[#This Row],[Expiration Date]])</f>
        <v>416-46142</v>
      </c>
      <c r="J6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Curitiba-ILN Curitiba-416-FALSO-FALSO-FALSO--46142</v>
      </c>
      <c r="K685" s="119" t="str">
        <f ca="1">IF(COUNTIF(J:J,Tableau119[[#This Row],[Plant-ILN-shipper-POL-Carrier-POD-PFI]])=1,"Non","Oui")</f>
        <v>Non</v>
      </c>
      <c r="L685" s="436" t="str">
        <f>VLOOKUP(Tableau119[[#This Row],[Name Site]],Plant_AILN!A:D,4,FALSE)</f>
        <v>TURKEY</v>
      </c>
      <c r="M685" s="285" t="s">
        <v>165</v>
      </c>
      <c r="N685" s="454">
        <f>VLOOKUP(Tableau119[[#This Row],[Name Site]],Plant_AILN!A:C,3,FALSE)</f>
        <v>90014400</v>
      </c>
      <c r="O685" s="55">
        <f>IF(Tableau119[[#This Row],[Name PFI/CDD]]="PFI VLL",2,VLOOKUP(Tableau119[[#This Row],[Compte Consignee]],Order!C:D,2,FALSE))</f>
        <v>2</v>
      </c>
      <c r="P685" s="124" t="s">
        <v>163</v>
      </c>
      <c r="Q685" s="365">
        <f>VLOOKUP(Tableau119[[#This Row],[Name ILN]],Plant_AILN!F:G,2,FALSE)</f>
        <v>95207</v>
      </c>
      <c r="R685" s="50">
        <f>VLOOKUP(Tableau119[[#This Row],[Compte ILN]],'DATA ILN'!D:I,6,FALSE)</f>
        <v>9</v>
      </c>
      <c r="S685" s="50" t="e">
        <f>IFERROR(VLOOKUP(Tableau119[[#This Row],[Key(Compte ILN - shipper - POL - plant)]],'DATA ILN'!A:J,10,FALSE),VLOOKUP(Tableau119[[#This Row],[Key(Compte ILN - shipper - POL)]],'DATA ILN'!B:J,9,FALSE))</f>
        <v>#N/A</v>
      </c>
      <c r="T685" s="50" t="e">
        <f>IFERROR(VLOOKUP(Tableau119[[#This Row],[Key(Compte ILN - shipper - POL - plant)]],'DATA ILN'!A:K,11,FALSE),VLOOKUP(Tableau119[[#This Row],[Key(Compte ILN - shipper - POL)]],'DATA ILN'!B:K,10,FALSE))</f>
        <v>#N/A</v>
      </c>
      <c r="U685" s="50" t="e">
        <f>IFERROR(VLOOKUP(Tableau119[[#This Row],[Key(Compte ILN - shipper - POL - plant)]],'DATA ILN'!A:L,12,FALSE),VLOOKUP(Tableau119[[#This Row],[Key(Compte ILN - shipper - POL)]],'DATA ILN'!B:L,11,FALSE))</f>
        <v>#N/A</v>
      </c>
      <c r="V685" s="50" t="e">
        <f>Tableau119[[#This Row],[Day ILN Order]]+Tableau119[[#This Row],[Delivery time to ILN/Shipper]]-1</f>
        <v>#N/A</v>
      </c>
      <c r="W685" s="50" t="e">
        <f>IFERROR(VLOOKUP(Tableau119[[#This Row],[Key(Compte ILN - shipper - POL - plant)]],'DATA ILN'!A:N,14,FALSE),VLOOKUP(Tableau119[[#This Row],[Key(Compte ILN - shipper - POL)]],'DATA ILN'!B:N,13,FALSE))</f>
        <v>#N/A</v>
      </c>
      <c r="X685" s="50" t="e">
        <f>IFERROR(VLOOKUP(Tableau119[[#This Row],[Key(Compte ILN - shipper - POL - plant)]],'DATA ILN'!A:P,16,FALSE),VLOOKUP(Tableau119[[#This Row],[Key(Compte ILN - shipper - POL)]],'DATA ILN'!B:P,15,FALSE))</f>
        <v>#N/A</v>
      </c>
      <c r="Y685" s="284" t="s">
        <v>163</v>
      </c>
      <c r="Z685" s="430">
        <f>IFERROR(VLOOKUP(Tableau119[[#This Row],[Name Shipper]],Plant_AILN!L:M,2,FALSE),0)</f>
        <v>95207</v>
      </c>
      <c r="AA685" s="406">
        <v>416</v>
      </c>
      <c r="AB685" s="396" t="b">
        <f>_xlfn.XLOOKUP(Tableau119[[#This Row],[Key(ID-date)]],'DATA BTO'!S:S,'DATA BTO'!E:E,FALSE)</f>
        <v>0</v>
      </c>
      <c r="AC685" s="3" t="b">
        <f>_xlfn.XLOOKUP(Tableau119[[#This Row],[Key(ID-date)]],'DATA BTO'!S:S,'DATA BTO'!F:F,FALSE)</f>
        <v>0</v>
      </c>
      <c r="AD685" s="50" t="b">
        <f>_xlfn.XLOOKUP(Tableau119[[#This Row],[Key(ID-date)]],'DATA BTO'!S:S,'DATA BTO'!G:G,FALSE)</f>
        <v>0</v>
      </c>
      <c r="AE685" s="50" t="b">
        <f>_xlfn.XLOOKUP(Tableau119[[#This Row],[Key(ID-date)]],'DATA BTO'!S:S,'DATA BTO'!H:H,FALSE)</f>
        <v>0</v>
      </c>
      <c r="AF685" s="447" t="e">
        <f>IF(Tableau119[[#This Row],[First Day to POL]]&lt;=Tableau119[[#This Row],[Day Cut Off]],Tableau119[[#This Row],[Day ETD]],Tableau119[[#This Row],[Day ETD]]+7)</f>
        <v>#N/A</v>
      </c>
      <c r="AG685" s="50" t="b">
        <f>_xlfn.XLOOKUP(Tableau119[[#This Row],[Key(ID-date)]],'DATA BTO'!S:S,'DATA BTO'!I:I,FALSE)</f>
        <v>0</v>
      </c>
      <c r="AH685" s="3" t="b">
        <f>_xlfn.XLOOKUP(Tableau119[[#This Row],[Key(ID-date)]],'DATA BTO'!S:S,'DATA BTO'!J:J,FALSE)</f>
        <v>0</v>
      </c>
      <c r="AI685" s="3" t="b">
        <f>_xlfn.XLOOKUP(Tableau119[[#This Row],[Key(ID-date)]],'DATA BTO'!S:S,'DATA BTO'!K:K,FALSE)</f>
        <v>0</v>
      </c>
      <c r="AJ685" s="50" t="b">
        <f>_xlfn.XLOOKUP(Tableau119[[#This Row],[Key(ID-date)]],'DATA BTO'!S:S,'DATA BTO'!L:L,FALSE)</f>
        <v>0</v>
      </c>
      <c r="AK685" s="53" t="b">
        <f>_xlfn.XLOOKUP(Tableau119[[#This Row],[Key(ID-date)]],'DATA BTO'!S:S,'DATA BTO'!N:N,FALSE)</f>
        <v>0</v>
      </c>
      <c r="AL685" s="54" t="e">
        <f>VLOOKUP(Tableau119[[#This Row],[Key(POD -PFI- Usine)]],'DATA Consignee'!A:F,6,FALSE)</f>
        <v>#N/A</v>
      </c>
      <c r="AM685" s="127"/>
      <c r="AN685" s="376" t="str">
        <f>IF(Tableau119[[#This Row],[Name PFI/CDD]]="","-",VLOOKUP(Tableau119[[#This Row],[Name PFI/CDD]],Plant_AILN!I:J,2,FALSE))</f>
        <v>-</v>
      </c>
      <c r="AO6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5" s="2" t="e">
        <f>VLOOKUP(Tableau119[[#This Row],[Key(POD -PFI- Usine)]],'DATA Consignee'!A:J,10,FALSE)</f>
        <v>#N/A</v>
      </c>
      <c r="AR685" s="50" t="e">
        <f>VLOOKUP(Tableau119[[#This Row],[Key(POD -PFI- Usine)]],'DATA Consignee'!A:N,14,FALSE)</f>
        <v>#N/A</v>
      </c>
      <c r="AS6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5" s="50">
        <f>Tableau119[[#This Row],[Transit time]]+Tableau119[[#This Row],[Time for security]]+Tableau119[[#This Row],[Time for security2 buffer]]</f>
        <v>0</v>
      </c>
      <c r="AV6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5" s="50" t="e">
        <f>Tableau119[[#This Row],[Leadtime SI2C]]+Tableau119[[#This Row],[First Receipt Days]]-Tableau119[[#This Row],[Day Customer Order]]+1</f>
        <v>#N/A</v>
      </c>
      <c r="AX685" s="119" t="e">
        <f>IF(Tableau119[[#This Row],[Name ILN]]&lt;&gt;"SFK Freight Forwarder",Tableau119[[#This Row],[Cust. Leadtime]],Tableau119[[#This Row],[Leadtime SI2C]])</f>
        <v>#N/A</v>
      </c>
      <c r="AY685" s="51" t="b">
        <f>_xlfn.XLOOKUP(Tableau119[[#This Row],[Key(ID-date)]],'DATA BTO'!S:S,'DATA BTO'!P:P,FALSE)</f>
        <v>0</v>
      </c>
      <c r="AZ685" s="338">
        <v>46142</v>
      </c>
      <c r="BA685" s="50"/>
    </row>
    <row r="686" spans="2:53">
      <c r="B686" s="66" t="str">
        <f>_xlfn.CONCAT(Tableau119[[#This Row],[Name ILN]],"-",Tableau119[[#This Row],[Name Shipper]],"-",Tableau119[[#This Row],[Name Site]])</f>
        <v>ILN Curitiba-ILN Curitiba-OYAK MONT</v>
      </c>
      <c r="C686" s="66" t="str">
        <f>_xlfn.CONCAT(Tableau119[[#This Row],[Compte ILN]],"-",Tableau119[[#This Row],[Compte Shipper]],"-",Tableau119[[#This Row],[POL]],"-",Tableau119[[#This Row],[Compte Consignee]])</f>
        <v>95207-95207-FALSO-90017000</v>
      </c>
      <c r="D686" s="66" t="str">
        <f>_xlfn.CONCAT(Tableau119[[#This Row],[Compte ILN]],"-",Tableau119[[#This Row],[Compte Shipper]],"-",Tableau119[[#This Row],[POL]])</f>
        <v>95207-95207-FALSO</v>
      </c>
      <c r="E686" s="130" t="str">
        <f>_xlfn.CONCAT(Tableau119[[#This Row],[POL]],"-",Tableau119[[#This Row],[Carrier]],"-",Tableau119[[#This Row],[POD]])</f>
        <v>FALSO-FALSO-FALSO</v>
      </c>
      <c r="F686" s="66" t="str">
        <f>_xlfn.CONCAT(Tableau119[[#This Row],[ID]],"-","Actif")</f>
        <v>416-Actif</v>
      </c>
      <c r="G686" s="66" t="str">
        <f>_xlfn.CONCAT(Tableau119[[#This Row],[POD]],"-",Tableau119[[#This Row],[Code PFI]],"-",Tableau119[[#This Row],[Compte Consignee]])</f>
        <v>FALSO---90017000</v>
      </c>
      <c r="H6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MONT</v>
      </c>
      <c r="I686" s="434" t="str">
        <f>_xlfn.CONCAT(Tableau119[[#This Row],[ID]],"-",Tableau119[[#This Row],[Expiration Date]])</f>
        <v>416-46142</v>
      </c>
      <c r="J6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Curitiba-ILN Curitiba-416-FALSO-FALSO-FALSO--46142</v>
      </c>
      <c r="K686" s="119" t="str">
        <f ca="1">IF(COUNTIF(J:J,Tableau119[[#This Row],[Plant-ILN-shipper-POL-Carrier-POD-PFI]])=1,"Non","Oui")</f>
        <v>Non</v>
      </c>
      <c r="L686" s="128" t="str">
        <f>VLOOKUP(Tableau119[[#This Row],[Name Site]],Plant_AILN!A:D,4,FALSE)</f>
        <v>TURKEY</v>
      </c>
      <c r="M686" s="415" t="s">
        <v>173</v>
      </c>
      <c r="N686" s="455">
        <f>VLOOKUP(Tableau119[[#This Row],[Name Site]],Plant_AILN!A:C,3,FALSE)</f>
        <v>90017000</v>
      </c>
      <c r="O686" s="104">
        <f>IF(Tableau119[[#This Row],[Name PFI/CDD]]="PFI VLL",2,VLOOKUP(Tableau119[[#This Row],[Compte Consignee]],Order!C:D,2,FALSE))</f>
        <v>7</v>
      </c>
      <c r="P686" s="126" t="s">
        <v>163</v>
      </c>
      <c r="Q686" s="366">
        <f>VLOOKUP(Tableau119[[#This Row],[Name ILN]],Plant_AILN!F:G,2,FALSE)</f>
        <v>95207</v>
      </c>
      <c r="R686" s="81">
        <f>VLOOKUP(Tableau119[[#This Row],[Compte ILN]],'DATA ILN'!D:I,6,FALSE)</f>
        <v>9</v>
      </c>
      <c r="S686" s="81" t="e">
        <f>IFERROR(VLOOKUP(Tableau119[[#This Row],[Key(Compte ILN - shipper - POL - plant)]],'DATA ILN'!A:J,10,FALSE),VLOOKUP(Tableau119[[#This Row],[Key(Compte ILN - shipper - POL)]],'DATA ILN'!B:J,9,FALSE))</f>
        <v>#N/A</v>
      </c>
      <c r="T686" s="81" t="e">
        <f>IFERROR(VLOOKUP(Tableau119[[#This Row],[Key(Compte ILN - shipper - POL - plant)]],'DATA ILN'!A:K,11,FALSE),VLOOKUP(Tableau119[[#This Row],[Key(Compte ILN - shipper - POL)]],'DATA ILN'!B:K,10,FALSE))</f>
        <v>#N/A</v>
      </c>
      <c r="U686" s="81" t="e">
        <f>IFERROR(VLOOKUP(Tableau119[[#This Row],[Key(Compte ILN - shipper - POL - plant)]],'DATA ILN'!A:L,12,FALSE),VLOOKUP(Tableau119[[#This Row],[Key(Compte ILN - shipper - POL)]],'DATA ILN'!B:L,11,FALSE))</f>
        <v>#N/A</v>
      </c>
      <c r="V686" s="81" t="e">
        <f>Tableau119[[#This Row],[Day ILN Order]]+Tableau119[[#This Row],[Delivery time to ILN/Shipper]]-1</f>
        <v>#N/A</v>
      </c>
      <c r="W686" s="81" t="e">
        <f>IFERROR(VLOOKUP(Tableau119[[#This Row],[Key(Compte ILN - shipper - POL - plant)]],'DATA ILN'!A:N,14,FALSE),VLOOKUP(Tableau119[[#This Row],[Key(Compte ILN - shipper - POL)]],'DATA ILN'!B:N,13,FALSE))</f>
        <v>#N/A</v>
      </c>
      <c r="X686" s="81" t="e">
        <f>IFERROR(VLOOKUP(Tableau119[[#This Row],[Key(Compte ILN - shipper - POL - plant)]],'DATA ILN'!A:P,16,FALSE),VLOOKUP(Tableau119[[#This Row],[Key(Compte ILN - shipper - POL)]],'DATA ILN'!B:P,15,FALSE))</f>
        <v>#N/A</v>
      </c>
      <c r="Y686" s="102" t="s">
        <v>163</v>
      </c>
      <c r="Z686" s="417">
        <f>IFERROR(VLOOKUP(Tableau119[[#This Row],[Name Shipper]],Plant_AILN!L:M,2,FALSE),0)</f>
        <v>95207</v>
      </c>
      <c r="AA686" s="416">
        <v>416</v>
      </c>
      <c r="AB686" s="396" t="b">
        <f>_xlfn.XLOOKUP(Tableau119[[#This Row],[Key(ID-date)]],'DATA BTO'!S:S,'DATA BTO'!E:E,FALSE)</f>
        <v>0</v>
      </c>
      <c r="AC686" s="3" t="b">
        <f>_xlfn.XLOOKUP(Tableau119[[#This Row],[Key(ID-date)]],'DATA BTO'!S:S,'DATA BTO'!F:F,FALSE)</f>
        <v>0</v>
      </c>
      <c r="AD686" s="50" t="b">
        <f>_xlfn.XLOOKUP(Tableau119[[#This Row],[Key(ID-date)]],'DATA BTO'!S:S,'DATA BTO'!G:G,FALSE)</f>
        <v>0</v>
      </c>
      <c r="AE686" s="50" t="b">
        <f>_xlfn.XLOOKUP(Tableau119[[#This Row],[Key(ID-date)]],'DATA BTO'!S:S,'DATA BTO'!H:H,FALSE)</f>
        <v>0</v>
      </c>
      <c r="AF686" s="447" t="e">
        <f>IF(Tableau119[[#This Row],[First Day to POL]]&lt;=Tableau119[[#This Row],[Day Cut Off]],Tableau119[[#This Row],[Day ETD]],Tableau119[[#This Row],[Day ETD]]+7)</f>
        <v>#N/A</v>
      </c>
      <c r="AG686" s="50" t="b">
        <f>_xlfn.XLOOKUP(Tableau119[[#This Row],[Key(ID-date)]],'DATA BTO'!S:S,'DATA BTO'!I:I,FALSE)</f>
        <v>0</v>
      </c>
      <c r="AH686" s="3" t="b">
        <f>_xlfn.XLOOKUP(Tableau119[[#This Row],[Key(ID-date)]],'DATA BTO'!S:S,'DATA BTO'!J:J,FALSE)</f>
        <v>0</v>
      </c>
      <c r="AI686" s="3" t="b">
        <f>_xlfn.XLOOKUP(Tableau119[[#This Row],[Key(ID-date)]],'DATA BTO'!S:S,'DATA BTO'!K:K,FALSE)</f>
        <v>0</v>
      </c>
      <c r="AJ686" s="50" t="b">
        <f>_xlfn.XLOOKUP(Tableau119[[#This Row],[Key(ID-date)]],'DATA BTO'!S:S,'DATA BTO'!L:L,FALSE)</f>
        <v>0</v>
      </c>
      <c r="AK686" s="53" t="b">
        <f>_xlfn.XLOOKUP(Tableau119[[#This Row],[Key(ID-date)]],'DATA BTO'!S:S,'DATA BTO'!N:N,FALSE)</f>
        <v>0</v>
      </c>
      <c r="AL686" s="54" t="e">
        <f>VLOOKUP(Tableau119[[#This Row],[Key(POD -PFI- Usine)]],'DATA Consignee'!A:F,6,FALSE)</f>
        <v>#N/A</v>
      </c>
      <c r="AM686" s="127"/>
      <c r="AN686" s="375" t="str">
        <f>IF(Tableau119[[#This Row],[Name PFI/CDD]]="","-",VLOOKUP(Tableau119[[#This Row],[Name PFI/CDD]],Plant_AILN!I:J,2,FALSE))</f>
        <v>-</v>
      </c>
      <c r="AO68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6" s="110" t="e">
        <f>VLOOKUP(Tableau119[[#This Row],[Key(POD -PFI- Usine)]],'DATA Consignee'!A:J,10,FALSE)</f>
        <v>#N/A</v>
      </c>
      <c r="AR686" s="81" t="e">
        <f>VLOOKUP(Tableau119[[#This Row],[Key(POD -PFI- Usine)]],'DATA Consignee'!A:N,14,FALSE)</f>
        <v>#N/A</v>
      </c>
      <c r="AS68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6" s="81">
        <f>Tableau119[[#This Row],[Transit time]]+Tableau119[[#This Row],[Time for security]]+Tableau119[[#This Row],[Time for security2 buffer]]</f>
        <v>0</v>
      </c>
      <c r="AV6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6" s="50" t="e">
        <f>Tableau119[[#This Row],[Leadtime SI2C]]+Tableau119[[#This Row],[First Receipt Days]]-Tableau119[[#This Row],[Day Customer Order]]+1</f>
        <v>#N/A</v>
      </c>
      <c r="AX686" s="119" t="e">
        <f>IF(Tableau119[[#This Row],[Name ILN]]&lt;&gt;"SFK Freight Forwarder",Tableau119[[#This Row],[Cust. Leadtime]],Tableau119[[#This Row],[Leadtime SI2C]])</f>
        <v>#N/A</v>
      </c>
      <c r="AY686" s="51" t="b">
        <f>_xlfn.XLOOKUP(Tableau119[[#This Row],[Key(ID-date)]],'DATA BTO'!S:S,'DATA BTO'!P:P,FALSE)</f>
        <v>0</v>
      </c>
      <c r="AZ686" s="388">
        <v>46142</v>
      </c>
      <c r="BA686" s="81"/>
    </row>
    <row r="687" spans="2:53">
      <c r="B687" s="446" t="str">
        <f>_xlfn.CONCAT(Tableau119[[#This Row],[Name ILN]],"-",Tableau119[[#This Row],[Name Shipper]],"-",Tableau119[[#This Row],[Name Site]])</f>
        <v>ILN Curitiba-ILN Curitiba-OYAK MEKA</v>
      </c>
      <c r="C687" s="66" t="str">
        <f>_xlfn.CONCAT(Tableau119[[#This Row],[Compte ILN]],"-",Tableau119[[#This Row],[Compte Shipper]],"-",Tableau119[[#This Row],[POL]],"-",Tableau119[[#This Row],[Compte Consignee]])</f>
        <v>95207-95207-FALSO-90014400</v>
      </c>
      <c r="D687" s="66" t="str">
        <f>_xlfn.CONCAT(Tableau119[[#This Row],[Compte ILN]],"-",Tableau119[[#This Row],[Compte Shipper]],"-",Tableau119[[#This Row],[POL]])</f>
        <v>95207-95207-FALSO</v>
      </c>
      <c r="E687" s="130" t="str">
        <f>_xlfn.CONCAT(Tableau119[[#This Row],[POL]],"-",Tableau119[[#This Row],[Carrier]],"-",Tableau119[[#This Row],[POD]])</f>
        <v>FALSO-FALSO-FALSO</v>
      </c>
      <c r="F687" s="66" t="str">
        <f>_xlfn.CONCAT(Tableau119[[#This Row],[ID]],"-","Actif")</f>
        <v>416-Actif</v>
      </c>
      <c r="G687" s="66" t="str">
        <f>_xlfn.CONCAT(Tableau119[[#This Row],[POD]],"-",Tableau119[[#This Row],[Code PFI]],"-",Tableau119[[#This Row],[Compte Consignee]])</f>
        <v>FALSO---90014400</v>
      </c>
      <c r="H6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MEKA</v>
      </c>
      <c r="I687" s="434" t="str">
        <f>_xlfn.CONCAT(Tableau119[[#This Row],[ID]],"-",Tableau119[[#This Row],[Expiration Date]])</f>
        <v>416-45777</v>
      </c>
      <c r="J6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Curitiba-ILN Curitiba-416-FALSO-FALSO-FALSO--45777</v>
      </c>
      <c r="K687" s="119" t="str">
        <f ca="1">IF(COUNTIF(J:J,Tableau119[[#This Row],[Plant-ILN-shipper-POL-Carrier-POD-PFI]])=1,"Non","Oui")</f>
        <v>Non</v>
      </c>
      <c r="L687" s="128" t="str">
        <f>VLOOKUP(Tableau119[[#This Row],[Name Site]],Plant_AILN!A:D,4,FALSE)</f>
        <v>TURKEY</v>
      </c>
      <c r="M687" s="411" t="s">
        <v>165</v>
      </c>
      <c r="N687" s="454">
        <f>VLOOKUP(Tableau119[[#This Row],[Name Site]],Plant_AILN!A:C,3,FALSE)</f>
        <v>90014400</v>
      </c>
      <c r="O687" s="55">
        <f>VLOOKUP(Tableau119[[#This Row],[Compte Consignee]],Order!C:D,2,FALSE)</f>
        <v>2</v>
      </c>
      <c r="P687" s="124" t="s">
        <v>163</v>
      </c>
      <c r="Q687" s="365">
        <f>VLOOKUP(Tableau119[[#This Row],[Name ILN]],Plant_AILN!F:G,2,FALSE)</f>
        <v>95207</v>
      </c>
      <c r="R687" s="50">
        <f>VLOOKUP(Tableau119[[#This Row],[Compte ILN]],'DATA ILN'!D:I,6,FALSE)</f>
        <v>9</v>
      </c>
      <c r="S687" s="50" t="e">
        <f>IFERROR(VLOOKUP(Tableau119[[#This Row],[Key(Compte ILN - shipper - POL - plant)]],'DATA ILN'!A:J,10,FALSE),VLOOKUP(Tableau119[[#This Row],[Key(Compte ILN - shipper - POL)]],'DATA ILN'!B:J,9,FALSE))</f>
        <v>#N/A</v>
      </c>
      <c r="T687" s="50" t="e">
        <f>IFERROR(VLOOKUP(Tableau119[[#This Row],[Key(Compte ILN - shipper - POL - plant)]],'DATA ILN'!A:K,11,FALSE),VLOOKUP(Tableau119[[#This Row],[Key(Compte ILN - shipper - POL)]],'DATA ILN'!B:K,10,FALSE))</f>
        <v>#N/A</v>
      </c>
      <c r="U687" s="50" t="e">
        <f>IFERROR(VLOOKUP(Tableau119[[#This Row],[Key(Compte ILN - shipper - POL - plant)]],'DATA ILN'!A:L,12,FALSE),VLOOKUP(Tableau119[[#This Row],[Key(Compte ILN - shipper - POL)]],'DATA ILN'!B:L,11,FALSE))</f>
        <v>#N/A</v>
      </c>
      <c r="V687" s="50" t="e">
        <f>Tableau119[[#This Row],[Day ILN Order]]+Tableau119[[#This Row],[Delivery time to ILN/Shipper]]-1</f>
        <v>#N/A</v>
      </c>
      <c r="W687" s="50" t="e">
        <f>IFERROR(VLOOKUP(Tableau119[[#This Row],[Key(Compte ILN - shipper - POL - plant)]],'DATA ILN'!A:N,14,FALSE),VLOOKUP(Tableau119[[#This Row],[Key(Compte ILN - shipper - POL)]],'DATA ILN'!B:N,13,FALSE))</f>
        <v>#N/A</v>
      </c>
      <c r="X687" s="50" t="e">
        <f>IFERROR(VLOOKUP(Tableau119[[#This Row],[Key(Compte ILN - shipper - POL - plant)]],'DATA ILN'!A:P,16,FALSE),VLOOKUP(Tableau119[[#This Row],[Key(Compte ILN - shipper - POL)]],'DATA ILN'!B:P,15,FALSE))</f>
        <v>#N/A</v>
      </c>
      <c r="Y687" s="284" t="s">
        <v>163</v>
      </c>
      <c r="Z687" s="430">
        <f>IFERROR(VLOOKUP(Tableau119[[#This Row],[Name Shipper]],Plant_AILN!L:M,2,FALSE),0)</f>
        <v>95207</v>
      </c>
      <c r="AA687" s="406">
        <v>416</v>
      </c>
      <c r="AB687" s="396" t="b">
        <f>_xlfn.XLOOKUP(Tableau119[[#This Row],[Key(ID-date)]],'DATA BTO'!S:S,'DATA BTO'!E:E,FALSE)</f>
        <v>0</v>
      </c>
      <c r="AC687" s="3" t="b">
        <f>_xlfn.XLOOKUP(Tableau119[[#This Row],[Key(ID-date)]],'DATA BTO'!S:S,'DATA BTO'!F:F,FALSE)</f>
        <v>0</v>
      </c>
      <c r="AD687" s="50" t="b">
        <f>_xlfn.XLOOKUP(Tableau119[[#This Row],[Key(ID-date)]],'DATA BTO'!S:S,'DATA BTO'!G:G,FALSE)</f>
        <v>0</v>
      </c>
      <c r="AE687" s="50" t="b">
        <f>_xlfn.XLOOKUP(Tableau119[[#This Row],[Key(ID-date)]],'DATA BTO'!S:S,'DATA BTO'!H:H,FALSE)</f>
        <v>0</v>
      </c>
      <c r="AF687" s="447" t="e">
        <f>IF(Tableau119[[#This Row],[First Day to POL]]&lt;=Tableau119[[#This Row],[Day Cut Off]],Tableau119[[#This Row],[Day ETD]],Tableau119[[#This Row],[Day ETD]]+7)</f>
        <v>#N/A</v>
      </c>
      <c r="AG687" s="50" t="b">
        <f>_xlfn.XLOOKUP(Tableau119[[#This Row],[Key(ID-date)]],'DATA BTO'!S:S,'DATA BTO'!I:I,FALSE)</f>
        <v>0</v>
      </c>
      <c r="AH687" s="3" t="b">
        <f>_xlfn.XLOOKUP(Tableau119[[#This Row],[Key(ID-date)]],'DATA BTO'!S:S,'DATA BTO'!J:J,FALSE)</f>
        <v>0</v>
      </c>
      <c r="AI687" s="3" t="b">
        <f>_xlfn.XLOOKUP(Tableau119[[#This Row],[Key(ID-date)]],'DATA BTO'!S:S,'DATA BTO'!K:K,FALSE)</f>
        <v>0</v>
      </c>
      <c r="AJ687" s="50" t="b">
        <f>_xlfn.XLOOKUP(Tableau119[[#This Row],[Key(ID-date)]],'DATA BTO'!S:S,'DATA BTO'!L:L,FALSE)</f>
        <v>0</v>
      </c>
      <c r="AK687" s="53" t="b">
        <f>_xlfn.XLOOKUP(Tableau119[[#This Row],[Key(ID-date)]],'DATA BTO'!S:S,'DATA BTO'!N:N,FALSE)</f>
        <v>0</v>
      </c>
      <c r="AL687" s="54" t="e">
        <f>VLOOKUP(Tableau119[[#This Row],[Key(POD -PFI- Usine)]],'DATA Consignee'!A:F,6,FALSE)</f>
        <v>#N/A</v>
      </c>
      <c r="AM687" s="127"/>
      <c r="AN687" s="376" t="str">
        <f>IF(Tableau119[[#This Row],[Name PFI/CDD]]="","-",VLOOKUP(Tableau119[[#This Row],[Name PFI/CDD]],Plant_AILN!I:J,2,FALSE))</f>
        <v>-</v>
      </c>
      <c r="AO6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7" s="2" t="e">
        <f>VLOOKUP(Tableau119[[#This Row],[Key(POD -PFI- Usine)]],'DATA Consignee'!A:J,10,FALSE)</f>
        <v>#N/A</v>
      </c>
      <c r="AR687" s="50" t="e">
        <f>VLOOKUP(Tableau119[[#This Row],[Key(POD -PFI- Usine)]],'DATA Consignee'!A:N,14,FALSE)</f>
        <v>#N/A</v>
      </c>
      <c r="AS6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7" s="50">
        <f>Tableau119[[#This Row],[Transit time]]+Tableau119[[#This Row],[Time for security]]+Tableau119[[#This Row],[Time for security2 buffer]]</f>
        <v>0</v>
      </c>
      <c r="AV6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7" s="50" t="e">
        <f>Tableau119[[#This Row],[Leadtime SI2C]]+Tableau119[[#This Row],[First Receipt Days]]-Tableau119[[#This Row],[Day Customer Order]]+1</f>
        <v>#N/A</v>
      </c>
      <c r="AX687" s="119" t="e">
        <f>IF(Tableau119[[#This Row],[Name ILN]]&lt;&gt;"SFK Freight Forwarder",Tableau119[[#This Row],[Cust. Leadtime]],Tableau119[[#This Row],[Leadtime SI2C]])</f>
        <v>#N/A</v>
      </c>
      <c r="AY687" s="51" t="b">
        <f>_xlfn.XLOOKUP(Tableau119[[#This Row],[Key(ID-date)]],'DATA BTO'!S:S,'DATA BTO'!P:P,FALSE)</f>
        <v>0</v>
      </c>
      <c r="AZ687" s="338">
        <v>45777</v>
      </c>
      <c r="BA687" s="50"/>
    </row>
    <row r="688" spans="2:53">
      <c r="B688" s="446" t="str">
        <f>_xlfn.CONCAT(Tableau119[[#This Row],[Name ILN]],"-",Tableau119[[#This Row],[Name Shipper]],"-",Tableau119[[#This Row],[Name Site]])</f>
        <v>ILN Curitiba-ILN Curitiba-OYAK MONT</v>
      </c>
      <c r="C688" s="66" t="str">
        <f>_xlfn.CONCAT(Tableau119[[#This Row],[Compte ILN]],"-",Tableau119[[#This Row],[Compte Shipper]],"-",Tableau119[[#This Row],[POL]],"-",Tableau119[[#This Row],[Compte Consignee]])</f>
        <v>95207-95207-FALSO-90017000</v>
      </c>
      <c r="D688" s="66" t="str">
        <f>_xlfn.CONCAT(Tableau119[[#This Row],[Compte ILN]],"-",Tableau119[[#This Row],[Compte Shipper]],"-",Tableau119[[#This Row],[POL]])</f>
        <v>95207-95207-FALSO</v>
      </c>
      <c r="E688" s="130" t="str">
        <f>_xlfn.CONCAT(Tableau119[[#This Row],[POL]],"-",Tableau119[[#This Row],[Carrier]],"-",Tableau119[[#This Row],[POD]])</f>
        <v>FALSO-FALSO-FALSO</v>
      </c>
      <c r="F688" s="66" t="str">
        <f>_xlfn.CONCAT(Tableau119[[#This Row],[ID]],"-","Actif")</f>
        <v>416-Actif</v>
      </c>
      <c r="G688" s="66" t="str">
        <f>_xlfn.CONCAT(Tableau119[[#This Row],[POD]],"-",Tableau119[[#This Row],[Code PFI]],"-",Tableau119[[#This Row],[Compte Consignee]])</f>
        <v>FALSO---90017000</v>
      </c>
      <c r="H6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MONT</v>
      </c>
      <c r="I688" s="434" t="str">
        <f>_xlfn.CONCAT(Tableau119[[#This Row],[ID]],"-",Tableau119[[#This Row],[Expiration Date]])</f>
        <v>416-45777</v>
      </c>
      <c r="J6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Curitiba-ILN Curitiba-416-FALSO-FALSO-FALSO--45777</v>
      </c>
      <c r="K688" s="119" t="str">
        <f ca="1">IF(COUNTIF(J:J,Tableau119[[#This Row],[Plant-ILN-shipper-POL-Carrier-POD-PFI]])=1,"Non","Oui")</f>
        <v>Non</v>
      </c>
      <c r="L688" s="128" t="str">
        <f>VLOOKUP(Tableau119[[#This Row],[Name Site]],Plant_AILN!A:D,4,FALSE)</f>
        <v>TURKEY</v>
      </c>
      <c r="M688" s="411" t="s">
        <v>173</v>
      </c>
      <c r="N688" s="454">
        <f>VLOOKUP(Tableau119[[#This Row],[Name Site]],Plant_AILN!A:C,3,FALSE)</f>
        <v>90017000</v>
      </c>
      <c r="O688" s="55">
        <f>VLOOKUP(Tableau119[[#This Row],[Compte Consignee]],Order!C:D,2,FALSE)</f>
        <v>7</v>
      </c>
      <c r="P688" s="124" t="s">
        <v>163</v>
      </c>
      <c r="Q688" s="365">
        <f>VLOOKUP(Tableau119[[#This Row],[Name ILN]],Plant_AILN!F:G,2,FALSE)</f>
        <v>95207</v>
      </c>
      <c r="R688" s="50">
        <f>VLOOKUP(Tableau119[[#This Row],[Compte ILN]],'DATA ILN'!D:I,6,FALSE)</f>
        <v>9</v>
      </c>
      <c r="S688" s="50" t="e">
        <f>IFERROR(VLOOKUP(Tableau119[[#This Row],[Key(Compte ILN - shipper - POL - plant)]],'DATA ILN'!A:J,10,FALSE),VLOOKUP(Tableau119[[#This Row],[Key(Compte ILN - shipper - POL)]],'DATA ILN'!B:J,9,FALSE))</f>
        <v>#N/A</v>
      </c>
      <c r="T688" s="50" t="e">
        <f>IFERROR(VLOOKUP(Tableau119[[#This Row],[Key(Compte ILN - shipper - POL - plant)]],'DATA ILN'!A:K,11,FALSE),VLOOKUP(Tableau119[[#This Row],[Key(Compte ILN - shipper - POL)]],'DATA ILN'!B:K,10,FALSE))</f>
        <v>#N/A</v>
      </c>
      <c r="U688" s="50" t="e">
        <f>IFERROR(VLOOKUP(Tableau119[[#This Row],[Key(Compte ILN - shipper - POL - plant)]],'DATA ILN'!A:L,12,FALSE),VLOOKUP(Tableau119[[#This Row],[Key(Compte ILN - shipper - POL)]],'DATA ILN'!B:L,11,FALSE))</f>
        <v>#N/A</v>
      </c>
      <c r="V688" s="50" t="e">
        <f>Tableau119[[#This Row],[Day ILN Order]]+Tableau119[[#This Row],[Delivery time to ILN/Shipper]]-1</f>
        <v>#N/A</v>
      </c>
      <c r="W688" s="50" t="e">
        <f>IFERROR(VLOOKUP(Tableau119[[#This Row],[Key(Compte ILN - shipper - POL - plant)]],'DATA ILN'!A:N,14,FALSE),VLOOKUP(Tableau119[[#This Row],[Key(Compte ILN - shipper - POL)]],'DATA ILN'!B:N,13,FALSE))</f>
        <v>#N/A</v>
      </c>
      <c r="X688" s="50" t="e">
        <f>IFERROR(VLOOKUP(Tableau119[[#This Row],[Key(Compte ILN - shipper - POL - plant)]],'DATA ILN'!A:P,16,FALSE),VLOOKUP(Tableau119[[#This Row],[Key(Compte ILN - shipper - POL)]],'DATA ILN'!B:P,15,FALSE))</f>
        <v>#N/A</v>
      </c>
      <c r="Y688" s="284" t="s">
        <v>163</v>
      </c>
      <c r="Z688" s="430">
        <f>IFERROR(VLOOKUP(Tableau119[[#This Row],[Name Shipper]],Plant_AILN!L:M,2,FALSE),0)</f>
        <v>95207</v>
      </c>
      <c r="AA688" s="406">
        <v>416</v>
      </c>
      <c r="AB688" s="396" t="b">
        <f>_xlfn.XLOOKUP(Tableau119[[#This Row],[Key(ID-date)]],'DATA BTO'!S:S,'DATA BTO'!E:E,FALSE)</f>
        <v>0</v>
      </c>
      <c r="AC688" s="3" t="b">
        <f>_xlfn.XLOOKUP(Tableau119[[#This Row],[Key(ID-date)]],'DATA BTO'!S:S,'DATA BTO'!F:F,FALSE)</f>
        <v>0</v>
      </c>
      <c r="AD688" s="50" t="b">
        <f>_xlfn.XLOOKUP(Tableau119[[#This Row],[Key(ID-date)]],'DATA BTO'!S:S,'DATA BTO'!G:G,FALSE)</f>
        <v>0</v>
      </c>
      <c r="AE688" s="50" t="b">
        <f>_xlfn.XLOOKUP(Tableau119[[#This Row],[Key(ID-date)]],'DATA BTO'!S:S,'DATA BTO'!H:H,FALSE)</f>
        <v>0</v>
      </c>
      <c r="AF688" s="447" t="e">
        <f>IF(Tableau119[[#This Row],[First Day to POL]]&lt;=Tableau119[[#This Row],[Day Cut Off]],Tableau119[[#This Row],[Day ETD]],Tableau119[[#This Row],[Day ETD]]+7)</f>
        <v>#N/A</v>
      </c>
      <c r="AG688" s="50" t="b">
        <f>_xlfn.XLOOKUP(Tableau119[[#This Row],[Key(ID-date)]],'DATA BTO'!S:S,'DATA BTO'!I:I,FALSE)</f>
        <v>0</v>
      </c>
      <c r="AH688" s="3" t="b">
        <f>_xlfn.XLOOKUP(Tableau119[[#This Row],[Key(ID-date)]],'DATA BTO'!S:S,'DATA BTO'!J:J,FALSE)</f>
        <v>0</v>
      </c>
      <c r="AI688" s="3" t="b">
        <f>_xlfn.XLOOKUP(Tableau119[[#This Row],[Key(ID-date)]],'DATA BTO'!S:S,'DATA BTO'!K:K,FALSE)</f>
        <v>0</v>
      </c>
      <c r="AJ688" s="50" t="b">
        <f>_xlfn.XLOOKUP(Tableau119[[#This Row],[Key(ID-date)]],'DATA BTO'!S:S,'DATA BTO'!L:L,FALSE)</f>
        <v>0</v>
      </c>
      <c r="AK688" s="53" t="b">
        <f>_xlfn.XLOOKUP(Tableau119[[#This Row],[Key(ID-date)]],'DATA BTO'!S:S,'DATA BTO'!N:N,FALSE)</f>
        <v>0</v>
      </c>
      <c r="AL688" s="54" t="e">
        <f>VLOOKUP(Tableau119[[#This Row],[Key(POD -PFI- Usine)]],'DATA Consignee'!A:F,6,FALSE)</f>
        <v>#N/A</v>
      </c>
      <c r="AM688" s="127"/>
      <c r="AN688" s="376" t="str">
        <f>IF(Tableau119[[#This Row],[Name PFI/CDD]]="","-",VLOOKUP(Tableau119[[#This Row],[Name PFI/CDD]],Plant_AILN!I:J,2,FALSE))</f>
        <v>-</v>
      </c>
      <c r="AO68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8" s="2" t="e">
        <f>VLOOKUP(Tableau119[[#This Row],[Key(POD -PFI- Usine)]],'DATA Consignee'!A:J,10,FALSE)</f>
        <v>#N/A</v>
      </c>
      <c r="AR688" s="50" t="e">
        <f>VLOOKUP(Tableau119[[#This Row],[Key(POD -PFI- Usine)]],'DATA Consignee'!A:N,14,FALSE)</f>
        <v>#N/A</v>
      </c>
      <c r="AS68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8" s="50">
        <f>Tableau119[[#This Row],[Transit time]]+Tableau119[[#This Row],[Time for security]]+Tableau119[[#This Row],[Time for security2 buffer]]</f>
        <v>0</v>
      </c>
      <c r="AV6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8" s="50" t="e">
        <f>Tableau119[[#This Row],[Leadtime SI2C]]+Tableau119[[#This Row],[First Receipt Days]]-Tableau119[[#This Row],[Day Customer Order]]+1</f>
        <v>#N/A</v>
      </c>
      <c r="AX688" s="119" t="e">
        <f>IF(Tableau119[[#This Row],[Name ILN]]&lt;&gt;"SFK Freight Forwarder",Tableau119[[#This Row],[Cust. Leadtime]],Tableau119[[#This Row],[Leadtime SI2C]])</f>
        <v>#N/A</v>
      </c>
      <c r="AY688" s="51" t="b">
        <f>_xlfn.XLOOKUP(Tableau119[[#This Row],[Key(ID-date)]],'DATA BTO'!S:S,'DATA BTO'!P:P,FALSE)</f>
        <v>0</v>
      </c>
      <c r="AZ688" s="338">
        <v>45777</v>
      </c>
      <c r="BA688" s="50"/>
    </row>
    <row r="689" spans="2:53">
      <c r="B689" s="446" t="str">
        <f>_xlfn.CONCAT(Tableau119[[#This Row],[Name ILN]],"-",Tableau119[[#This Row],[Name Shipper]],"-",Tableau119[[#This Row],[Name Site]])</f>
        <v>ILN Curitiba-ILN Curitiba-KARSAN</v>
      </c>
      <c r="C689" s="66" t="str">
        <f>_xlfn.CONCAT(Tableau119[[#This Row],[Compte ILN]],"-",Tableau119[[#This Row],[Compte Shipper]],"-",Tableau119[[#This Row],[POL]],"-",Tableau119[[#This Row],[Compte Consignee]])</f>
        <v>95207-95207-FALSO-90022000</v>
      </c>
      <c r="D689" s="66" t="str">
        <f>_xlfn.CONCAT(Tableau119[[#This Row],[Compte ILN]],"-",Tableau119[[#This Row],[Compte Shipper]],"-",Tableau119[[#This Row],[POL]])</f>
        <v>95207-95207-FALSO</v>
      </c>
      <c r="E689" s="130" t="str">
        <f>_xlfn.CONCAT(Tableau119[[#This Row],[POL]],"-",Tableau119[[#This Row],[Carrier]],"-",Tableau119[[#This Row],[POD]])</f>
        <v>FALSO-FALSO-FALSO</v>
      </c>
      <c r="F689" s="66" t="str">
        <f>_xlfn.CONCAT(Tableau119[[#This Row],[ID]],"-","Actif")</f>
        <v>416-Actif</v>
      </c>
      <c r="G689" s="66" t="str">
        <f>_xlfn.CONCAT(Tableau119[[#This Row],[POD]],"-",Tableau119[[#This Row],[Code PFI]],"-",Tableau119[[#This Row],[Compte Consignee]])</f>
        <v>FALSO---90022000</v>
      </c>
      <c r="H6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CuritibaFALSOKARSAN</v>
      </c>
      <c r="I689" s="434" t="str">
        <f>_xlfn.CONCAT(Tableau119[[#This Row],[ID]],"-",Tableau119[[#This Row],[Expiration Date]])</f>
        <v>416-45777</v>
      </c>
      <c r="J6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Curitiba-ILN Curitiba-416-FALSO-FALSO-FALSO--45777</v>
      </c>
      <c r="K689" s="119" t="str">
        <f ca="1">IF(COUNTIF(J:J,Tableau119[[#This Row],[Plant-ILN-shipper-POL-Carrier-POD-PFI]])=1,"Non","Oui")</f>
        <v>Non</v>
      </c>
      <c r="L689" s="128" t="str">
        <f>VLOOKUP(Tableau119[[#This Row],[Name Site]],Plant_AILN!A:D,4,FALSE)</f>
        <v>TURKEY</v>
      </c>
      <c r="M689" s="411" t="s">
        <v>235</v>
      </c>
      <c r="N689" s="454">
        <f>VLOOKUP(Tableau119[[#This Row],[Name Site]],Plant_AILN!A:C,3,FALSE)</f>
        <v>90022000</v>
      </c>
      <c r="O689" s="55">
        <f>VLOOKUP(Tableau119[[#This Row],[Compte Consignee]],Order!C:D,2,FALSE)</f>
        <v>7</v>
      </c>
      <c r="P689" s="124" t="s">
        <v>163</v>
      </c>
      <c r="Q689" s="365">
        <f>VLOOKUP(Tableau119[[#This Row],[Name ILN]],Plant_AILN!F:G,2,FALSE)</f>
        <v>95207</v>
      </c>
      <c r="R689" s="50">
        <f>VLOOKUP(Tableau119[[#This Row],[Compte ILN]],'DATA ILN'!D:I,6,FALSE)</f>
        <v>9</v>
      </c>
      <c r="S689" s="50" t="e">
        <f>IFERROR(VLOOKUP(Tableau119[[#This Row],[Key(Compte ILN - shipper - POL - plant)]],'DATA ILN'!A:J,10,FALSE),VLOOKUP(Tableau119[[#This Row],[Key(Compte ILN - shipper - POL)]],'DATA ILN'!B:J,9,FALSE))</f>
        <v>#N/A</v>
      </c>
      <c r="T689" s="50" t="e">
        <f>IFERROR(VLOOKUP(Tableau119[[#This Row],[Key(Compte ILN - shipper - POL - plant)]],'DATA ILN'!A:K,11,FALSE),VLOOKUP(Tableau119[[#This Row],[Key(Compte ILN - shipper - POL)]],'DATA ILN'!B:K,10,FALSE))</f>
        <v>#N/A</v>
      </c>
      <c r="U689" s="50" t="e">
        <f>IFERROR(VLOOKUP(Tableau119[[#This Row],[Key(Compte ILN - shipper - POL - plant)]],'DATA ILN'!A:L,12,FALSE),VLOOKUP(Tableau119[[#This Row],[Key(Compte ILN - shipper - POL)]],'DATA ILN'!B:L,11,FALSE))</f>
        <v>#N/A</v>
      </c>
      <c r="V689" s="50" t="e">
        <f>Tableau119[[#This Row],[Day ILN Order]]+Tableau119[[#This Row],[Delivery time to ILN/Shipper]]-1</f>
        <v>#N/A</v>
      </c>
      <c r="W689" s="50" t="e">
        <f>IFERROR(VLOOKUP(Tableau119[[#This Row],[Key(Compte ILN - shipper - POL - plant)]],'DATA ILN'!A:N,14,FALSE),VLOOKUP(Tableau119[[#This Row],[Key(Compte ILN - shipper - POL)]],'DATA ILN'!B:N,13,FALSE))</f>
        <v>#N/A</v>
      </c>
      <c r="X689" s="50" t="e">
        <f>IFERROR(VLOOKUP(Tableau119[[#This Row],[Key(Compte ILN - shipper - POL - plant)]],'DATA ILN'!A:P,16,FALSE),VLOOKUP(Tableau119[[#This Row],[Key(Compte ILN - shipper - POL)]],'DATA ILN'!B:P,15,FALSE))</f>
        <v>#N/A</v>
      </c>
      <c r="Y689" s="284" t="s">
        <v>163</v>
      </c>
      <c r="Z689" s="430">
        <f>IFERROR(VLOOKUP(Tableau119[[#This Row],[Name Shipper]],Plant_AILN!L:M,2,FALSE),0)</f>
        <v>95207</v>
      </c>
      <c r="AA689" s="406">
        <v>416</v>
      </c>
      <c r="AB689" s="396" t="b">
        <f>_xlfn.XLOOKUP(Tableau119[[#This Row],[Key(ID-date)]],'DATA BTO'!S:S,'DATA BTO'!E:E,FALSE)</f>
        <v>0</v>
      </c>
      <c r="AC689" s="3" t="b">
        <f>_xlfn.XLOOKUP(Tableau119[[#This Row],[Key(ID-date)]],'DATA BTO'!S:S,'DATA BTO'!F:F,FALSE)</f>
        <v>0</v>
      </c>
      <c r="AD689" s="50" t="b">
        <f>_xlfn.XLOOKUP(Tableau119[[#This Row],[Key(ID-date)]],'DATA BTO'!S:S,'DATA BTO'!G:G,FALSE)</f>
        <v>0</v>
      </c>
      <c r="AE689" s="50" t="b">
        <f>_xlfn.XLOOKUP(Tableau119[[#This Row],[Key(ID-date)]],'DATA BTO'!S:S,'DATA BTO'!H:H,FALSE)</f>
        <v>0</v>
      </c>
      <c r="AF689" s="447" t="e">
        <f>IF(Tableau119[[#This Row],[First Day to POL]]&lt;=Tableau119[[#This Row],[Day Cut Off]],Tableau119[[#This Row],[Day ETD]],Tableau119[[#This Row],[Day ETD]]+7)</f>
        <v>#N/A</v>
      </c>
      <c r="AG689" s="50" t="b">
        <f>_xlfn.XLOOKUP(Tableau119[[#This Row],[Key(ID-date)]],'DATA BTO'!S:S,'DATA BTO'!I:I,FALSE)</f>
        <v>0</v>
      </c>
      <c r="AH689" s="3" t="b">
        <f>_xlfn.XLOOKUP(Tableau119[[#This Row],[Key(ID-date)]],'DATA BTO'!S:S,'DATA BTO'!J:J,FALSE)</f>
        <v>0</v>
      </c>
      <c r="AI689" s="3" t="b">
        <f>_xlfn.XLOOKUP(Tableau119[[#This Row],[Key(ID-date)]],'DATA BTO'!S:S,'DATA BTO'!K:K,FALSE)</f>
        <v>0</v>
      </c>
      <c r="AJ689" s="50" t="b">
        <f>_xlfn.XLOOKUP(Tableau119[[#This Row],[Key(ID-date)]],'DATA BTO'!S:S,'DATA BTO'!L:L,FALSE)</f>
        <v>0</v>
      </c>
      <c r="AK689" s="53" t="b">
        <f>_xlfn.XLOOKUP(Tableau119[[#This Row],[Key(ID-date)]],'DATA BTO'!S:S,'DATA BTO'!N:N,FALSE)</f>
        <v>0</v>
      </c>
      <c r="AL689" s="54" t="e">
        <f>VLOOKUP(Tableau119[[#This Row],[Key(POD -PFI- Usine)]],'DATA Consignee'!A:F,6,FALSE)</f>
        <v>#N/A</v>
      </c>
      <c r="AM689" s="127"/>
      <c r="AN689" s="376" t="str">
        <f>IF(Tableau119[[#This Row],[Name PFI/CDD]]="","-",VLOOKUP(Tableau119[[#This Row],[Name PFI/CDD]],Plant_AILN!I:J,2,FALSE))</f>
        <v>-</v>
      </c>
      <c r="AO6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89" s="2" t="e">
        <f>VLOOKUP(Tableau119[[#This Row],[Key(POD -PFI- Usine)]],'DATA Consignee'!A:J,10,FALSE)</f>
        <v>#N/A</v>
      </c>
      <c r="AR689" s="50" t="e">
        <f>VLOOKUP(Tableau119[[#This Row],[Key(POD -PFI- Usine)]],'DATA Consignee'!A:N,14,FALSE)</f>
        <v>#N/A</v>
      </c>
      <c r="AS68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8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89" s="50">
        <f>Tableau119[[#This Row],[Transit time]]+Tableau119[[#This Row],[Time for security]]+Tableau119[[#This Row],[Time for security2 buffer]]</f>
        <v>0</v>
      </c>
      <c r="AV6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89" s="50" t="e">
        <f>Tableau119[[#This Row],[Leadtime SI2C]]+Tableau119[[#This Row],[First Receipt Days]]-Tableau119[[#This Row],[Day Customer Order]]+1</f>
        <v>#N/A</v>
      </c>
      <c r="AX689" s="119" t="e">
        <f>IF(Tableau119[[#This Row],[Name ILN]]&lt;&gt;"SFK Freight Forwarder",Tableau119[[#This Row],[Cust. Leadtime]],Tableau119[[#This Row],[Leadtime SI2C]])</f>
        <v>#N/A</v>
      </c>
      <c r="AY689" s="51" t="b">
        <f>_xlfn.XLOOKUP(Tableau119[[#This Row],[Key(ID-date)]],'DATA BTO'!S:S,'DATA BTO'!P:P,FALSE)</f>
        <v>0</v>
      </c>
      <c r="AZ689" s="338">
        <v>45777</v>
      </c>
      <c r="BA689" s="50"/>
    </row>
    <row r="690" spans="2:53">
      <c r="B690" s="446" t="str">
        <f>_xlfn.CONCAT(Tableau119[[#This Row],[Name ILN]],"-",Tableau119[[#This Row],[Name Shipper]],"-",Tableau119[[#This Row],[Name Site]])</f>
        <v>ILN Curitiba-ILN Curitiba-OYAK MEKA</v>
      </c>
      <c r="C690" s="66" t="str">
        <f>_xlfn.CONCAT(Tableau119[[#This Row],[Compte ILN]],"-",Tableau119[[#This Row],[Compte Shipper]],"-",Tableau119[[#This Row],[POL]],"-",Tableau119[[#This Row],[Compte Consignee]])</f>
        <v>95207-95207-FALSO-90014400</v>
      </c>
      <c r="D690" s="66" t="str">
        <f>_xlfn.CONCAT(Tableau119[[#This Row],[Compte ILN]],"-",Tableau119[[#This Row],[Compte Shipper]],"-",Tableau119[[#This Row],[POL]])</f>
        <v>95207-95207-FALSO</v>
      </c>
      <c r="E690" s="130" t="str">
        <f>_xlfn.CONCAT(Tableau119[[#This Row],[POL]],"-",Tableau119[[#This Row],[Carrier]],"-",Tableau119[[#This Row],[POD]])</f>
        <v>FALSO-FALSO-FALSO</v>
      </c>
      <c r="F690" s="66" t="str">
        <f>_xlfn.CONCAT(Tableau119[[#This Row],[ID]],"-","Actif")</f>
        <v>416-Actif</v>
      </c>
      <c r="G690" s="66" t="str">
        <f>_xlfn.CONCAT(Tableau119[[#This Row],[POD]],"-",Tableau119[[#This Row],[Code PFI]],"-",Tableau119[[#This Row],[Compte Consignee]])</f>
        <v>FALSO---90014400</v>
      </c>
      <c r="H6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MEKA</v>
      </c>
      <c r="I690" s="434" t="str">
        <f>_xlfn.CONCAT(Tableau119[[#This Row],[ID]],"-",Tableau119[[#This Row],[Expiration Date]])</f>
        <v>416-45412</v>
      </c>
      <c r="J6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Curitiba-ILN Curitiba-416-FALSO-FALSO-FALSO--45412</v>
      </c>
      <c r="K690" s="119" t="str">
        <f ca="1">IF(COUNTIF(J:J,Tableau119[[#This Row],[Plant-ILN-shipper-POL-Carrier-POD-PFI]])=1,"Non","Oui")</f>
        <v>Non</v>
      </c>
      <c r="L690" s="128" t="str">
        <f>VLOOKUP(Tableau119[[#This Row],[Name Site]],Plant_AILN!A:D,4,FALSE)</f>
        <v>TURKEY</v>
      </c>
      <c r="M690" s="411" t="s">
        <v>165</v>
      </c>
      <c r="N690" s="454">
        <f>VLOOKUP(Tableau119[[#This Row],[Name Site]],Plant_AILN!A:C,3,FALSE)</f>
        <v>90014400</v>
      </c>
      <c r="O690" s="55">
        <f>VLOOKUP(Tableau119[[#This Row],[Compte Consignee]],Order!C:D,2,FALSE)</f>
        <v>2</v>
      </c>
      <c r="P690" s="124" t="s">
        <v>163</v>
      </c>
      <c r="Q690" s="365">
        <f>VLOOKUP(Tableau119[[#This Row],[Name ILN]],Plant_AILN!F:G,2,FALSE)</f>
        <v>95207</v>
      </c>
      <c r="R690" s="50">
        <f>VLOOKUP(Tableau119[[#This Row],[Compte ILN]],'DATA ILN'!D:I,6,FALSE)</f>
        <v>9</v>
      </c>
      <c r="S690" s="50" t="e">
        <f>IFERROR(VLOOKUP(Tableau119[[#This Row],[Key(Compte ILN - shipper - POL - plant)]],'DATA ILN'!A:J,10,FALSE),VLOOKUP(Tableau119[[#This Row],[Key(Compte ILN - shipper - POL)]],'DATA ILN'!B:J,9,FALSE))</f>
        <v>#N/A</v>
      </c>
      <c r="T690" s="50" t="e">
        <f>IFERROR(VLOOKUP(Tableau119[[#This Row],[Key(Compte ILN - shipper - POL - plant)]],'DATA ILN'!A:K,11,FALSE),VLOOKUP(Tableau119[[#This Row],[Key(Compte ILN - shipper - POL)]],'DATA ILN'!B:K,10,FALSE))</f>
        <v>#N/A</v>
      </c>
      <c r="U690" s="50" t="e">
        <f>IFERROR(VLOOKUP(Tableau119[[#This Row],[Key(Compte ILN - shipper - POL - plant)]],'DATA ILN'!A:L,12,FALSE),VLOOKUP(Tableau119[[#This Row],[Key(Compte ILN - shipper - POL)]],'DATA ILN'!B:L,11,FALSE))</f>
        <v>#N/A</v>
      </c>
      <c r="V690" s="50" t="e">
        <f>Tableau119[[#This Row],[Day ILN Order]]+Tableau119[[#This Row],[Delivery time to ILN/Shipper]]-1</f>
        <v>#N/A</v>
      </c>
      <c r="W690" s="50" t="e">
        <f>IFERROR(VLOOKUP(Tableau119[[#This Row],[Key(Compte ILN - shipper - POL - plant)]],'DATA ILN'!A:N,14,FALSE),VLOOKUP(Tableau119[[#This Row],[Key(Compte ILN - shipper - POL)]],'DATA ILN'!B:N,13,FALSE))</f>
        <v>#N/A</v>
      </c>
      <c r="X690" s="50" t="e">
        <f>IFERROR(VLOOKUP(Tableau119[[#This Row],[Key(Compte ILN - shipper - POL - plant)]],'DATA ILN'!A:P,16,FALSE),VLOOKUP(Tableau119[[#This Row],[Key(Compte ILN - shipper - POL)]],'DATA ILN'!B:P,15,FALSE))</f>
        <v>#N/A</v>
      </c>
      <c r="Y690" s="284" t="s">
        <v>163</v>
      </c>
      <c r="Z690" s="430">
        <f>IFERROR(VLOOKUP(Tableau119[[#This Row],[Name Shipper]],Plant_AILN!L:M,2,FALSE),0)</f>
        <v>95207</v>
      </c>
      <c r="AA690" s="406">
        <v>416</v>
      </c>
      <c r="AB690" s="396" t="b">
        <f>_xlfn.XLOOKUP(Tableau119[[#This Row],[Key(ID-date)]],'DATA BTO'!S:S,'DATA BTO'!E:E,FALSE)</f>
        <v>0</v>
      </c>
      <c r="AC690" s="3" t="b">
        <f>_xlfn.XLOOKUP(Tableau119[[#This Row],[Key(ID-date)]],'DATA BTO'!S:S,'DATA BTO'!F:F,FALSE)</f>
        <v>0</v>
      </c>
      <c r="AD690" s="50" t="b">
        <f>_xlfn.XLOOKUP(Tableau119[[#This Row],[Key(ID-date)]],'DATA BTO'!S:S,'DATA BTO'!G:G,FALSE)</f>
        <v>0</v>
      </c>
      <c r="AE690" s="50" t="b">
        <f>_xlfn.XLOOKUP(Tableau119[[#This Row],[Key(ID-date)]],'DATA BTO'!S:S,'DATA BTO'!H:H,FALSE)</f>
        <v>0</v>
      </c>
      <c r="AF690" s="447" t="e">
        <f>IF(Tableau119[[#This Row],[First Day to POL]]&lt;=Tableau119[[#This Row],[Day Cut Off]],Tableau119[[#This Row],[Day ETD]],Tableau119[[#This Row],[Day ETD]]+7)</f>
        <v>#N/A</v>
      </c>
      <c r="AG690" s="50" t="b">
        <f>_xlfn.XLOOKUP(Tableau119[[#This Row],[Key(ID-date)]],'DATA BTO'!S:S,'DATA BTO'!I:I,FALSE)</f>
        <v>0</v>
      </c>
      <c r="AH690" s="3" t="b">
        <f>_xlfn.XLOOKUP(Tableau119[[#This Row],[Key(ID-date)]],'DATA BTO'!S:S,'DATA BTO'!J:J,FALSE)</f>
        <v>0</v>
      </c>
      <c r="AI690" s="3" t="b">
        <f>_xlfn.XLOOKUP(Tableau119[[#This Row],[Key(ID-date)]],'DATA BTO'!S:S,'DATA BTO'!K:K,FALSE)</f>
        <v>0</v>
      </c>
      <c r="AJ690" s="50" t="b">
        <f>_xlfn.XLOOKUP(Tableau119[[#This Row],[Key(ID-date)]],'DATA BTO'!S:S,'DATA BTO'!L:L,FALSE)</f>
        <v>0</v>
      </c>
      <c r="AK690" s="53" t="b">
        <f>_xlfn.XLOOKUP(Tableau119[[#This Row],[Key(ID-date)]],'DATA BTO'!S:S,'DATA BTO'!N:N,FALSE)</f>
        <v>0</v>
      </c>
      <c r="AL690" s="54" t="e">
        <f>VLOOKUP(Tableau119[[#This Row],[Key(POD -PFI- Usine)]],'DATA Consignee'!A:F,6,FALSE)</f>
        <v>#N/A</v>
      </c>
      <c r="AM690" s="284"/>
      <c r="AN690" s="376" t="str">
        <f>IF(Tableau119[[#This Row],[Name PFI/CDD]]="","-",VLOOKUP(Tableau119[[#This Row],[Name PFI/CDD]],Plant_AILN!I:J,2,FALSE))</f>
        <v>-</v>
      </c>
      <c r="AO6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0" s="2" t="e">
        <f>VLOOKUP(Tableau119[[#This Row],[Key(POD -PFI- Usine)]],'DATA Consignee'!A:J,10,FALSE)</f>
        <v>#N/A</v>
      </c>
      <c r="AR690" s="50" t="e">
        <f>VLOOKUP(Tableau119[[#This Row],[Key(POD -PFI- Usine)]],'DATA Consignee'!A:N,14,FALSE)</f>
        <v>#N/A</v>
      </c>
      <c r="AS6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0" s="50">
        <f>Tableau119[[#This Row],[Transit time]]+Tableau119[[#This Row],[Time for security]]+Tableau119[[#This Row],[Time for security2 buffer]]</f>
        <v>0</v>
      </c>
      <c r="AV6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0" s="50" t="e">
        <f>Tableau119[[#This Row],[Leadtime SI2C]]+Tableau119[[#This Row],[First Receipt Days]]-Tableau119[[#This Row],[Day Customer Order]]+1</f>
        <v>#N/A</v>
      </c>
      <c r="AX690" s="119" t="e">
        <f>IF(Tableau119[[#This Row],[Name ILN]]&lt;&gt;"SFK Freight Forwarder",Tableau119[[#This Row],[Cust. Leadtime]],Tableau119[[#This Row],[Leadtime SI2C]])</f>
        <v>#N/A</v>
      </c>
      <c r="AY690" s="51" t="b">
        <f>_xlfn.XLOOKUP(Tableau119[[#This Row],[Key(ID-date)]],'DATA BTO'!S:S,'DATA BTO'!P:P,FALSE)</f>
        <v>0</v>
      </c>
      <c r="AZ690" s="338">
        <v>45412</v>
      </c>
      <c r="BA690" s="50"/>
    </row>
    <row r="691" spans="2:53">
      <c r="B691" s="446" t="str">
        <f>_xlfn.CONCAT(Tableau119[[#This Row],[Name ILN]],"-",Tableau119[[#This Row],[Name Shipper]],"-",Tableau119[[#This Row],[Name Site]])</f>
        <v>ILN Curitiba-ILN Curitiba-OYAK MONT</v>
      </c>
      <c r="C691" s="66" t="str">
        <f>_xlfn.CONCAT(Tableau119[[#This Row],[Compte ILN]],"-",Tableau119[[#This Row],[Compte Shipper]],"-",Tableau119[[#This Row],[POL]],"-",Tableau119[[#This Row],[Compte Consignee]])</f>
        <v>95207-95207-FALSO-90017000</v>
      </c>
      <c r="D691" s="66" t="str">
        <f>_xlfn.CONCAT(Tableau119[[#This Row],[Compte ILN]],"-",Tableau119[[#This Row],[Compte Shipper]],"-",Tableau119[[#This Row],[POL]])</f>
        <v>95207-95207-FALSO</v>
      </c>
      <c r="E691" s="130" t="str">
        <f>_xlfn.CONCAT(Tableau119[[#This Row],[POL]],"-",Tableau119[[#This Row],[Carrier]],"-",Tableau119[[#This Row],[POD]])</f>
        <v>FALSO-FALSO-FALSO</v>
      </c>
      <c r="F691" s="66" t="str">
        <f>_xlfn.CONCAT(Tableau119[[#This Row],[ID]],"-","Actif")</f>
        <v>416-Actif</v>
      </c>
      <c r="G691" s="66" t="str">
        <f>_xlfn.CONCAT(Tableau119[[#This Row],[POD]],"-",Tableau119[[#This Row],[Code PFI]],"-",Tableau119[[#This Row],[Compte Consignee]])</f>
        <v>FALSO---90017000</v>
      </c>
      <c r="H6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CuritibaFALSOOYAK MONT</v>
      </c>
      <c r="I691" s="434" t="str">
        <f>_xlfn.CONCAT(Tableau119[[#This Row],[ID]],"-",Tableau119[[#This Row],[Expiration Date]])</f>
        <v>416-45412</v>
      </c>
      <c r="J6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Curitiba-ILN Curitiba-416-FALSO-FALSO-FALSO--45412</v>
      </c>
      <c r="K691" s="119" t="str">
        <f ca="1">IF(COUNTIF(J:J,Tableau119[[#This Row],[Plant-ILN-shipper-POL-Carrier-POD-PFI]])=1,"Non","Oui")</f>
        <v>Non</v>
      </c>
      <c r="L691" s="128" t="str">
        <f>VLOOKUP(Tableau119[[#This Row],[Name Site]],Plant_AILN!A:D,4,FALSE)</f>
        <v>TURKEY</v>
      </c>
      <c r="M691" s="411" t="s">
        <v>173</v>
      </c>
      <c r="N691" s="454">
        <f>VLOOKUP(Tableau119[[#This Row],[Name Site]],Plant_AILN!A:C,3,FALSE)</f>
        <v>90017000</v>
      </c>
      <c r="O691" s="55">
        <f>VLOOKUP(Tableau119[[#This Row],[Compte Consignee]],Order!C:D,2,FALSE)</f>
        <v>7</v>
      </c>
      <c r="P691" s="124" t="s">
        <v>163</v>
      </c>
      <c r="Q691" s="365">
        <f>VLOOKUP(Tableau119[[#This Row],[Name ILN]],Plant_AILN!F:G,2,FALSE)</f>
        <v>95207</v>
      </c>
      <c r="R691" s="50">
        <f>VLOOKUP(Tableau119[[#This Row],[Compte ILN]],'DATA ILN'!D:I,6,FALSE)</f>
        <v>9</v>
      </c>
      <c r="S691" s="50" t="e">
        <f>IFERROR(VLOOKUP(Tableau119[[#This Row],[Key(Compte ILN - shipper - POL - plant)]],'DATA ILN'!A:J,10,FALSE),VLOOKUP(Tableau119[[#This Row],[Key(Compte ILN - shipper - POL)]],'DATA ILN'!B:J,9,FALSE))</f>
        <v>#N/A</v>
      </c>
      <c r="T691" s="50" t="e">
        <f>IFERROR(VLOOKUP(Tableau119[[#This Row],[Key(Compte ILN - shipper - POL - plant)]],'DATA ILN'!A:K,11,FALSE),VLOOKUP(Tableau119[[#This Row],[Key(Compte ILN - shipper - POL)]],'DATA ILN'!B:K,10,FALSE))</f>
        <v>#N/A</v>
      </c>
      <c r="U691" s="50" t="e">
        <f>IFERROR(VLOOKUP(Tableau119[[#This Row],[Key(Compte ILN - shipper - POL - plant)]],'DATA ILN'!A:L,12,FALSE),VLOOKUP(Tableau119[[#This Row],[Key(Compte ILN - shipper - POL)]],'DATA ILN'!B:L,11,FALSE))</f>
        <v>#N/A</v>
      </c>
      <c r="V691" s="50" t="e">
        <f>Tableau119[[#This Row],[Day ILN Order]]+Tableau119[[#This Row],[Delivery time to ILN/Shipper]]-1</f>
        <v>#N/A</v>
      </c>
      <c r="W691" s="50" t="e">
        <f>IFERROR(VLOOKUP(Tableau119[[#This Row],[Key(Compte ILN - shipper - POL - plant)]],'DATA ILN'!A:N,14,FALSE),VLOOKUP(Tableau119[[#This Row],[Key(Compte ILN - shipper - POL)]],'DATA ILN'!B:N,13,FALSE))</f>
        <v>#N/A</v>
      </c>
      <c r="X691" s="50" t="e">
        <f>IFERROR(VLOOKUP(Tableau119[[#This Row],[Key(Compte ILN - shipper - POL - plant)]],'DATA ILN'!A:P,16,FALSE),VLOOKUP(Tableau119[[#This Row],[Key(Compte ILN - shipper - POL)]],'DATA ILN'!B:P,15,FALSE))</f>
        <v>#N/A</v>
      </c>
      <c r="Y691" s="284" t="s">
        <v>163</v>
      </c>
      <c r="Z691" s="430">
        <f>IFERROR(VLOOKUP(Tableau119[[#This Row],[Name Shipper]],Plant_AILN!L:M,2,FALSE),0)</f>
        <v>95207</v>
      </c>
      <c r="AA691" s="406">
        <v>416</v>
      </c>
      <c r="AB691" s="396" t="b">
        <f>_xlfn.XLOOKUP(Tableau119[[#This Row],[Key(ID-date)]],'DATA BTO'!S:S,'DATA BTO'!E:E,FALSE)</f>
        <v>0</v>
      </c>
      <c r="AC691" s="3" t="b">
        <f>_xlfn.XLOOKUP(Tableau119[[#This Row],[Key(ID-date)]],'DATA BTO'!S:S,'DATA BTO'!F:F,FALSE)</f>
        <v>0</v>
      </c>
      <c r="AD691" s="50" t="b">
        <f>_xlfn.XLOOKUP(Tableau119[[#This Row],[Key(ID-date)]],'DATA BTO'!S:S,'DATA BTO'!G:G,FALSE)</f>
        <v>0</v>
      </c>
      <c r="AE691" s="50" t="b">
        <f>_xlfn.XLOOKUP(Tableau119[[#This Row],[Key(ID-date)]],'DATA BTO'!S:S,'DATA BTO'!H:H,FALSE)</f>
        <v>0</v>
      </c>
      <c r="AF691" s="447" t="e">
        <f>IF(Tableau119[[#This Row],[First Day to POL]]&lt;=Tableau119[[#This Row],[Day Cut Off]],Tableau119[[#This Row],[Day ETD]],Tableau119[[#This Row],[Day ETD]]+7)</f>
        <v>#N/A</v>
      </c>
      <c r="AG691" s="50" t="b">
        <f>_xlfn.XLOOKUP(Tableau119[[#This Row],[Key(ID-date)]],'DATA BTO'!S:S,'DATA BTO'!I:I,FALSE)</f>
        <v>0</v>
      </c>
      <c r="AH691" s="3" t="b">
        <f>_xlfn.XLOOKUP(Tableau119[[#This Row],[Key(ID-date)]],'DATA BTO'!S:S,'DATA BTO'!J:J,FALSE)</f>
        <v>0</v>
      </c>
      <c r="AI691" s="3" t="b">
        <f>_xlfn.XLOOKUP(Tableau119[[#This Row],[Key(ID-date)]],'DATA BTO'!S:S,'DATA BTO'!K:K,FALSE)</f>
        <v>0</v>
      </c>
      <c r="AJ691" s="50" t="b">
        <f>_xlfn.XLOOKUP(Tableau119[[#This Row],[Key(ID-date)]],'DATA BTO'!S:S,'DATA BTO'!L:L,FALSE)</f>
        <v>0</v>
      </c>
      <c r="AK691" s="53" t="b">
        <f>_xlfn.XLOOKUP(Tableau119[[#This Row],[Key(ID-date)]],'DATA BTO'!S:S,'DATA BTO'!N:N,FALSE)</f>
        <v>0</v>
      </c>
      <c r="AL691" s="54" t="e">
        <f>VLOOKUP(Tableau119[[#This Row],[Key(POD -PFI- Usine)]],'DATA Consignee'!A:F,6,FALSE)</f>
        <v>#N/A</v>
      </c>
      <c r="AM691" s="284"/>
      <c r="AN691" s="376" t="str">
        <f>IF(Tableau119[[#This Row],[Name PFI/CDD]]="","-",VLOOKUP(Tableau119[[#This Row],[Name PFI/CDD]],Plant_AILN!I:J,2,FALSE))</f>
        <v>-</v>
      </c>
      <c r="AO6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1" s="2" t="e">
        <f>VLOOKUP(Tableau119[[#This Row],[Key(POD -PFI- Usine)]],'DATA Consignee'!A:J,10,FALSE)</f>
        <v>#N/A</v>
      </c>
      <c r="AR691" s="50" t="e">
        <f>VLOOKUP(Tableau119[[#This Row],[Key(POD -PFI- Usine)]],'DATA Consignee'!A:N,14,FALSE)</f>
        <v>#N/A</v>
      </c>
      <c r="AS6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1" s="50">
        <f>Tableau119[[#This Row],[Transit time]]+Tableau119[[#This Row],[Time for security]]+Tableau119[[#This Row],[Time for security2 buffer]]</f>
        <v>0</v>
      </c>
      <c r="AV6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1" s="50" t="e">
        <f>Tableau119[[#This Row],[Leadtime SI2C]]+Tableau119[[#This Row],[First Receipt Days]]-Tableau119[[#This Row],[Day Customer Order]]+1</f>
        <v>#N/A</v>
      </c>
      <c r="AX691" s="119" t="e">
        <f>IF(Tableau119[[#This Row],[Name ILN]]&lt;&gt;"SFK Freight Forwarder",Tableau119[[#This Row],[Cust. Leadtime]],Tableau119[[#This Row],[Leadtime SI2C]])</f>
        <v>#N/A</v>
      </c>
      <c r="AY691" s="51" t="b">
        <f>_xlfn.XLOOKUP(Tableau119[[#This Row],[Key(ID-date)]],'DATA BTO'!S:S,'DATA BTO'!P:P,FALSE)</f>
        <v>0</v>
      </c>
      <c r="AZ691" s="338">
        <v>45412</v>
      </c>
      <c r="BA691" s="50"/>
    </row>
    <row r="692" spans="2:53">
      <c r="B692" s="446" t="str">
        <f>_xlfn.CONCAT(Tableau119[[#This Row],[Name ILN]],"-",Tableau119[[#This Row],[Name Shipper]],"-",Tableau119[[#This Row],[Name Site]])</f>
        <v>ILN Curitiba-ILN Curitiba-KARSAN</v>
      </c>
      <c r="C692" s="66" t="str">
        <f>_xlfn.CONCAT(Tableau119[[#This Row],[Compte ILN]],"-",Tableau119[[#This Row],[Compte Shipper]],"-",Tableau119[[#This Row],[POL]],"-",Tableau119[[#This Row],[Compte Consignee]])</f>
        <v>95207-95207-FALSO-90022000</v>
      </c>
      <c r="D692" s="66" t="str">
        <f>_xlfn.CONCAT(Tableau119[[#This Row],[Compte ILN]],"-",Tableau119[[#This Row],[Compte Shipper]],"-",Tableau119[[#This Row],[POL]])</f>
        <v>95207-95207-FALSO</v>
      </c>
      <c r="E692" s="130" t="str">
        <f>_xlfn.CONCAT(Tableau119[[#This Row],[POL]],"-",Tableau119[[#This Row],[Carrier]],"-",Tableau119[[#This Row],[POD]])</f>
        <v>FALSO-FALSO-FALSO</v>
      </c>
      <c r="F692" s="66" t="str">
        <f>_xlfn.CONCAT(Tableau119[[#This Row],[ID]],"-","Actif")</f>
        <v>416-Actif</v>
      </c>
      <c r="G692" s="66" t="str">
        <f>_xlfn.CONCAT(Tableau119[[#This Row],[POD]],"-",Tableau119[[#This Row],[Code PFI]],"-",Tableau119[[#This Row],[Compte Consignee]])</f>
        <v>FALSO---90022000</v>
      </c>
      <c r="H6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CuritibaFALSOKARSAN</v>
      </c>
      <c r="I692" s="434" t="str">
        <f>_xlfn.CONCAT(Tableau119[[#This Row],[ID]],"-",Tableau119[[#This Row],[Expiration Date]])</f>
        <v>416-45412</v>
      </c>
      <c r="J6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Curitiba-ILN Curitiba-416-FALSO-FALSO-FALSO--45412</v>
      </c>
      <c r="K692" s="119" t="str">
        <f ca="1">IF(COUNTIF(J:J,Tableau119[[#This Row],[Plant-ILN-shipper-POL-Carrier-POD-PFI]])=1,"Non","Oui")</f>
        <v>Non</v>
      </c>
      <c r="L692" s="128" t="str">
        <f>VLOOKUP(Tableau119[[#This Row],[Name Site]],Plant_AILN!A:D,4,FALSE)</f>
        <v>TURKEY</v>
      </c>
      <c r="M692" s="415" t="s">
        <v>235</v>
      </c>
      <c r="N692" s="455">
        <f>VLOOKUP(Tableau119[[#This Row],[Name Site]],Plant_AILN!A:C,3,FALSE)</f>
        <v>90022000</v>
      </c>
      <c r="O692" s="104">
        <f>VLOOKUP(Tableau119[[#This Row],[Compte Consignee]],Order!C:D,2,FALSE)</f>
        <v>7</v>
      </c>
      <c r="P692" s="126" t="s">
        <v>163</v>
      </c>
      <c r="Q692" s="366">
        <f>VLOOKUP(Tableau119[[#This Row],[Name ILN]],Plant_AILN!F:G,2,FALSE)</f>
        <v>95207</v>
      </c>
      <c r="R692" s="81">
        <f>VLOOKUP(Tableau119[[#This Row],[Compte ILN]],'DATA ILN'!D:I,6,FALSE)</f>
        <v>9</v>
      </c>
      <c r="S692" s="81" t="e">
        <f>IFERROR(VLOOKUP(Tableau119[[#This Row],[Key(Compte ILN - shipper - POL - plant)]],'DATA ILN'!A:J,10,FALSE),VLOOKUP(Tableau119[[#This Row],[Key(Compte ILN - shipper - POL)]],'DATA ILN'!B:J,9,FALSE))</f>
        <v>#N/A</v>
      </c>
      <c r="T692" s="81" t="e">
        <f>IFERROR(VLOOKUP(Tableau119[[#This Row],[Key(Compte ILN - shipper - POL - plant)]],'DATA ILN'!A:K,11,FALSE),VLOOKUP(Tableau119[[#This Row],[Key(Compte ILN - shipper - POL)]],'DATA ILN'!B:K,10,FALSE))</f>
        <v>#N/A</v>
      </c>
      <c r="U692" s="81" t="e">
        <f>IFERROR(VLOOKUP(Tableau119[[#This Row],[Key(Compte ILN - shipper - POL - plant)]],'DATA ILN'!A:L,12,FALSE),VLOOKUP(Tableau119[[#This Row],[Key(Compte ILN - shipper - POL)]],'DATA ILN'!B:L,11,FALSE))</f>
        <v>#N/A</v>
      </c>
      <c r="V692" s="81" t="e">
        <f>Tableau119[[#This Row],[Day ILN Order]]+Tableau119[[#This Row],[Delivery time to ILN/Shipper]]-1</f>
        <v>#N/A</v>
      </c>
      <c r="W692" s="81" t="e">
        <f>IFERROR(VLOOKUP(Tableau119[[#This Row],[Key(Compte ILN - shipper - POL - plant)]],'DATA ILN'!A:N,14,FALSE),VLOOKUP(Tableau119[[#This Row],[Key(Compte ILN - shipper - POL)]],'DATA ILN'!B:N,13,FALSE))</f>
        <v>#N/A</v>
      </c>
      <c r="X692" s="81" t="e">
        <f>IFERROR(VLOOKUP(Tableau119[[#This Row],[Key(Compte ILN - shipper - POL - plant)]],'DATA ILN'!A:P,16,FALSE),VLOOKUP(Tableau119[[#This Row],[Key(Compte ILN - shipper - POL)]],'DATA ILN'!B:P,15,FALSE))</f>
        <v>#N/A</v>
      </c>
      <c r="Y692" s="102" t="s">
        <v>163</v>
      </c>
      <c r="Z692" s="417">
        <f>IFERROR(VLOOKUP(Tableau119[[#This Row],[Name Shipper]],Plant_AILN!L:M,2,FALSE),0)</f>
        <v>95207</v>
      </c>
      <c r="AA692" s="416">
        <v>416</v>
      </c>
      <c r="AB692" s="396" t="b">
        <f>_xlfn.XLOOKUP(Tableau119[[#This Row],[Key(ID-date)]],'DATA BTO'!S:S,'DATA BTO'!E:E,FALSE)</f>
        <v>0</v>
      </c>
      <c r="AC692" s="3" t="b">
        <f>_xlfn.XLOOKUP(Tableau119[[#This Row],[Key(ID-date)]],'DATA BTO'!S:S,'DATA BTO'!F:F,FALSE)</f>
        <v>0</v>
      </c>
      <c r="AD692" s="50" t="b">
        <f>_xlfn.XLOOKUP(Tableau119[[#This Row],[Key(ID-date)]],'DATA BTO'!S:S,'DATA BTO'!G:G,FALSE)</f>
        <v>0</v>
      </c>
      <c r="AE692" s="50" t="b">
        <f>_xlfn.XLOOKUP(Tableau119[[#This Row],[Key(ID-date)]],'DATA BTO'!S:S,'DATA BTO'!H:H,FALSE)</f>
        <v>0</v>
      </c>
      <c r="AF692" s="447" t="e">
        <f>IF(Tableau119[[#This Row],[First Day to POL]]&lt;=Tableau119[[#This Row],[Day Cut Off]],Tableau119[[#This Row],[Day ETD]],Tableau119[[#This Row],[Day ETD]]+7)</f>
        <v>#N/A</v>
      </c>
      <c r="AG692" s="50" t="b">
        <f>_xlfn.XLOOKUP(Tableau119[[#This Row],[Key(ID-date)]],'DATA BTO'!S:S,'DATA BTO'!I:I,FALSE)</f>
        <v>0</v>
      </c>
      <c r="AH692" s="3" t="b">
        <f>_xlfn.XLOOKUP(Tableau119[[#This Row],[Key(ID-date)]],'DATA BTO'!S:S,'DATA BTO'!J:J,FALSE)</f>
        <v>0</v>
      </c>
      <c r="AI692" s="3" t="b">
        <f>_xlfn.XLOOKUP(Tableau119[[#This Row],[Key(ID-date)]],'DATA BTO'!S:S,'DATA BTO'!K:K,FALSE)</f>
        <v>0</v>
      </c>
      <c r="AJ692" s="50" t="b">
        <f>_xlfn.XLOOKUP(Tableau119[[#This Row],[Key(ID-date)]],'DATA BTO'!S:S,'DATA BTO'!L:L,FALSE)</f>
        <v>0</v>
      </c>
      <c r="AK692" s="53" t="b">
        <f>_xlfn.XLOOKUP(Tableau119[[#This Row],[Key(ID-date)]],'DATA BTO'!S:S,'DATA BTO'!N:N,FALSE)</f>
        <v>0</v>
      </c>
      <c r="AL692" s="54" t="e">
        <f>VLOOKUP(Tableau119[[#This Row],[Key(POD -PFI- Usine)]],'DATA Consignee'!A:F,6,FALSE)</f>
        <v>#N/A</v>
      </c>
      <c r="AM692" s="102"/>
      <c r="AN692" s="375" t="str">
        <f>IF(Tableau119[[#This Row],[Name PFI/CDD]]="","-",VLOOKUP(Tableau119[[#This Row],[Name PFI/CDD]],Plant_AILN!I:J,2,FALSE))</f>
        <v>-</v>
      </c>
      <c r="AO69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2" s="110" t="e">
        <f>VLOOKUP(Tableau119[[#This Row],[Key(POD -PFI- Usine)]],'DATA Consignee'!A:J,10,FALSE)</f>
        <v>#N/A</v>
      </c>
      <c r="AR692" s="81" t="e">
        <f>VLOOKUP(Tableau119[[#This Row],[Key(POD -PFI- Usine)]],'DATA Consignee'!A:N,14,FALSE)</f>
        <v>#N/A</v>
      </c>
      <c r="AS69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2" s="81">
        <f>Tableau119[[#This Row],[Transit time]]+Tableau119[[#This Row],[Time for security]]+Tableau119[[#This Row],[Time for security2 buffer]]</f>
        <v>0</v>
      </c>
      <c r="AV6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2" s="50" t="e">
        <f>Tableau119[[#This Row],[Leadtime SI2C]]+Tableau119[[#This Row],[First Receipt Days]]-Tableau119[[#This Row],[Day Customer Order]]+1</f>
        <v>#N/A</v>
      </c>
      <c r="AX692" s="119" t="e">
        <f>IF(Tableau119[[#This Row],[Name ILN]]&lt;&gt;"SFK Freight Forwarder",Tableau119[[#This Row],[Cust. Leadtime]],Tableau119[[#This Row],[Leadtime SI2C]])</f>
        <v>#N/A</v>
      </c>
      <c r="AY692" s="51" t="b">
        <f>_xlfn.XLOOKUP(Tableau119[[#This Row],[Key(ID-date)]],'DATA BTO'!S:S,'DATA BTO'!P:P,FALSE)</f>
        <v>0</v>
      </c>
      <c r="AZ692" s="388">
        <v>45412</v>
      </c>
      <c r="BA692" s="81"/>
    </row>
    <row r="693" spans="2:53">
      <c r="B693" s="66" t="str">
        <f>_xlfn.CONCAT(Tableau119[[#This Row],[Name ILN]],"-",Tableau119[[#This Row],[Name Shipper]],"-",Tableau119[[#This Row],[Name Site]])</f>
        <v>ILN Delhi-ILN Delhi-SOMACA</v>
      </c>
      <c r="C693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93" s="66" t="str">
        <f>_xlfn.CONCAT(Tableau119[[#This Row],[Compte ILN]],"-",Tableau119[[#This Row],[Compte Shipper]],"-",Tableau119[[#This Row],[POL]])</f>
        <v>2533780535-2533780535-FALSO</v>
      </c>
      <c r="E693" s="130" t="str">
        <f>_xlfn.CONCAT(Tableau119[[#This Row],[POL]],"-",Tableau119[[#This Row],[Carrier]],"-",Tableau119[[#This Row],[POD]])</f>
        <v>FALSO-FALSO-FALSO</v>
      </c>
      <c r="F693" s="66" t="str">
        <f>_xlfn.CONCAT(Tableau119[[#This Row],[ID]],"-","Actif")</f>
        <v>421-Actif</v>
      </c>
      <c r="G693" s="66" t="str">
        <f>_xlfn.CONCAT(Tableau119[[#This Row],[POD]],"-",Tableau119[[#This Row],[Code PFI]],"-",Tableau119[[#This Row],[Compte Consignee]])</f>
        <v>FALSO---90038200</v>
      </c>
      <c r="H6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DelhiFALSOSOMACA</v>
      </c>
      <c r="I693" s="434" t="str">
        <f>_xlfn.CONCAT(Tableau119[[#This Row],[ID]],"-",Tableau119[[#This Row],[Expiration Date]])</f>
        <v>421-46142</v>
      </c>
      <c r="J6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Delhi-ILN Delhi-421-FALSO-FALSO-FALSO--46142</v>
      </c>
      <c r="K693" s="119" t="str">
        <f ca="1">IF(COUNTIF(J:J,Tableau119[[#This Row],[Plant-ILN-shipper-POL-Carrier-POD-PFI]])=1,"Non","Oui")</f>
        <v>Non</v>
      </c>
      <c r="L693" s="128" t="str">
        <f>VLOOKUP(Tableau119[[#This Row],[Name Site]],Plant_AILN!A:D,4,FALSE)</f>
        <v>MOROCCO</v>
      </c>
      <c r="M693" s="411" t="s">
        <v>179</v>
      </c>
      <c r="N693" s="454">
        <f>VLOOKUP(Tableau119[[#This Row],[Name Site]],Plant_AILN!A:C,3,FALSE)</f>
        <v>90038200</v>
      </c>
      <c r="O693" s="55">
        <f>IF(Tableau119[[#This Row],[Name PFI/CDD]]="PFI VLL",2,VLOOKUP(Tableau119[[#This Row],[Compte Consignee]],Order!C:D,2,FALSE))</f>
        <v>7</v>
      </c>
      <c r="P693" s="124" t="s">
        <v>284</v>
      </c>
      <c r="Q693" s="365">
        <f>VLOOKUP(Tableau119[[#This Row],[Name ILN]],Plant_AILN!F:G,2,FALSE)</f>
        <v>2533780535</v>
      </c>
      <c r="R693" s="50">
        <f>VLOOKUP(Tableau119[[#This Row],[Compte ILN]],'DATA ILN'!D:I,6,FALSE)</f>
        <v>9</v>
      </c>
      <c r="S693" s="50" t="e">
        <f>IFERROR(VLOOKUP(Tableau119[[#This Row],[Key(Compte ILN - shipper - POL - plant)]],'DATA ILN'!A:J,10,FALSE),VLOOKUP(Tableau119[[#This Row],[Key(Compte ILN - shipper - POL)]],'DATA ILN'!B:J,9,FALSE))</f>
        <v>#N/A</v>
      </c>
      <c r="T693" s="50" t="e">
        <f>IFERROR(VLOOKUP(Tableau119[[#This Row],[Key(Compte ILN - shipper - POL - plant)]],'DATA ILN'!A:K,11,FALSE),VLOOKUP(Tableau119[[#This Row],[Key(Compte ILN - shipper - POL)]],'DATA ILN'!B:K,10,FALSE))</f>
        <v>#N/A</v>
      </c>
      <c r="U693" s="50" t="e">
        <f>IFERROR(VLOOKUP(Tableau119[[#This Row],[Key(Compte ILN - shipper - POL - plant)]],'DATA ILN'!A:L,12,FALSE),VLOOKUP(Tableau119[[#This Row],[Key(Compte ILN - shipper - POL)]],'DATA ILN'!B:L,11,FALSE))</f>
        <v>#N/A</v>
      </c>
      <c r="V693" s="50" t="e">
        <f>Tableau119[[#This Row],[Day ILN Order]]+Tableau119[[#This Row],[Delivery time to ILN/Shipper]]-1</f>
        <v>#N/A</v>
      </c>
      <c r="W693" s="50" t="e">
        <f>IFERROR(VLOOKUP(Tableau119[[#This Row],[Key(Compte ILN - shipper - POL - plant)]],'DATA ILN'!A:N,14,FALSE),VLOOKUP(Tableau119[[#This Row],[Key(Compte ILN - shipper - POL)]],'DATA ILN'!B:N,13,FALSE))</f>
        <v>#N/A</v>
      </c>
      <c r="X693" s="50" t="e">
        <f>IFERROR(VLOOKUP(Tableau119[[#This Row],[Key(Compte ILN - shipper - POL - plant)]],'DATA ILN'!A:P,16,FALSE),VLOOKUP(Tableau119[[#This Row],[Key(Compte ILN - shipper - POL)]],'DATA ILN'!B:P,15,FALSE))</f>
        <v>#N/A</v>
      </c>
      <c r="Y693" s="284" t="s">
        <v>284</v>
      </c>
      <c r="Z693" s="430">
        <f>IFERROR(VLOOKUP(Tableau119[[#This Row],[Name Shipper]],Plant_AILN!L:M,2,FALSE),0)</f>
        <v>2533780535</v>
      </c>
      <c r="AA693" s="406">
        <v>421</v>
      </c>
      <c r="AB693" s="396" t="b">
        <f>_xlfn.XLOOKUP(Tableau119[[#This Row],[Key(ID-date)]],'DATA BTO'!S:S,'DATA BTO'!E:E,FALSE)</f>
        <v>0</v>
      </c>
      <c r="AC693" s="3" t="b">
        <f>_xlfn.XLOOKUP(Tableau119[[#This Row],[Key(ID-date)]],'DATA BTO'!S:S,'DATA BTO'!F:F,FALSE)</f>
        <v>0</v>
      </c>
      <c r="AD693" s="50" t="b">
        <f>_xlfn.XLOOKUP(Tableau119[[#This Row],[Key(ID-date)]],'DATA BTO'!S:S,'DATA BTO'!G:G,FALSE)</f>
        <v>0</v>
      </c>
      <c r="AE693" s="50" t="b">
        <f>_xlfn.XLOOKUP(Tableau119[[#This Row],[Key(ID-date)]],'DATA BTO'!S:S,'DATA BTO'!H:H,FALSE)</f>
        <v>0</v>
      </c>
      <c r="AF693" s="447" t="e">
        <f>IF(Tableau119[[#This Row],[First Day to POL]]&lt;=Tableau119[[#This Row],[Day Cut Off]],Tableau119[[#This Row],[Day ETD]],Tableau119[[#This Row],[Day ETD]]+7)</f>
        <v>#N/A</v>
      </c>
      <c r="AG693" s="50" t="b">
        <f>_xlfn.XLOOKUP(Tableau119[[#This Row],[Key(ID-date)]],'DATA BTO'!S:S,'DATA BTO'!I:I,FALSE)</f>
        <v>0</v>
      </c>
      <c r="AH693" s="3" t="b">
        <f>_xlfn.XLOOKUP(Tableau119[[#This Row],[Key(ID-date)]],'DATA BTO'!S:S,'DATA BTO'!J:J,FALSE)</f>
        <v>0</v>
      </c>
      <c r="AI693" s="3" t="b">
        <f>_xlfn.XLOOKUP(Tableau119[[#This Row],[Key(ID-date)]],'DATA BTO'!S:S,'DATA BTO'!K:K,FALSE)</f>
        <v>0</v>
      </c>
      <c r="AJ693" s="50" t="b">
        <f>_xlfn.XLOOKUP(Tableau119[[#This Row],[Key(ID-date)]],'DATA BTO'!S:S,'DATA BTO'!L:L,FALSE)</f>
        <v>0</v>
      </c>
      <c r="AK693" s="53" t="b">
        <f>_xlfn.XLOOKUP(Tableau119[[#This Row],[Key(ID-date)]],'DATA BTO'!S:S,'DATA BTO'!N:N,FALSE)</f>
        <v>0</v>
      </c>
      <c r="AL693" s="54" t="e">
        <f>VLOOKUP(Tableau119[[#This Row],[Key(POD -PFI- Usine)]],'DATA Consignee'!A:F,6,FALSE)</f>
        <v>#N/A</v>
      </c>
      <c r="AM693" s="284"/>
      <c r="AN693" s="376" t="str">
        <f>IF(Tableau119[[#This Row],[Name PFI/CDD]]="","-",VLOOKUP(Tableau119[[#This Row],[Name PFI/CDD]],Plant_AILN!I:J,2,FALSE))</f>
        <v>-</v>
      </c>
      <c r="AO6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3" s="2" t="e">
        <f>VLOOKUP(Tableau119[[#This Row],[Key(POD -PFI- Usine)]],'DATA Consignee'!A:J,10,FALSE)</f>
        <v>#N/A</v>
      </c>
      <c r="AR693" s="50" t="e">
        <f>VLOOKUP(Tableau119[[#This Row],[Key(POD -PFI- Usine)]],'DATA Consignee'!A:N,14,FALSE)</f>
        <v>#N/A</v>
      </c>
      <c r="AS69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3" s="50">
        <f>Tableau119[[#This Row],[Transit time]]+Tableau119[[#This Row],[Time for security]]+Tableau119[[#This Row],[Time for security2 buffer]]</f>
        <v>0</v>
      </c>
      <c r="AV6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3" s="50" t="e">
        <f>Tableau119[[#This Row],[Leadtime SI2C]]+Tableau119[[#This Row],[First Receipt Days]]-Tableau119[[#This Row],[Day Customer Order]]+1</f>
        <v>#N/A</v>
      </c>
      <c r="AX693" s="119" t="e">
        <f>IF(Tableau119[[#This Row],[Name ILN]]&lt;&gt;"SFK Freight Forwarder",Tableau119[[#This Row],[Cust. Leadtime]],Tableau119[[#This Row],[Leadtime SI2C]])</f>
        <v>#N/A</v>
      </c>
      <c r="AY693" s="51" t="b">
        <f>_xlfn.XLOOKUP(Tableau119[[#This Row],[Key(ID-date)]],'DATA BTO'!S:S,'DATA BTO'!P:P,FALSE)</f>
        <v>0</v>
      </c>
      <c r="AZ693" s="338">
        <v>46142</v>
      </c>
      <c r="BA693" s="50"/>
    </row>
    <row r="694" spans="2:53">
      <c r="B694" s="66" t="str">
        <f>_xlfn.CONCAT(Tableau119[[#This Row],[Name ILN]],"-",Tableau119[[#This Row],[Name Shipper]],"-",Tableau119[[#This Row],[Name Site]])</f>
        <v>ILN Delhi-ILN Delhi-TANGER</v>
      </c>
      <c r="C694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94" s="66" t="str">
        <f>_xlfn.CONCAT(Tableau119[[#This Row],[Compte ILN]],"-",Tableau119[[#This Row],[Compte Shipper]],"-",Tableau119[[#This Row],[POL]])</f>
        <v>2533780535-2533780535-FALSO</v>
      </c>
      <c r="E694" s="130" t="str">
        <f>_xlfn.CONCAT(Tableau119[[#This Row],[POL]],"-",Tableau119[[#This Row],[Carrier]],"-",Tableau119[[#This Row],[POD]])</f>
        <v>FALSO-FALSO-FALSO</v>
      </c>
      <c r="F694" s="66" t="str">
        <f>_xlfn.CONCAT(Tableau119[[#This Row],[ID]],"-","Actif")</f>
        <v>421-Actif</v>
      </c>
      <c r="G694" s="66" t="str">
        <f>_xlfn.CONCAT(Tableau119[[#This Row],[POD]],"-",Tableau119[[#This Row],[Code PFI]],"-",Tableau119[[#This Row],[Compte Consignee]])</f>
        <v>FALSO---900383</v>
      </c>
      <c r="H6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DelhiFALSOTANGER</v>
      </c>
      <c r="I694" s="434" t="str">
        <f>_xlfn.CONCAT(Tableau119[[#This Row],[ID]],"-",Tableau119[[#This Row],[Expiration Date]])</f>
        <v>421-46142</v>
      </c>
      <c r="J6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Delhi-ILN Delhi-421-FALSO-FALSO-FALSO--46142</v>
      </c>
      <c r="K694" s="119" t="str">
        <f ca="1">IF(COUNTIF(J:J,Tableau119[[#This Row],[Plant-ILN-shipper-POL-Carrier-POD-PFI]])=1,"Non","Oui")</f>
        <v>Non</v>
      </c>
      <c r="L694" s="436" t="str">
        <f>VLOOKUP(Tableau119[[#This Row],[Name Site]],Plant_AILN!A:D,4,FALSE)</f>
        <v>MOROCCO</v>
      </c>
      <c r="M694" s="285" t="s">
        <v>180</v>
      </c>
      <c r="N694" s="454">
        <f>VLOOKUP(Tableau119[[#This Row],[Name Site]],Plant_AILN!A:C,3,FALSE)</f>
        <v>900383</v>
      </c>
      <c r="O694" s="55">
        <f>IF(Tableau119[[#This Row],[Name PFI/CDD]]="PFI VLL",2,VLOOKUP(Tableau119[[#This Row],[Compte Consignee]],Order!C:D,2,FALSE))</f>
        <v>7</v>
      </c>
      <c r="P694" s="124" t="s">
        <v>284</v>
      </c>
      <c r="Q694" s="365">
        <f>VLOOKUP(Tableau119[[#This Row],[Name ILN]],Plant_AILN!F:G,2,FALSE)</f>
        <v>2533780535</v>
      </c>
      <c r="R694" s="50">
        <f>VLOOKUP(Tableau119[[#This Row],[Compte ILN]],'DATA ILN'!D:I,6,FALSE)</f>
        <v>9</v>
      </c>
      <c r="S694" s="50" t="e">
        <f>IFERROR(VLOOKUP(Tableau119[[#This Row],[Key(Compte ILN - shipper - POL - plant)]],'DATA ILN'!A:J,10,FALSE),VLOOKUP(Tableau119[[#This Row],[Key(Compte ILN - shipper - POL)]],'DATA ILN'!B:J,9,FALSE))</f>
        <v>#N/A</v>
      </c>
      <c r="T694" s="50" t="e">
        <f>IFERROR(VLOOKUP(Tableau119[[#This Row],[Key(Compte ILN - shipper - POL - plant)]],'DATA ILN'!A:K,11,FALSE),VLOOKUP(Tableau119[[#This Row],[Key(Compte ILN - shipper - POL)]],'DATA ILN'!B:K,10,FALSE))</f>
        <v>#N/A</v>
      </c>
      <c r="U694" s="50" t="e">
        <f>IFERROR(VLOOKUP(Tableau119[[#This Row],[Key(Compte ILN - shipper - POL - plant)]],'DATA ILN'!A:L,12,FALSE),VLOOKUP(Tableau119[[#This Row],[Key(Compte ILN - shipper - POL)]],'DATA ILN'!B:L,11,FALSE))</f>
        <v>#N/A</v>
      </c>
      <c r="V694" s="50" t="e">
        <f>Tableau119[[#This Row],[Day ILN Order]]+Tableau119[[#This Row],[Delivery time to ILN/Shipper]]-1</f>
        <v>#N/A</v>
      </c>
      <c r="W694" s="50" t="e">
        <f>IFERROR(VLOOKUP(Tableau119[[#This Row],[Key(Compte ILN - shipper - POL - plant)]],'DATA ILN'!A:N,14,FALSE),VLOOKUP(Tableau119[[#This Row],[Key(Compte ILN - shipper - POL)]],'DATA ILN'!B:N,13,FALSE))</f>
        <v>#N/A</v>
      </c>
      <c r="X694" s="50" t="e">
        <f>IFERROR(VLOOKUP(Tableau119[[#This Row],[Key(Compte ILN - shipper - POL - plant)]],'DATA ILN'!A:P,16,FALSE),VLOOKUP(Tableau119[[#This Row],[Key(Compte ILN - shipper - POL)]],'DATA ILN'!B:P,15,FALSE))</f>
        <v>#N/A</v>
      </c>
      <c r="Y694" s="284" t="s">
        <v>284</v>
      </c>
      <c r="Z694" s="430">
        <f>IFERROR(VLOOKUP(Tableau119[[#This Row],[Name Shipper]],Plant_AILN!L:M,2,FALSE),0)</f>
        <v>2533780535</v>
      </c>
      <c r="AA694" s="406">
        <v>421</v>
      </c>
      <c r="AB694" s="396" t="b">
        <f>_xlfn.XLOOKUP(Tableau119[[#This Row],[Key(ID-date)]],'DATA BTO'!S:S,'DATA BTO'!E:E,FALSE)</f>
        <v>0</v>
      </c>
      <c r="AC694" s="3" t="b">
        <f>_xlfn.XLOOKUP(Tableau119[[#This Row],[Key(ID-date)]],'DATA BTO'!S:S,'DATA BTO'!F:F,FALSE)</f>
        <v>0</v>
      </c>
      <c r="AD694" s="50" t="b">
        <f>_xlfn.XLOOKUP(Tableau119[[#This Row],[Key(ID-date)]],'DATA BTO'!S:S,'DATA BTO'!G:G,FALSE)</f>
        <v>0</v>
      </c>
      <c r="AE694" s="50" t="b">
        <f>_xlfn.XLOOKUP(Tableau119[[#This Row],[Key(ID-date)]],'DATA BTO'!S:S,'DATA BTO'!H:H,FALSE)</f>
        <v>0</v>
      </c>
      <c r="AF694" s="447" t="e">
        <f>IF(Tableau119[[#This Row],[First Day to POL]]&lt;=Tableau119[[#This Row],[Day Cut Off]],Tableau119[[#This Row],[Day ETD]],Tableau119[[#This Row],[Day ETD]]+7)</f>
        <v>#N/A</v>
      </c>
      <c r="AG694" s="50" t="b">
        <f>_xlfn.XLOOKUP(Tableau119[[#This Row],[Key(ID-date)]],'DATA BTO'!S:S,'DATA BTO'!I:I,FALSE)</f>
        <v>0</v>
      </c>
      <c r="AH694" s="3" t="b">
        <f>_xlfn.XLOOKUP(Tableau119[[#This Row],[Key(ID-date)]],'DATA BTO'!S:S,'DATA BTO'!J:J,FALSE)</f>
        <v>0</v>
      </c>
      <c r="AI694" s="3" t="b">
        <f>_xlfn.XLOOKUP(Tableau119[[#This Row],[Key(ID-date)]],'DATA BTO'!S:S,'DATA BTO'!K:K,FALSE)</f>
        <v>0</v>
      </c>
      <c r="AJ694" s="50" t="b">
        <f>_xlfn.XLOOKUP(Tableau119[[#This Row],[Key(ID-date)]],'DATA BTO'!S:S,'DATA BTO'!L:L,FALSE)</f>
        <v>0</v>
      </c>
      <c r="AK694" s="53" t="b">
        <f>_xlfn.XLOOKUP(Tableau119[[#This Row],[Key(ID-date)]],'DATA BTO'!S:S,'DATA BTO'!N:N,FALSE)</f>
        <v>0</v>
      </c>
      <c r="AL694" s="54" t="e">
        <f>VLOOKUP(Tableau119[[#This Row],[Key(POD -PFI- Usine)]],'DATA Consignee'!A:F,6,FALSE)</f>
        <v>#N/A</v>
      </c>
      <c r="AM694" s="284"/>
      <c r="AN694" s="376" t="str">
        <f>IF(Tableau119[[#This Row],[Name PFI/CDD]]="","-",VLOOKUP(Tableau119[[#This Row],[Name PFI/CDD]],Plant_AILN!I:J,2,FALSE))</f>
        <v>-</v>
      </c>
      <c r="AO6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4" s="2" t="e">
        <f>VLOOKUP(Tableau119[[#This Row],[Key(POD -PFI- Usine)]],'DATA Consignee'!A:J,10,FALSE)</f>
        <v>#N/A</v>
      </c>
      <c r="AR694" s="50" t="e">
        <f>VLOOKUP(Tableau119[[#This Row],[Key(POD -PFI- Usine)]],'DATA Consignee'!A:N,14,FALSE)</f>
        <v>#N/A</v>
      </c>
      <c r="AS69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4" s="50">
        <f>Tableau119[[#This Row],[Transit time]]+Tableau119[[#This Row],[Time for security]]+Tableau119[[#This Row],[Time for security2 buffer]]</f>
        <v>0</v>
      </c>
      <c r="AV6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4" s="50" t="e">
        <f>Tableau119[[#This Row],[Leadtime SI2C]]+Tableau119[[#This Row],[First Receipt Days]]-Tableau119[[#This Row],[Day Customer Order]]+1</f>
        <v>#N/A</v>
      </c>
      <c r="AX694" s="119" t="e">
        <f>IF(Tableau119[[#This Row],[Name ILN]]&lt;&gt;"SFK Freight Forwarder",Tableau119[[#This Row],[Cust. Leadtime]],Tableau119[[#This Row],[Leadtime SI2C]])</f>
        <v>#N/A</v>
      </c>
      <c r="AY694" s="51" t="b">
        <f>_xlfn.XLOOKUP(Tableau119[[#This Row],[Key(ID-date)]],'DATA BTO'!S:S,'DATA BTO'!P:P,FALSE)</f>
        <v>0</v>
      </c>
      <c r="AZ694" s="338">
        <v>46142</v>
      </c>
      <c r="BA694" s="50"/>
    </row>
    <row r="695" spans="2:53">
      <c r="B695" s="446" t="str">
        <f>_xlfn.CONCAT(Tableau119[[#This Row],[Name ILN]],"-",Tableau119[[#This Row],[Name Shipper]],"-",Tableau119[[#This Row],[Name Site]])</f>
        <v>ILN Delhi-ILN Delhi-SOMACA</v>
      </c>
      <c r="C695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95" s="66" t="str">
        <f>_xlfn.CONCAT(Tableau119[[#This Row],[Compte ILN]],"-",Tableau119[[#This Row],[Compte Shipper]],"-",Tableau119[[#This Row],[POL]])</f>
        <v>2533780535-2533780535-FALSO</v>
      </c>
      <c r="E695" s="130" t="str">
        <f>_xlfn.CONCAT(Tableau119[[#This Row],[POL]],"-",Tableau119[[#This Row],[Carrier]],"-",Tableau119[[#This Row],[POD]])</f>
        <v>FALSO-FALSO-FALSO</v>
      </c>
      <c r="F695" s="66" t="str">
        <f>_xlfn.CONCAT(Tableau119[[#This Row],[ID]],"-","Actif")</f>
        <v>421-Actif</v>
      </c>
      <c r="G695" s="66" t="str">
        <f>_xlfn.CONCAT(Tableau119[[#This Row],[POD]],"-",Tableau119[[#This Row],[Code PFI]],"-",Tableau119[[#This Row],[Compte Consignee]])</f>
        <v>FALSO---90038200</v>
      </c>
      <c r="H6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DelhiFALSOSOMACA</v>
      </c>
      <c r="I695" s="434" t="str">
        <f>_xlfn.CONCAT(Tableau119[[#This Row],[ID]],"-",Tableau119[[#This Row],[Expiration Date]])</f>
        <v>421-45777</v>
      </c>
      <c r="J6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Delhi-ILN Delhi-421-FALSO-FALSO-FALSO--45777</v>
      </c>
      <c r="K695" s="119" t="str">
        <f ca="1">IF(COUNTIF(J:J,Tableau119[[#This Row],[Plant-ILN-shipper-POL-Carrier-POD-PFI]])=1,"Non","Oui")</f>
        <v>Non</v>
      </c>
      <c r="L695" s="128" t="str">
        <f>VLOOKUP(Tableau119[[#This Row],[Name Site]],Plant_AILN!A:D,4,FALSE)</f>
        <v>MOROCCO</v>
      </c>
      <c r="M695" s="415" t="s">
        <v>179</v>
      </c>
      <c r="N695" s="455">
        <f>VLOOKUP(Tableau119[[#This Row],[Name Site]],Plant_AILN!A:C,3,FALSE)</f>
        <v>90038200</v>
      </c>
      <c r="O695" s="104">
        <f>VLOOKUP(Tableau119[[#This Row],[Compte Consignee]],Order!C:D,2,FALSE)</f>
        <v>7</v>
      </c>
      <c r="P695" s="126" t="s">
        <v>284</v>
      </c>
      <c r="Q695" s="366">
        <f>VLOOKUP(Tableau119[[#This Row],[Name ILN]],Plant_AILN!F:G,2,FALSE)</f>
        <v>2533780535</v>
      </c>
      <c r="R695" s="81">
        <f>VLOOKUP(Tableau119[[#This Row],[Compte ILN]],'DATA ILN'!D:I,6,FALSE)</f>
        <v>9</v>
      </c>
      <c r="S695" s="81" t="e">
        <f>IFERROR(VLOOKUP(Tableau119[[#This Row],[Key(Compte ILN - shipper - POL - plant)]],'DATA ILN'!A:J,10,FALSE),VLOOKUP(Tableau119[[#This Row],[Key(Compte ILN - shipper - POL)]],'DATA ILN'!B:J,9,FALSE))</f>
        <v>#N/A</v>
      </c>
      <c r="T695" s="81" t="e">
        <f>IFERROR(VLOOKUP(Tableau119[[#This Row],[Key(Compte ILN - shipper - POL - plant)]],'DATA ILN'!A:K,11,FALSE),VLOOKUP(Tableau119[[#This Row],[Key(Compte ILN - shipper - POL)]],'DATA ILN'!B:K,10,FALSE))</f>
        <v>#N/A</v>
      </c>
      <c r="U695" s="81" t="e">
        <f>IFERROR(VLOOKUP(Tableau119[[#This Row],[Key(Compte ILN - shipper - POL - plant)]],'DATA ILN'!A:L,12,FALSE),VLOOKUP(Tableau119[[#This Row],[Key(Compte ILN - shipper - POL)]],'DATA ILN'!B:L,11,FALSE))</f>
        <v>#N/A</v>
      </c>
      <c r="V695" s="81" t="e">
        <f>Tableau119[[#This Row],[Day ILN Order]]+Tableau119[[#This Row],[Delivery time to ILN/Shipper]]-1</f>
        <v>#N/A</v>
      </c>
      <c r="W695" s="81" t="e">
        <f>IFERROR(VLOOKUP(Tableau119[[#This Row],[Key(Compte ILN - shipper - POL - plant)]],'DATA ILN'!A:N,14,FALSE),VLOOKUP(Tableau119[[#This Row],[Key(Compte ILN - shipper - POL)]],'DATA ILN'!B:N,13,FALSE))</f>
        <v>#N/A</v>
      </c>
      <c r="X695" s="81" t="e">
        <f>IFERROR(VLOOKUP(Tableau119[[#This Row],[Key(Compte ILN - shipper - POL - plant)]],'DATA ILN'!A:P,16,FALSE),VLOOKUP(Tableau119[[#This Row],[Key(Compte ILN - shipper - POL)]],'DATA ILN'!B:P,15,FALSE))</f>
        <v>#N/A</v>
      </c>
      <c r="Y695" s="102" t="s">
        <v>284</v>
      </c>
      <c r="Z695" s="417">
        <f>IFERROR(VLOOKUP(Tableau119[[#This Row],[Name Shipper]],Plant_AILN!L:M,2,FALSE),0)</f>
        <v>2533780535</v>
      </c>
      <c r="AA695" s="416">
        <v>421</v>
      </c>
      <c r="AB695" s="396" t="b">
        <f>_xlfn.XLOOKUP(Tableau119[[#This Row],[Key(ID-date)]],'DATA BTO'!S:S,'DATA BTO'!E:E,FALSE)</f>
        <v>0</v>
      </c>
      <c r="AC695" s="3" t="b">
        <f>_xlfn.XLOOKUP(Tableau119[[#This Row],[Key(ID-date)]],'DATA BTO'!S:S,'DATA BTO'!F:F,FALSE)</f>
        <v>0</v>
      </c>
      <c r="AD695" s="50" t="b">
        <f>_xlfn.XLOOKUP(Tableau119[[#This Row],[Key(ID-date)]],'DATA BTO'!S:S,'DATA BTO'!G:G,FALSE)</f>
        <v>0</v>
      </c>
      <c r="AE695" s="50" t="b">
        <f>_xlfn.XLOOKUP(Tableau119[[#This Row],[Key(ID-date)]],'DATA BTO'!S:S,'DATA BTO'!H:H,FALSE)</f>
        <v>0</v>
      </c>
      <c r="AF695" s="447" t="e">
        <f>IF(Tableau119[[#This Row],[First Day to POL]]&lt;=Tableau119[[#This Row],[Day Cut Off]],Tableau119[[#This Row],[Day ETD]],Tableau119[[#This Row],[Day ETD]]+7)</f>
        <v>#N/A</v>
      </c>
      <c r="AG695" s="50" t="b">
        <f>_xlfn.XLOOKUP(Tableau119[[#This Row],[Key(ID-date)]],'DATA BTO'!S:S,'DATA BTO'!I:I,FALSE)</f>
        <v>0</v>
      </c>
      <c r="AH695" s="3" t="b">
        <f>_xlfn.XLOOKUP(Tableau119[[#This Row],[Key(ID-date)]],'DATA BTO'!S:S,'DATA BTO'!J:J,FALSE)</f>
        <v>0</v>
      </c>
      <c r="AI695" s="3" t="b">
        <f>_xlfn.XLOOKUP(Tableau119[[#This Row],[Key(ID-date)]],'DATA BTO'!S:S,'DATA BTO'!K:K,FALSE)</f>
        <v>0</v>
      </c>
      <c r="AJ695" s="50" t="b">
        <f>_xlfn.XLOOKUP(Tableau119[[#This Row],[Key(ID-date)]],'DATA BTO'!S:S,'DATA BTO'!L:L,FALSE)</f>
        <v>0</v>
      </c>
      <c r="AK695" s="53" t="b">
        <f>_xlfn.XLOOKUP(Tableau119[[#This Row],[Key(ID-date)]],'DATA BTO'!S:S,'DATA BTO'!N:N,FALSE)</f>
        <v>0</v>
      </c>
      <c r="AL695" s="54" t="e">
        <f>VLOOKUP(Tableau119[[#This Row],[Key(POD -PFI- Usine)]],'DATA Consignee'!A:F,6,FALSE)</f>
        <v>#N/A</v>
      </c>
      <c r="AM695" s="102"/>
      <c r="AN695" s="375" t="str">
        <f>IF(Tableau119[[#This Row],[Name PFI/CDD]]="","-",VLOOKUP(Tableau119[[#This Row],[Name PFI/CDD]],Plant_AILN!I:J,2,FALSE))</f>
        <v>-</v>
      </c>
      <c r="AO69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5" s="110" t="e">
        <f>VLOOKUP(Tableau119[[#This Row],[Key(POD -PFI- Usine)]],'DATA Consignee'!A:J,10,FALSE)</f>
        <v>#N/A</v>
      </c>
      <c r="AR695" s="81" t="e">
        <f>VLOOKUP(Tableau119[[#This Row],[Key(POD -PFI- Usine)]],'DATA Consignee'!A:N,14,FALSE)</f>
        <v>#N/A</v>
      </c>
      <c r="AS69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5" s="81">
        <f>Tableau119[[#This Row],[Transit time]]+Tableau119[[#This Row],[Time for security]]+Tableau119[[#This Row],[Time for security2 buffer]]</f>
        <v>0</v>
      </c>
      <c r="AV6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5" s="50" t="e">
        <f>Tableau119[[#This Row],[Leadtime SI2C]]+Tableau119[[#This Row],[First Receipt Days]]-Tableau119[[#This Row],[Day Customer Order]]+1</f>
        <v>#N/A</v>
      </c>
      <c r="AX695" s="119" t="e">
        <f>IF(Tableau119[[#This Row],[Name ILN]]&lt;&gt;"SFK Freight Forwarder",Tableau119[[#This Row],[Cust. Leadtime]],Tableau119[[#This Row],[Leadtime SI2C]])</f>
        <v>#N/A</v>
      </c>
      <c r="AY695" s="51" t="b">
        <f>_xlfn.XLOOKUP(Tableau119[[#This Row],[Key(ID-date)]],'DATA BTO'!S:S,'DATA BTO'!P:P,FALSE)</f>
        <v>0</v>
      </c>
      <c r="AZ695" s="388">
        <v>45777</v>
      </c>
      <c r="BA695" s="81"/>
    </row>
    <row r="696" spans="2:53">
      <c r="B696" s="446" t="str">
        <f>_xlfn.CONCAT(Tableau119[[#This Row],[Name ILN]],"-",Tableau119[[#This Row],[Name Shipper]],"-",Tableau119[[#This Row],[Name Site]])</f>
        <v>ILN Delhi-ILN Delhi-TANGER</v>
      </c>
      <c r="C696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96" s="66" t="str">
        <f>_xlfn.CONCAT(Tableau119[[#This Row],[Compte ILN]],"-",Tableau119[[#This Row],[Compte Shipper]],"-",Tableau119[[#This Row],[POL]])</f>
        <v>2533780535-2533780535-FALSO</v>
      </c>
      <c r="E696" s="130" t="str">
        <f>_xlfn.CONCAT(Tableau119[[#This Row],[POL]],"-",Tableau119[[#This Row],[Carrier]],"-",Tableau119[[#This Row],[POD]])</f>
        <v>FALSO-FALSO-FALSO</v>
      </c>
      <c r="F696" s="66" t="str">
        <f>_xlfn.CONCAT(Tableau119[[#This Row],[ID]],"-","Actif")</f>
        <v>421-Actif</v>
      </c>
      <c r="G696" s="66" t="str">
        <f>_xlfn.CONCAT(Tableau119[[#This Row],[POD]],"-",Tableau119[[#This Row],[Code PFI]],"-",Tableau119[[#This Row],[Compte Consignee]])</f>
        <v>FALSO---900383</v>
      </c>
      <c r="H6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DelhiFALSOTANGER</v>
      </c>
      <c r="I696" s="434" t="str">
        <f>_xlfn.CONCAT(Tableau119[[#This Row],[ID]],"-",Tableau119[[#This Row],[Expiration Date]])</f>
        <v>421-45777</v>
      </c>
      <c r="J6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Delhi-ILN Delhi-421-FALSO-FALSO-FALSO--45777</v>
      </c>
      <c r="K696" s="119" t="str">
        <f ca="1">IF(COUNTIF(J:J,Tableau119[[#This Row],[Plant-ILN-shipper-POL-Carrier-POD-PFI]])=1,"Non","Oui")</f>
        <v>Non</v>
      </c>
      <c r="L696" s="128" t="str">
        <f>VLOOKUP(Tableau119[[#This Row],[Name Site]],Plant_AILN!A:D,4,FALSE)</f>
        <v>MOROCCO</v>
      </c>
      <c r="M696" s="411" t="s">
        <v>180</v>
      </c>
      <c r="N696" s="454">
        <f>VLOOKUP(Tableau119[[#This Row],[Name Site]],Plant_AILN!A:C,3,FALSE)</f>
        <v>900383</v>
      </c>
      <c r="O696" s="55">
        <f>VLOOKUP(Tableau119[[#This Row],[Compte Consignee]],Order!C:D,2,FALSE)</f>
        <v>7</v>
      </c>
      <c r="P696" s="124" t="s">
        <v>284</v>
      </c>
      <c r="Q696" s="365">
        <f>VLOOKUP(Tableau119[[#This Row],[Name ILN]],Plant_AILN!F:G,2,FALSE)</f>
        <v>2533780535</v>
      </c>
      <c r="R696" s="50">
        <f>VLOOKUP(Tableau119[[#This Row],[Compte ILN]],'DATA ILN'!D:I,6,FALSE)</f>
        <v>9</v>
      </c>
      <c r="S696" s="50" t="e">
        <f>IFERROR(VLOOKUP(Tableau119[[#This Row],[Key(Compte ILN - shipper - POL - plant)]],'DATA ILN'!A:J,10,FALSE),VLOOKUP(Tableau119[[#This Row],[Key(Compte ILN - shipper - POL)]],'DATA ILN'!B:J,9,FALSE))</f>
        <v>#N/A</v>
      </c>
      <c r="T696" s="50" t="e">
        <f>IFERROR(VLOOKUP(Tableau119[[#This Row],[Key(Compte ILN - shipper - POL - plant)]],'DATA ILN'!A:K,11,FALSE),VLOOKUP(Tableau119[[#This Row],[Key(Compte ILN - shipper - POL)]],'DATA ILN'!B:K,10,FALSE))</f>
        <v>#N/A</v>
      </c>
      <c r="U696" s="50" t="e">
        <f>IFERROR(VLOOKUP(Tableau119[[#This Row],[Key(Compte ILN - shipper - POL - plant)]],'DATA ILN'!A:L,12,FALSE),VLOOKUP(Tableau119[[#This Row],[Key(Compte ILN - shipper - POL)]],'DATA ILN'!B:L,11,FALSE))</f>
        <v>#N/A</v>
      </c>
      <c r="V696" s="50" t="e">
        <f>Tableau119[[#This Row],[Day ILN Order]]+Tableau119[[#This Row],[Delivery time to ILN/Shipper]]-1</f>
        <v>#N/A</v>
      </c>
      <c r="W696" s="50" t="e">
        <f>IFERROR(VLOOKUP(Tableau119[[#This Row],[Key(Compte ILN - shipper - POL - plant)]],'DATA ILN'!A:N,14,FALSE),VLOOKUP(Tableau119[[#This Row],[Key(Compte ILN - shipper - POL)]],'DATA ILN'!B:N,13,FALSE))</f>
        <v>#N/A</v>
      </c>
      <c r="X696" s="50" t="e">
        <f>IFERROR(VLOOKUP(Tableau119[[#This Row],[Key(Compte ILN - shipper - POL - plant)]],'DATA ILN'!A:P,16,FALSE),VLOOKUP(Tableau119[[#This Row],[Key(Compte ILN - shipper - POL)]],'DATA ILN'!B:P,15,FALSE))</f>
        <v>#N/A</v>
      </c>
      <c r="Y696" s="284" t="s">
        <v>284</v>
      </c>
      <c r="Z696" s="430">
        <f>IFERROR(VLOOKUP(Tableau119[[#This Row],[Name Shipper]],Plant_AILN!L:M,2,FALSE),0)</f>
        <v>2533780535</v>
      </c>
      <c r="AA696" s="406">
        <v>421</v>
      </c>
      <c r="AB696" s="396" t="b">
        <f>_xlfn.XLOOKUP(Tableau119[[#This Row],[Key(ID-date)]],'DATA BTO'!S:S,'DATA BTO'!E:E,FALSE)</f>
        <v>0</v>
      </c>
      <c r="AC696" s="3" t="b">
        <f>_xlfn.XLOOKUP(Tableau119[[#This Row],[Key(ID-date)]],'DATA BTO'!S:S,'DATA BTO'!F:F,FALSE)</f>
        <v>0</v>
      </c>
      <c r="AD696" s="50" t="b">
        <f>_xlfn.XLOOKUP(Tableau119[[#This Row],[Key(ID-date)]],'DATA BTO'!S:S,'DATA BTO'!G:G,FALSE)</f>
        <v>0</v>
      </c>
      <c r="AE696" s="50" t="b">
        <f>_xlfn.XLOOKUP(Tableau119[[#This Row],[Key(ID-date)]],'DATA BTO'!S:S,'DATA BTO'!H:H,FALSE)</f>
        <v>0</v>
      </c>
      <c r="AF696" s="447" t="e">
        <f>IF(Tableau119[[#This Row],[First Day to POL]]&lt;=Tableau119[[#This Row],[Day Cut Off]],Tableau119[[#This Row],[Day ETD]],Tableau119[[#This Row],[Day ETD]]+7)</f>
        <v>#N/A</v>
      </c>
      <c r="AG696" s="50" t="b">
        <f>_xlfn.XLOOKUP(Tableau119[[#This Row],[Key(ID-date)]],'DATA BTO'!S:S,'DATA BTO'!I:I,FALSE)</f>
        <v>0</v>
      </c>
      <c r="AH696" s="3" t="b">
        <f>_xlfn.XLOOKUP(Tableau119[[#This Row],[Key(ID-date)]],'DATA BTO'!S:S,'DATA BTO'!J:J,FALSE)</f>
        <v>0</v>
      </c>
      <c r="AI696" s="3" t="b">
        <f>_xlfn.XLOOKUP(Tableau119[[#This Row],[Key(ID-date)]],'DATA BTO'!S:S,'DATA BTO'!K:K,FALSE)</f>
        <v>0</v>
      </c>
      <c r="AJ696" s="50" t="b">
        <f>_xlfn.XLOOKUP(Tableau119[[#This Row],[Key(ID-date)]],'DATA BTO'!S:S,'DATA BTO'!L:L,FALSE)</f>
        <v>0</v>
      </c>
      <c r="AK696" s="53" t="b">
        <f>_xlfn.XLOOKUP(Tableau119[[#This Row],[Key(ID-date)]],'DATA BTO'!S:S,'DATA BTO'!N:N,FALSE)</f>
        <v>0</v>
      </c>
      <c r="AL696" s="54" t="e">
        <f>VLOOKUP(Tableau119[[#This Row],[Key(POD -PFI- Usine)]],'DATA Consignee'!A:F,6,FALSE)</f>
        <v>#N/A</v>
      </c>
      <c r="AM696" s="127"/>
      <c r="AN696" s="376" t="str">
        <f>IF(Tableau119[[#This Row],[Name PFI/CDD]]="","-",VLOOKUP(Tableau119[[#This Row],[Name PFI/CDD]],Plant_AILN!I:J,2,FALSE))</f>
        <v>-</v>
      </c>
      <c r="AO6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6" s="2" t="e">
        <f>VLOOKUP(Tableau119[[#This Row],[Key(POD -PFI- Usine)]],'DATA Consignee'!A:J,10,FALSE)</f>
        <v>#N/A</v>
      </c>
      <c r="AR696" s="50" t="e">
        <f>VLOOKUP(Tableau119[[#This Row],[Key(POD -PFI- Usine)]],'DATA Consignee'!A:N,14,FALSE)</f>
        <v>#N/A</v>
      </c>
      <c r="AS69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6" s="50">
        <f>Tableau119[[#This Row],[Transit time]]+Tableau119[[#This Row],[Time for security]]+Tableau119[[#This Row],[Time for security2 buffer]]</f>
        <v>0</v>
      </c>
      <c r="AV6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6" s="50" t="e">
        <f>Tableau119[[#This Row],[Leadtime SI2C]]+Tableau119[[#This Row],[First Receipt Days]]-Tableau119[[#This Row],[Day Customer Order]]+1</f>
        <v>#N/A</v>
      </c>
      <c r="AX696" s="119" t="e">
        <f>IF(Tableau119[[#This Row],[Name ILN]]&lt;&gt;"SFK Freight Forwarder",Tableau119[[#This Row],[Cust. Leadtime]],Tableau119[[#This Row],[Leadtime SI2C]])</f>
        <v>#N/A</v>
      </c>
      <c r="AY696" s="51" t="b">
        <f>_xlfn.XLOOKUP(Tableau119[[#This Row],[Key(ID-date)]],'DATA BTO'!S:S,'DATA BTO'!P:P,FALSE)</f>
        <v>0</v>
      </c>
      <c r="AZ696" s="338">
        <v>45777</v>
      </c>
      <c r="BA696" s="50"/>
    </row>
    <row r="697" spans="2:53">
      <c r="B697" s="446" t="str">
        <f>_xlfn.CONCAT(Tableau119[[#This Row],[Name ILN]],"-",Tableau119[[#This Row],[Name Shipper]],"-",Tableau119[[#This Row],[Name Site]])</f>
        <v>ILN Delhi-ILN Delhi-SOMACA</v>
      </c>
      <c r="C697" s="66" t="str">
        <f>_xlfn.CONCAT(Tableau119[[#This Row],[Compte ILN]],"-",Tableau119[[#This Row],[Compte Shipper]],"-",Tableau119[[#This Row],[POL]],"-",Tableau119[[#This Row],[Compte Consignee]])</f>
        <v>2533780535-2533780535-FALSO-90038200</v>
      </c>
      <c r="D697" s="66" t="str">
        <f>_xlfn.CONCAT(Tableau119[[#This Row],[Compte ILN]],"-",Tableau119[[#This Row],[Compte Shipper]],"-",Tableau119[[#This Row],[POL]])</f>
        <v>2533780535-2533780535-FALSO</v>
      </c>
      <c r="E697" s="130" t="str">
        <f>_xlfn.CONCAT(Tableau119[[#This Row],[POL]],"-",Tableau119[[#This Row],[Carrier]],"-",Tableau119[[#This Row],[POD]])</f>
        <v>FALSO-FALSO-FALSO</v>
      </c>
      <c r="F697" s="66" t="str">
        <f>_xlfn.CONCAT(Tableau119[[#This Row],[ID]],"-","Actif")</f>
        <v>421-Actif</v>
      </c>
      <c r="G697" s="66" t="str">
        <f>_xlfn.CONCAT(Tableau119[[#This Row],[POD]],"-",Tableau119[[#This Row],[Code PFI]],"-",Tableau119[[#This Row],[Compte Consignee]])</f>
        <v>FALSO---90038200</v>
      </c>
      <c r="H6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DelhiFALSOSOMACA</v>
      </c>
      <c r="I697" s="434" t="str">
        <f>_xlfn.CONCAT(Tableau119[[#This Row],[ID]],"-",Tableau119[[#This Row],[Expiration Date]])</f>
        <v>421-45473</v>
      </c>
      <c r="J6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Delhi-ILN Delhi-421-FALSO-FALSO-FALSO--45473</v>
      </c>
      <c r="K697" s="119" t="str">
        <f ca="1">IF(COUNTIF(J:J,Tableau119[[#This Row],[Plant-ILN-shipper-POL-Carrier-POD-PFI]])=1,"Non","Oui")</f>
        <v>Non</v>
      </c>
      <c r="L697" s="128" t="str">
        <f>VLOOKUP(Tableau119[[#This Row],[Name Site]],Plant_AILN!A:D,4,FALSE)</f>
        <v>MOROCCO</v>
      </c>
      <c r="M697" s="411" t="s">
        <v>179</v>
      </c>
      <c r="N697" s="454">
        <f>VLOOKUP(Tableau119[[#This Row],[Name Site]],Plant_AILN!A:C,3,FALSE)</f>
        <v>90038200</v>
      </c>
      <c r="O697" s="55">
        <f>VLOOKUP(Tableau119[[#This Row],[Compte Consignee]],Order!C:D,2,FALSE)</f>
        <v>7</v>
      </c>
      <c r="P697" s="124" t="s">
        <v>284</v>
      </c>
      <c r="Q697" s="365">
        <f>VLOOKUP(Tableau119[[#This Row],[Name ILN]],Plant_AILN!F:G,2,FALSE)</f>
        <v>2533780535</v>
      </c>
      <c r="R697" s="50">
        <f>VLOOKUP(Tableau119[[#This Row],[Compte ILN]],'DATA ILN'!D:I,6,FALSE)</f>
        <v>9</v>
      </c>
      <c r="S697" s="50" t="e">
        <f>IFERROR(VLOOKUP(Tableau119[[#This Row],[Key(Compte ILN - shipper - POL - plant)]],'DATA ILN'!A:J,10,FALSE),VLOOKUP(Tableau119[[#This Row],[Key(Compte ILN - shipper - POL)]],'DATA ILN'!B:J,9,FALSE))</f>
        <v>#N/A</v>
      </c>
      <c r="T697" s="50" t="e">
        <f>IFERROR(VLOOKUP(Tableau119[[#This Row],[Key(Compte ILN - shipper - POL - plant)]],'DATA ILN'!A:K,11,FALSE),VLOOKUP(Tableau119[[#This Row],[Key(Compte ILN - shipper - POL)]],'DATA ILN'!B:K,10,FALSE))</f>
        <v>#N/A</v>
      </c>
      <c r="U697" s="50" t="e">
        <f>IFERROR(VLOOKUP(Tableau119[[#This Row],[Key(Compte ILN - shipper - POL - plant)]],'DATA ILN'!A:L,12,FALSE),VLOOKUP(Tableau119[[#This Row],[Key(Compte ILN - shipper - POL)]],'DATA ILN'!B:L,11,FALSE))</f>
        <v>#N/A</v>
      </c>
      <c r="V697" s="50" t="e">
        <f>Tableau119[[#This Row],[Day ILN Order]]+Tableau119[[#This Row],[Delivery time to ILN/Shipper]]-1</f>
        <v>#N/A</v>
      </c>
      <c r="W697" s="50" t="e">
        <f>IFERROR(VLOOKUP(Tableau119[[#This Row],[Key(Compte ILN - shipper - POL - plant)]],'DATA ILN'!A:N,14,FALSE),VLOOKUP(Tableau119[[#This Row],[Key(Compte ILN - shipper - POL)]],'DATA ILN'!B:N,13,FALSE))</f>
        <v>#N/A</v>
      </c>
      <c r="X697" s="50" t="e">
        <f>IFERROR(VLOOKUP(Tableau119[[#This Row],[Key(Compte ILN - shipper - POL - plant)]],'DATA ILN'!A:P,16,FALSE),VLOOKUP(Tableau119[[#This Row],[Key(Compte ILN - shipper - POL)]],'DATA ILN'!B:P,15,FALSE))</f>
        <v>#N/A</v>
      </c>
      <c r="Y697" s="284" t="s">
        <v>284</v>
      </c>
      <c r="Z697" s="430">
        <f>IFERROR(VLOOKUP(Tableau119[[#This Row],[Name Shipper]],Plant_AILN!L:M,2,FALSE),0)</f>
        <v>2533780535</v>
      </c>
      <c r="AA697" s="406">
        <v>421</v>
      </c>
      <c r="AB697" s="396" t="b">
        <f>_xlfn.XLOOKUP(Tableau119[[#This Row],[Key(ID-date)]],'DATA BTO'!S:S,'DATA BTO'!E:E,FALSE)</f>
        <v>0</v>
      </c>
      <c r="AC697" s="3" t="b">
        <f>_xlfn.XLOOKUP(Tableau119[[#This Row],[Key(ID-date)]],'DATA BTO'!S:S,'DATA BTO'!F:F,FALSE)</f>
        <v>0</v>
      </c>
      <c r="AD697" s="50" t="b">
        <f>_xlfn.XLOOKUP(Tableau119[[#This Row],[Key(ID-date)]],'DATA BTO'!S:S,'DATA BTO'!G:G,FALSE)</f>
        <v>0</v>
      </c>
      <c r="AE697" s="50" t="b">
        <f>_xlfn.XLOOKUP(Tableau119[[#This Row],[Key(ID-date)]],'DATA BTO'!S:S,'DATA BTO'!H:H,FALSE)</f>
        <v>0</v>
      </c>
      <c r="AF697" s="447" t="e">
        <f>IF(Tableau119[[#This Row],[First Day to POL]]&lt;=Tableau119[[#This Row],[Day Cut Off]],Tableau119[[#This Row],[Day ETD]],Tableau119[[#This Row],[Day ETD]]+7)</f>
        <v>#N/A</v>
      </c>
      <c r="AG697" s="50" t="b">
        <f>_xlfn.XLOOKUP(Tableau119[[#This Row],[Key(ID-date)]],'DATA BTO'!S:S,'DATA BTO'!I:I,FALSE)</f>
        <v>0</v>
      </c>
      <c r="AH697" s="3" t="b">
        <f>_xlfn.XLOOKUP(Tableau119[[#This Row],[Key(ID-date)]],'DATA BTO'!S:S,'DATA BTO'!J:J,FALSE)</f>
        <v>0</v>
      </c>
      <c r="AI697" s="3" t="b">
        <f>_xlfn.XLOOKUP(Tableau119[[#This Row],[Key(ID-date)]],'DATA BTO'!S:S,'DATA BTO'!K:K,FALSE)</f>
        <v>0</v>
      </c>
      <c r="AJ697" s="50" t="b">
        <f>_xlfn.XLOOKUP(Tableau119[[#This Row],[Key(ID-date)]],'DATA BTO'!S:S,'DATA BTO'!L:L,FALSE)</f>
        <v>0</v>
      </c>
      <c r="AK697" s="53" t="b">
        <f>_xlfn.XLOOKUP(Tableau119[[#This Row],[Key(ID-date)]],'DATA BTO'!S:S,'DATA BTO'!N:N,FALSE)</f>
        <v>0</v>
      </c>
      <c r="AL697" s="54" t="e">
        <f>VLOOKUP(Tableau119[[#This Row],[Key(POD -PFI- Usine)]],'DATA Consignee'!A:F,6,FALSE)</f>
        <v>#N/A</v>
      </c>
      <c r="AM697" s="127"/>
      <c r="AN697" s="376" t="str">
        <f>IF(Tableau119[[#This Row],[Name PFI/CDD]]="","-",VLOOKUP(Tableau119[[#This Row],[Name PFI/CDD]],Plant_AILN!I:J,2,FALSE))</f>
        <v>-</v>
      </c>
      <c r="AO69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7" s="2" t="e">
        <f>VLOOKUP(Tableau119[[#This Row],[Key(POD -PFI- Usine)]],'DATA Consignee'!A:J,10,FALSE)</f>
        <v>#N/A</v>
      </c>
      <c r="AR697" s="50" t="e">
        <f>VLOOKUP(Tableau119[[#This Row],[Key(POD -PFI- Usine)]],'DATA Consignee'!A:N,14,FALSE)</f>
        <v>#N/A</v>
      </c>
      <c r="AS69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7" s="50">
        <f>Tableau119[[#This Row],[Transit time]]+Tableau119[[#This Row],[Time for security]]+Tableau119[[#This Row],[Time for security2 buffer]]</f>
        <v>0</v>
      </c>
      <c r="AV6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7" s="50" t="e">
        <f>Tableau119[[#This Row],[Leadtime SI2C]]+Tableau119[[#This Row],[First Receipt Days]]-Tableau119[[#This Row],[Day Customer Order]]+1</f>
        <v>#N/A</v>
      </c>
      <c r="AX697" s="119" t="e">
        <f>IF(Tableau119[[#This Row],[Name ILN]]&lt;&gt;"SFK Freight Forwarder",Tableau119[[#This Row],[Cust. Leadtime]],Tableau119[[#This Row],[Leadtime SI2C]])</f>
        <v>#N/A</v>
      </c>
      <c r="AY697" s="51" t="b">
        <f>_xlfn.XLOOKUP(Tableau119[[#This Row],[Key(ID-date)]],'DATA BTO'!S:S,'DATA BTO'!P:P,FALSE)</f>
        <v>0</v>
      </c>
      <c r="AZ697" s="338">
        <v>45473</v>
      </c>
      <c r="BA697" s="50"/>
    </row>
    <row r="698" spans="2:53">
      <c r="B698" s="446" t="str">
        <f>_xlfn.CONCAT(Tableau119[[#This Row],[Name ILN]],"-",Tableau119[[#This Row],[Name Shipper]],"-",Tableau119[[#This Row],[Name Site]])</f>
        <v>ILN Delhi-ILN Delhi-TANGER</v>
      </c>
      <c r="C698" s="66" t="str">
        <f>_xlfn.CONCAT(Tableau119[[#This Row],[Compte ILN]],"-",Tableau119[[#This Row],[Compte Shipper]],"-",Tableau119[[#This Row],[POL]],"-",Tableau119[[#This Row],[Compte Consignee]])</f>
        <v>2533780535-2533780535-FALSO-900383</v>
      </c>
      <c r="D698" s="66" t="str">
        <f>_xlfn.CONCAT(Tableau119[[#This Row],[Compte ILN]],"-",Tableau119[[#This Row],[Compte Shipper]],"-",Tableau119[[#This Row],[POL]])</f>
        <v>2533780535-2533780535-FALSO</v>
      </c>
      <c r="E698" s="130" t="str">
        <f>_xlfn.CONCAT(Tableau119[[#This Row],[POL]],"-",Tableau119[[#This Row],[Carrier]],"-",Tableau119[[#This Row],[POD]])</f>
        <v>FALSO-FALSO-FALSO</v>
      </c>
      <c r="F698" s="66" t="str">
        <f>_xlfn.CONCAT(Tableau119[[#This Row],[ID]],"-","Actif")</f>
        <v>421-Actif</v>
      </c>
      <c r="G698" s="66" t="str">
        <f>_xlfn.CONCAT(Tableau119[[#This Row],[POD]],"-",Tableau119[[#This Row],[Code PFI]],"-",Tableau119[[#This Row],[Compte Consignee]])</f>
        <v>FALSO---900383</v>
      </c>
      <c r="H6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DelhiFALSOTANGER</v>
      </c>
      <c r="I698" s="434" t="str">
        <f>_xlfn.CONCAT(Tableau119[[#This Row],[ID]],"-",Tableau119[[#This Row],[Expiration Date]])</f>
        <v>421-45473</v>
      </c>
      <c r="J6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Delhi-ILN Delhi-421-FALSO-FALSO-FALSO--45473</v>
      </c>
      <c r="K698" s="119" t="str">
        <f ca="1">IF(COUNTIF(J:J,Tableau119[[#This Row],[Plant-ILN-shipper-POL-Carrier-POD-PFI]])=1,"Non","Oui")</f>
        <v>Non</v>
      </c>
      <c r="L698" s="128" t="str">
        <f>VLOOKUP(Tableau119[[#This Row],[Name Site]],Plant_AILN!A:D,4,FALSE)</f>
        <v>MOROCCO</v>
      </c>
      <c r="M698" s="415" t="s">
        <v>180</v>
      </c>
      <c r="N698" s="455">
        <f>VLOOKUP(Tableau119[[#This Row],[Name Site]],Plant_AILN!A:C,3,FALSE)</f>
        <v>900383</v>
      </c>
      <c r="O698" s="104">
        <f>VLOOKUP(Tableau119[[#This Row],[Compte Consignee]],Order!C:D,2,FALSE)</f>
        <v>7</v>
      </c>
      <c r="P698" s="126" t="s">
        <v>284</v>
      </c>
      <c r="Q698" s="366">
        <f>VLOOKUP(Tableau119[[#This Row],[Name ILN]],Plant_AILN!F:G,2,FALSE)</f>
        <v>2533780535</v>
      </c>
      <c r="R698" s="81">
        <f>VLOOKUP(Tableau119[[#This Row],[Compte ILN]],'DATA ILN'!D:I,6,FALSE)</f>
        <v>9</v>
      </c>
      <c r="S698" s="81" t="e">
        <f>IFERROR(VLOOKUP(Tableau119[[#This Row],[Key(Compte ILN - shipper - POL - plant)]],'DATA ILN'!A:J,10,FALSE),VLOOKUP(Tableau119[[#This Row],[Key(Compte ILN - shipper - POL)]],'DATA ILN'!B:J,9,FALSE))</f>
        <v>#N/A</v>
      </c>
      <c r="T698" s="81" t="e">
        <f>IFERROR(VLOOKUP(Tableau119[[#This Row],[Key(Compte ILN - shipper - POL - plant)]],'DATA ILN'!A:K,11,FALSE),VLOOKUP(Tableau119[[#This Row],[Key(Compte ILN - shipper - POL)]],'DATA ILN'!B:K,10,FALSE))</f>
        <v>#N/A</v>
      </c>
      <c r="U698" s="81" t="e">
        <f>IFERROR(VLOOKUP(Tableau119[[#This Row],[Key(Compte ILN - shipper - POL - plant)]],'DATA ILN'!A:L,12,FALSE),VLOOKUP(Tableau119[[#This Row],[Key(Compte ILN - shipper - POL)]],'DATA ILN'!B:L,11,FALSE))</f>
        <v>#N/A</v>
      </c>
      <c r="V698" s="81" t="e">
        <f>Tableau119[[#This Row],[Day ILN Order]]+Tableau119[[#This Row],[Delivery time to ILN/Shipper]]-1</f>
        <v>#N/A</v>
      </c>
      <c r="W698" s="81" t="e">
        <f>IFERROR(VLOOKUP(Tableau119[[#This Row],[Key(Compte ILN - shipper - POL - plant)]],'DATA ILN'!A:N,14,FALSE),VLOOKUP(Tableau119[[#This Row],[Key(Compte ILN - shipper - POL)]],'DATA ILN'!B:N,13,FALSE))</f>
        <v>#N/A</v>
      </c>
      <c r="X698" s="81" t="e">
        <f>IFERROR(VLOOKUP(Tableau119[[#This Row],[Key(Compte ILN - shipper - POL - plant)]],'DATA ILN'!A:P,16,FALSE),VLOOKUP(Tableau119[[#This Row],[Key(Compte ILN - shipper - POL)]],'DATA ILN'!B:P,15,FALSE))</f>
        <v>#N/A</v>
      </c>
      <c r="Y698" s="102" t="s">
        <v>284</v>
      </c>
      <c r="Z698" s="417">
        <f>IFERROR(VLOOKUP(Tableau119[[#This Row],[Name Shipper]],Plant_AILN!L:M,2,FALSE),0)</f>
        <v>2533780535</v>
      </c>
      <c r="AA698" s="416">
        <v>421</v>
      </c>
      <c r="AB698" s="396" t="b">
        <f>_xlfn.XLOOKUP(Tableau119[[#This Row],[Key(ID-date)]],'DATA BTO'!S:S,'DATA BTO'!E:E,FALSE)</f>
        <v>0</v>
      </c>
      <c r="AC698" s="3" t="b">
        <f>_xlfn.XLOOKUP(Tableau119[[#This Row],[Key(ID-date)]],'DATA BTO'!S:S,'DATA BTO'!F:F,FALSE)</f>
        <v>0</v>
      </c>
      <c r="AD698" s="50" t="b">
        <f>_xlfn.XLOOKUP(Tableau119[[#This Row],[Key(ID-date)]],'DATA BTO'!S:S,'DATA BTO'!G:G,FALSE)</f>
        <v>0</v>
      </c>
      <c r="AE698" s="50" t="b">
        <f>_xlfn.XLOOKUP(Tableau119[[#This Row],[Key(ID-date)]],'DATA BTO'!S:S,'DATA BTO'!H:H,FALSE)</f>
        <v>0</v>
      </c>
      <c r="AF698" s="447" t="e">
        <f>IF(Tableau119[[#This Row],[First Day to POL]]&lt;=Tableau119[[#This Row],[Day Cut Off]],Tableau119[[#This Row],[Day ETD]],Tableau119[[#This Row],[Day ETD]]+7)</f>
        <v>#N/A</v>
      </c>
      <c r="AG698" s="50" t="b">
        <f>_xlfn.XLOOKUP(Tableau119[[#This Row],[Key(ID-date)]],'DATA BTO'!S:S,'DATA BTO'!I:I,FALSE)</f>
        <v>0</v>
      </c>
      <c r="AH698" s="3" t="b">
        <f>_xlfn.XLOOKUP(Tableau119[[#This Row],[Key(ID-date)]],'DATA BTO'!S:S,'DATA BTO'!J:J,FALSE)</f>
        <v>0</v>
      </c>
      <c r="AI698" s="3" t="b">
        <f>_xlfn.XLOOKUP(Tableau119[[#This Row],[Key(ID-date)]],'DATA BTO'!S:S,'DATA BTO'!K:K,FALSE)</f>
        <v>0</v>
      </c>
      <c r="AJ698" s="50" t="b">
        <f>_xlfn.XLOOKUP(Tableau119[[#This Row],[Key(ID-date)]],'DATA BTO'!S:S,'DATA BTO'!L:L,FALSE)</f>
        <v>0</v>
      </c>
      <c r="AK698" s="53" t="b">
        <f>_xlfn.XLOOKUP(Tableau119[[#This Row],[Key(ID-date)]],'DATA BTO'!S:S,'DATA BTO'!N:N,FALSE)</f>
        <v>0</v>
      </c>
      <c r="AL698" s="54" t="e">
        <f>VLOOKUP(Tableau119[[#This Row],[Key(POD -PFI- Usine)]],'DATA Consignee'!A:F,6,FALSE)</f>
        <v>#N/A</v>
      </c>
      <c r="AM698" s="127"/>
      <c r="AN698" s="375" t="str">
        <f>IF(Tableau119[[#This Row],[Name PFI/CDD]]="","-",VLOOKUP(Tableau119[[#This Row],[Name PFI/CDD]],Plant_AILN!I:J,2,FALSE))</f>
        <v>-</v>
      </c>
      <c r="AO69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8" s="110" t="e">
        <f>VLOOKUP(Tableau119[[#This Row],[Key(POD -PFI- Usine)]],'DATA Consignee'!A:J,10,FALSE)</f>
        <v>#N/A</v>
      </c>
      <c r="AR698" s="81" t="e">
        <f>VLOOKUP(Tableau119[[#This Row],[Key(POD -PFI- Usine)]],'DATA Consignee'!A:N,14,FALSE)</f>
        <v>#N/A</v>
      </c>
      <c r="AS69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8" s="81">
        <f>Tableau119[[#This Row],[Transit time]]+Tableau119[[#This Row],[Time for security]]+Tableau119[[#This Row],[Time for security2 buffer]]</f>
        <v>0</v>
      </c>
      <c r="AV6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8" s="50" t="e">
        <f>Tableau119[[#This Row],[Leadtime SI2C]]+Tableau119[[#This Row],[First Receipt Days]]-Tableau119[[#This Row],[Day Customer Order]]+1</f>
        <v>#N/A</v>
      </c>
      <c r="AX698" s="119" t="e">
        <f>IF(Tableau119[[#This Row],[Name ILN]]&lt;&gt;"SFK Freight Forwarder",Tableau119[[#This Row],[Cust. Leadtime]],Tableau119[[#This Row],[Leadtime SI2C]])</f>
        <v>#N/A</v>
      </c>
      <c r="AY698" s="51" t="b">
        <f>_xlfn.XLOOKUP(Tableau119[[#This Row],[Key(ID-date)]],'DATA BTO'!S:S,'DATA BTO'!P:P,FALSE)</f>
        <v>0</v>
      </c>
      <c r="AZ698" s="388">
        <v>45473</v>
      </c>
      <c r="BA698" s="81"/>
    </row>
    <row r="699" spans="2:53">
      <c r="B699" s="66" t="str">
        <f>_xlfn.CONCAT(Tableau119[[#This Row],[Name ILN]],"-",Tableau119[[#This Row],[Name Shipper]],"-",Tableau119[[#This Row],[Name Site]])</f>
        <v>ILN Chennai-ILN Chennai-KARSAN</v>
      </c>
      <c r="C699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699" s="66" t="str">
        <f>_xlfn.CONCAT(Tableau119[[#This Row],[Compte ILN]],"-",Tableau119[[#This Row],[Compte Shipper]],"-",Tableau119[[#This Row],[POL]])</f>
        <v>2533780546-2533780546-FALSO</v>
      </c>
      <c r="E699" s="130" t="str">
        <f>_xlfn.CONCAT(Tableau119[[#This Row],[POL]],"-",Tableau119[[#This Row],[Carrier]],"-",Tableau119[[#This Row],[POD]])</f>
        <v>FALSO-FALSO-FALSO</v>
      </c>
      <c r="F699" s="66" t="str">
        <f>_xlfn.CONCAT(Tableau119[[#This Row],[ID]],"-","Actif")</f>
        <v>423-Actif</v>
      </c>
      <c r="G699" s="66" t="str">
        <f>_xlfn.CONCAT(Tableau119[[#This Row],[POD]],"-",Tableau119[[#This Row],[Code PFI]],"-",Tableau119[[#This Row],[Compte Consignee]])</f>
        <v>FALSO---90022000</v>
      </c>
      <c r="H6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699" s="434" t="str">
        <f>_xlfn.CONCAT(Tableau119[[#This Row],[ID]],"-",Tableau119[[#This Row],[Expiration Date]])</f>
        <v>423-46142</v>
      </c>
      <c r="J6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Chennai-423-FALSO-FALSO-FALSO--46142</v>
      </c>
      <c r="K699" s="119" t="str">
        <f ca="1">IF(COUNTIF(J:J,Tableau119[[#This Row],[Plant-ILN-shipper-POL-Carrier-POD-PFI]])=1,"Non","Oui")</f>
        <v>Non</v>
      </c>
      <c r="L699" s="128" t="str">
        <f>VLOOKUP(Tableau119[[#This Row],[Name Site]],Plant_AILN!A:D,4,FALSE)</f>
        <v>TURKEY</v>
      </c>
      <c r="M699" s="412" t="s">
        <v>235</v>
      </c>
      <c r="N699" s="454">
        <f>VLOOKUP(Tableau119[[#This Row],[Name Site]],Plant_AILN!A:C,3,FALSE)</f>
        <v>90022000</v>
      </c>
      <c r="O699" s="55">
        <f>IF(Tableau119[[#This Row],[Name PFI/CDD]]="PFI VLL",2,VLOOKUP(Tableau119[[#This Row],[Compte Consignee]],Order!C:D,2,FALSE))</f>
        <v>7</v>
      </c>
      <c r="P699" s="124" t="s">
        <v>149</v>
      </c>
      <c r="Q699" s="365">
        <f>VLOOKUP(Tableau119[[#This Row],[Name ILN]],Plant_AILN!F:G,2,FALSE)</f>
        <v>2533780546</v>
      </c>
      <c r="R699" s="50">
        <f>VLOOKUP(Tableau119[[#This Row],[Compte ILN]],'DATA ILN'!D:I,6,FALSE)</f>
        <v>9</v>
      </c>
      <c r="S699" s="50" t="e">
        <f>IFERROR(VLOOKUP(Tableau119[[#This Row],[Key(Compte ILN - shipper - POL - plant)]],'DATA ILN'!A:J,10,FALSE),VLOOKUP(Tableau119[[#This Row],[Key(Compte ILN - shipper - POL)]],'DATA ILN'!B:J,9,FALSE))</f>
        <v>#N/A</v>
      </c>
      <c r="T699" s="50" t="e">
        <f>IFERROR(VLOOKUP(Tableau119[[#This Row],[Key(Compte ILN - shipper - POL - plant)]],'DATA ILN'!A:K,11,FALSE),VLOOKUP(Tableau119[[#This Row],[Key(Compte ILN - shipper - POL)]],'DATA ILN'!B:K,10,FALSE))</f>
        <v>#N/A</v>
      </c>
      <c r="U699" s="50" t="e">
        <f>IFERROR(VLOOKUP(Tableau119[[#This Row],[Key(Compte ILN - shipper - POL - plant)]],'DATA ILN'!A:L,12,FALSE),VLOOKUP(Tableau119[[#This Row],[Key(Compte ILN - shipper - POL)]],'DATA ILN'!B:L,11,FALSE))</f>
        <v>#N/A</v>
      </c>
      <c r="V699" s="50" t="e">
        <f>Tableau119[[#This Row],[Day ILN Order]]+Tableau119[[#This Row],[Delivery time to ILN/Shipper]]-1</f>
        <v>#N/A</v>
      </c>
      <c r="W699" s="50" t="e">
        <f>IFERROR(VLOOKUP(Tableau119[[#This Row],[Key(Compte ILN - shipper - POL - plant)]],'DATA ILN'!A:N,14,FALSE),VLOOKUP(Tableau119[[#This Row],[Key(Compte ILN - shipper - POL)]],'DATA ILN'!B:N,13,FALSE))</f>
        <v>#N/A</v>
      </c>
      <c r="X699" s="50" t="e">
        <f>IFERROR(VLOOKUP(Tableau119[[#This Row],[Key(Compte ILN - shipper - POL - plant)]],'DATA ILN'!A:P,16,FALSE),VLOOKUP(Tableau119[[#This Row],[Key(Compte ILN - shipper - POL)]],'DATA ILN'!B:P,15,FALSE))</f>
        <v>#N/A</v>
      </c>
      <c r="Y699" s="284" t="s">
        <v>149</v>
      </c>
      <c r="Z699" s="430">
        <f>IFERROR(VLOOKUP(Tableau119[[#This Row],[Name Shipper]],Plant_AILN!L:M,2,FALSE),0)</f>
        <v>2533780546</v>
      </c>
      <c r="AA699" s="406">
        <v>423</v>
      </c>
      <c r="AB699" s="396" t="b">
        <f>_xlfn.XLOOKUP(Tableau119[[#This Row],[Key(ID-date)]],'DATA BTO'!S:S,'DATA BTO'!E:E,FALSE)</f>
        <v>0</v>
      </c>
      <c r="AC699" s="3" t="b">
        <f>_xlfn.XLOOKUP(Tableau119[[#This Row],[Key(ID-date)]],'DATA BTO'!S:S,'DATA BTO'!F:F,FALSE)</f>
        <v>0</v>
      </c>
      <c r="AD699" s="50" t="b">
        <f>_xlfn.XLOOKUP(Tableau119[[#This Row],[Key(ID-date)]],'DATA BTO'!S:S,'DATA BTO'!G:G,FALSE)</f>
        <v>0</v>
      </c>
      <c r="AE699" s="50" t="b">
        <f>_xlfn.XLOOKUP(Tableau119[[#This Row],[Key(ID-date)]],'DATA BTO'!S:S,'DATA BTO'!H:H,FALSE)</f>
        <v>0</v>
      </c>
      <c r="AF699" s="447" t="e">
        <f>IF(Tableau119[[#This Row],[First Day to POL]]&lt;=Tableau119[[#This Row],[Day Cut Off]],Tableau119[[#This Row],[Day ETD]],Tableau119[[#This Row],[Day ETD]]+7)</f>
        <v>#N/A</v>
      </c>
      <c r="AG699" s="50" t="b">
        <f>_xlfn.XLOOKUP(Tableau119[[#This Row],[Key(ID-date)]],'DATA BTO'!S:S,'DATA BTO'!I:I,FALSE)</f>
        <v>0</v>
      </c>
      <c r="AH699" s="3" t="b">
        <f>_xlfn.XLOOKUP(Tableau119[[#This Row],[Key(ID-date)]],'DATA BTO'!S:S,'DATA BTO'!J:J,FALSE)</f>
        <v>0</v>
      </c>
      <c r="AI699" s="3" t="b">
        <f>_xlfn.XLOOKUP(Tableau119[[#This Row],[Key(ID-date)]],'DATA BTO'!S:S,'DATA BTO'!K:K,FALSE)</f>
        <v>0</v>
      </c>
      <c r="AJ699" s="50" t="b">
        <f>_xlfn.XLOOKUP(Tableau119[[#This Row],[Key(ID-date)]],'DATA BTO'!S:S,'DATA BTO'!L:L,FALSE)</f>
        <v>0</v>
      </c>
      <c r="AK699" s="53" t="b">
        <f>_xlfn.XLOOKUP(Tableau119[[#This Row],[Key(ID-date)]],'DATA BTO'!S:S,'DATA BTO'!N:N,FALSE)</f>
        <v>0</v>
      </c>
      <c r="AL699" s="54" t="e">
        <f>VLOOKUP(Tableau119[[#This Row],[Key(POD -PFI- Usine)]],'DATA Consignee'!A:F,6,FALSE)</f>
        <v>#N/A</v>
      </c>
      <c r="AM699" s="127"/>
      <c r="AN699" s="376" t="str">
        <f>IF(Tableau119[[#This Row],[Name PFI/CDD]]="","-",VLOOKUP(Tableau119[[#This Row],[Name PFI/CDD]],Plant_AILN!I:J,2,FALSE))</f>
        <v>-</v>
      </c>
      <c r="AO6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6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699" s="2" t="e">
        <f>VLOOKUP(Tableau119[[#This Row],[Key(POD -PFI- Usine)]],'DATA Consignee'!A:J,10,FALSE)</f>
        <v>#N/A</v>
      </c>
      <c r="AR699" s="50" t="e">
        <f>VLOOKUP(Tableau119[[#This Row],[Key(POD -PFI- Usine)]],'DATA Consignee'!A:N,14,FALSE)</f>
        <v>#N/A</v>
      </c>
      <c r="AS69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69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699" s="50">
        <f>Tableau119[[#This Row],[Transit time]]+Tableau119[[#This Row],[Time for security]]+Tableau119[[#This Row],[Time for security2 buffer]]</f>
        <v>0</v>
      </c>
      <c r="AV69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699" s="50" t="e">
        <f>Tableau119[[#This Row],[Leadtime SI2C]]+Tableau119[[#This Row],[First Receipt Days]]-Tableau119[[#This Row],[Day Customer Order]]+1</f>
        <v>#N/A</v>
      </c>
      <c r="AX699" s="119" t="e">
        <f>IF(Tableau119[[#This Row],[Name ILN]]&lt;&gt;"SFK Freight Forwarder",Tableau119[[#This Row],[Cust. Leadtime]],Tableau119[[#This Row],[Leadtime SI2C]])</f>
        <v>#N/A</v>
      </c>
      <c r="AY699" s="51" t="b">
        <f>_xlfn.XLOOKUP(Tableau119[[#This Row],[Key(ID-date)]],'DATA BTO'!S:S,'DATA BTO'!P:P,FALSE)</f>
        <v>0</v>
      </c>
      <c r="AZ699" s="338">
        <v>46142</v>
      </c>
      <c r="BA699" s="50"/>
    </row>
    <row r="700" spans="2:53">
      <c r="B700" s="66" t="str">
        <f>_xlfn.CONCAT(Tableau119[[#This Row],[Name ILN]],"-",Tableau119[[#This Row],[Name Shipper]],"-",Tableau119[[#This Row],[Name Site]])</f>
        <v>ILN Chennai-ILN Chennai-OYAK MONT</v>
      </c>
      <c r="C700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0" s="66" t="str">
        <f>_xlfn.CONCAT(Tableau119[[#This Row],[Compte ILN]],"-",Tableau119[[#This Row],[Compte Shipper]],"-",Tableau119[[#This Row],[POL]])</f>
        <v>2533780546-2533780546-FALSO</v>
      </c>
      <c r="E700" s="130" t="str">
        <f>_xlfn.CONCAT(Tableau119[[#This Row],[POL]],"-",Tableau119[[#This Row],[Carrier]],"-",Tableau119[[#This Row],[POD]])</f>
        <v>FALSO-FALSO-FALSO</v>
      </c>
      <c r="F700" s="66" t="str">
        <f>_xlfn.CONCAT(Tableau119[[#This Row],[ID]],"-","Actif")</f>
        <v>423-Actif</v>
      </c>
      <c r="G700" s="66" t="str">
        <f>_xlfn.CONCAT(Tableau119[[#This Row],[POD]],"-",Tableau119[[#This Row],[Code PFI]],"-",Tableau119[[#This Row],[Compte Consignee]])</f>
        <v>FALSO---90017000</v>
      </c>
      <c r="H7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0" s="434" t="str">
        <f>_xlfn.CONCAT(Tableau119[[#This Row],[ID]],"-",Tableau119[[#This Row],[Expiration Date]])</f>
        <v>423-46142</v>
      </c>
      <c r="J7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Chennai-423-FALSO-FALSO-FALSO--46142</v>
      </c>
      <c r="K700" s="119" t="str">
        <f ca="1">IF(COUNTIF(J:J,Tableau119[[#This Row],[Plant-ILN-shipper-POL-Carrier-POD-PFI]])=1,"Non","Oui")</f>
        <v>Non</v>
      </c>
      <c r="L700" s="436" t="str">
        <f>VLOOKUP(Tableau119[[#This Row],[Name Site]],Plant_AILN!A:D,4,FALSE)</f>
        <v>TURKEY</v>
      </c>
      <c r="M700" s="285" t="s">
        <v>173</v>
      </c>
      <c r="N700" s="454">
        <f>VLOOKUP(Tableau119[[#This Row],[Name Site]],Plant_AILN!A:C,3,FALSE)</f>
        <v>90017000</v>
      </c>
      <c r="O700" s="55">
        <f>IF(Tableau119[[#This Row],[Name PFI/CDD]]="PFI VLL",2,VLOOKUP(Tableau119[[#This Row],[Compte Consignee]],Order!C:D,2,FALSE))</f>
        <v>7</v>
      </c>
      <c r="P700" s="124" t="s">
        <v>149</v>
      </c>
      <c r="Q700" s="365">
        <f>VLOOKUP(Tableau119[[#This Row],[Name ILN]],Plant_AILN!F:G,2,FALSE)</f>
        <v>2533780546</v>
      </c>
      <c r="R700" s="50">
        <f>VLOOKUP(Tableau119[[#This Row],[Compte ILN]],'DATA ILN'!D:I,6,FALSE)</f>
        <v>9</v>
      </c>
      <c r="S700" s="50" t="e">
        <f>IFERROR(VLOOKUP(Tableau119[[#This Row],[Key(Compte ILN - shipper - POL - plant)]],'DATA ILN'!A:J,10,FALSE),VLOOKUP(Tableau119[[#This Row],[Key(Compte ILN - shipper - POL)]],'DATA ILN'!B:J,9,FALSE))</f>
        <v>#N/A</v>
      </c>
      <c r="T700" s="50" t="e">
        <f>IFERROR(VLOOKUP(Tableau119[[#This Row],[Key(Compte ILN - shipper - POL - plant)]],'DATA ILN'!A:K,11,FALSE),VLOOKUP(Tableau119[[#This Row],[Key(Compte ILN - shipper - POL)]],'DATA ILN'!B:K,10,FALSE))</f>
        <v>#N/A</v>
      </c>
      <c r="U700" s="50" t="e">
        <f>IFERROR(VLOOKUP(Tableau119[[#This Row],[Key(Compte ILN - shipper - POL - plant)]],'DATA ILN'!A:L,12,FALSE),VLOOKUP(Tableau119[[#This Row],[Key(Compte ILN - shipper - POL)]],'DATA ILN'!B:L,11,FALSE))</f>
        <v>#N/A</v>
      </c>
      <c r="V700" s="50" t="e">
        <f>Tableau119[[#This Row],[Day ILN Order]]+Tableau119[[#This Row],[Delivery time to ILN/Shipper]]-1</f>
        <v>#N/A</v>
      </c>
      <c r="W700" s="50" t="e">
        <f>IFERROR(VLOOKUP(Tableau119[[#This Row],[Key(Compte ILN - shipper - POL - plant)]],'DATA ILN'!A:N,14,FALSE),VLOOKUP(Tableau119[[#This Row],[Key(Compte ILN - shipper - POL)]],'DATA ILN'!B:N,13,FALSE))</f>
        <v>#N/A</v>
      </c>
      <c r="X700" s="50" t="e">
        <f>IFERROR(VLOOKUP(Tableau119[[#This Row],[Key(Compte ILN - shipper - POL - plant)]],'DATA ILN'!A:P,16,FALSE),VLOOKUP(Tableau119[[#This Row],[Key(Compte ILN - shipper - POL)]],'DATA ILN'!B:P,15,FALSE))</f>
        <v>#N/A</v>
      </c>
      <c r="Y700" s="284" t="s">
        <v>149</v>
      </c>
      <c r="Z700" s="430">
        <f>IFERROR(VLOOKUP(Tableau119[[#This Row],[Name Shipper]],Plant_AILN!L:M,2,FALSE),0)</f>
        <v>2533780546</v>
      </c>
      <c r="AA700" s="406">
        <v>423</v>
      </c>
      <c r="AB700" s="396" t="b">
        <f>_xlfn.XLOOKUP(Tableau119[[#This Row],[Key(ID-date)]],'DATA BTO'!S:S,'DATA BTO'!E:E,FALSE)</f>
        <v>0</v>
      </c>
      <c r="AC700" s="3" t="b">
        <f>_xlfn.XLOOKUP(Tableau119[[#This Row],[Key(ID-date)]],'DATA BTO'!S:S,'DATA BTO'!F:F,FALSE)</f>
        <v>0</v>
      </c>
      <c r="AD700" s="50" t="b">
        <f>_xlfn.XLOOKUP(Tableau119[[#This Row],[Key(ID-date)]],'DATA BTO'!S:S,'DATA BTO'!G:G,FALSE)</f>
        <v>0</v>
      </c>
      <c r="AE700" s="50" t="b">
        <f>_xlfn.XLOOKUP(Tableau119[[#This Row],[Key(ID-date)]],'DATA BTO'!S:S,'DATA BTO'!H:H,FALSE)</f>
        <v>0</v>
      </c>
      <c r="AF700" s="447" t="e">
        <f>IF(Tableau119[[#This Row],[First Day to POL]]&lt;=Tableau119[[#This Row],[Day Cut Off]],Tableau119[[#This Row],[Day ETD]],Tableau119[[#This Row],[Day ETD]]+7)</f>
        <v>#N/A</v>
      </c>
      <c r="AG700" s="50" t="b">
        <f>_xlfn.XLOOKUP(Tableau119[[#This Row],[Key(ID-date)]],'DATA BTO'!S:S,'DATA BTO'!I:I,FALSE)</f>
        <v>0</v>
      </c>
      <c r="AH700" s="3" t="b">
        <f>_xlfn.XLOOKUP(Tableau119[[#This Row],[Key(ID-date)]],'DATA BTO'!S:S,'DATA BTO'!J:J,FALSE)</f>
        <v>0</v>
      </c>
      <c r="AI700" s="3" t="b">
        <f>_xlfn.XLOOKUP(Tableau119[[#This Row],[Key(ID-date)]],'DATA BTO'!S:S,'DATA BTO'!K:K,FALSE)</f>
        <v>0</v>
      </c>
      <c r="AJ700" s="50" t="b">
        <f>_xlfn.XLOOKUP(Tableau119[[#This Row],[Key(ID-date)]],'DATA BTO'!S:S,'DATA BTO'!L:L,FALSE)</f>
        <v>0</v>
      </c>
      <c r="AK700" s="53" t="b">
        <f>_xlfn.XLOOKUP(Tableau119[[#This Row],[Key(ID-date)]],'DATA BTO'!S:S,'DATA BTO'!N:N,FALSE)</f>
        <v>0</v>
      </c>
      <c r="AL700" s="54" t="e">
        <f>VLOOKUP(Tableau119[[#This Row],[Key(POD -PFI- Usine)]],'DATA Consignee'!A:F,6,FALSE)</f>
        <v>#N/A</v>
      </c>
      <c r="AM700" s="127"/>
      <c r="AN700" s="376" t="str">
        <f>IF(Tableau119[[#This Row],[Name PFI/CDD]]="","-",VLOOKUP(Tableau119[[#This Row],[Name PFI/CDD]],Plant_AILN!I:J,2,FALSE))</f>
        <v>-</v>
      </c>
      <c r="AO7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0" s="2" t="e">
        <f>VLOOKUP(Tableau119[[#This Row],[Key(POD -PFI- Usine)]],'DATA Consignee'!A:J,10,FALSE)</f>
        <v>#N/A</v>
      </c>
      <c r="AR700" s="50" t="e">
        <f>VLOOKUP(Tableau119[[#This Row],[Key(POD -PFI- Usine)]],'DATA Consignee'!A:N,14,FALSE)</f>
        <v>#N/A</v>
      </c>
      <c r="AS70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0" s="50">
        <f>Tableau119[[#This Row],[Transit time]]+Tableau119[[#This Row],[Time for security]]+Tableau119[[#This Row],[Time for security2 buffer]]</f>
        <v>0</v>
      </c>
      <c r="AV70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0" s="50" t="e">
        <f>Tableau119[[#This Row],[Leadtime SI2C]]+Tableau119[[#This Row],[First Receipt Days]]-Tableau119[[#This Row],[Day Customer Order]]+1</f>
        <v>#N/A</v>
      </c>
      <c r="AX700" s="119" t="e">
        <f>IF(Tableau119[[#This Row],[Name ILN]]&lt;&gt;"SFK Freight Forwarder",Tableau119[[#This Row],[Cust. Leadtime]],Tableau119[[#This Row],[Leadtime SI2C]])</f>
        <v>#N/A</v>
      </c>
      <c r="AY700" s="51" t="b">
        <f>_xlfn.XLOOKUP(Tableau119[[#This Row],[Key(ID-date)]],'DATA BTO'!S:S,'DATA BTO'!P:P,FALSE)</f>
        <v>0</v>
      </c>
      <c r="AZ700" s="338">
        <v>46142</v>
      </c>
      <c r="BA700" s="50"/>
    </row>
    <row r="701" spans="2:53">
      <c r="B701" s="446" t="str">
        <f>_xlfn.CONCAT(Tableau119[[#This Row],[Name ILN]],"-",Tableau119[[#This Row],[Name Shipper]],"-",Tableau119[[#This Row],[Name Site]])</f>
        <v>ILN Chennai-ILN Chennai-OYAK MONT</v>
      </c>
      <c r="C701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1" s="66" t="str">
        <f>_xlfn.CONCAT(Tableau119[[#This Row],[Compte ILN]],"-",Tableau119[[#This Row],[Compte Shipper]],"-",Tableau119[[#This Row],[POL]])</f>
        <v>2533780546-2533780546-FALSO</v>
      </c>
      <c r="E701" s="130" t="str">
        <f>_xlfn.CONCAT(Tableau119[[#This Row],[POL]],"-",Tableau119[[#This Row],[Carrier]],"-",Tableau119[[#This Row],[POD]])</f>
        <v>FALSO-FALSO-FALSO</v>
      </c>
      <c r="F701" s="66" t="str">
        <f>_xlfn.CONCAT(Tableau119[[#This Row],[ID]],"-","Actif")</f>
        <v>423-Actif</v>
      </c>
      <c r="G701" s="66" t="str">
        <f>_xlfn.CONCAT(Tableau119[[#This Row],[POD]],"-",Tableau119[[#This Row],[Code PFI]],"-",Tableau119[[#This Row],[Compte Consignee]])</f>
        <v>FALSO---90017000</v>
      </c>
      <c r="H7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1" s="434" t="str">
        <f>_xlfn.CONCAT(Tableau119[[#This Row],[ID]],"-",Tableau119[[#This Row],[Expiration Date]])</f>
        <v>423-45991</v>
      </c>
      <c r="J7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Chennai-423-FALSO-FALSO-FALSO--45991</v>
      </c>
      <c r="K701" s="119" t="str">
        <f ca="1">IF(COUNTIF(J:J,Tableau119[[#This Row],[Plant-ILN-shipper-POL-Carrier-POD-PFI]])=1,"Non","Oui")</f>
        <v>Non</v>
      </c>
      <c r="L701" s="128" t="str">
        <f>VLOOKUP(Tableau119[[#This Row],[Name Site]],Plant_AILN!A:D,4,FALSE)</f>
        <v>TURKEY</v>
      </c>
      <c r="M701" s="415" t="s">
        <v>173</v>
      </c>
      <c r="N701" s="455">
        <f>VLOOKUP(Tableau119[[#This Row],[Name Site]],Plant_AILN!A:C,3,FALSE)</f>
        <v>90017000</v>
      </c>
      <c r="O701" s="104">
        <f>VLOOKUP(Tableau119[[#This Row],[Compte Consignee]],Order!C:D,2,FALSE)</f>
        <v>7</v>
      </c>
      <c r="P701" s="126" t="s">
        <v>149</v>
      </c>
      <c r="Q701" s="366">
        <f>VLOOKUP(Tableau119[[#This Row],[Name ILN]],Plant_AILN!F:G,2,FALSE)</f>
        <v>2533780546</v>
      </c>
      <c r="R701" s="81">
        <f>VLOOKUP(Tableau119[[#This Row],[Compte ILN]],'DATA ILN'!D:I,6,FALSE)</f>
        <v>9</v>
      </c>
      <c r="S701" s="81" t="e">
        <f>IFERROR(VLOOKUP(Tableau119[[#This Row],[Key(Compte ILN - shipper - POL - plant)]],'DATA ILN'!A:J,10,FALSE),VLOOKUP(Tableau119[[#This Row],[Key(Compte ILN - shipper - POL)]],'DATA ILN'!B:J,9,FALSE))</f>
        <v>#N/A</v>
      </c>
      <c r="T701" s="81" t="e">
        <f>IFERROR(VLOOKUP(Tableau119[[#This Row],[Key(Compte ILN - shipper - POL - plant)]],'DATA ILN'!A:K,11,FALSE),VLOOKUP(Tableau119[[#This Row],[Key(Compte ILN - shipper - POL)]],'DATA ILN'!B:K,10,FALSE))</f>
        <v>#N/A</v>
      </c>
      <c r="U701" s="81" t="e">
        <f>IFERROR(VLOOKUP(Tableau119[[#This Row],[Key(Compte ILN - shipper - POL - plant)]],'DATA ILN'!A:L,12,FALSE),VLOOKUP(Tableau119[[#This Row],[Key(Compte ILN - shipper - POL)]],'DATA ILN'!B:L,11,FALSE))</f>
        <v>#N/A</v>
      </c>
      <c r="V701" s="81" t="e">
        <f>Tableau119[[#This Row],[Day ILN Order]]+Tableau119[[#This Row],[Delivery time to ILN/Shipper]]-1</f>
        <v>#N/A</v>
      </c>
      <c r="W701" s="81" t="e">
        <f>IFERROR(VLOOKUP(Tableau119[[#This Row],[Key(Compte ILN - shipper - POL - plant)]],'DATA ILN'!A:N,14,FALSE),VLOOKUP(Tableau119[[#This Row],[Key(Compte ILN - shipper - POL)]],'DATA ILN'!B:N,13,FALSE))</f>
        <v>#N/A</v>
      </c>
      <c r="X701" s="81" t="e">
        <f>IFERROR(VLOOKUP(Tableau119[[#This Row],[Key(Compte ILN - shipper - POL - plant)]],'DATA ILN'!A:P,16,FALSE),VLOOKUP(Tableau119[[#This Row],[Key(Compte ILN - shipper - POL)]],'DATA ILN'!B:P,15,FALSE))</f>
        <v>#N/A</v>
      </c>
      <c r="Y701" s="102" t="s">
        <v>149</v>
      </c>
      <c r="Z701" s="417">
        <f>IFERROR(VLOOKUP(Tableau119[[#This Row],[Name Shipper]],Plant_AILN!L:M,2,FALSE),0)</f>
        <v>2533780546</v>
      </c>
      <c r="AA701" s="416">
        <v>423</v>
      </c>
      <c r="AB701" s="396" t="b">
        <f>_xlfn.XLOOKUP(Tableau119[[#This Row],[Key(ID-date)]],'DATA BTO'!S:S,'DATA BTO'!E:E,FALSE)</f>
        <v>0</v>
      </c>
      <c r="AC701" s="3" t="b">
        <f>_xlfn.XLOOKUP(Tableau119[[#This Row],[Key(ID-date)]],'DATA BTO'!S:S,'DATA BTO'!F:F,FALSE)</f>
        <v>0</v>
      </c>
      <c r="AD701" s="50" t="b">
        <f>_xlfn.XLOOKUP(Tableau119[[#This Row],[Key(ID-date)]],'DATA BTO'!S:S,'DATA BTO'!G:G,FALSE)</f>
        <v>0</v>
      </c>
      <c r="AE701" s="50" t="b">
        <f>_xlfn.XLOOKUP(Tableau119[[#This Row],[Key(ID-date)]],'DATA BTO'!S:S,'DATA BTO'!H:H,FALSE)</f>
        <v>0</v>
      </c>
      <c r="AF701" s="447" t="e">
        <f>IF(Tableau119[[#This Row],[First Day to POL]]&lt;=Tableau119[[#This Row],[Day Cut Off]],Tableau119[[#This Row],[Day ETD]],Tableau119[[#This Row],[Day ETD]]+7)</f>
        <v>#N/A</v>
      </c>
      <c r="AG701" s="50" t="b">
        <f>_xlfn.XLOOKUP(Tableau119[[#This Row],[Key(ID-date)]],'DATA BTO'!S:S,'DATA BTO'!I:I,FALSE)</f>
        <v>0</v>
      </c>
      <c r="AH701" s="3" t="b">
        <f>_xlfn.XLOOKUP(Tableau119[[#This Row],[Key(ID-date)]],'DATA BTO'!S:S,'DATA BTO'!J:J,FALSE)</f>
        <v>0</v>
      </c>
      <c r="AI701" s="3" t="b">
        <f>_xlfn.XLOOKUP(Tableau119[[#This Row],[Key(ID-date)]],'DATA BTO'!S:S,'DATA BTO'!K:K,FALSE)</f>
        <v>0</v>
      </c>
      <c r="AJ701" s="50" t="b">
        <f>_xlfn.XLOOKUP(Tableau119[[#This Row],[Key(ID-date)]],'DATA BTO'!S:S,'DATA BTO'!L:L,FALSE)</f>
        <v>0</v>
      </c>
      <c r="AK701" s="53" t="b">
        <f>_xlfn.XLOOKUP(Tableau119[[#This Row],[Key(ID-date)]],'DATA BTO'!S:S,'DATA BTO'!N:N,FALSE)</f>
        <v>0</v>
      </c>
      <c r="AL701" s="54" t="e">
        <f>VLOOKUP(Tableau119[[#This Row],[Key(POD -PFI- Usine)]],'DATA Consignee'!A:F,6,FALSE)</f>
        <v>#N/A</v>
      </c>
      <c r="AM701" s="127"/>
      <c r="AN701" s="375" t="str">
        <f>IF(Tableau119[[#This Row],[Name PFI/CDD]]="","-",VLOOKUP(Tableau119[[#This Row],[Name PFI/CDD]],Plant_AILN!I:J,2,FALSE))</f>
        <v>-</v>
      </c>
      <c r="AO70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1" s="110" t="e">
        <f>VLOOKUP(Tableau119[[#This Row],[Key(POD -PFI- Usine)]],'DATA Consignee'!A:J,10,FALSE)</f>
        <v>#N/A</v>
      </c>
      <c r="AR701" s="81" t="e">
        <f>VLOOKUP(Tableau119[[#This Row],[Key(POD -PFI- Usine)]],'DATA Consignee'!A:N,14,FALSE)</f>
        <v>#N/A</v>
      </c>
      <c r="AS70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1" s="81">
        <f>Tableau119[[#This Row],[Transit time]]+Tableau119[[#This Row],[Time for security]]+Tableau119[[#This Row],[Time for security2 buffer]]</f>
        <v>0</v>
      </c>
      <c r="AV7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1" s="50" t="e">
        <f>Tableau119[[#This Row],[Leadtime SI2C]]+Tableau119[[#This Row],[First Receipt Days]]-Tableau119[[#This Row],[Day Customer Order]]+1</f>
        <v>#N/A</v>
      </c>
      <c r="AX701" s="119" t="e">
        <f>IF(Tableau119[[#This Row],[Name ILN]]&lt;&gt;"SFK Freight Forwarder",Tableau119[[#This Row],[Cust. Leadtime]],Tableau119[[#This Row],[Leadtime SI2C]])</f>
        <v>#N/A</v>
      </c>
      <c r="AY701" s="51" t="b">
        <f>_xlfn.XLOOKUP(Tableau119[[#This Row],[Key(ID-date)]],'DATA BTO'!S:S,'DATA BTO'!P:P,FALSE)</f>
        <v>0</v>
      </c>
      <c r="AZ701" s="388">
        <v>45991</v>
      </c>
      <c r="BA701" s="81"/>
    </row>
    <row r="702" spans="2:53">
      <c r="B702" s="446" t="str">
        <f>_xlfn.CONCAT(Tableau119[[#This Row],[Name ILN]],"-",Tableau119[[#This Row],[Name Shipper]],"-",Tableau119[[#This Row],[Name Site]])</f>
        <v>ILN Chennai-ILN Chennai-KARSAN</v>
      </c>
      <c r="C702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02" s="66" t="str">
        <f>_xlfn.CONCAT(Tableau119[[#This Row],[Compte ILN]],"-",Tableau119[[#This Row],[Compte Shipper]],"-",Tableau119[[#This Row],[POL]])</f>
        <v>2533780546-2533780546-FALSO</v>
      </c>
      <c r="E702" s="130" t="str">
        <f>_xlfn.CONCAT(Tableau119[[#This Row],[POL]],"-",Tableau119[[#This Row],[Carrier]],"-",Tableau119[[#This Row],[POD]])</f>
        <v>FALSO-FALSO-FALSO</v>
      </c>
      <c r="F702" s="66" t="str">
        <f>_xlfn.CONCAT(Tableau119[[#This Row],[ID]],"-","Actif")</f>
        <v>423-Actif</v>
      </c>
      <c r="G702" s="66" t="str">
        <f>_xlfn.CONCAT(Tableau119[[#This Row],[POD]],"-",Tableau119[[#This Row],[Code PFI]],"-",Tableau119[[#This Row],[Compte Consignee]])</f>
        <v>FALSO---90022000</v>
      </c>
      <c r="H7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02" s="434" t="str">
        <f>_xlfn.CONCAT(Tableau119[[#This Row],[ID]],"-",Tableau119[[#This Row],[Expiration Date]])</f>
        <v>423-45991</v>
      </c>
      <c r="J7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Chennai-423-FALSO-FALSO-FALSO--45991</v>
      </c>
      <c r="K702" s="119" t="str">
        <f ca="1">IF(COUNTIF(J:J,Tableau119[[#This Row],[Plant-ILN-shipper-POL-Carrier-POD-PFI]])=1,"Non","Oui")</f>
        <v>Non</v>
      </c>
      <c r="L702" s="128" t="str">
        <f>VLOOKUP(Tableau119[[#This Row],[Name Site]],Plant_AILN!A:D,4,FALSE)</f>
        <v>TURKEY</v>
      </c>
      <c r="M702" s="411" t="s">
        <v>235</v>
      </c>
      <c r="N702" s="454">
        <f>VLOOKUP(Tableau119[[#This Row],[Name Site]],Plant_AILN!A:C,3,FALSE)</f>
        <v>90022000</v>
      </c>
      <c r="O702" s="55">
        <f>VLOOKUP(Tableau119[[#This Row],[Compte Consignee]],Order!C:D,2,FALSE)</f>
        <v>7</v>
      </c>
      <c r="P702" s="124" t="s">
        <v>149</v>
      </c>
      <c r="Q702" s="365">
        <f>VLOOKUP(Tableau119[[#This Row],[Name ILN]],Plant_AILN!F:G,2,FALSE)</f>
        <v>2533780546</v>
      </c>
      <c r="R702" s="50">
        <f>VLOOKUP(Tableau119[[#This Row],[Compte ILN]],'DATA ILN'!D:I,6,FALSE)</f>
        <v>9</v>
      </c>
      <c r="S702" s="50" t="e">
        <f>IFERROR(VLOOKUP(Tableau119[[#This Row],[Key(Compte ILN - shipper - POL - plant)]],'DATA ILN'!A:J,10,FALSE),VLOOKUP(Tableau119[[#This Row],[Key(Compte ILN - shipper - POL)]],'DATA ILN'!B:J,9,FALSE))</f>
        <v>#N/A</v>
      </c>
      <c r="T702" s="50" t="e">
        <f>IFERROR(VLOOKUP(Tableau119[[#This Row],[Key(Compte ILN - shipper - POL - plant)]],'DATA ILN'!A:K,11,FALSE),VLOOKUP(Tableau119[[#This Row],[Key(Compte ILN - shipper - POL)]],'DATA ILN'!B:K,10,FALSE))</f>
        <v>#N/A</v>
      </c>
      <c r="U702" s="50" t="e">
        <f>IFERROR(VLOOKUP(Tableau119[[#This Row],[Key(Compte ILN - shipper - POL - plant)]],'DATA ILN'!A:L,12,FALSE),VLOOKUP(Tableau119[[#This Row],[Key(Compte ILN - shipper - POL)]],'DATA ILN'!B:L,11,FALSE))</f>
        <v>#N/A</v>
      </c>
      <c r="V702" s="50" t="e">
        <f>Tableau119[[#This Row],[Day ILN Order]]+Tableau119[[#This Row],[Delivery time to ILN/Shipper]]-1</f>
        <v>#N/A</v>
      </c>
      <c r="W702" s="50" t="e">
        <f>IFERROR(VLOOKUP(Tableau119[[#This Row],[Key(Compte ILN - shipper - POL - plant)]],'DATA ILN'!A:N,14,FALSE),VLOOKUP(Tableau119[[#This Row],[Key(Compte ILN - shipper - POL)]],'DATA ILN'!B:N,13,FALSE))</f>
        <v>#N/A</v>
      </c>
      <c r="X702" s="50" t="e">
        <f>IFERROR(VLOOKUP(Tableau119[[#This Row],[Key(Compte ILN - shipper - POL - plant)]],'DATA ILN'!A:P,16,FALSE),VLOOKUP(Tableau119[[#This Row],[Key(Compte ILN - shipper - POL)]],'DATA ILN'!B:P,15,FALSE))</f>
        <v>#N/A</v>
      </c>
      <c r="Y702" s="284" t="s">
        <v>149</v>
      </c>
      <c r="Z702" s="430">
        <f>IFERROR(VLOOKUP(Tableau119[[#This Row],[Name Shipper]],Plant_AILN!L:M,2,FALSE),0)</f>
        <v>2533780546</v>
      </c>
      <c r="AA702" s="406">
        <v>423</v>
      </c>
      <c r="AB702" s="396" t="b">
        <f>_xlfn.XLOOKUP(Tableau119[[#This Row],[Key(ID-date)]],'DATA BTO'!S:S,'DATA BTO'!E:E,FALSE)</f>
        <v>0</v>
      </c>
      <c r="AC702" s="3" t="b">
        <f>_xlfn.XLOOKUP(Tableau119[[#This Row],[Key(ID-date)]],'DATA BTO'!S:S,'DATA BTO'!F:F,FALSE)</f>
        <v>0</v>
      </c>
      <c r="AD702" s="50" t="b">
        <f>_xlfn.XLOOKUP(Tableau119[[#This Row],[Key(ID-date)]],'DATA BTO'!S:S,'DATA BTO'!G:G,FALSE)</f>
        <v>0</v>
      </c>
      <c r="AE702" s="50" t="b">
        <f>_xlfn.XLOOKUP(Tableau119[[#This Row],[Key(ID-date)]],'DATA BTO'!S:S,'DATA BTO'!H:H,FALSE)</f>
        <v>0</v>
      </c>
      <c r="AF702" s="447" t="e">
        <f>IF(Tableau119[[#This Row],[First Day to POL]]&lt;=Tableau119[[#This Row],[Day Cut Off]],Tableau119[[#This Row],[Day ETD]],Tableau119[[#This Row],[Day ETD]]+7)</f>
        <v>#N/A</v>
      </c>
      <c r="AG702" s="50" t="b">
        <f>_xlfn.XLOOKUP(Tableau119[[#This Row],[Key(ID-date)]],'DATA BTO'!S:S,'DATA BTO'!I:I,FALSE)</f>
        <v>0</v>
      </c>
      <c r="AH702" s="3" t="b">
        <f>_xlfn.XLOOKUP(Tableau119[[#This Row],[Key(ID-date)]],'DATA BTO'!S:S,'DATA BTO'!J:J,FALSE)</f>
        <v>0</v>
      </c>
      <c r="AI702" s="3" t="b">
        <f>_xlfn.XLOOKUP(Tableau119[[#This Row],[Key(ID-date)]],'DATA BTO'!S:S,'DATA BTO'!K:K,FALSE)</f>
        <v>0</v>
      </c>
      <c r="AJ702" s="50" t="b">
        <f>_xlfn.XLOOKUP(Tableau119[[#This Row],[Key(ID-date)]],'DATA BTO'!S:S,'DATA BTO'!L:L,FALSE)</f>
        <v>0</v>
      </c>
      <c r="AK702" s="53" t="b">
        <f>_xlfn.XLOOKUP(Tableau119[[#This Row],[Key(ID-date)]],'DATA BTO'!S:S,'DATA BTO'!N:N,FALSE)</f>
        <v>0</v>
      </c>
      <c r="AL702" s="54" t="e">
        <f>VLOOKUP(Tableau119[[#This Row],[Key(POD -PFI- Usine)]],'DATA Consignee'!A:F,6,FALSE)</f>
        <v>#N/A</v>
      </c>
      <c r="AM702" s="127"/>
      <c r="AN702" s="376" t="str">
        <f>IF(Tableau119[[#This Row],[Name PFI/CDD]]="","-",VLOOKUP(Tableau119[[#This Row],[Name PFI/CDD]],Plant_AILN!I:J,2,FALSE))</f>
        <v>-</v>
      </c>
      <c r="AO70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2" s="2" t="e">
        <f>VLOOKUP(Tableau119[[#This Row],[Key(POD -PFI- Usine)]],'DATA Consignee'!A:J,10,FALSE)</f>
        <v>#N/A</v>
      </c>
      <c r="AR702" s="50" t="e">
        <f>VLOOKUP(Tableau119[[#This Row],[Key(POD -PFI- Usine)]],'DATA Consignee'!A:N,14,FALSE)</f>
        <v>#N/A</v>
      </c>
      <c r="AS70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2" s="50">
        <f>Tableau119[[#This Row],[Transit time]]+Tableau119[[#This Row],[Time for security]]+Tableau119[[#This Row],[Time for security2 buffer]]</f>
        <v>0</v>
      </c>
      <c r="AV7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2" s="50" t="e">
        <f>Tableau119[[#This Row],[Leadtime SI2C]]+Tableau119[[#This Row],[First Receipt Days]]-Tableau119[[#This Row],[Day Customer Order]]+1</f>
        <v>#N/A</v>
      </c>
      <c r="AX702" s="119" t="e">
        <f>IF(Tableau119[[#This Row],[Name ILN]]&lt;&gt;"SFK Freight Forwarder",Tableau119[[#This Row],[Cust. Leadtime]],Tableau119[[#This Row],[Leadtime SI2C]])</f>
        <v>#N/A</v>
      </c>
      <c r="AY702" s="51" t="b">
        <f>_xlfn.XLOOKUP(Tableau119[[#This Row],[Key(ID-date)]],'DATA BTO'!S:S,'DATA BTO'!P:P,FALSE)</f>
        <v>0</v>
      </c>
      <c r="AZ702" s="338">
        <v>45991</v>
      </c>
      <c r="BA702" s="50"/>
    </row>
    <row r="703" spans="2:53">
      <c r="B703" s="446" t="str">
        <f>_xlfn.CONCAT(Tableau119[[#This Row],[Name ILN]],"-",Tableau119[[#This Row],[Name Shipper]],"-",Tableau119[[#This Row],[Name Site]])</f>
        <v>ILN Chennai-ILN Chennai-OYAK MONT</v>
      </c>
      <c r="C703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3" s="66" t="str">
        <f>_xlfn.CONCAT(Tableau119[[#This Row],[Compte ILN]],"-",Tableau119[[#This Row],[Compte Shipper]],"-",Tableau119[[#This Row],[POL]])</f>
        <v>2533780546-2533780546-FALSO</v>
      </c>
      <c r="E703" s="130" t="str">
        <f>_xlfn.CONCAT(Tableau119[[#This Row],[POL]],"-",Tableau119[[#This Row],[Carrier]],"-",Tableau119[[#This Row],[POD]])</f>
        <v>FALSO-FALSO-FALSO</v>
      </c>
      <c r="F703" s="66" t="str">
        <f>_xlfn.CONCAT(Tableau119[[#This Row],[ID]],"-","Actif")</f>
        <v>423-Actif</v>
      </c>
      <c r="G703" s="66" t="str">
        <f>_xlfn.CONCAT(Tableau119[[#This Row],[POD]],"-",Tableau119[[#This Row],[Code PFI]],"-",Tableau119[[#This Row],[Compte Consignee]])</f>
        <v>FALSO---90017000</v>
      </c>
      <c r="H7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3" s="434" t="str">
        <f>_xlfn.CONCAT(Tableau119[[#This Row],[ID]],"-",Tableau119[[#This Row],[Expiration Date]])</f>
        <v>423-45961</v>
      </c>
      <c r="J7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Chennai-423-FALSO-FALSO-FALSO--45961</v>
      </c>
      <c r="K703" s="119" t="str">
        <f ca="1">IF(COUNTIF(J:J,Tableau119[[#This Row],[Plant-ILN-shipper-POL-Carrier-POD-PFI]])=1,"Non","Oui")</f>
        <v>Non</v>
      </c>
      <c r="L703" s="128" t="str">
        <f>VLOOKUP(Tableau119[[#This Row],[Name Site]],Plant_AILN!A:D,4,FALSE)</f>
        <v>TURKEY</v>
      </c>
      <c r="M703" s="411" t="s">
        <v>173</v>
      </c>
      <c r="N703" s="454">
        <f>VLOOKUP(Tableau119[[#This Row],[Name Site]],Plant_AILN!A:C,3,FALSE)</f>
        <v>90017000</v>
      </c>
      <c r="O703" s="55">
        <f>VLOOKUP(Tableau119[[#This Row],[Compte Consignee]],Order!C:D,2,FALSE)</f>
        <v>7</v>
      </c>
      <c r="P703" s="124" t="s">
        <v>149</v>
      </c>
      <c r="Q703" s="365">
        <f>VLOOKUP(Tableau119[[#This Row],[Name ILN]],Plant_AILN!F:G,2,FALSE)</f>
        <v>2533780546</v>
      </c>
      <c r="R703" s="50">
        <f>VLOOKUP(Tableau119[[#This Row],[Compte ILN]],'DATA ILN'!D:I,6,FALSE)</f>
        <v>9</v>
      </c>
      <c r="S703" s="50" t="e">
        <f>IFERROR(VLOOKUP(Tableau119[[#This Row],[Key(Compte ILN - shipper - POL - plant)]],'DATA ILN'!A:J,10,FALSE),VLOOKUP(Tableau119[[#This Row],[Key(Compte ILN - shipper - POL)]],'DATA ILN'!B:J,9,FALSE))</f>
        <v>#N/A</v>
      </c>
      <c r="T703" s="50" t="e">
        <f>IFERROR(VLOOKUP(Tableau119[[#This Row],[Key(Compte ILN - shipper - POL - plant)]],'DATA ILN'!A:K,11,FALSE),VLOOKUP(Tableau119[[#This Row],[Key(Compte ILN - shipper - POL)]],'DATA ILN'!B:K,10,FALSE))</f>
        <v>#N/A</v>
      </c>
      <c r="U703" s="50" t="e">
        <f>IFERROR(VLOOKUP(Tableau119[[#This Row],[Key(Compte ILN - shipper - POL - plant)]],'DATA ILN'!A:L,12,FALSE),VLOOKUP(Tableau119[[#This Row],[Key(Compte ILN - shipper - POL)]],'DATA ILN'!B:L,11,FALSE))</f>
        <v>#N/A</v>
      </c>
      <c r="V703" s="50" t="e">
        <f>Tableau119[[#This Row],[Day ILN Order]]+Tableau119[[#This Row],[Delivery time to ILN/Shipper]]-1</f>
        <v>#N/A</v>
      </c>
      <c r="W703" s="50" t="e">
        <f>IFERROR(VLOOKUP(Tableau119[[#This Row],[Key(Compte ILN - shipper - POL - plant)]],'DATA ILN'!A:N,14,FALSE),VLOOKUP(Tableau119[[#This Row],[Key(Compte ILN - shipper - POL)]],'DATA ILN'!B:N,13,FALSE))</f>
        <v>#N/A</v>
      </c>
      <c r="X703" s="50" t="e">
        <f>IFERROR(VLOOKUP(Tableau119[[#This Row],[Key(Compte ILN - shipper - POL - plant)]],'DATA ILN'!A:P,16,FALSE),VLOOKUP(Tableau119[[#This Row],[Key(Compte ILN - shipper - POL)]],'DATA ILN'!B:P,15,FALSE))</f>
        <v>#N/A</v>
      </c>
      <c r="Y703" s="284" t="s">
        <v>149</v>
      </c>
      <c r="Z703" s="430">
        <f>IFERROR(VLOOKUP(Tableau119[[#This Row],[Name Shipper]],Plant_AILN!L:M,2,FALSE),0)</f>
        <v>2533780546</v>
      </c>
      <c r="AA703" s="406">
        <v>423</v>
      </c>
      <c r="AB703" s="396" t="b">
        <f>_xlfn.XLOOKUP(Tableau119[[#This Row],[Key(ID-date)]],'DATA BTO'!S:S,'DATA BTO'!E:E,FALSE)</f>
        <v>0</v>
      </c>
      <c r="AC703" s="3" t="b">
        <f>_xlfn.XLOOKUP(Tableau119[[#This Row],[Key(ID-date)]],'DATA BTO'!S:S,'DATA BTO'!F:F,FALSE)</f>
        <v>0</v>
      </c>
      <c r="AD703" s="50" t="b">
        <f>_xlfn.XLOOKUP(Tableau119[[#This Row],[Key(ID-date)]],'DATA BTO'!S:S,'DATA BTO'!G:G,FALSE)</f>
        <v>0</v>
      </c>
      <c r="AE703" s="50" t="b">
        <f>_xlfn.XLOOKUP(Tableau119[[#This Row],[Key(ID-date)]],'DATA BTO'!S:S,'DATA BTO'!H:H,FALSE)</f>
        <v>0</v>
      </c>
      <c r="AF703" s="447" t="e">
        <f>IF(Tableau119[[#This Row],[First Day to POL]]&lt;=Tableau119[[#This Row],[Day Cut Off]],Tableau119[[#This Row],[Day ETD]],Tableau119[[#This Row],[Day ETD]]+7)</f>
        <v>#N/A</v>
      </c>
      <c r="AG703" s="50" t="b">
        <f>_xlfn.XLOOKUP(Tableau119[[#This Row],[Key(ID-date)]],'DATA BTO'!S:S,'DATA BTO'!I:I,FALSE)</f>
        <v>0</v>
      </c>
      <c r="AH703" s="3" t="b">
        <f>_xlfn.XLOOKUP(Tableau119[[#This Row],[Key(ID-date)]],'DATA BTO'!S:S,'DATA BTO'!J:J,FALSE)</f>
        <v>0</v>
      </c>
      <c r="AI703" s="3" t="b">
        <f>_xlfn.XLOOKUP(Tableau119[[#This Row],[Key(ID-date)]],'DATA BTO'!S:S,'DATA BTO'!K:K,FALSE)</f>
        <v>0</v>
      </c>
      <c r="AJ703" s="50" t="b">
        <f>_xlfn.XLOOKUP(Tableau119[[#This Row],[Key(ID-date)]],'DATA BTO'!S:S,'DATA BTO'!L:L,FALSE)</f>
        <v>0</v>
      </c>
      <c r="AK703" s="53" t="b">
        <f>_xlfn.XLOOKUP(Tableau119[[#This Row],[Key(ID-date)]],'DATA BTO'!S:S,'DATA BTO'!N:N,FALSE)</f>
        <v>0</v>
      </c>
      <c r="AL703" s="54" t="e">
        <f>VLOOKUP(Tableau119[[#This Row],[Key(POD -PFI- Usine)]],'DATA Consignee'!A:F,6,FALSE)</f>
        <v>#N/A</v>
      </c>
      <c r="AM703" s="127"/>
      <c r="AN703" s="376" t="str">
        <f>IF(Tableau119[[#This Row],[Name PFI/CDD]]="","-",VLOOKUP(Tableau119[[#This Row],[Name PFI/CDD]],Plant_AILN!I:J,2,FALSE))</f>
        <v>-</v>
      </c>
      <c r="AO70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3" s="2" t="e">
        <f>VLOOKUP(Tableau119[[#This Row],[Key(POD -PFI- Usine)]],'DATA Consignee'!A:J,10,FALSE)</f>
        <v>#N/A</v>
      </c>
      <c r="AR703" s="50" t="e">
        <f>VLOOKUP(Tableau119[[#This Row],[Key(POD -PFI- Usine)]],'DATA Consignee'!A:N,14,FALSE)</f>
        <v>#N/A</v>
      </c>
      <c r="AS70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3" s="50">
        <f>Tableau119[[#This Row],[Transit time]]+Tableau119[[#This Row],[Time for security]]+Tableau119[[#This Row],[Time for security2 buffer]]</f>
        <v>0</v>
      </c>
      <c r="AV7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3" s="50" t="e">
        <f>Tableau119[[#This Row],[Leadtime SI2C]]+Tableau119[[#This Row],[First Receipt Days]]-Tableau119[[#This Row],[Day Customer Order]]+1</f>
        <v>#N/A</v>
      </c>
      <c r="AX703" s="119" t="e">
        <f>IF(Tableau119[[#This Row],[Name ILN]]&lt;&gt;"SFK Freight Forwarder",Tableau119[[#This Row],[Cust. Leadtime]],Tableau119[[#This Row],[Leadtime SI2C]])</f>
        <v>#N/A</v>
      </c>
      <c r="AY703" s="51" t="b">
        <f>_xlfn.XLOOKUP(Tableau119[[#This Row],[Key(ID-date)]],'DATA BTO'!S:S,'DATA BTO'!P:P,FALSE)</f>
        <v>0</v>
      </c>
      <c r="AZ703" s="338">
        <v>45961</v>
      </c>
      <c r="BA703" s="50"/>
    </row>
    <row r="704" spans="2:53">
      <c r="B704" s="446" t="str">
        <f>_xlfn.CONCAT(Tableau119[[#This Row],[Name ILN]],"-",Tableau119[[#This Row],[Name Shipper]],"-",Tableau119[[#This Row],[Name Site]])</f>
        <v>ILN Chennai-ILN Chennai-KARSAN</v>
      </c>
      <c r="C704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04" s="66" t="str">
        <f>_xlfn.CONCAT(Tableau119[[#This Row],[Compte ILN]],"-",Tableau119[[#This Row],[Compte Shipper]],"-",Tableau119[[#This Row],[POL]])</f>
        <v>2533780546-2533780546-FALSO</v>
      </c>
      <c r="E704" s="130" t="str">
        <f>_xlfn.CONCAT(Tableau119[[#This Row],[POL]],"-",Tableau119[[#This Row],[Carrier]],"-",Tableau119[[#This Row],[POD]])</f>
        <v>FALSO-FALSO-FALSO</v>
      </c>
      <c r="F704" s="66" t="str">
        <f>_xlfn.CONCAT(Tableau119[[#This Row],[ID]],"-","Actif")</f>
        <v>423-Actif</v>
      </c>
      <c r="G704" s="66" t="str">
        <f>_xlfn.CONCAT(Tableau119[[#This Row],[POD]],"-",Tableau119[[#This Row],[Code PFI]],"-",Tableau119[[#This Row],[Compte Consignee]])</f>
        <v>FALSO---90022000</v>
      </c>
      <c r="H7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04" s="434" t="str">
        <f>_xlfn.CONCAT(Tableau119[[#This Row],[ID]],"-",Tableau119[[#This Row],[Expiration Date]])</f>
        <v>423-45961</v>
      </c>
      <c r="J7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Chennai-423-FALSO-FALSO-FALSO--45961</v>
      </c>
      <c r="K704" s="119" t="str">
        <f ca="1">IF(COUNTIF(J:J,Tableau119[[#This Row],[Plant-ILN-shipper-POL-Carrier-POD-PFI]])=1,"Non","Oui")</f>
        <v>Non</v>
      </c>
      <c r="L704" s="128" t="str">
        <f>VLOOKUP(Tableau119[[#This Row],[Name Site]],Plant_AILN!A:D,4,FALSE)</f>
        <v>TURKEY</v>
      </c>
      <c r="M704" s="415" t="s">
        <v>235</v>
      </c>
      <c r="N704" s="455">
        <f>VLOOKUP(Tableau119[[#This Row],[Name Site]],Plant_AILN!A:C,3,FALSE)</f>
        <v>90022000</v>
      </c>
      <c r="O704" s="104">
        <f>VLOOKUP(Tableau119[[#This Row],[Compte Consignee]],Order!C:D,2,FALSE)</f>
        <v>7</v>
      </c>
      <c r="P704" s="126" t="s">
        <v>149</v>
      </c>
      <c r="Q704" s="366">
        <f>VLOOKUP(Tableau119[[#This Row],[Name ILN]],Plant_AILN!F:G,2,FALSE)</f>
        <v>2533780546</v>
      </c>
      <c r="R704" s="81">
        <f>VLOOKUP(Tableau119[[#This Row],[Compte ILN]],'DATA ILN'!D:I,6,FALSE)</f>
        <v>9</v>
      </c>
      <c r="S704" s="81" t="e">
        <f>IFERROR(VLOOKUP(Tableau119[[#This Row],[Key(Compte ILN - shipper - POL - plant)]],'DATA ILN'!A:J,10,FALSE),VLOOKUP(Tableau119[[#This Row],[Key(Compte ILN - shipper - POL)]],'DATA ILN'!B:J,9,FALSE))</f>
        <v>#N/A</v>
      </c>
      <c r="T704" s="81" t="e">
        <f>IFERROR(VLOOKUP(Tableau119[[#This Row],[Key(Compte ILN - shipper - POL - plant)]],'DATA ILN'!A:K,11,FALSE),VLOOKUP(Tableau119[[#This Row],[Key(Compte ILN - shipper - POL)]],'DATA ILN'!B:K,10,FALSE))</f>
        <v>#N/A</v>
      </c>
      <c r="U704" s="81" t="e">
        <f>IFERROR(VLOOKUP(Tableau119[[#This Row],[Key(Compte ILN - shipper - POL - plant)]],'DATA ILN'!A:L,12,FALSE),VLOOKUP(Tableau119[[#This Row],[Key(Compte ILN - shipper - POL)]],'DATA ILN'!B:L,11,FALSE))</f>
        <v>#N/A</v>
      </c>
      <c r="V704" s="81" t="e">
        <f>Tableau119[[#This Row],[Day ILN Order]]+Tableau119[[#This Row],[Delivery time to ILN/Shipper]]-1</f>
        <v>#N/A</v>
      </c>
      <c r="W704" s="81" t="e">
        <f>IFERROR(VLOOKUP(Tableau119[[#This Row],[Key(Compte ILN - shipper - POL - plant)]],'DATA ILN'!A:N,14,FALSE),VLOOKUP(Tableau119[[#This Row],[Key(Compte ILN - shipper - POL)]],'DATA ILN'!B:N,13,FALSE))</f>
        <v>#N/A</v>
      </c>
      <c r="X704" s="81" t="e">
        <f>IFERROR(VLOOKUP(Tableau119[[#This Row],[Key(Compte ILN - shipper - POL - plant)]],'DATA ILN'!A:P,16,FALSE),VLOOKUP(Tableau119[[#This Row],[Key(Compte ILN - shipper - POL)]],'DATA ILN'!B:P,15,FALSE))</f>
        <v>#N/A</v>
      </c>
      <c r="Y704" s="102" t="s">
        <v>149</v>
      </c>
      <c r="Z704" s="417">
        <f>IFERROR(VLOOKUP(Tableau119[[#This Row],[Name Shipper]],Plant_AILN!L:M,2,FALSE),0)</f>
        <v>2533780546</v>
      </c>
      <c r="AA704" s="416">
        <v>423</v>
      </c>
      <c r="AB704" s="396" t="b">
        <f>_xlfn.XLOOKUP(Tableau119[[#This Row],[Key(ID-date)]],'DATA BTO'!S:S,'DATA BTO'!E:E,FALSE)</f>
        <v>0</v>
      </c>
      <c r="AC704" s="3" t="b">
        <f>_xlfn.XLOOKUP(Tableau119[[#This Row],[Key(ID-date)]],'DATA BTO'!S:S,'DATA BTO'!F:F,FALSE)</f>
        <v>0</v>
      </c>
      <c r="AD704" s="50" t="b">
        <f>_xlfn.XLOOKUP(Tableau119[[#This Row],[Key(ID-date)]],'DATA BTO'!S:S,'DATA BTO'!G:G,FALSE)</f>
        <v>0</v>
      </c>
      <c r="AE704" s="50" t="b">
        <f>_xlfn.XLOOKUP(Tableau119[[#This Row],[Key(ID-date)]],'DATA BTO'!S:S,'DATA BTO'!H:H,FALSE)</f>
        <v>0</v>
      </c>
      <c r="AF704" s="447" t="e">
        <f>IF(Tableau119[[#This Row],[First Day to POL]]&lt;=Tableau119[[#This Row],[Day Cut Off]],Tableau119[[#This Row],[Day ETD]],Tableau119[[#This Row],[Day ETD]]+7)</f>
        <v>#N/A</v>
      </c>
      <c r="AG704" s="50" t="b">
        <f>_xlfn.XLOOKUP(Tableau119[[#This Row],[Key(ID-date)]],'DATA BTO'!S:S,'DATA BTO'!I:I,FALSE)</f>
        <v>0</v>
      </c>
      <c r="AH704" s="3" t="b">
        <f>_xlfn.XLOOKUP(Tableau119[[#This Row],[Key(ID-date)]],'DATA BTO'!S:S,'DATA BTO'!J:J,FALSE)</f>
        <v>0</v>
      </c>
      <c r="AI704" s="3" t="b">
        <f>_xlfn.XLOOKUP(Tableau119[[#This Row],[Key(ID-date)]],'DATA BTO'!S:S,'DATA BTO'!K:K,FALSE)</f>
        <v>0</v>
      </c>
      <c r="AJ704" s="50" t="b">
        <f>_xlfn.XLOOKUP(Tableau119[[#This Row],[Key(ID-date)]],'DATA BTO'!S:S,'DATA BTO'!L:L,FALSE)</f>
        <v>0</v>
      </c>
      <c r="AK704" s="53" t="b">
        <f>_xlfn.XLOOKUP(Tableau119[[#This Row],[Key(ID-date)]],'DATA BTO'!S:S,'DATA BTO'!N:N,FALSE)</f>
        <v>0</v>
      </c>
      <c r="AL704" s="54" t="e">
        <f>VLOOKUP(Tableau119[[#This Row],[Key(POD -PFI- Usine)]],'DATA Consignee'!A:F,6,FALSE)</f>
        <v>#N/A</v>
      </c>
      <c r="AM704" s="127"/>
      <c r="AN704" s="375" t="str">
        <f>IF(Tableau119[[#This Row],[Name PFI/CDD]]="","-",VLOOKUP(Tableau119[[#This Row],[Name PFI/CDD]],Plant_AILN!I:J,2,FALSE))</f>
        <v>-</v>
      </c>
      <c r="AO70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4" s="110" t="e">
        <f>VLOOKUP(Tableau119[[#This Row],[Key(POD -PFI- Usine)]],'DATA Consignee'!A:J,10,FALSE)</f>
        <v>#N/A</v>
      </c>
      <c r="AR704" s="81" t="e">
        <f>VLOOKUP(Tableau119[[#This Row],[Key(POD -PFI- Usine)]],'DATA Consignee'!A:N,14,FALSE)</f>
        <v>#N/A</v>
      </c>
      <c r="AS70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4" s="81">
        <f>Tableau119[[#This Row],[Transit time]]+Tableau119[[#This Row],[Time for security]]+Tableau119[[#This Row],[Time for security2 buffer]]</f>
        <v>0</v>
      </c>
      <c r="AV7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4" s="50" t="e">
        <f>Tableau119[[#This Row],[Leadtime SI2C]]+Tableau119[[#This Row],[First Receipt Days]]-Tableau119[[#This Row],[Day Customer Order]]+1</f>
        <v>#N/A</v>
      </c>
      <c r="AX704" s="119" t="e">
        <f>IF(Tableau119[[#This Row],[Name ILN]]&lt;&gt;"SFK Freight Forwarder",Tableau119[[#This Row],[Cust. Leadtime]],Tableau119[[#This Row],[Leadtime SI2C]])</f>
        <v>#N/A</v>
      </c>
      <c r="AY704" s="51" t="b">
        <f>_xlfn.XLOOKUP(Tableau119[[#This Row],[Key(ID-date)]],'DATA BTO'!S:S,'DATA BTO'!P:P,FALSE)</f>
        <v>0</v>
      </c>
      <c r="AZ704" s="388">
        <v>45961</v>
      </c>
      <c r="BA704" s="81"/>
    </row>
    <row r="705" spans="2:53">
      <c r="B705" s="446" t="str">
        <f>_xlfn.CONCAT(Tableau119[[#This Row],[Name ILN]],"-",Tableau119[[#This Row],[Name Shipper]],"-",Tableau119[[#This Row],[Name Site]])</f>
        <v>ILN Chennai-ILN Chennai-OYAK MONT</v>
      </c>
      <c r="C705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5" s="66" t="str">
        <f>_xlfn.CONCAT(Tableau119[[#This Row],[Compte ILN]],"-",Tableau119[[#This Row],[Compte Shipper]],"-",Tableau119[[#This Row],[POL]])</f>
        <v>2533780546-2533780546-FALSO</v>
      </c>
      <c r="E705" s="130" t="str">
        <f>_xlfn.CONCAT(Tableau119[[#This Row],[POL]],"-",Tableau119[[#This Row],[Carrier]],"-",Tableau119[[#This Row],[POD]])</f>
        <v>FALSO-FALSO-FALSO</v>
      </c>
      <c r="F705" s="66" t="str">
        <f>_xlfn.CONCAT(Tableau119[[#This Row],[ID]],"-","Actif")</f>
        <v>423-Actif</v>
      </c>
      <c r="G705" s="66" t="str">
        <f>_xlfn.CONCAT(Tableau119[[#This Row],[POD]],"-",Tableau119[[#This Row],[Code PFI]],"-",Tableau119[[#This Row],[Compte Consignee]])</f>
        <v>FALSO---90017000</v>
      </c>
      <c r="H7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5" s="434" t="str">
        <f>_xlfn.CONCAT(Tableau119[[#This Row],[ID]],"-",Tableau119[[#This Row],[Expiration Date]])</f>
        <v>423-45793</v>
      </c>
      <c r="J7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Chennai-423-FALSO-FALSO-FALSO--45793</v>
      </c>
      <c r="K705" s="119" t="str">
        <f ca="1">IF(COUNTIF(J:J,Tableau119[[#This Row],[Plant-ILN-shipper-POL-Carrier-POD-PFI]])=1,"Non","Oui")</f>
        <v>Non</v>
      </c>
      <c r="L705" s="128" t="str">
        <f>VLOOKUP(Tableau119[[#This Row],[Name Site]],Plant_AILN!A:D,4,FALSE)</f>
        <v>TURKEY</v>
      </c>
      <c r="M705" s="411" t="s">
        <v>173</v>
      </c>
      <c r="N705" s="454">
        <f>VLOOKUP(Tableau119[[#This Row],[Name Site]],Plant_AILN!A:C,3,FALSE)</f>
        <v>90017000</v>
      </c>
      <c r="O705" s="55">
        <f>VLOOKUP(Tableau119[[#This Row],[Compte Consignee]],Order!C:D,2,FALSE)</f>
        <v>7</v>
      </c>
      <c r="P705" s="124" t="s">
        <v>149</v>
      </c>
      <c r="Q705" s="365">
        <f>VLOOKUP(Tableau119[[#This Row],[Name ILN]],Plant_AILN!F:G,2,FALSE)</f>
        <v>2533780546</v>
      </c>
      <c r="R705" s="50">
        <f>VLOOKUP(Tableau119[[#This Row],[Compte ILN]],'DATA ILN'!D:I,6,FALSE)</f>
        <v>9</v>
      </c>
      <c r="S705" s="50" t="e">
        <f>IFERROR(VLOOKUP(Tableau119[[#This Row],[Key(Compte ILN - shipper - POL - plant)]],'DATA ILN'!A:J,10,FALSE),VLOOKUP(Tableau119[[#This Row],[Key(Compte ILN - shipper - POL)]],'DATA ILN'!B:J,9,FALSE))</f>
        <v>#N/A</v>
      </c>
      <c r="T705" s="50" t="e">
        <f>IFERROR(VLOOKUP(Tableau119[[#This Row],[Key(Compte ILN - shipper - POL - plant)]],'DATA ILN'!A:K,11,FALSE),VLOOKUP(Tableau119[[#This Row],[Key(Compte ILN - shipper - POL)]],'DATA ILN'!B:K,10,FALSE))</f>
        <v>#N/A</v>
      </c>
      <c r="U705" s="50" t="e">
        <f>IFERROR(VLOOKUP(Tableau119[[#This Row],[Key(Compte ILN - shipper - POL - plant)]],'DATA ILN'!A:L,12,FALSE),VLOOKUP(Tableau119[[#This Row],[Key(Compte ILN - shipper - POL)]],'DATA ILN'!B:L,11,FALSE))</f>
        <v>#N/A</v>
      </c>
      <c r="V705" s="50" t="e">
        <f>Tableau119[[#This Row],[Day ILN Order]]+Tableau119[[#This Row],[Delivery time to ILN/Shipper]]-1</f>
        <v>#N/A</v>
      </c>
      <c r="W705" s="50" t="e">
        <f>IFERROR(VLOOKUP(Tableau119[[#This Row],[Key(Compte ILN - shipper - POL - plant)]],'DATA ILN'!A:N,14,FALSE),VLOOKUP(Tableau119[[#This Row],[Key(Compte ILN - shipper - POL)]],'DATA ILN'!B:N,13,FALSE))</f>
        <v>#N/A</v>
      </c>
      <c r="X705" s="50" t="e">
        <f>IFERROR(VLOOKUP(Tableau119[[#This Row],[Key(Compte ILN - shipper - POL - plant)]],'DATA ILN'!A:P,16,FALSE),VLOOKUP(Tableau119[[#This Row],[Key(Compte ILN - shipper - POL)]],'DATA ILN'!B:P,15,FALSE))</f>
        <v>#N/A</v>
      </c>
      <c r="Y705" s="284" t="s">
        <v>149</v>
      </c>
      <c r="Z705" s="430">
        <f>IFERROR(VLOOKUP(Tableau119[[#This Row],[Name Shipper]],Plant_AILN!L:M,2,FALSE),0)</f>
        <v>2533780546</v>
      </c>
      <c r="AA705" s="406">
        <v>423</v>
      </c>
      <c r="AB705" s="396" t="b">
        <f>_xlfn.XLOOKUP(Tableau119[[#This Row],[Key(ID-date)]],'DATA BTO'!S:S,'DATA BTO'!E:E,FALSE)</f>
        <v>0</v>
      </c>
      <c r="AC705" s="3" t="b">
        <f>_xlfn.XLOOKUP(Tableau119[[#This Row],[Key(ID-date)]],'DATA BTO'!S:S,'DATA BTO'!F:F,FALSE)</f>
        <v>0</v>
      </c>
      <c r="AD705" s="50" t="b">
        <f>_xlfn.XLOOKUP(Tableau119[[#This Row],[Key(ID-date)]],'DATA BTO'!S:S,'DATA BTO'!G:G,FALSE)</f>
        <v>0</v>
      </c>
      <c r="AE705" s="50" t="b">
        <f>_xlfn.XLOOKUP(Tableau119[[#This Row],[Key(ID-date)]],'DATA BTO'!S:S,'DATA BTO'!H:H,FALSE)</f>
        <v>0</v>
      </c>
      <c r="AF705" s="447" t="e">
        <f>IF(Tableau119[[#This Row],[First Day to POL]]&lt;=Tableau119[[#This Row],[Day Cut Off]],Tableau119[[#This Row],[Day ETD]],Tableau119[[#This Row],[Day ETD]]+7)</f>
        <v>#N/A</v>
      </c>
      <c r="AG705" s="50" t="b">
        <f>_xlfn.XLOOKUP(Tableau119[[#This Row],[Key(ID-date)]],'DATA BTO'!S:S,'DATA BTO'!I:I,FALSE)</f>
        <v>0</v>
      </c>
      <c r="AH705" s="3" t="b">
        <f>_xlfn.XLOOKUP(Tableau119[[#This Row],[Key(ID-date)]],'DATA BTO'!S:S,'DATA BTO'!J:J,FALSE)</f>
        <v>0</v>
      </c>
      <c r="AI705" s="3" t="b">
        <f>_xlfn.XLOOKUP(Tableau119[[#This Row],[Key(ID-date)]],'DATA BTO'!S:S,'DATA BTO'!K:K,FALSE)</f>
        <v>0</v>
      </c>
      <c r="AJ705" s="50" t="b">
        <f>_xlfn.XLOOKUP(Tableau119[[#This Row],[Key(ID-date)]],'DATA BTO'!S:S,'DATA BTO'!L:L,FALSE)</f>
        <v>0</v>
      </c>
      <c r="AK705" s="53" t="b">
        <f>_xlfn.XLOOKUP(Tableau119[[#This Row],[Key(ID-date)]],'DATA BTO'!S:S,'DATA BTO'!N:N,FALSE)</f>
        <v>0</v>
      </c>
      <c r="AL705" s="54" t="e">
        <f>VLOOKUP(Tableau119[[#This Row],[Key(POD -PFI- Usine)]],'DATA Consignee'!A:F,6,FALSE)</f>
        <v>#N/A</v>
      </c>
      <c r="AM705" s="127"/>
      <c r="AN705" s="376" t="str">
        <f>IF(Tableau119[[#This Row],[Name PFI/CDD]]="","-",VLOOKUP(Tableau119[[#This Row],[Name PFI/CDD]],Plant_AILN!I:J,2,FALSE))</f>
        <v>-</v>
      </c>
      <c r="AO70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5" s="2" t="e">
        <f>VLOOKUP(Tableau119[[#This Row],[Key(POD -PFI- Usine)]],'DATA Consignee'!A:J,10,FALSE)</f>
        <v>#N/A</v>
      </c>
      <c r="AR705" s="50" t="e">
        <f>VLOOKUP(Tableau119[[#This Row],[Key(POD -PFI- Usine)]],'DATA Consignee'!A:N,14,FALSE)</f>
        <v>#N/A</v>
      </c>
      <c r="AS7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5" s="50">
        <f>Tableau119[[#This Row],[Transit time]]+Tableau119[[#This Row],[Time for security]]+Tableau119[[#This Row],[Time for security2 buffer]]</f>
        <v>0</v>
      </c>
      <c r="AV7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5" s="50" t="e">
        <f>Tableau119[[#This Row],[Leadtime SI2C]]+Tableau119[[#This Row],[First Receipt Days]]-Tableau119[[#This Row],[Day Customer Order]]+1</f>
        <v>#N/A</v>
      </c>
      <c r="AX705" s="119" t="e">
        <f>IF(Tableau119[[#This Row],[Name ILN]]&lt;&gt;"SFK Freight Forwarder",Tableau119[[#This Row],[Cust. Leadtime]],Tableau119[[#This Row],[Leadtime SI2C]])</f>
        <v>#N/A</v>
      </c>
      <c r="AY705" s="51" t="b">
        <f>_xlfn.XLOOKUP(Tableau119[[#This Row],[Key(ID-date)]],'DATA BTO'!S:S,'DATA BTO'!P:P,FALSE)</f>
        <v>0</v>
      </c>
      <c r="AZ705" s="338">
        <v>45793</v>
      </c>
      <c r="BA705" s="50"/>
    </row>
    <row r="706" spans="2:53">
      <c r="B706" s="446" t="str">
        <f>_xlfn.CONCAT(Tableau119[[#This Row],[Name ILN]],"-",Tableau119[[#This Row],[Name Shipper]],"-",Tableau119[[#This Row],[Name Site]])</f>
        <v>ILN Chennai-ILN Chennai-KARSAN</v>
      </c>
      <c r="C706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06" s="66" t="str">
        <f>_xlfn.CONCAT(Tableau119[[#This Row],[Compte ILN]],"-",Tableau119[[#This Row],[Compte Shipper]],"-",Tableau119[[#This Row],[POL]])</f>
        <v>2533780546-2533780546-FALSO</v>
      </c>
      <c r="E706" s="130" t="str">
        <f>_xlfn.CONCAT(Tableau119[[#This Row],[POL]],"-",Tableau119[[#This Row],[Carrier]],"-",Tableau119[[#This Row],[POD]])</f>
        <v>FALSO-FALSO-FALSO</v>
      </c>
      <c r="F706" s="66" t="str">
        <f>_xlfn.CONCAT(Tableau119[[#This Row],[ID]],"-","Actif")</f>
        <v>423-Actif</v>
      </c>
      <c r="G706" s="66" t="str">
        <f>_xlfn.CONCAT(Tableau119[[#This Row],[POD]],"-",Tableau119[[#This Row],[Code PFI]],"-",Tableau119[[#This Row],[Compte Consignee]])</f>
        <v>FALSO---90022000</v>
      </c>
      <c r="H7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06" s="434" t="str">
        <f>_xlfn.CONCAT(Tableau119[[#This Row],[ID]],"-",Tableau119[[#This Row],[Expiration Date]])</f>
        <v>423-45793</v>
      </c>
      <c r="J7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Chennai-423-FALSO-FALSO-FALSO--45793</v>
      </c>
      <c r="K706" s="119" t="str">
        <f ca="1">IF(COUNTIF(J:J,Tableau119[[#This Row],[Plant-ILN-shipper-POL-Carrier-POD-PFI]])=1,"Non","Oui")</f>
        <v>Non</v>
      </c>
      <c r="L706" s="128" t="str">
        <f>VLOOKUP(Tableau119[[#This Row],[Name Site]],Plant_AILN!A:D,4,FALSE)</f>
        <v>TURKEY</v>
      </c>
      <c r="M706" s="411" t="s">
        <v>235</v>
      </c>
      <c r="N706" s="454">
        <f>VLOOKUP(Tableau119[[#This Row],[Name Site]],Plant_AILN!A:C,3,FALSE)</f>
        <v>90022000</v>
      </c>
      <c r="O706" s="55">
        <f>VLOOKUP(Tableau119[[#This Row],[Compte Consignee]],Order!C:D,2,FALSE)</f>
        <v>7</v>
      </c>
      <c r="P706" s="124" t="s">
        <v>149</v>
      </c>
      <c r="Q706" s="365">
        <f>VLOOKUP(Tableau119[[#This Row],[Name ILN]],Plant_AILN!F:G,2,FALSE)</f>
        <v>2533780546</v>
      </c>
      <c r="R706" s="50">
        <f>VLOOKUP(Tableau119[[#This Row],[Compte ILN]],'DATA ILN'!D:I,6,FALSE)</f>
        <v>9</v>
      </c>
      <c r="S706" s="50" t="e">
        <f>IFERROR(VLOOKUP(Tableau119[[#This Row],[Key(Compte ILN - shipper - POL - plant)]],'DATA ILN'!A:J,10,FALSE),VLOOKUP(Tableau119[[#This Row],[Key(Compte ILN - shipper - POL)]],'DATA ILN'!B:J,9,FALSE))</f>
        <v>#N/A</v>
      </c>
      <c r="T706" s="50" t="e">
        <f>IFERROR(VLOOKUP(Tableau119[[#This Row],[Key(Compte ILN - shipper - POL - plant)]],'DATA ILN'!A:K,11,FALSE),VLOOKUP(Tableau119[[#This Row],[Key(Compte ILN - shipper - POL)]],'DATA ILN'!B:K,10,FALSE))</f>
        <v>#N/A</v>
      </c>
      <c r="U706" s="50" t="e">
        <f>IFERROR(VLOOKUP(Tableau119[[#This Row],[Key(Compte ILN - shipper - POL - plant)]],'DATA ILN'!A:L,12,FALSE),VLOOKUP(Tableau119[[#This Row],[Key(Compte ILN - shipper - POL)]],'DATA ILN'!B:L,11,FALSE))</f>
        <v>#N/A</v>
      </c>
      <c r="V706" s="50" t="e">
        <f>Tableau119[[#This Row],[Day ILN Order]]+Tableau119[[#This Row],[Delivery time to ILN/Shipper]]-1</f>
        <v>#N/A</v>
      </c>
      <c r="W706" s="50" t="e">
        <f>IFERROR(VLOOKUP(Tableau119[[#This Row],[Key(Compte ILN - shipper - POL - plant)]],'DATA ILN'!A:N,14,FALSE),VLOOKUP(Tableau119[[#This Row],[Key(Compte ILN - shipper - POL)]],'DATA ILN'!B:N,13,FALSE))</f>
        <v>#N/A</v>
      </c>
      <c r="X706" s="50" t="e">
        <f>IFERROR(VLOOKUP(Tableau119[[#This Row],[Key(Compte ILN - shipper - POL - plant)]],'DATA ILN'!A:P,16,FALSE),VLOOKUP(Tableau119[[#This Row],[Key(Compte ILN - shipper - POL)]],'DATA ILN'!B:P,15,FALSE))</f>
        <v>#N/A</v>
      </c>
      <c r="Y706" s="284" t="s">
        <v>149</v>
      </c>
      <c r="Z706" s="430">
        <f>IFERROR(VLOOKUP(Tableau119[[#This Row],[Name Shipper]],Plant_AILN!L:M,2,FALSE),0)</f>
        <v>2533780546</v>
      </c>
      <c r="AA706" s="406">
        <v>423</v>
      </c>
      <c r="AB706" s="396" t="b">
        <f>_xlfn.XLOOKUP(Tableau119[[#This Row],[Key(ID-date)]],'DATA BTO'!S:S,'DATA BTO'!E:E,FALSE)</f>
        <v>0</v>
      </c>
      <c r="AC706" s="3" t="b">
        <f>_xlfn.XLOOKUP(Tableau119[[#This Row],[Key(ID-date)]],'DATA BTO'!S:S,'DATA BTO'!F:F,FALSE)</f>
        <v>0</v>
      </c>
      <c r="AD706" s="50" t="b">
        <f>_xlfn.XLOOKUP(Tableau119[[#This Row],[Key(ID-date)]],'DATA BTO'!S:S,'DATA BTO'!G:G,FALSE)</f>
        <v>0</v>
      </c>
      <c r="AE706" s="50" t="b">
        <f>_xlfn.XLOOKUP(Tableau119[[#This Row],[Key(ID-date)]],'DATA BTO'!S:S,'DATA BTO'!H:H,FALSE)</f>
        <v>0</v>
      </c>
      <c r="AF706" s="447" t="e">
        <f>IF(Tableau119[[#This Row],[First Day to POL]]&lt;=Tableau119[[#This Row],[Day Cut Off]],Tableau119[[#This Row],[Day ETD]],Tableau119[[#This Row],[Day ETD]]+7)</f>
        <v>#N/A</v>
      </c>
      <c r="AG706" s="50" t="b">
        <f>_xlfn.XLOOKUP(Tableau119[[#This Row],[Key(ID-date)]],'DATA BTO'!S:S,'DATA BTO'!I:I,FALSE)</f>
        <v>0</v>
      </c>
      <c r="AH706" s="3" t="b">
        <f>_xlfn.XLOOKUP(Tableau119[[#This Row],[Key(ID-date)]],'DATA BTO'!S:S,'DATA BTO'!J:J,FALSE)</f>
        <v>0</v>
      </c>
      <c r="AI706" s="3" t="b">
        <f>_xlfn.XLOOKUP(Tableau119[[#This Row],[Key(ID-date)]],'DATA BTO'!S:S,'DATA BTO'!K:K,FALSE)</f>
        <v>0</v>
      </c>
      <c r="AJ706" s="50" t="b">
        <f>_xlfn.XLOOKUP(Tableau119[[#This Row],[Key(ID-date)]],'DATA BTO'!S:S,'DATA BTO'!L:L,FALSE)</f>
        <v>0</v>
      </c>
      <c r="AK706" s="53" t="b">
        <f>_xlfn.XLOOKUP(Tableau119[[#This Row],[Key(ID-date)]],'DATA BTO'!S:S,'DATA BTO'!N:N,FALSE)</f>
        <v>0</v>
      </c>
      <c r="AL706" s="54" t="e">
        <f>VLOOKUP(Tableau119[[#This Row],[Key(POD -PFI- Usine)]],'DATA Consignee'!A:F,6,FALSE)</f>
        <v>#N/A</v>
      </c>
      <c r="AM706" s="127"/>
      <c r="AN706" s="376" t="str">
        <f>IF(Tableau119[[#This Row],[Name PFI/CDD]]="","-",VLOOKUP(Tableau119[[#This Row],[Name PFI/CDD]],Plant_AILN!I:J,2,FALSE))</f>
        <v>-</v>
      </c>
      <c r="AO70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6" s="2" t="e">
        <f>VLOOKUP(Tableau119[[#This Row],[Key(POD -PFI- Usine)]],'DATA Consignee'!A:J,10,FALSE)</f>
        <v>#N/A</v>
      </c>
      <c r="AR706" s="50" t="e">
        <f>VLOOKUP(Tableau119[[#This Row],[Key(POD -PFI- Usine)]],'DATA Consignee'!A:N,14,FALSE)</f>
        <v>#N/A</v>
      </c>
      <c r="AS70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6" s="50">
        <f>Tableau119[[#This Row],[Transit time]]+Tableau119[[#This Row],[Time for security]]+Tableau119[[#This Row],[Time for security2 buffer]]</f>
        <v>0</v>
      </c>
      <c r="AV7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6" s="50" t="e">
        <f>Tableau119[[#This Row],[Leadtime SI2C]]+Tableau119[[#This Row],[First Receipt Days]]-Tableau119[[#This Row],[Day Customer Order]]+1</f>
        <v>#N/A</v>
      </c>
      <c r="AX706" s="119" t="e">
        <f>IF(Tableau119[[#This Row],[Name ILN]]&lt;&gt;"SFK Freight Forwarder",Tableau119[[#This Row],[Cust. Leadtime]],Tableau119[[#This Row],[Leadtime SI2C]])</f>
        <v>#N/A</v>
      </c>
      <c r="AY706" s="51" t="b">
        <f>_xlfn.XLOOKUP(Tableau119[[#This Row],[Key(ID-date)]],'DATA BTO'!S:S,'DATA BTO'!P:P,FALSE)</f>
        <v>0</v>
      </c>
      <c r="AZ706" s="338">
        <v>45793</v>
      </c>
      <c r="BA706" s="50"/>
    </row>
    <row r="707" spans="2:53">
      <c r="B707" s="446" t="str">
        <f>_xlfn.CONCAT(Tableau119[[#This Row],[Name ILN]],"-",Tableau119[[#This Row],[Name Shipper]],"-",Tableau119[[#This Row],[Name Site]])</f>
        <v>ILN Chennai-ILN Chennai-OYAK MONT</v>
      </c>
      <c r="C707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7" s="66" t="str">
        <f>_xlfn.CONCAT(Tableau119[[#This Row],[Compte ILN]],"-",Tableau119[[#This Row],[Compte Shipper]],"-",Tableau119[[#This Row],[POL]])</f>
        <v>2533780546-2533780546-FALSO</v>
      </c>
      <c r="E707" s="130" t="str">
        <f>_xlfn.CONCAT(Tableau119[[#This Row],[POL]],"-",Tableau119[[#This Row],[Carrier]],"-",Tableau119[[#This Row],[POD]])</f>
        <v>FALSO-FALSO-FALSO</v>
      </c>
      <c r="F707" s="66" t="str">
        <f>_xlfn.CONCAT(Tableau119[[#This Row],[ID]],"-","Actif")</f>
        <v>423-Actif</v>
      </c>
      <c r="G707" s="66" t="str">
        <f>_xlfn.CONCAT(Tableau119[[#This Row],[POD]],"-",Tableau119[[#This Row],[Code PFI]],"-",Tableau119[[#This Row],[Compte Consignee]])</f>
        <v>FALSO---90017000</v>
      </c>
      <c r="H7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7" s="434" t="str">
        <f>_xlfn.CONCAT(Tableau119[[#This Row],[ID]],"-",Tableau119[[#This Row],[Expiration Date]])</f>
        <v>423-45777</v>
      </c>
      <c r="J7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Chennai-423-FALSO-FALSO-FALSO--45777</v>
      </c>
      <c r="K707" s="119" t="str">
        <f ca="1">IF(COUNTIF(J:J,Tableau119[[#This Row],[Plant-ILN-shipper-POL-Carrier-POD-PFI]])=1,"Non","Oui")</f>
        <v>Non</v>
      </c>
      <c r="L707" s="128" t="str">
        <f>VLOOKUP(Tableau119[[#This Row],[Name Site]],Plant_AILN!A:D,4,FALSE)</f>
        <v>TURKEY</v>
      </c>
      <c r="M707" s="415" t="s">
        <v>173</v>
      </c>
      <c r="N707" s="455">
        <f>VLOOKUP(Tableau119[[#This Row],[Name Site]],Plant_AILN!A:C,3,FALSE)</f>
        <v>90017000</v>
      </c>
      <c r="O707" s="104">
        <f>VLOOKUP(Tableau119[[#This Row],[Compte Consignee]],Order!C:D,2,FALSE)</f>
        <v>7</v>
      </c>
      <c r="P707" s="126" t="s">
        <v>149</v>
      </c>
      <c r="Q707" s="366">
        <f>VLOOKUP(Tableau119[[#This Row],[Name ILN]],Plant_AILN!F:G,2,FALSE)</f>
        <v>2533780546</v>
      </c>
      <c r="R707" s="81">
        <f>VLOOKUP(Tableau119[[#This Row],[Compte ILN]],'DATA ILN'!D:I,6,FALSE)</f>
        <v>9</v>
      </c>
      <c r="S707" s="81" t="e">
        <f>IFERROR(VLOOKUP(Tableau119[[#This Row],[Key(Compte ILN - shipper - POL - plant)]],'DATA ILN'!A:J,10,FALSE),VLOOKUP(Tableau119[[#This Row],[Key(Compte ILN - shipper - POL)]],'DATA ILN'!B:J,9,FALSE))</f>
        <v>#N/A</v>
      </c>
      <c r="T707" s="81" t="e">
        <f>IFERROR(VLOOKUP(Tableau119[[#This Row],[Key(Compte ILN - shipper - POL - plant)]],'DATA ILN'!A:K,11,FALSE),VLOOKUP(Tableau119[[#This Row],[Key(Compte ILN - shipper - POL)]],'DATA ILN'!B:K,10,FALSE))</f>
        <v>#N/A</v>
      </c>
      <c r="U707" s="81" t="e">
        <f>IFERROR(VLOOKUP(Tableau119[[#This Row],[Key(Compte ILN - shipper - POL - plant)]],'DATA ILN'!A:L,12,FALSE),VLOOKUP(Tableau119[[#This Row],[Key(Compte ILN - shipper - POL)]],'DATA ILN'!B:L,11,FALSE))</f>
        <v>#N/A</v>
      </c>
      <c r="V707" s="81" t="e">
        <f>Tableau119[[#This Row],[Day ILN Order]]+Tableau119[[#This Row],[Delivery time to ILN/Shipper]]-1</f>
        <v>#N/A</v>
      </c>
      <c r="W707" s="81" t="e">
        <f>IFERROR(VLOOKUP(Tableau119[[#This Row],[Key(Compte ILN - shipper - POL - plant)]],'DATA ILN'!A:N,14,FALSE),VLOOKUP(Tableau119[[#This Row],[Key(Compte ILN - shipper - POL)]],'DATA ILN'!B:N,13,FALSE))</f>
        <v>#N/A</v>
      </c>
      <c r="X707" s="81" t="e">
        <f>IFERROR(VLOOKUP(Tableau119[[#This Row],[Key(Compte ILN - shipper - POL - plant)]],'DATA ILN'!A:P,16,FALSE),VLOOKUP(Tableau119[[#This Row],[Key(Compte ILN - shipper - POL)]],'DATA ILN'!B:P,15,FALSE))</f>
        <v>#N/A</v>
      </c>
      <c r="Y707" s="102" t="s">
        <v>149</v>
      </c>
      <c r="Z707" s="417">
        <f>IFERROR(VLOOKUP(Tableau119[[#This Row],[Name Shipper]],Plant_AILN!L:M,2,FALSE),0)</f>
        <v>2533780546</v>
      </c>
      <c r="AA707" s="416">
        <v>423</v>
      </c>
      <c r="AB707" s="396" t="b">
        <f>_xlfn.XLOOKUP(Tableau119[[#This Row],[Key(ID-date)]],'DATA BTO'!S:S,'DATA BTO'!E:E,FALSE)</f>
        <v>0</v>
      </c>
      <c r="AC707" s="3" t="b">
        <f>_xlfn.XLOOKUP(Tableau119[[#This Row],[Key(ID-date)]],'DATA BTO'!S:S,'DATA BTO'!F:F,FALSE)</f>
        <v>0</v>
      </c>
      <c r="AD707" s="50" t="b">
        <f>_xlfn.XLOOKUP(Tableau119[[#This Row],[Key(ID-date)]],'DATA BTO'!S:S,'DATA BTO'!G:G,FALSE)</f>
        <v>0</v>
      </c>
      <c r="AE707" s="50" t="b">
        <f>_xlfn.XLOOKUP(Tableau119[[#This Row],[Key(ID-date)]],'DATA BTO'!S:S,'DATA BTO'!H:H,FALSE)</f>
        <v>0</v>
      </c>
      <c r="AF707" s="447" t="e">
        <f>IF(Tableau119[[#This Row],[First Day to POL]]&lt;=Tableau119[[#This Row],[Day Cut Off]],Tableau119[[#This Row],[Day ETD]],Tableau119[[#This Row],[Day ETD]]+7)</f>
        <v>#N/A</v>
      </c>
      <c r="AG707" s="50" t="b">
        <f>_xlfn.XLOOKUP(Tableau119[[#This Row],[Key(ID-date)]],'DATA BTO'!S:S,'DATA BTO'!I:I,FALSE)</f>
        <v>0</v>
      </c>
      <c r="AH707" s="3" t="b">
        <f>_xlfn.XLOOKUP(Tableau119[[#This Row],[Key(ID-date)]],'DATA BTO'!S:S,'DATA BTO'!J:J,FALSE)</f>
        <v>0</v>
      </c>
      <c r="AI707" s="3" t="b">
        <f>_xlfn.XLOOKUP(Tableau119[[#This Row],[Key(ID-date)]],'DATA BTO'!S:S,'DATA BTO'!K:K,FALSE)</f>
        <v>0</v>
      </c>
      <c r="AJ707" s="50" t="b">
        <f>_xlfn.XLOOKUP(Tableau119[[#This Row],[Key(ID-date)]],'DATA BTO'!S:S,'DATA BTO'!L:L,FALSE)</f>
        <v>0</v>
      </c>
      <c r="AK707" s="53" t="b">
        <f>_xlfn.XLOOKUP(Tableau119[[#This Row],[Key(ID-date)]],'DATA BTO'!S:S,'DATA BTO'!N:N,FALSE)</f>
        <v>0</v>
      </c>
      <c r="AL707" s="54" t="e">
        <f>VLOOKUP(Tableau119[[#This Row],[Key(POD -PFI- Usine)]],'DATA Consignee'!A:F,6,FALSE)</f>
        <v>#N/A</v>
      </c>
      <c r="AM707" s="127"/>
      <c r="AN707" s="375" t="str">
        <f>IF(Tableau119[[#This Row],[Name PFI/CDD]]="","-",VLOOKUP(Tableau119[[#This Row],[Name PFI/CDD]],Plant_AILN!I:J,2,FALSE))</f>
        <v>-</v>
      </c>
      <c r="AO70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7" s="110" t="e">
        <f>VLOOKUP(Tableau119[[#This Row],[Key(POD -PFI- Usine)]],'DATA Consignee'!A:J,10,FALSE)</f>
        <v>#N/A</v>
      </c>
      <c r="AR707" s="81" t="e">
        <f>VLOOKUP(Tableau119[[#This Row],[Key(POD -PFI- Usine)]],'DATA Consignee'!A:N,14,FALSE)</f>
        <v>#N/A</v>
      </c>
      <c r="AS70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7" s="81">
        <f>Tableau119[[#This Row],[Transit time]]+Tableau119[[#This Row],[Time for security]]+Tableau119[[#This Row],[Time for security2 buffer]]</f>
        <v>0</v>
      </c>
      <c r="AV7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7" s="50" t="e">
        <f>Tableau119[[#This Row],[Leadtime SI2C]]+Tableau119[[#This Row],[First Receipt Days]]-Tableau119[[#This Row],[Day Customer Order]]+1</f>
        <v>#N/A</v>
      </c>
      <c r="AX707" s="119" t="e">
        <f>IF(Tableau119[[#This Row],[Name ILN]]&lt;&gt;"SFK Freight Forwarder",Tableau119[[#This Row],[Cust. Leadtime]],Tableau119[[#This Row],[Leadtime SI2C]])</f>
        <v>#N/A</v>
      </c>
      <c r="AY707" s="51" t="b">
        <f>_xlfn.XLOOKUP(Tableau119[[#This Row],[Key(ID-date)]],'DATA BTO'!S:S,'DATA BTO'!P:P,FALSE)</f>
        <v>0</v>
      </c>
      <c r="AZ707" s="388">
        <v>45777</v>
      </c>
      <c r="BA707" s="81"/>
    </row>
    <row r="708" spans="2:53">
      <c r="B708" s="446" t="str">
        <f>_xlfn.CONCAT(Tableau119[[#This Row],[Name ILN]],"-",Tableau119[[#This Row],[Name Shipper]],"-",Tableau119[[#This Row],[Name Site]])</f>
        <v>ILN Chennai-ILN Chennai-KARSAN</v>
      </c>
      <c r="C708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08" s="66" t="str">
        <f>_xlfn.CONCAT(Tableau119[[#This Row],[Compte ILN]],"-",Tableau119[[#This Row],[Compte Shipper]],"-",Tableau119[[#This Row],[POL]])</f>
        <v>2533780546-2533780546-FALSO</v>
      </c>
      <c r="E708" s="130" t="str">
        <f>_xlfn.CONCAT(Tableau119[[#This Row],[POL]],"-",Tableau119[[#This Row],[Carrier]],"-",Tableau119[[#This Row],[POD]])</f>
        <v>FALSO-FALSO-FALSO</v>
      </c>
      <c r="F708" s="66" t="str">
        <f>_xlfn.CONCAT(Tableau119[[#This Row],[ID]],"-","Actif")</f>
        <v>423-Actif</v>
      </c>
      <c r="G708" s="66" t="str">
        <f>_xlfn.CONCAT(Tableau119[[#This Row],[POD]],"-",Tableau119[[#This Row],[Code PFI]],"-",Tableau119[[#This Row],[Compte Consignee]])</f>
        <v>FALSO---90022000</v>
      </c>
      <c r="H7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08" s="434" t="str">
        <f>_xlfn.CONCAT(Tableau119[[#This Row],[ID]],"-",Tableau119[[#This Row],[Expiration Date]])</f>
        <v>423-45777</v>
      </c>
      <c r="J7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Chennai-423-FALSO-FALSO-FALSO--45777</v>
      </c>
      <c r="K708" s="119" t="str">
        <f ca="1">IF(COUNTIF(J:J,Tableau119[[#This Row],[Plant-ILN-shipper-POL-Carrier-POD-PFI]])=1,"Non","Oui")</f>
        <v>Non</v>
      </c>
      <c r="L708" s="128" t="str">
        <f>VLOOKUP(Tableau119[[#This Row],[Name Site]],Plant_AILN!A:D,4,FALSE)</f>
        <v>TURKEY</v>
      </c>
      <c r="M708" s="411" t="s">
        <v>235</v>
      </c>
      <c r="N708" s="454">
        <f>VLOOKUP(Tableau119[[#This Row],[Name Site]],Plant_AILN!A:C,3,FALSE)</f>
        <v>90022000</v>
      </c>
      <c r="O708" s="55">
        <f>VLOOKUP(Tableau119[[#This Row],[Compte Consignee]],Order!C:D,2,FALSE)</f>
        <v>7</v>
      </c>
      <c r="P708" s="124" t="s">
        <v>149</v>
      </c>
      <c r="Q708" s="365">
        <f>VLOOKUP(Tableau119[[#This Row],[Name ILN]],Plant_AILN!F:G,2,FALSE)</f>
        <v>2533780546</v>
      </c>
      <c r="R708" s="50">
        <f>VLOOKUP(Tableau119[[#This Row],[Compte ILN]],'DATA ILN'!D:I,6,FALSE)</f>
        <v>9</v>
      </c>
      <c r="S708" s="50" t="e">
        <f>IFERROR(VLOOKUP(Tableau119[[#This Row],[Key(Compte ILN - shipper - POL - plant)]],'DATA ILN'!A:J,10,FALSE),VLOOKUP(Tableau119[[#This Row],[Key(Compte ILN - shipper - POL)]],'DATA ILN'!B:J,9,FALSE))</f>
        <v>#N/A</v>
      </c>
      <c r="T708" s="50" t="e">
        <f>IFERROR(VLOOKUP(Tableau119[[#This Row],[Key(Compte ILN - shipper - POL - plant)]],'DATA ILN'!A:K,11,FALSE),VLOOKUP(Tableau119[[#This Row],[Key(Compte ILN - shipper - POL)]],'DATA ILN'!B:K,10,FALSE))</f>
        <v>#N/A</v>
      </c>
      <c r="U708" s="50" t="e">
        <f>IFERROR(VLOOKUP(Tableau119[[#This Row],[Key(Compte ILN - shipper - POL - plant)]],'DATA ILN'!A:L,12,FALSE),VLOOKUP(Tableau119[[#This Row],[Key(Compte ILN - shipper - POL)]],'DATA ILN'!B:L,11,FALSE))</f>
        <v>#N/A</v>
      </c>
      <c r="V708" s="50" t="e">
        <f>Tableau119[[#This Row],[Day ILN Order]]+Tableau119[[#This Row],[Delivery time to ILN/Shipper]]-1</f>
        <v>#N/A</v>
      </c>
      <c r="W708" s="50" t="e">
        <f>IFERROR(VLOOKUP(Tableau119[[#This Row],[Key(Compte ILN - shipper - POL - plant)]],'DATA ILN'!A:N,14,FALSE),VLOOKUP(Tableau119[[#This Row],[Key(Compte ILN - shipper - POL)]],'DATA ILN'!B:N,13,FALSE))</f>
        <v>#N/A</v>
      </c>
      <c r="X708" s="50" t="e">
        <f>IFERROR(VLOOKUP(Tableau119[[#This Row],[Key(Compte ILN - shipper - POL - plant)]],'DATA ILN'!A:P,16,FALSE),VLOOKUP(Tableau119[[#This Row],[Key(Compte ILN - shipper - POL)]],'DATA ILN'!B:P,15,FALSE))</f>
        <v>#N/A</v>
      </c>
      <c r="Y708" s="284" t="s">
        <v>149</v>
      </c>
      <c r="Z708" s="430">
        <f>IFERROR(VLOOKUP(Tableau119[[#This Row],[Name Shipper]],Plant_AILN!L:M,2,FALSE),0)</f>
        <v>2533780546</v>
      </c>
      <c r="AA708" s="406">
        <v>423</v>
      </c>
      <c r="AB708" s="396" t="b">
        <f>_xlfn.XLOOKUP(Tableau119[[#This Row],[Key(ID-date)]],'DATA BTO'!S:S,'DATA BTO'!E:E,FALSE)</f>
        <v>0</v>
      </c>
      <c r="AC708" s="3" t="b">
        <f>_xlfn.XLOOKUP(Tableau119[[#This Row],[Key(ID-date)]],'DATA BTO'!S:S,'DATA BTO'!F:F,FALSE)</f>
        <v>0</v>
      </c>
      <c r="AD708" s="50" t="b">
        <f>_xlfn.XLOOKUP(Tableau119[[#This Row],[Key(ID-date)]],'DATA BTO'!S:S,'DATA BTO'!G:G,FALSE)</f>
        <v>0</v>
      </c>
      <c r="AE708" s="50" t="b">
        <f>_xlfn.XLOOKUP(Tableau119[[#This Row],[Key(ID-date)]],'DATA BTO'!S:S,'DATA BTO'!H:H,FALSE)</f>
        <v>0</v>
      </c>
      <c r="AF708" s="447" t="e">
        <f>IF(Tableau119[[#This Row],[First Day to POL]]&lt;=Tableau119[[#This Row],[Day Cut Off]],Tableau119[[#This Row],[Day ETD]],Tableau119[[#This Row],[Day ETD]]+7)</f>
        <v>#N/A</v>
      </c>
      <c r="AG708" s="50" t="b">
        <f>_xlfn.XLOOKUP(Tableau119[[#This Row],[Key(ID-date)]],'DATA BTO'!S:S,'DATA BTO'!I:I,FALSE)</f>
        <v>0</v>
      </c>
      <c r="AH708" s="3" t="b">
        <f>_xlfn.XLOOKUP(Tableau119[[#This Row],[Key(ID-date)]],'DATA BTO'!S:S,'DATA BTO'!J:J,FALSE)</f>
        <v>0</v>
      </c>
      <c r="AI708" s="3" t="b">
        <f>_xlfn.XLOOKUP(Tableau119[[#This Row],[Key(ID-date)]],'DATA BTO'!S:S,'DATA BTO'!K:K,FALSE)</f>
        <v>0</v>
      </c>
      <c r="AJ708" s="50" t="b">
        <f>_xlfn.XLOOKUP(Tableau119[[#This Row],[Key(ID-date)]],'DATA BTO'!S:S,'DATA BTO'!L:L,FALSE)</f>
        <v>0</v>
      </c>
      <c r="AK708" s="53" t="b">
        <f>_xlfn.XLOOKUP(Tableau119[[#This Row],[Key(ID-date)]],'DATA BTO'!S:S,'DATA BTO'!N:N,FALSE)</f>
        <v>0</v>
      </c>
      <c r="AL708" s="54" t="e">
        <f>VLOOKUP(Tableau119[[#This Row],[Key(POD -PFI- Usine)]],'DATA Consignee'!A:F,6,FALSE)</f>
        <v>#N/A</v>
      </c>
      <c r="AM708" s="127"/>
      <c r="AN708" s="376" t="str">
        <f>IF(Tableau119[[#This Row],[Name PFI/CDD]]="","-",VLOOKUP(Tableau119[[#This Row],[Name PFI/CDD]],Plant_AILN!I:J,2,FALSE))</f>
        <v>-</v>
      </c>
      <c r="AO70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8" s="2" t="e">
        <f>VLOOKUP(Tableau119[[#This Row],[Key(POD -PFI- Usine)]],'DATA Consignee'!A:J,10,FALSE)</f>
        <v>#N/A</v>
      </c>
      <c r="AR708" s="50" t="e">
        <f>VLOOKUP(Tableau119[[#This Row],[Key(POD -PFI- Usine)]],'DATA Consignee'!A:N,14,FALSE)</f>
        <v>#N/A</v>
      </c>
      <c r="AS7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8" s="50">
        <f>Tableau119[[#This Row],[Transit time]]+Tableau119[[#This Row],[Time for security]]+Tableau119[[#This Row],[Time for security2 buffer]]</f>
        <v>0</v>
      </c>
      <c r="AV7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8" s="50" t="e">
        <f>Tableau119[[#This Row],[Leadtime SI2C]]+Tableau119[[#This Row],[First Receipt Days]]-Tableau119[[#This Row],[Day Customer Order]]+1</f>
        <v>#N/A</v>
      </c>
      <c r="AX708" s="119" t="e">
        <f>IF(Tableau119[[#This Row],[Name ILN]]&lt;&gt;"SFK Freight Forwarder",Tableau119[[#This Row],[Cust. Leadtime]],Tableau119[[#This Row],[Leadtime SI2C]])</f>
        <v>#N/A</v>
      </c>
      <c r="AY708" s="51" t="b">
        <f>_xlfn.XLOOKUP(Tableau119[[#This Row],[Key(ID-date)]],'DATA BTO'!S:S,'DATA BTO'!P:P,FALSE)</f>
        <v>0</v>
      </c>
      <c r="AZ708" s="338">
        <v>45777</v>
      </c>
      <c r="BA708" s="50"/>
    </row>
    <row r="709" spans="2:53">
      <c r="B709" s="446" t="str">
        <f>_xlfn.CONCAT(Tableau119[[#This Row],[Name ILN]],"-",Tableau119[[#This Row],[Name Shipper]],"-",Tableau119[[#This Row],[Name Site]])</f>
        <v>ILN Chennai-ILN Chennai-OYAK MONT</v>
      </c>
      <c r="C709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09" s="66" t="str">
        <f>_xlfn.CONCAT(Tableau119[[#This Row],[Compte ILN]],"-",Tableau119[[#This Row],[Compte Shipper]],"-",Tableau119[[#This Row],[POL]])</f>
        <v>2533780546-2533780546-FALSO</v>
      </c>
      <c r="E709" s="130" t="str">
        <f>_xlfn.CONCAT(Tableau119[[#This Row],[POL]],"-",Tableau119[[#This Row],[Carrier]],"-",Tableau119[[#This Row],[POD]])</f>
        <v>FALSO-FALSO-FALSO</v>
      </c>
      <c r="F709" s="66" t="str">
        <f>_xlfn.CONCAT(Tableau119[[#This Row],[ID]],"-","Actif")</f>
        <v>423-Actif</v>
      </c>
      <c r="G709" s="66" t="str">
        <f>_xlfn.CONCAT(Tableau119[[#This Row],[POD]],"-",Tableau119[[#This Row],[Code PFI]],"-",Tableau119[[#This Row],[Compte Consignee]])</f>
        <v>FALSO---90017000</v>
      </c>
      <c r="H7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09" s="434" t="str">
        <f>_xlfn.CONCAT(Tableau119[[#This Row],[ID]],"-",Tableau119[[#This Row],[Expiration Date]])</f>
        <v>423-45473</v>
      </c>
      <c r="J7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Chennai-423-FALSO-FALSO-FALSO--45473</v>
      </c>
      <c r="K709" s="119" t="str">
        <f ca="1">IF(COUNTIF(J:J,Tableau119[[#This Row],[Plant-ILN-shipper-POL-Carrier-POD-PFI]])=1,"Non","Oui")</f>
        <v>Non</v>
      </c>
      <c r="L709" s="128" t="str">
        <f>VLOOKUP(Tableau119[[#This Row],[Name Site]],Plant_AILN!A:D,4,FALSE)</f>
        <v>TURKEY</v>
      </c>
      <c r="M709" s="411" t="s">
        <v>173</v>
      </c>
      <c r="N709" s="454">
        <f>VLOOKUP(Tableau119[[#This Row],[Name Site]],Plant_AILN!A:C,3,FALSE)</f>
        <v>90017000</v>
      </c>
      <c r="O709" s="55">
        <f>VLOOKUP(Tableau119[[#This Row],[Compte Consignee]],Order!C:D,2,FALSE)</f>
        <v>7</v>
      </c>
      <c r="P709" s="124" t="s">
        <v>149</v>
      </c>
      <c r="Q709" s="365">
        <f>VLOOKUP(Tableau119[[#This Row],[Name ILN]],Plant_AILN!F:G,2,FALSE)</f>
        <v>2533780546</v>
      </c>
      <c r="R709" s="50">
        <f>VLOOKUP(Tableau119[[#This Row],[Compte ILN]],'DATA ILN'!D:I,6,FALSE)</f>
        <v>9</v>
      </c>
      <c r="S709" s="50" t="e">
        <f>IFERROR(VLOOKUP(Tableau119[[#This Row],[Key(Compte ILN - shipper - POL - plant)]],'DATA ILN'!A:J,10,FALSE),VLOOKUP(Tableau119[[#This Row],[Key(Compte ILN - shipper - POL)]],'DATA ILN'!B:J,9,FALSE))</f>
        <v>#N/A</v>
      </c>
      <c r="T709" s="50" t="e">
        <f>IFERROR(VLOOKUP(Tableau119[[#This Row],[Key(Compte ILN - shipper - POL - plant)]],'DATA ILN'!A:K,11,FALSE),VLOOKUP(Tableau119[[#This Row],[Key(Compte ILN - shipper - POL)]],'DATA ILN'!B:K,10,FALSE))</f>
        <v>#N/A</v>
      </c>
      <c r="U709" s="50" t="e">
        <f>IFERROR(VLOOKUP(Tableau119[[#This Row],[Key(Compte ILN - shipper - POL - plant)]],'DATA ILN'!A:L,12,FALSE),VLOOKUP(Tableau119[[#This Row],[Key(Compte ILN - shipper - POL)]],'DATA ILN'!B:L,11,FALSE))</f>
        <v>#N/A</v>
      </c>
      <c r="V709" s="50" t="e">
        <f>Tableau119[[#This Row],[Day ILN Order]]+Tableau119[[#This Row],[Delivery time to ILN/Shipper]]-1</f>
        <v>#N/A</v>
      </c>
      <c r="W709" s="50" t="e">
        <f>IFERROR(VLOOKUP(Tableau119[[#This Row],[Key(Compte ILN - shipper - POL - plant)]],'DATA ILN'!A:N,14,FALSE),VLOOKUP(Tableau119[[#This Row],[Key(Compte ILN - shipper - POL)]],'DATA ILN'!B:N,13,FALSE))</f>
        <v>#N/A</v>
      </c>
      <c r="X709" s="50" t="e">
        <f>IFERROR(VLOOKUP(Tableau119[[#This Row],[Key(Compte ILN - shipper - POL - plant)]],'DATA ILN'!A:P,16,FALSE),VLOOKUP(Tableau119[[#This Row],[Key(Compte ILN - shipper - POL)]],'DATA ILN'!B:P,15,FALSE))</f>
        <v>#N/A</v>
      </c>
      <c r="Y709" s="284" t="s">
        <v>149</v>
      </c>
      <c r="Z709" s="430">
        <f>IFERROR(VLOOKUP(Tableau119[[#This Row],[Name Shipper]],Plant_AILN!L:M,2,FALSE),0)</f>
        <v>2533780546</v>
      </c>
      <c r="AA709" s="406">
        <v>423</v>
      </c>
      <c r="AB709" s="396" t="b">
        <f>_xlfn.XLOOKUP(Tableau119[[#This Row],[Key(ID-date)]],'DATA BTO'!S:S,'DATA BTO'!E:E,FALSE)</f>
        <v>0</v>
      </c>
      <c r="AC709" s="3" t="b">
        <f>_xlfn.XLOOKUP(Tableau119[[#This Row],[Key(ID-date)]],'DATA BTO'!S:S,'DATA BTO'!F:F,FALSE)</f>
        <v>0</v>
      </c>
      <c r="AD709" s="50" t="b">
        <f>_xlfn.XLOOKUP(Tableau119[[#This Row],[Key(ID-date)]],'DATA BTO'!S:S,'DATA BTO'!G:G,FALSE)</f>
        <v>0</v>
      </c>
      <c r="AE709" s="50" t="b">
        <f>_xlfn.XLOOKUP(Tableau119[[#This Row],[Key(ID-date)]],'DATA BTO'!S:S,'DATA BTO'!H:H,FALSE)</f>
        <v>0</v>
      </c>
      <c r="AF709" s="447" t="e">
        <f>IF(Tableau119[[#This Row],[First Day to POL]]&lt;=Tableau119[[#This Row],[Day Cut Off]],Tableau119[[#This Row],[Day ETD]],Tableau119[[#This Row],[Day ETD]]+7)</f>
        <v>#N/A</v>
      </c>
      <c r="AG709" s="50" t="b">
        <f>_xlfn.XLOOKUP(Tableau119[[#This Row],[Key(ID-date)]],'DATA BTO'!S:S,'DATA BTO'!I:I,FALSE)</f>
        <v>0</v>
      </c>
      <c r="AH709" s="3" t="b">
        <f>_xlfn.XLOOKUP(Tableau119[[#This Row],[Key(ID-date)]],'DATA BTO'!S:S,'DATA BTO'!J:J,FALSE)</f>
        <v>0</v>
      </c>
      <c r="AI709" s="3" t="b">
        <f>_xlfn.XLOOKUP(Tableau119[[#This Row],[Key(ID-date)]],'DATA BTO'!S:S,'DATA BTO'!K:K,FALSE)</f>
        <v>0</v>
      </c>
      <c r="AJ709" s="50" t="b">
        <f>_xlfn.XLOOKUP(Tableau119[[#This Row],[Key(ID-date)]],'DATA BTO'!S:S,'DATA BTO'!L:L,FALSE)</f>
        <v>0</v>
      </c>
      <c r="AK709" s="53" t="b">
        <f>_xlfn.XLOOKUP(Tableau119[[#This Row],[Key(ID-date)]],'DATA BTO'!S:S,'DATA BTO'!N:N,FALSE)</f>
        <v>0</v>
      </c>
      <c r="AL709" s="54" t="e">
        <f>VLOOKUP(Tableau119[[#This Row],[Key(POD -PFI- Usine)]],'DATA Consignee'!A:F,6,FALSE)</f>
        <v>#N/A</v>
      </c>
      <c r="AM709" s="127"/>
      <c r="AN709" s="376" t="str">
        <f>IF(Tableau119[[#This Row],[Name PFI/CDD]]="","-",VLOOKUP(Tableau119[[#This Row],[Name PFI/CDD]],Plant_AILN!I:J,2,FALSE))</f>
        <v>-</v>
      </c>
      <c r="AO70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0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09" s="2" t="e">
        <f>VLOOKUP(Tableau119[[#This Row],[Key(POD -PFI- Usine)]],'DATA Consignee'!A:J,10,FALSE)</f>
        <v>#N/A</v>
      </c>
      <c r="AR709" s="50" t="e">
        <f>VLOOKUP(Tableau119[[#This Row],[Key(POD -PFI- Usine)]],'DATA Consignee'!A:N,14,FALSE)</f>
        <v>#N/A</v>
      </c>
      <c r="AS70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0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09" s="50">
        <f>Tableau119[[#This Row],[Transit time]]+Tableau119[[#This Row],[Time for security]]+Tableau119[[#This Row],[Time for security2 buffer]]</f>
        <v>0</v>
      </c>
      <c r="AV7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09" s="50" t="e">
        <f>Tableau119[[#This Row],[Leadtime SI2C]]+Tableau119[[#This Row],[First Receipt Days]]-Tableau119[[#This Row],[Day Customer Order]]+1</f>
        <v>#N/A</v>
      </c>
      <c r="AX709" s="119" t="e">
        <f>IF(Tableau119[[#This Row],[Name ILN]]&lt;&gt;"SFK Freight Forwarder",Tableau119[[#This Row],[Cust. Leadtime]],Tableau119[[#This Row],[Leadtime SI2C]])</f>
        <v>#N/A</v>
      </c>
      <c r="AY709" s="51" t="b">
        <f>_xlfn.XLOOKUP(Tableau119[[#This Row],[Key(ID-date)]],'DATA BTO'!S:S,'DATA BTO'!P:P,FALSE)</f>
        <v>0</v>
      </c>
      <c r="AZ709" s="338">
        <v>45473</v>
      </c>
      <c r="BA709" s="50"/>
    </row>
    <row r="710" spans="2:53">
      <c r="B710" s="446" t="str">
        <f>_xlfn.CONCAT(Tableau119[[#This Row],[Name ILN]],"-",Tableau119[[#This Row],[Name Shipper]],"-",Tableau119[[#This Row],[Name Site]])</f>
        <v>ILN Chennai-ILN Chennai-KARSAN</v>
      </c>
      <c r="C710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10" s="66" t="str">
        <f>_xlfn.CONCAT(Tableau119[[#This Row],[Compte ILN]],"-",Tableau119[[#This Row],[Compte Shipper]],"-",Tableau119[[#This Row],[POL]])</f>
        <v>2533780546-2533780546-FALSO</v>
      </c>
      <c r="E710" s="130" t="str">
        <f>_xlfn.CONCAT(Tableau119[[#This Row],[POL]],"-",Tableau119[[#This Row],[Carrier]],"-",Tableau119[[#This Row],[POD]])</f>
        <v>FALSO-FALSO-FALSO</v>
      </c>
      <c r="F710" s="66" t="str">
        <f>_xlfn.CONCAT(Tableau119[[#This Row],[ID]],"-","Actif")</f>
        <v>423-Actif</v>
      </c>
      <c r="G710" s="66" t="str">
        <f>_xlfn.CONCAT(Tableau119[[#This Row],[POD]],"-",Tableau119[[#This Row],[Code PFI]],"-",Tableau119[[#This Row],[Compte Consignee]])</f>
        <v>FALSO---90022000</v>
      </c>
      <c r="H7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10" s="434" t="str">
        <f>_xlfn.CONCAT(Tableau119[[#This Row],[ID]],"-",Tableau119[[#This Row],[Expiration Date]])</f>
        <v>423-45473</v>
      </c>
      <c r="J7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Chennai-423-FALSO-FALSO-FALSO--45473</v>
      </c>
      <c r="K710" s="119" t="str">
        <f ca="1">IF(COUNTIF(J:J,Tableau119[[#This Row],[Plant-ILN-shipper-POL-Carrier-POD-PFI]])=1,"Non","Oui")</f>
        <v>Non</v>
      </c>
      <c r="L710" s="128" t="str">
        <f>VLOOKUP(Tableau119[[#This Row],[Name Site]],Plant_AILN!A:D,4,FALSE)</f>
        <v>TURKEY</v>
      </c>
      <c r="M710" s="415" t="s">
        <v>235</v>
      </c>
      <c r="N710" s="455">
        <f>VLOOKUP(Tableau119[[#This Row],[Name Site]],Plant_AILN!A:C,3,FALSE)</f>
        <v>90022000</v>
      </c>
      <c r="O710" s="104">
        <f>VLOOKUP(Tableau119[[#This Row],[Compte Consignee]],Order!C:D,2,FALSE)</f>
        <v>7</v>
      </c>
      <c r="P710" s="126" t="s">
        <v>149</v>
      </c>
      <c r="Q710" s="366">
        <f>VLOOKUP(Tableau119[[#This Row],[Name ILN]],Plant_AILN!F:G,2,FALSE)</f>
        <v>2533780546</v>
      </c>
      <c r="R710" s="81">
        <f>VLOOKUP(Tableau119[[#This Row],[Compte ILN]],'DATA ILN'!D:I,6,FALSE)</f>
        <v>9</v>
      </c>
      <c r="S710" s="81" t="e">
        <f>IFERROR(VLOOKUP(Tableau119[[#This Row],[Key(Compte ILN - shipper - POL - plant)]],'DATA ILN'!A:J,10,FALSE),VLOOKUP(Tableau119[[#This Row],[Key(Compte ILN - shipper - POL)]],'DATA ILN'!B:J,9,FALSE))</f>
        <v>#N/A</v>
      </c>
      <c r="T710" s="81" t="e">
        <f>IFERROR(VLOOKUP(Tableau119[[#This Row],[Key(Compte ILN - shipper - POL - plant)]],'DATA ILN'!A:K,11,FALSE),VLOOKUP(Tableau119[[#This Row],[Key(Compte ILN - shipper - POL)]],'DATA ILN'!B:K,10,FALSE))</f>
        <v>#N/A</v>
      </c>
      <c r="U710" s="81" t="e">
        <f>IFERROR(VLOOKUP(Tableau119[[#This Row],[Key(Compte ILN - shipper - POL - plant)]],'DATA ILN'!A:L,12,FALSE),VLOOKUP(Tableau119[[#This Row],[Key(Compte ILN - shipper - POL)]],'DATA ILN'!B:L,11,FALSE))</f>
        <v>#N/A</v>
      </c>
      <c r="V710" s="81" t="e">
        <f>Tableau119[[#This Row],[Day ILN Order]]+Tableau119[[#This Row],[Delivery time to ILN/Shipper]]-1</f>
        <v>#N/A</v>
      </c>
      <c r="W710" s="81" t="e">
        <f>IFERROR(VLOOKUP(Tableau119[[#This Row],[Key(Compte ILN - shipper - POL - plant)]],'DATA ILN'!A:N,14,FALSE),VLOOKUP(Tableau119[[#This Row],[Key(Compte ILN - shipper - POL)]],'DATA ILN'!B:N,13,FALSE))</f>
        <v>#N/A</v>
      </c>
      <c r="X710" s="81" t="e">
        <f>IFERROR(VLOOKUP(Tableau119[[#This Row],[Key(Compte ILN - shipper - POL - plant)]],'DATA ILN'!A:P,16,FALSE),VLOOKUP(Tableau119[[#This Row],[Key(Compte ILN - shipper - POL)]],'DATA ILN'!B:P,15,FALSE))</f>
        <v>#N/A</v>
      </c>
      <c r="Y710" s="102" t="s">
        <v>149</v>
      </c>
      <c r="Z710" s="417">
        <f>IFERROR(VLOOKUP(Tableau119[[#This Row],[Name Shipper]],Plant_AILN!L:M,2,FALSE),0)</f>
        <v>2533780546</v>
      </c>
      <c r="AA710" s="416">
        <v>423</v>
      </c>
      <c r="AB710" s="396" t="b">
        <f>_xlfn.XLOOKUP(Tableau119[[#This Row],[Key(ID-date)]],'DATA BTO'!S:S,'DATA BTO'!E:E,FALSE)</f>
        <v>0</v>
      </c>
      <c r="AC710" s="3" t="b">
        <f>_xlfn.XLOOKUP(Tableau119[[#This Row],[Key(ID-date)]],'DATA BTO'!S:S,'DATA BTO'!F:F,FALSE)</f>
        <v>0</v>
      </c>
      <c r="AD710" s="50" t="b">
        <f>_xlfn.XLOOKUP(Tableau119[[#This Row],[Key(ID-date)]],'DATA BTO'!S:S,'DATA BTO'!G:G,FALSE)</f>
        <v>0</v>
      </c>
      <c r="AE710" s="50" t="b">
        <f>_xlfn.XLOOKUP(Tableau119[[#This Row],[Key(ID-date)]],'DATA BTO'!S:S,'DATA BTO'!H:H,FALSE)</f>
        <v>0</v>
      </c>
      <c r="AF710" s="447" t="e">
        <f>IF(Tableau119[[#This Row],[First Day to POL]]&lt;=Tableau119[[#This Row],[Day Cut Off]],Tableau119[[#This Row],[Day ETD]],Tableau119[[#This Row],[Day ETD]]+7)</f>
        <v>#N/A</v>
      </c>
      <c r="AG710" s="50" t="b">
        <f>_xlfn.XLOOKUP(Tableau119[[#This Row],[Key(ID-date)]],'DATA BTO'!S:S,'DATA BTO'!I:I,FALSE)</f>
        <v>0</v>
      </c>
      <c r="AH710" s="3" t="b">
        <f>_xlfn.XLOOKUP(Tableau119[[#This Row],[Key(ID-date)]],'DATA BTO'!S:S,'DATA BTO'!J:J,FALSE)</f>
        <v>0</v>
      </c>
      <c r="AI710" s="3" t="b">
        <f>_xlfn.XLOOKUP(Tableau119[[#This Row],[Key(ID-date)]],'DATA BTO'!S:S,'DATA BTO'!K:K,FALSE)</f>
        <v>0</v>
      </c>
      <c r="AJ710" s="50" t="b">
        <f>_xlfn.XLOOKUP(Tableau119[[#This Row],[Key(ID-date)]],'DATA BTO'!S:S,'DATA BTO'!L:L,FALSE)</f>
        <v>0</v>
      </c>
      <c r="AK710" s="53" t="b">
        <f>_xlfn.XLOOKUP(Tableau119[[#This Row],[Key(ID-date)]],'DATA BTO'!S:S,'DATA BTO'!N:N,FALSE)</f>
        <v>0</v>
      </c>
      <c r="AL710" s="54" t="e">
        <f>VLOOKUP(Tableau119[[#This Row],[Key(POD -PFI- Usine)]],'DATA Consignee'!A:F,6,FALSE)</f>
        <v>#N/A</v>
      </c>
      <c r="AM710" s="127"/>
      <c r="AN710" s="375" t="str">
        <f>IF(Tableau119[[#This Row],[Name PFI/CDD]]="","-",VLOOKUP(Tableau119[[#This Row],[Name PFI/CDD]],Plant_AILN!I:J,2,FALSE))</f>
        <v>-</v>
      </c>
      <c r="AO71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0" s="110" t="e">
        <f>VLOOKUP(Tableau119[[#This Row],[Key(POD -PFI- Usine)]],'DATA Consignee'!A:J,10,FALSE)</f>
        <v>#N/A</v>
      </c>
      <c r="AR710" s="81" t="e">
        <f>VLOOKUP(Tableau119[[#This Row],[Key(POD -PFI- Usine)]],'DATA Consignee'!A:N,14,FALSE)</f>
        <v>#N/A</v>
      </c>
      <c r="AS71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0" s="81">
        <f>Tableau119[[#This Row],[Transit time]]+Tableau119[[#This Row],[Time for security]]+Tableau119[[#This Row],[Time for security2 buffer]]</f>
        <v>0</v>
      </c>
      <c r="AV7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0" s="50" t="e">
        <f>Tableau119[[#This Row],[Leadtime SI2C]]+Tableau119[[#This Row],[First Receipt Days]]-Tableau119[[#This Row],[Day Customer Order]]+1</f>
        <v>#N/A</v>
      </c>
      <c r="AX710" s="119" t="e">
        <f>IF(Tableau119[[#This Row],[Name ILN]]&lt;&gt;"SFK Freight Forwarder",Tableau119[[#This Row],[Cust. Leadtime]],Tableau119[[#This Row],[Leadtime SI2C]])</f>
        <v>#N/A</v>
      </c>
      <c r="AY710" s="51" t="b">
        <f>_xlfn.XLOOKUP(Tableau119[[#This Row],[Key(ID-date)]],'DATA BTO'!S:S,'DATA BTO'!P:P,FALSE)</f>
        <v>0</v>
      </c>
      <c r="AZ710" s="388">
        <v>45473</v>
      </c>
      <c r="BA710" s="81"/>
    </row>
    <row r="711" spans="2:53">
      <c r="B711" s="446" t="str">
        <f>_xlfn.CONCAT(Tableau119[[#This Row],[Name ILN]],"-",Tableau119[[#This Row],[Name Shipper]],"-",Tableau119[[#This Row],[Name Site]])</f>
        <v>ILN Chennai-ILN Chennai-OYAK MONT</v>
      </c>
      <c r="C711" s="66" t="str">
        <f>_xlfn.CONCAT(Tableau119[[#This Row],[Compte ILN]],"-",Tableau119[[#This Row],[Compte Shipper]],"-",Tableau119[[#This Row],[POL]],"-",Tableau119[[#This Row],[Compte Consignee]])</f>
        <v>2533780546-2533780546-FALSO-90017000</v>
      </c>
      <c r="D711" s="66" t="str">
        <f>_xlfn.CONCAT(Tableau119[[#This Row],[Compte ILN]],"-",Tableau119[[#This Row],[Compte Shipper]],"-",Tableau119[[#This Row],[POL]])</f>
        <v>2533780546-2533780546-FALSO</v>
      </c>
      <c r="E711" s="130" t="str">
        <f>_xlfn.CONCAT(Tableau119[[#This Row],[POL]],"-",Tableau119[[#This Row],[Carrier]],"-",Tableau119[[#This Row],[POD]])</f>
        <v>FALSO-FALSO-FALSO</v>
      </c>
      <c r="F711" s="66" t="str">
        <f>_xlfn.CONCAT(Tableau119[[#This Row],[ID]],"-","Actif")</f>
        <v>423-Actif</v>
      </c>
      <c r="G711" s="66" t="str">
        <f>_xlfn.CONCAT(Tableau119[[#This Row],[POD]],"-",Tableau119[[#This Row],[Code PFI]],"-",Tableau119[[#This Row],[Compte Consignee]])</f>
        <v>FALSO---90017000</v>
      </c>
      <c r="H7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ChennaiFALSOOYAK MONT</v>
      </c>
      <c r="I711" s="434" t="str">
        <f>_xlfn.CONCAT(Tableau119[[#This Row],[ID]],"-",Tableau119[[#This Row],[Expiration Date]])</f>
        <v>423-45412</v>
      </c>
      <c r="J7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Chennai-ILN Chennai-423-FALSO-FALSO-FALSO--45412</v>
      </c>
      <c r="K711" s="119" t="str">
        <f ca="1">IF(COUNTIF(J:J,Tableau119[[#This Row],[Plant-ILN-shipper-POL-Carrier-POD-PFI]])=1,"Non","Oui")</f>
        <v>Non</v>
      </c>
      <c r="L711" s="128" t="str">
        <f>VLOOKUP(Tableau119[[#This Row],[Name Site]],Plant_AILN!A:D,4,FALSE)</f>
        <v>TURKEY</v>
      </c>
      <c r="M711" s="411" t="s">
        <v>173</v>
      </c>
      <c r="N711" s="454">
        <f>VLOOKUP(Tableau119[[#This Row],[Name Site]],Plant_AILN!A:C,3,FALSE)</f>
        <v>90017000</v>
      </c>
      <c r="O711" s="55">
        <f>VLOOKUP(Tableau119[[#This Row],[Compte Consignee]],Order!C:D,2,FALSE)</f>
        <v>7</v>
      </c>
      <c r="P711" s="124" t="s">
        <v>149</v>
      </c>
      <c r="Q711" s="365">
        <f>VLOOKUP(Tableau119[[#This Row],[Name ILN]],Plant_AILN!F:G,2,FALSE)</f>
        <v>2533780546</v>
      </c>
      <c r="R711" s="50">
        <f>VLOOKUP(Tableau119[[#This Row],[Compte ILN]],'DATA ILN'!D:I,6,FALSE)</f>
        <v>9</v>
      </c>
      <c r="S711" s="50" t="e">
        <f>IFERROR(VLOOKUP(Tableau119[[#This Row],[Key(Compte ILN - shipper - POL - plant)]],'DATA ILN'!A:J,10,FALSE),VLOOKUP(Tableau119[[#This Row],[Key(Compte ILN - shipper - POL)]],'DATA ILN'!B:J,9,FALSE))</f>
        <v>#N/A</v>
      </c>
      <c r="T711" s="50" t="e">
        <f>IFERROR(VLOOKUP(Tableau119[[#This Row],[Key(Compte ILN - shipper - POL - plant)]],'DATA ILN'!A:K,11,FALSE),VLOOKUP(Tableau119[[#This Row],[Key(Compte ILN - shipper - POL)]],'DATA ILN'!B:K,10,FALSE))</f>
        <v>#N/A</v>
      </c>
      <c r="U711" s="50" t="e">
        <f>IFERROR(VLOOKUP(Tableau119[[#This Row],[Key(Compte ILN - shipper - POL - plant)]],'DATA ILN'!A:L,12,FALSE),VLOOKUP(Tableau119[[#This Row],[Key(Compte ILN - shipper - POL)]],'DATA ILN'!B:L,11,FALSE))</f>
        <v>#N/A</v>
      </c>
      <c r="V711" s="50" t="e">
        <f>Tableau119[[#This Row],[Day ILN Order]]+Tableau119[[#This Row],[Delivery time to ILN/Shipper]]-1</f>
        <v>#N/A</v>
      </c>
      <c r="W711" s="50" t="e">
        <f>IFERROR(VLOOKUP(Tableau119[[#This Row],[Key(Compte ILN - shipper - POL - plant)]],'DATA ILN'!A:N,14,FALSE),VLOOKUP(Tableau119[[#This Row],[Key(Compte ILN - shipper - POL)]],'DATA ILN'!B:N,13,FALSE))</f>
        <v>#N/A</v>
      </c>
      <c r="X711" s="50" t="e">
        <f>IFERROR(VLOOKUP(Tableau119[[#This Row],[Key(Compte ILN - shipper - POL - plant)]],'DATA ILN'!A:P,16,FALSE),VLOOKUP(Tableau119[[#This Row],[Key(Compte ILN - shipper - POL)]],'DATA ILN'!B:P,15,FALSE))</f>
        <v>#N/A</v>
      </c>
      <c r="Y711" s="284" t="s">
        <v>149</v>
      </c>
      <c r="Z711" s="430">
        <f>IFERROR(VLOOKUP(Tableau119[[#This Row],[Name Shipper]],Plant_AILN!L:M,2,FALSE),0)</f>
        <v>2533780546</v>
      </c>
      <c r="AA711" s="406">
        <v>423</v>
      </c>
      <c r="AB711" s="396" t="b">
        <f>_xlfn.XLOOKUP(Tableau119[[#This Row],[Key(ID-date)]],'DATA BTO'!S:S,'DATA BTO'!E:E,FALSE)</f>
        <v>0</v>
      </c>
      <c r="AC711" s="3" t="b">
        <f>_xlfn.XLOOKUP(Tableau119[[#This Row],[Key(ID-date)]],'DATA BTO'!S:S,'DATA BTO'!F:F,FALSE)</f>
        <v>0</v>
      </c>
      <c r="AD711" s="50" t="b">
        <f>_xlfn.XLOOKUP(Tableau119[[#This Row],[Key(ID-date)]],'DATA BTO'!S:S,'DATA BTO'!G:G,FALSE)</f>
        <v>0</v>
      </c>
      <c r="AE711" s="50" t="b">
        <f>_xlfn.XLOOKUP(Tableau119[[#This Row],[Key(ID-date)]],'DATA BTO'!S:S,'DATA BTO'!H:H,FALSE)</f>
        <v>0</v>
      </c>
      <c r="AF711" s="447" t="e">
        <f>IF(Tableau119[[#This Row],[First Day to POL]]&lt;=Tableau119[[#This Row],[Day Cut Off]],Tableau119[[#This Row],[Day ETD]],Tableau119[[#This Row],[Day ETD]]+7)</f>
        <v>#N/A</v>
      </c>
      <c r="AG711" s="50" t="b">
        <f>_xlfn.XLOOKUP(Tableau119[[#This Row],[Key(ID-date)]],'DATA BTO'!S:S,'DATA BTO'!I:I,FALSE)</f>
        <v>0</v>
      </c>
      <c r="AH711" s="3" t="b">
        <f>_xlfn.XLOOKUP(Tableau119[[#This Row],[Key(ID-date)]],'DATA BTO'!S:S,'DATA BTO'!J:J,FALSE)</f>
        <v>0</v>
      </c>
      <c r="AI711" s="3" t="b">
        <f>_xlfn.XLOOKUP(Tableau119[[#This Row],[Key(ID-date)]],'DATA BTO'!S:S,'DATA BTO'!K:K,FALSE)</f>
        <v>0</v>
      </c>
      <c r="AJ711" s="50" t="b">
        <f>_xlfn.XLOOKUP(Tableau119[[#This Row],[Key(ID-date)]],'DATA BTO'!S:S,'DATA BTO'!L:L,FALSE)</f>
        <v>0</v>
      </c>
      <c r="AK711" s="53" t="b">
        <f>_xlfn.XLOOKUP(Tableau119[[#This Row],[Key(ID-date)]],'DATA BTO'!S:S,'DATA BTO'!N:N,FALSE)</f>
        <v>0</v>
      </c>
      <c r="AL711" s="54" t="e">
        <f>VLOOKUP(Tableau119[[#This Row],[Key(POD -PFI- Usine)]],'DATA Consignee'!A:F,6,FALSE)</f>
        <v>#N/A</v>
      </c>
      <c r="AM711" s="127"/>
      <c r="AN711" s="376" t="str">
        <f>IF(Tableau119[[#This Row],[Name PFI/CDD]]="","-",VLOOKUP(Tableau119[[#This Row],[Name PFI/CDD]],Plant_AILN!I:J,2,FALSE))</f>
        <v>-</v>
      </c>
      <c r="AO71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1" s="2" t="e">
        <f>VLOOKUP(Tableau119[[#This Row],[Key(POD -PFI- Usine)]],'DATA Consignee'!A:J,10,FALSE)</f>
        <v>#N/A</v>
      </c>
      <c r="AR711" s="50" t="e">
        <f>VLOOKUP(Tableau119[[#This Row],[Key(POD -PFI- Usine)]],'DATA Consignee'!A:N,14,FALSE)</f>
        <v>#N/A</v>
      </c>
      <c r="AS71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1" s="50">
        <f>Tableau119[[#This Row],[Transit time]]+Tableau119[[#This Row],[Time for security]]+Tableau119[[#This Row],[Time for security2 buffer]]</f>
        <v>0</v>
      </c>
      <c r="AV7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1" s="50" t="e">
        <f>Tableau119[[#This Row],[Leadtime SI2C]]+Tableau119[[#This Row],[First Receipt Days]]-Tableau119[[#This Row],[Day Customer Order]]+1</f>
        <v>#N/A</v>
      </c>
      <c r="AX711" s="119" t="e">
        <f>IF(Tableau119[[#This Row],[Name ILN]]&lt;&gt;"SFK Freight Forwarder",Tableau119[[#This Row],[Cust. Leadtime]],Tableau119[[#This Row],[Leadtime SI2C]])</f>
        <v>#N/A</v>
      </c>
      <c r="AY711" s="51" t="b">
        <f>_xlfn.XLOOKUP(Tableau119[[#This Row],[Key(ID-date)]],'DATA BTO'!S:S,'DATA BTO'!P:P,FALSE)</f>
        <v>0</v>
      </c>
      <c r="AZ711" s="338">
        <v>45412</v>
      </c>
      <c r="BA711" s="50"/>
    </row>
    <row r="712" spans="2:53">
      <c r="B712" s="446" t="str">
        <f>_xlfn.CONCAT(Tableau119[[#This Row],[Name ILN]],"-",Tableau119[[#This Row],[Name Shipper]],"-",Tableau119[[#This Row],[Name Site]])</f>
        <v>ILN Chennai-ILN Chennai-KARSAN</v>
      </c>
      <c r="C712" s="66" t="str">
        <f>_xlfn.CONCAT(Tableau119[[#This Row],[Compte ILN]],"-",Tableau119[[#This Row],[Compte Shipper]],"-",Tableau119[[#This Row],[POL]],"-",Tableau119[[#This Row],[Compte Consignee]])</f>
        <v>2533780546-2533780546-FALSO-90022000</v>
      </c>
      <c r="D712" s="66" t="str">
        <f>_xlfn.CONCAT(Tableau119[[#This Row],[Compte ILN]],"-",Tableau119[[#This Row],[Compte Shipper]],"-",Tableau119[[#This Row],[POL]])</f>
        <v>2533780546-2533780546-FALSO</v>
      </c>
      <c r="E712" s="130" t="str">
        <f>_xlfn.CONCAT(Tableau119[[#This Row],[POL]],"-",Tableau119[[#This Row],[Carrier]],"-",Tableau119[[#This Row],[POD]])</f>
        <v>FALSO-FALSO-FALSO</v>
      </c>
      <c r="F712" s="66" t="str">
        <f>_xlfn.CONCAT(Tableau119[[#This Row],[ID]],"-","Actif")</f>
        <v>423-Actif</v>
      </c>
      <c r="G712" s="66" t="str">
        <f>_xlfn.CONCAT(Tableau119[[#This Row],[POD]],"-",Tableau119[[#This Row],[Code PFI]],"-",Tableau119[[#This Row],[Compte Consignee]])</f>
        <v>FALSO---90022000</v>
      </c>
      <c r="H7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ChennaiFALSOKARSAN</v>
      </c>
      <c r="I712" s="434" t="str">
        <f>_xlfn.CONCAT(Tableau119[[#This Row],[ID]],"-",Tableau119[[#This Row],[Expiration Date]])</f>
        <v>423-45412</v>
      </c>
      <c r="J7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KARSAN-ILN Chennai-ILN Chennai-423-FALSO-FALSO-FALSO--45412</v>
      </c>
      <c r="K712" s="119" t="str">
        <f ca="1">IF(COUNTIF(J:J,Tableau119[[#This Row],[Plant-ILN-shipper-POL-Carrier-POD-PFI]])=1,"Non","Oui")</f>
        <v>Non</v>
      </c>
      <c r="L712" s="128" t="str">
        <f>VLOOKUP(Tableau119[[#This Row],[Name Site]],Plant_AILN!A:D,4,FALSE)</f>
        <v>TURKEY</v>
      </c>
      <c r="M712" s="411" t="s">
        <v>235</v>
      </c>
      <c r="N712" s="454">
        <f>VLOOKUP(Tableau119[[#This Row],[Name Site]],Plant_AILN!A:C,3,FALSE)</f>
        <v>90022000</v>
      </c>
      <c r="O712" s="55">
        <f>VLOOKUP(Tableau119[[#This Row],[Compte Consignee]],Order!C:D,2,FALSE)</f>
        <v>7</v>
      </c>
      <c r="P712" s="124" t="s">
        <v>149</v>
      </c>
      <c r="Q712" s="365">
        <f>VLOOKUP(Tableau119[[#This Row],[Name ILN]],Plant_AILN!F:G,2,FALSE)</f>
        <v>2533780546</v>
      </c>
      <c r="R712" s="50">
        <f>VLOOKUP(Tableau119[[#This Row],[Compte ILN]],'DATA ILN'!D:I,6,FALSE)</f>
        <v>9</v>
      </c>
      <c r="S712" s="50" t="e">
        <f>IFERROR(VLOOKUP(Tableau119[[#This Row],[Key(Compte ILN - shipper - POL - plant)]],'DATA ILN'!A:J,10,FALSE),VLOOKUP(Tableau119[[#This Row],[Key(Compte ILN - shipper - POL)]],'DATA ILN'!B:J,9,FALSE))</f>
        <v>#N/A</v>
      </c>
      <c r="T712" s="50" t="e">
        <f>IFERROR(VLOOKUP(Tableau119[[#This Row],[Key(Compte ILN - shipper - POL - plant)]],'DATA ILN'!A:K,11,FALSE),VLOOKUP(Tableau119[[#This Row],[Key(Compte ILN - shipper - POL)]],'DATA ILN'!B:K,10,FALSE))</f>
        <v>#N/A</v>
      </c>
      <c r="U712" s="50" t="e">
        <f>IFERROR(VLOOKUP(Tableau119[[#This Row],[Key(Compte ILN - shipper - POL - plant)]],'DATA ILN'!A:L,12,FALSE),VLOOKUP(Tableau119[[#This Row],[Key(Compte ILN - shipper - POL)]],'DATA ILN'!B:L,11,FALSE))</f>
        <v>#N/A</v>
      </c>
      <c r="V712" s="50" t="e">
        <f>Tableau119[[#This Row],[Day ILN Order]]+Tableau119[[#This Row],[Delivery time to ILN/Shipper]]-1</f>
        <v>#N/A</v>
      </c>
      <c r="W712" s="50" t="e">
        <f>IFERROR(VLOOKUP(Tableau119[[#This Row],[Key(Compte ILN - shipper - POL - plant)]],'DATA ILN'!A:N,14,FALSE),VLOOKUP(Tableau119[[#This Row],[Key(Compte ILN - shipper - POL)]],'DATA ILN'!B:N,13,FALSE))</f>
        <v>#N/A</v>
      </c>
      <c r="X712" s="50" t="e">
        <f>IFERROR(VLOOKUP(Tableau119[[#This Row],[Key(Compte ILN - shipper - POL - plant)]],'DATA ILN'!A:P,16,FALSE),VLOOKUP(Tableau119[[#This Row],[Key(Compte ILN - shipper - POL)]],'DATA ILN'!B:P,15,FALSE))</f>
        <v>#N/A</v>
      </c>
      <c r="Y712" s="284" t="s">
        <v>149</v>
      </c>
      <c r="Z712" s="430">
        <f>IFERROR(VLOOKUP(Tableau119[[#This Row],[Name Shipper]],Plant_AILN!L:M,2,FALSE),0)</f>
        <v>2533780546</v>
      </c>
      <c r="AA712" s="406">
        <v>423</v>
      </c>
      <c r="AB712" s="396" t="b">
        <f>_xlfn.XLOOKUP(Tableau119[[#This Row],[Key(ID-date)]],'DATA BTO'!S:S,'DATA BTO'!E:E,FALSE)</f>
        <v>0</v>
      </c>
      <c r="AC712" s="3" t="b">
        <f>_xlfn.XLOOKUP(Tableau119[[#This Row],[Key(ID-date)]],'DATA BTO'!S:S,'DATA BTO'!F:F,FALSE)</f>
        <v>0</v>
      </c>
      <c r="AD712" s="50" t="b">
        <f>_xlfn.XLOOKUP(Tableau119[[#This Row],[Key(ID-date)]],'DATA BTO'!S:S,'DATA BTO'!G:G,FALSE)</f>
        <v>0</v>
      </c>
      <c r="AE712" s="50" t="b">
        <f>_xlfn.XLOOKUP(Tableau119[[#This Row],[Key(ID-date)]],'DATA BTO'!S:S,'DATA BTO'!H:H,FALSE)</f>
        <v>0</v>
      </c>
      <c r="AF712" s="447" t="e">
        <f>IF(Tableau119[[#This Row],[First Day to POL]]&lt;=Tableau119[[#This Row],[Day Cut Off]],Tableau119[[#This Row],[Day ETD]],Tableau119[[#This Row],[Day ETD]]+7)</f>
        <v>#N/A</v>
      </c>
      <c r="AG712" s="50" t="b">
        <f>_xlfn.XLOOKUP(Tableau119[[#This Row],[Key(ID-date)]],'DATA BTO'!S:S,'DATA BTO'!I:I,FALSE)</f>
        <v>0</v>
      </c>
      <c r="AH712" s="3" t="b">
        <f>_xlfn.XLOOKUP(Tableau119[[#This Row],[Key(ID-date)]],'DATA BTO'!S:S,'DATA BTO'!J:J,FALSE)</f>
        <v>0</v>
      </c>
      <c r="AI712" s="3" t="b">
        <f>_xlfn.XLOOKUP(Tableau119[[#This Row],[Key(ID-date)]],'DATA BTO'!S:S,'DATA BTO'!K:K,FALSE)</f>
        <v>0</v>
      </c>
      <c r="AJ712" s="50" t="b">
        <f>_xlfn.XLOOKUP(Tableau119[[#This Row],[Key(ID-date)]],'DATA BTO'!S:S,'DATA BTO'!L:L,FALSE)</f>
        <v>0</v>
      </c>
      <c r="AK712" s="53" t="b">
        <f>_xlfn.XLOOKUP(Tableau119[[#This Row],[Key(ID-date)]],'DATA BTO'!S:S,'DATA BTO'!N:N,FALSE)</f>
        <v>0</v>
      </c>
      <c r="AL712" s="54" t="e">
        <f>VLOOKUP(Tableau119[[#This Row],[Key(POD -PFI- Usine)]],'DATA Consignee'!A:F,6,FALSE)</f>
        <v>#N/A</v>
      </c>
      <c r="AM712" s="127"/>
      <c r="AN712" s="376" t="str">
        <f>IF(Tableau119[[#This Row],[Name PFI/CDD]]="","-",VLOOKUP(Tableau119[[#This Row],[Name PFI/CDD]],Plant_AILN!I:J,2,FALSE))</f>
        <v>-</v>
      </c>
      <c r="AO7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2" s="2" t="e">
        <f>VLOOKUP(Tableau119[[#This Row],[Key(POD -PFI- Usine)]],'DATA Consignee'!A:J,10,FALSE)</f>
        <v>#N/A</v>
      </c>
      <c r="AR712" s="50" t="e">
        <f>VLOOKUP(Tableau119[[#This Row],[Key(POD -PFI- Usine)]],'DATA Consignee'!A:N,14,FALSE)</f>
        <v>#N/A</v>
      </c>
      <c r="AS7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2" s="50">
        <f>Tableau119[[#This Row],[Transit time]]+Tableau119[[#This Row],[Time for security]]+Tableau119[[#This Row],[Time for security2 buffer]]</f>
        <v>0</v>
      </c>
      <c r="AV7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2" s="50" t="e">
        <f>Tableau119[[#This Row],[Leadtime SI2C]]+Tableau119[[#This Row],[First Receipt Days]]-Tableau119[[#This Row],[Day Customer Order]]+1</f>
        <v>#N/A</v>
      </c>
      <c r="AX712" s="119" t="e">
        <f>IF(Tableau119[[#This Row],[Name ILN]]&lt;&gt;"SFK Freight Forwarder",Tableau119[[#This Row],[Cust. Leadtime]],Tableau119[[#This Row],[Leadtime SI2C]])</f>
        <v>#N/A</v>
      </c>
      <c r="AY712" s="51" t="b">
        <f>_xlfn.XLOOKUP(Tableau119[[#This Row],[Key(ID-date)]],'DATA BTO'!S:S,'DATA BTO'!P:P,FALSE)</f>
        <v>0</v>
      </c>
      <c r="AZ712" s="338">
        <v>45412</v>
      </c>
      <c r="BA712" s="50"/>
    </row>
    <row r="713" spans="2:53">
      <c r="B713" s="66" t="str">
        <f>_xlfn.CONCAT(Tableau119[[#This Row],[Name ILN]],"-",Tableau119[[#This Row],[Name Shipper]],"-",Tableau119[[#This Row],[Name Site]])</f>
        <v>SFK Freight Forwarder-GITI RADIAL TIRE ANHUI COMPANY LTD (CNSHA)-SOFASA</v>
      </c>
      <c r="C713" s="66" t="str">
        <f>_xlfn.CONCAT(Tableau119[[#This Row],[Compte ILN]],"-",Tableau119[[#This Row],[Compte Shipper]],"-",Tableau119[[#This Row],[POL]],"-",Tableau119[[#This Row],[Compte Consignee]])</f>
        <v>0-29179900-FALSO-9510600</v>
      </c>
      <c r="D713" s="66" t="str">
        <f>_xlfn.CONCAT(Tableau119[[#This Row],[Compte ILN]],"-",Tableau119[[#This Row],[Compte Shipper]],"-",Tableau119[[#This Row],[POL]])</f>
        <v>0-29179900-FALSO</v>
      </c>
      <c r="E713" s="130" t="str">
        <f>_xlfn.CONCAT(Tableau119[[#This Row],[POL]],"-",Tableau119[[#This Row],[Carrier]],"-",Tableau119[[#This Row],[POD]])</f>
        <v>FALSO-FALSO-FALSO</v>
      </c>
      <c r="F713" s="66" t="str">
        <f>_xlfn.CONCAT(Tableau119[[#This Row],[ID]],"-","Actif")</f>
        <v>434-Actif</v>
      </c>
      <c r="G713" s="66" t="str">
        <f>_xlfn.CONCAT(Tableau119[[#This Row],[POD]],"-",Tableau119[[#This Row],[Code PFI]],"-",Tableau119[[#This Row],[Compte Consignee]])</f>
        <v>FALSO---9510600</v>
      </c>
      <c r="H7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29179900FALSOSOFASA</v>
      </c>
      <c r="I713" s="434" t="str">
        <f>_xlfn.CONCAT(Tableau119[[#This Row],[ID]],"-",Tableau119[[#This Row],[Expiration Date]])</f>
        <v>434-46142</v>
      </c>
      <c r="J7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Forwarder-GITI RADIAL TIRE ANHUI COMPANY LTD (CNSHA)-434-FALSO-FALSO-FALSO--46142</v>
      </c>
      <c r="K713" s="119" t="str">
        <f ca="1">IF(COUNTIF(J:J,Tableau119[[#This Row],[Plant-ILN-shipper-POL-Carrier-POD-PFI]])=1,"Non","Oui")</f>
        <v>Non</v>
      </c>
      <c r="L713" s="436" t="str">
        <f>VLOOKUP(Tableau119[[#This Row],[Name Site]],Plant_AILN!A:D,4,FALSE)</f>
        <v>COLOMBIA</v>
      </c>
      <c r="M713" s="285" t="s">
        <v>177</v>
      </c>
      <c r="N713" s="454">
        <f>VLOOKUP(Tableau119[[#This Row],[Name Site]],Plant_AILN!A:C,3,FALSE)</f>
        <v>9510600</v>
      </c>
      <c r="O713" s="55">
        <f>IF(Tableau119[[#This Row],[Name PFI/CDD]]="PFI VLL",2,VLOOKUP(Tableau119[[#This Row],[Compte Consignee]],Order!C:D,2,FALSE))</f>
        <v>7</v>
      </c>
      <c r="P713" s="124" t="s">
        <v>146</v>
      </c>
      <c r="Q713" s="365">
        <f>VLOOKUP(Tableau119[[#This Row],[Name ILN]],Plant_AILN!F:G,2,FALSE)</f>
        <v>0</v>
      </c>
      <c r="R713" s="50">
        <f>VLOOKUP(Tableau119[[#This Row],[Compte ILN]],'DATA ILN'!D:I,6,FALSE)</f>
        <v>9</v>
      </c>
      <c r="S713" s="50" t="e">
        <f>IFERROR(VLOOKUP(Tableau119[[#This Row],[Key(Compte ILN - shipper - POL - plant)]],'DATA ILN'!A:J,10,FALSE),VLOOKUP(Tableau119[[#This Row],[Key(Compte ILN - shipper - POL)]],'DATA ILN'!B:J,9,FALSE))</f>
        <v>#N/A</v>
      </c>
      <c r="T713" s="50" t="e">
        <f>IFERROR(VLOOKUP(Tableau119[[#This Row],[Key(Compte ILN - shipper - POL - plant)]],'DATA ILN'!A:K,11,FALSE),VLOOKUP(Tableau119[[#This Row],[Key(Compte ILN - shipper - POL)]],'DATA ILN'!B:K,10,FALSE))</f>
        <v>#N/A</v>
      </c>
      <c r="U713" s="50" t="e">
        <f>IFERROR(VLOOKUP(Tableau119[[#This Row],[Key(Compte ILN - shipper - POL - plant)]],'DATA ILN'!A:L,12,FALSE),VLOOKUP(Tableau119[[#This Row],[Key(Compte ILN - shipper - POL)]],'DATA ILN'!B:L,11,FALSE))</f>
        <v>#N/A</v>
      </c>
      <c r="V713" s="50" t="e">
        <f>Tableau119[[#This Row],[Day ILN Order]]+Tableau119[[#This Row],[Delivery time to ILN/Shipper]]-1</f>
        <v>#N/A</v>
      </c>
      <c r="W713" s="50" t="e">
        <f>IFERROR(VLOOKUP(Tableau119[[#This Row],[Key(Compte ILN - shipper - POL - plant)]],'DATA ILN'!A:N,14,FALSE),VLOOKUP(Tableau119[[#This Row],[Key(Compte ILN - shipper - POL)]],'DATA ILN'!B:N,13,FALSE))</f>
        <v>#N/A</v>
      </c>
      <c r="X713" s="50" t="e">
        <f>IFERROR(VLOOKUP(Tableau119[[#This Row],[Key(Compte ILN - shipper - POL - plant)]],'DATA ILN'!A:P,16,FALSE),VLOOKUP(Tableau119[[#This Row],[Key(Compte ILN - shipper - POL)]],'DATA ILN'!B:P,15,FALSE))</f>
        <v>#N/A</v>
      </c>
      <c r="Y713" s="284" t="s">
        <v>298</v>
      </c>
      <c r="Z713" s="430">
        <f>IFERROR(VLOOKUP(Tableau119[[#This Row],[Name Shipper]],Plant_AILN!L:M,2,FALSE),0)</f>
        <v>29179900</v>
      </c>
      <c r="AA713" s="406">
        <v>434</v>
      </c>
      <c r="AB713" s="396" t="b">
        <f>_xlfn.XLOOKUP(Tableau119[[#This Row],[Key(ID-date)]],'DATA BTO'!S:S,'DATA BTO'!E:E,FALSE)</f>
        <v>0</v>
      </c>
      <c r="AC713" s="3" t="b">
        <f>_xlfn.XLOOKUP(Tableau119[[#This Row],[Key(ID-date)]],'DATA BTO'!S:S,'DATA BTO'!F:F,FALSE)</f>
        <v>0</v>
      </c>
      <c r="AD713" s="50" t="b">
        <f>_xlfn.XLOOKUP(Tableau119[[#This Row],[Key(ID-date)]],'DATA BTO'!S:S,'DATA BTO'!G:G,FALSE)</f>
        <v>0</v>
      </c>
      <c r="AE713" s="50" t="b">
        <f>_xlfn.XLOOKUP(Tableau119[[#This Row],[Key(ID-date)]],'DATA BTO'!S:S,'DATA BTO'!H:H,FALSE)</f>
        <v>0</v>
      </c>
      <c r="AF713" s="447" t="e">
        <f>IF(Tableau119[[#This Row],[First Day to POL]]&lt;=Tableau119[[#This Row],[Day Cut Off]],Tableau119[[#This Row],[Day ETD]],Tableau119[[#This Row],[Day ETD]]+7)</f>
        <v>#N/A</v>
      </c>
      <c r="AG713" s="50" t="b">
        <f>_xlfn.XLOOKUP(Tableau119[[#This Row],[Key(ID-date)]],'DATA BTO'!S:S,'DATA BTO'!I:I,FALSE)</f>
        <v>0</v>
      </c>
      <c r="AH713" s="3" t="b">
        <f>_xlfn.XLOOKUP(Tableau119[[#This Row],[Key(ID-date)]],'DATA BTO'!S:S,'DATA BTO'!J:J,FALSE)</f>
        <v>0</v>
      </c>
      <c r="AI713" s="3" t="b">
        <f>_xlfn.XLOOKUP(Tableau119[[#This Row],[Key(ID-date)]],'DATA BTO'!S:S,'DATA BTO'!K:K,FALSE)</f>
        <v>0</v>
      </c>
      <c r="AJ713" s="50" t="b">
        <f>_xlfn.XLOOKUP(Tableau119[[#This Row],[Key(ID-date)]],'DATA BTO'!S:S,'DATA BTO'!L:L,FALSE)</f>
        <v>0</v>
      </c>
      <c r="AK713" s="53" t="b">
        <f>_xlfn.XLOOKUP(Tableau119[[#This Row],[Key(ID-date)]],'DATA BTO'!S:S,'DATA BTO'!N:N,FALSE)</f>
        <v>0</v>
      </c>
      <c r="AL713" s="54" t="e">
        <f>VLOOKUP(Tableau119[[#This Row],[Key(POD -PFI- Usine)]],'DATA Consignee'!A:F,6,FALSE)</f>
        <v>#N/A</v>
      </c>
      <c r="AM713" s="127"/>
      <c r="AN713" s="376" t="str">
        <f>IF(Tableau119[[#This Row],[Name PFI/CDD]]="","-",VLOOKUP(Tableau119[[#This Row],[Name PFI/CDD]],Plant_AILN!I:J,2,FALSE))</f>
        <v>-</v>
      </c>
      <c r="AO7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3" s="2" t="e">
        <f>VLOOKUP(Tableau119[[#This Row],[Key(POD -PFI- Usine)]],'DATA Consignee'!A:J,10,FALSE)</f>
        <v>#N/A</v>
      </c>
      <c r="AR713" s="50" t="e">
        <f>VLOOKUP(Tableau119[[#This Row],[Key(POD -PFI- Usine)]],'DATA Consignee'!A:N,14,FALSE)</f>
        <v>#N/A</v>
      </c>
      <c r="AS71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3" s="50">
        <f>Tableau119[[#This Row],[Transit time]]+Tableau119[[#This Row],[Time for security]]+Tableau119[[#This Row],[Time for security2 buffer]]</f>
        <v>0</v>
      </c>
      <c r="AV71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3" s="50" t="e">
        <f>Tableau119[[#This Row],[Leadtime SI2C]]+Tableau119[[#This Row],[First Receipt Days]]-Tableau119[[#This Row],[Day Customer Order]]+1</f>
        <v>#N/A</v>
      </c>
      <c r="AX713" s="119" t="e">
        <f>IF(Tableau119[[#This Row],[Name ILN]]&lt;&gt;"SFK Freight Forwarder",Tableau119[[#This Row],[Cust. Leadtime]],Tableau119[[#This Row],[Leadtime SI2C]])</f>
        <v>#N/A</v>
      </c>
      <c r="AY713" s="51" t="b">
        <f>_xlfn.XLOOKUP(Tableau119[[#This Row],[Key(ID-date)]],'DATA BTO'!S:S,'DATA BTO'!P:P,FALSE)</f>
        <v>0</v>
      </c>
      <c r="AZ713" s="338">
        <v>46142</v>
      </c>
      <c r="BA713" s="50"/>
    </row>
    <row r="714" spans="2:53">
      <c r="B714" s="446" t="str">
        <f>_xlfn.CONCAT(Tableau119[[#This Row],[Name ILN]],"-",Tableau119[[#This Row],[Name Shipper]],"-",Tableau119[[#This Row],[Name Site]])</f>
        <v>SFK Freight Forwarder-GITI RADIAL TIRE ANHUI COMPANY LTD (CNSHA)-SOFASA</v>
      </c>
      <c r="C714" s="66" t="str">
        <f>_xlfn.CONCAT(Tableau119[[#This Row],[Compte ILN]],"-",Tableau119[[#This Row],[Compte Shipper]],"-",Tableau119[[#This Row],[POL]],"-",Tableau119[[#This Row],[Compte Consignee]])</f>
        <v>0-29179900-FALSO-9510600</v>
      </c>
      <c r="D714" s="66" t="str">
        <f>_xlfn.CONCAT(Tableau119[[#This Row],[Compte ILN]],"-",Tableau119[[#This Row],[Compte Shipper]],"-",Tableau119[[#This Row],[POL]])</f>
        <v>0-29179900-FALSO</v>
      </c>
      <c r="E714" s="130" t="str">
        <f>_xlfn.CONCAT(Tableau119[[#This Row],[POL]],"-",Tableau119[[#This Row],[Carrier]],"-",Tableau119[[#This Row],[POD]])</f>
        <v>FALSO-FALSO-FALSO</v>
      </c>
      <c r="F714" s="66" t="str">
        <f>_xlfn.CONCAT(Tableau119[[#This Row],[ID]],"-","Actif")</f>
        <v>434-Actif</v>
      </c>
      <c r="G714" s="66" t="str">
        <f>_xlfn.CONCAT(Tableau119[[#This Row],[POD]],"-",Tableau119[[#This Row],[Code PFI]],"-",Tableau119[[#This Row],[Compte Consignee]])</f>
        <v>FALSO---9510600</v>
      </c>
      <c r="H7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29179900FALSOSOFASA</v>
      </c>
      <c r="I714" s="434" t="str">
        <f>_xlfn.CONCAT(Tableau119[[#This Row],[ID]],"-",Tableau119[[#This Row],[Expiration Date]])</f>
        <v>434-45777</v>
      </c>
      <c r="J7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Forwarder-GITI RADIAL TIRE ANHUI COMPANY LTD (CNSHA)-434-FALSO-FALSO-FALSO--45777</v>
      </c>
      <c r="K714" s="119" t="str">
        <f ca="1">IF(COUNTIF(J:J,Tableau119[[#This Row],[Plant-ILN-shipper-POL-Carrier-POD-PFI]])=1,"Non","Oui")</f>
        <v>Non</v>
      </c>
      <c r="L714" s="128" t="str">
        <f>VLOOKUP(Tableau119[[#This Row],[Name Site]],Plant_AILN!A:D,4,FALSE)</f>
        <v>COLOMBIA</v>
      </c>
      <c r="M714" s="411" t="s">
        <v>177</v>
      </c>
      <c r="N714" s="454">
        <f>VLOOKUP(Tableau119[[#This Row],[Name Site]],Plant_AILN!A:C,3,FALSE)</f>
        <v>9510600</v>
      </c>
      <c r="O714" s="55">
        <f>VLOOKUP(Tableau119[[#This Row],[Compte Consignee]],Order!C:D,2,FALSE)</f>
        <v>7</v>
      </c>
      <c r="P714" s="124" t="s">
        <v>146</v>
      </c>
      <c r="Q714" s="365">
        <f>VLOOKUP(Tableau119[[#This Row],[Name ILN]],Plant_AILN!F:G,2,FALSE)</f>
        <v>0</v>
      </c>
      <c r="R714" s="50">
        <f>VLOOKUP(Tableau119[[#This Row],[Compte ILN]],'DATA ILN'!D:I,6,FALSE)</f>
        <v>9</v>
      </c>
      <c r="S714" s="50" t="e">
        <f>IFERROR(VLOOKUP(Tableau119[[#This Row],[Key(Compte ILN - shipper - POL - plant)]],'DATA ILN'!A:J,10,FALSE),VLOOKUP(Tableau119[[#This Row],[Key(Compte ILN - shipper - POL)]],'DATA ILN'!B:J,9,FALSE))</f>
        <v>#N/A</v>
      </c>
      <c r="T714" s="50" t="e">
        <f>IFERROR(VLOOKUP(Tableau119[[#This Row],[Key(Compte ILN - shipper - POL - plant)]],'DATA ILN'!A:K,11,FALSE),VLOOKUP(Tableau119[[#This Row],[Key(Compte ILN - shipper - POL)]],'DATA ILN'!B:K,10,FALSE))</f>
        <v>#N/A</v>
      </c>
      <c r="U714" s="50" t="e">
        <f>IFERROR(VLOOKUP(Tableau119[[#This Row],[Key(Compte ILN - shipper - POL - plant)]],'DATA ILN'!A:L,12,FALSE),VLOOKUP(Tableau119[[#This Row],[Key(Compte ILN - shipper - POL)]],'DATA ILN'!B:L,11,FALSE))</f>
        <v>#N/A</v>
      </c>
      <c r="V714" s="50" t="e">
        <f>Tableau119[[#This Row],[Day ILN Order]]+Tableau119[[#This Row],[Delivery time to ILN/Shipper]]-1</f>
        <v>#N/A</v>
      </c>
      <c r="W714" s="50" t="e">
        <f>IFERROR(VLOOKUP(Tableau119[[#This Row],[Key(Compte ILN - shipper - POL - plant)]],'DATA ILN'!A:N,14,FALSE),VLOOKUP(Tableau119[[#This Row],[Key(Compte ILN - shipper - POL)]],'DATA ILN'!B:N,13,FALSE))</f>
        <v>#N/A</v>
      </c>
      <c r="X714" s="50" t="e">
        <f>IFERROR(VLOOKUP(Tableau119[[#This Row],[Key(Compte ILN - shipper - POL - plant)]],'DATA ILN'!A:P,16,FALSE),VLOOKUP(Tableau119[[#This Row],[Key(Compte ILN - shipper - POL)]],'DATA ILN'!B:P,15,FALSE))</f>
        <v>#N/A</v>
      </c>
      <c r="Y714" s="284" t="s">
        <v>298</v>
      </c>
      <c r="Z714" s="430">
        <f>IFERROR(VLOOKUP(Tableau119[[#This Row],[Name Shipper]],Plant_AILN!L:M,2,FALSE),0)</f>
        <v>29179900</v>
      </c>
      <c r="AA714" s="406">
        <v>434</v>
      </c>
      <c r="AB714" s="396" t="b">
        <f>_xlfn.XLOOKUP(Tableau119[[#This Row],[Key(ID-date)]],'DATA BTO'!S:S,'DATA BTO'!E:E,FALSE)</f>
        <v>0</v>
      </c>
      <c r="AC714" s="3" t="b">
        <f>_xlfn.XLOOKUP(Tableau119[[#This Row],[Key(ID-date)]],'DATA BTO'!S:S,'DATA BTO'!F:F,FALSE)</f>
        <v>0</v>
      </c>
      <c r="AD714" s="50" t="b">
        <f>_xlfn.XLOOKUP(Tableau119[[#This Row],[Key(ID-date)]],'DATA BTO'!S:S,'DATA BTO'!G:G,FALSE)</f>
        <v>0</v>
      </c>
      <c r="AE714" s="50" t="b">
        <f>_xlfn.XLOOKUP(Tableau119[[#This Row],[Key(ID-date)]],'DATA BTO'!S:S,'DATA BTO'!H:H,FALSE)</f>
        <v>0</v>
      </c>
      <c r="AF714" s="447" t="e">
        <f>IF(Tableau119[[#This Row],[First Day to POL]]&lt;=Tableau119[[#This Row],[Day Cut Off]],Tableau119[[#This Row],[Day ETD]],Tableau119[[#This Row],[Day ETD]]+7)</f>
        <v>#N/A</v>
      </c>
      <c r="AG714" s="50" t="b">
        <f>_xlfn.XLOOKUP(Tableau119[[#This Row],[Key(ID-date)]],'DATA BTO'!S:S,'DATA BTO'!I:I,FALSE)</f>
        <v>0</v>
      </c>
      <c r="AH714" s="3" t="b">
        <f>_xlfn.XLOOKUP(Tableau119[[#This Row],[Key(ID-date)]],'DATA BTO'!S:S,'DATA BTO'!J:J,FALSE)</f>
        <v>0</v>
      </c>
      <c r="AI714" s="3" t="b">
        <f>_xlfn.XLOOKUP(Tableau119[[#This Row],[Key(ID-date)]],'DATA BTO'!S:S,'DATA BTO'!K:K,FALSE)</f>
        <v>0</v>
      </c>
      <c r="AJ714" s="50" t="b">
        <f>_xlfn.XLOOKUP(Tableau119[[#This Row],[Key(ID-date)]],'DATA BTO'!S:S,'DATA BTO'!L:L,FALSE)</f>
        <v>0</v>
      </c>
      <c r="AK714" s="53" t="b">
        <f>_xlfn.XLOOKUP(Tableau119[[#This Row],[Key(ID-date)]],'DATA BTO'!S:S,'DATA BTO'!N:N,FALSE)</f>
        <v>0</v>
      </c>
      <c r="AL714" s="54" t="e">
        <f>VLOOKUP(Tableau119[[#This Row],[Key(POD -PFI- Usine)]],'DATA Consignee'!A:F,6,FALSE)</f>
        <v>#N/A</v>
      </c>
      <c r="AM714" s="284"/>
      <c r="AN714" s="376" t="str">
        <f>IF(Tableau119[[#This Row],[Name PFI/CDD]]="","-",VLOOKUP(Tableau119[[#This Row],[Name PFI/CDD]],Plant_AILN!I:J,2,FALSE))</f>
        <v>-</v>
      </c>
      <c r="AO71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4" s="2" t="e">
        <f>VLOOKUP(Tableau119[[#This Row],[Key(POD -PFI- Usine)]],'DATA Consignee'!A:J,10,FALSE)</f>
        <v>#N/A</v>
      </c>
      <c r="AR714" s="50" t="e">
        <f>VLOOKUP(Tableau119[[#This Row],[Key(POD -PFI- Usine)]],'DATA Consignee'!A:N,14,FALSE)</f>
        <v>#N/A</v>
      </c>
      <c r="AS71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4" s="50">
        <f>Tableau119[[#This Row],[Transit time]]+Tableau119[[#This Row],[Time for security]]+Tableau119[[#This Row],[Time for security2 buffer]]</f>
        <v>0</v>
      </c>
      <c r="AV71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4" s="50" t="e">
        <f>Tableau119[[#This Row],[Leadtime SI2C]]+Tableau119[[#This Row],[First Receipt Days]]-Tableau119[[#This Row],[Day Customer Order]]+1</f>
        <v>#N/A</v>
      </c>
      <c r="AX714" s="119" t="e">
        <f>IF(Tableau119[[#This Row],[Name ILN]]&lt;&gt;"SFK Freight Forwarder",Tableau119[[#This Row],[Cust. Leadtime]],Tableau119[[#This Row],[Leadtime SI2C]])</f>
        <v>#N/A</v>
      </c>
      <c r="AY714" s="51" t="b">
        <f>_xlfn.XLOOKUP(Tableau119[[#This Row],[Key(ID-date)]],'DATA BTO'!S:S,'DATA BTO'!P:P,FALSE)</f>
        <v>0</v>
      </c>
      <c r="AZ714" s="338">
        <v>45777</v>
      </c>
      <c r="BA714" s="50"/>
    </row>
    <row r="715" spans="2:53">
      <c r="B715" s="66" t="str">
        <f>_xlfn.CONCAT(Tableau119[[#This Row],[Name ILN]],"-",Tableau119[[#This Row],[Name Shipper]],"-",Tableau119[[#This Row],[Name Site]])</f>
        <v>ILN Curitiba-ILN Curitiba-DACIA MONT</v>
      </c>
      <c r="C715" s="66" t="str">
        <f>_xlfn.CONCAT(Tableau119[[#This Row],[Compte ILN]],"-",Tableau119[[#This Row],[Compte Shipper]],"-",Tableau119[[#This Row],[POL]],"-",Tableau119[[#This Row],[Compte Consignee]])</f>
        <v>95207-95207-FALSO-90016800</v>
      </c>
      <c r="D715" s="66" t="str">
        <f>_xlfn.CONCAT(Tableau119[[#This Row],[Compte ILN]],"-",Tableau119[[#This Row],[Compte Shipper]],"-",Tableau119[[#This Row],[POL]])</f>
        <v>95207-95207-FALSO</v>
      </c>
      <c r="E715" s="130" t="str">
        <f>_xlfn.CONCAT(Tableau119[[#This Row],[POL]],"-",Tableau119[[#This Row],[Carrier]],"-",Tableau119[[#This Row],[POD]])</f>
        <v>FALSO-FALSO-FALSO</v>
      </c>
      <c r="F715" s="66" t="str">
        <f>_xlfn.CONCAT(Tableau119[[#This Row],[ID]],"-","Actif")</f>
        <v>466-Actif</v>
      </c>
      <c r="G715" s="66" t="str">
        <f>_xlfn.CONCAT(Tableau119[[#This Row],[POD]],"-",Tableau119[[#This Row],[Code PFI]],"-",Tableau119[[#This Row],[Compte Consignee]])</f>
        <v>FALSO-2839004-90016800</v>
      </c>
      <c r="H7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CuritibaFALSODACIA MONT</v>
      </c>
      <c r="I715" s="434" t="str">
        <f>_xlfn.CONCAT(Tableau119[[#This Row],[ID]],"-",Tableau119[[#This Row],[Expiration Date]])</f>
        <v>466-46142</v>
      </c>
      <c r="J7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Curitiba-ILN Curitiba-466-FALSO-FALSO-FALSO-Magasin Dacia-46142</v>
      </c>
      <c r="K715" s="119" t="str">
        <f ca="1">IF(COUNTIF(J:J,Tableau119[[#This Row],[Plant-ILN-shipper-POL-Carrier-POD-PFI]])=1,"Non","Oui")</f>
        <v>Non</v>
      </c>
      <c r="L715" s="436" t="str">
        <f>VLOOKUP(Tableau119[[#This Row],[Name Site]],Plant_AILN!A:D,4,FALSE)</f>
        <v>ROMANIA</v>
      </c>
      <c r="M715" s="411" t="s">
        <v>185</v>
      </c>
      <c r="N715" s="454">
        <f>VLOOKUP(Tableau119[[#This Row],[Name Site]],Plant_AILN!A:C,3,FALSE)</f>
        <v>90016800</v>
      </c>
      <c r="O715" s="55">
        <f>IF(Tableau119[[#This Row],[Name PFI/CDD]]="PFI VLL",2,VLOOKUP(Tableau119[[#This Row],[Compte Consignee]],Order!C:D,2,FALSE))</f>
        <v>7</v>
      </c>
      <c r="P715" s="124" t="s">
        <v>163</v>
      </c>
      <c r="Q715" s="365">
        <f>VLOOKUP(Tableau119[[#This Row],[Name ILN]],Plant_AILN!F:G,2,FALSE)</f>
        <v>95207</v>
      </c>
      <c r="R715" s="50">
        <f>VLOOKUP(Tableau119[[#This Row],[Compte ILN]],'DATA ILN'!D:I,6,FALSE)</f>
        <v>9</v>
      </c>
      <c r="S715" s="50" t="e">
        <f>IFERROR(VLOOKUP(Tableau119[[#This Row],[Key(Compte ILN - shipper - POL - plant)]],'DATA ILN'!A:J,10,FALSE),VLOOKUP(Tableau119[[#This Row],[Key(Compte ILN - shipper - POL)]],'DATA ILN'!B:J,9,FALSE))</f>
        <v>#N/A</v>
      </c>
      <c r="T715" s="50" t="e">
        <f>IFERROR(VLOOKUP(Tableau119[[#This Row],[Key(Compte ILN - shipper - POL - plant)]],'DATA ILN'!A:K,11,FALSE),VLOOKUP(Tableau119[[#This Row],[Key(Compte ILN - shipper - POL)]],'DATA ILN'!B:K,10,FALSE))</f>
        <v>#N/A</v>
      </c>
      <c r="U715" s="50" t="e">
        <f>IFERROR(VLOOKUP(Tableau119[[#This Row],[Key(Compte ILN - shipper - POL - plant)]],'DATA ILN'!A:L,12,FALSE),VLOOKUP(Tableau119[[#This Row],[Key(Compte ILN - shipper - POL)]],'DATA ILN'!B:L,11,FALSE))</f>
        <v>#N/A</v>
      </c>
      <c r="V715" s="50" t="e">
        <f>Tableau119[[#This Row],[Day ILN Order]]+Tableau119[[#This Row],[Delivery time to ILN/Shipper]]-1</f>
        <v>#N/A</v>
      </c>
      <c r="W715" s="50" t="e">
        <f>IFERROR(VLOOKUP(Tableau119[[#This Row],[Key(Compte ILN - shipper - POL - plant)]],'DATA ILN'!A:N,14,FALSE),VLOOKUP(Tableau119[[#This Row],[Key(Compte ILN - shipper - POL)]],'DATA ILN'!B:N,13,FALSE))</f>
        <v>#N/A</v>
      </c>
      <c r="X715" s="50" t="e">
        <f>IFERROR(VLOOKUP(Tableau119[[#This Row],[Key(Compte ILN - shipper - POL - plant)]],'DATA ILN'!A:P,16,FALSE),VLOOKUP(Tableau119[[#This Row],[Key(Compte ILN - shipper - POL)]],'DATA ILN'!B:P,15,FALSE))</f>
        <v>#N/A</v>
      </c>
      <c r="Y715" s="284" t="s">
        <v>163</v>
      </c>
      <c r="Z715" s="430">
        <f>IFERROR(VLOOKUP(Tableau119[[#This Row],[Name Shipper]],Plant_AILN!L:M,2,FALSE),0)</f>
        <v>95207</v>
      </c>
      <c r="AA715" s="406">
        <v>466</v>
      </c>
      <c r="AB715" s="396" t="b">
        <f>_xlfn.XLOOKUP(Tableau119[[#This Row],[Key(ID-date)]],'DATA BTO'!S:S,'DATA BTO'!E:E,FALSE)</f>
        <v>0</v>
      </c>
      <c r="AC715" s="3" t="b">
        <f>_xlfn.XLOOKUP(Tableau119[[#This Row],[Key(ID-date)]],'DATA BTO'!S:S,'DATA BTO'!F:F,FALSE)</f>
        <v>0</v>
      </c>
      <c r="AD715" s="50" t="b">
        <f>_xlfn.XLOOKUP(Tableau119[[#This Row],[Key(ID-date)]],'DATA BTO'!S:S,'DATA BTO'!G:G,FALSE)</f>
        <v>0</v>
      </c>
      <c r="AE715" s="50" t="b">
        <f>_xlfn.XLOOKUP(Tableau119[[#This Row],[Key(ID-date)]],'DATA BTO'!S:S,'DATA BTO'!H:H,FALSE)</f>
        <v>0</v>
      </c>
      <c r="AF715" s="447" t="e">
        <f>IF(Tableau119[[#This Row],[First Day to POL]]&lt;=Tableau119[[#This Row],[Day Cut Off]],Tableau119[[#This Row],[Day ETD]],Tableau119[[#This Row],[Day ETD]]+7)</f>
        <v>#N/A</v>
      </c>
      <c r="AG715" s="50" t="b">
        <f>_xlfn.XLOOKUP(Tableau119[[#This Row],[Key(ID-date)]],'DATA BTO'!S:S,'DATA BTO'!I:I,FALSE)</f>
        <v>0</v>
      </c>
      <c r="AH715" s="3" t="b">
        <f>_xlfn.XLOOKUP(Tableau119[[#This Row],[Key(ID-date)]],'DATA BTO'!S:S,'DATA BTO'!J:J,FALSE)</f>
        <v>0</v>
      </c>
      <c r="AI715" s="3" t="b">
        <f>_xlfn.XLOOKUP(Tableau119[[#This Row],[Key(ID-date)]],'DATA BTO'!S:S,'DATA BTO'!K:K,FALSE)</f>
        <v>0</v>
      </c>
      <c r="AJ715" s="50" t="b">
        <f>_xlfn.XLOOKUP(Tableau119[[#This Row],[Key(ID-date)]],'DATA BTO'!S:S,'DATA BTO'!L:L,FALSE)</f>
        <v>0</v>
      </c>
      <c r="AK715" s="53" t="b">
        <f>_xlfn.XLOOKUP(Tableau119[[#This Row],[Key(ID-date)]],'DATA BTO'!S:S,'DATA BTO'!N:N,FALSE)</f>
        <v>0</v>
      </c>
      <c r="AL715" s="54" t="e">
        <f>VLOOKUP(Tableau119[[#This Row],[Key(POD -PFI- Usine)]],'DATA Consignee'!A:F,6,FALSE)</f>
        <v>#N/A</v>
      </c>
      <c r="AM715" s="284" t="s">
        <v>164</v>
      </c>
      <c r="AN715" s="376">
        <f>IF(Tableau119[[#This Row],[Name PFI/CDD]]="","-",VLOOKUP(Tableau119[[#This Row],[Name PFI/CDD]],Plant_AILN!I:J,2,FALSE))</f>
        <v>2839004</v>
      </c>
      <c r="AO7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5" s="2" t="e">
        <f>VLOOKUP(Tableau119[[#This Row],[Key(POD -PFI- Usine)]],'DATA Consignee'!A:J,10,FALSE)</f>
        <v>#N/A</v>
      </c>
      <c r="AR715" s="50" t="e">
        <f>VLOOKUP(Tableau119[[#This Row],[Key(POD -PFI- Usine)]],'DATA Consignee'!A:N,14,FALSE)</f>
        <v>#N/A</v>
      </c>
      <c r="AS71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5" s="50">
        <f>Tableau119[[#This Row],[Transit time]]+Tableau119[[#This Row],[Time for security]]+Tableau119[[#This Row],[Time for security2 buffer]]</f>
        <v>0</v>
      </c>
      <c r="AV71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5" s="50" t="e">
        <f>Tableau119[[#This Row],[Leadtime SI2C]]+Tableau119[[#This Row],[First Receipt Days]]-Tableau119[[#This Row],[Day Customer Order]]+1</f>
        <v>#N/A</v>
      </c>
      <c r="AX715" s="119" t="e">
        <f>IF(Tableau119[[#This Row],[Name ILN]]&lt;&gt;"SFK Freight Forwarder",Tableau119[[#This Row],[Cust. Leadtime]],Tableau119[[#This Row],[Leadtime SI2C]])</f>
        <v>#N/A</v>
      </c>
      <c r="AY715" s="51" t="b">
        <f>_xlfn.XLOOKUP(Tableau119[[#This Row],[Key(ID-date)]],'DATA BTO'!S:S,'DATA BTO'!P:P,FALSE)</f>
        <v>0</v>
      </c>
      <c r="AZ715" s="338">
        <v>46142</v>
      </c>
      <c r="BA715" s="50"/>
    </row>
    <row r="716" spans="2:53">
      <c r="B716" s="66" t="str">
        <f>_xlfn.CONCAT(Tableau119[[#This Row],[Name ILN]],"-",Tableau119[[#This Row],[Name Shipper]],"-",Tableau119[[#This Row],[Name Site]])</f>
        <v>ILN Curitiba-ILN Curitiba-REVOZ</v>
      </c>
      <c r="C716" s="66" t="str">
        <f>_xlfn.CONCAT(Tableau119[[#This Row],[Compte ILN]],"-",Tableau119[[#This Row],[Compte Shipper]],"-",Tableau119[[#This Row],[POL]],"-",Tableau119[[#This Row],[Compte Consignee]])</f>
        <v>95207-95207-FALSO-90016700</v>
      </c>
      <c r="D716" s="66" t="str">
        <f>_xlfn.CONCAT(Tableau119[[#This Row],[Compte ILN]],"-",Tableau119[[#This Row],[Compte Shipper]],"-",Tableau119[[#This Row],[POL]])</f>
        <v>95207-95207-FALSO</v>
      </c>
      <c r="E716" s="130" t="str">
        <f>_xlfn.CONCAT(Tableau119[[#This Row],[POL]],"-",Tableau119[[#This Row],[Carrier]],"-",Tableau119[[#This Row],[POD]])</f>
        <v>FALSO-FALSO-FALSO</v>
      </c>
      <c r="F716" s="66" t="str">
        <f>_xlfn.CONCAT(Tableau119[[#This Row],[ID]],"-","Actif")</f>
        <v>466-Actif</v>
      </c>
      <c r="G716" s="66" t="str">
        <f>_xlfn.CONCAT(Tableau119[[#This Row],[POD]],"-",Tableau119[[#This Row],[Code PFI]],"-",Tableau119[[#This Row],[Compte Consignee]])</f>
        <v>FALSO-2839004-90016700</v>
      </c>
      <c r="H7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CuritibaFALSOREVOZ</v>
      </c>
      <c r="I716" s="434" t="str">
        <f>_xlfn.CONCAT(Tableau119[[#This Row],[ID]],"-",Tableau119[[#This Row],[Expiration Date]])</f>
        <v>466-46142</v>
      </c>
      <c r="J7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Curitiba-ILN Curitiba-466-FALSO-FALSO-FALSO-PFI Mioveni-46142</v>
      </c>
      <c r="K716" s="119" t="str">
        <f ca="1">IF(COUNTIF(J:J,Tableau119[[#This Row],[Plant-ILN-shipper-POL-Carrier-POD-PFI]])=1,"Non","Oui")</f>
        <v>Non</v>
      </c>
      <c r="L716" s="440" t="str">
        <f>VLOOKUP(Tableau119[[#This Row],[Name Site]],Plant_AILN!A:D,4,FALSE)</f>
        <v>SLOVENIA</v>
      </c>
      <c r="M716" s="483" t="s">
        <v>35</v>
      </c>
      <c r="N716" s="455">
        <f>VLOOKUP(Tableau119[[#This Row],[Name Site]],Plant_AILN!A:C,3,FALSE)</f>
        <v>90016700</v>
      </c>
      <c r="O716" s="104">
        <f>IF(Tableau119[[#This Row],[Name PFI/CDD]]="PFI VLL",2,VLOOKUP(Tableau119[[#This Row],[Compte Consignee]],Order!C:D,2,FALSE))</f>
        <v>7</v>
      </c>
      <c r="P716" s="126" t="s">
        <v>163</v>
      </c>
      <c r="Q716" s="366">
        <f>VLOOKUP(Tableau119[[#This Row],[Name ILN]],Plant_AILN!F:G,2,FALSE)</f>
        <v>95207</v>
      </c>
      <c r="R716" s="81">
        <f>VLOOKUP(Tableau119[[#This Row],[Compte ILN]],'DATA ILN'!D:I,6,FALSE)</f>
        <v>9</v>
      </c>
      <c r="S716" s="81" t="e">
        <f>IFERROR(VLOOKUP(Tableau119[[#This Row],[Key(Compte ILN - shipper - POL - plant)]],'DATA ILN'!A:J,10,FALSE),VLOOKUP(Tableau119[[#This Row],[Key(Compte ILN - shipper - POL)]],'DATA ILN'!B:J,9,FALSE))</f>
        <v>#N/A</v>
      </c>
      <c r="T716" s="81" t="e">
        <f>IFERROR(VLOOKUP(Tableau119[[#This Row],[Key(Compte ILN - shipper - POL - plant)]],'DATA ILN'!A:K,11,FALSE),VLOOKUP(Tableau119[[#This Row],[Key(Compte ILN - shipper - POL)]],'DATA ILN'!B:K,10,FALSE))</f>
        <v>#N/A</v>
      </c>
      <c r="U716" s="81" t="e">
        <f>IFERROR(VLOOKUP(Tableau119[[#This Row],[Key(Compte ILN - shipper - POL - plant)]],'DATA ILN'!A:L,12,FALSE),VLOOKUP(Tableau119[[#This Row],[Key(Compte ILN - shipper - POL)]],'DATA ILN'!B:L,11,FALSE))</f>
        <v>#N/A</v>
      </c>
      <c r="V716" s="81" t="e">
        <f>Tableau119[[#This Row],[Day ILN Order]]+Tableau119[[#This Row],[Delivery time to ILN/Shipper]]-1</f>
        <v>#N/A</v>
      </c>
      <c r="W716" s="81" t="e">
        <f>IFERROR(VLOOKUP(Tableau119[[#This Row],[Key(Compte ILN - shipper - POL - plant)]],'DATA ILN'!A:N,14,FALSE),VLOOKUP(Tableau119[[#This Row],[Key(Compte ILN - shipper - POL)]],'DATA ILN'!B:N,13,FALSE))</f>
        <v>#N/A</v>
      </c>
      <c r="X716" s="81" t="e">
        <f>IFERROR(VLOOKUP(Tableau119[[#This Row],[Key(Compte ILN - shipper - POL - plant)]],'DATA ILN'!A:P,16,FALSE),VLOOKUP(Tableau119[[#This Row],[Key(Compte ILN - shipper - POL)]],'DATA ILN'!B:P,15,FALSE))</f>
        <v>#N/A</v>
      </c>
      <c r="Y716" s="102" t="s">
        <v>163</v>
      </c>
      <c r="Z716" s="417">
        <f>IFERROR(VLOOKUP(Tableau119[[#This Row],[Name Shipper]],Plant_AILN!L:M,2,FALSE),0)</f>
        <v>95207</v>
      </c>
      <c r="AA716" s="416">
        <v>466</v>
      </c>
      <c r="AB716" s="396" t="b">
        <f>_xlfn.XLOOKUP(Tableau119[[#This Row],[Key(ID-date)]],'DATA BTO'!S:S,'DATA BTO'!E:E,FALSE)</f>
        <v>0</v>
      </c>
      <c r="AC716" s="3" t="b">
        <f>_xlfn.XLOOKUP(Tableau119[[#This Row],[Key(ID-date)]],'DATA BTO'!S:S,'DATA BTO'!F:F,FALSE)</f>
        <v>0</v>
      </c>
      <c r="AD716" s="50" t="b">
        <f>_xlfn.XLOOKUP(Tableau119[[#This Row],[Key(ID-date)]],'DATA BTO'!S:S,'DATA BTO'!G:G,FALSE)</f>
        <v>0</v>
      </c>
      <c r="AE716" s="50" t="b">
        <f>_xlfn.XLOOKUP(Tableau119[[#This Row],[Key(ID-date)]],'DATA BTO'!S:S,'DATA BTO'!H:H,FALSE)</f>
        <v>0</v>
      </c>
      <c r="AF716" s="447" t="e">
        <f>IF(Tableau119[[#This Row],[First Day to POL]]&lt;=Tableau119[[#This Row],[Day Cut Off]],Tableau119[[#This Row],[Day ETD]],Tableau119[[#This Row],[Day ETD]]+7)</f>
        <v>#N/A</v>
      </c>
      <c r="AG716" s="50" t="b">
        <f>_xlfn.XLOOKUP(Tableau119[[#This Row],[Key(ID-date)]],'DATA BTO'!S:S,'DATA BTO'!I:I,FALSE)</f>
        <v>0</v>
      </c>
      <c r="AH716" s="3" t="b">
        <f>_xlfn.XLOOKUP(Tableau119[[#This Row],[Key(ID-date)]],'DATA BTO'!S:S,'DATA BTO'!J:J,FALSE)</f>
        <v>0</v>
      </c>
      <c r="AI716" s="3" t="b">
        <f>_xlfn.XLOOKUP(Tableau119[[#This Row],[Key(ID-date)]],'DATA BTO'!S:S,'DATA BTO'!K:K,FALSE)</f>
        <v>0</v>
      </c>
      <c r="AJ716" s="50" t="b">
        <f>_xlfn.XLOOKUP(Tableau119[[#This Row],[Key(ID-date)]],'DATA BTO'!S:S,'DATA BTO'!L:L,FALSE)</f>
        <v>0</v>
      </c>
      <c r="AK716" s="53" t="b">
        <f>_xlfn.XLOOKUP(Tableau119[[#This Row],[Key(ID-date)]],'DATA BTO'!S:S,'DATA BTO'!N:N,FALSE)</f>
        <v>0</v>
      </c>
      <c r="AL716" s="54" t="e">
        <f>VLOOKUP(Tableau119[[#This Row],[Key(POD -PFI- Usine)]],'DATA Consignee'!A:F,6,FALSE)</f>
        <v>#N/A</v>
      </c>
      <c r="AM716" s="102" t="s">
        <v>278</v>
      </c>
      <c r="AN716" s="375">
        <f>IF(Tableau119[[#This Row],[Name PFI/CDD]]="","-",VLOOKUP(Tableau119[[#This Row],[Name PFI/CDD]],Plant_AILN!I:J,2,FALSE))</f>
        <v>2839004</v>
      </c>
      <c r="AO71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6" s="110" t="e">
        <f>VLOOKUP(Tableau119[[#This Row],[Key(POD -PFI- Usine)]],'DATA Consignee'!A:J,10,FALSE)</f>
        <v>#N/A</v>
      </c>
      <c r="AR716" s="81" t="e">
        <f>VLOOKUP(Tableau119[[#This Row],[Key(POD -PFI- Usine)]],'DATA Consignee'!A:N,14,FALSE)</f>
        <v>#N/A</v>
      </c>
      <c r="AS71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6" s="81">
        <f>Tableau119[[#This Row],[Transit time]]+Tableau119[[#This Row],[Time for security]]+Tableau119[[#This Row],[Time for security2 buffer]]</f>
        <v>0</v>
      </c>
      <c r="AV7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6" s="50" t="e">
        <f>Tableau119[[#This Row],[Leadtime SI2C]]+Tableau119[[#This Row],[First Receipt Days]]-Tableau119[[#This Row],[Day Customer Order]]+1</f>
        <v>#N/A</v>
      </c>
      <c r="AX716" s="119" t="e">
        <f>IF(Tableau119[[#This Row],[Name ILN]]&lt;&gt;"SFK Freight Forwarder",Tableau119[[#This Row],[Cust. Leadtime]],Tableau119[[#This Row],[Leadtime SI2C]])</f>
        <v>#N/A</v>
      </c>
      <c r="AY716" s="51" t="b">
        <f>_xlfn.XLOOKUP(Tableau119[[#This Row],[Key(ID-date)]],'DATA BTO'!S:S,'DATA BTO'!P:P,FALSE)</f>
        <v>0</v>
      </c>
      <c r="AZ716" s="388">
        <v>46142</v>
      </c>
      <c r="BA716" s="81"/>
    </row>
    <row r="717" spans="2:53">
      <c r="B717" s="446" t="str">
        <f>_xlfn.CONCAT(Tableau119[[#This Row],[Name ILN]],"-",Tableau119[[#This Row],[Name Shipper]],"-",Tableau119[[#This Row],[Name Site]])</f>
        <v>ILN Curitiba-ILN Curitiba-REVOZ</v>
      </c>
      <c r="C717" s="66" t="str">
        <f>_xlfn.CONCAT(Tableau119[[#This Row],[Compte ILN]],"-",Tableau119[[#This Row],[Compte Shipper]],"-",Tableau119[[#This Row],[POL]],"-",Tableau119[[#This Row],[Compte Consignee]])</f>
        <v>95207-95207-FALSO-90016700</v>
      </c>
      <c r="D717" s="66" t="str">
        <f>_xlfn.CONCAT(Tableau119[[#This Row],[Compte ILN]],"-",Tableau119[[#This Row],[Compte Shipper]],"-",Tableau119[[#This Row],[POL]])</f>
        <v>95207-95207-FALSO</v>
      </c>
      <c r="E717" s="130" t="str">
        <f>_xlfn.CONCAT(Tableau119[[#This Row],[POL]],"-",Tableau119[[#This Row],[Carrier]],"-",Tableau119[[#This Row],[POD]])</f>
        <v>FALSO-FALSO-FALSO</v>
      </c>
      <c r="F717" s="66" t="str">
        <f>_xlfn.CONCAT(Tableau119[[#This Row],[ID]],"-","Actif")</f>
        <v>466-Actif</v>
      </c>
      <c r="G717" s="66" t="str">
        <f>_xlfn.CONCAT(Tableau119[[#This Row],[POD]],"-",Tableau119[[#This Row],[Code PFI]],"-",Tableau119[[#This Row],[Compte Consignee]])</f>
        <v>FALSO-2839004-90016700</v>
      </c>
      <c r="H7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CuritibaFALSOREVOZ</v>
      </c>
      <c r="I717" s="434" t="str">
        <f>_xlfn.CONCAT(Tableau119[[#This Row],[ID]],"-",Tableau119[[#This Row],[Expiration Date]])</f>
        <v>466-45777</v>
      </c>
      <c r="J7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Curitiba-ILN Curitiba-466-FALSO-FALSO-FALSO-PFI Mioveni-45777</v>
      </c>
      <c r="K717" s="119" t="str">
        <f ca="1">IF(COUNTIF(J:J,Tableau119[[#This Row],[Plant-ILN-shipper-POL-Carrier-POD-PFI]])=1,"Non","Oui")</f>
        <v>Non</v>
      </c>
      <c r="L717" s="128" t="str">
        <f>VLOOKUP(Tableau119[[#This Row],[Name Site]],Plant_AILN!A:D,4,FALSE)</f>
        <v>SLOVENIA</v>
      </c>
      <c r="M717" s="411" t="s">
        <v>35</v>
      </c>
      <c r="N717" s="454">
        <f>VLOOKUP(Tableau119[[#This Row],[Name Site]],Plant_AILN!A:C,3,FALSE)</f>
        <v>90016700</v>
      </c>
      <c r="O717" s="55">
        <f>VLOOKUP(Tableau119[[#This Row],[Compte Consignee]],Order!C:D,2,FALSE)</f>
        <v>7</v>
      </c>
      <c r="P717" s="124" t="s">
        <v>163</v>
      </c>
      <c r="Q717" s="365">
        <f>VLOOKUP(Tableau119[[#This Row],[Name ILN]],Plant_AILN!F:G,2,FALSE)</f>
        <v>95207</v>
      </c>
      <c r="R717" s="50">
        <f>VLOOKUP(Tableau119[[#This Row],[Compte ILN]],'DATA ILN'!D:I,6,FALSE)</f>
        <v>9</v>
      </c>
      <c r="S717" s="50" t="e">
        <f>IFERROR(VLOOKUP(Tableau119[[#This Row],[Key(Compte ILN - shipper - POL - plant)]],'DATA ILN'!A:J,10,FALSE),VLOOKUP(Tableau119[[#This Row],[Key(Compte ILN - shipper - POL)]],'DATA ILN'!B:J,9,FALSE))</f>
        <v>#N/A</v>
      </c>
      <c r="T717" s="50" t="e">
        <f>IFERROR(VLOOKUP(Tableau119[[#This Row],[Key(Compte ILN - shipper - POL - plant)]],'DATA ILN'!A:K,11,FALSE),VLOOKUP(Tableau119[[#This Row],[Key(Compte ILN - shipper - POL)]],'DATA ILN'!B:K,10,FALSE))</f>
        <v>#N/A</v>
      </c>
      <c r="U717" s="50" t="e">
        <f>IFERROR(VLOOKUP(Tableau119[[#This Row],[Key(Compte ILN - shipper - POL - plant)]],'DATA ILN'!A:L,12,FALSE),VLOOKUP(Tableau119[[#This Row],[Key(Compte ILN - shipper - POL)]],'DATA ILN'!B:L,11,FALSE))</f>
        <v>#N/A</v>
      </c>
      <c r="V717" s="50" t="e">
        <f>Tableau119[[#This Row],[Day ILN Order]]+Tableau119[[#This Row],[Delivery time to ILN/Shipper]]-1</f>
        <v>#N/A</v>
      </c>
      <c r="W717" s="50" t="e">
        <f>IFERROR(VLOOKUP(Tableau119[[#This Row],[Key(Compte ILN - shipper - POL - plant)]],'DATA ILN'!A:N,14,FALSE),VLOOKUP(Tableau119[[#This Row],[Key(Compte ILN - shipper - POL)]],'DATA ILN'!B:N,13,FALSE))</f>
        <v>#N/A</v>
      </c>
      <c r="X717" s="50" t="e">
        <f>IFERROR(VLOOKUP(Tableau119[[#This Row],[Key(Compte ILN - shipper - POL - plant)]],'DATA ILN'!A:P,16,FALSE),VLOOKUP(Tableau119[[#This Row],[Key(Compte ILN - shipper - POL)]],'DATA ILN'!B:P,15,FALSE))</f>
        <v>#N/A</v>
      </c>
      <c r="Y717" s="284" t="s">
        <v>163</v>
      </c>
      <c r="Z717" s="430">
        <f>IFERROR(VLOOKUP(Tableau119[[#This Row],[Name Shipper]],Plant_AILN!L:M,2,FALSE),0)</f>
        <v>95207</v>
      </c>
      <c r="AA717" s="406">
        <v>466</v>
      </c>
      <c r="AB717" s="396" t="b">
        <f>_xlfn.XLOOKUP(Tableau119[[#This Row],[Key(ID-date)]],'DATA BTO'!S:S,'DATA BTO'!E:E,FALSE)</f>
        <v>0</v>
      </c>
      <c r="AC717" s="3" t="b">
        <f>_xlfn.XLOOKUP(Tableau119[[#This Row],[Key(ID-date)]],'DATA BTO'!S:S,'DATA BTO'!F:F,FALSE)</f>
        <v>0</v>
      </c>
      <c r="AD717" s="50" t="b">
        <f>_xlfn.XLOOKUP(Tableau119[[#This Row],[Key(ID-date)]],'DATA BTO'!S:S,'DATA BTO'!G:G,FALSE)</f>
        <v>0</v>
      </c>
      <c r="AE717" s="50" t="b">
        <f>_xlfn.XLOOKUP(Tableau119[[#This Row],[Key(ID-date)]],'DATA BTO'!S:S,'DATA BTO'!H:H,FALSE)</f>
        <v>0</v>
      </c>
      <c r="AF717" s="447" t="e">
        <f>IF(Tableau119[[#This Row],[First Day to POL]]&lt;=Tableau119[[#This Row],[Day Cut Off]],Tableau119[[#This Row],[Day ETD]],Tableau119[[#This Row],[Day ETD]]+7)</f>
        <v>#N/A</v>
      </c>
      <c r="AG717" s="50" t="b">
        <f>_xlfn.XLOOKUP(Tableau119[[#This Row],[Key(ID-date)]],'DATA BTO'!S:S,'DATA BTO'!I:I,FALSE)</f>
        <v>0</v>
      </c>
      <c r="AH717" s="3" t="b">
        <f>_xlfn.XLOOKUP(Tableau119[[#This Row],[Key(ID-date)]],'DATA BTO'!S:S,'DATA BTO'!J:J,FALSE)</f>
        <v>0</v>
      </c>
      <c r="AI717" s="3" t="b">
        <f>_xlfn.XLOOKUP(Tableau119[[#This Row],[Key(ID-date)]],'DATA BTO'!S:S,'DATA BTO'!K:K,FALSE)</f>
        <v>0</v>
      </c>
      <c r="AJ717" s="50" t="b">
        <f>_xlfn.XLOOKUP(Tableau119[[#This Row],[Key(ID-date)]],'DATA BTO'!S:S,'DATA BTO'!L:L,FALSE)</f>
        <v>0</v>
      </c>
      <c r="AK717" s="53" t="b">
        <f>_xlfn.XLOOKUP(Tableau119[[#This Row],[Key(ID-date)]],'DATA BTO'!S:S,'DATA BTO'!N:N,FALSE)</f>
        <v>0</v>
      </c>
      <c r="AL717" s="54" t="e">
        <f>VLOOKUP(Tableau119[[#This Row],[Key(POD -PFI- Usine)]],'DATA Consignee'!A:F,6,FALSE)</f>
        <v>#N/A</v>
      </c>
      <c r="AM717" s="284" t="s">
        <v>278</v>
      </c>
      <c r="AN717" s="376">
        <f>IF(Tableau119[[#This Row],[Name PFI/CDD]]="","-",VLOOKUP(Tableau119[[#This Row],[Name PFI/CDD]],Plant_AILN!I:J,2,FALSE))</f>
        <v>2839004</v>
      </c>
      <c r="AO71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7" s="2" t="e">
        <f>VLOOKUP(Tableau119[[#This Row],[Key(POD -PFI- Usine)]],'DATA Consignee'!A:J,10,FALSE)</f>
        <v>#N/A</v>
      </c>
      <c r="AR717" s="50" t="e">
        <f>VLOOKUP(Tableau119[[#This Row],[Key(POD -PFI- Usine)]],'DATA Consignee'!A:N,14,FALSE)</f>
        <v>#N/A</v>
      </c>
      <c r="AS71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7" s="50">
        <f>Tableau119[[#This Row],[Transit time]]+Tableau119[[#This Row],[Time for security]]+Tableau119[[#This Row],[Time for security2 buffer]]</f>
        <v>0</v>
      </c>
      <c r="AV7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7" s="50" t="e">
        <f>Tableau119[[#This Row],[Leadtime SI2C]]+Tableau119[[#This Row],[First Receipt Days]]-Tableau119[[#This Row],[Day Customer Order]]+1</f>
        <v>#N/A</v>
      </c>
      <c r="AX717" s="119" t="e">
        <f>IF(Tableau119[[#This Row],[Name ILN]]&lt;&gt;"SFK Freight Forwarder",Tableau119[[#This Row],[Cust. Leadtime]],Tableau119[[#This Row],[Leadtime SI2C]])</f>
        <v>#N/A</v>
      </c>
      <c r="AY717" s="51" t="b">
        <f>_xlfn.XLOOKUP(Tableau119[[#This Row],[Key(ID-date)]],'DATA BTO'!S:S,'DATA BTO'!P:P,FALSE)</f>
        <v>0</v>
      </c>
      <c r="AZ717" s="338">
        <v>45777</v>
      </c>
      <c r="BA717" s="50"/>
    </row>
    <row r="718" spans="2:53">
      <c r="B718" s="446" t="str">
        <f>_xlfn.CONCAT(Tableau119[[#This Row],[Name ILN]],"-",Tableau119[[#This Row],[Name Shipper]],"-",Tableau119[[#This Row],[Name Site]])</f>
        <v>ILN Curitiba-ILN Curitiba-DACIA MONT</v>
      </c>
      <c r="C718" s="66" t="str">
        <f>_xlfn.CONCAT(Tableau119[[#This Row],[Compte ILN]],"-",Tableau119[[#This Row],[Compte Shipper]],"-",Tableau119[[#This Row],[POL]],"-",Tableau119[[#This Row],[Compte Consignee]])</f>
        <v>95207-95207-FALSO-90016800</v>
      </c>
      <c r="D718" s="66" t="str">
        <f>_xlfn.CONCAT(Tableau119[[#This Row],[Compte ILN]],"-",Tableau119[[#This Row],[Compte Shipper]],"-",Tableau119[[#This Row],[POL]])</f>
        <v>95207-95207-FALSO</v>
      </c>
      <c r="E718" s="130" t="str">
        <f>_xlfn.CONCAT(Tableau119[[#This Row],[POL]],"-",Tableau119[[#This Row],[Carrier]],"-",Tableau119[[#This Row],[POD]])</f>
        <v>FALSO-FALSO-FALSO</v>
      </c>
      <c r="F718" s="66" t="str">
        <f>_xlfn.CONCAT(Tableau119[[#This Row],[ID]],"-","Actif")</f>
        <v>466-Actif</v>
      </c>
      <c r="G718" s="66" t="str">
        <f>_xlfn.CONCAT(Tableau119[[#This Row],[POD]],"-",Tableau119[[#This Row],[Code PFI]],"-",Tableau119[[#This Row],[Compte Consignee]])</f>
        <v>FALSO---90016800</v>
      </c>
      <c r="H7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CuritibaFALSODACIA MONT</v>
      </c>
      <c r="I718" s="434" t="str">
        <f>_xlfn.CONCAT(Tableau119[[#This Row],[ID]],"-",Tableau119[[#This Row],[Expiration Date]])</f>
        <v>466-45777</v>
      </c>
      <c r="J7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Curitiba-ILN Curitiba-466-FALSO-FALSO-FALSO--45777</v>
      </c>
      <c r="K718" s="119" t="str">
        <f ca="1">IF(COUNTIF(J:J,Tableau119[[#This Row],[Plant-ILN-shipper-POL-Carrier-POD-PFI]])=1,"Non","Oui")</f>
        <v>Non</v>
      </c>
      <c r="L718" s="128" t="str">
        <f>VLOOKUP(Tableau119[[#This Row],[Name Site]],Plant_AILN!A:D,4,FALSE)</f>
        <v>ROMANIA</v>
      </c>
      <c r="M718" s="411" t="s">
        <v>185</v>
      </c>
      <c r="N718" s="454">
        <f>VLOOKUP(Tableau119[[#This Row],[Name Site]],Plant_AILN!A:C,3,FALSE)</f>
        <v>90016800</v>
      </c>
      <c r="O718" s="55">
        <f>VLOOKUP(Tableau119[[#This Row],[Compte Consignee]],Order!C:D,2,FALSE)</f>
        <v>7</v>
      </c>
      <c r="P718" s="124" t="s">
        <v>163</v>
      </c>
      <c r="Q718" s="365">
        <f>VLOOKUP(Tableau119[[#This Row],[Name ILN]],Plant_AILN!F:G,2,FALSE)</f>
        <v>95207</v>
      </c>
      <c r="R718" s="50">
        <f>VLOOKUP(Tableau119[[#This Row],[Compte ILN]],'DATA ILN'!D:I,6,FALSE)</f>
        <v>9</v>
      </c>
      <c r="S718" s="50" t="e">
        <f>IFERROR(VLOOKUP(Tableau119[[#This Row],[Key(Compte ILN - shipper - POL - plant)]],'DATA ILN'!A:J,10,FALSE),VLOOKUP(Tableau119[[#This Row],[Key(Compte ILN - shipper - POL)]],'DATA ILN'!B:J,9,FALSE))</f>
        <v>#N/A</v>
      </c>
      <c r="T718" s="50" t="e">
        <f>IFERROR(VLOOKUP(Tableau119[[#This Row],[Key(Compte ILN - shipper - POL - plant)]],'DATA ILN'!A:K,11,FALSE),VLOOKUP(Tableau119[[#This Row],[Key(Compte ILN - shipper - POL)]],'DATA ILN'!B:K,10,FALSE))</f>
        <v>#N/A</v>
      </c>
      <c r="U718" s="50" t="e">
        <f>IFERROR(VLOOKUP(Tableau119[[#This Row],[Key(Compte ILN - shipper - POL - plant)]],'DATA ILN'!A:L,12,FALSE),VLOOKUP(Tableau119[[#This Row],[Key(Compte ILN - shipper - POL)]],'DATA ILN'!B:L,11,FALSE))</f>
        <v>#N/A</v>
      </c>
      <c r="V718" s="50" t="e">
        <f>Tableau119[[#This Row],[Day ILN Order]]+Tableau119[[#This Row],[Delivery time to ILN/Shipper]]-1</f>
        <v>#N/A</v>
      </c>
      <c r="W718" s="50" t="e">
        <f>IFERROR(VLOOKUP(Tableau119[[#This Row],[Key(Compte ILN - shipper - POL - plant)]],'DATA ILN'!A:N,14,FALSE),VLOOKUP(Tableau119[[#This Row],[Key(Compte ILN - shipper - POL)]],'DATA ILN'!B:N,13,FALSE))</f>
        <v>#N/A</v>
      </c>
      <c r="X718" s="50" t="e">
        <f>IFERROR(VLOOKUP(Tableau119[[#This Row],[Key(Compte ILN - shipper - POL - plant)]],'DATA ILN'!A:P,16,FALSE),VLOOKUP(Tableau119[[#This Row],[Key(Compte ILN - shipper - POL)]],'DATA ILN'!B:P,15,FALSE))</f>
        <v>#N/A</v>
      </c>
      <c r="Y718" s="284" t="s">
        <v>163</v>
      </c>
      <c r="Z718" s="430">
        <f>IFERROR(VLOOKUP(Tableau119[[#This Row],[Name Shipper]],Plant_AILN!L:M,2,FALSE),0)</f>
        <v>95207</v>
      </c>
      <c r="AA718" s="406">
        <v>466</v>
      </c>
      <c r="AB718" s="396" t="b">
        <f>_xlfn.XLOOKUP(Tableau119[[#This Row],[Key(ID-date)]],'DATA BTO'!S:S,'DATA BTO'!E:E,FALSE)</f>
        <v>0</v>
      </c>
      <c r="AC718" s="3" t="b">
        <f>_xlfn.XLOOKUP(Tableau119[[#This Row],[Key(ID-date)]],'DATA BTO'!S:S,'DATA BTO'!F:F,FALSE)</f>
        <v>0</v>
      </c>
      <c r="AD718" s="50" t="b">
        <f>_xlfn.XLOOKUP(Tableau119[[#This Row],[Key(ID-date)]],'DATA BTO'!S:S,'DATA BTO'!G:G,FALSE)</f>
        <v>0</v>
      </c>
      <c r="AE718" s="50" t="b">
        <f>_xlfn.XLOOKUP(Tableau119[[#This Row],[Key(ID-date)]],'DATA BTO'!S:S,'DATA BTO'!H:H,FALSE)</f>
        <v>0</v>
      </c>
      <c r="AF718" s="447" t="e">
        <f>IF(Tableau119[[#This Row],[First Day to POL]]&lt;=Tableau119[[#This Row],[Day Cut Off]],Tableau119[[#This Row],[Day ETD]],Tableau119[[#This Row],[Day ETD]]+7)</f>
        <v>#N/A</v>
      </c>
      <c r="AG718" s="50" t="b">
        <f>_xlfn.XLOOKUP(Tableau119[[#This Row],[Key(ID-date)]],'DATA BTO'!S:S,'DATA BTO'!I:I,FALSE)</f>
        <v>0</v>
      </c>
      <c r="AH718" s="3" t="b">
        <f>_xlfn.XLOOKUP(Tableau119[[#This Row],[Key(ID-date)]],'DATA BTO'!S:S,'DATA BTO'!J:J,FALSE)</f>
        <v>0</v>
      </c>
      <c r="AI718" s="3" t="b">
        <f>_xlfn.XLOOKUP(Tableau119[[#This Row],[Key(ID-date)]],'DATA BTO'!S:S,'DATA BTO'!K:K,FALSE)</f>
        <v>0</v>
      </c>
      <c r="AJ718" s="50" t="b">
        <f>_xlfn.XLOOKUP(Tableau119[[#This Row],[Key(ID-date)]],'DATA BTO'!S:S,'DATA BTO'!L:L,FALSE)</f>
        <v>0</v>
      </c>
      <c r="AK718" s="53" t="b">
        <f>_xlfn.XLOOKUP(Tableau119[[#This Row],[Key(ID-date)]],'DATA BTO'!S:S,'DATA BTO'!N:N,FALSE)</f>
        <v>0</v>
      </c>
      <c r="AL718" s="54" t="e">
        <f>VLOOKUP(Tableau119[[#This Row],[Key(POD -PFI- Usine)]],'DATA Consignee'!A:F,6,FALSE)</f>
        <v>#N/A</v>
      </c>
      <c r="AM718" s="284"/>
      <c r="AN718" s="376" t="str">
        <f>IF(Tableau119[[#This Row],[Name PFI/CDD]]="","-",VLOOKUP(Tableau119[[#This Row],[Name PFI/CDD]],Plant_AILN!I:J,2,FALSE))</f>
        <v>-</v>
      </c>
      <c r="AO7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8" s="2" t="e">
        <f>VLOOKUP(Tableau119[[#This Row],[Key(POD -PFI- Usine)]],'DATA Consignee'!A:J,10,FALSE)</f>
        <v>#N/A</v>
      </c>
      <c r="AR718" s="50" t="e">
        <f>VLOOKUP(Tableau119[[#This Row],[Key(POD -PFI- Usine)]],'DATA Consignee'!A:N,14,FALSE)</f>
        <v>#N/A</v>
      </c>
      <c r="AS71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8" s="50">
        <f>Tableau119[[#This Row],[Transit time]]+Tableau119[[#This Row],[Time for security]]+Tableau119[[#This Row],[Time for security2 buffer]]</f>
        <v>0</v>
      </c>
      <c r="AV71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8" s="50" t="e">
        <f>Tableau119[[#This Row],[Leadtime SI2C]]+Tableau119[[#This Row],[First Receipt Days]]-Tableau119[[#This Row],[Day Customer Order]]+1</f>
        <v>#N/A</v>
      </c>
      <c r="AX718" s="119" t="e">
        <f>IF(Tableau119[[#This Row],[Name ILN]]&lt;&gt;"SFK Freight Forwarder",Tableau119[[#This Row],[Cust. Leadtime]],Tableau119[[#This Row],[Leadtime SI2C]])</f>
        <v>#N/A</v>
      </c>
      <c r="AY718" s="51" t="b">
        <f>_xlfn.XLOOKUP(Tableau119[[#This Row],[Key(ID-date)]],'DATA BTO'!S:S,'DATA BTO'!P:P,FALSE)</f>
        <v>0</v>
      </c>
      <c r="AZ718" s="338">
        <v>45777</v>
      </c>
      <c r="BA718" s="50"/>
    </row>
    <row r="719" spans="2:53">
      <c r="B719" s="446" t="str">
        <f>_xlfn.CONCAT(Tableau119[[#This Row],[Name ILN]],"-",Tableau119[[#This Row],[Name Shipper]],"-",Tableau119[[#This Row],[Name Site]])</f>
        <v>ILN Curitiba-ILN Curitiba-REVOZ</v>
      </c>
      <c r="C719" s="66" t="str">
        <f>_xlfn.CONCAT(Tableau119[[#This Row],[Compte ILN]],"-",Tableau119[[#This Row],[Compte Shipper]],"-",Tableau119[[#This Row],[POL]],"-",Tableau119[[#This Row],[Compte Consignee]])</f>
        <v>95207-95207-FALSO-90016700</v>
      </c>
      <c r="D719" s="66" t="str">
        <f>_xlfn.CONCAT(Tableau119[[#This Row],[Compte ILN]],"-",Tableau119[[#This Row],[Compte Shipper]],"-",Tableau119[[#This Row],[POL]])</f>
        <v>95207-95207-FALSO</v>
      </c>
      <c r="E719" s="130" t="str">
        <f>_xlfn.CONCAT(Tableau119[[#This Row],[POL]],"-",Tableau119[[#This Row],[Carrier]],"-",Tableau119[[#This Row],[POD]])</f>
        <v>FALSO-FALSO-FALSO</v>
      </c>
      <c r="F719" s="66" t="str">
        <f>_xlfn.CONCAT(Tableau119[[#This Row],[ID]],"-","Actif")</f>
        <v>466-Actif</v>
      </c>
      <c r="G719" s="66" t="str">
        <f>_xlfn.CONCAT(Tableau119[[#This Row],[POD]],"-",Tableau119[[#This Row],[Code PFI]],"-",Tableau119[[#This Row],[Compte Consignee]])</f>
        <v>FALSO-2839004-90016700</v>
      </c>
      <c r="H7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CuritibaFALSOREVOZ</v>
      </c>
      <c r="I719" s="434" t="str">
        <f>_xlfn.CONCAT(Tableau119[[#This Row],[ID]],"-",Tableau119[[#This Row],[Expiration Date]])</f>
        <v>466-45473</v>
      </c>
      <c r="J7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Curitiba-ILN Curitiba-466-FALSO-FALSO-FALSO-PFI Mioveni-45473</v>
      </c>
      <c r="K719" s="119" t="str">
        <f ca="1">IF(COUNTIF(J:J,Tableau119[[#This Row],[Plant-ILN-shipper-POL-Carrier-POD-PFI]])=1,"Non","Oui")</f>
        <v>Non</v>
      </c>
      <c r="L719" s="128" t="str">
        <f>VLOOKUP(Tableau119[[#This Row],[Name Site]],Plant_AILN!A:D,4,FALSE)</f>
        <v>SLOVENIA</v>
      </c>
      <c r="M719" s="415" t="s">
        <v>35</v>
      </c>
      <c r="N719" s="455">
        <f>VLOOKUP(Tableau119[[#This Row],[Name Site]],Plant_AILN!A:C,3,FALSE)</f>
        <v>90016700</v>
      </c>
      <c r="O719" s="104">
        <f>VLOOKUP(Tableau119[[#This Row],[Compte Consignee]],Order!C:D,2,FALSE)</f>
        <v>7</v>
      </c>
      <c r="P719" s="126" t="s">
        <v>163</v>
      </c>
      <c r="Q719" s="366">
        <f>VLOOKUP(Tableau119[[#This Row],[Name ILN]],Plant_AILN!F:G,2,FALSE)</f>
        <v>95207</v>
      </c>
      <c r="R719" s="81">
        <f>VLOOKUP(Tableau119[[#This Row],[Compte ILN]],'DATA ILN'!D:I,6,FALSE)</f>
        <v>9</v>
      </c>
      <c r="S719" s="81" t="e">
        <f>IFERROR(VLOOKUP(Tableau119[[#This Row],[Key(Compte ILN - shipper - POL - plant)]],'DATA ILN'!A:J,10,FALSE),VLOOKUP(Tableau119[[#This Row],[Key(Compte ILN - shipper - POL)]],'DATA ILN'!B:J,9,FALSE))</f>
        <v>#N/A</v>
      </c>
      <c r="T719" s="81" t="e">
        <f>IFERROR(VLOOKUP(Tableau119[[#This Row],[Key(Compte ILN - shipper - POL - plant)]],'DATA ILN'!A:K,11,FALSE),VLOOKUP(Tableau119[[#This Row],[Key(Compte ILN - shipper - POL)]],'DATA ILN'!B:K,10,FALSE))</f>
        <v>#N/A</v>
      </c>
      <c r="U719" s="81" t="e">
        <f>IFERROR(VLOOKUP(Tableau119[[#This Row],[Key(Compte ILN - shipper - POL - plant)]],'DATA ILN'!A:L,12,FALSE),VLOOKUP(Tableau119[[#This Row],[Key(Compte ILN - shipper - POL)]],'DATA ILN'!B:L,11,FALSE))</f>
        <v>#N/A</v>
      </c>
      <c r="V719" s="81" t="e">
        <f>Tableau119[[#This Row],[Day ILN Order]]+Tableau119[[#This Row],[Delivery time to ILN/Shipper]]-1</f>
        <v>#N/A</v>
      </c>
      <c r="W719" s="81" t="e">
        <f>IFERROR(VLOOKUP(Tableau119[[#This Row],[Key(Compte ILN - shipper - POL - plant)]],'DATA ILN'!A:N,14,FALSE),VLOOKUP(Tableau119[[#This Row],[Key(Compte ILN - shipper - POL)]],'DATA ILN'!B:N,13,FALSE))</f>
        <v>#N/A</v>
      </c>
      <c r="X719" s="81" t="e">
        <f>IFERROR(VLOOKUP(Tableau119[[#This Row],[Key(Compte ILN - shipper - POL - plant)]],'DATA ILN'!A:P,16,FALSE),VLOOKUP(Tableau119[[#This Row],[Key(Compte ILN - shipper - POL)]],'DATA ILN'!B:P,15,FALSE))</f>
        <v>#N/A</v>
      </c>
      <c r="Y719" s="102" t="s">
        <v>163</v>
      </c>
      <c r="Z719" s="417">
        <f>IFERROR(VLOOKUP(Tableau119[[#This Row],[Name Shipper]],Plant_AILN!L:M,2,FALSE),0)</f>
        <v>95207</v>
      </c>
      <c r="AA719" s="416">
        <v>466</v>
      </c>
      <c r="AB719" s="396" t="b">
        <f>_xlfn.XLOOKUP(Tableau119[[#This Row],[Key(ID-date)]],'DATA BTO'!S:S,'DATA BTO'!E:E,FALSE)</f>
        <v>0</v>
      </c>
      <c r="AC719" s="3" t="b">
        <f>_xlfn.XLOOKUP(Tableau119[[#This Row],[Key(ID-date)]],'DATA BTO'!S:S,'DATA BTO'!F:F,FALSE)</f>
        <v>0</v>
      </c>
      <c r="AD719" s="50" t="b">
        <f>_xlfn.XLOOKUP(Tableau119[[#This Row],[Key(ID-date)]],'DATA BTO'!S:S,'DATA BTO'!G:G,FALSE)</f>
        <v>0</v>
      </c>
      <c r="AE719" s="50" t="b">
        <f>_xlfn.XLOOKUP(Tableau119[[#This Row],[Key(ID-date)]],'DATA BTO'!S:S,'DATA BTO'!H:H,FALSE)</f>
        <v>0</v>
      </c>
      <c r="AF719" s="447" t="e">
        <f>IF(Tableau119[[#This Row],[First Day to POL]]&lt;=Tableau119[[#This Row],[Day Cut Off]],Tableau119[[#This Row],[Day ETD]],Tableau119[[#This Row],[Day ETD]]+7)</f>
        <v>#N/A</v>
      </c>
      <c r="AG719" s="50" t="b">
        <f>_xlfn.XLOOKUP(Tableau119[[#This Row],[Key(ID-date)]],'DATA BTO'!S:S,'DATA BTO'!I:I,FALSE)</f>
        <v>0</v>
      </c>
      <c r="AH719" s="3" t="b">
        <f>_xlfn.XLOOKUP(Tableau119[[#This Row],[Key(ID-date)]],'DATA BTO'!S:S,'DATA BTO'!J:J,FALSE)</f>
        <v>0</v>
      </c>
      <c r="AI719" s="3" t="b">
        <f>_xlfn.XLOOKUP(Tableau119[[#This Row],[Key(ID-date)]],'DATA BTO'!S:S,'DATA BTO'!K:K,FALSE)</f>
        <v>0</v>
      </c>
      <c r="AJ719" s="50" t="b">
        <f>_xlfn.XLOOKUP(Tableau119[[#This Row],[Key(ID-date)]],'DATA BTO'!S:S,'DATA BTO'!L:L,FALSE)</f>
        <v>0</v>
      </c>
      <c r="AK719" s="53" t="b">
        <f>_xlfn.XLOOKUP(Tableau119[[#This Row],[Key(ID-date)]],'DATA BTO'!S:S,'DATA BTO'!N:N,FALSE)</f>
        <v>0</v>
      </c>
      <c r="AL719" s="54" t="e">
        <f>VLOOKUP(Tableau119[[#This Row],[Key(POD -PFI- Usine)]],'DATA Consignee'!A:F,6,FALSE)</f>
        <v>#N/A</v>
      </c>
      <c r="AM719" s="102" t="s">
        <v>278</v>
      </c>
      <c r="AN719" s="375">
        <f>IF(Tableau119[[#This Row],[Name PFI/CDD]]="","-",VLOOKUP(Tableau119[[#This Row],[Name PFI/CDD]],Plant_AILN!I:J,2,FALSE))</f>
        <v>2839004</v>
      </c>
      <c r="AO71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1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19" s="110" t="e">
        <f>VLOOKUP(Tableau119[[#This Row],[Key(POD -PFI- Usine)]],'DATA Consignee'!A:J,10,FALSE)</f>
        <v>#N/A</v>
      </c>
      <c r="AR719" s="81" t="e">
        <f>VLOOKUP(Tableau119[[#This Row],[Key(POD -PFI- Usine)]],'DATA Consignee'!A:N,14,FALSE)</f>
        <v>#N/A</v>
      </c>
      <c r="AS71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1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19" s="81">
        <f>Tableau119[[#This Row],[Transit time]]+Tableau119[[#This Row],[Time for security]]+Tableau119[[#This Row],[Time for security2 buffer]]</f>
        <v>0</v>
      </c>
      <c r="AV71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19" s="50" t="e">
        <f>Tableau119[[#This Row],[Leadtime SI2C]]+Tableau119[[#This Row],[First Receipt Days]]-Tableau119[[#This Row],[Day Customer Order]]+1</f>
        <v>#N/A</v>
      </c>
      <c r="AX719" s="119" t="e">
        <f>IF(Tableau119[[#This Row],[Name ILN]]&lt;&gt;"SFK Freight Forwarder",Tableau119[[#This Row],[Cust. Leadtime]],Tableau119[[#This Row],[Leadtime SI2C]])</f>
        <v>#N/A</v>
      </c>
      <c r="AY719" s="51" t="b">
        <f>_xlfn.XLOOKUP(Tableau119[[#This Row],[Key(ID-date)]],'DATA BTO'!S:S,'DATA BTO'!P:P,FALSE)</f>
        <v>0</v>
      </c>
      <c r="AZ719" s="388">
        <v>45473</v>
      </c>
      <c r="BA719" s="81"/>
    </row>
    <row r="720" spans="2:53">
      <c r="B720" s="446" t="str">
        <f>_xlfn.CONCAT(Tableau119[[#This Row],[Name ILN]],"-",Tableau119[[#This Row],[Name Shipper]],"-",Tableau119[[#This Row],[Name Site]])</f>
        <v>ILN Curitiba-ILN Curitiba-DACIA MONT</v>
      </c>
      <c r="C720" s="66" t="str">
        <f>_xlfn.CONCAT(Tableau119[[#This Row],[Compte ILN]],"-",Tableau119[[#This Row],[Compte Shipper]],"-",Tableau119[[#This Row],[POL]],"-",Tableau119[[#This Row],[Compte Consignee]])</f>
        <v>95207-95207-FALSO-90016800</v>
      </c>
      <c r="D720" s="66" t="str">
        <f>_xlfn.CONCAT(Tableau119[[#This Row],[Compte ILN]],"-",Tableau119[[#This Row],[Compte Shipper]],"-",Tableau119[[#This Row],[POL]])</f>
        <v>95207-95207-FALSO</v>
      </c>
      <c r="E720" s="130" t="str">
        <f>_xlfn.CONCAT(Tableau119[[#This Row],[POL]],"-",Tableau119[[#This Row],[Carrier]],"-",Tableau119[[#This Row],[POD]])</f>
        <v>FALSO-FALSO-FALSO</v>
      </c>
      <c r="F720" s="66" t="str">
        <f>_xlfn.CONCAT(Tableau119[[#This Row],[ID]],"-","Actif")</f>
        <v>466-Actif</v>
      </c>
      <c r="G720" s="66" t="str">
        <f>_xlfn.CONCAT(Tableau119[[#This Row],[POD]],"-",Tableau119[[#This Row],[Code PFI]],"-",Tableau119[[#This Row],[Compte Consignee]])</f>
        <v>FALSO---90016800</v>
      </c>
      <c r="H7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CuritibaFALSODACIA MONT</v>
      </c>
      <c r="I720" s="434" t="str">
        <f>_xlfn.CONCAT(Tableau119[[#This Row],[ID]],"-",Tableau119[[#This Row],[Expiration Date]])</f>
        <v>466-45473</v>
      </c>
      <c r="J7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Curitiba-ILN Curitiba-466-FALSO-FALSO-FALSO--45473</v>
      </c>
      <c r="K720" s="119" t="str">
        <f ca="1">IF(COUNTIF(J:J,Tableau119[[#This Row],[Plant-ILN-shipper-POL-Carrier-POD-PFI]])=1,"Non","Oui")</f>
        <v>Non</v>
      </c>
      <c r="L720" s="128" t="str">
        <f>VLOOKUP(Tableau119[[#This Row],[Name Site]],Plant_AILN!A:D,4,FALSE)</f>
        <v>ROMANIA</v>
      </c>
      <c r="M720" s="411" t="s">
        <v>185</v>
      </c>
      <c r="N720" s="454">
        <f>VLOOKUP(Tableau119[[#This Row],[Name Site]],Plant_AILN!A:C,3,FALSE)</f>
        <v>90016800</v>
      </c>
      <c r="O720" s="55">
        <f>VLOOKUP(Tableau119[[#This Row],[Compte Consignee]],Order!C:D,2,FALSE)</f>
        <v>7</v>
      </c>
      <c r="P720" s="124" t="s">
        <v>163</v>
      </c>
      <c r="Q720" s="365">
        <f>VLOOKUP(Tableau119[[#This Row],[Name ILN]],Plant_AILN!F:G,2,FALSE)</f>
        <v>95207</v>
      </c>
      <c r="R720" s="50">
        <f>VLOOKUP(Tableau119[[#This Row],[Compte ILN]],'DATA ILN'!D:I,6,FALSE)</f>
        <v>9</v>
      </c>
      <c r="S720" s="50" t="e">
        <f>IFERROR(VLOOKUP(Tableau119[[#This Row],[Key(Compte ILN - shipper - POL - plant)]],'DATA ILN'!A:J,10,FALSE),VLOOKUP(Tableau119[[#This Row],[Key(Compte ILN - shipper - POL)]],'DATA ILN'!B:J,9,FALSE))</f>
        <v>#N/A</v>
      </c>
      <c r="T720" s="50" t="e">
        <f>IFERROR(VLOOKUP(Tableau119[[#This Row],[Key(Compte ILN - shipper - POL - plant)]],'DATA ILN'!A:K,11,FALSE),VLOOKUP(Tableau119[[#This Row],[Key(Compte ILN - shipper - POL)]],'DATA ILN'!B:K,10,FALSE))</f>
        <v>#N/A</v>
      </c>
      <c r="U720" s="50" t="e">
        <f>IFERROR(VLOOKUP(Tableau119[[#This Row],[Key(Compte ILN - shipper - POL - plant)]],'DATA ILN'!A:L,12,FALSE),VLOOKUP(Tableau119[[#This Row],[Key(Compte ILN - shipper - POL)]],'DATA ILN'!B:L,11,FALSE))</f>
        <v>#N/A</v>
      </c>
      <c r="V720" s="50" t="e">
        <f>Tableau119[[#This Row],[Day ILN Order]]+Tableau119[[#This Row],[Delivery time to ILN/Shipper]]-1</f>
        <v>#N/A</v>
      </c>
      <c r="W720" s="50" t="e">
        <f>IFERROR(VLOOKUP(Tableau119[[#This Row],[Key(Compte ILN - shipper - POL - plant)]],'DATA ILN'!A:N,14,FALSE),VLOOKUP(Tableau119[[#This Row],[Key(Compte ILN - shipper - POL)]],'DATA ILN'!B:N,13,FALSE))</f>
        <v>#N/A</v>
      </c>
      <c r="X720" s="50" t="e">
        <f>IFERROR(VLOOKUP(Tableau119[[#This Row],[Key(Compte ILN - shipper - POL - plant)]],'DATA ILN'!A:P,16,FALSE),VLOOKUP(Tableau119[[#This Row],[Key(Compte ILN - shipper - POL)]],'DATA ILN'!B:P,15,FALSE))</f>
        <v>#N/A</v>
      </c>
      <c r="Y720" s="284" t="s">
        <v>163</v>
      </c>
      <c r="Z720" s="430">
        <f>IFERROR(VLOOKUP(Tableau119[[#This Row],[Name Shipper]],Plant_AILN!L:M,2,FALSE),0)</f>
        <v>95207</v>
      </c>
      <c r="AA720" s="406">
        <v>466</v>
      </c>
      <c r="AB720" s="396" t="b">
        <f>_xlfn.XLOOKUP(Tableau119[[#This Row],[Key(ID-date)]],'DATA BTO'!S:S,'DATA BTO'!E:E,FALSE)</f>
        <v>0</v>
      </c>
      <c r="AC720" s="3" t="b">
        <f>_xlfn.XLOOKUP(Tableau119[[#This Row],[Key(ID-date)]],'DATA BTO'!S:S,'DATA BTO'!F:F,FALSE)</f>
        <v>0</v>
      </c>
      <c r="AD720" s="50" t="b">
        <f>_xlfn.XLOOKUP(Tableau119[[#This Row],[Key(ID-date)]],'DATA BTO'!S:S,'DATA BTO'!G:G,FALSE)</f>
        <v>0</v>
      </c>
      <c r="AE720" s="50" t="b">
        <f>_xlfn.XLOOKUP(Tableau119[[#This Row],[Key(ID-date)]],'DATA BTO'!S:S,'DATA BTO'!H:H,FALSE)</f>
        <v>0</v>
      </c>
      <c r="AF720" s="447" t="e">
        <f>IF(Tableau119[[#This Row],[First Day to POL]]&lt;=Tableau119[[#This Row],[Day Cut Off]],Tableau119[[#This Row],[Day ETD]],Tableau119[[#This Row],[Day ETD]]+7)</f>
        <v>#N/A</v>
      </c>
      <c r="AG720" s="50" t="b">
        <f>_xlfn.XLOOKUP(Tableau119[[#This Row],[Key(ID-date)]],'DATA BTO'!S:S,'DATA BTO'!I:I,FALSE)</f>
        <v>0</v>
      </c>
      <c r="AH720" s="3" t="b">
        <f>_xlfn.XLOOKUP(Tableau119[[#This Row],[Key(ID-date)]],'DATA BTO'!S:S,'DATA BTO'!J:J,FALSE)</f>
        <v>0</v>
      </c>
      <c r="AI720" s="3" t="b">
        <f>_xlfn.XLOOKUP(Tableau119[[#This Row],[Key(ID-date)]],'DATA BTO'!S:S,'DATA BTO'!K:K,FALSE)</f>
        <v>0</v>
      </c>
      <c r="AJ720" s="50" t="b">
        <f>_xlfn.XLOOKUP(Tableau119[[#This Row],[Key(ID-date)]],'DATA BTO'!S:S,'DATA BTO'!L:L,FALSE)</f>
        <v>0</v>
      </c>
      <c r="AK720" s="53" t="b">
        <f>_xlfn.XLOOKUP(Tableau119[[#This Row],[Key(ID-date)]],'DATA BTO'!S:S,'DATA BTO'!N:N,FALSE)</f>
        <v>0</v>
      </c>
      <c r="AL720" s="54" t="e">
        <f>VLOOKUP(Tableau119[[#This Row],[Key(POD -PFI- Usine)]],'DATA Consignee'!A:F,6,FALSE)</f>
        <v>#N/A</v>
      </c>
      <c r="AM720" s="284"/>
      <c r="AN720" s="376" t="str">
        <f>IF(Tableau119[[#This Row],[Name PFI/CDD]]="","-",VLOOKUP(Tableau119[[#This Row],[Name PFI/CDD]],Plant_AILN!I:J,2,FALSE))</f>
        <v>-</v>
      </c>
      <c r="AO72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0" s="2" t="e">
        <f>VLOOKUP(Tableau119[[#This Row],[Key(POD -PFI- Usine)]],'DATA Consignee'!A:J,10,FALSE)</f>
        <v>#N/A</v>
      </c>
      <c r="AR720" s="50" t="e">
        <f>VLOOKUP(Tableau119[[#This Row],[Key(POD -PFI- Usine)]],'DATA Consignee'!A:N,14,FALSE)</f>
        <v>#N/A</v>
      </c>
      <c r="AS72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0" s="50">
        <f>Tableau119[[#This Row],[Transit time]]+Tableau119[[#This Row],[Time for security]]+Tableau119[[#This Row],[Time for security2 buffer]]</f>
        <v>0</v>
      </c>
      <c r="AV72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0" s="50" t="e">
        <f>Tableau119[[#This Row],[Leadtime SI2C]]+Tableau119[[#This Row],[First Receipt Days]]-Tableau119[[#This Row],[Day Customer Order]]+1</f>
        <v>#N/A</v>
      </c>
      <c r="AX720" s="119" t="e">
        <f>IF(Tableau119[[#This Row],[Name ILN]]&lt;&gt;"SFK Freight Forwarder",Tableau119[[#This Row],[Cust. Leadtime]],Tableau119[[#This Row],[Leadtime SI2C]])</f>
        <v>#N/A</v>
      </c>
      <c r="AY720" s="51" t="b">
        <f>_xlfn.XLOOKUP(Tableau119[[#This Row],[Key(ID-date)]],'DATA BTO'!S:S,'DATA BTO'!P:P,FALSE)</f>
        <v>0</v>
      </c>
      <c r="AZ720" s="338">
        <v>45473</v>
      </c>
      <c r="BA720" s="50"/>
    </row>
    <row r="721" spans="2:53">
      <c r="B721" s="446" t="str">
        <f>_xlfn.CONCAT(Tableau119[[#This Row],[Name ILN]],"-",Tableau119[[#This Row],[Name Shipper]],"-",Tableau119[[#This Row],[Name Site]])</f>
        <v>ILN Curitiba-ILN Curitiba-REVOZ</v>
      </c>
      <c r="C721" s="66" t="str">
        <f>_xlfn.CONCAT(Tableau119[[#This Row],[Compte ILN]],"-",Tableau119[[#This Row],[Compte Shipper]],"-",Tableau119[[#This Row],[POL]],"-",Tableau119[[#This Row],[Compte Consignee]])</f>
        <v>95207-95207-FALSO-90016700</v>
      </c>
      <c r="D721" s="66" t="str">
        <f>_xlfn.CONCAT(Tableau119[[#This Row],[Compte ILN]],"-",Tableau119[[#This Row],[Compte Shipper]],"-",Tableau119[[#This Row],[POL]])</f>
        <v>95207-95207-FALSO</v>
      </c>
      <c r="E721" s="130" t="str">
        <f>_xlfn.CONCAT(Tableau119[[#This Row],[POL]],"-",Tableau119[[#This Row],[Carrier]],"-",Tableau119[[#This Row],[POD]])</f>
        <v>FALSO-FALSO-FALSO</v>
      </c>
      <c r="F721" s="66" t="str">
        <f>_xlfn.CONCAT(Tableau119[[#This Row],[ID]],"-","Actif")</f>
        <v>466-Actif</v>
      </c>
      <c r="G721" s="66" t="str">
        <f>_xlfn.CONCAT(Tableau119[[#This Row],[POD]],"-",Tableau119[[#This Row],[Code PFI]],"-",Tableau119[[#This Row],[Compte Consignee]])</f>
        <v>FALSO-2839004-90016700</v>
      </c>
      <c r="H7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CuritibaFALSOREVOZ</v>
      </c>
      <c r="I721" s="434" t="str">
        <f>_xlfn.CONCAT(Tableau119[[#This Row],[ID]],"-",Tableau119[[#This Row],[Expiration Date]])</f>
        <v>466-45412</v>
      </c>
      <c r="J7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Curitiba-ILN Curitiba-466-FALSO-FALSO-FALSO-PFI Mioveni-45412</v>
      </c>
      <c r="K721" s="119" t="str">
        <f ca="1">IF(COUNTIF(J:J,Tableau119[[#This Row],[Plant-ILN-shipper-POL-Carrier-POD-PFI]])=1,"Non","Oui")</f>
        <v>Non</v>
      </c>
      <c r="L721" s="128" t="str">
        <f>VLOOKUP(Tableau119[[#This Row],[Name Site]],Plant_AILN!A:D,4,FALSE)</f>
        <v>SLOVENIA</v>
      </c>
      <c r="M721" s="411" t="s">
        <v>35</v>
      </c>
      <c r="N721" s="454">
        <f>VLOOKUP(Tableau119[[#This Row],[Name Site]],Plant_AILN!A:C,3,FALSE)</f>
        <v>90016700</v>
      </c>
      <c r="O721" s="55">
        <f>VLOOKUP(Tableau119[[#This Row],[Compte Consignee]],Order!C:D,2,FALSE)</f>
        <v>7</v>
      </c>
      <c r="P721" s="124" t="s">
        <v>163</v>
      </c>
      <c r="Q721" s="365">
        <f>VLOOKUP(Tableau119[[#This Row],[Name ILN]],Plant_AILN!F:G,2,FALSE)</f>
        <v>95207</v>
      </c>
      <c r="R721" s="50">
        <f>VLOOKUP(Tableau119[[#This Row],[Compte ILN]],'DATA ILN'!D:I,6,FALSE)</f>
        <v>9</v>
      </c>
      <c r="S721" s="50" t="e">
        <f>IFERROR(VLOOKUP(Tableau119[[#This Row],[Key(Compte ILN - shipper - POL - plant)]],'DATA ILN'!A:J,10,FALSE),VLOOKUP(Tableau119[[#This Row],[Key(Compte ILN - shipper - POL)]],'DATA ILN'!B:J,9,FALSE))</f>
        <v>#N/A</v>
      </c>
      <c r="T721" s="50" t="e">
        <f>IFERROR(VLOOKUP(Tableau119[[#This Row],[Key(Compte ILN - shipper - POL - plant)]],'DATA ILN'!A:K,11,FALSE),VLOOKUP(Tableau119[[#This Row],[Key(Compte ILN - shipper - POL)]],'DATA ILN'!B:K,10,FALSE))</f>
        <v>#N/A</v>
      </c>
      <c r="U721" s="50" t="e">
        <f>IFERROR(VLOOKUP(Tableau119[[#This Row],[Key(Compte ILN - shipper - POL - plant)]],'DATA ILN'!A:L,12,FALSE),VLOOKUP(Tableau119[[#This Row],[Key(Compte ILN - shipper - POL)]],'DATA ILN'!B:L,11,FALSE))</f>
        <v>#N/A</v>
      </c>
      <c r="V721" s="50" t="e">
        <f>Tableau119[[#This Row],[Day ILN Order]]+Tableau119[[#This Row],[Delivery time to ILN/Shipper]]-1</f>
        <v>#N/A</v>
      </c>
      <c r="W721" s="50" t="e">
        <f>IFERROR(VLOOKUP(Tableau119[[#This Row],[Key(Compte ILN - shipper - POL - plant)]],'DATA ILN'!A:N,14,FALSE),VLOOKUP(Tableau119[[#This Row],[Key(Compte ILN - shipper - POL)]],'DATA ILN'!B:N,13,FALSE))</f>
        <v>#N/A</v>
      </c>
      <c r="X721" s="50" t="e">
        <f>IFERROR(VLOOKUP(Tableau119[[#This Row],[Key(Compte ILN - shipper - POL - plant)]],'DATA ILN'!A:P,16,FALSE),VLOOKUP(Tableau119[[#This Row],[Key(Compte ILN - shipper - POL)]],'DATA ILN'!B:P,15,FALSE))</f>
        <v>#N/A</v>
      </c>
      <c r="Y721" s="284" t="s">
        <v>163</v>
      </c>
      <c r="Z721" s="430">
        <f>IFERROR(VLOOKUP(Tableau119[[#This Row],[Name Shipper]],Plant_AILN!L:M,2,FALSE),0)</f>
        <v>95207</v>
      </c>
      <c r="AA721" s="406">
        <v>466</v>
      </c>
      <c r="AB721" s="396" t="b">
        <f>_xlfn.XLOOKUP(Tableau119[[#This Row],[Key(ID-date)]],'DATA BTO'!S:S,'DATA BTO'!E:E,FALSE)</f>
        <v>0</v>
      </c>
      <c r="AC721" s="3" t="b">
        <f>_xlfn.XLOOKUP(Tableau119[[#This Row],[Key(ID-date)]],'DATA BTO'!S:S,'DATA BTO'!F:F,FALSE)</f>
        <v>0</v>
      </c>
      <c r="AD721" s="50" t="b">
        <f>_xlfn.XLOOKUP(Tableau119[[#This Row],[Key(ID-date)]],'DATA BTO'!S:S,'DATA BTO'!G:G,FALSE)</f>
        <v>0</v>
      </c>
      <c r="AE721" s="50" t="b">
        <f>_xlfn.XLOOKUP(Tableau119[[#This Row],[Key(ID-date)]],'DATA BTO'!S:S,'DATA BTO'!H:H,FALSE)</f>
        <v>0</v>
      </c>
      <c r="AF721" s="447" t="e">
        <f>IF(Tableau119[[#This Row],[First Day to POL]]&lt;=Tableau119[[#This Row],[Day Cut Off]],Tableau119[[#This Row],[Day ETD]],Tableau119[[#This Row],[Day ETD]]+7)</f>
        <v>#N/A</v>
      </c>
      <c r="AG721" s="50" t="b">
        <f>_xlfn.XLOOKUP(Tableau119[[#This Row],[Key(ID-date)]],'DATA BTO'!S:S,'DATA BTO'!I:I,FALSE)</f>
        <v>0</v>
      </c>
      <c r="AH721" s="3" t="b">
        <f>_xlfn.XLOOKUP(Tableau119[[#This Row],[Key(ID-date)]],'DATA BTO'!S:S,'DATA BTO'!J:J,FALSE)</f>
        <v>0</v>
      </c>
      <c r="AI721" s="3" t="b">
        <f>_xlfn.XLOOKUP(Tableau119[[#This Row],[Key(ID-date)]],'DATA BTO'!S:S,'DATA BTO'!K:K,FALSE)</f>
        <v>0</v>
      </c>
      <c r="AJ721" s="50" t="b">
        <f>_xlfn.XLOOKUP(Tableau119[[#This Row],[Key(ID-date)]],'DATA BTO'!S:S,'DATA BTO'!L:L,FALSE)</f>
        <v>0</v>
      </c>
      <c r="AK721" s="53" t="b">
        <f>_xlfn.XLOOKUP(Tableau119[[#This Row],[Key(ID-date)]],'DATA BTO'!S:S,'DATA BTO'!N:N,FALSE)</f>
        <v>0</v>
      </c>
      <c r="AL721" s="54" t="e">
        <f>VLOOKUP(Tableau119[[#This Row],[Key(POD -PFI- Usine)]],'DATA Consignee'!A:F,6,FALSE)</f>
        <v>#N/A</v>
      </c>
      <c r="AM721" s="284" t="s">
        <v>278</v>
      </c>
      <c r="AN721" s="376">
        <f>IF(Tableau119[[#This Row],[Name PFI/CDD]]="","-",VLOOKUP(Tableau119[[#This Row],[Name PFI/CDD]],Plant_AILN!I:J,2,FALSE))</f>
        <v>2839004</v>
      </c>
      <c r="AO7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1" s="2" t="e">
        <f>VLOOKUP(Tableau119[[#This Row],[Key(POD -PFI- Usine)]],'DATA Consignee'!A:J,10,FALSE)</f>
        <v>#N/A</v>
      </c>
      <c r="AR721" s="50" t="e">
        <f>VLOOKUP(Tableau119[[#This Row],[Key(POD -PFI- Usine)]],'DATA Consignee'!A:N,14,FALSE)</f>
        <v>#N/A</v>
      </c>
      <c r="AS72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1" s="50">
        <f>Tableau119[[#This Row],[Transit time]]+Tableau119[[#This Row],[Time for security]]+Tableau119[[#This Row],[Time for security2 buffer]]</f>
        <v>0</v>
      </c>
      <c r="AV72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1" s="50" t="e">
        <f>Tableau119[[#This Row],[Leadtime SI2C]]+Tableau119[[#This Row],[First Receipt Days]]-Tableau119[[#This Row],[Day Customer Order]]+1</f>
        <v>#N/A</v>
      </c>
      <c r="AX721" s="119" t="e">
        <f>IF(Tableau119[[#This Row],[Name ILN]]&lt;&gt;"SFK Freight Forwarder",Tableau119[[#This Row],[Cust. Leadtime]],Tableau119[[#This Row],[Leadtime SI2C]])</f>
        <v>#N/A</v>
      </c>
      <c r="AY721" s="51" t="b">
        <f>_xlfn.XLOOKUP(Tableau119[[#This Row],[Key(ID-date)]],'DATA BTO'!S:S,'DATA BTO'!P:P,FALSE)</f>
        <v>0</v>
      </c>
      <c r="AZ721" s="338">
        <v>45412</v>
      </c>
      <c r="BA721" s="50"/>
    </row>
    <row r="722" spans="2:53">
      <c r="B722" s="446" t="str">
        <f>_xlfn.CONCAT(Tableau119[[#This Row],[Name ILN]],"-",Tableau119[[#This Row],[Name Shipper]],"-",Tableau119[[#This Row],[Name Site]])</f>
        <v>ILN Curitiba-ILN Curitiba-DACIA MONT</v>
      </c>
      <c r="C722" s="66" t="str">
        <f>_xlfn.CONCAT(Tableau119[[#This Row],[Compte ILN]],"-",Tableau119[[#This Row],[Compte Shipper]],"-",Tableau119[[#This Row],[POL]],"-",Tableau119[[#This Row],[Compte Consignee]])</f>
        <v>95207-95207-FALSO-90016800</v>
      </c>
      <c r="D722" s="66" t="str">
        <f>_xlfn.CONCAT(Tableau119[[#This Row],[Compte ILN]],"-",Tableau119[[#This Row],[Compte Shipper]],"-",Tableau119[[#This Row],[POL]])</f>
        <v>95207-95207-FALSO</v>
      </c>
      <c r="E722" s="130" t="str">
        <f>_xlfn.CONCAT(Tableau119[[#This Row],[POL]],"-",Tableau119[[#This Row],[Carrier]],"-",Tableau119[[#This Row],[POD]])</f>
        <v>FALSO-FALSO-FALSO</v>
      </c>
      <c r="F722" s="66" t="str">
        <f>_xlfn.CONCAT(Tableau119[[#This Row],[ID]],"-","Actif")</f>
        <v>466-Actif</v>
      </c>
      <c r="G722" s="66" t="str">
        <f>_xlfn.CONCAT(Tableau119[[#This Row],[POD]],"-",Tableau119[[#This Row],[Code PFI]],"-",Tableau119[[#This Row],[Compte Consignee]])</f>
        <v>FALSO---90016800</v>
      </c>
      <c r="H7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CuritibaFALSODACIA MONT</v>
      </c>
      <c r="I722" s="434" t="str">
        <f>_xlfn.CONCAT(Tableau119[[#This Row],[ID]],"-",Tableau119[[#This Row],[Expiration Date]])</f>
        <v>466-45412</v>
      </c>
      <c r="J7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Curitiba-ILN Curitiba-466-FALSO-FALSO-FALSO--45412</v>
      </c>
      <c r="K722" s="119" t="str">
        <f ca="1">IF(COUNTIF(J:J,Tableau119[[#This Row],[Plant-ILN-shipper-POL-Carrier-POD-PFI]])=1,"Non","Oui")</f>
        <v>Non</v>
      </c>
      <c r="L722" s="128" t="str">
        <f>VLOOKUP(Tableau119[[#This Row],[Name Site]],Plant_AILN!A:D,4,FALSE)</f>
        <v>ROMANIA</v>
      </c>
      <c r="M722" s="415" t="s">
        <v>185</v>
      </c>
      <c r="N722" s="455">
        <f>VLOOKUP(Tableau119[[#This Row],[Name Site]],Plant_AILN!A:C,3,FALSE)</f>
        <v>90016800</v>
      </c>
      <c r="O722" s="104">
        <f>VLOOKUP(Tableau119[[#This Row],[Compte Consignee]],Order!C:D,2,FALSE)</f>
        <v>7</v>
      </c>
      <c r="P722" s="126" t="s">
        <v>163</v>
      </c>
      <c r="Q722" s="366">
        <f>VLOOKUP(Tableau119[[#This Row],[Name ILN]],Plant_AILN!F:G,2,FALSE)</f>
        <v>95207</v>
      </c>
      <c r="R722" s="81">
        <f>VLOOKUP(Tableau119[[#This Row],[Compte ILN]],'DATA ILN'!D:I,6,FALSE)</f>
        <v>9</v>
      </c>
      <c r="S722" s="81" t="e">
        <f>IFERROR(VLOOKUP(Tableau119[[#This Row],[Key(Compte ILN - shipper - POL - plant)]],'DATA ILN'!A:J,10,FALSE),VLOOKUP(Tableau119[[#This Row],[Key(Compte ILN - shipper - POL)]],'DATA ILN'!B:J,9,FALSE))</f>
        <v>#N/A</v>
      </c>
      <c r="T722" s="81" t="e">
        <f>IFERROR(VLOOKUP(Tableau119[[#This Row],[Key(Compte ILN - shipper - POL - plant)]],'DATA ILN'!A:K,11,FALSE),VLOOKUP(Tableau119[[#This Row],[Key(Compte ILN - shipper - POL)]],'DATA ILN'!B:K,10,FALSE))</f>
        <v>#N/A</v>
      </c>
      <c r="U722" s="81" t="e">
        <f>IFERROR(VLOOKUP(Tableau119[[#This Row],[Key(Compte ILN - shipper - POL - plant)]],'DATA ILN'!A:L,12,FALSE),VLOOKUP(Tableau119[[#This Row],[Key(Compte ILN - shipper - POL)]],'DATA ILN'!B:L,11,FALSE))</f>
        <v>#N/A</v>
      </c>
      <c r="V722" s="81" t="e">
        <f>Tableau119[[#This Row],[Day ILN Order]]+Tableau119[[#This Row],[Delivery time to ILN/Shipper]]-1</f>
        <v>#N/A</v>
      </c>
      <c r="W722" s="81" t="e">
        <f>IFERROR(VLOOKUP(Tableau119[[#This Row],[Key(Compte ILN - shipper - POL - plant)]],'DATA ILN'!A:N,14,FALSE),VLOOKUP(Tableau119[[#This Row],[Key(Compte ILN - shipper - POL)]],'DATA ILN'!B:N,13,FALSE))</f>
        <v>#N/A</v>
      </c>
      <c r="X722" s="81" t="e">
        <f>IFERROR(VLOOKUP(Tableau119[[#This Row],[Key(Compte ILN - shipper - POL - plant)]],'DATA ILN'!A:P,16,FALSE),VLOOKUP(Tableau119[[#This Row],[Key(Compte ILN - shipper - POL)]],'DATA ILN'!B:P,15,FALSE))</f>
        <v>#N/A</v>
      </c>
      <c r="Y722" s="102" t="s">
        <v>163</v>
      </c>
      <c r="Z722" s="417">
        <f>IFERROR(VLOOKUP(Tableau119[[#This Row],[Name Shipper]],Plant_AILN!L:M,2,FALSE),0)</f>
        <v>95207</v>
      </c>
      <c r="AA722" s="416">
        <v>466</v>
      </c>
      <c r="AB722" s="396" t="b">
        <f>_xlfn.XLOOKUP(Tableau119[[#This Row],[Key(ID-date)]],'DATA BTO'!S:S,'DATA BTO'!E:E,FALSE)</f>
        <v>0</v>
      </c>
      <c r="AC722" s="3" t="b">
        <f>_xlfn.XLOOKUP(Tableau119[[#This Row],[Key(ID-date)]],'DATA BTO'!S:S,'DATA BTO'!F:F,FALSE)</f>
        <v>0</v>
      </c>
      <c r="AD722" s="50" t="b">
        <f>_xlfn.XLOOKUP(Tableau119[[#This Row],[Key(ID-date)]],'DATA BTO'!S:S,'DATA BTO'!G:G,FALSE)</f>
        <v>0</v>
      </c>
      <c r="AE722" s="50" t="b">
        <f>_xlfn.XLOOKUP(Tableau119[[#This Row],[Key(ID-date)]],'DATA BTO'!S:S,'DATA BTO'!H:H,FALSE)</f>
        <v>0</v>
      </c>
      <c r="AF722" s="447" t="e">
        <f>IF(Tableau119[[#This Row],[First Day to POL]]&lt;=Tableau119[[#This Row],[Day Cut Off]],Tableau119[[#This Row],[Day ETD]],Tableau119[[#This Row],[Day ETD]]+7)</f>
        <v>#N/A</v>
      </c>
      <c r="AG722" s="50" t="b">
        <f>_xlfn.XLOOKUP(Tableau119[[#This Row],[Key(ID-date)]],'DATA BTO'!S:S,'DATA BTO'!I:I,FALSE)</f>
        <v>0</v>
      </c>
      <c r="AH722" s="3" t="b">
        <f>_xlfn.XLOOKUP(Tableau119[[#This Row],[Key(ID-date)]],'DATA BTO'!S:S,'DATA BTO'!J:J,FALSE)</f>
        <v>0</v>
      </c>
      <c r="AI722" s="3" t="b">
        <f>_xlfn.XLOOKUP(Tableau119[[#This Row],[Key(ID-date)]],'DATA BTO'!S:S,'DATA BTO'!K:K,FALSE)</f>
        <v>0</v>
      </c>
      <c r="AJ722" s="50" t="b">
        <f>_xlfn.XLOOKUP(Tableau119[[#This Row],[Key(ID-date)]],'DATA BTO'!S:S,'DATA BTO'!L:L,FALSE)</f>
        <v>0</v>
      </c>
      <c r="AK722" s="53" t="b">
        <f>_xlfn.XLOOKUP(Tableau119[[#This Row],[Key(ID-date)]],'DATA BTO'!S:S,'DATA BTO'!N:N,FALSE)</f>
        <v>0</v>
      </c>
      <c r="AL722" s="54" t="e">
        <f>VLOOKUP(Tableau119[[#This Row],[Key(POD -PFI- Usine)]],'DATA Consignee'!A:F,6,FALSE)</f>
        <v>#N/A</v>
      </c>
      <c r="AM722" s="102"/>
      <c r="AN722" s="375" t="str">
        <f>IF(Tableau119[[#This Row],[Name PFI/CDD]]="","-",VLOOKUP(Tableau119[[#This Row],[Name PFI/CDD]],Plant_AILN!I:J,2,FALSE))</f>
        <v>-</v>
      </c>
      <c r="AO72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2" s="110" t="e">
        <f>VLOOKUP(Tableau119[[#This Row],[Key(POD -PFI- Usine)]],'DATA Consignee'!A:J,10,FALSE)</f>
        <v>#N/A</v>
      </c>
      <c r="AR722" s="81" t="e">
        <f>VLOOKUP(Tableau119[[#This Row],[Key(POD -PFI- Usine)]],'DATA Consignee'!A:N,14,FALSE)</f>
        <v>#N/A</v>
      </c>
      <c r="AS72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2" s="81">
        <f>Tableau119[[#This Row],[Transit time]]+Tableau119[[#This Row],[Time for security]]+Tableau119[[#This Row],[Time for security2 buffer]]</f>
        <v>0</v>
      </c>
      <c r="AV72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2" s="50" t="e">
        <f>Tableau119[[#This Row],[Leadtime SI2C]]+Tableau119[[#This Row],[First Receipt Days]]-Tableau119[[#This Row],[Day Customer Order]]+1</f>
        <v>#N/A</v>
      </c>
      <c r="AX722" s="119" t="e">
        <f>IF(Tableau119[[#This Row],[Name ILN]]&lt;&gt;"SFK Freight Forwarder",Tableau119[[#This Row],[Cust. Leadtime]],Tableau119[[#This Row],[Leadtime SI2C]])</f>
        <v>#N/A</v>
      </c>
      <c r="AY722" s="51" t="b">
        <f>_xlfn.XLOOKUP(Tableau119[[#This Row],[Key(ID-date)]],'DATA BTO'!S:S,'DATA BTO'!P:P,FALSE)</f>
        <v>0</v>
      </c>
      <c r="AZ722" s="388">
        <v>45412</v>
      </c>
      <c r="BA722" s="81"/>
    </row>
    <row r="723" spans="2:53">
      <c r="B723" s="66" t="str">
        <f>_xlfn.CONCAT(Tableau119[[#This Row],[Name ILN]],"-",Tableau119[[#This Row],[Name Shipper]],"-",Tableau119[[#This Row],[Name Site]])</f>
        <v>ILN Tanger-ILN Tanger-DACIA MONT</v>
      </c>
      <c r="C723" s="66" t="str">
        <f>_xlfn.CONCAT(Tableau119[[#This Row],[Compte ILN]],"-",Tableau119[[#This Row],[Compte Shipper]],"-",Tableau119[[#This Row],[POL]],"-",Tableau119[[#This Row],[Compte Consignee]])</f>
        <v>92050300-92050300-FALSO-90016800</v>
      </c>
      <c r="D723" s="66" t="str">
        <f>_xlfn.CONCAT(Tableau119[[#This Row],[Compte ILN]],"-",Tableau119[[#This Row],[Compte Shipper]],"-",Tableau119[[#This Row],[POL]])</f>
        <v>92050300-92050300-FALSO</v>
      </c>
      <c r="E723" s="130" t="str">
        <f>_xlfn.CONCAT(Tableau119[[#This Row],[POL]],"-",Tableau119[[#This Row],[Carrier]],"-",Tableau119[[#This Row],[POD]])</f>
        <v>FALSO-FALSO-FALSO</v>
      </c>
      <c r="F723" s="66" t="str">
        <f>_xlfn.CONCAT(Tableau119[[#This Row],[ID]],"-","Actif")</f>
        <v>569-Actif</v>
      </c>
      <c r="G723" s="66" t="str">
        <f>_xlfn.CONCAT(Tableau119[[#This Row],[POD]],"-",Tableau119[[#This Row],[Code PFI]],"-",Tableau119[[#This Row],[Compte Consignee]])</f>
        <v>FALSO-2839004-90016800</v>
      </c>
      <c r="H7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TangerFALSODACIA MONT</v>
      </c>
      <c r="I723" s="434" t="str">
        <f>_xlfn.CONCAT(Tableau119[[#This Row],[ID]],"-",Tableau119[[#This Row],[Expiration Date]])</f>
        <v>569-46142</v>
      </c>
      <c r="J7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Tanger-ILN Tanger-569-FALSO-FALSO-FALSO-Magasin Dacia-46142</v>
      </c>
      <c r="K723" s="119" t="str">
        <f ca="1">IF(COUNTIF(J:J,Tableau119[[#This Row],[Plant-ILN-shipper-POL-Carrier-POD-PFI]])=1,"Non","Oui")</f>
        <v>Non</v>
      </c>
      <c r="L723" s="436" t="str">
        <f>VLOOKUP(Tableau119[[#This Row],[Name Site]],Plant_AILN!A:D,4,FALSE)</f>
        <v>ROMANIA</v>
      </c>
      <c r="M723" s="411" t="s">
        <v>185</v>
      </c>
      <c r="N723" s="454">
        <f>VLOOKUP(Tableau119[[#This Row],[Name Site]],Plant_AILN!A:C,3,FALSE)</f>
        <v>90016800</v>
      </c>
      <c r="O723" s="55">
        <f>IF(Tableau119[[#This Row],[Name PFI/CDD]]="PFI VLL",2,VLOOKUP(Tableau119[[#This Row],[Compte Consignee]],Order!C:D,2,FALSE))</f>
        <v>7</v>
      </c>
      <c r="P723" s="124" t="s">
        <v>161</v>
      </c>
      <c r="Q723" s="365">
        <f>VLOOKUP(Tableau119[[#This Row],[Name ILN]],Plant_AILN!F:G,2,FALSE)</f>
        <v>92050300</v>
      </c>
      <c r="R723" s="50">
        <f>VLOOKUP(Tableau119[[#This Row],[Compte ILN]],'DATA ILN'!D:I,6,FALSE)</f>
        <v>9</v>
      </c>
      <c r="S723" s="50" t="e">
        <f>IFERROR(VLOOKUP(Tableau119[[#This Row],[Key(Compte ILN - shipper - POL - plant)]],'DATA ILN'!A:J,10,FALSE),VLOOKUP(Tableau119[[#This Row],[Key(Compte ILN - shipper - POL)]],'DATA ILN'!B:J,9,FALSE))</f>
        <v>#N/A</v>
      </c>
      <c r="T723" s="50" t="e">
        <f>IFERROR(VLOOKUP(Tableau119[[#This Row],[Key(Compte ILN - shipper - POL - plant)]],'DATA ILN'!A:K,11,FALSE),VLOOKUP(Tableau119[[#This Row],[Key(Compte ILN - shipper - POL)]],'DATA ILN'!B:K,10,FALSE))</f>
        <v>#N/A</v>
      </c>
      <c r="U723" s="50" t="e">
        <f>IFERROR(VLOOKUP(Tableau119[[#This Row],[Key(Compte ILN - shipper - POL - plant)]],'DATA ILN'!A:L,12,FALSE),VLOOKUP(Tableau119[[#This Row],[Key(Compte ILN - shipper - POL)]],'DATA ILN'!B:L,11,FALSE))</f>
        <v>#N/A</v>
      </c>
      <c r="V723" s="50" t="e">
        <f>Tableau119[[#This Row],[Day ILN Order]]+Tableau119[[#This Row],[Delivery time to ILN/Shipper]]-1</f>
        <v>#N/A</v>
      </c>
      <c r="W723" s="50" t="e">
        <f>IFERROR(VLOOKUP(Tableau119[[#This Row],[Key(Compte ILN - shipper - POL - plant)]],'DATA ILN'!A:N,14,FALSE),VLOOKUP(Tableau119[[#This Row],[Key(Compte ILN - shipper - POL)]],'DATA ILN'!B:N,13,FALSE))</f>
        <v>#N/A</v>
      </c>
      <c r="X723" s="50" t="e">
        <f>IFERROR(VLOOKUP(Tableau119[[#This Row],[Key(Compte ILN - shipper - POL - plant)]],'DATA ILN'!A:P,16,FALSE),VLOOKUP(Tableau119[[#This Row],[Key(Compte ILN - shipper - POL)]],'DATA ILN'!B:P,15,FALSE))</f>
        <v>#N/A</v>
      </c>
      <c r="Y723" s="284" t="s">
        <v>161</v>
      </c>
      <c r="Z723" s="430">
        <f>IFERROR(VLOOKUP(Tableau119[[#This Row],[Name Shipper]],Plant_AILN!L:M,2,FALSE),0)</f>
        <v>92050300</v>
      </c>
      <c r="AA723" s="406">
        <v>569</v>
      </c>
      <c r="AB723" s="396" t="b">
        <f>_xlfn.XLOOKUP(Tableau119[[#This Row],[Key(ID-date)]],'DATA BTO'!S:S,'DATA BTO'!E:E,FALSE)</f>
        <v>0</v>
      </c>
      <c r="AC723" s="3" t="b">
        <f>_xlfn.XLOOKUP(Tableau119[[#This Row],[Key(ID-date)]],'DATA BTO'!S:S,'DATA BTO'!F:F,FALSE)</f>
        <v>0</v>
      </c>
      <c r="AD723" s="50" t="b">
        <f>_xlfn.XLOOKUP(Tableau119[[#This Row],[Key(ID-date)]],'DATA BTO'!S:S,'DATA BTO'!G:G,FALSE)</f>
        <v>0</v>
      </c>
      <c r="AE723" s="50" t="b">
        <f>_xlfn.XLOOKUP(Tableau119[[#This Row],[Key(ID-date)]],'DATA BTO'!S:S,'DATA BTO'!H:H,FALSE)</f>
        <v>0</v>
      </c>
      <c r="AF723" s="447" t="e">
        <f>IF(Tableau119[[#This Row],[First Day to POL]]&lt;=Tableau119[[#This Row],[Day Cut Off]],Tableau119[[#This Row],[Day ETD]],Tableau119[[#This Row],[Day ETD]]+7)</f>
        <v>#N/A</v>
      </c>
      <c r="AG723" s="50" t="b">
        <f>_xlfn.XLOOKUP(Tableau119[[#This Row],[Key(ID-date)]],'DATA BTO'!S:S,'DATA BTO'!I:I,FALSE)</f>
        <v>0</v>
      </c>
      <c r="AH723" s="3" t="b">
        <f>_xlfn.XLOOKUP(Tableau119[[#This Row],[Key(ID-date)]],'DATA BTO'!S:S,'DATA BTO'!J:J,FALSE)</f>
        <v>0</v>
      </c>
      <c r="AI723" s="3" t="b">
        <f>_xlfn.XLOOKUP(Tableau119[[#This Row],[Key(ID-date)]],'DATA BTO'!S:S,'DATA BTO'!K:K,FALSE)</f>
        <v>0</v>
      </c>
      <c r="AJ723" s="50" t="b">
        <f>_xlfn.XLOOKUP(Tableau119[[#This Row],[Key(ID-date)]],'DATA BTO'!S:S,'DATA BTO'!L:L,FALSE)</f>
        <v>0</v>
      </c>
      <c r="AK723" s="53" t="b">
        <f>_xlfn.XLOOKUP(Tableau119[[#This Row],[Key(ID-date)]],'DATA BTO'!S:S,'DATA BTO'!N:N,FALSE)</f>
        <v>0</v>
      </c>
      <c r="AL723" s="54" t="e">
        <f>VLOOKUP(Tableau119[[#This Row],[Key(POD -PFI- Usine)]],'DATA Consignee'!A:F,6,FALSE)</f>
        <v>#N/A</v>
      </c>
      <c r="AM723" s="284" t="s">
        <v>164</v>
      </c>
      <c r="AN723" s="376">
        <f>IF(Tableau119[[#This Row],[Name PFI/CDD]]="","-",VLOOKUP(Tableau119[[#This Row],[Name PFI/CDD]],Plant_AILN!I:J,2,FALSE))</f>
        <v>2839004</v>
      </c>
      <c r="AO7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3" s="2" t="e">
        <f>VLOOKUP(Tableau119[[#This Row],[Key(POD -PFI- Usine)]],'DATA Consignee'!A:J,10,FALSE)</f>
        <v>#N/A</v>
      </c>
      <c r="AR723" s="50" t="e">
        <f>VLOOKUP(Tableau119[[#This Row],[Key(POD -PFI- Usine)]],'DATA Consignee'!A:N,14,FALSE)</f>
        <v>#N/A</v>
      </c>
      <c r="AS72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3" s="50">
        <f>Tableau119[[#This Row],[Transit time]]+Tableau119[[#This Row],[Time for security]]+Tableau119[[#This Row],[Time for security2 buffer]]</f>
        <v>0</v>
      </c>
      <c r="AV72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3" s="50" t="e">
        <f>Tableau119[[#This Row],[Leadtime SI2C]]+Tableau119[[#This Row],[First Receipt Days]]-Tableau119[[#This Row],[Day Customer Order]]+1</f>
        <v>#N/A</v>
      </c>
      <c r="AX723" s="119" t="e">
        <f>IF(Tableau119[[#This Row],[Name ILN]]&lt;&gt;"SFK Freight Forwarder",Tableau119[[#This Row],[Cust. Leadtime]],Tableau119[[#This Row],[Leadtime SI2C]])</f>
        <v>#N/A</v>
      </c>
      <c r="AY723" s="51" t="b">
        <f>_xlfn.XLOOKUP(Tableau119[[#This Row],[Key(ID-date)]],'DATA BTO'!S:S,'DATA BTO'!P:P,FALSE)</f>
        <v>0</v>
      </c>
      <c r="AZ723" s="338">
        <v>46142</v>
      </c>
      <c r="BA723" s="50"/>
    </row>
    <row r="724" spans="2:53">
      <c r="B724" s="446" t="str">
        <f>_xlfn.CONCAT(Tableau119[[#This Row],[Name ILN]],"-",Tableau119[[#This Row],[Name Shipper]],"-",Tableau119[[#This Row],[Name Site]])</f>
        <v>ILN Tanger-ILN Tanger-DACIA MONT</v>
      </c>
      <c r="C724" s="66" t="str">
        <f>_xlfn.CONCAT(Tableau119[[#This Row],[Compte ILN]],"-",Tableau119[[#This Row],[Compte Shipper]],"-",Tableau119[[#This Row],[POL]],"-",Tableau119[[#This Row],[Compte Consignee]])</f>
        <v>92050300-92050300-FALSO-90016800</v>
      </c>
      <c r="D724" s="66" t="str">
        <f>_xlfn.CONCAT(Tableau119[[#This Row],[Compte ILN]],"-",Tableau119[[#This Row],[Compte Shipper]],"-",Tableau119[[#This Row],[POL]])</f>
        <v>92050300-92050300-FALSO</v>
      </c>
      <c r="E724" s="130" t="str">
        <f>_xlfn.CONCAT(Tableau119[[#This Row],[POL]],"-",Tableau119[[#This Row],[Carrier]],"-",Tableau119[[#This Row],[POD]])</f>
        <v>FALSO-FALSO-FALSO</v>
      </c>
      <c r="F724" s="66" t="str">
        <f>_xlfn.CONCAT(Tableau119[[#This Row],[ID]],"-","Actif")</f>
        <v>569-Actif</v>
      </c>
      <c r="G724" s="66" t="str">
        <f>_xlfn.CONCAT(Tableau119[[#This Row],[POD]],"-",Tableau119[[#This Row],[Code PFI]],"-",Tableau119[[#This Row],[Compte Consignee]])</f>
        <v>FALSO---90016800</v>
      </c>
      <c r="H7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TangerFALSODACIA MONT</v>
      </c>
      <c r="I724" s="434" t="str">
        <f>_xlfn.CONCAT(Tableau119[[#This Row],[ID]],"-",Tableau119[[#This Row],[Expiration Date]])</f>
        <v>569-45788</v>
      </c>
      <c r="J7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Tanger-ILN Tanger-569-FALSO-FALSO-FALSO--45788</v>
      </c>
      <c r="K724" s="119" t="str">
        <f ca="1">IF(COUNTIF(J:J,Tableau119[[#This Row],[Plant-ILN-shipper-POL-Carrier-POD-PFI]])=1,"Non","Oui")</f>
        <v>Non</v>
      </c>
      <c r="L724" s="128" t="str">
        <f>VLOOKUP(Tableau119[[#This Row],[Name Site]],Plant_AILN!A:D,4,FALSE)</f>
        <v>ROMANIA</v>
      </c>
      <c r="M724" s="415" t="s">
        <v>185</v>
      </c>
      <c r="N724" s="455">
        <f>VLOOKUP(Tableau119[[#This Row],[Name Site]],Plant_AILN!A:C,3,FALSE)</f>
        <v>90016800</v>
      </c>
      <c r="O724" s="104">
        <f>VLOOKUP(Tableau119[[#This Row],[Compte Consignee]],Order!C:D,2,FALSE)</f>
        <v>7</v>
      </c>
      <c r="P724" s="126" t="s">
        <v>161</v>
      </c>
      <c r="Q724" s="366">
        <f>VLOOKUP(Tableau119[[#This Row],[Name ILN]],Plant_AILN!F:G,2,FALSE)</f>
        <v>92050300</v>
      </c>
      <c r="R724" s="81">
        <f>VLOOKUP(Tableau119[[#This Row],[Compte ILN]],'DATA ILN'!D:I,6,FALSE)</f>
        <v>9</v>
      </c>
      <c r="S724" s="81" t="e">
        <f>IFERROR(VLOOKUP(Tableau119[[#This Row],[Key(Compte ILN - shipper - POL - plant)]],'DATA ILN'!A:J,10,FALSE),VLOOKUP(Tableau119[[#This Row],[Key(Compte ILN - shipper - POL)]],'DATA ILN'!B:J,9,FALSE))</f>
        <v>#N/A</v>
      </c>
      <c r="T724" s="81" t="e">
        <f>IFERROR(VLOOKUP(Tableau119[[#This Row],[Key(Compte ILN - shipper - POL - plant)]],'DATA ILN'!A:K,11,FALSE),VLOOKUP(Tableau119[[#This Row],[Key(Compte ILN - shipper - POL)]],'DATA ILN'!B:K,10,FALSE))</f>
        <v>#N/A</v>
      </c>
      <c r="U724" s="81" t="e">
        <f>IFERROR(VLOOKUP(Tableau119[[#This Row],[Key(Compte ILN - shipper - POL - plant)]],'DATA ILN'!A:L,12,FALSE),VLOOKUP(Tableau119[[#This Row],[Key(Compte ILN - shipper - POL)]],'DATA ILN'!B:L,11,FALSE))</f>
        <v>#N/A</v>
      </c>
      <c r="V724" s="81" t="e">
        <f>Tableau119[[#This Row],[Day ILN Order]]+Tableau119[[#This Row],[Delivery time to ILN/Shipper]]-1</f>
        <v>#N/A</v>
      </c>
      <c r="W724" s="81" t="e">
        <f>IFERROR(VLOOKUP(Tableau119[[#This Row],[Key(Compte ILN - shipper - POL - plant)]],'DATA ILN'!A:N,14,FALSE),VLOOKUP(Tableau119[[#This Row],[Key(Compte ILN - shipper - POL)]],'DATA ILN'!B:N,13,FALSE))</f>
        <v>#N/A</v>
      </c>
      <c r="X724" s="81" t="e">
        <f>IFERROR(VLOOKUP(Tableau119[[#This Row],[Key(Compte ILN - shipper - POL - plant)]],'DATA ILN'!A:P,16,FALSE),VLOOKUP(Tableau119[[#This Row],[Key(Compte ILN - shipper - POL)]],'DATA ILN'!B:P,15,FALSE))</f>
        <v>#N/A</v>
      </c>
      <c r="Y724" s="102" t="s">
        <v>161</v>
      </c>
      <c r="Z724" s="417">
        <f>IFERROR(VLOOKUP(Tableau119[[#This Row],[Name Shipper]],Plant_AILN!L:M,2,FALSE),0)</f>
        <v>92050300</v>
      </c>
      <c r="AA724" s="416">
        <v>569</v>
      </c>
      <c r="AB724" s="396" t="b">
        <f>_xlfn.XLOOKUP(Tableau119[[#This Row],[Key(ID-date)]],'DATA BTO'!S:S,'DATA BTO'!E:E,FALSE)</f>
        <v>0</v>
      </c>
      <c r="AC724" s="3" t="b">
        <f>_xlfn.XLOOKUP(Tableau119[[#This Row],[Key(ID-date)]],'DATA BTO'!S:S,'DATA BTO'!F:F,FALSE)</f>
        <v>0</v>
      </c>
      <c r="AD724" s="50" t="b">
        <f>_xlfn.XLOOKUP(Tableau119[[#This Row],[Key(ID-date)]],'DATA BTO'!S:S,'DATA BTO'!G:G,FALSE)</f>
        <v>0</v>
      </c>
      <c r="AE724" s="50" t="b">
        <f>_xlfn.XLOOKUP(Tableau119[[#This Row],[Key(ID-date)]],'DATA BTO'!S:S,'DATA BTO'!H:H,FALSE)</f>
        <v>0</v>
      </c>
      <c r="AF724" s="447" t="e">
        <f>IF(Tableau119[[#This Row],[First Day to POL]]&lt;=Tableau119[[#This Row],[Day Cut Off]],Tableau119[[#This Row],[Day ETD]],Tableau119[[#This Row],[Day ETD]]+7)</f>
        <v>#N/A</v>
      </c>
      <c r="AG724" s="50" t="b">
        <f>_xlfn.XLOOKUP(Tableau119[[#This Row],[Key(ID-date)]],'DATA BTO'!S:S,'DATA BTO'!I:I,FALSE)</f>
        <v>0</v>
      </c>
      <c r="AH724" s="3" t="b">
        <f>_xlfn.XLOOKUP(Tableau119[[#This Row],[Key(ID-date)]],'DATA BTO'!S:S,'DATA BTO'!J:J,FALSE)</f>
        <v>0</v>
      </c>
      <c r="AI724" s="3" t="b">
        <f>_xlfn.XLOOKUP(Tableau119[[#This Row],[Key(ID-date)]],'DATA BTO'!S:S,'DATA BTO'!K:K,FALSE)</f>
        <v>0</v>
      </c>
      <c r="AJ724" s="50" t="b">
        <f>_xlfn.XLOOKUP(Tableau119[[#This Row],[Key(ID-date)]],'DATA BTO'!S:S,'DATA BTO'!L:L,FALSE)</f>
        <v>0</v>
      </c>
      <c r="AK724" s="53" t="b">
        <f>_xlfn.XLOOKUP(Tableau119[[#This Row],[Key(ID-date)]],'DATA BTO'!S:S,'DATA BTO'!N:N,FALSE)</f>
        <v>0</v>
      </c>
      <c r="AL724" s="54" t="e">
        <f>VLOOKUP(Tableau119[[#This Row],[Key(POD -PFI- Usine)]],'DATA Consignee'!A:F,6,FALSE)</f>
        <v>#N/A</v>
      </c>
      <c r="AM724" s="102"/>
      <c r="AN724" s="375" t="str">
        <f>IF(Tableau119[[#This Row],[Name PFI/CDD]]="","-",VLOOKUP(Tableau119[[#This Row],[Name PFI/CDD]],Plant_AILN!I:J,2,FALSE))</f>
        <v>-</v>
      </c>
      <c r="AO72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4" s="110" t="e">
        <f>VLOOKUP(Tableau119[[#This Row],[Key(POD -PFI- Usine)]],'DATA Consignee'!A:J,10,FALSE)</f>
        <v>#N/A</v>
      </c>
      <c r="AR724" s="81" t="e">
        <f>VLOOKUP(Tableau119[[#This Row],[Key(POD -PFI- Usine)]],'DATA Consignee'!A:N,14,FALSE)</f>
        <v>#N/A</v>
      </c>
      <c r="AS72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4" s="81">
        <f>Tableau119[[#This Row],[Transit time]]+Tableau119[[#This Row],[Time for security]]+Tableau119[[#This Row],[Time for security2 buffer]]</f>
        <v>0</v>
      </c>
      <c r="AV72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4" s="50" t="e">
        <f>Tableau119[[#This Row],[Leadtime SI2C]]+Tableau119[[#This Row],[First Receipt Days]]-Tableau119[[#This Row],[Day Customer Order]]+1</f>
        <v>#N/A</v>
      </c>
      <c r="AX724" s="119" t="e">
        <f>IF(Tableau119[[#This Row],[Name ILN]]&lt;&gt;"SFK Freight Forwarder",Tableau119[[#This Row],[Cust. Leadtime]],Tableau119[[#This Row],[Leadtime SI2C]])</f>
        <v>#N/A</v>
      </c>
      <c r="AY724" s="51" t="b">
        <f>_xlfn.XLOOKUP(Tableau119[[#This Row],[Key(ID-date)]],'DATA BTO'!S:S,'DATA BTO'!P:P,FALSE)</f>
        <v>0</v>
      </c>
      <c r="AZ724" s="388">
        <v>45788</v>
      </c>
      <c r="BA724" s="81"/>
    </row>
    <row r="725" spans="2:53">
      <c r="B725" s="446" t="str">
        <f>_xlfn.CONCAT(Tableau119[[#This Row],[Name ILN]],"-",Tableau119[[#This Row],[Name Shipper]],"-",Tableau119[[#This Row],[Name Site]])</f>
        <v>ILN Tanger-ILN Tanger-DACIA MONT</v>
      </c>
      <c r="C725" s="66" t="str">
        <f>_xlfn.CONCAT(Tableau119[[#This Row],[Compte ILN]],"-",Tableau119[[#This Row],[Compte Shipper]],"-",Tableau119[[#This Row],[POL]],"-",Tableau119[[#This Row],[Compte Consignee]])</f>
        <v>92050300-92050300-FALSO-90016800</v>
      </c>
      <c r="D725" s="66" t="str">
        <f>_xlfn.CONCAT(Tableau119[[#This Row],[Compte ILN]],"-",Tableau119[[#This Row],[Compte Shipper]],"-",Tableau119[[#This Row],[POL]])</f>
        <v>92050300-92050300-FALSO</v>
      </c>
      <c r="E725" s="130" t="str">
        <f>_xlfn.CONCAT(Tableau119[[#This Row],[POL]],"-",Tableau119[[#This Row],[Carrier]],"-",Tableau119[[#This Row],[POD]])</f>
        <v>FALSO-FALSO-FALSO</v>
      </c>
      <c r="F725" s="66" t="str">
        <f>_xlfn.CONCAT(Tableau119[[#This Row],[ID]],"-","Actif")</f>
        <v>569-Actif</v>
      </c>
      <c r="G725" s="66" t="str">
        <f>_xlfn.CONCAT(Tableau119[[#This Row],[POD]],"-",Tableau119[[#This Row],[Code PFI]],"-",Tableau119[[#This Row],[Compte Consignee]])</f>
        <v>FALSO---90016800</v>
      </c>
      <c r="H7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TangerFALSODACIA MONT</v>
      </c>
      <c r="I725" s="434" t="str">
        <f>_xlfn.CONCAT(Tableau119[[#This Row],[ID]],"-",Tableau119[[#This Row],[Expiration Date]])</f>
        <v>569-45747</v>
      </c>
      <c r="J7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MONT-ILN Tanger-ILN Tanger-569-FALSO-FALSO-FALSO--45747</v>
      </c>
      <c r="K725" s="119" t="str">
        <f ca="1">IF(COUNTIF(J:J,Tableau119[[#This Row],[Plant-ILN-shipper-POL-Carrier-POD-PFI]])=1,"Non","Oui")</f>
        <v>Non</v>
      </c>
      <c r="L725" s="128" t="str">
        <f>VLOOKUP(Tableau119[[#This Row],[Name Site]],Plant_AILN!A:D,4,FALSE)</f>
        <v>ROMANIA</v>
      </c>
      <c r="M725" s="411" t="s">
        <v>185</v>
      </c>
      <c r="N725" s="454">
        <f>VLOOKUP(Tableau119[[#This Row],[Name Site]],Plant_AILN!A:C,3,FALSE)</f>
        <v>90016800</v>
      </c>
      <c r="O725" s="55">
        <f>VLOOKUP(Tableau119[[#This Row],[Compte Consignee]],Order!C:D,2,FALSE)</f>
        <v>7</v>
      </c>
      <c r="P725" s="124" t="s">
        <v>161</v>
      </c>
      <c r="Q725" s="365">
        <f>VLOOKUP(Tableau119[[#This Row],[Name ILN]],Plant_AILN!F:G,2,FALSE)</f>
        <v>92050300</v>
      </c>
      <c r="R725" s="50">
        <f>VLOOKUP(Tableau119[[#This Row],[Compte ILN]],'DATA ILN'!D:I,6,FALSE)</f>
        <v>9</v>
      </c>
      <c r="S725" s="50" t="e">
        <f>IFERROR(VLOOKUP(Tableau119[[#This Row],[Key(Compte ILN - shipper - POL - plant)]],'DATA ILN'!A:J,10,FALSE),VLOOKUP(Tableau119[[#This Row],[Key(Compte ILN - shipper - POL)]],'DATA ILN'!B:J,9,FALSE))</f>
        <v>#N/A</v>
      </c>
      <c r="T725" s="50" t="e">
        <f>IFERROR(VLOOKUP(Tableau119[[#This Row],[Key(Compte ILN - shipper - POL - plant)]],'DATA ILN'!A:K,11,FALSE),VLOOKUP(Tableau119[[#This Row],[Key(Compte ILN - shipper - POL)]],'DATA ILN'!B:K,10,FALSE))</f>
        <v>#N/A</v>
      </c>
      <c r="U725" s="50" t="e">
        <f>IFERROR(VLOOKUP(Tableau119[[#This Row],[Key(Compte ILN - shipper - POL - plant)]],'DATA ILN'!A:L,12,FALSE),VLOOKUP(Tableau119[[#This Row],[Key(Compte ILN - shipper - POL)]],'DATA ILN'!B:L,11,FALSE))</f>
        <v>#N/A</v>
      </c>
      <c r="V725" s="50" t="e">
        <f>Tableau119[[#This Row],[Day ILN Order]]+Tableau119[[#This Row],[Delivery time to ILN/Shipper]]-1</f>
        <v>#N/A</v>
      </c>
      <c r="W725" s="50" t="e">
        <f>IFERROR(VLOOKUP(Tableau119[[#This Row],[Key(Compte ILN - shipper - POL - plant)]],'DATA ILN'!A:N,14,FALSE),VLOOKUP(Tableau119[[#This Row],[Key(Compte ILN - shipper - POL)]],'DATA ILN'!B:N,13,FALSE))</f>
        <v>#N/A</v>
      </c>
      <c r="X725" s="50" t="e">
        <f>IFERROR(VLOOKUP(Tableau119[[#This Row],[Key(Compte ILN - shipper - POL - plant)]],'DATA ILN'!A:P,16,FALSE),VLOOKUP(Tableau119[[#This Row],[Key(Compte ILN - shipper - POL)]],'DATA ILN'!B:P,15,FALSE))</f>
        <v>#N/A</v>
      </c>
      <c r="Y725" s="284" t="s">
        <v>161</v>
      </c>
      <c r="Z725" s="430">
        <f>IFERROR(VLOOKUP(Tableau119[[#This Row],[Name Shipper]],Plant_AILN!L:M,2,FALSE),0)</f>
        <v>92050300</v>
      </c>
      <c r="AA725" s="406">
        <v>569</v>
      </c>
      <c r="AB725" s="396" t="b">
        <f>_xlfn.XLOOKUP(Tableau119[[#This Row],[Key(ID-date)]],'DATA BTO'!S:S,'DATA BTO'!E:E,FALSE)</f>
        <v>0</v>
      </c>
      <c r="AC725" s="3" t="b">
        <f>_xlfn.XLOOKUP(Tableau119[[#This Row],[Key(ID-date)]],'DATA BTO'!S:S,'DATA BTO'!F:F,FALSE)</f>
        <v>0</v>
      </c>
      <c r="AD725" s="50" t="b">
        <f>_xlfn.XLOOKUP(Tableau119[[#This Row],[Key(ID-date)]],'DATA BTO'!S:S,'DATA BTO'!G:G,FALSE)</f>
        <v>0</v>
      </c>
      <c r="AE725" s="50" t="b">
        <f>_xlfn.XLOOKUP(Tableau119[[#This Row],[Key(ID-date)]],'DATA BTO'!S:S,'DATA BTO'!H:H,FALSE)</f>
        <v>0</v>
      </c>
      <c r="AF725" s="447" t="e">
        <f>IF(Tableau119[[#This Row],[First Day to POL]]&lt;=Tableau119[[#This Row],[Day Cut Off]],Tableau119[[#This Row],[Day ETD]],Tableau119[[#This Row],[Day ETD]]+7)</f>
        <v>#N/A</v>
      </c>
      <c r="AG725" s="50" t="b">
        <f>_xlfn.XLOOKUP(Tableau119[[#This Row],[Key(ID-date)]],'DATA BTO'!S:S,'DATA BTO'!I:I,FALSE)</f>
        <v>0</v>
      </c>
      <c r="AH725" s="3" t="b">
        <f>_xlfn.XLOOKUP(Tableau119[[#This Row],[Key(ID-date)]],'DATA BTO'!S:S,'DATA BTO'!J:J,FALSE)</f>
        <v>0</v>
      </c>
      <c r="AI725" s="3" t="b">
        <f>_xlfn.XLOOKUP(Tableau119[[#This Row],[Key(ID-date)]],'DATA BTO'!S:S,'DATA BTO'!K:K,FALSE)</f>
        <v>0</v>
      </c>
      <c r="AJ725" s="50" t="b">
        <f>_xlfn.XLOOKUP(Tableau119[[#This Row],[Key(ID-date)]],'DATA BTO'!S:S,'DATA BTO'!L:L,FALSE)</f>
        <v>0</v>
      </c>
      <c r="AK725" s="53" t="b">
        <f>_xlfn.XLOOKUP(Tableau119[[#This Row],[Key(ID-date)]],'DATA BTO'!S:S,'DATA BTO'!N:N,FALSE)</f>
        <v>0</v>
      </c>
      <c r="AL725" s="54" t="e">
        <f>VLOOKUP(Tableau119[[#This Row],[Key(POD -PFI- Usine)]],'DATA Consignee'!A:F,6,FALSE)</f>
        <v>#N/A</v>
      </c>
      <c r="AM725" s="284"/>
      <c r="AN725" s="376" t="str">
        <f>IF(Tableau119[[#This Row],[Name PFI/CDD]]="","-",VLOOKUP(Tableau119[[#This Row],[Name PFI/CDD]],Plant_AILN!I:J,2,FALSE))</f>
        <v>-</v>
      </c>
      <c r="AO7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5" s="2" t="e">
        <f>VLOOKUP(Tableau119[[#This Row],[Key(POD -PFI- Usine)]],'DATA Consignee'!A:J,10,FALSE)</f>
        <v>#N/A</v>
      </c>
      <c r="AR725" s="50" t="e">
        <f>VLOOKUP(Tableau119[[#This Row],[Key(POD -PFI- Usine)]],'DATA Consignee'!A:N,14,FALSE)</f>
        <v>#N/A</v>
      </c>
      <c r="AS72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5" s="50">
        <f>Tableau119[[#This Row],[Transit time]]+Tableau119[[#This Row],[Time for security]]+Tableau119[[#This Row],[Time for security2 buffer]]</f>
        <v>0</v>
      </c>
      <c r="AV72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5" s="50" t="e">
        <f>Tableau119[[#This Row],[Leadtime SI2C]]+Tableau119[[#This Row],[First Receipt Days]]-Tableau119[[#This Row],[Day Customer Order]]+1</f>
        <v>#N/A</v>
      </c>
      <c r="AX725" s="119" t="e">
        <f>IF(Tableau119[[#This Row],[Name ILN]]&lt;&gt;"SFK Freight Forwarder",Tableau119[[#This Row],[Cust. Leadtime]],Tableau119[[#This Row],[Leadtime SI2C]])</f>
        <v>#N/A</v>
      </c>
      <c r="AY725" s="51" t="b">
        <f>_xlfn.XLOOKUP(Tableau119[[#This Row],[Key(ID-date)]],'DATA BTO'!S:S,'DATA BTO'!P:P,FALSE)</f>
        <v>0</v>
      </c>
      <c r="AZ725" s="338">
        <v>45747</v>
      </c>
      <c r="BA725" s="50"/>
    </row>
    <row r="726" spans="2:53">
      <c r="B726" s="66" t="str">
        <f>_xlfn.CONCAT(Tableau119[[#This Row],[Name ILN]],"-",Tableau119[[#This Row],[Name Shipper]],"-",Tableau119[[#This Row],[Name Site]])</f>
        <v>ILN Tanger-ILN Tanger-Curitiba CVP</v>
      </c>
      <c r="C726" s="66" t="str">
        <f>_xlfn.CONCAT(Tableau119[[#This Row],[Compte ILN]],"-",Tableau119[[#This Row],[Compte Shipper]],"-",Tableau119[[#This Row],[POL]],"-",Tableau119[[#This Row],[Compte Consignee]])</f>
        <v>92050300-92050300-FALSO-90018000</v>
      </c>
      <c r="D726" s="66" t="str">
        <f>_xlfn.CONCAT(Tableau119[[#This Row],[Compte ILN]],"-",Tableau119[[#This Row],[Compte Shipper]],"-",Tableau119[[#This Row],[POL]])</f>
        <v>92050300-92050300-FALSO</v>
      </c>
      <c r="E726" s="130" t="str">
        <f>_xlfn.CONCAT(Tableau119[[#This Row],[POL]],"-",Tableau119[[#This Row],[Carrier]],"-",Tableau119[[#This Row],[POD]])</f>
        <v>FALSO-FALSO-FALSO</v>
      </c>
      <c r="F726" s="66" t="str">
        <f>_xlfn.CONCAT(Tableau119[[#This Row],[ID]],"-","Actif")</f>
        <v>617-Actif</v>
      </c>
      <c r="G726" s="66" t="str">
        <f>_xlfn.CONCAT(Tableau119[[#This Row],[POD]],"-",Tableau119[[#This Row],[Code PFI]],"-",Tableau119[[#This Row],[Compte Consignee]])</f>
        <v>FALSO---90018000</v>
      </c>
      <c r="H7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CVP</v>
      </c>
      <c r="I726" s="434" t="str">
        <f>_xlfn.CONCAT(Tableau119[[#This Row],[ID]],"-",Tableau119[[#This Row],[Expiration Date]])</f>
        <v>617-46142</v>
      </c>
      <c r="J7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Tanger-ILN Tanger-617-FALSO-FALSO-FALSO--46142</v>
      </c>
      <c r="K726" s="119" t="str">
        <f ca="1">IF(COUNTIF(J:J,Tableau119[[#This Row],[Plant-ILN-shipper-POL-Carrier-POD-PFI]])=1,"Non","Oui")</f>
        <v>Non</v>
      </c>
      <c r="L726" s="436" t="str">
        <f>VLOOKUP(Tableau119[[#This Row],[Name Site]],Plant_AILN!A:D,4,FALSE)</f>
        <v>BRAZIL</v>
      </c>
      <c r="M726" s="285" t="s">
        <v>152</v>
      </c>
      <c r="N726" s="454">
        <f>VLOOKUP(Tableau119[[#This Row],[Name Site]],Plant_AILN!A:C,3,FALSE)</f>
        <v>90018000</v>
      </c>
      <c r="O726" s="55">
        <f>IF(Tableau119[[#This Row],[Name PFI/CDD]]="PFI VLL",2,VLOOKUP(Tableau119[[#This Row],[Compte Consignee]],Order!C:D,2,FALSE))</f>
        <v>7</v>
      </c>
      <c r="P726" s="124" t="s">
        <v>161</v>
      </c>
      <c r="Q726" s="365">
        <f>VLOOKUP(Tableau119[[#This Row],[Name ILN]],Plant_AILN!F:G,2,FALSE)</f>
        <v>92050300</v>
      </c>
      <c r="R726" s="50">
        <f>VLOOKUP(Tableau119[[#This Row],[Compte ILN]],'DATA ILN'!D:I,6,FALSE)</f>
        <v>9</v>
      </c>
      <c r="S726" s="50" t="e">
        <f>IFERROR(VLOOKUP(Tableau119[[#This Row],[Key(Compte ILN - shipper - POL - plant)]],'DATA ILN'!A:J,10,FALSE),VLOOKUP(Tableau119[[#This Row],[Key(Compte ILN - shipper - POL)]],'DATA ILN'!B:J,9,FALSE))</f>
        <v>#N/A</v>
      </c>
      <c r="T726" s="50" t="e">
        <f>IFERROR(VLOOKUP(Tableau119[[#This Row],[Key(Compte ILN - shipper - POL - plant)]],'DATA ILN'!A:K,11,FALSE),VLOOKUP(Tableau119[[#This Row],[Key(Compte ILN - shipper - POL)]],'DATA ILN'!B:K,10,FALSE))</f>
        <v>#N/A</v>
      </c>
      <c r="U726" s="50" t="e">
        <f>IFERROR(VLOOKUP(Tableau119[[#This Row],[Key(Compte ILN - shipper - POL - plant)]],'DATA ILN'!A:L,12,FALSE),VLOOKUP(Tableau119[[#This Row],[Key(Compte ILN - shipper - POL)]],'DATA ILN'!B:L,11,FALSE))</f>
        <v>#N/A</v>
      </c>
      <c r="V726" s="50" t="e">
        <f>Tableau119[[#This Row],[Day ILN Order]]+Tableau119[[#This Row],[Delivery time to ILN/Shipper]]-1</f>
        <v>#N/A</v>
      </c>
      <c r="W726" s="50" t="e">
        <f>IFERROR(VLOOKUP(Tableau119[[#This Row],[Key(Compte ILN - shipper - POL - plant)]],'DATA ILN'!A:N,14,FALSE),VLOOKUP(Tableau119[[#This Row],[Key(Compte ILN - shipper - POL)]],'DATA ILN'!B:N,13,FALSE))</f>
        <v>#N/A</v>
      </c>
      <c r="X726" s="50" t="e">
        <f>IFERROR(VLOOKUP(Tableau119[[#This Row],[Key(Compte ILN - shipper - POL - plant)]],'DATA ILN'!A:P,16,FALSE),VLOOKUP(Tableau119[[#This Row],[Key(Compte ILN - shipper - POL)]],'DATA ILN'!B:P,15,FALSE))</f>
        <v>#N/A</v>
      </c>
      <c r="Y726" s="284" t="s">
        <v>161</v>
      </c>
      <c r="Z726" s="430">
        <f>IFERROR(VLOOKUP(Tableau119[[#This Row],[Name Shipper]],Plant_AILN!L:M,2,FALSE),0)</f>
        <v>92050300</v>
      </c>
      <c r="AA726" s="406">
        <v>617</v>
      </c>
      <c r="AB726" s="396" t="b">
        <f>_xlfn.XLOOKUP(Tableau119[[#This Row],[Key(ID-date)]],'DATA BTO'!S:S,'DATA BTO'!E:E,FALSE)</f>
        <v>0</v>
      </c>
      <c r="AC726" s="3" t="b">
        <f>_xlfn.XLOOKUP(Tableau119[[#This Row],[Key(ID-date)]],'DATA BTO'!S:S,'DATA BTO'!F:F,FALSE)</f>
        <v>0</v>
      </c>
      <c r="AD726" s="50" t="b">
        <f>_xlfn.XLOOKUP(Tableau119[[#This Row],[Key(ID-date)]],'DATA BTO'!S:S,'DATA BTO'!G:G,FALSE)</f>
        <v>0</v>
      </c>
      <c r="AE726" s="50" t="b">
        <f>_xlfn.XLOOKUP(Tableau119[[#This Row],[Key(ID-date)]],'DATA BTO'!S:S,'DATA BTO'!H:H,FALSE)</f>
        <v>0</v>
      </c>
      <c r="AF726" s="447" t="e">
        <f>IF(Tableau119[[#This Row],[First Day to POL]]&lt;=Tableau119[[#This Row],[Day Cut Off]],Tableau119[[#This Row],[Day ETD]],Tableau119[[#This Row],[Day ETD]]+7)</f>
        <v>#N/A</v>
      </c>
      <c r="AG726" s="50" t="b">
        <f>_xlfn.XLOOKUP(Tableau119[[#This Row],[Key(ID-date)]],'DATA BTO'!S:S,'DATA BTO'!I:I,FALSE)</f>
        <v>0</v>
      </c>
      <c r="AH726" s="3" t="b">
        <f>_xlfn.XLOOKUP(Tableau119[[#This Row],[Key(ID-date)]],'DATA BTO'!S:S,'DATA BTO'!J:J,FALSE)</f>
        <v>0</v>
      </c>
      <c r="AI726" s="3" t="b">
        <f>_xlfn.XLOOKUP(Tableau119[[#This Row],[Key(ID-date)]],'DATA BTO'!S:S,'DATA BTO'!K:K,FALSE)</f>
        <v>0</v>
      </c>
      <c r="AJ726" s="50" t="b">
        <f>_xlfn.XLOOKUP(Tableau119[[#This Row],[Key(ID-date)]],'DATA BTO'!S:S,'DATA BTO'!L:L,FALSE)</f>
        <v>0</v>
      </c>
      <c r="AK726" s="53" t="b">
        <f>_xlfn.XLOOKUP(Tableau119[[#This Row],[Key(ID-date)]],'DATA BTO'!S:S,'DATA BTO'!N:N,FALSE)</f>
        <v>0</v>
      </c>
      <c r="AL726" s="54" t="e">
        <f>VLOOKUP(Tableau119[[#This Row],[Key(POD -PFI- Usine)]],'DATA Consignee'!A:F,6,FALSE)</f>
        <v>#N/A</v>
      </c>
      <c r="AM726" s="284"/>
      <c r="AN726" s="376" t="str">
        <f>IF(Tableau119[[#This Row],[Name PFI/CDD]]="","-",VLOOKUP(Tableau119[[#This Row],[Name PFI/CDD]],Plant_AILN!I:J,2,FALSE))</f>
        <v>-</v>
      </c>
      <c r="AO7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6" s="2" t="e">
        <f>VLOOKUP(Tableau119[[#This Row],[Key(POD -PFI- Usine)]],'DATA Consignee'!A:J,10,FALSE)</f>
        <v>#N/A</v>
      </c>
      <c r="AR726" s="50" t="e">
        <f>VLOOKUP(Tableau119[[#This Row],[Key(POD -PFI- Usine)]],'DATA Consignee'!A:N,14,FALSE)</f>
        <v>#N/A</v>
      </c>
      <c r="AS72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6" s="50">
        <f>Tableau119[[#This Row],[Transit time]]+Tableau119[[#This Row],[Time for security]]+Tableau119[[#This Row],[Time for security2 buffer]]</f>
        <v>0</v>
      </c>
      <c r="AV7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6" s="50" t="e">
        <f>Tableau119[[#This Row],[Leadtime SI2C]]+Tableau119[[#This Row],[First Receipt Days]]-Tableau119[[#This Row],[Day Customer Order]]+1</f>
        <v>#N/A</v>
      </c>
      <c r="AX726" s="119" t="e">
        <f>IF(Tableau119[[#This Row],[Name ILN]]&lt;&gt;"SFK Freight Forwarder",Tableau119[[#This Row],[Cust. Leadtime]],Tableau119[[#This Row],[Leadtime SI2C]])</f>
        <v>#N/A</v>
      </c>
      <c r="AY726" s="51" t="b">
        <f>_xlfn.XLOOKUP(Tableau119[[#This Row],[Key(ID-date)]],'DATA BTO'!S:S,'DATA BTO'!P:P,FALSE)</f>
        <v>0</v>
      </c>
      <c r="AZ726" s="338">
        <v>46142</v>
      </c>
      <c r="BA726" s="50"/>
    </row>
    <row r="727" spans="2:53">
      <c r="B727" s="66" t="str">
        <f>_xlfn.CONCAT(Tableau119[[#This Row],[Name ILN]],"-",Tableau119[[#This Row],[Name Shipper]],"-",Tableau119[[#This Row],[Name Site]])</f>
        <v>ILN Tanger-ILN Tanger-Curitiba CVU</v>
      </c>
      <c r="C727" s="66" t="str">
        <f>_xlfn.CONCAT(Tableau119[[#This Row],[Compte ILN]],"-",Tableau119[[#This Row],[Compte Shipper]],"-",Tableau119[[#This Row],[POL]],"-",Tableau119[[#This Row],[Compte Consignee]])</f>
        <v>92050300-92050300-FALSO-90018500</v>
      </c>
      <c r="D727" s="66" t="str">
        <f>_xlfn.CONCAT(Tableau119[[#This Row],[Compte ILN]],"-",Tableau119[[#This Row],[Compte Shipper]],"-",Tableau119[[#This Row],[POL]])</f>
        <v>92050300-92050300-FALSO</v>
      </c>
      <c r="E727" s="130" t="str">
        <f>_xlfn.CONCAT(Tableau119[[#This Row],[POL]],"-",Tableau119[[#This Row],[Carrier]],"-",Tableau119[[#This Row],[POD]])</f>
        <v>FALSO-FALSO-FALSO</v>
      </c>
      <c r="F727" s="66" t="str">
        <f>_xlfn.CONCAT(Tableau119[[#This Row],[ID]],"-","Actif")</f>
        <v>617-Actif</v>
      </c>
      <c r="G727" s="66" t="str">
        <f>_xlfn.CONCAT(Tableau119[[#This Row],[POD]],"-",Tableau119[[#This Row],[Code PFI]],"-",Tableau119[[#This Row],[Compte Consignee]])</f>
        <v>FALSO---90018500</v>
      </c>
      <c r="H7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CVU</v>
      </c>
      <c r="I727" s="434" t="str">
        <f>_xlfn.CONCAT(Tableau119[[#This Row],[ID]],"-",Tableau119[[#This Row],[Expiration Date]])</f>
        <v>617-46142</v>
      </c>
      <c r="J7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Tanger-ILN Tanger-617-FALSO-FALSO-FALSO--46142</v>
      </c>
      <c r="K727" s="119" t="str">
        <f ca="1">IF(COUNTIF(J:J,Tableau119[[#This Row],[Plant-ILN-shipper-POL-Carrier-POD-PFI]])=1,"Non","Oui")</f>
        <v>Non</v>
      </c>
      <c r="L727" s="440" t="str">
        <f>VLOOKUP(Tableau119[[#This Row],[Name Site]],Plant_AILN!A:D,4,FALSE)</f>
        <v>BRAZIL</v>
      </c>
      <c r="M727" s="483" t="s">
        <v>639</v>
      </c>
      <c r="N727" s="455">
        <f>VLOOKUP(Tableau119[[#This Row],[Name Site]],Plant_AILN!A:C,3,FALSE)</f>
        <v>90018500</v>
      </c>
      <c r="O727" s="104">
        <f>IF(Tableau119[[#This Row],[Name PFI/CDD]]="PFI VLL",2,VLOOKUP(Tableau119[[#This Row],[Compte Consignee]],Order!C:D,2,FALSE))</f>
        <v>7</v>
      </c>
      <c r="P727" s="126" t="s">
        <v>161</v>
      </c>
      <c r="Q727" s="366">
        <f>VLOOKUP(Tableau119[[#This Row],[Name ILN]],Plant_AILN!F:G,2,FALSE)</f>
        <v>92050300</v>
      </c>
      <c r="R727" s="81">
        <f>VLOOKUP(Tableau119[[#This Row],[Compte ILN]],'DATA ILN'!D:I,6,FALSE)</f>
        <v>9</v>
      </c>
      <c r="S727" s="81" t="e">
        <f>IFERROR(VLOOKUP(Tableau119[[#This Row],[Key(Compte ILN - shipper - POL - plant)]],'DATA ILN'!A:J,10,FALSE),VLOOKUP(Tableau119[[#This Row],[Key(Compte ILN - shipper - POL)]],'DATA ILN'!B:J,9,FALSE))</f>
        <v>#N/A</v>
      </c>
      <c r="T727" s="81" t="e">
        <f>IFERROR(VLOOKUP(Tableau119[[#This Row],[Key(Compte ILN - shipper - POL - plant)]],'DATA ILN'!A:K,11,FALSE),VLOOKUP(Tableau119[[#This Row],[Key(Compte ILN - shipper - POL)]],'DATA ILN'!B:K,10,FALSE))</f>
        <v>#N/A</v>
      </c>
      <c r="U727" s="81" t="e">
        <f>IFERROR(VLOOKUP(Tableau119[[#This Row],[Key(Compte ILN - shipper - POL - plant)]],'DATA ILN'!A:L,12,FALSE),VLOOKUP(Tableau119[[#This Row],[Key(Compte ILN - shipper - POL)]],'DATA ILN'!B:L,11,FALSE))</f>
        <v>#N/A</v>
      </c>
      <c r="V727" s="81" t="e">
        <f>Tableau119[[#This Row],[Day ILN Order]]+Tableau119[[#This Row],[Delivery time to ILN/Shipper]]-1</f>
        <v>#N/A</v>
      </c>
      <c r="W727" s="81" t="e">
        <f>IFERROR(VLOOKUP(Tableau119[[#This Row],[Key(Compte ILN - shipper - POL - plant)]],'DATA ILN'!A:N,14,FALSE),VLOOKUP(Tableau119[[#This Row],[Key(Compte ILN - shipper - POL)]],'DATA ILN'!B:N,13,FALSE))</f>
        <v>#N/A</v>
      </c>
      <c r="X727" s="81" t="e">
        <f>IFERROR(VLOOKUP(Tableau119[[#This Row],[Key(Compte ILN - shipper - POL - plant)]],'DATA ILN'!A:P,16,FALSE),VLOOKUP(Tableau119[[#This Row],[Key(Compte ILN - shipper - POL)]],'DATA ILN'!B:P,15,FALSE))</f>
        <v>#N/A</v>
      </c>
      <c r="Y727" s="102" t="s">
        <v>161</v>
      </c>
      <c r="Z727" s="417">
        <f>IFERROR(VLOOKUP(Tableau119[[#This Row],[Name Shipper]],Plant_AILN!L:M,2,FALSE),0)</f>
        <v>92050300</v>
      </c>
      <c r="AA727" s="416">
        <v>617</v>
      </c>
      <c r="AB727" s="396" t="b">
        <f>_xlfn.XLOOKUP(Tableau119[[#This Row],[Key(ID-date)]],'DATA BTO'!S:S,'DATA BTO'!E:E,FALSE)</f>
        <v>0</v>
      </c>
      <c r="AC727" s="3" t="b">
        <f>_xlfn.XLOOKUP(Tableau119[[#This Row],[Key(ID-date)]],'DATA BTO'!S:S,'DATA BTO'!F:F,FALSE)</f>
        <v>0</v>
      </c>
      <c r="AD727" s="50" t="b">
        <f>_xlfn.XLOOKUP(Tableau119[[#This Row],[Key(ID-date)]],'DATA BTO'!S:S,'DATA BTO'!G:G,FALSE)</f>
        <v>0</v>
      </c>
      <c r="AE727" s="50" t="b">
        <f>_xlfn.XLOOKUP(Tableau119[[#This Row],[Key(ID-date)]],'DATA BTO'!S:S,'DATA BTO'!H:H,FALSE)</f>
        <v>0</v>
      </c>
      <c r="AF727" s="447" t="e">
        <f>IF(Tableau119[[#This Row],[First Day to POL]]&lt;=Tableau119[[#This Row],[Day Cut Off]],Tableau119[[#This Row],[Day ETD]],Tableau119[[#This Row],[Day ETD]]+7)</f>
        <v>#N/A</v>
      </c>
      <c r="AG727" s="50" t="b">
        <f>_xlfn.XLOOKUP(Tableau119[[#This Row],[Key(ID-date)]],'DATA BTO'!S:S,'DATA BTO'!I:I,FALSE)</f>
        <v>0</v>
      </c>
      <c r="AH727" s="3" t="b">
        <f>_xlfn.XLOOKUP(Tableau119[[#This Row],[Key(ID-date)]],'DATA BTO'!S:S,'DATA BTO'!J:J,FALSE)</f>
        <v>0</v>
      </c>
      <c r="AI727" s="3" t="b">
        <f>_xlfn.XLOOKUP(Tableau119[[#This Row],[Key(ID-date)]],'DATA BTO'!S:S,'DATA BTO'!K:K,FALSE)</f>
        <v>0</v>
      </c>
      <c r="AJ727" s="50" t="b">
        <f>_xlfn.XLOOKUP(Tableau119[[#This Row],[Key(ID-date)]],'DATA BTO'!S:S,'DATA BTO'!L:L,FALSE)</f>
        <v>0</v>
      </c>
      <c r="AK727" s="53" t="b">
        <f>_xlfn.XLOOKUP(Tableau119[[#This Row],[Key(ID-date)]],'DATA BTO'!S:S,'DATA BTO'!N:N,FALSE)</f>
        <v>0</v>
      </c>
      <c r="AL727" s="54" t="e">
        <f>VLOOKUP(Tableau119[[#This Row],[Key(POD -PFI- Usine)]],'DATA Consignee'!A:F,6,FALSE)</f>
        <v>#N/A</v>
      </c>
      <c r="AM727" s="102"/>
      <c r="AN727" s="375" t="str">
        <f>IF(Tableau119[[#This Row],[Name PFI/CDD]]="","-",VLOOKUP(Tableau119[[#This Row],[Name PFI/CDD]],Plant_AILN!I:J,2,FALSE))</f>
        <v>-</v>
      </c>
      <c r="AO72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7" s="110" t="e">
        <f>VLOOKUP(Tableau119[[#This Row],[Key(POD -PFI- Usine)]],'DATA Consignee'!A:J,10,FALSE)</f>
        <v>#N/A</v>
      </c>
      <c r="AR727" s="81" t="e">
        <f>VLOOKUP(Tableau119[[#This Row],[Key(POD -PFI- Usine)]],'DATA Consignee'!A:N,14,FALSE)</f>
        <v>#N/A</v>
      </c>
      <c r="AS72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7" s="81">
        <f>Tableau119[[#This Row],[Transit time]]+Tableau119[[#This Row],[Time for security]]+Tableau119[[#This Row],[Time for security2 buffer]]</f>
        <v>0</v>
      </c>
      <c r="AV72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7" s="50" t="e">
        <f>Tableau119[[#This Row],[Leadtime SI2C]]+Tableau119[[#This Row],[First Receipt Days]]-Tableau119[[#This Row],[Day Customer Order]]+1</f>
        <v>#N/A</v>
      </c>
      <c r="AX727" s="119" t="e">
        <f>IF(Tableau119[[#This Row],[Name ILN]]&lt;&gt;"SFK Freight Forwarder",Tableau119[[#This Row],[Cust. Leadtime]],Tableau119[[#This Row],[Leadtime SI2C]])</f>
        <v>#N/A</v>
      </c>
      <c r="AY727" s="51" t="b">
        <f>_xlfn.XLOOKUP(Tableau119[[#This Row],[Key(ID-date)]],'DATA BTO'!S:S,'DATA BTO'!P:P,FALSE)</f>
        <v>0</v>
      </c>
      <c r="AZ727" s="388">
        <v>46142</v>
      </c>
      <c r="BA727" s="81"/>
    </row>
    <row r="728" spans="2:53">
      <c r="B728" s="446" t="str">
        <f>_xlfn.CONCAT(Tableau119[[#This Row],[Name ILN]],"-",Tableau119[[#This Row],[Name Shipper]],"-",Tableau119[[#This Row],[Name Site]])</f>
        <v>ILN Tanger-ILN Tanger-Curitiba CVP</v>
      </c>
      <c r="C728" s="66" t="str">
        <f>_xlfn.CONCAT(Tableau119[[#This Row],[Compte ILN]],"-",Tableau119[[#This Row],[Compte Shipper]],"-",Tableau119[[#This Row],[POL]],"-",Tableau119[[#This Row],[Compte Consignee]])</f>
        <v>92050300-92050300-FALSO-90018000</v>
      </c>
      <c r="D728" s="66" t="str">
        <f>_xlfn.CONCAT(Tableau119[[#This Row],[Compte ILN]],"-",Tableau119[[#This Row],[Compte Shipper]],"-",Tableau119[[#This Row],[POL]])</f>
        <v>92050300-92050300-FALSO</v>
      </c>
      <c r="E728" s="130" t="str">
        <f>_xlfn.CONCAT(Tableau119[[#This Row],[POL]],"-",Tableau119[[#This Row],[Carrier]],"-",Tableau119[[#This Row],[POD]])</f>
        <v>FALSO-FALSO-FALSO</v>
      </c>
      <c r="F728" s="66" t="str">
        <f>_xlfn.CONCAT(Tableau119[[#This Row],[ID]],"-","Actif")</f>
        <v>617-Actif</v>
      </c>
      <c r="G728" s="66" t="str">
        <f>_xlfn.CONCAT(Tableau119[[#This Row],[POD]],"-",Tableau119[[#This Row],[Code PFI]],"-",Tableau119[[#This Row],[Compte Consignee]])</f>
        <v>FALSO---90018000</v>
      </c>
      <c r="H7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CVP</v>
      </c>
      <c r="I728" s="434" t="str">
        <f>_xlfn.CONCAT(Tableau119[[#This Row],[ID]],"-",Tableau119[[#This Row],[Expiration Date]])</f>
        <v>617-45777</v>
      </c>
      <c r="J7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Tanger-ILN Tanger-617-FALSO-FALSO-FALSO--45777</v>
      </c>
      <c r="K728" s="119" t="str">
        <f ca="1">IF(COUNTIF(J:J,Tableau119[[#This Row],[Plant-ILN-shipper-POL-Carrier-POD-PFI]])=1,"Non","Oui")</f>
        <v>Non</v>
      </c>
      <c r="L728" s="128" t="str">
        <f>VLOOKUP(Tableau119[[#This Row],[Name Site]],Plant_AILN!A:D,4,FALSE)</f>
        <v>BRAZIL</v>
      </c>
      <c r="M728" s="411" t="s">
        <v>152</v>
      </c>
      <c r="N728" s="454">
        <f>VLOOKUP(Tableau119[[#This Row],[Name Site]],Plant_AILN!A:C,3,FALSE)</f>
        <v>90018000</v>
      </c>
      <c r="O728" s="55">
        <f>VLOOKUP(Tableau119[[#This Row],[Compte Consignee]],Order!C:D,2,FALSE)</f>
        <v>7</v>
      </c>
      <c r="P728" s="124" t="s">
        <v>161</v>
      </c>
      <c r="Q728" s="365">
        <f>VLOOKUP(Tableau119[[#This Row],[Name ILN]],Plant_AILN!F:G,2,FALSE)</f>
        <v>92050300</v>
      </c>
      <c r="R728" s="50">
        <f>VLOOKUP(Tableau119[[#This Row],[Compte ILN]],'DATA ILN'!D:I,6,FALSE)</f>
        <v>9</v>
      </c>
      <c r="S728" s="50" t="e">
        <f>IFERROR(VLOOKUP(Tableau119[[#This Row],[Key(Compte ILN - shipper - POL - plant)]],'DATA ILN'!A:J,10,FALSE),VLOOKUP(Tableau119[[#This Row],[Key(Compte ILN - shipper - POL)]],'DATA ILN'!B:J,9,FALSE))</f>
        <v>#N/A</v>
      </c>
      <c r="T728" s="50" t="e">
        <f>IFERROR(VLOOKUP(Tableau119[[#This Row],[Key(Compte ILN - shipper - POL - plant)]],'DATA ILN'!A:K,11,FALSE),VLOOKUP(Tableau119[[#This Row],[Key(Compte ILN - shipper - POL)]],'DATA ILN'!B:K,10,FALSE))</f>
        <v>#N/A</v>
      </c>
      <c r="U728" s="50" t="e">
        <f>IFERROR(VLOOKUP(Tableau119[[#This Row],[Key(Compte ILN - shipper - POL - plant)]],'DATA ILN'!A:L,12,FALSE),VLOOKUP(Tableau119[[#This Row],[Key(Compte ILN - shipper - POL)]],'DATA ILN'!B:L,11,FALSE))</f>
        <v>#N/A</v>
      </c>
      <c r="V728" s="50" t="e">
        <f>Tableau119[[#This Row],[Day ILN Order]]+Tableau119[[#This Row],[Delivery time to ILN/Shipper]]-1</f>
        <v>#N/A</v>
      </c>
      <c r="W728" s="50" t="e">
        <f>IFERROR(VLOOKUP(Tableau119[[#This Row],[Key(Compte ILN - shipper - POL - plant)]],'DATA ILN'!A:N,14,FALSE),VLOOKUP(Tableau119[[#This Row],[Key(Compte ILN - shipper - POL)]],'DATA ILN'!B:N,13,FALSE))</f>
        <v>#N/A</v>
      </c>
      <c r="X728" s="50" t="e">
        <f>IFERROR(VLOOKUP(Tableau119[[#This Row],[Key(Compte ILN - shipper - POL - plant)]],'DATA ILN'!A:P,16,FALSE),VLOOKUP(Tableau119[[#This Row],[Key(Compte ILN - shipper - POL)]],'DATA ILN'!B:P,15,FALSE))</f>
        <v>#N/A</v>
      </c>
      <c r="Y728" s="284" t="s">
        <v>161</v>
      </c>
      <c r="Z728" s="430">
        <f>IFERROR(VLOOKUP(Tableau119[[#This Row],[Name Shipper]],Plant_AILN!L:M,2,FALSE),0)</f>
        <v>92050300</v>
      </c>
      <c r="AA728" s="406">
        <v>617</v>
      </c>
      <c r="AB728" s="396" t="b">
        <f>_xlfn.XLOOKUP(Tableau119[[#This Row],[Key(ID-date)]],'DATA BTO'!S:S,'DATA BTO'!E:E,FALSE)</f>
        <v>0</v>
      </c>
      <c r="AC728" s="3" t="b">
        <f>_xlfn.XLOOKUP(Tableau119[[#This Row],[Key(ID-date)]],'DATA BTO'!S:S,'DATA BTO'!F:F,FALSE)</f>
        <v>0</v>
      </c>
      <c r="AD728" s="50" t="b">
        <f>_xlfn.XLOOKUP(Tableau119[[#This Row],[Key(ID-date)]],'DATA BTO'!S:S,'DATA BTO'!G:G,FALSE)</f>
        <v>0</v>
      </c>
      <c r="AE728" s="50" t="b">
        <f>_xlfn.XLOOKUP(Tableau119[[#This Row],[Key(ID-date)]],'DATA BTO'!S:S,'DATA BTO'!H:H,FALSE)</f>
        <v>0</v>
      </c>
      <c r="AF728" s="447" t="e">
        <f>IF(Tableau119[[#This Row],[First Day to POL]]&lt;=Tableau119[[#This Row],[Day Cut Off]],Tableau119[[#This Row],[Day ETD]],Tableau119[[#This Row],[Day ETD]]+7)</f>
        <v>#N/A</v>
      </c>
      <c r="AG728" s="50" t="b">
        <f>_xlfn.XLOOKUP(Tableau119[[#This Row],[Key(ID-date)]],'DATA BTO'!S:S,'DATA BTO'!I:I,FALSE)</f>
        <v>0</v>
      </c>
      <c r="AH728" s="3" t="b">
        <f>_xlfn.XLOOKUP(Tableau119[[#This Row],[Key(ID-date)]],'DATA BTO'!S:S,'DATA BTO'!J:J,FALSE)</f>
        <v>0</v>
      </c>
      <c r="AI728" s="3" t="b">
        <f>_xlfn.XLOOKUP(Tableau119[[#This Row],[Key(ID-date)]],'DATA BTO'!S:S,'DATA BTO'!K:K,FALSE)</f>
        <v>0</v>
      </c>
      <c r="AJ728" s="50" t="b">
        <f>_xlfn.XLOOKUP(Tableau119[[#This Row],[Key(ID-date)]],'DATA BTO'!S:S,'DATA BTO'!L:L,FALSE)</f>
        <v>0</v>
      </c>
      <c r="AK728" s="53" t="b">
        <f>_xlfn.XLOOKUP(Tableau119[[#This Row],[Key(ID-date)]],'DATA BTO'!S:S,'DATA BTO'!N:N,FALSE)</f>
        <v>0</v>
      </c>
      <c r="AL728" s="54" t="e">
        <f>VLOOKUP(Tableau119[[#This Row],[Key(POD -PFI- Usine)]],'DATA Consignee'!A:F,6,FALSE)</f>
        <v>#N/A</v>
      </c>
      <c r="AM728" s="284"/>
      <c r="AN728" s="376" t="str">
        <f>IF(Tableau119[[#This Row],[Name PFI/CDD]]="","-",VLOOKUP(Tableau119[[#This Row],[Name PFI/CDD]],Plant_AILN!I:J,2,FALSE))</f>
        <v>-</v>
      </c>
      <c r="AO7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8" s="2" t="e">
        <f>VLOOKUP(Tableau119[[#This Row],[Key(POD -PFI- Usine)]],'DATA Consignee'!A:J,10,FALSE)</f>
        <v>#N/A</v>
      </c>
      <c r="AR728" s="50" t="e">
        <f>VLOOKUP(Tableau119[[#This Row],[Key(POD -PFI- Usine)]],'DATA Consignee'!A:N,14,FALSE)</f>
        <v>#N/A</v>
      </c>
      <c r="AS72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8" s="50">
        <f>Tableau119[[#This Row],[Transit time]]+Tableau119[[#This Row],[Time for security]]+Tableau119[[#This Row],[Time for security2 buffer]]</f>
        <v>0</v>
      </c>
      <c r="AV72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8" s="50" t="e">
        <f>Tableau119[[#This Row],[Leadtime SI2C]]+Tableau119[[#This Row],[First Receipt Days]]-Tableau119[[#This Row],[Day Customer Order]]+1</f>
        <v>#N/A</v>
      </c>
      <c r="AX728" s="119" t="e">
        <f>IF(Tableau119[[#This Row],[Name ILN]]&lt;&gt;"SFK Freight Forwarder",Tableau119[[#This Row],[Cust. Leadtime]],Tableau119[[#This Row],[Leadtime SI2C]])</f>
        <v>#N/A</v>
      </c>
      <c r="AY728" s="51" t="b">
        <f>_xlfn.XLOOKUP(Tableau119[[#This Row],[Key(ID-date)]],'DATA BTO'!S:S,'DATA BTO'!P:P,FALSE)</f>
        <v>0</v>
      </c>
      <c r="AZ728" s="338">
        <v>45777</v>
      </c>
      <c r="BA728" s="50"/>
    </row>
    <row r="729" spans="2:53">
      <c r="B729" s="446" t="str">
        <f>_xlfn.CONCAT(Tableau119[[#This Row],[Name ILN]],"-",Tableau119[[#This Row],[Name Shipper]],"-",Tableau119[[#This Row],[Name Site]])</f>
        <v>ILN Tanger-ILN Tanger-Curitiba CVU</v>
      </c>
      <c r="C729" s="66" t="str">
        <f>_xlfn.CONCAT(Tableau119[[#This Row],[Compte ILN]],"-",Tableau119[[#This Row],[Compte Shipper]],"-",Tableau119[[#This Row],[POL]],"-",Tableau119[[#This Row],[Compte Consignee]])</f>
        <v>92050300-92050300-FALSO-90018500</v>
      </c>
      <c r="D729" s="66" t="str">
        <f>_xlfn.CONCAT(Tableau119[[#This Row],[Compte ILN]],"-",Tableau119[[#This Row],[Compte Shipper]],"-",Tableau119[[#This Row],[POL]])</f>
        <v>92050300-92050300-FALSO</v>
      </c>
      <c r="E729" s="130" t="str">
        <f>_xlfn.CONCAT(Tableau119[[#This Row],[POL]],"-",Tableau119[[#This Row],[Carrier]],"-",Tableau119[[#This Row],[POD]])</f>
        <v>FALSO-FALSO-FALSO</v>
      </c>
      <c r="F729" s="66" t="str">
        <f>_xlfn.CONCAT(Tableau119[[#This Row],[ID]],"-","Actif")</f>
        <v>617-Actif</v>
      </c>
      <c r="G729" s="66" t="str">
        <f>_xlfn.CONCAT(Tableau119[[#This Row],[POD]],"-",Tableau119[[#This Row],[Code PFI]],"-",Tableau119[[#This Row],[Compte Consignee]])</f>
        <v>FALSO---90018500</v>
      </c>
      <c r="H7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CVU</v>
      </c>
      <c r="I729" s="434" t="str">
        <f>_xlfn.CONCAT(Tableau119[[#This Row],[ID]],"-",Tableau119[[#This Row],[Expiration Date]])</f>
        <v>617-45777</v>
      </c>
      <c r="J7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Tanger-ILN Tanger-617-FALSO-FALSO-FALSO--45777</v>
      </c>
      <c r="K729" s="119" t="str">
        <f ca="1">IF(COUNTIF(J:J,Tableau119[[#This Row],[Plant-ILN-shipper-POL-Carrier-POD-PFI]])=1,"Non","Oui")</f>
        <v>Non</v>
      </c>
      <c r="L729" s="128" t="str">
        <f>VLOOKUP(Tableau119[[#This Row],[Name Site]],Plant_AILN!A:D,4,FALSE)</f>
        <v>BRAZIL</v>
      </c>
      <c r="M729" s="415" t="s">
        <v>639</v>
      </c>
      <c r="N729" s="455">
        <f>VLOOKUP(Tableau119[[#This Row],[Name Site]],Plant_AILN!A:C,3,FALSE)</f>
        <v>90018500</v>
      </c>
      <c r="O729" s="104">
        <f>VLOOKUP(Tableau119[[#This Row],[Compte Consignee]],Order!C:D,2,FALSE)</f>
        <v>7</v>
      </c>
      <c r="P729" s="126" t="s">
        <v>161</v>
      </c>
      <c r="Q729" s="366">
        <f>VLOOKUP(Tableau119[[#This Row],[Name ILN]],Plant_AILN!F:G,2,FALSE)</f>
        <v>92050300</v>
      </c>
      <c r="R729" s="81">
        <f>VLOOKUP(Tableau119[[#This Row],[Compte ILN]],'DATA ILN'!D:I,6,FALSE)</f>
        <v>9</v>
      </c>
      <c r="S729" s="81" t="e">
        <f>IFERROR(VLOOKUP(Tableau119[[#This Row],[Key(Compte ILN - shipper - POL - plant)]],'DATA ILN'!A:J,10,FALSE),VLOOKUP(Tableau119[[#This Row],[Key(Compte ILN - shipper - POL)]],'DATA ILN'!B:J,9,FALSE))</f>
        <v>#N/A</v>
      </c>
      <c r="T729" s="81" t="e">
        <f>IFERROR(VLOOKUP(Tableau119[[#This Row],[Key(Compte ILN - shipper - POL - plant)]],'DATA ILN'!A:K,11,FALSE),VLOOKUP(Tableau119[[#This Row],[Key(Compte ILN - shipper - POL)]],'DATA ILN'!B:K,10,FALSE))</f>
        <v>#N/A</v>
      </c>
      <c r="U729" s="81" t="e">
        <f>IFERROR(VLOOKUP(Tableau119[[#This Row],[Key(Compte ILN - shipper - POL - plant)]],'DATA ILN'!A:L,12,FALSE),VLOOKUP(Tableau119[[#This Row],[Key(Compte ILN - shipper - POL)]],'DATA ILN'!B:L,11,FALSE))</f>
        <v>#N/A</v>
      </c>
      <c r="V729" s="81" t="e">
        <f>Tableau119[[#This Row],[Day ILN Order]]+Tableau119[[#This Row],[Delivery time to ILN/Shipper]]-1</f>
        <v>#N/A</v>
      </c>
      <c r="W729" s="81" t="e">
        <f>IFERROR(VLOOKUP(Tableau119[[#This Row],[Key(Compte ILN - shipper - POL - plant)]],'DATA ILN'!A:N,14,FALSE),VLOOKUP(Tableau119[[#This Row],[Key(Compte ILN - shipper - POL)]],'DATA ILN'!B:N,13,FALSE))</f>
        <v>#N/A</v>
      </c>
      <c r="X729" s="81" t="e">
        <f>IFERROR(VLOOKUP(Tableau119[[#This Row],[Key(Compte ILN - shipper - POL - plant)]],'DATA ILN'!A:P,16,FALSE),VLOOKUP(Tableau119[[#This Row],[Key(Compte ILN - shipper - POL)]],'DATA ILN'!B:P,15,FALSE))</f>
        <v>#N/A</v>
      </c>
      <c r="Y729" s="102" t="s">
        <v>161</v>
      </c>
      <c r="Z729" s="417">
        <f>IFERROR(VLOOKUP(Tableau119[[#This Row],[Name Shipper]],Plant_AILN!L:M,2,FALSE),0)</f>
        <v>92050300</v>
      </c>
      <c r="AA729" s="416">
        <v>617</v>
      </c>
      <c r="AB729" s="396" t="b">
        <f>_xlfn.XLOOKUP(Tableau119[[#This Row],[Key(ID-date)]],'DATA BTO'!S:S,'DATA BTO'!E:E,FALSE)</f>
        <v>0</v>
      </c>
      <c r="AC729" s="3" t="b">
        <f>_xlfn.XLOOKUP(Tableau119[[#This Row],[Key(ID-date)]],'DATA BTO'!S:S,'DATA BTO'!F:F,FALSE)</f>
        <v>0</v>
      </c>
      <c r="AD729" s="50" t="b">
        <f>_xlfn.XLOOKUP(Tableau119[[#This Row],[Key(ID-date)]],'DATA BTO'!S:S,'DATA BTO'!G:G,FALSE)</f>
        <v>0</v>
      </c>
      <c r="AE729" s="50" t="b">
        <f>_xlfn.XLOOKUP(Tableau119[[#This Row],[Key(ID-date)]],'DATA BTO'!S:S,'DATA BTO'!H:H,FALSE)</f>
        <v>0</v>
      </c>
      <c r="AF729" s="447" t="e">
        <f>IF(Tableau119[[#This Row],[First Day to POL]]&lt;=Tableau119[[#This Row],[Day Cut Off]],Tableau119[[#This Row],[Day ETD]],Tableau119[[#This Row],[Day ETD]]+7)</f>
        <v>#N/A</v>
      </c>
      <c r="AG729" s="50" t="b">
        <f>_xlfn.XLOOKUP(Tableau119[[#This Row],[Key(ID-date)]],'DATA BTO'!S:S,'DATA BTO'!I:I,FALSE)</f>
        <v>0</v>
      </c>
      <c r="AH729" s="3" t="b">
        <f>_xlfn.XLOOKUP(Tableau119[[#This Row],[Key(ID-date)]],'DATA BTO'!S:S,'DATA BTO'!J:J,FALSE)</f>
        <v>0</v>
      </c>
      <c r="AI729" s="3" t="b">
        <f>_xlfn.XLOOKUP(Tableau119[[#This Row],[Key(ID-date)]],'DATA BTO'!S:S,'DATA BTO'!K:K,FALSE)</f>
        <v>0</v>
      </c>
      <c r="AJ729" s="50" t="b">
        <f>_xlfn.XLOOKUP(Tableau119[[#This Row],[Key(ID-date)]],'DATA BTO'!S:S,'DATA BTO'!L:L,FALSE)</f>
        <v>0</v>
      </c>
      <c r="AK729" s="53" t="b">
        <f>_xlfn.XLOOKUP(Tableau119[[#This Row],[Key(ID-date)]],'DATA BTO'!S:S,'DATA BTO'!N:N,FALSE)</f>
        <v>0</v>
      </c>
      <c r="AL729" s="54" t="e">
        <f>VLOOKUP(Tableau119[[#This Row],[Key(POD -PFI- Usine)]],'DATA Consignee'!A:F,6,FALSE)</f>
        <v>#N/A</v>
      </c>
      <c r="AM729" s="102"/>
      <c r="AN729" s="375" t="str">
        <f>IF(Tableau119[[#This Row],[Name PFI/CDD]]="","-",VLOOKUP(Tableau119[[#This Row],[Name PFI/CDD]],Plant_AILN!I:J,2,FALSE))</f>
        <v>-</v>
      </c>
      <c r="AO72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2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29" s="110" t="e">
        <f>VLOOKUP(Tableau119[[#This Row],[Key(POD -PFI- Usine)]],'DATA Consignee'!A:J,10,FALSE)</f>
        <v>#N/A</v>
      </c>
      <c r="AR729" s="81" t="e">
        <f>VLOOKUP(Tableau119[[#This Row],[Key(POD -PFI- Usine)]],'DATA Consignee'!A:N,14,FALSE)</f>
        <v>#N/A</v>
      </c>
      <c r="AS72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2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29" s="81">
        <f>Tableau119[[#This Row],[Transit time]]+Tableau119[[#This Row],[Time for security]]+Tableau119[[#This Row],[Time for security2 buffer]]</f>
        <v>0</v>
      </c>
      <c r="AV7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29" s="50" t="e">
        <f>Tableau119[[#This Row],[Leadtime SI2C]]+Tableau119[[#This Row],[First Receipt Days]]-Tableau119[[#This Row],[Day Customer Order]]+1</f>
        <v>#N/A</v>
      </c>
      <c r="AX729" s="119" t="e">
        <f>IF(Tableau119[[#This Row],[Name ILN]]&lt;&gt;"SFK Freight Forwarder",Tableau119[[#This Row],[Cust. Leadtime]],Tableau119[[#This Row],[Leadtime SI2C]])</f>
        <v>#N/A</v>
      </c>
      <c r="AY729" s="51" t="b">
        <f>_xlfn.XLOOKUP(Tableau119[[#This Row],[Key(ID-date)]],'DATA BTO'!S:S,'DATA BTO'!P:P,FALSE)</f>
        <v>0</v>
      </c>
      <c r="AZ729" s="388">
        <v>45777</v>
      </c>
      <c r="BA729" s="81"/>
    </row>
    <row r="730" spans="2:53">
      <c r="B730" s="446" t="str">
        <f>_xlfn.CONCAT(Tableau119[[#This Row],[Name ILN]],"-",Tableau119[[#This Row],[Name Shipper]],"-",Tableau119[[#This Row],[Name Site]])</f>
        <v>ILN Tanger-ILN Tanger-Curitiba CVP</v>
      </c>
      <c r="C730" s="66" t="str">
        <f>_xlfn.CONCAT(Tableau119[[#This Row],[Compte ILN]],"-",Tableau119[[#This Row],[Compte Shipper]],"-",Tableau119[[#This Row],[POL]],"-",Tableau119[[#This Row],[Compte Consignee]])</f>
        <v>92050300-92050300-FALSO-90018000</v>
      </c>
      <c r="D730" s="66" t="str">
        <f>_xlfn.CONCAT(Tableau119[[#This Row],[Compte ILN]],"-",Tableau119[[#This Row],[Compte Shipper]],"-",Tableau119[[#This Row],[POL]])</f>
        <v>92050300-92050300-FALSO</v>
      </c>
      <c r="E730" s="130" t="str">
        <f>_xlfn.CONCAT(Tableau119[[#This Row],[POL]],"-",Tableau119[[#This Row],[Carrier]],"-",Tableau119[[#This Row],[POD]])</f>
        <v>FALSO-FALSO-FALSO</v>
      </c>
      <c r="F730" s="66" t="str">
        <f>_xlfn.CONCAT(Tableau119[[#This Row],[ID]],"-","Actif")</f>
        <v>617-Actif</v>
      </c>
      <c r="G730" s="66" t="str">
        <f>_xlfn.CONCAT(Tableau119[[#This Row],[POD]],"-",Tableau119[[#This Row],[Code PFI]],"-",Tableau119[[#This Row],[Compte Consignee]])</f>
        <v>FALSO---90018000</v>
      </c>
      <c r="H7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CVP</v>
      </c>
      <c r="I730" s="434" t="str">
        <f>_xlfn.CONCAT(Tableau119[[#This Row],[ID]],"-",Tableau119[[#This Row],[Expiration Date]])</f>
        <v>617-45473</v>
      </c>
      <c r="J7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Tanger-ILN Tanger-617-FALSO-FALSO-FALSO--45473</v>
      </c>
      <c r="K730" s="119" t="str">
        <f ca="1">IF(COUNTIF(J:J,Tableau119[[#This Row],[Plant-ILN-shipper-POL-Carrier-POD-PFI]])=1,"Non","Oui")</f>
        <v>Non</v>
      </c>
      <c r="L730" s="128" t="str">
        <f>VLOOKUP(Tableau119[[#This Row],[Name Site]],Plant_AILN!A:D,4,FALSE)</f>
        <v>BRAZIL</v>
      </c>
      <c r="M730" s="411" t="s">
        <v>152</v>
      </c>
      <c r="N730" s="454">
        <f>VLOOKUP(Tableau119[[#This Row],[Name Site]],Plant_AILN!A:C,3,FALSE)</f>
        <v>90018000</v>
      </c>
      <c r="O730" s="55">
        <f>VLOOKUP(Tableau119[[#This Row],[Compte Consignee]],Order!C:D,2,FALSE)</f>
        <v>7</v>
      </c>
      <c r="P730" s="124" t="s">
        <v>161</v>
      </c>
      <c r="Q730" s="365">
        <f>VLOOKUP(Tableau119[[#This Row],[Name ILN]],Plant_AILN!F:G,2,FALSE)</f>
        <v>92050300</v>
      </c>
      <c r="R730" s="50">
        <f>VLOOKUP(Tableau119[[#This Row],[Compte ILN]],'DATA ILN'!D:I,6,FALSE)</f>
        <v>9</v>
      </c>
      <c r="S730" s="50" t="e">
        <f>IFERROR(VLOOKUP(Tableau119[[#This Row],[Key(Compte ILN - shipper - POL - plant)]],'DATA ILN'!A:J,10,FALSE),VLOOKUP(Tableau119[[#This Row],[Key(Compte ILN - shipper - POL)]],'DATA ILN'!B:J,9,FALSE))</f>
        <v>#N/A</v>
      </c>
      <c r="T730" s="50" t="e">
        <f>IFERROR(VLOOKUP(Tableau119[[#This Row],[Key(Compte ILN - shipper - POL - plant)]],'DATA ILN'!A:K,11,FALSE),VLOOKUP(Tableau119[[#This Row],[Key(Compte ILN - shipper - POL)]],'DATA ILN'!B:K,10,FALSE))</f>
        <v>#N/A</v>
      </c>
      <c r="U730" s="50" t="e">
        <f>IFERROR(VLOOKUP(Tableau119[[#This Row],[Key(Compte ILN - shipper - POL - plant)]],'DATA ILN'!A:L,12,FALSE),VLOOKUP(Tableau119[[#This Row],[Key(Compte ILN - shipper - POL)]],'DATA ILN'!B:L,11,FALSE))</f>
        <v>#N/A</v>
      </c>
      <c r="V730" s="50" t="e">
        <f>Tableau119[[#This Row],[Day ILN Order]]+Tableau119[[#This Row],[Delivery time to ILN/Shipper]]-1</f>
        <v>#N/A</v>
      </c>
      <c r="W730" s="50" t="e">
        <f>IFERROR(VLOOKUP(Tableau119[[#This Row],[Key(Compte ILN - shipper - POL - plant)]],'DATA ILN'!A:N,14,FALSE),VLOOKUP(Tableau119[[#This Row],[Key(Compte ILN - shipper - POL)]],'DATA ILN'!B:N,13,FALSE))</f>
        <v>#N/A</v>
      </c>
      <c r="X730" s="50" t="e">
        <f>IFERROR(VLOOKUP(Tableau119[[#This Row],[Key(Compte ILN - shipper - POL - plant)]],'DATA ILN'!A:P,16,FALSE),VLOOKUP(Tableau119[[#This Row],[Key(Compte ILN - shipper - POL)]],'DATA ILN'!B:P,15,FALSE))</f>
        <v>#N/A</v>
      </c>
      <c r="Y730" s="284" t="s">
        <v>161</v>
      </c>
      <c r="Z730" s="430">
        <f>IFERROR(VLOOKUP(Tableau119[[#This Row],[Name Shipper]],Plant_AILN!L:M,2,FALSE),0)</f>
        <v>92050300</v>
      </c>
      <c r="AA730" s="406">
        <v>617</v>
      </c>
      <c r="AB730" s="396" t="b">
        <f>_xlfn.XLOOKUP(Tableau119[[#This Row],[Key(ID-date)]],'DATA BTO'!S:S,'DATA BTO'!E:E,FALSE)</f>
        <v>0</v>
      </c>
      <c r="AC730" s="3" t="b">
        <f>_xlfn.XLOOKUP(Tableau119[[#This Row],[Key(ID-date)]],'DATA BTO'!S:S,'DATA BTO'!F:F,FALSE)</f>
        <v>0</v>
      </c>
      <c r="AD730" s="50" t="b">
        <f>_xlfn.XLOOKUP(Tableau119[[#This Row],[Key(ID-date)]],'DATA BTO'!S:S,'DATA BTO'!G:G,FALSE)</f>
        <v>0</v>
      </c>
      <c r="AE730" s="50" t="b">
        <f>_xlfn.XLOOKUP(Tableau119[[#This Row],[Key(ID-date)]],'DATA BTO'!S:S,'DATA BTO'!H:H,FALSE)</f>
        <v>0</v>
      </c>
      <c r="AF730" s="447" t="e">
        <f>IF(Tableau119[[#This Row],[First Day to POL]]&lt;=Tableau119[[#This Row],[Day Cut Off]],Tableau119[[#This Row],[Day ETD]],Tableau119[[#This Row],[Day ETD]]+7)</f>
        <v>#N/A</v>
      </c>
      <c r="AG730" s="50" t="b">
        <f>_xlfn.XLOOKUP(Tableau119[[#This Row],[Key(ID-date)]],'DATA BTO'!S:S,'DATA BTO'!I:I,FALSE)</f>
        <v>0</v>
      </c>
      <c r="AH730" s="3" t="b">
        <f>_xlfn.XLOOKUP(Tableau119[[#This Row],[Key(ID-date)]],'DATA BTO'!S:S,'DATA BTO'!J:J,FALSE)</f>
        <v>0</v>
      </c>
      <c r="AI730" s="3" t="b">
        <f>_xlfn.XLOOKUP(Tableau119[[#This Row],[Key(ID-date)]],'DATA BTO'!S:S,'DATA BTO'!K:K,FALSE)</f>
        <v>0</v>
      </c>
      <c r="AJ730" s="50" t="b">
        <f>_xlfn.XLOOKUP(Tableau119[[#This Row],[Key(ID-date)]],'DATA BTO'!S:S,'DATA BTO'!L:L,FALSE)</f>
        <v>0</v>
      </c>
      <c r="AK730" s="53" t="b">
        <f>_xlfn.XLOOKUP(Tableau119[[#This Row],[Key(ID-date)]],'DATA BTO'!S:S,'DATA BTO'!N:N,FALSE)</f>
        <v>0</v>
      </c>
      <c r="AL730" s="54" t="e">
        <f>VLOOKUP(Tableau119[[#This Row],[Key(POD -PFI- Usine)]],'DATA Consignee'!A:F,6,FALSE)</f>
        <v>#N/A</v>
      </c>
      <c r="AM730" s="284"/>
      <c r="AN730" s="376" t="str">
        <f>IF(Tableau119[[#This Row],[Name PFI/CDD]]="","-",VLOOKUP(Tableau119[[#This Row],[Name PFI/CDD]],Plant_AILN!I:J,2,FALSE))</f>
        <v>-</v>
      </c>
      <c r="AO73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0" s="2" t="e">
        <f>VLOOKUP(Tableau119[[#This Row],[Key(POD -PFI- Usine)]],'DATA Consignee'!A:J,10,FALSE)</f>
        <v>#N/A</v>
      </c>
      <c r="AR730" s="50" t="e">
        <f>VLOOKUP(Tableau119[[#This Row],[Key(POD -PFI- Usine)]],'DATA Consignee'!A:N,14,FALSE)</f>
        <v>#N/A</v>
      </c>
      <c r="AS73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0" s="50">
        <f>Tableau119[[#This Row],[Transit time]]+Tableau119[[#This Row],[Time for security]]+Tableau119[[#This Row],[Time for security2 buffer]]</f>
        <v>0</v>
      </c>
      <c r="AV7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0" s="50" t="e">
        <f>Tableau119[[#This Row],[Leadtime SI2C]]+Tableau119[[#This Row],[First Receipt Days]]-Tableau119[[#This Row],[Day Customer Order]]+1</f>
        <v>#N/A</v>
      </c>
      <c r="AX730" s="119" t="e">
        <f>IF(Tableau119[[#This Row],[Name ILN]]&lt;&gt;"SFK Freight Forwarder",Tableau119[[#This Row],[Cust. Leadtime]],Tableau119[[#This Row],[Leadtime SI2C]])</f>
        <v>#N/A</v>
      </c>
      <c r="AY730" s="51" t="b">
        <f>_xlfn.XLOOKUP(Tableau119[[#This Row],[Key(ID-date)]],'DATA BTO'!S:S,'DATA BTO'!P:P,FALSE)</f>
        <v>0</v>
      </c>
      <c r="AZ730" s="338">
        <v>45473</v>
      </c>
      <c r="BA730" s="50"/>
    </row>
    <row r="731" spans="2:53">
      <c r="B731" s="446" t="str">
        <f>_xlfn.CONCAT(Tableau119[[#This Row],[Name ILN]],"-",Tableau119[[#This Row],[Name Shipper]],"-",Tableau119[[#This Row],[Name Site]])</f>
        <v>ILN Tanger-ILN Tanger-Curitiba CVU</v>
      </c>
      <c r="C731" s="66" t="str">
        <f>_xlfn.CONCAT(Tableau119[[#This Row],[Compte ILN]],"-",Tableau119[[#This Row],[Compte Shipper]],"-",Tableau119[[#This Row],[POL]],"-",Tableau119[[#This Row],[Compte Consignee]])</f>
        <v>92050300-92050300-FALSO-90018500</v>
      </c>
      <c r="D731" s="66" t="str">
        <f>_xlfn.CONCAT(Tableau119[[#This Row],[Compte ILN]],"-",Tableau119[[#This Row],[Compte Shipper]],"-",Tableau119[[#This Row],[POL]])</f>
        <v>92050300-92050300-FALSO</v>
      </c>
      <c r="E731" s="130" t="str">
        <f>_xlfn.CONCAT(Tableau119[[#This Row],[POL]],"-",Tableau119[[#This Row],[Carrier]],"-",Tableau119[[#This Row],[POD]])</f>
        <v>FALSO-FALSO-FALSO</v>
      </c>
      <c r="F731" s="66" t="str">
        <f>_xlfn.CONCAT(Tableau119[[#This Row],[ID]],"-","Actif")</f>
        <v>617-Actif</v>
      </c>
      <c r="G731" s="66" t="str">
        <f>_xlfn.CONCAT(Tableau119[[#This Row],[POD]],"-",Tableau119[[#This Row],[Code PFI]],"-",Tableau119[[#This Row],[Compte Consignee]])</f>
        <v>FALSO---90018500</v>
      </c>
      <c r="H7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CVU</v>
      </c>
      <c r="I731" s="434" t="str">
        <f>_xlfn.CONCAT(Tableau119[[#This Row],[ID]],"-",Tableau119[[#This Row],[Expiration Date]])</f>
        <v>617-45473</v>
      </c>
      <c r="J7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Tanger-ILN Tanger-617-FALSO-FALSO-FALSO--45473</v>
      </c>
      <c r="K731" s="119" t="str">
        <f ca="1">IF(COUNTIF(J:J,Tableau119[[#This Row],[Plant-ILN-shipper-POL-Carrier-POD-PFI]])=1,"Non","Oui")</f>
        <v>Non</v>
      </c>
      <c r="L731" s="128" t="str">
        <f>VLOOKUP(Tableau119[[#This Row],[Name Site]],Plant_AILN!A:D,4,FALSE)</f>
        <v>BRAZIL</v>
      </c>
      <c r="M731" s="415" t="s">
        <v>639</v>
      </c>
      <c r="N731" s="455">
        <f>VLOOKUP(Tableau119[[#This Row],[Name Site]],Plant_AILN!A:C,3,FALSE)</f>
        <v>90018500</v>
      </c>
      <c r="O731" s="104">
        <f>VLOOKUP(Tableau119[[#This Row],[Compte Consignee]],Order!C:D,2,FALSE)</f>
        <v>7</v>
      </c>
      <c r="P731" s="126" t="s">
        <v>161</v>
      </c>
      <c r="Q731" s="366">
        <f>VLOOKUP(Tableau119[[#This Row],[Name ILN]],Plant_AILN!F:G,2,FALSE)</f>
        <v>92050300</v>
      </c>
      <c r="R731" s="81">
        <f>VLOOKUP(Tableau119[[#This Row],[Compte ILN]],'DATA ILN'!D:I,6,FALSE)</f>
        <v>9</v>
      </c>
      <c r="S731" s="81" t="e">
        <f>IFERROR(VLOOKUP(Tableau119[[#This Row],[Key(Compte ILN - shipper - POL - plant)]],'DATA ILN'!A:J,10,FALSE),VLOOKUP(Tableau119[[#This Row],[Key(Compte ILN - shipper - POL)]],'DATA ILN'!B:J,9,FALSE))</f>
        <v>#N/A</v>
      </c>
      <c r="T731" s="81" t="e">
        <f>IFERROR(VLOOKUP(Tableau119[[#This Row],[Key(Compte ILN - shipper - POL - plant)]],'DATA ILN'!A:K,11,FALSE),VLOOKUP(Tableau119[[#This Row],[Key(Compte ILN - shipper - POL)]],'DATA ILN'!B:K,10,FALSE))</f>
        <v>#N/A</v>
      </c>
      <c r="U731" s="81" t="e">
        <f>IFERROR(VLOOKUP(Tableau119[[#This Row],[Key(Compte ILN - shipper - POL - plant)]],'DATA ILN'!A:L,12,FALSE),VLOOKUP(Tableau119[[#This Row],[Key(Compte ILN - shipper - POL)]],'DATA ILN'!B:L,11,FALSE))</f>
        <v>#N/A</v>
      </c>
      <c r="V731" s="81" t="e">
        <f>Tableau119[[#This Row],[Day ILN Order]]+Tableau119[[#This Row],[Delivery time to ILN/Shipper]]-1</f>
        <v>#N/A</v>
      </c>
      <c r="W731" s="81" t="e">
        <f>IFERROR(VLOOKUP(Tableau119[[#This Row],[Key(Compte ILN - shipper - POL - plant)]],'DATA ILN'!A:N,14,FALSE),VLOOKUP(Tableau119[[#This Row],[Key(Compte ILN - shipper - POL)]],'DATA ILN'!B:N,13,FALSE))</f>
        <v>#N/A</v>
      </c>
      <c r="X731" s="81" t="e">
        <f>IFERROR(VLOOKUP(Tableau119[[#This Row],[Key(Compte ILN - shipper - POL - plant)]],'DATA ILN'!A:P,16,FALSE),VLOOKUP(Tableau119[[#This Row],[Key(Compte ILN - shipper - POL)]],'DATA ILN'!B:P,15,FALSE))</f>
        <v>#N/A</v>
      </c>
      <c r="Y731" s="102" t="s">
        <v>161</v>
      </c>
      <c r="Z731" s="417">
        <f>IFERROR(VLOOKUP(Tableau119[[#This Row],[Name Shipper]],Plant_AILN!L:M,2,FALSE),0)</f>
        <v>92050300</v>
      </c>
      <c r="AA731" s="416">
        <v>617</v>
      </c>
      <c r="AB731" s="396" t="b">
        <f>_xlfn.XLOOKUP(Tableau119[[#This Row],[Key(ID-date)]],'DATA BTO'!S:S,'DATA BTO'!E:E,FALSE)</f>
        <v>0</v>
      </c>
      <c r="AC731" s="3" t="b">
        <f>_xlfn.XLOOKUP(Tableau119[[#This Row],[Key(ID-date)]],'DATA BTO'!S:S,'DATA BTO'!F:F,FALSE)</f>
        <v>0</v>
      </c>
      <c r="AD731" s="50" t="b">
        <f>_xlfn.XLOOKUP(Tableau119[[#This Row],[Key(ID-date)]],'DATA BTO'!S:S,'DATA BTO'!G:G,FALSE)</f>
        <v>0</v>
      </c>
      <c r="AE731" s="50" t="b">
        <f>_xlfn.XLOOKUP(Tableau119[[#This Row],[Key(ID-date)]],'DATA BTO'!S:S,'DATA BTO'!H:H,FALSE)</f>
        <v>0</v>
      </c>
      <c r="AF731" s="447" t="e">
        <f>IF(Tableau119[[#This Row],[First Day to POL]]&lt;=Tableau119[[#This Row],[Day Cut Off]],Tableau119[[#This Row],[Day ETD]],Tableau119[[#This Row],[Day ETD]]+7)</f>
        <v>#N/A</v>
      </c>
      <c r="AG731" s="50" t="b">
        <f>_xlfn.XLOOKUP(Tableau119[[#This Row],[Key(ID-date)]],'DATA BTO'!S:S,'DATA BTO'!I:I,FALSE)</f>
        <v>0</v>
      </c>
      <c r="AH731" s="3" t="b">
        <f>_xlfn.XLOOKUP(Tableau119[[#This Row],[Key(ID-date)]],'DATA BTO'!S:S,'DATA BTO'!J:J,FALSE)</f>
        <v>0</v>
      </c>
      <c r="AI731" s="3" t="b">
        <f>_xlfn.XLOOKUP(Tableau119[[#This Row],[Key(ID-date)]],'DATA BTO'!S:S,'DATA BTO'!K:K,FALSE)</f>
        <v>0</v>
      </c>
      <c r="AJ731" s="50" t="b">
        <f>_xlfn.XLOOKUP(Tableau119[[#This Row],[Key(ID-date)]],'DATA BTO'!S:S,'DATA BTO'!L:L,FALSE)</f>
        <v>0</v>
      </c>
      <c r="AK731" s="53" t="b">
        <f>_xlfn.XLOOKUP(Tableau119[[#This Row],[Key(ID-date)]],'DATA BTO'!S:S,'DATA BTO'!N:N,FALSE)</f>
        <v>0</v>
      </c>
      <c r="AL731" s="54" t="e">
        <f>VLOOKUP(Tableau119[[#This Row],[Key(POD -PFI- Usine)]],'DATA Consignee'!A:F,6,FALSE)</f>
        <v>#N/A</v>
      </c>
      <c r="AM731" s="102"/>
      <c r="AN731" s="375" t="str">
        <f>IF(Tableau119[[#This Row],[Name PFI/CDD]]="","-",VLOOKUP(Tableau119[[#This Row],[Name PFI/CDD]],Plant_AILN!I:J,2,FALSE))</f>
        <v>-</v>
      </c>
      <c r="AO73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1" s="110" t="e">
        <f>VLOOKUP(Tableau119[[#This Row],[Key(POD -PFI- Usine)]],'DATA Consignee'!A:J,10,FALSE)</f>
        <v>#N/A</v>
      </c>
      <c r="AR731" s="81" t="e">
        <f>VLOOKUP(Tableau119[[#This Row],[Key(POD -PFI- Usine)]],'DATA Consignee'!A:N,14,FALSE)</f>
        <v>#N/A</v>
      </c>
      <c r="AS73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1" s="81">
        <f>Tableau119[[#This Row],[Transit time]]+Tableau119[[#This Row],[Time for security]]+Tableau119[[#This Row],[Time for security2 buffer]]</f>
        <v>0</v>
      </c>
      <c r="AV7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1" s="50" t="e">
        <f>Tableau119[[#This Row],[Leadtime SI2C]]+Tableau119[[#This Row],[First Receipt Days]]-Tableau119[[#This Row],[Day Customer Order]]+1</f>
        <v>#N/A</v>
      </c>
      <c r="AX731" s="119" t="e">
        <f>IF(Tableau119[[#This Row],[Name ILN]]&lt;&gt;"SFK Freight Forwarder",Tableau119[[#This Row],[Cust. Leadtime]],Tableau119[[#This Row],[Leadtime SI2C]])</f>
        <v>#N/A</v>
      </c>
      <c r="AY731" s="51" t="b">
        <f>_xlfn.XLOOKUP(Tableau119[[#This Row],[Key(ID-date)]],'DATA BTO'!S:S,'DATA BTO'!P:P,FALSE)</f>
        <v>0</v>
      </c>
      <c r="AZ731" s="388">
        <v>45473</v>
      </c>
      <c r="BA731" s="81"/>
    </row>
    <row r="732" spans="2:53">
      <c r="B732" s="446" t="str">
        <f>_xlfn.CONCAT(Tableau119[[#This Row],[Name ILN]],"-",Tableau119[[#This Row],[Name Shipper]],"-",Tableau119[[#This Row],[Name Site]])</f>
        <v>ILN Tanger-ILN Tanger-Curitiba CVP</v>
      </c>
      <c r="C732" s="66" t="str">
        <f>_xlfn.CONCAT(Tableau119[[#This Row],[Compte ILN]],"-",Tableau119[[#This Row],[Compte Shipper]],"-",Tableau119[[#This Row],[POL]],"-",Tableau119[[#This Row],[Compte Consignee]])</f>
        <v>92050300-92050300-FALSO-90018000</v>
      </c>
      <c r="D732" s="66" t="str">
        <f>_xlfn.CONCAT(Tableau119[[#This Row],[Compte ILN]],"-",Tableau119[[#This Row],[Compte Shipper]],"-",Tableau119[[#This Row],[POL]])</f>
        <v>92050300-92050300-FALSO</v>
      </c>
      <c r="E732" s="130" t="str">
        <f>_xlfn.CONCAT(Tableau119[[#This Row],[POL]],"-",Tableau119[[#This Row],[Carrier]],"-",Tableau119[[#This Row],[POD]])</f>
        <v>FALSO-FALSO-FALSO</v>
      </c>
      <c r="F732" s="66" t="str">
        <f>_xlfn.CONCAT(Tableau119[[#This Row],[ID]],"-","Actif")</f>
        <v>617-Actif</v>
      </c>
      <c r="G732" s="66" t="str">
        <f>_xlfn.CONCAT(Tableau119[[#This Row],[POD]],"-",Tableau119[[#This Row],[Code PFI]],"-",Tableau119[[#This Row],[Compte Consignee]])</f>
        <v>FALSO---90018000</v>
      </c>
      <c r="H7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CVP</v>
      </c>
      <c r="I732" s="434" t="str">
        <f>_xlfn.CONCAT(Tableau119[[#This Row],[ID]],"-",Tableau119[[#This Row],[Expiration Date]])</f>
        <v>617-45412</v>
      </c>
      <c r="J7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Tanger-ILN Tanger-617-FALSO-FALSO-FALSO--45412</v>
      </c>
      <c r="K732" s="119" t="str">
        <f ca="1">IF(COUNTIF(J:J,Tableau119[[#This Row],[Plant-ILN-shipper-POL-Carrier-POD-PFI]])=1,"Non","Oui")</f>
        <v>Non</v>
      </c>
      <c r="L732" s="128" t="str">
        <f>VLOOKUP(Tableau119[[#This Row],[Name Site]],Plant_AILN!A:D,4,FALSE)</f>
        <v>BRAZIL</v>
      </c>
      <c r="M732" s="411" t="s">
        <v>152</v>
      </c>
      <c r="N732" s="454">
        <f>VLOOKUP(Tableau119[[#This Row],[Name Site]],Plant_AILN!A:C,3,FALSE)</f>
        <v>90018000</v>
      </c>
      <c r="O732" s="55">
        <f>VLOOKUP(Tableau119[[#This Row],[Compte Consignee]],Order!C:D,2,FALSE)</f>
        <v>7</v>
      </c>
      <c r="P732" s="124" t="s">
        <v>161</v>
      </c>
      <c r="Q732" s="365">
        <f>VLOOKUP(Tableau119[[#This Row],[Name ILN]],Plant_AILN!F:G,2,FALSE)</f>
        <v>92050300</v>
      </c>
      <c r="R732" s="50">
        <f>VLOOKUP(Tableau119[[#This Row],[Compte ILN]],'DATA ILN'!D:I,6,FALSE)</f>
        <v>9</v>
      </c>
      <c r="S732" s="50" t="e">
        <f>IFERROR(VLOOKUP(Tableau119[[#This Row],[Key(Compte ILN - shipper - POL - plant)]],'DATA ILN'!A:J,10,FALSE),VLOOKUP(Tableau119[[#This Row],[Key(Compte ILN - shipper - POL)]],'DATA ILN'!B:J,9,FALSE))</f>
        <v>#N/A</v>
      </c>
      <c r="T732" s="50" t="e">
        <f>IFERROR(VLOOKUP(Tableau119[[#This Row],[Key(Compte ILN - shipper - POL - plant)]],'DATA ILN'!A:K,11,FALSE),VLOOKUP(Tableau119[[#This Row],[Key(Compte ILN - shipper - POL)]],'DATA ILN'!B:K,10,FALSE))</f>
        <v>#N/A</v>
      </c>
      <c r="U732" s="50" t="e">
        <f>IFERROR(VLOOKUP(Tableau119[[#This Row],[Key(Compte ILN - shipper - POL - plant)]],'DATA ILN'!A:L,12,FALSE),VLOOKUP(Tableau119[[#This Row],[Key(Compte ILN - shipper - POL)]],'DATA ILN'!B:L,11,FALSE))</f>
        <v>#N/A</v>
      </c>
      <c r="V732" s="50" t="e">
        <f>Tableau119[[#This Row],[Day ILN Order]]+Tableau119[[#This Row],[Delivery time to ILN/Shipper]]-1</f>
        <v>#N/A</v>
      </c>
      <c r="W732" s="50" t="e">
        <f>IFERROR(VLOOKUP(Tableau119[[#This Row],[Key(Compte ILN - shipper - POL - plant)]],'DATA ILN'!A:N,14,FALSE),VLOOKUP(Tableau119[[#This Row],[Key(Compte ILN - shipper - POL)]],'DATA ILN'!B:N,13,FALSE))</f>
        <v>#N/A</v>
      </c>
      <c r="X732" s="50" t="e">
        <f>IFERROR(VLOOKUP(Tableau119[[#This Row],[Key(Compte ILN - shipper - POL - plant)]],'DATA ILN'!A:P,16,FALSE),VLOOKUP(Tableau119[[#This Row],[Key(Compte ILN - shipper - POL)]],'DATA ILN'!B:P,15,FALSE))</f>
        <v>#N/A</v>
      </c>
      <c r="Y732" s="284" t="s">
        <v>161</v>
      </c>
      <c r="Z732" s="430">
        <f>IFERROR(VLOOKUP(Tableau119[[#This Row],[Name Shipper]],Plant_AILN!L:M,2,FALSE),0)</f>
        <v>92050300</v>
      </c>
      <c r="AA732" s="406">
        <v>617</v>
      </c>
      <c r="AB732" s="396" t="b">
        <f>_xlfn.XLOOKUP(Tableau119[[#This Row],[Key(ID-date)]],'DATA BTO'!S:S,'DATA BTO'!E:E,FALSE)</f>
        <v>0</v>
      </c>
      <c r="AC732" s="3" t="b">
        <f>_xlfn.XLOOKUP(Tableau119[[#This Row],[Key(ID-date)]],'DATA BTO'!S:S,'DATA BTO'!F:F,FALSE)</f>
        <v>0</v>
      </c>
      <c r="AD732" s="50" t="b">
        <f>_xlfn.XLOOKUP(Tableau119[[#This Row],[Key(ID-date)]],'DATA BTO'!S:S,'DATA BTO'!G:G,FALSE)</f>
        <v>0</v>
      </c>
      <c r="AE732" s="50" t="b">
        <f>_xlfn.XLOOKUP(Tableau119[[#This Row],[Key(ID-date)]],'DATA BTO'!S:S,'DATA BTO'!H:H,FALSE)</f>
        <v>0</v>
      </c>
      <c r="AF732" s="447" t="e">
        <f>IF(Tableau119[[#This Row],[First Day to POL]]&lt;=Tableau119[[#This Row],[Day Cut Off]],Tableau119[[#This Row],[Day ETD]],Tableau119[[#This Row],[Day ETD]]+7)</f>
        <v>#N/A</v>
      </c>
      <c r="AG732" s="50" t="b">
        <f>_xlfn.XLOOKUP(Tableau119[[#This Row],[Key(ID-date)]],'DATA BTO'!S:S,'DATA BTO'!I:I,FALSE)</f>
        <v>0</v>
      </c>
      <c r="AH732" s="3" t="b">
        <f>_xlfn.XLOOKUP(Tableau119[[#This Row],[Key(ID-date)]],'DATA BTO'!S:S,'DATA BTO'!J:J,FALSE)</f>
        <v>0</v>
      </c>
      <c r="AI732" s="3" t="b">
        <f>_xlfn.XLOOKUP(Tableau119[[#This Row],[Key(ID-date)]],'DATA BTO'!S:S,'DATA BTO'!K:K,FALSE)</f>
        <v>0</v>
      </c>
      <c r="AJ732" s="50" t="b">
        <f>_xlfn.XLOOKUP(Tableau119[[#This Row],[Key(ID-date)]],'DATA BTO'!S:S,'DATA BTO'!L:L,FALSE)</f>
        <v>0</v>
      </c>
      <c r="AK732" s="53" t="b">
        <f>_xlfn.XLOOKUP(Tableau119[[#This Row],[Key(ID-date)]],'DATA BTO'!S:S,'DATA BTO'!N:N,FALSE)</f>
        <v>0</v>
      </c>
      <c r="AL732" s="54" t="e">
        <f>VLOOKUP(Tableau119[[#This Row],[Key(POD -PFI- Usine)]],'DATA Consignee'!A:F,6,FALSE)</f>
        <v>#N/A</v>
      </c>
      <c r="AM732" s="284"/>
      <c r="AN732" s="376" t="str">
        <f>IF(Tableau119[[#This Row],[Name PFI/CDD]]="","-",VLOOKUP(Tableau119[[#This Row],[Name PFI/CDD]],Plant_AILN!I:J,2,FALSE))</f>
        <v>-</v>
      </c>
      <c r="AO7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2" s="2" t="e">
        <f>VLOOKUP(Tableau119[[#This Row],[Key(POD -PFI- Usine)]],'DATA Consignee'!A:J,10,FALSE)</f>
        <v>#N/A</v>
      </c>
      <c r="AR732" s="50" t="e">
        <f>VLOOKUP(Tableau119[[#This Row],[Key(POD -PFI- Usine)]],'DATA Consignee'!A:N,14,FALSE)</f>
        <v>#N/A</v>
      </c>
      <c r="AS7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2" s="50">
        <f>Tableau119[[#This Row],[Transit time]]+Tableau119[[#This Row],[Time for security]]+Tableau119[[#This Row],[Time for security2 buffer]]</f>
        <v>0</v>
      </c>
      <c r="AV7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2" s="50" t="e">
        <f>Tableau119[[#This Row],[Leadtime SI2C]]+Tableau119[[#This Row],[First Receipt Days]]-Tableau119[[#This Row],[Day Customer Order]]+1</f>
        <v>#N/A</v>
      </c>
      <c r="AX732" s="119" t="e">
        <f>IF(Tableau119[[#This Row],[Name ILN]]&lt;&gt;"SFK Freight Forwarder",Tableau119[[#This Row],[Cust. Leadtime]],Tableau119[[#This Row],[Leadtime SI2C]])</f>
        <v>#N/A</v>
      </c>
      <c r="AY732" s="51" t="b">
        <f>_xlfn.XLOOKUP(Tableau119[[#This Row],[Key(ID-date)]],'DATA BTO'!S:S,'DATA BTO'!P:P,FALSE)</f>
        <v>0</v>
      </c>
      <c r="AZ732" s="338">
        <v>45412</v>
      </c>
      <c r="BA732" s="50"/>
    </row>
    <row r="733" spans="2:53">
      <c r="B733" s="446" t="str">
        <f>_xlfn.CONCAT(Tableau119[[#This Row],[Name ILN]],"-",Tableau119[[#This Row],[Name Shipper]],"-",Tableau119[[#This Row],[Name Site]])</f>
        <v>ILN Tanger-ILN Tanger-Curitiba CVU</v>
      </c>
      <c r="C733" s="66" t="str">
        <f>_xlfn.CONCAT(Tableau119[[#This Row],[Compte ILN]],"-",Tableau119[[#This Row],[Compte Shipper]],"-",Tableau119[[#This Row],[POL]],"-",Tableau119[[#This Row],[Compte Consignee]])</f>
        <v>92050300-92050300-FALSO-90018500</v>
      </c>
      <c r="D733" s="66" t="str">
        <f>_xlfn.CONCAT(Tableau119[[#This Row],[Compte ILN]],"-",Tableau119[[#This Row],[Compte Shipper]],"-",Tableau119[[#This Row],[POL]])</f>
        <v>92050300-92050300-FALSO</v>
      </c>
      <c r="E733" s="130" t="str">
        <f>_xlfn.CONCAT(Tableau119[[#This Row],[POL]],"-",Tableau119[[#This Row],[Carrier]],"-",Tableau119[[#This Row],[POD]])</f>
        <v>FALSO-FALSO-FALSO</v>
      </c>
      <c r="F733" s="66" t="str">
        <f>_xlfn.CONCAT(Tableau119[[#This Row],[ID]],"-","Actif")</f>
        <v>617-Actif</v>
      </c>
      <c r="G733" s="66" t="str">
        <f>_xlfn.CONCAT(Tableau119[[#This Row],[POD]],"-",Tableau119[[#This Row],[Code PFI]],"-",Tableau119[[#This Row],[Compte Consignee]])</f>
        <v>FALSO---90018500</v>
      </c>
      <c r="H7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TangerFALSOCuritiba CVU</v>
      </c>
      <c r="I733" s="434" t="str">
        <f>_xlfn.CONCAT(Tableau119[[#This Row],[ID]],"-",Tableau119[[#This Row],[Expiration Date]])</f>
        <v>617-45412</v>
      </c>
      <c r="J7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Tanger-ILN Tanger-617-FALSO-FALSO-FALSO--45412</v>
      </c>
      <c r="K733" s="119" t="str">
        <f ca="1">IF(COUNTIF(J:J,Tableau119[[#This Row],[Plant-ILN-shipper-POL-Carrier-POD-PFI]])=1,"Non","Oui")</f>
        <v>Non</v>
      </c>
      <c r="L733" s="128" t="str">
        <f>VLOOKUP(Tableau119[[#This Row],[Name Site]],Plant_AILN!A:D,4,FALSE)</f>
        <v>BRAZIL</v>
      </c>
      <c r="M733" s="411" t="s">
        <v>639</v>
      </c>
      <c r="N733" s="454">
        <f>VLOOKUP(Tableau119[[#This Row],[Name Site]],Plant_AILN!A:C,3,FALSE)</f>
        <v>90018500</v>
      </c>
      <c r="O733" s="55">
        <f>VLOOKUP(Tableau119[[#This Row],[Compte Consignee]],Order!C:D,2,FALSE)</f>
        <v>7</v>
      </c>
      <c r="P733" s="124" t="s">
        <v>161</v>
      </c>
      <c r="Q733" s="365">
        <f>VLOOKUP(Tableau119[[#This Row],[Name ILN]],Plant_AILN!F:G,2,FALSE)</f>
        <v>92050300</v>
      </c>
      <c r="R733" s="50">
        <f>VLOOKUP(Tableau119[[#This Row],[Compte ILN]],'DATA ILN'!D:I,6,FALSE)</f>
        <v>9</v>
      </c>
      <c r="S733" s="50" t="e">
        <f>IFERROR(VLOOKUP(Tableau119[[#This Row],[Key(Compte ILN - shipper - POL - plant)]],'DATA ILN'!A:J,10,FALSE),VLOOKUP(Tableau119[[#This Row],[Key(Compte ILN - shipper - POL)]],'DATA ILN'!B:J,9,FALSE))</f>
        <v>#N/A</v>
      </c>
      <c r="T733" s="50" t="e">
        <f>IFERROR(VLOOKUP(Tableau119[[#This Row],[Key(Compte ILN - shipper - POL - plant)]],'DATA ILN'!A:K,11,FALSE),VLOOKUP(Tableau119[[#This Row],[Key(Compte ILN - shipper - POL)]],'DATA ILN'!B:K,10,FALSE))</f>
        <v>#N/A</v>
      </c>
      <c r="U733" s="50" t="e">
        <f>IFERROR(VLOOKUP(Tableau119[[#This Row],[Key(Compte ILN - shipper - POL - plant)]],'DATA ILN'!A:L,12,FALSE),VLOOKUP(Tableau119[[#This Row],[Key(Compte ILN - shipper - POL)]],'DATA ILN'!B:L,11,FALSE))</f>
        <v>#N/A</v>
      </c>
      <c r="V733" s="50" t="e">
        <f>Tableau119[[#This Row],[Day ILN Order]]+Tableau119[[#This Row],[Delivery time to ILN/Shipper]]-1</f>
        <v>#N/A</v>
      </c>
      <c r="W733" s="50" t="e">
        <f>IFERROR(VLOOKUP(Tableau119[[#This Row],[Key(Compte ILN - shipper - POL - plant)]],'DATA ILN'!A:N,14,FALSE),VLOOKUP(Tableau119[[#This Row],[Key(Compte ILN - shipper - POL)]],'DATA ILN'!B:N,13,FALSE))</f>
        <v>#N/A</v>
      </c>
      <c r="X733" s="50" t="e">
        <f>IFERROR(VLOOKUP(Tableau119[[#This Row],[Key(Compte ILN - shipper - POL - plant)]],'DATA ILN'!A:P,16,FALSE),VLOOKUP(Tableau119[[#This Row],[Key(Compte ILN - shipper - POL)]],'DATA ILN'!B:P,15,FALSE))</f>
        <v>#N/A</v>
      </c>
      <c r="Y733" s="284" t="s">
        <v>161</v>
      </c>
      <c r="Z733" s="430">
        <f>IFERROR(VLOOKUP(Tableau119[[#This Row],[Name Shipper]],Plant_AILN!L:M,2,FALSE),0)</f>
        <v>92050300</v>
      </c>
      <c r="AA733" s="406">
        <v>617</v>
      </c>
      <c r="AB733" s="396" t="b">
        <f>_xlfn.XLOOKUP(Tableau119[[#This Row],[Key(ID-date)]],'DATA BTO'!S:S,'DATA BTO'!E:E,FALSE)</f>
        <v>0</v>
      </c>
      <c r="AC733" s="3" t="b">
        <f>_xlfn.XLOOKUP(Tableau119[[#This Row],[Key(ID-date)]],'DATA BTO'!S:S,'DATA BTO'!F:F,FALSE)</f>
        <v>0</v>
      </c>
      <c r="AD733" s="50" t="b">
        <f>_xlfn.XLOOKUP(Tableau119[[#This Row],[Key(ID-date)]],'DATA BTO'!S:S,'DATA BTO'!G:G,FALSE)</f>
        <v>0</v>
      </c>
      <c r="AE733" s="50" t="b">
        <f>_xlfn.XLOOKUP(Tableau119[[#This Row],[Key(ID-date)]],'DATA BTO'!S:S,'DATA BTO'!H:H,FALSE)</f>
        <v>0</v>
      </c>
      <c r="AF733" s="447" t="e">
        <f>IF(Tableau119[[#This Row],[First Day to POL]]&lt;=Tableau119[[#This Row],[Day Cut Off]],Tableau119[[#This Row],[Day ETD]],Tableau119[[#This Row],[Day ETD]]+7)</f>
        <v>#N/A</v>
      </c>
      <c r="AG733" s="50" t="b">
        <f>_xlfn.XLOOKUP(Tableau119[[#This Row],[Key(ID-date)]],'DATA BTO'!S:S,'DATA BTO'!I:I,FALSE)</f>
        <v>0</v>
      </c>
      <c r="AH733" s="3" t="b">
        <f>_xlfn.XLOOKUP(Tableau119[[#This Row],[Key(ID-date)]],'DATA BTO'!S:S,'DATA BTO'!J:J,FALSE)</f>
        <v>0</v>
      </c>
      <c r="AI733" s="3" t="b">
        <f>_xlfn.XLOOKUP(Tableau119[[#This Row],[Key(ID-date)]],'DATA BTO'!S:S,'DATA BTO'!K:K,FALSE)</f>
        <v>0</v>
      </c>
      <c r="AJ733" s="50" t="b">
        <f>_xlfn.XLOOKUP(Tableau119[[#This Row],[Key(ID-date)]],'DATA BTO'!S:S,'DATA BTO'!L:L,FALSE)</f>
        <v>0</v>
      </c>
      <c r="AK733" s="53" t="b">
        <f>_xlfn.XLOOKUP(Tableau119[[#This Row],[Key(ID-date)]],'DATA BTO'!S:S,'DATA BTO'!N:N,FALSE)</f>
        <v>0</v>
      </c>
      <c r="AL733" s="54" t="e">
        <f>VLOOKUP(Tableau119[[#This Row],[Key(POD -PFI- Usine)]],'DATA Consignee'!A:F,6,FALSE)</f>
        <v>#N/A</v>
      </c>
      <c r="AM733" s="284"/>
      <c r="AN733" s="376" t="str">
        <f>IF(Tableau119[[#This Row],[Name PFI/CDD]]="","-",VLOOKUP(Tableau119[[#This Row],[Name PFI/CDD]],Plant_AILN!I:J,2,FALSE))</f>
        <v>-</v>
      </c>
      <c r="AO7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3" s="2" t="e">
        <f>VLOOKUP(Tableau119[[#This Row],[Key(POD -PFI- Usine)]],'DATA Consignee'!A:J,10,FALSE)</f>
        <v>#N/A</v>
      </c>
      <c r="AR733" s="50" t="e">
        <f>VLOOKUP(Tableau119[[#This Row],[Key(POD -PFI- Usine)]],'DATA Consignee'!A:N,14,FALSE)</f>
        <v>#N/A</v>
      </c>
      <c r="AS7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3" s="50">
        <f>Tableau119[[#This Row],[Transit time]]+Tableau119[[#This Row],[Time for security]]+Tableau119[[#This Row],[Time for security2 buffer]]</f>
        <v>0</v>
      </c>
      <c r="AV7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3" s="50" t="e">
        <f>Tableau119[[#This Row],[Leadtime SI2C]]+Tableau119[[#This Row],[First Receipt Days]]-Tableau119[[#This Row],[Day Customer Order]]+1</f>
        <v>#N/A</v>
      </c>
      <c r="AX733" s="119" t="e">
        <f>IF(Tableau119[[#This Row],[Name ILN]]&lt;&gt;"SFK Freight Forwarder",Tableau119[[#This Row],[Cust. Leadtime]],Tableau119[[#This Row],[Leadtime SI2C]])</f>
        <v>#N/A</v>
      </c>
      <c r="AY733" s="51" t="b">
        <f>_xlfn.XLOOKUP(Tableau119[[#This Row],[Key(ID-date)]],'DATA BTO'!S:S,'DATA BTO'!P:P,FALSE)</f>
        <v>0</v>
      </c>
      <c r="AZ733" s="338">
        <v>45412</v>
      </c>
      <c r="BA733" s="50"/>
    </row>
    <row r="734" spans="2:53">
      <c r="B734" s="446" t="str">
        <f>_xlfn.CONCAT(Tableau119[[#This Row],[Name ILN]],"-",Tableau119[[#This Row],[Name Shipper]],"-",Tableau119[[#This Row],[Name Site]])</f>
        <v>ILN Bursa-ILN Bursa-MALAYSIA TCM</v>
      </c>
      <c r="C734" s="66" t="str">
        <f>_xlfn.CONCAT(Tableau119[[#This Row],[Compte ILN]],"-",Tableau119[[#This Row],[Compte Shipper]],"-",Tableau119[[#This Row],[POL]],"-",Tableau119[[#This Row],[Compte Consignee]])</f>
        <v>95112-95112-FALSO-12300</v>
      </c>
      <c r="D734" s="66" t="str">
        <f>_xlfn.CONCAT(Tableau119[[#This Row],[Compte ILN]],"-",Tableau119[[#This Row],[Compte Shipper]],"-",Tableau119[[#This Row],[POL]])</f>
        <v>95112-95112-FALSO</v>
      </c>
      <c r="E734" s="130" t="str">
        <f>_xlfn.CONCAT(Tableau119[[#This Row],[POL]],"-",Tableau119[[#This Row],[Carrier]],"-",Tableau119[[#This Row],[POD]])</f>
        <v>FALSO-FALSO-FALSO</v>
      </c>
      <c r="F734" s="66" t="str">
        <f>_xlfn.CONCAT(Tableau119[[#This Row],[ID]],"-","Actif")</f>
        <v>619-Actif</v>
      </c>
      <c r="G734" s="66" t="str">
        <f>_xlfn.CONCAT(Tableau119[[#This Row],[POD]],"-",Tableau119[[#This Row],[Code PFI]],"-",Tableau119[[#This Row],[Compte Consignee]])</f>
        <v>FALSO---12300</v>
      </c>
      <c r="H7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BursaFALSOMALAYSIA TCM</v>
      </c>
      <c r="I734" s="434" t="str">
        <f>_xlfn.CONCAT(Tableau119[[#This Row],[ID]],"-",Tableau119[[#This Row],[Expiration Date]])</f>
        <v>619-46142</v>
      </c>
      <c r="J7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MALAYSIA TCM-ILN Bursa-ILN Bursa-619-FALSO-FALSO-FALSO--46142</v>
      </c>
      <c r="K734" s="119" t="str">
        <f ca="1">IF(COUNTIF(J:J,Tableau119[[#This Row],[Plant-ILN-shipper-POL-Carrier-POD-PFI]])=1,"Non","Oui")</f>
        <v>Non</v>
      </c>
      <c r="L734" s="128" t="str">
        <f>VLOOKUP(Tableau119[[#This Row],[Name Site]],Plant_AILN!A:D,4,FALSE)</f>
        <v xml:space="preserve">MALAYSIA </v>
      </c>
      <c r="M734" s="411" t="s">
        <v>228</v>
      </c>
      <c r="N734" s="454">
        <f>VLOOKUP(Tableau119[[#This Row],[Name Site]],Plant_AILN!A:C,3,FALSE)</f>
        <v>12300</v>
      </c>
      <c r="O734" s="55">
        <f>IF(Tableau119[[#This Row],[Name PFI/CDD]]="PFI VLL",2,VLOOKUP(Tableau119[[#This Row],[Compte Consignee]],Order!C:D,2,FALSE))</f>
        <v>7</v>
      </c>
      <c r="P734" s="124" t="s">
        <v>167</v>
      </c>
      <c r="Q734" s="365">
        <f>VLOOKUP(Tableau119[[#This Row],[Name ILN]],Plant_AILN!F:G,2,FALSE)</f>
        <v>95112</v>
      </c>
      <c r="R734" s="50">
        <f>VLOOKUP(Tableau119[[#This Row],[Compte ILN]],'DATA ILN'!D:I,6,FALSE)</f>
        <v>9</v>
      </c>
      <c r="S734" s="50" t="e">
        <f>IFERROR(VLOOKUP(Tableau119[[#This Row],[Key(Compte ILN - shipper - POL - plant)]],'DATA ILN'!A:J,10,FALSE),VLOOKUP(Tableau119[[#This Row],[Key(Compte ILN - shipper - POL)]],'DATA ILN'!B:J,9,FALSE))</f>
        <v>#N/A</v>
      </c>
      <c r="T734" s="50" t="e">
        <f>IFERROR(VLOOKUP(Tableau119[[#This Row],[Key(Compte ILN - shipper - POL - plant)]],'DATA ILN'!A:K,11,FALSE),VLOOKUP(Tableau119[[#This Row],[Key(Compte ILN - shipper - POL)]],'DATA ILN'!B:K,10,FALSE))</f>
        <v>#N/A</v>
      </c>
      <c r="U734" s="50" t="e">
        <f>IFERROR(VLOOKUP(Tableau119[[#This Row],[Key(Compte ILN - shipper - POL - plant)]],'DATA ILN'!A:L,12,FALSE),VLOOKUP(Tableau119[[#This Row],[Key(Compte ILN - shipper - POL)]],'DATA ILN'!B:L,11,FALSE))</f>
        <v>#N/A</v>
      </c>
      <c r="V734" s="50" t="e">
        <f>Tableau119[[#This Row],[Day ILN Order]]+Tableau119[[#This Row],[Delivery time to ILN/Shipper]]-1</f>
        <v>#N/A</v>
      </c>
      <c r="W734" s="50" t="e">
        <f>IFERROR(VLOOKUP(Tableau119[[#This Row],[Key(Compte ILN - shipper - POL - plant)]],'DATA ILN'!A:N,14,FALSE),VLOOKUP(Tableau119[[#This Row],[Key(Compte ILN - shipper - POL)]],'DATA ILN'!B:N,13,FALSE))</f>
        <v>#N/A</v>
      </c>
      <c r="X734" s="50" t="e">
        <f>IFERROR(VLOOKUP(Tableau119[[#This Row],[Key(Compte ILN - shipper - POL - plant)]],'DATA ILN'!A:P,16,FALSE),VLOOKUP(Tableau119[[#This Row],[Key(Compte ILN - shipper - POL)]],'DATA ILN'!B:P,15,FALSE))</f>
        <v>#N/A</v>
      </c>
      <c r="Y734" s="284" t="s">
        <v>167</v>
      </c>
      <c r="Z734" s="430">
        <f>IFERROR(VLOOKUP(Tableau119[[#This Row],[Name Shipper]],Plant_AILN!L:M,2,FALSE),0)</f>
        <v>95112</v>
      </c>
      <c r="AA734" s="406">
        <v>619</v>
      </c>
      <c r="AB734" s="396" t="b">
        <f>_xlfn.XLOOKUP(Tableau119[[#This Row],[Key(ID-date)]],'DATA BTO'!S:S,'DATA BTO'!E:E,FALSE)</f>
        <v>0</v>
      </c>
      <c r="AC734" s="3" t="b">
        <f>_xlfn.XLOOKUP(Tableau119[[#This Row],[Key(ID-date)]],'DATA BTO'!S:S,'DATA BTO'!F:F,FALSE)</f>
        <v>0</v>
      </c>
      <c r="AD734" s="50" t="b">
        <f>_xlfn.XLOOKUP(Tableau119[[#This Row],[Key(ID-date)]],'DATA BTO'!S:S,'DATA BTO'!G:G,FALSE)</f>
        <v>0</v>
      </c>
      <c r="AE734" s="50" t="b">
        <f>_xlfn.XLOOKUP(Tableau119[[#This Row],[Key(ID-date)]],'DATA BTO'!S:S,'DATA BTO'!H:H,FALSE)</f>
        <v>0</v>
      </c>
      <c r="AF734" s="447" t="e">
        <f>IF(Tableau119[[#This Row],[First Day to POL]]&lt;=Tableau119[[#This Row],[Day Cut Off]],Tableau119[[#This Row],[Day ETD]],Tableau119[[#This Row],[Day ETD]]+7)</f>
        <v>#N/A</v>
      </c>
      <c r="AG734" s="50" t="b">
        <f>_xlfn.XLOOKUP(Tableau119[[#This Row],[Key(ID-date)]],'DATA BTO'!S:S,'DATA BTO'!I:I,FALSE)</f>
        <v>0</v>
      </c>
      <c r="AH734" s="3" t="b">
        <f>_xlfn.XLOOKUP(Tableau119[[#This Row],[Key(ID-date)]],'DATA BTO'!S:S,'DATA BTO'!J:J,FALSE)</f>
        <v>0</v>
      </c>
      <c r="AI734" s="3" t="b">
        <f>_xlfn.XLOOKUP(Tableau119[[#This Row],[Key(ID-date)]],'DATA BTO'!S:S,'DATA BTO'!K:K,FALSE)</f>
        <v>0</v>
      </c>
      <c r="AJ734" s="50" t="b">
        <f>_xlfn.XLOOKUP(Tableau119[[#This Row],[Key(ID-date)]],'DATA BTO'!S:S,'DATA BTO'!L:L,FALSE)</f>
        <v>0</v>
      </c>
      <c r="AK734" s="53" t="b">
        <f>_xlfn.XLOOKUP(Tableau119[[#This Row],[Key(ID-date)]],'DATA BTO'!S:S,'DATA BTO'!N:N,FALSE)</f>
        <v>0</v>
      </c>
      <c r="AL734" s="54" t="e">
        <f>VLOOKUP(Tableau119[[#This Row],[Key(POD -PFI- Usine)]],'DATA Consignee'!A:F,6,FALSE)</f>
        <v>#N/A</v>
      </c>
      <c r="AM734" s="284"/>
      <c r="AN734" s="376" t="str">
        <f>IF(Tableau119[[#This Row],[Name PFI/CDD]]="","-",VLOOKUP(Tableau119[[#This Row],[Name PFI/CDD]],Plant_AILN!I:J,2,FALSE))</f>
        <v>-</v>
      </c>
      <c r="AO7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4" s="2" t="e">
        <f>VLOOKUP(Tableau119[[#This Row],[Key(POD -PFI- Usine)]],'DATA Consignee'!A:J,10,FALSE)</f>
        <v>#N/A</v>
      </c>
      <c r="AR734" s="50" t="e">
        <f>VLOOKUP(Tableau119[[#This Row],[Key(POD -PFI- Usine)]],'DATA Consignee'!A:N,14,FALSE)</f>
        <v>#N/A</v>
      </c>
      <c r="AS7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4" s="50">
        <f>Tableau119[[#This Row],[Transit time]]+Tableau119[[#This Row],[Time for security]]+Tableau119[[#This Row],[Time for security2 buffer]]</f>
        <v>0</v>
      </c>
      <c r="AV7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4" s="50" t="e">
        <f>Tableau119[[#This Row],[Leadtime SI2C]]+Tableau119[[#This Row],[First Receipt Days]]-Tableau119[[#This Row],[Day Customer Order]]+1</f>
        <v>#N/A</v>
      </c>
      <c r="AX734" s="119" t="e">
        <f>IF(Tableau119[[#This Row],[Name ILN]]&lt;&gt;"SFK Freight Forwarder",Tableau119[[#This Row],[Cust. Leadtime]],Tableau119[[#This Row],[Leadtime SI2C]])</f>
        <v>#N/A</v>
      </c>
      <c r="AY734" s="51" t="b">
        <f>_xlfn.XLOOKUP(Tableau119[[#This Row],[Key(ID-date)]],'DATA BTO'!S:S,'DATA BTO'!P:P,FALSE)</f>
        <v>0</v>
      </c>
      <c r="AZ734" s="338">
        <v>46142</v>
      </c>
      <c r="BA734" s="50"/>
    </row>
    <row r="735" spans="2:53">
      <c r="B735" s="446" t="str">
        <f>_xlfn.CONCAT(Tableau119[[#This Row],[Name ILN]],"-",Tableau119[[#This Row],[Name Shipper]],"-",Tableau119[[#This Row],[Name Site]])</f>
        <v>ILN Bursa-ILN Bursa-MALAYSIA TCM</v>
      </c>
      <c r="C735" s="66" t="str">
        <f>_xlfn.CONCAT(Tableau119[[#This Row],[Compte ILN]],"-",Tableau119[[#This Row],[Compte Shipper]],"-",Tableau119[[#This Row],[POL]],"-",Tableau119[[#This Row],[Compte Consignee]])</f>
        <v>95112-95112-FALSO-12300</v>
      </c>
      <c r="D735" s="66" t="str">
        <f>_xlfn.CONCAT(Tableau119[[#This Row],[Compte ILN]],"-",Tableau119[[#This Row],[Compte Shipper]],"-",Tableau119[[#This Row],[POL]])</f>
        <v>95112-95112-FALSO</v>
      </c>
      <c r="E735" s="130" t="str">
        <f>_xlfn.CONCAT(Tableau119[[#This Row],[POL]],"-",Tableau119[[#This Row],[Carrier]],"-",Tableau119[[#This Row],[POD]])</f>
        <v>FALSO-FALSO-FALSO</v>
      </c>
      <c r="F735" s="66" t="str">
        <f>_xlfn.CONCAT(Tableau119[[#This Row],[ID]],"-","Actif")</f>
        <v>619-Actif</v>
      </c>
      <c r="G735" s="66" t="str">
        <f>_xlfn.CONCAT(Tableau119[[#This Row],[POD]],"-",Tableau119[[#This Row],[Code PFI]],"-",Tableau119[[#This Row],[Compte Consignee]])</f>
        <v>FALSO---12300</v>
      </c>
      <c r="H7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BursaFALSOMALAYSIA TCM</v>
      </c>
      <c r="I735" s="434" t="str">
        <f>_xlfn.CONCAT(Tableau119[[#This Row],[ID]],"-",Tableau119[[#This Row],[Expiration Date]])</f>
        <v>619-45777</v>
      </c>
      <c r="J7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MALAYSIA TCM-ILN Bursa-ILN Bursa-619-FALSO-FALSO-FALSO--45777</v>
      </c>
      <c r="K735" s="119" t="str">
        <f ca="1">IF(COUNTIF(J:J,Tableau119[[#This Row],[Plant-ILN-shipper-POL-Carrier-POD-PFI]])=1,"Non","Oui")</f>
        <v>Non</v>
      </c>
      <c r="L735" s="128" t="str">
        <f>VLOOKUP(Tableau119[[#This Row],[Name Site]],Plant_AILN!A:D,4,FALSE)</f>
        <v xml:space="preserve">MALAYSIA </v>
      </c>
      <c r="M735" s="415" t="s">
        <v>228</v>
      </c>
      <c r="N735" s="455">
        <f>VLOOKUP(Tableau119[[#This Row],[Name Site]],Plant_AILN!A:C,3,FALSE)</f>
        <v>12300</v>
      </c>
      <c r="O735" s="104">
        <f>VLOOKUP(Tableau119[[#This Row],[Compte Consignee]],Order!C:D,2,FALSE)</f>
        <v>7</v>
      </c>
      <c r="P735" s="126" t="s">
        <v>167</v>
      </c>
      <c r="Q735" s="366">
        <f>VLOOKUP(Tableau119[[#This Row],[Name ILN]],Plant_AILN!F:G,2,FALSE)</f>
        <v>95112</v>
      </c>
      <c r="R735" s="81">
        <f>VLOOKUP(Tableau119[[#This Row],[Compte ILN]],'DATA ILN'!D:I,6,FALSE)</f>
        <v>9</v>
      </c>
      <c r="S735" s="81" t="e">
        <f>IFERROR(VLOOKUP(Tableau119[[#This Row],[Key(Compte ILN - shipper - POL - plant)]],'DATA ILN'!A:J,10,FALSE),VLOOKUP(Tableau119[[#This Row],[Key(Compte ILN - shipper - POL)]],'DATA ILN'!B:J,9,FALSE))</f>
        <v>#N/A</v>
      </c>
      <c r="T735" s="81" t="e">
        <f>IFERROR(VLOOKUP(Tableau119[[#This Row],[Key(Compte ILN - shipper - POL - plant)]],'DATA ILN'!A:K,11,FALSE),VLOOKUP(Tableau119[[#This Row],[Key(Compte ILN - shipper - POL)]],'DATA ILN'!B:K,10,FALSE))</f>
        <v>#N/A</v>
      </c>
      <c r="U735" s="81" t="e">
        <f>IFERROR(VLOOKUP(Tableau119[[#This Row],[Key(Compte ILN - shipper - POL - plant)]],'DATA ILN'!A:L,12,FALSE),VLOOKUP(Tableau119[[#This Row],[Key(Compte ILN - shipper - POL)]],'DATA ILN'!B:L,11,FALSE))</f>
        <v>#N/A</v>
      </c>
      <c r="V735" s="81" t="e">
        <f>Tableau119[[#This Row],[Day ILN Order]]+Tableau119[[#This Row],[Delivery time to ILN/Shipper]]-1</f>
        <v>#N/A</v>
      </c>
      <c r="W735" s="81" t="e">
        <f>IFERROR(VLOOKUP(Tableau119[[#This Row],[Key(Compte ILN - shipper - POL - plant)]],'DATA ILN'!A:N,14,FALSE),VLOOKUP(Tableau119[[#This Row],[Key(Compte ILN - shipper - POL)]],'DATA ILN'!B:N,13,FALSE))</f>
        <v>#N/A</v>
      </c>
      <c r="X735" s="81" t="e">
        <f>IFERROR(VLOOKUP(Tableau119[[#This Row],[Key(Compte ILN - shipper - POL - plant)]],'DATA ILN'!A:P,16,FALSE),VLOOKUP(Tableau119[[#This Row],[Key(Compte ILN - shipper - POL)]],'DATA ILN'!B:P,15,FALSE))</f>
        <v>#N/A</v>
      </c>
      <c r="Y735" s="102" t="s">
        <v>167</v>
      </c>
      <c r="Z735" s="417">
        <f>IFERROR(VLOOKUP(Tableau119[[#This Row],[Name Shipper]],Plant_AILN!L:M,2,FALSE),0)</f>
        <v>95112</v>
      </c>
      <c r="AA735" s="416">
        <v>619</v>
      </c>
      <c r="AB735" s="396" t="b">
        <f>_xlfn.XLOOKUP(Tableau119[[#This Row],[Key(ID-date)]],'DATA BTO'!S:S,'DATA BTO'!E:E,FALSE)</f>
        <v>0</v>
      </c>
      <c r="AC735" s="3" t="b">
        <f>_xlfn.XLOOKUP(Tableau119[[#This Row],[Key(ID-date)]],'DATA BTO'!S:S,'DATA BTO'!F:F,FALSE)</f>
        <v>0</v>
      </c>
      <c r="AD735" s="50" t="b">
        <f>_xlfn.XLOOKUP(Tableau119[[#This Row],[Key(ID-date)]],'DATA BTO'!S:S,'DATA BTO'!G:G,FALSE)</f>
        <v>0</v>
      </c>
      <c r="AE735" s="50" t="b">
        <f>_xlfn.XLOOKUP(Tableau119[[#This Row],[Key(ID-date)]],'DATA BTO'!S:S,'DATA BTO'!H:H,FALSE)</f>
        <v>0</v>
      </c>
      <c r="AF735" s="447" t="e">
        <f>IF(Tableau119[[#This Row],[First Day to POL]]&lt;=Tableau119[[#This Row],[Day Cut Off]],Tableau119[[#This Row],[Day ETD]],Tableau119[[#This Row],[Day ETD]]+7)</f>
        <v>#N/A</v>
      </c>
      <c r="AG735" s="50" t="b">
        <f>_xlfn.XLOOKUP(Tableau119[[#This Row],[Key(ID-date)]],'DATA BTO'!S:S,'DATA BTO'!I:I,FALSE)</f>
        <v>0</v>
      </c>
      <c r="AH735" s="3" t="b">
        <f>_xlfn.XLOOKUP(Tableau119[[#This Row],[Key(ID-date)]],'DATA BTO'!S:S,'DATA BTO'!J:J,FALSE)</f>
        <v>0</v>
      </c>
      <c r="AI735" s="3" t="b">
        <f>_xlfn.XLOOKUP(Tableau119[[#This Row],[Key(ID-date)]],'DATA BTO'!S:S,'DATA BTO'!K:K,FALSE)</f>
        <v>0</v>
      </c>
      <c r="AJ735" s="50" t="b">
        <f>_xlfn.XLOOKUP(Tableau119[[#This Row],[Key(ID-date)]],'DATA BTO'!S:S,'DATA BTO'!L:L,FALSE)</f>
        <v>0</v>
      </c>
      <c r="AK735" s="53" t="b">
        <f>_xlfn.XLOOKUP(Tableau119[[#This Row],[Key(ID-date)]],'DATA BTO'!S:S,'DATA BTO'!N:N,FALSE)</f>
        <v>0</v>
      </c>
      <c r="AL735" s="54" t="e">
        <f>VLOOKUP(Tableau119[[#This Row],[Key(POD -PFI- Usine)]],'DATA Consignee'!A:F,6,FALSE)</f>
        <v>#N/A</v>
      </c>
      <c r="AM735" s="102"/>
      <c r="AN735" s="375" t="str">
        <f>IF(Tableau119[[#This Row],[Name PFI/CDD]]="","-",VLOOKUP(Tableau119[[#This Row],[Name PFI/CDD]],Plant_AILN!I:J,2,FALSE))</f>
        <v>-</v>
      </c>
      <c r="AO73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5" s="110" t="e">
        <f>VLOOKUP(Tableau119[[#This Row],[Key(POD -PFI- Usine)]],'DATA Consignee'!A:J,10,FALSE)</f>
        <v>#N/A</v>
      </c>
      <c r="AR735" s="81" t="e">
        <f>VLOOKUP(Tableau119[[#This Row],[Key(POD -PFI- Usine)]],'DATA Consignee'!A:N,14,FALSE)</f>
        <v>#N/A</v>
      </c>
      <c r="AS73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5" s="81">
        <f>Tableau119[[#This Row],[Transit time]]+Tableau119[[#This Row],[Time for security]]+Tableau119[[#This Row],[Time for security2 buffer]]</f>
        <v>0</v>
      </c>
      <c r="AV7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5" s="50" t="e">
        <f>Tableau119[[#This Row],[Leadtime SI2C]]+Tableau119[[#This Row],[First Receipt Days]]-Tableau119[[#This Row],[Day Customer Order]]+1</f>
        <v>#N/A</v>
      </c>
      <c r="AX735" s="119" t="e">
        <f>IF(Tableau119[[#This Row],[Name ILN]]&lt;&gt;"SFK Freight Forwarder",Tableau119[[#This Row],[Cust. Leadtime]],Tableau119[[#This Row],[Leadtime SI2C]])</f>
        <v>#N/A</v>
      </c>
      <c r="AY735" s="51" t="b">
        <f>_xlfn.XLOOKUP(Tableau119[[#This Row],[Key(ID-date)]],'DATA BTO'!S:S,'DATA BTO'!P:P,FALSE)</f>
        <v>0</v>
      </c>
      <c r="AZ735" s="388">
        <v>45777</v>
      </c>
      <c r="BA735" s="81"/>
    </row>
    <row r="736" spans="2:53">
      <c r="B736" s="446" t="str">
        <f>_xlfn.CONCAT(Tableau119[[#This Row],[Name ILN]],"-",Tableau119[[#This Row],[Name Shipper]],"-",Tableau119[[#This Row],[Name Site]])</f>
        <v>ILN Chennai-ILN Chennai-DFMIEC</v>
      </c>
      <c r="C736" s="66" t="str">
        <f>_xlfn.CONCAT(Tableau119[[#This Row],[Compte ILN]],"-",Tableau119[[#This Row],[Compte Shipper]],"-",Tableau119[[#This Row],[POL]],"-",Tableau119[[#This Row],[Compte Consignee]])</f>
        <v>2533780546-2533780546-FALSO-0</v>
      </c>
      <c r="D736" s="66" t="str">
        <f>_xlfn.CONCAT(Tableau119[[#This Row],[Compte ILN]],"-",Tableau119[[#This Row],[Compte Shipper]],"-",Tableau119[[#This Row],[POL]])</f>
        <v>2533780546-2533780546-FALSO</v>
      </c>
      <c r="E736" s="130" t="str">
        <f>_xlfn.CONCAT(Tableau119[[#This Row],[POL]],"-",Tableau119[[#This Row],[Carrier]],"-",Tableau119[[#This Row],[POD]])</f>
        <v>FALSO-FALSO-FALSO</v>
      </c>
      <c r="F736" s="66" t="str">
        <f>_xlfn.CONCAT(Tableau119[[#This Row],[ID]],"-","Actif")</f>
        <v>704-Actif</v>
      </c>
      <c r="G736" s="66" t="str">
        <f>_xlfn.CONCAT(Tableau119[[#This Row],[POD]],"-",Tableau119[[#This Row],[Code PFI]],"-",Tableau119[[#This Row],[Compte Consignee]])</f>
        <v>FALSO---0</v>
      </c>
      <c r="H7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736" s="434" t="str">
        <f>_xlfn.CONCAT(Tableau119[[#This Row],[ID]],"-",Tableau119[[#This Row],[Expiration Date]])</f>
        <v>704-46142</v>
      </c>
      <c r="J7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Chennai-704-FALSO-FALSO-FALSO--46142</v>
      </c>
      <c r="K736" s="119" t="str">
        <f ca="1">IF(COUNTIF(J:J,Tableau119[[#This Row],[Plant-ILN-shipper-POL-Carrier-POD-PFI]])=1,"Non","Oui")</f>
        <v>Non</v>
      </c>
      <c r="L736" s="128" t="str">
        <f>VLOOKUP(Tableau119[[#This Row],[Name Site]],Plant_AILN!A:D,4,FALSE)</f>
        <v>CHINA</v>
      </c>
      <c r="M736" s="285" t="s">
        <v>216</v>
      </c>
      <c r="N736" s="454">
        <f>VLOOKUP(Tableau119[[#This Row],[Name Site]],Plant_AILN!A:C,3,FALSE)</f>
        <v>0</v>
      </c>
      <c r="O736" s="55">
        <f>IF(Tableau119[[#This Row],[Name PFI/CDD]]="PFI VLL",2,VLOOKUP(Tableau119[[#This Row],[Compte Consignee]],Order!C:D,2,FALSE))</f>
        <v>7</v>
      </c>
      <c r="P736" s="124" t="s">
        <v>149</v>
      </c>
      <c r="Q736" s="365">
        <f>VLOOKUP(Tableau119[[#This Row],[Name ILN]],Plant_AILN!F:G,2,FALSE)</f>
        <v>2533780546</v>
      </c>
      <c r="R736" s="50">
        <f>VLOOKUP(Tableau119[[#This Row],[Compte ILN]],'DATA ILN'!D:I,6,FALSE)</f>
        <v>9</v>
      </c>
      <c r="S736" s="50" t="e">
        <f>IFERROR(VLOOKUP(Tableau119[[#This Row],[Key(Compte ILN - shipper - POL - plant)]],'DATA ILN'!A:J,10,FALSE),VLOOKUP(Tableau119[[#This Row],[Key(Compte ILN - shipper - POL)]],'DATA ILN'!B:J,9,FALSE))</f>
        <v>#N/A</v>
      </c>
      <c r="T736" s="50" t="e">
        <f>IFERROR(VLOOKUP(Tableau119[[#This Row],[Key(Compte ILN - shipper - POL - plant)]],'DATA ILN'!A:K,11,FALSE),VLOOKUP(Tableau119[[#This Row],[Key(Compte ILN - shipper - POL)]],'DATA ILN'!B:K,10,FALSE))</f>
        <v>#N/A</v>
      </c>
      <c r="U736" s="50" t="e">
        <f>IFERROR(VLOOKUP(Tableau119[[#This Row],[Key(Compte ILN - shipper - POL - plant)]],'DATA ILN'!A:L,12,FALSE),VLOOKUP(Tableau119[[#This Row],[Key(Compte ILN - shipper - POL)]],'DATA ILN'!B:L,11,FALSE))</f>
        <v>#N/A</v>
      </c>
      <c r="V736" s="50" t="e">
        <f>Tableau119[[#This Row],[Day ILN Order]]+Tableau119[[#This Row],[Delivery time to ILN/Shipper]]-1</f>
        <v>#N/A</v>
      </c>
      <c r="W736" s="50" t="e">
        <f>IFERROR(VLOOKUP(Tableau119[[#This Row],[Key(Compte ILN - shipper - POL - plant)]],'DATA ILN'!A:N,14,FALSE),VLOOKUP(Tableau119[[#This Row],[Key(Compte ILN - shipper - POL)]],'DATA ILN'!B:N,13,FALSE))</f>
        <v>#N/A</v>
      </c>
      <c r="X736" s="50" t="e">
        <f>IFERROR(VLOOKUP(Tableau119[[#This Row],[Key(Compte ILN - shipper - POL - plant)]],'DATA ILN'!A:P,16,FALSE),VLOOKUP(Tableau119[[#This Row],[Key(Compte ILN - shipper - POL)]],'DATA ILN'!B:P,15,FALSE))</f>
        <v>#N/A</v>
      </c>
      <c r="Y736" s="284" t="s">
        <v>149</v>
      </c>
      <c r="Z736" s="430">
        <f>IFERROR(VLOOKUP(Tableau119[[#This Row],[Name Shipper]],Plant_AILN!L:M,2,FALSE),0)</f>
        <v>2533780546</v>
      </c>
      <c r="AA736" s="406">
        <v>704</v>
      </c>
      <c r="AB736" s="396" t="b">
        <f>_xlfn.XLOOKUP(Tableau119[[#This Row],[Key(ID-date)]],'DATA BTO'!S:S,'DATA BTO'!E:E,FALSE)</f>
        <v>0</v>
      </c>
      <c r="AC736" s="3" t="b">
        <f>_xlfn.XLOOKUP(Tableau119[[#This Row],[Key(ID-date)]],'DATA BTO'!S:S,'DATA BTO'!F:F,FALSE)</f>
        <v>0</v>
      </c>
      <c r="AD736" s="50" t="b">
        <f>_xlfn.XLOOKUP(Tableau119[[#This Row],[Key(ID-date)]],'DATA BTO'!S:S,'DATA BTO'!G:G,FALSE)</f>
        <v>0</v>
      </c>
      <c r="AE736" s="50" t="b">
        <f>_xlfn.XLOOKUP(Tableau119[[#This Row],[Key(ID-date)]],'DATA BTO'!S:S,'DATA BTO'!H:H,FALSE)</f>
        <v>0</v>
      </c>
      <c r="AF736" s="447" t="e">
        <f>IF(Tableau119[[#This Row],[First Day to POL]]&lt;=Tableau119[[#This Row],[Day Cut Off]],Tableau119[[#This Row],[Day ETD]],Tableau119[[#This Row],[Day ETD]]+7)</f>
        <v>#N/A</v>
      </c>
      <c r="AG736" s="50" t="b">
        <f>_xlfn.XLOOKUP(Tableau119[[#This Row],[Key(ID-date)]],'DATA BTO'!S:S,'DATA BTO'!I:I,FALSE)</f>
        <v>0</v>
      </c>
      <c r="AH736" s="3" t="b">
        <f>_xlfn.XLOOKUP(Tableau119[[#This Row],[Key(ID-date)]],'DATA BTO'!S:S,'DATA BTO'!J:J,FALSE)</f>
        <v>0</v>
      </c>
      <c r="AI736" s="3" t="b">
        <f>_xlfn.XLOOKUP(Tableau119[[#This Row],[Key(ID-date)]],'DATA BTO'!S:S,'DATA BTO'!K:K,FALSE)</f>
        <v>0</v>
      </c>
      <c r="AJ736" s="50" t="b">
        <f>_xlfn.XLOOKUP(Tableau119[[#This Row],[Key(ID-date)]],'DATA BTO'!S:S,'DATA BTO'!L:L,FALSE)</f>
        <v>0</v>
      </c>
      <c r="AK736" s="53" t="b">
        <f>_xlfn.XLOOKUP(Tableau119[[#This Row],[Key(ID-date)]],'DATA BTO'!S:S,'DATA BTO'!N:N,FALSE)</f>
        <v>0</v>
      </c>
      <c r="AL736" s="54" t="e">
        <f>VLOOKUP(Tableau119[[#This Row],[Key(POD -PFI- Usine)]],'DATA Consignee'!A:F,6,FALSE)</f>
        <v>#N/A</v>
      </c>
      <c r="AM736" s="284"/>
      <c r="AN736" s="376" t="str">
        <f>IF(Tableau119[[#This Row],[Name PFI/CDD]]="","-",VLOOKUP(Tableau119[[#This Row],[Name PFI/CDD]],Plant_AILN!I:J,2,FALSE))</f>
        <v>-</v>
      </c>
      <c r="AO73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6" s="2" t="e">
        <f>VLOOKUP(Tableau119[[#This Row],[Key(POD -PFI- Usine)]],'DATA Consignee'!A:J,10,FALSE)</f>
        <v>#N/A</v>
      </c>
      <c r="AR736" s="50" t="e">
        <f>VLOOKUP(Tableau119[[#This Row],[Key(POD -PFI- Usine)]],'DATA Consignee'!A:N,14,FALSE)</f>
        <v>#N/A</v>
      </c>
      <c r="AS73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6" s="50">
        <f>Tableau119[[#This Row],[Transit time]]+Tableau119[[#This Row],[Time for security]]+Tableau119[[#This Row],[Time for security2 buffer]]</f>
        <v>0</v>
      </c>
      <c r="AV7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6" s="50" t="e">
        <f>Tableau119[[#This Row],[Leadtime SI2C]]+Tableau119[[#This Row],[First Receipt Days]]-Tableau119[[#This Row],[Day Customer Order]]+1</f>
        <v>#N/A</v>
      </c>
      <c r="AX736" s="119" t="e">
        <f>IF(Tableau119[[#This Row],[Name ILN]]&lt;&gt;"SFK Freight Forwarder",Tableau119[[#This Row],[Cust. Leadtime]],Tableau119[[#This Row],[Leadtime SI2C]])</f>
        <v>#N/A</v>
      </c>
      <c r="AY736" s="51" t="b">
        <f>_xlfn.XLOOKUP(Tableau119[[#This Row],[Key(ID-date)]],'DATA BTO'!S:S,'DATA BTO'!P:P,FALSE)</f>
        <v>0</v>
      </c>
      <c r="AZ736" s="338">
        <v>46142</v>
      </c>
      <c r="BA736" s="50"/>
    </row>
    <row r="737" spans="2:53">
      <c r="B737" s="446" t="str">
        <f>_xlfn.CONCAT(Tableau119[[#This Row],[Name ILN]],"-",Tableau119[[#This Row],[Name Shipper]],"-",Tableau119[[#This Row],[Name Site]])</f>
        <v>ILN Chennai-ILN Chennai-DFMIEC</v>
      </c>
      <c r="C737" s="66" t="str">
        <f>_xlfn.CONCAT(Tableau119[[#This Row],[Compte ILN]],"-",Tableau119[[#This Row],[Compte Shipper]],"-",Tableau119[[#This Row],[POL]],"-",Tableau119[[#This Row],[Compte Consignee]])</f>
        <v>2533780546-2533780546-FALSO-0</v>
      </c>
      <c r="D737" s="66" t="str">
        <f>_xlfn.CONCAT(Tableau119[[#This Row],[Compte ILN]],"-",Tableau119[[#This Row],[Compte Shipper]],"-",Tableau119[[#This Row],[POL]])</f>
        <v>2533780546-2533780546-FALSO</v>
      </c>
      <c r="E737" s="130" t="str">
        <f>_xlfn.CONCAT(Tableau119[[#This Row],[POL]],"-",Tableau119[[#This Row],[Carrier]],"-",Tableau119[[#This Row],[POD]])</f>
        <v>FALSO-FALSO-FALSO</v>
      </c>
      <c r="F737" s="66" t="str">
        <f>_xlfn.CONCAT(Tableau119[[#This Row],[ID]],"-","Actif")</f>
        <v>704-Actif</v>
      </c>
      <c r="G737" s="66" t="str">
        <f>_xlfn.CONCAT(Tableau119[[#This Row],[POD]],"-",Tableau119[[#This Row],[Code PFI]],"-",Tableau119[[#This Row],[Compte Consignee]])</f>
        <v>FALSO---0</v>
      </c>
      <c r="H7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737" s="434" t="str">
        <f>_xlfn.CONCAT(Tableau119[[#This Row],[ID]],"-",Tableau119[[#This Row],[Expiration Date]])</f>
        <v>704-45777</v>
      </c>
      <c r="J7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Chennai-704-FALSO-FALSO-FALSO--45777</v>
      </c>
      <c r="K737" s="119" t="str">
        <f ca="1">IF(COUNTIF(J:J,Tableau119[[#This Row],[Plant-ILN-shipper-POL-Carrier-POD-PFI]])=1,"Non","Oui")</f>
        <v>Non</v>
      </c>
      <c r="L737" s="128" t="str">
        <f>VLOOKUP(Tableau119[[#This Row],[Name Site]],Plant_AILN!A:D,4,FALSE)</f>
        <v>CHINA</v>
      </c>
      <c r="M737" s="415" t="s">
        <v>216</v>
      </c>
      <c r="N737" s="455">
        <f>VLOOKUP(Tableau119[[#This Row],[Name Site]],Plant_AILN!A:C,3,FALSE)</f>
        <v>0</v>
      </c>
      <c r="O737" s="104">
        <f>VLOOKUP(Tableau119[[#This Row],[Compte Consignee]],Order!C:D,2,FALSE)</f>
        <v>7</v>
      </c>
      <c r="P737" s="126" t="s">
        <v>149</v>
      </c>
      <c r="Q737" s="366">
        <f>VLOOKUP(Tableau119[[#This Row],[Name ILN]],Plant_AILN!F:G,2,FALSE)</f>
        <v>2533780546</v>
      </c>
      <c r="R737" s="81">
        <f>VLOOKUP(Tableau119[[#This Row],[Compte ILN]],'DATA ILN'!D:I,6,FALSE)</f>
        <v>9</v>
      </c>
      <c r="S737" s="81" t="e">
        <f>IFERROR(VLOOKUP(Tableau119[[#This Row],[Key(Compte ILN - shipper - POL - plant)]],'DATA ILN'!A:J,10,FALSE),VLOOKUP(Tableau119[[#This Row],[Key(Compte ILN - shipper - POL)]],'DATA ILN'!B:J,9,FALSE))</f>
        <v>#N/A</v>
      </c>
      <c r="T737" s="81" t="e">
        <f>IFERROR(VLOOKUP(Tableau119[[#This Row],[Key(Compte ILN - shipper - POL - plant)]],'DATA ILN'!A:K,11,FALSE),VLOOKUP(Tableau119[[#This Row],[Key(Compte ILN - shipper - POL)]],'DATA ILN'!B:K,10,FALSE))</f>
        <v>#N/A</v>
      </c>
      <c r="U737" s="81" t="e">
        <f>IFERROR(VLOOKUP(Tableau119[[#This Row],[Key(Compte ILN - shipper - POL - plant)]],'DATA ILN'!A:L,12,FALSE),VLOOKUP(Tableau119[[#This Row],[Key(Compte ILN - shipper - POL)]],'DATA ILN'!B:L,11,FALSE))</f>
        <v>#N/A</v>
      </c>
      <c r="V737" s="81" t="e">
        <f>Tableau119[[#This Row],[Day ILN Order]]+Tableau119[[#This Row],[Delivery time to ILN/Shipper]]-1</f>
        <v>#N/A</v>
      </c>
      <c r="W737" s="81" t="e">
        <f>IFERROR(VLOOKUP(Tableau119[[#This Row],[Key(Compte ILN - shipper - POL - plant)]],'DATA ILN'!A:N,14,FALSE),VLOOKUP(Tableau119[[#This Row],[Key(Compte ILN - shipper - POL)]],'DATA ILN'!B:N,13,FALSE))</f>
        <v>#N/A</v>
      </c>
      <c r="X737" s="81" t="e">
        <f>IFERROR(VLOOKUP(Tableau119[[#This Row],[Key(Compte ILN - shipper - POL - plant)]],'DATA ILN'!A:P,16,FALSE),VLOOKUP(Tableau119[[#This Row],[Key(Compte ILN - shipper - POL)]],'DATA ILN'!B:P,15,FALSE))</f>
        <v>#N/A</v>
      </c>
      <c r="Y737" s="102" t="s">
        <v>149</v>
      </c>
      <c r="Z737" s="417">
        <f>IFERROR(VLOOKUP(Tableau119[[#This Row],[Name Shipper]],Plant_AILN!L:M,2,FALSE),0)</f>
        <v>2533780546</v>
      </c>
      <c r="AA737" s="416">
        <v>704</v>
      </c>
      <c r="AB737" s="396" t="b">
        <f>_xlfn.XLOOKUP(Tableau119[[#This Row],[Key(ID-date)]],'DATA BTO'!S:S,'DATA BTO'!E:E,FALSE)</f>
        <v>0</v>
      </c>
      <c r="AC737" s="3" t="b">
        <f>_xlfn.XLOOKUP(Tableau119[[#This Row],[Key(ID-date)]],'DATA BTO'!S:S,'DATA BTO'!F:F,FALSE)</f>
        <v>0</v>
      </c>
      <c r="AD737" s="50" t="b">
        <f>_xlfn.XLOOKUP(Tableau119[[#This Row],[Key(ID-date)]],'DATA BTO'!S:S,'DATA BTO'!G:G,FALSE)</f>
        <v>0</v>
      </c>
      <c r="AE737" s="50" t="b">
        <f>_xlfn.XLOOKUP(Tableau119[[#This Row],[Key(ID-date)]],'DATA BTO'!S:S,'DATA BTO'!H:H,FALSE)</f>
        <v>0</v>
      </c>
      <c r="AF737" s="447" t="e">
        <f>IF(Tableau119[[#This Row],[First Day to POL]]&lt;=Tableau119[[#This Row],[Day Cut Off]],Tableau119[[#This Row],[Day ETD]],Tableau119[[#This Row],[Day ETD]]+7)</f>
        <v>#N/A</v>
      </c>
      <c r="AG737" s="50" t="b">
        <f>_xlfn.XLOOKUP(Tableau119[[#This Row],[Key(ID-date)]],'DATA BTO'!S:S,'DATA BTO'!I:I,FALSE)</f>
        <v>0</v>
      </c>
      <c r="AH737" s="3" t="b">
        <f>_xlfn.XLOOKUP(Tableau119[[#This Row],[Key(ID-date)]],'DATA BTO'!S:S,'DATA BTO'!J:J,FALSE)</f>
        <v>0</v>
      </c>
      <c r="AI737" s="3" t="b">
        <f>_xlfn.XLOOKUP(Tableau119[[#This Row],[Key(ID-date)]],'DATA BTO'!S:S,'DATA BTO'!K:K,FALSE)</f>
        <v>0</v>
      </c>
      <c r="AJ737" s="50" t="b">
        <f>_xlfn.XLOOKUP(Tableau119[[#This Row],[Key(ID-date)]],'DATA BTO'!S:S,'DATA BTO'!L:L,FALSE)</f>
        <v>0</v>
      </c>
      <c r="AK737" s="53" t="b">
        <f>_xlfn.XLOOKUP(Tableau119[[#This Row],[Key(ID-date)]],'DATA BTO'!S:S,'DATA BTO'!N:N,FALSE)</f>
        <v>0</v>
      </c>
      <c r="AL737" s="54" t="e">
        <f>VLOOKUP(Tableau119[[#This Row],[Key(POD -PFI- Usine)]],'DATA Consignee'!A:F,6,FALSE)</f>
        <v>#N/A</v>
      </c>
      <c r="AM737" s="102"/>
      <c r="AN737" s="375" t="str">
        <f>IF(Tableau119[[#This Row],[Name PFI/CDD]]="","-",VLOOKUP(Tableau119[[#This Row],[Name PFI/CDD]],Plant_AILN!I:J,2,FALSE))</f>
        <v>-</v>
      </c>
      <c r="AO73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7" s="110" t="e">
        <f>VLOOKUP(Tableau119[[#This Row],[Key(POD -PFI- Usine)]],'DATA Consignee'!A:J,10,FALSE)</f>
        <v>#N/A</v>
      </c>
      <c r="AR737" s="81" t="e">
        <f>VLOOKUP(Tableau119[[#This Row],[Key(POD -PFI- Usine)]],'DATA Consignee'!A:N,14,FALSE)</f>
        <v>#N/A</v>
      </c>
      <c r="AS73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7" s="81">
        <f>Tableau119[[#This Row],[Transit time]]+Tableau119[[#This Row],[Time for security]]+Tableau119[[#This Row],[Time for security2 buffer]]</f>
        <v>0</v>
      </c>
      <c r="AV7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7" s="50" t="e">
        <f>Tableau119[[#This Row],[Leadtime SI2C]]+Tableau119[[#This Row],[First Receipt Days]]-Tableau119[[#This Row],[Day Customer Order]]+1</f>
        <v>#N/A</v>
      </c>
      <c r="AX737" s="119" t="e">
        <f>IF(Tableau119[[#This Row],[Name ILN]]&lt;&gt;"SFK Freight Forwarder",Tableau119[[#This Row],[Cust. Leadtime]],Tableau119[[#This Row],[Leadtime SI2C]])</f>
        <v>#N/A</v>
      </c>
      <c r="AY737" s="51" t="b">
        <f>_xlfn.XLOOKUP(Tableau119[[#This Row],[Key(ID-date)]],'DATA BTO'!S:S,'DATA BTO'!P:P,FALSE)</f>
        <v>0</v>
      </c>
      <c r="AZ737" s="388">
        <v>45777</v>
      </c>
      <c r="BA737" s="81"/>
    </row>
    <row r="738" spans="2:53">
      <c r="B738" s="446" t="str">
        <f>_xlfn.CONCAT(Tableau119[[#This Row],[Name ILN]],"-",Tableau119[[#This Row],[Name Shipper]],"-",Tableau119[[#This Row],[Name Site]])</f>
        <v>ILN Chennai-ILN Chennai-DFMIEC</v>
      </c>
      <c r="C738" s="66" t="str">
        <f>_xlfn.CONCAT(Tableau119[[#This Row],[Compte ILN]],"-",Tableau119[[#This Row],[Compte Shipper]],"-",Tableau119[[#This Row],[POL]],"-",Tableau119[[#This Row],[Compte Consignee]])</f>
        <v>2533780546-2533780546-FALSO-0</v>
      </c>
      <c r="D738" s="66" t="str">
        <f>_xlfn.CONCAT(Tableau119[[#This Row],[Compte ILN]],"-",Tableau119[[#This Row],[Compte Shipper]],"-",Tableau119[[#This Row],[POL]])</f>
        <v>2533780546-2533780546-FALSO</v>
      </c>
      <c r="E738" s="130" t="str">
        <f>_xlfn.CONCAT(Tableau119[[#This Row],[POL]],"-",Tableau119[[#This Row],[Carrier]],"-",Tableau119[[#This Row],[POD]])</f>
        <v>FALSO-FALSO-FALSO</v>
      </c>
      <c r="F738" s="66" t="str">
        <f>_xlfn.CONCAT(Tableau119[[#This Row],[ID]],"-","Actif")</f>
        <v>704-Actif</v>
      </c>
      <c r="G738" s="66" t="str">
        <f>_xlfn.CONCAT(Tableau119[[#This Row],[POD]],"-",Tableau119[[#This Row],[Code PFI]],"-",Tableau119[[#This Row],[Compte Consignee]])</f>
        <v>FALSO---0</v>
      </c>
      <c r="H7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738" s="434" t="str">
        <f>_xlfn.CONCAT(Tableau119[[#This Row],[ID]],"-",Tableau119[[#This Row],[Expiration Date]])</f>
        <v>704-45473</v>
      </c>
      <c r="J7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Chennai-704-FALSO-FALSO-FALSO--45473</v>
      </c>
      <c r="K738" s="119" t="str">
        <f ca="1">IF(COUNTIF(J:J,Tableau119[[#This Row],[Plant-ILN-shipper-POL-Carrier-POD-PFI]])=1,"Non","Oui")</f>
        <v>Non</v>
      </c>
      <c r="L738" s="128" t="str">
        <f>VLOOKUP(Tableau119[[#This Row],[Name Site]],Plant_AILN!A:D,4,FALSE)</f>
        <v>CHINA</v>
      </c>
      <c r="M738" s="411" t="s">
        <v>216</v>
      </c>
      <c r="N738" s="454">
        <f>VLOOKUP(Tableau119[[#This Row],[Name Site]],Plant_AILN!A:C,3,FALSE)</f>
        <v>0</v>
      </c>
      <c r="O738" s="55">
        <f>VLOOKUP(Tableau119[[#This Row],[Compte Consignee]],Order!C:D,2,FALSE)</f>
        <v>7</v>
      </c>
      <c r="P738" s="124" t="s">
        <v>149</v>
      </c>
      <c r="Q738" s="365">
        <f>VLOOKUP(Tableau119[[#This Row],[Name ILN]],Plant_AILN!F:G,2,FALSE)</f>
        <v>2533780546</v>
      </c>
      <c r="R738" s="50">
        <f>VLOOKUP(Tableau119[[#This Row],[Compte ILN]],'DATA ILN'!D:I,6,FALSE)</f>
        <v>9</v>
      </c>
      <c r="S738" s="50" t="e">
        <f>IFERROR(VLOOKUP(Tableau119[[#This Row],[Key(Compte ILN - shipper - POL - plant)]],'DATA ILN'!A:J,10,FALSE),VLOOKUP(Tableau119[[#This Row],[Key(Compte ILN - shipper - POL)]],'DATA ILN'!B:J,9,FALSE))</f>
        <v>#N/A</v>
      </c>
      <c r="T738" s="50" t="e">
        <f>IFERROR(VLOOKUP(Tableau119[[#This Row],[Key(Compte ILN - shipper - POL - plant)]],'DATA ILN'!A:K,11,FALSE),VLOOKUP(Tableau119[[#This Row],[Key(Compte ILN - shipper - POL)]],'DATA ILN'!B:K,10,FALSE))</f>
        <v>#N/A</v>
      </c>
      <c r="U738" s="50" t="e">
        <f>IFERROR(VLOOKUP(Tableau119[[#This Row],[Key(Compte ILN - shipper - POL - plant)]],'DATA ILN'!A:L,12,FALSE),VLOOKUP(Tableau119[[#This Row],[Key(Compte ILN - shipper - POL)]],'DATA ILN'!B:L,11,FALSE))</f>
        <v>#N/A</v>
      </c>
      <c r="V738" s="50" t="e">
        <f>Tableau119[[#This Row],[Day ILN Order]]+Tableau119[[#This Row],[Delivery time to ILN/Shipper]]-1</f>
        <v>#N/A</v>
      </c>
      <c r="W738" s="50" t="e">
        <f>IFERROR(VLOOKUP(Tableau119[[#This Row],[Key(Compte ILN - shipper - POL - plant)]],'DATA ILN'!A:N,14,FALSE),VLOOKUP(Tableau119[[#This Row],[Key(Compte ILN - shipper - POL)]],'DATA ILN'!B:N,13,FALSE))</f>
        <v>#N/A</v>
      </c>
      <c r="X738" s="50" t="e">
        <f>IFERROR(VLOOKUP(Tableau119[[#This Row],[Key(Compte ILN - shipper - POL - plant)]],'DATA ILN'!A:P,16,FALSE),VLOOKUP(Tableau119[[#This Row],[Key(Compte ILN - shipper - POL)]],'DATA ILN'!B:P,15,FALSE))</f>
        <v>#N/A</v>
      </c>
      <c r="Y738" s="284" t="s">
        <v>149</v>
      </c>
      <c r="Z738" s="430">
        <f>IFERROR(VLOOKUP(Tableau119[[#This Row],[Name Shipper]],Plant_AILN!L:M,2,FALSE),0)</f>
        <v>2533780546</v>
      </c>
      <c r="AA738" s="406">
        <v>704</v>
      </c>
      <c r="AB738" s="396" t="b">
        <f>_xlfn.XLOOKUP(Tableau119[[#This Row],[Key(ID-date)]],'DATA BTO'!S:S,'DATA BTO'!E:E,FALSE)</f>
        <v>0</v>
      </c>
      <c r="AC738" s="3" t="b">
        <f>_xlfn.XLOOKUP(Tableau119[[#This Row],[Key(ID-date)]],'DATA BTO'!S:S,'DATA BTO'!F:F,FALSE)</f>
        <v>0</v>
      </c>
      <c r="AD738" s="50" t="b">
        <f>_xlfn.XLOOKUP(Tableau119[[#This Row],[Key(ID-date)]],'DATA BTO'!S:S,'DATA BTO'!G:G,FALSE)</f>
        <v>0</v>
      </c>
      <c r="AE738" s="50" t="b">
        <f>_xlfn.XLOOKUP(Tableau119[[#This Row],[Key(ID-date)]],'DATA BTO'!S:S,'DATA BTO'!H:H,FALSE)</f>
        <v>0</v>
      </c>
      <c r="AF738" s="447" t="e">
        <f>IF(Tableau119[[#This Row],[First Day to POL]]&lt;=Tableau119[[#This Row],[Day Cut Off]],Tableau119[[#This Row],[Day ETD]],Tableau119[[#This Row],[Day ETD]]+7)</f>
        <v>#N/A</v>
      </c>
      <c r="AG738" s="50" t="b">
        <f>_xlfn.XLOOKUP(Tableau119[[#This Row],[Key(ID-date)]],'DATA BTO'!S:S,'DATA BTO'!I:I,FALSE)</f>
        <v>0</v>
      </c>
      <c r="AH738" s="3" t="b">
        <f>_xlfn.XLOOKUP(Tableau119[[#This Row],[Key(ID-date)]],'DATA BTO'!S:S,'DATA BTO'!J:J,FALSE)</f>
        <v>0</v>
      </c>
      <c r="AI738" s="3" t="b">
        <f>_xlfn.XLOOKUP(Tableau119[[#This Row],[Key(ID-date)]],'DATA BTO'!S:S,'DATA BTO'!K:K,FALSE)</f>
        <v>0</v>
      </c>
      <c r="AJ738" s="50" t="b">
        <f>_xlfn.XLOOKUP(Tableau119[[#This Row],[Key(ID-date)]],'DATA BTO'!S:S,'DATA BTO'!L:L,FALSE)</f>
        <v>0</v>
      </c>
      <c r="AK738" s="53" t="b">
        <f>_xlfn.XLOOKUP(Tableau119[[#This Row],[Key(ID-date)]],'DATA BTO'!S:S,'DATA BTO'!N:N,FALSE)</f>
        <v>0</v>
      </c>
      <c r="AL738" s="54" t="e">
        <f>VLOOKUP(Tableau119[[#This Row],[Key(POD -PFI- Usine)]],'DATA Consignee'!A:F,6,FALSE)</f>
        <v>#N/A</v>
      </c>
      <c r="AM738" s="284"/>
      <c r="AN738" s="376" t="str">
        <f>IF(Tableau119[[#This Row],[Name PFI/CDD]]="","-",VLOOKUP(Tableau119[[#This Row],[Name PFI/CDD]],Plant_AILN!I:J,2,FALSE))</f>
        <v>-</v>
      </c>
      <c r="AO7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8" s="2" t="e">
        <f>VLOOKUP(Tableau119[[#This Row],[Key(POD -PFI- Usine)]],'DATA Consignee'!A:J,10,FALSE)</f>
        <v>#N/A</v>
      </c>
      <c r="AR738" s="50" t="e">
        <f>VLOOKUP(Tableau119[[#This Row],[Key(POD -PFI- Usine)]],'DATA Consignee'!A:N,14,FALSE)</f>
        <v>#N/A</v>
      </c>
      <c r="AS7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8" s="50">
        <f>Tableau119[[#This Row],[Transit time]]+Tableau119[[#This Row],[Time for security]]+Tableau119[[#This Row],[Time for security2 buffer]]</f>
        <v>0</v>
      </c>
      <c r="AV7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8" s="50" t="e">
        <f>Tableau119[[#This Row],[Leadtime SI2C]]+Tableau119[[#This Row],[First Receipt Days]]-Tableau119[[#This Row],[Day Customer Order]]+1</f>
        <v>#N/A</v>
      </c>
      <c r="AX738" s="119" t="e">
        <f>IF(Tableau119[[#This Row],[Name ILN]]&lt;&gt;"SFK Freight Forwarder",Tableau119[[#This Row],[Cust. Leadtime]],Tableau119[[#This Row],[Leadtime SI2C]])</f>
        <v>#N/A</v>
      </c>
      <c r="AY738" s="51" t="b">
        <f>_xlfn.XLOOKUP(Tableau119[[#This Row],[Key(ID-date)]],'DATA BTO'!S:S,'DATA BTO'!P:P,FALSE)</f>
        <v>0</v>
      </c>
      <c r="AZ738" s="338">
        <v>45473</v>
      </c>
      <c r="BA738" s="50"/>
    </row>
    <row r="739" spans="2:53">
      <c r="B739" s="446" t="str">
        <f>_xlfn.CONCAT(Tableau119[[#This Row],[Name ILN]],"-",Tableau119[[#This Row],[Name Shipper]],"-",Tableau119[[#This Row],[Name Site]])</f>
        <v>ILN Chennai-ILN Chennai-DFMIEC</v>
      </c>
      <c r="C739" s="66" t="str">
        <f>_xlfn.CONCAT(Tableau119[[#This Row],[Compte ILN]],"-",Tableau119[[#This Row],[Compte Shipper]],"-",Tableau119[[#This Row],[POL]],"-",Tableau119[[#This Row],[Compte Consignee]])</f>
        <v>2533780546-2533780546-FALSO-0</v>
      </c>
      <c r="D739" s="66" t="str">
        <f>_xlfn.CONCAT(Tableau119[[#This Row],[Compte ILN]],"-",Tableau119[[#This Row],[Compte Shipper]],"-",Tableau119[[#This Row],[POL]])</f>
        <v>2533780546-2533780546-FALSO</v>
      </c>
      <c r="E739" s="130" t="str">
        <f>_xlfn.CONCAT(Tableau119[[#This Row],[POL]],"-",Tableau119[[#This Row],[Carrier]],"-",Tableau119[[#This Row],[POD]])</f>
        <v>FALSO-FALSO-FALSO</v>
      </c>
      <c r="F739" s="66" t="str">
        <f>_xlfn.CONCAT(Tableau119[[#This Row],[ID]],"-","Actif")</f>
        <v>704-Actif</v>
      </c>
      <c r="G739" s="66" t="str">
        <f>_xlfn.CONCAT(Tableau119[[#This Row],[POD]],"-",Tableau119[[#This Row],[Code PFI]],"-",Tableau119[[#This Row],[Compte Consignee]])</f>
        <v>FALSO---0</v>
      </c>
      <c r="H7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ChennaiFALSODFMIEC</v>
      </c>
      <c r="I739" s="434" t="str">
        <f>_xlfn.CONCAT(Tableau119[[#This Row],[ID]],"-",Tableau119[[#This Row],[Expiration Date]])</f>
        <v>704-45412</v>
      </c>
      <c r="J7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DFMIEC-ILN Chennai-ILN Chennai-704-FALSO-FALSO-FALSO--45412</v>
      </c>
      <c r="K739" s="119" t="str">
        <f ca="1">IF(COUNTIF(J:J,Tableau119[[#This Row],[Plant-ILN-shipper-POL-Carrier-POD-PFI]])=1,"Non","Oui")</f>
        <v>Non</v>
      </c>
      <c r="L739" s="128" t="str">
        <f>VLOOKUP(Tableau119[[#This Row],[Name Site]],Plant_AILN!A:D,4,FALSE)</f>
        <v>CHINA</v>
      </c>
      <c r="M739" s="411" t="s">
        <v>216</v>
      </c>
      <c r="N739" s="454">
        <f>VLOOKUP(Tableau119[[#This Row],[Name Site]],Plant_AILN!A:C,3,FALSE)</f>
        <v>0</v>
      </c>
      <c r="O739" s="55">
        <f>VLOOKUP(Tableau119[[#This Row],[Compte Consignee]],Order!C:D,2,FALSE)</f>
        <v>7</v>
      </c>
      <c r="P739" s="124" t="s">
        <v>149</v>
      </c>
      <c r="Q739" s="365">
        <f>VLOOKUP(Tableau119[[#This Row],[Name ILN]],Plant_AILN!F:G,2,FALSE)</f>
        <v>2533780546</v>
      </c>
      <c r="R739" s="50">
        <f>VLOOKUP(Tableau119[[#This Row],[Compte ILN]],'DATA ILN'!D:I,6,FALSE)</f>
        <v>9</v>
      </c>
      <c r="S739" s="50" t="e">
        <f>IFERROR(VLOOKUP(Tableau119[[#This Row],[Key(Compte ILN - shipper - POL - plant)]],'DATA ILN'!A:J,10,FALSE),VLOOKUP(Tableau119[[#This Row],[Key(Compte ILN - shipper - POL)]],'DATA ILN'!B:J,9,FALSE))</f>
        <v>#N/A</v>
      </c>
      <c r="T739" s="50" t="e">
        <f>IFERROR(VLOOKUP(Tableau119[[#This Row],[Key(Compte ILN - shipper - POL - plant)]],'DATA ILN'!A:K,11,FALSE),VLOOKUP(Tableau119[[#This Row],[Key(Compte ILN - shipper - POL)]],'DATA ILN'!B:K,10,FALSE))</f>
        <v>#N/A</v>
      </c>
      <c r="U739" s="50" t="e">
        <f>IFERROR(VLOOKUP(Tableau119[[#This Row],[Key(Compte ILN - shipper - POL - plant)]],'DATA ILN'!A:L,12,FALSE),VLOOKUP(Tableau119[[#This Row],[Key(Compte ILN - shipper - POL)]],'DATA ILN'!B:L,11,FALSE))</f>
        <v>#N/A</v>
      </c>
      <c r="V739" s="50" t="e">
        <f>Tableau119[[#This Row],[Day ILN Order]]+Tableau119[[#This Row],[Delivery time to ILN/Shipper]]-1</f>
        <v>#N/A</v>
      </c>
      <c r="W739" s="50" t="e">
        <f>IFERROR(VLOOKUP(Tableau119[[#This Row],[Key(Compte ILN - shipper - POL - plant)]],'DATA ILN'!A:N,14,FALSE),VLOOKUP(Tableau119[[#This Row],[Key(Compte ILN - shipper - POL)]],'DATA ILN'!B:N,13,FALSE))</f>
        <v>#N/A</v>
      </c>
      <c r="X739" s="50" t="e">
        <f>IFERROR(VLOOKUP(Tableau119[[#This Row],[Key(Compte ILN - shipper - POL - plant)]],'DATA ILN'!A:P,16,FALSE),VLOOKUP(Tableau119[[#This Row],[Key(Compte ILN - shipper - POL)]],'DATA ILN'!B:P,15,FALSE))</f>
        <v>#N/A</v>
      </c>
      <c r="Y739" s="284" t="s">
        <v>149</v>
      </c>
      <c r="Z739" s="430">
        <f>IFERROR(VLOOKUP(Tableau119[[#This Row],[Name Shipper]],Plant_AILN!L:M,2,FALSE),0)</f>
        <v>2533780546</v>
      </c>
      <c r="AA739" s="406">
        <v>704</v>
      </c>
      <c r="AB739" s="396" t="b">
        <f>_xlfn.XLOOKUP(Tableau119[[#This Row],[Key(ID-date)]],'DATA BTO'!S:S,'DATA BTO'!E:E,FALSE)</f>
        <v>0</v>
      </c>
      <c r="AC739" s="3" t="b">
        <f>_xlfn.XLOOKUP(Tableau119[[#This Row],[Key(ID-date)]],'DATA BTO'!S:S,'DATA BTO'!F:F,FALSE)</f>
        <v>0</v>
      </c>
      <c r="AD739" s="50" t="b">
        <f>_xlfn.XLOOKUP(Tableau119[[#This Row],[Key(ID-date)]],'DATA BTO'!S:S,'DATA BTO'!G:G,FALSE)</f>
        <v>0</v>
      </c>
      <c r="AE739" s="50" t="b">
        <f>_xlfn.XLOOKUP(Tableau119[[#This Row],[Key(ID-date)]],'DATA BTO'!S:S,'DATA BTO'!H:H,FALSE)</f>
        <v>0</v>
      </c>
      <c r="AF739" s="447" t="e">
        <f>IF(Tableau119[[#This Row],[First Day to POL]]&lt;=Tableau119[[#This Row],[Day Cut Off]],Tableau119[[#This Row],[Day ETD]],Tableau119[[#This Row],[Day ETD]]+7)</f>
        <v>#N/A</v>
      </c>
      <c r="AG739" s="50" t="b">
        <f>_xlfn.XLOOKUP(Tableau119[[#This Row],[Key(ID-date)]],'DATA BTO'!S:S,'DATA BTO'!I:I,FALSE)</f>
        <v>0</v>
      </c>
      <c r="AH739" s="3" t="b">
        <f>_xlfn.XLOOKUP(Tableau119[[#This Row],[Key(ID-date)]],'DATA BTO'!S:S,'DATA BTO'!J:J,FALSE)</f>
        <v>0</v>
      </c>
      <c r="AI739" s="3" t="b">
        <f>_xlfn.XLOOKUP(Tableau119[[#This Row],[Key(ID-date)]],'DATA BTO'!S:S,'DATA BTO'!K:K,FALSE)</f>
        <v>0</v>
      </c>
      <c r="AJ739" s="50" t="b">
        <f>_xlfn.XLOOKUP(Tableau119[[#This Row],[Key(ID-date)]],'DATA BTO'!S:S,'DATA BTO'!L:L,FALSE)</f>
        <v>0</v>
      </c>
      <c r="AK739" s="53" t="b">
        <f>_xlfn.XLOOKUP(Tableau119[[#This Row],[Key(ID-date)]],'DATA BTO'!S:S,'DATA BTO'!N:N,FALSE)</f>
        <v>0</v>
      </c>
      <c r="AL739" s="54" t="e">
        <f>VLOOKUP(Tableau119[[#This Row],[Key(POD -PFI- Usine)]],'DATA Consignee'!A:F,6,FALSE)</f>
        <v>#N/A</v>
      </c>
      <c r="AM739" s="284"/>
      <c r="AN739" s="376" t="str">
        <f>IF(Tableau119[[#This Row],[Name PFI/CDD]]="","-",VLOOKUP(Tableau119[[#This Row],[Name PFI/CDD]],Plant_AILN!I:J,2,FALSE))</f>
        <v>-</v>
      </c>
      <c r="AO7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39" s="2" t="e">
        <f>VLOOKUP(Tableau119[[#This Row],[Key(POD -PFI- Usine)]],'DATA Consignee'!A:J,10,FALSE)</f>
        <v>#N/A</v>
      </c>
      <c r="AR739" s="50" t="e">
        <f>VLOOKUP(Tableau119[[#This Row],[Key(POD -PFI- Usine)]],'DATA Consignee'!A:N,14,FALSE)</f>
        <v>#N/A</v>
      </c>
      <c r="AS73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3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39" s="50">
        <f>Tableau119[[#This Row],[Transit time]]+Tableau119[[#This Row],[Time for security]]+Tableau119[[#This Row],[Time for security2 buffer]]</f>
        <v>0</v>
      </c>
      <c r="AV7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39" s="50" t="e">
        <f>Tableau119[[#This Row],[Leadtime SI2C]]+Tableau119[[#This Row],[First Receipt Days]]-Tableau119[[#This Row],[Day Customer Order]]+1</f>
        <v>#N/A</v>
      </c>
      <c r="AX739" s="119" t="e">
        <f>IF(Tableau119[[#This Row],[Name ILN]]&lt;&gt;"SFK Freight Forwarder",Tableau119[[#This Row],[Cust. Leadtime]],Tableau119[[#This Row],[Leadtime SI2C]])</f>
        <v>#N/A</v>
      </c>
      <c r="AY739" s="51" t="b">
        <f>_xlfn.XLOOKUP(Tableau119[[#This Row],[Key(ID-date)]],'DATA BTO'!S:S,'DATA BTO'!P:P,FALSE)</f>
        <v>0</v>
      </c>
      <c r="AZ739" s="338">
        <v>45412</v>
      </c>
      <c r="BA739" s="50"/>
    </row>
    <row r="740" spans="2:53">
      <c r="B740" s="66" t="str">
        <f>_xlfn.CONCAT(Tableau119[[#This Row],[Name ILN]],"-",Tableau119[[#This Row],[Name Shipper]],"-",Tableau119[[#This Row],[Name Site]])</f>
        <v>SFK Freight Forwarder-Magna Shanghai-Curitiba CVP</v>
      </c>
      <c r="C740" s="66" t="str">
        <f>_xlfn.CONCAT(Tableau119[[#This Row],[Compte ILN]],"-",Tableau119[[#This Row],[Compte Shipper]],"-",Tableau119[[#This Row],[POL]],"-",Tableau119[[#This Row],[Compte Consignee]])</f>
        <v>0-42838303-CNSHA-90018000</v>
      </c>
      <c r="D740" s="66" t="str">
        <f>_xlfn.CONCAT(Tableau119[[#This Row],[Compte ILN]],"-",Tableau119[[#This Row],[Compte Shipper]],"-",Tableau119[[#This Row],[POL]])</f>
        <v>0-42838303-CNSHA</v>
      </c>
      <c r="E740" s="130" t="str">
        <f>_xlfn.CONCAT(Tableau119[[#This Row],[POL]],"-",Tableau119[[#This Row],[Carrier]],"-",Tableau119[[#This Row],[POD]])</f>
        <v>CNSHA-CMA-CGM-BRPNG</v>
      </c>
      <c r="F740" s="66" t="str">
        <f>_xlfn.CONCAT(Tableau119[[#This Row],[ID]],"-","Actif")</f>
        <v>752-Actif</v>
      </c>
      <c r="G740" s="66" t="str">
        <f>_xlfn.CONCAT(Tableau119[[#This Row],[POD]],"-",Tableau119[[#This Row],[Code PFI]],"-",Tableau119[[#This Row],[Compte Consignee]])</f>
        <v>BRPNG---90018000</v>
      </c>
      <c r="H7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42838303CNSHACuritiba CVP</v>
      </c>
      <c r="I740" s="434" t="str">
        <f>_xlfn.CONCAT(Tableau119[[#This Row],[ID]],"-",Tableau119[[#This Row],[Expiration Date]])</f>
        <v>752-46142</v>
      </c>
      <c r="J7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Forwarder-Magna Shanghai-752-CNSHA-CMA-CGM-BRPNG--46142</v>
      </c>
      <c r="K740" s="119" t="str">
        <f ca="1">IF(COUNTIF(J:J,Tableau119[[#This Row],[Plant-ILN-shipper-POL-Carrier-POD-PFI]])=1,"Non","Oui")</f>
        <v>Non</v>
      </c>
      <c r="L740" s="436" t="str">
        <f>VLOOKUP(Tableau119[[#This Row],[Name Site]],Plant_AILN!A:D,4,FALSE)</f>
        <v>BRAZIL</v>
      </c>
      <c r="M740" s="485" t="s">
        <v>152</v>
      </c>
      <c r="N740" s="455">
        <f>VLOOKUP(Tableau119[[#This Row],[Name Site]],Plant_AILN!A:C,3,FALSE)</f>
        <v>90018000</v>
      </c>
      <c r="O740" s="104">
        <f>IF(Tableau119[[#This Row],[Name PFI/CDD]]="PFI VLL",2,VLOOKUP(Tableau119[[#This Row],[Compte Consignee]],Order!C:D,2,FALSE))</f>
        <v>7</v>
      </c>
      <c r="P740" s="126" t="s">
        <v>146</v>
      </c>
      <c r="Q740" s="366">
        <f>VLOOKUP(Tableau119[[#This Row],[Name ILN]],Plant_AILN!F:G,2,FALSE)</f>
        <v>0</v>
      </c>
      <c r="R740" s="81">
        <f>VLOOKUP(Tableau119[[#This Row],[Compte ILN]],'DATA ILN'!D:I,6,FALSE)</f>
        <v>9</v>
      </c>
      <c r="S740" s="81">
        <f>IFERROR(VLOOKUP(Tableau119[[#This Row],[Key(Compte ILN - shipper - POL - plant)]],'DATA ILN'!A:J,10,FALSE),VLOOKUP(Tableau119[[#This Row],[Key(Compte ILN - shipper - POL)]],'DATA ILN'!B:J,9,FALSE))</f>
        <v>7</v>
      </c>
      <c r="T740" s="81">
        <f>IFERROR(VLOOKUP(Tableau119[[#This Row],[Key(Compte ILN - shipper - POL - plant)]],'DATA ILN'!A:K,11,FALSE),VLOOKUP(Tableau119[[#This Row],[Key(Compte ILN - shipper - POL)]],'DATA ILN'!B:K,10,FALSE))</f>
        <v>5</v>
      </c>
      <c r="U740" s="81">
        <f>IFERROR(VLOOKUP(Tableau119[[#This Row],[Key(Compte ILN - shipper - POL - plant)]],'DATA ILN'!A:L,12,FALSE),VLOOKUP(Tableau119[[#This Row],[Key(Compte ILN - shipper - POL)]],'DATA ILN'!B:L,11,FALSE))</f>
        <v>7</v>
      </c>
      <c r="V740" s="81">
        <f>Tableau119[[#This Row],[Day ILN Order]]+Tableau119[[#This Row],[Delivery time to ILN/Shipper]]-1</f>
        <v>15</v>
      </c>
      <c r="W740" s="81">
        <f>IFERROR(VLOOKUP(Tableau119[[#This Row],[Key(Compte ILN - shipper - POL - plant)]],'DATA ILN'!A:N,14,FALSE),VLOOKUP(Tableau119[[#This Row],[Key(Compte ILN - shipper - POL)]],'DATA ILN'!B:N,13,FALSE))</f>
        <v>8</v>
      </c>
      <c r="X740" s="81">
        <f>IFERROR(VLOOKUP(Tableau119[[#This Row],[Key(Compte ILN - shipper - POL - plant)]],'DATA ILN'!A:P,16,FALSE),VLOOKUP(Tableau119[[#This Row],[Key(Compte ILN - shipper - POL)]],'DATA ILN'!B:P,15,FALSE))</f>
        <v>3</v>
      </c>
      <c r="Y740" s="102" t="s">
        <v>153</v>
      </c>
      <c r="Z740" s="417">
        <f>IFERROR(VLOOKUP(Tableau119[[#This Row],[Name Shipper]],Plant_AILN!L:M,2,FALSE),0)</f>
        <v>42838303</v>
      </c>
      <c r="AA740" s="416">
        <v>752</v>
      </c>
      <c r="AB740" s="396" t="str">
        <f>_xlfn.XLOOKUP(Tableau119[[#This Row],[Key(ID-date)]],'DATA BTO'!S:S,'DATA BTO'!E:E,FALSE)</f>
        <v>CNSHA</v>
      </c>
      <c r="AC740" s="3" t="str">
        <f>_xlfn.XLOOKUP(Tableau119[[#This Row],[Key(ID-date)]],'DATA BTO'!S:S,'DATA BTO'!F:F,FALSE)</f>
        <v>CMA-CGM</v>
      </c>
      <c r="AD740" s="50">
        <f>_xlfn.XLOOKUP(Tableau119[[#This Row],[Key(ID-date)]],'DATA BTO'!S:S,'DATA BTO'!G:G,FALSE)</f>
        <v>3</v>
      </c>
      <c r="AE740" s="50">
        <f>_xlfn.XLOOKUP(Tableau119[[#This Row],[Key(ID-date)]],'DATA BTO'!S:S,'DATA BTO'!H:H,FALSE)</f>
        <v>5</v>
      </c>
      <c r="AF740" s="447">
        <f>IF(Tableau119[[#This Row],[First Day to POL]]&lt;=Tableau119[[#This Row],[Day Cut Off]],Tableau119[[#This Row],[Day ETD]],Tableau119[[#This Row],[Day ETD]]+7)</f>
        <v>5</v>
      </c>
      <c r="AG740" s="50">
        <f>_xlfn.XLOOKUP(Tableau119[[#This Row],[Key(ID-date)]],'DATA BTO'!S:S,'DATA BTO'!I:I,FALSE)</f>
        <v>45</v>
      </c>
      <c r="AH740" s="3" t="str">
        <f>_xlfn.XLOOKUP(Tableau119[[#This Row],[Key(ID-date)]],'DATA BTO'!S:S,'DATA BTO'!J:J,FALSE)</f>
        <v>BRPNG</v>
      </c>
      <c r="AI740" s="3">
        <f>_xlfn.XLOOKUP(Tableau119[[#This Row],[Key(ID-date)]],'DATA BTO'!S:S,'DATA BTO'!K:K,FALSE)</f>
        <v>3</v>
      </c>
      <c r="AJ740" s="50">
        <f>_xlfn.XLOOKUP(Tableau119[[#This Row],[Key(ID-date)]],'DATA BTO'!S:S,'DATA BTO'!L:L,FALSE)</f>
        <v>0</v>
      </c>
      <c r="AK740" s="53" t="str">
        <f>_xlfn.XLOOKUP(Tableau119[[#This Row],[Key(ID-date)]],'DATA BTO'!S:S,'DATA BTO'!N:N,FALSE)</f>
        <v>Max</v>
      </c>
      <c r="AL740" s="54">
        <f>VLOOKUP(Tableau119[[#This Row],[Key(POD -PFI- Usine)]],'DATA Consignee'!A:F,6,FALSE)</f>
        <v>2</v>
      </c>
      <c r="AM740" s="102"/>
      <c r="AN740" s="375" t="str">
        <f>IF(Tableau119[[#This Row],[Name PFI/CDD]]="","-",VLOOKUP(Tableau119[[#This Row],[Name PFI/CDD]],Plant_AILN!I:J,2,FALSE))</f>
        <v>-</v>
      </c>
      <c r="AO74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0" s="110">
        <f>VLOOKUP(Tableau119[[#This Row],[Key(POD -PFI- Usine)]],'DATA Consignee'!A:J,10,FALSE)</f>
        <v>0</v>
      </c>
      <c r="AR740" s="81">
        <f>VLOOKUP(Tableau119[[#This Row],[Key(POD -PFI- Usine)]],'DATA Consignee'!A:N,14,FALSE)</f>
        <v>2</v>
      </c>
      <c r="AS74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74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740" s="81">
        <f>Tableau119[[#This Row],[Transit time]]+Tableau119[[#This Row],[Time for security]]+Tableau119[[#This Row],[Time for security2 buffer]]</f>
        <v>48</v>
      </c>
      <c r="AV74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740" s="50">
        <f>Tableau119[[#This Row],[Leadtime SI2C]]+Tableau119[[#This Row],[First Receipt Days]]-Tableau119[[#This Row],[Day Customer Order]]+1</f>
        <v>78</v>
      </c>
      <c r="AX740" s="119">
        <f>IF(Tableau119[[#This Row],[Name ILN]]&lt;&gt;"SFK Freight Forwarder",Tableau119[[#This Row],[Cust. Leadtime]],Tableau119[[#This Row],[Leadtime SI2C]])</f>
        <v>69</v>
      </c>
      <c r="AY740" s="51" t="str">
        <f>_xlfn.XLOOKUP(Tableau119[[#This Row],[Key(ID-date)]],'DATA BTO'!S:S,'DATA BTO'!P:P,FALSE)</f>
        <v>Horse &gt; Renault BPH (MLP)</v>
      </c>
      <c r="AZ740" s="388">
        <v>46142</v>
      </c>
      <c r="BA740" s="81"/>
    </row>
    <row r="741" spans="2:53">
      <c r="B741" s="446" t="str">
        <f>_xlfn.CONCAT(Tableau119[[#This Row],[Name ILN]],"-",Tableau119[[#This Row],[Name Shipper]],"-",Tableau119[[#This Row],[Name Site]])</f>
        <v>SFK Freight Forwarder-Magna Shanghai-Curitiba CVP</v>
      </c>
      <c r="C741" s="66" t="str">
        <f>_xlfn.CONCAT(Tableau119[[#This Row],[Compte ILN]],"-",Tableau119[[#This Row],[Compte Shipper]],"-",Tableau119[[#This Row],[POL]],"-",Tableau119[[#This Row],[Compte Consignee]])</f>
        <v>0-42838303-CNSHA-90018000</v>
      </c>
      <c r="D741" s="66" t="str">
        <f>_xlfn.CONCAT(Tableau119[[#This Row],[Compte ILN]],"-",Tableau119[[#This Row],[Compte Shipper]],"-",Tableau119[[#This Row],[POL]])</f>
        <v>0-42838303-CNSHA</v>
      </c>
      <c r="E741" s="130" t="str">
        <f>_xlfn.CONCAT(Tableau119[[#This Row],[POL]],"-",Tableau119[[#This Row],[Carrier]],"-",Tableau119[[#This Row],[POD]])</f>
        <v>CNSHA-CMA-CGM-BRPNG</v>
      </c>
      <c r="F741" s="66" t="str">
        <f>_xlfn.CONCAT(Tableau119[[#This Row],[ID]],"-","Actif")</f>
        <v>752-Actif</v>
      </c>
      <c r="G741" s="66" t="str">
        <f>_xlfn.CONCAT(Tableau119[[#This Row],[POD]],"-",Tableau119[[#This Row],[Code PFI]],"-",Tableau119[[#This Row],[Compte Consignee]])</f>
        <v>BRPNG---90018000</v>
      </c>
      <c r="H7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42838303CNSHACuritiba CVP</v>
      </c>
      <c r="I741" s="434" t="str">
        <f>_xlfn.CONCAT(Tableau119[[#This Row],[ID]],"-",Tableau119[[#This Row],[Expiration Date]])</f>
        <v>752-45991</v>
      </c>
      <c r="J7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Forwarder-Magna Shanghai-752-CNSHA-CMA-CGM-BRPNG--45991</v>
      </c>
      <c r="K741" s="119" t="str">
        <f ca="1">IF(COUNTIF(J:J,Tableau119[[#This Row],[Plant-ILN-shipper-POL-Carrier-POD-PFI]])=1,"Non","Oui")</f>
        <v>Non</v>
      </c>
      <c r="L741" s="128" t="str">
        <f>VLOOKUP(Tableau119[[#This Row],[Name Site]],Plant_AILN!A:D,4,FALSE)</f>
        <v>BRAZIL</v>
      </c>
      <c r="M741" s="411" t="s">
        <v>152</v>
      </c>
      <c r="N741" s="454">
        <f>VLOOKUP(Tableau119[[#This Row],[Name Site]],Plant_AILN!A:C,3,FALSE)</f>
        <v>90018000</v>
      </c>
      <c r="O741" s="55">
        <f>VLOOKUP(Tableau119[[#This Row],[Compte Consignee]],Order!C:D,2,FALSE)</f>
        <v>7</v>
      </c>
      <c r="P741" s="124" t="s">
        <v>146</v>
      </c>
      <c r="Q741" s="365">
        <f>VLOOKUP(Tableau119[[#This Row],[Name ILN]],Plant_AILN!F:G,2,FALSE)</f>
        <v>0</v>
      </c>
      <c r="R741" s="50">
        <f>VLOOKUP(Tableau119[[#This Row],[Compte ILN]],'DATA ILN'!D:I,6,FALSE)</f>
        <v>9</v>
      </c>
      <c r="S741" s="50">
        <f>IFERROR(VLOOKUP(Tableau119[[#This Row],[Key(Compte ILN - shipper - POL - plant)]],'DATA ILN'!A:J,10,FALSE),VLOOKUP(Tableau119[[#This Row],[Key(Compte ILN - shipper - POL)]],'DATA ILN'!B:J,9,FALSE))</f>
        <v>7</v>
      </c>
      <c r="T741" s="50">
        <f>IFERROR(VLOOKUP(Tableau119[[#This Row],[Key(Compte ILN - shipper - POL - plant)]],'DATA ILN'!A:K,11,FALSE),VLOOKUP(Tableau119[[#This Row],[Key(Compte ILN - shipper - POL)]],'DATA ILN'!B:K,10,FALSE))</f>
        <v>5</v>
      </c>
      <c r="U741" s="50">
        <f>IFERROR(VLOOKUP(Tableau119[[#This Row],[Key(Compte ILN - shipper - POL - plant)]],'DATA ILN'!A:L,12,FALSE),VLOOKUP(Tableau119[[#This Row],[Key(Compte ILN - shipper - POL)]],'DATA ILN'!B:L,11,FALSE))</f>
        <v>7</v>
      </c>
      <c r="V741" s="50">
        <f>Tableau119[[#This Row],[Day ILN Order]]+Tableau119[[#This Row],[Delivery time to ILN/Shipper]]-1</f>
        <v>15</v>
      </c>
      <c r="W741" s="50">
        <f>IFERROR(VLOOKUP(Tableau119[[#This Row],[Key(Compte ILN - shipper - POL - plant)]],'DATA ILN'!A:N,14,FALSE),VLOOKUP(Tableau119[[#This Row],[Key(Compte ILN - shipper - POL)]],'DATA ILN'!B:N,13,FALSE))</f>
        <v>8</v>
      </c>
      <c r="X741" s="50">
        <f>IFERROR(VLOOKUP(Tableau119[[#This Row],[Key(Compte ILN - shipper - POL - plant)]],'DATA ILN'!A:P,16,FALSE),VLOOKUP(Tableau119[[#This Row],[Key(Compte ILN - shipper - POL)]],'DATA ILN'!B:P,15,FALSE))</f>
        <v>3</v>
      </c>
      <c r="Y741" s="284" t="s">
        <v>153</v>
      </c>
      <c r="Z741" s="430">
        <f>IFERROR(VLOOKUP(Tableau119[[#This Row],[Name Shipper]],Plant_AILN!L:M,2,FALSE),0)</f>
        <v>42838303</v>
      </c>
      <c r="AA741" s="406">
        <v>752</v>
      </c>
      <c r="AB741" s="396" t="str">
        <f>_xlfn.XLOOKUP(Tableau119[[#This Row],[Key(ID-date)]],'DATA BTO'!S:S,'DATA BTO'!E:E,FALSE)</f>
        <v>CNSHA</v>
      </c>
      <c r="AC741" s="3" t="str">
        <f>_xlfn.XLOOKUP(Tableau119[[#This Row],[Key(ID-date)]],'DATA BTO'!S:S,'DATA BTO'!F:F,FALSE)</f>
        <v>CMA-CGM</v>
      </c>
      <c r="AD741" s="50">
        <f>_xlfn.XLOOKUP(Tableau119[[#This Row],[Key(ID-date)]],'DATA BTO'!S:S,'DATA BTO'!G:G,FALSE)</f>
        <v>3</v>
      </c>
      <c r="AE741" s="50">
        <f>_xlfn.XLOOKUP(Tableau119[[#This Row],[Key(ID-date)]],'DATA BTO'!S:S,'DATA BTO'!H:H,FALSE)</f>
        <v>5</v>
      </c>
      <c r="AF741" s="447">
        <f>IF(Tableau119[[#This Row],[First Day to POL]]&lt;=Tableau119[[#This Row],[Day Cut Off]],Tableau119[[#This Row],[Day ETD]],Tableau119[[#This Row],[Day ETD]]+7)</f>
        <v>5</v>
      </c>
      <c r="AG741" s="50">
        <f>_xlfn.XLOOKUP(Tableau119[[#This Row],[Key(ID-date)]],'DATA BTO'!S:S,'DATA BTO'!I:I,FALSE)</f>
        <v>39</v>
      </c>
      <c r="AH741" s="3" t="str">
        <f>_xlfn.XLOOKUP(Tableau119[[#This Row],[Key(ID-date)]],'DATA BTO'!S:S,'DATA BTO'!J:J,FALSE)</f>
        <v>BRPNG</v>
      </c>
      <c r="AI741" s="3">
        <f>_xlfn.XLOOKUP(Tableau119[[#This Row],[Key(ID-date)]],'DATA BTO'!S:S,'DATA BTO'!K:K,FALSE)</f>
        <v>3</v>
      </c>
      <c r="AJ741" s="50">
        <f>_xlfn.XLOOKUP(Tableau119[[#This Row],[Key(ID-date)]],'DATA BTO'!S:S,'DATA BTO'!L:L,FALSE)</f>
        <v>0</v>
      </c>
      <c r="AK741" s="53" t="str">
        <f>_xlfn.XLOOKUP(Tableau119[[#This Row],[Key(ID-date)]],'DATA BTO'!S:S,'DATA BTO'!N:N,FALSE)</f>
        <v>Max</v>
      </c>
      <c r="AL741" s="54">
        <f>VLOOKUP(Tableau119[[#This Row],[Key(POD -PFI- Usine)]],'DATA Consignee'!A:F,6,FALSE)</f>
        <v>2</v>
      </c>
      <c r="AM741" s="284"/>
      <c r="AN741" s="376" t="str">
        <f>IF(Tableau119[[#This Row],[Name PFI/CDD]]="","-",VLOOKUP(Tableau119[[#This Row],[Name PFI/CDD]],Plant_AILN!I:J,2,FALSE))</f>
        <v>-</v>
      </c>
      <c r="AO7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1" s="2">
        <f>VLOOKUP(Tableau119[[#This Row],[Key(POD -PFI- Usine)]],'DATA Consignee'!A:J,10,FALSE)</f>
        <v>0</v>
      </c>
      <c r="AR741" s="50">
        <f>VLOOKUP(Tableau119[[#This Row],[Key(POD -PFI- Usine)]],'DATA Consignee'!A:N,14,FALSE)</f>
        <v>2</v>
      </c>
      <c r="AS74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74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741" s="50">
        <f>Tableau119[[#This Row],[Transit time]]+Tableau119[[#This Row],[Time for security]]+Tableau119[[#This Row],[Time for security2 buffer]]</f>
        <v>42</v>
      </c>
      <c r="AV74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741" s="50">
        <f>Tableau119[[#This Row],[Leadtime SI2C]]+Tableau119[[#This Row],[First Receipt Days]]-Tableau119[[#This Row],[Day Customer Order]]+1</f>
        <v>78</v>
      </c>
      <c r="AX741" s="119">
        <f>IF(Tableau119[[#This Row],[Name ILN]]&lt;&gt;"SFK Freight Forwarder",Tableau119[[#This Row],[Cust. Leadtime]],Tableau119[[#This Row],[Leadtime SI2C]])</f>
        <v>69</v>
      </c>
      <c r="AY741" s="51" t="str">
        <f>_xlfn.XLOOKUP(Tableau119[[#This Row],[Key(ID-date)]],'DATA BTO'!S:S,'DATA BTO'!P:P,FALSE)</f>
        <v>Horse &gt; Renault BPH (MLP)</v>
      </c>
      <c r="AZ741" s="338">
        <v>45991</v>
      </c>
      <c r="BA741" s="50"/>
    </row>
    <row r="742" spans="2:53">
      <c r="B742" s="446" t="str">
        <f>_xlfn.CONCAT(Tableau119[[#This Row],[Name ILN]],"-",Tableau119[[#This Row],[Name Shipper]],"-",Tableau119[[#This Row],[Name Site]])</f>
        <v>SFK Freight Forwarder-Magna Shanghai-Curitiba CVP</v>
      </c>
      <c r="C742" s="66" t="str">
        <f>_xlfn.CONCAT(Tableau119[[#This Row],[Compte ILN]],"-",Tableau119[[#This Row],[Compte Shipper]],"-",Tableau119[[#This Row],[POL]],"-",Tableau119[[#This Row],[Compte Consignee]])</f>
        <v>0-42838303-CNSHA-90018000</v>
      </c>
      <c r="D742" s="66" t="str">
        <f>_xlfn.CONCAT(Tableau119[[#This Row],[Compte ILN]],"-",Tableau119[[#This Row],[Compte Shipper]],"-",Tableau119[[#This Row],[POL]])</f>
        <v>0-42838303-CNSHA</v>
      </c>
      <c r="E742" s="130" t="str">
        <f>_xlfn.CONCAT(Tableau119[[#This Row],[POL]],"-",Tableau119[[#This Row],[Carrier]],"-",Tableau119[[#This Row],[POD]])</f>
        <v>CNSHA-CMA-CGM-BRPNG</v>
      </c>
      <c r="F742" s="66" t="str">
        <f>_xlfn.CONCAT(Tableau119[[#This Row],[ID]],"-","Actif")</f>
        <v>752-Actif</v>
      </c>
      <c r="G742" s="66" t="str">
        <f>_xlfn.CONCAT(Tableau119[[#This Row],[POD]],"-",Tableau119[[#This Row],[Code PFI]],"-",Tableau119[[#This Row],[Compte Consignee]])</f>
        <v>BRPNG---90018000</v>
      </c>
      <c r="H7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42838303CNSHACuritiba CVP</v>
      </c>
      <c r="I742" s="434" t="str">
        <f>_xlfn.CONCAT(Tableau119[[#This Row],[ID]],"-",Tableau119[[#This Row],[Expiration Date]])</f>
        <v>752-45777</v>
      </c>
      <c r="J7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Forwarder-Magna Shanghai-752-CNSHA-CMA-CGM-BRPNG--45777</v>
      </c>
      <c r="K742" s="119" t="str">
        <f ca="1">IF(COUNTIF(J:J,Tableau119[[#This Row],[Plant-ILN-shipper-POL-Carrier-POD-PFI]])=1,"Non","Oui")</f>
        <v>Non</v>
      </c>
      <c r="L742" s="128" t="str">
        <f>VLOOKUP(Tableau119[[#This Row],[Name Site]],Plant_AILN!A:D,4,FALSE)</f>
        <v>BRAZIL</v>
      </c>
      <c r="M742" s="411" t="s">
        <v>152</v>
      </c>
      <c r="N742" s="454">
        <f>VLOOKUP(Tableau119[[#This Row],[Name Site]],Plant_AILN!A:C,3,FALSE)</f>
        <v>90018000</v>
      </c>
      <c r="O742" s="55">
        <f>VLOOKUP(Tableau119[[#This Row],[Compte Consignee]],Order!C:D,2,FALSE)</f>
        <v>7</v>
      </c>
      <c r="P742" s="124" t="s">
        <v>146</v>
      </c>
      <c r="Q742" s="365">
        <f>VLOOKUP(Tableau119[[#This Row],[Name ILN]],Plant_AILN!F:G,2,FALSE)</f>
        <v>0</v>
      </c>
      <c r="R742" s="50">
        <f>VLOOKUP(Tableau119[[#This Row],[Compte ILN]],'DATA ILN'!D:I,6,FALSE)</f>
        <v>9</v>
      </c>
      <c r="S742" s="50">
        <f>IFERROR(VLOOKUP(Tableau119[[#This Row],[Key(Compte ILN - shipper - POL - plant)]],'DATA ILN'!A:J,10,FALSE),VLOOKUP(Tableau119[[#This Row],[Key(Compte ILN - shipper - POL)]],'DATA ILN'!B:J,9,FALSE))</f>
        <v>7</v>
      </c>
      <c r="T742" s="50">
        <f>IFERROR(VLOOKUP(Tableau119[[#This Row],[Key(Compte ILN - shipper - POL - plant)]],'DATA ILN'!A:K,11,FALSE),VLOOKUP(Tableau119[[#This Row],[Key(Compte ILN - shipper - POL)]],'DATA ILN'!B:K,10,FALSE))</f>
        <v>5</v>
      </c>
      <c r="U742" s="50">
        <f>IFERROR(VLOOKUP(Tableau119[[#This Row],[Key(Compte ILN - shipper - POL - plant)]],'DATA ILN'!A:L,12,FALSE),VLOOKUP(Tableau119[[#This Row],[Key(Compte ILN - shipper - POL)]],'DATA ILN'!B:L,11,FALSE))</f>
        <v>7</v>
      </c>
      <c r="V742" s="50">
        <f>Tableau119[[#This Row],[Day ILN Order]]+Tableau119[[#This Row],[Delivery time to ILN/Shipper]]-1</f>
        <v>15</v>
      </c>
      <c r="W742" s="50">
        <f>IFERROR(VLOOKUP(Tableau119[[#This Row],[Key(Compte ILN - shipper - POL - plant)]],'DATA ILN'!A:N,14,FALSE),VLOOKUP(Tableau119[[#This Row],[Key(Compte ILN - shipper - POL)]],'DATA ILN'!B:N,13,FALSE))</f>
        <v>8</v>
      </c>
      <c r="X742" s="50">
        <f>IFERROR(VLOOKUP(Tableau119[[#This Row],[Key(Compte ILN - shipper - POL - plant)]],'DATA ILN'!A:P,16,FALSE),VLOOKUP(Tableau119[[#This Row],[Key(Compte ILN - shipper - POL)]],'DATA ILN'!B:P,15,FALSE))</f>
        <v>3</v>
      </c>
      <c r="Y742" s="284" t="s">
        <v>153</v>
      </c>
      <c r="Z742" s="430">
        <f>IFERROR(VLOOKUP(Tableau119[[#This Row],[Name Shipper]],Plant_AILN!L:M,2,FALSE),0)</f>
        <v>42838303</v>
      </c>
      <c r="AA742" s="406">
        <v>752</v>
      </c>
      <c r="AB742" s="396" t="str">
        <f>_xlfn.XLOOKUP(Tableau119[[#This Row],[Key(ID-date)]],'DATA BTO'!S:S,'DATA BTO'!E:E,FALSE)</f>
        <v>CNSHA</v>
      </c>
      <c r="AC742" s="3" t="str">
        <f>_xlfn.XLOOKUP(Tableau119[[#This Row],[Key(ID-date)]],'DATA BTO'!S:S,'DATA BTO'!F:F,FALSE)</f>
        <v>CMA-CGM</v>
      </c>
      <c r="AD742" s="50">
        <f>_xlfn.XLOOKUP(Tableau119[[#This Row],[Key(ID-date)]],'DATA BTO'!S:S,'DATA BTO'!G:G,FALSE)</f>
        <v>5</v>
      </c>
      <c r="AE742" s="50">
        <f>_xlfn.XLOOKUP(Tableau119[[#This Row],[Key(ID-date)]],'DATA BTO'!S:S,'DATA BTO'!H:H,FALSE)</f>
        <v>7</v>
      </c>
      <c r="AF742" s="447">
        <f>IF(Tableau119[[#This Row],[First Day to POL]]&lt;=Tableau119[[#This Row],[Day Cut Off]],Tableau119[[#This Row],[Day ETD]],Tableau119[[#This Row],[Day ETD]]+7)</f>
        <v>7</v>
      </c>
      <c r="AG742" s="50">
        <f>_xlfn.XLOOKUP(Tableau119[[#This Row],[Key(ID-date)]],'DATA BTO'!S:S,'DATA BTO'!I:I,FALSE)</f>
        <v>37</v>
      </c>
      <c r="AH742" s="3" t="str">
        <f>_xlfn.XLOOKUP(Tableau119[[#This Row],[Key(ID-date)]],'DATA BTO'!S:S,'DATA BTO'!J:J,FALSE)</f>
        <v>BRPNG</v>
      </c>
      <c r="AI742" s="3">
        <f>_xlfn.XLOOKUP(Tableau119[[#This Row],[Key(ID-date)]],'DATA BTO'!S:S,'DATA BTO'!K:K,FALSE)</f>
        <v>3</v>
      </c>
      <c r="AJ742" s="50">
        <f>_xlfn.XLOOKUP(Tableau119[[#This Row],[Key(ID-date)]],'DATA BTO'!S:S,'DATA BTO'!L:L,FALSE)</f>
        <v>0</v>
      </c>
      <c r="AK742" s="53" t="str">
        <f>_xlfn.XLOOKUP(Tableau119[[#This Row],[Key(ID-date)]],'DATA BTO'!S:S,'DATA BTO'!N:N,FALSE)</f>
        <v>Max</v>
      </c>
      <c r="AL742" s="54">
        <f>VLOOKUP(Tableau119[[#This Row],[Key(POD -PFI- Usine)]],'DATA Consignee'!A:F,6,FALSE)</f>
        <v>2</v>
      </c>
      <c r="AM742" s="284"/>
      <c r="AN742" s="376" t="str">
        <f>IF(Tableau119[[#This Row],[Name PFI/CDD]]="","-",VLOOKUP(Tableau119[[#This Row],[Name PFI/CDD]],Plant_AILN!I:J,2,FALSE))</f>
        <v>-</v>
      </c>
      <c r="AO74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2" s="2">
        <f>VLOOKUP(Tableau119[[#This Row],[Key(POD -PFI- Usine)]],'DATA Consignee'!A:J,10,FALSE)</f>
        <v>0</v>
      </c>
      <c r="AR742" s="50">
        <f>VLOOKUP(Tableau119[[#This Row],[Key(POD -PFI- Usine)]],'DATA Consignee'!A:N,14,FALSE)</f>
        <v>2</v>
      </c>
      <c r="AS74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74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19</v>
      </c>
      <c r="AU742" s="50">
        <f>Tableau119[[#This Row],[Transit time]]+Tableau119[[#This Row],[Time for security]]+Tableau119[[#This Row],[Time for security2 buffer]]</f>
        <v>40</v>
      </c>
      <c r="AV74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742" s="50">
        <f>Tableau119[[#This Row],[Leadtime SI2C]]+Tableau119[[#This Row],[First Receipt Days]]-Tableau119[[#This Row],[Day Customer Order]]+1</f>
        <v>78</v>
      </c>
      <c r="AX742" s="119">
        <f>IF(Tableau119[[#This Row],[Name ILN]]&lt;&gt;"SFK Freight Forwarder",Tableau119[[#This Row],[Cust. Leadtime]],Tableau119[[#This Row],[Leadtime SI2C]])</f>
        <v>69</v>
      </c>
      <c r="AY742" s="51" t="str">
        <f>_xlfn.XLOOKUP(Tableau119[[#This Row],[Key(ID-date)]],'DATA BTO'!S:S,'DATA BTO'!P:P,FALSE)</f>
        <v>Horse &gt; Renault BPH (MLP)</v>
      </c>
      <c r="AZ742" s="338">
        <v>45777</v>
      </c>
      <c r="BA742" s="50"/>
    </row>
    <row r="743" spans="2:53">
      <c r="B743" s="446" t="str">
        <f>_xlfn.CONCAT(Tableau119[[#This Row],[Name ILN]],"-",Tableau119[[#This Row],[Name Shipper]],"-",Tableau119[[#This Row],[Name Site]])</f>
        <v>SFK Freight Forwarder-HIGHLY MARELLI MALAYSIA SDN. BHD.-OYAK MONT</v>
      </c>
      <c r="C743" s="66" t="str">
        <f>_xlfn.CONCAT(Tableau119[[#This Row],[Compte ILN]],"-",Tableau119[[#This Row],[Compte Shipper]],"-",Tableau119[[#This Row],[POL]],"-",Tableau119[[#This Row],[Compte Consignee]])</f>
        <v>0-27002800-FALSO-90017000</v>
      </c>
      <c r="D743" s="66" t="str">
        <f>_xlfn.CONCAT(Tableau119[[#This Row],[Compte ILN]],"-",Tableau119[[#This Row],[Compte Shipper]],"-",Tableau119[[#This Row],[POL]])</f>
        <v>0-27002800-FALSO</v>
      </c>
      <c r="E743" s="130" t="str">
        <f>_xlfn.CONCAT(Tableau119[[#This Row],[POL]],"-",Tableau119[[#This Row],[Carrier]],"-",Tableau119[[#This Row],[POD]])</f>
        <v>FALSO-FALSO-FALSO</v>
      </c>
      <c r="F743" s="66" t="str">
        <f>_xlfn.CONCAT(Tableau119[[#This Row],[ID]],"-","Actif")</f>
        <v>754-Actif</v>
      </c>
      <c r="G743" s="66" t="str">
        <f>_xlfn.CONCAT(Tableau119[[#This Row],[POD]],"-",Tableau119[[#This Row],[Code PFI]],"-",Tableau119[[#This Row],[Compte Consignee]])</f>
        <v>FALSO---90017000</v>
      </c>
      <c r="H7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27002800FALSOOYAK MONT</v>
      </c>
      <c r="I743" s="434" t="str">
        <f>_xlfn.CONCAT(Tableau119[[#This Row],[ID]],"-",Tableau119[[#This Row],[Expiration Date]])</f>
        <v>754-46142</v>
      </c>
      <c r="J7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Forwarder-HIGHLY MARELLI MALAYSIA SDN. BHD.-754-FALSO-FALSO-FALSO--46142</v>
      </c>
      <c r="K743" s="119" t="str">
        <f ca="1">IF(COUNTIF(J:J,Tableau119[[#This Row],[Plant-ILN-shipper-POL-Carrier-POD-PFI]])=1,"Non","Oui")</f>
        <v>Non</v>
      </c>
      <c r="L743" s="128" t="str">
        <f>VLOOKUP(Tableau119[[#This Row],[Name Site]],Plant_AILN!A:D,4,FALSE)</f>
        <v>TURKEY</v>
      </c>
      <c r="M743" s="415" t="s">
        <v>173</v>
      </c>
      <c r="N743" s="455">
        <f>VLOOKUP(Tableau119[[#This Row],[Name Site]],Plant_AILN!A:C,3,FALSE)</f>
        <v>90017000</v>
      </c>
      <c r="O743" s="104">
        <f>IF(Tableau119[[#This Row],[Name PFI/CDD]]="PFI VLL",2,VLOOKUP(Tableau119[[#This Row],[Compte Consignee]],Order!C:D,2,FALSE))</f>
        <v>7</v>
      </c>
      <c r="P743" s="126" t="s">
        <v>146</v>
      </c>
      <c r="Q743" s="366">
        <f>VLOOKUP(Tableau119[[#This Row],[Name ILN]],Plant_AILN!F:G,2,FALSE)</f>
        <v>0</v>
      </c>
      <c r="R743" s="81">
        <f>VLOOKUP(Tableau119[[#This Row],[Compte ILN]],'DATA ILN'!D:I,6,FALSE)</f>
        <v>9</v>
      </c>
      <c r="S743" s="81" t="e">
        <f>IFERROR(VLOOKUP(Tableau119[[#This Row],[Key(Compte ILN - shipper - POL - plant)]],'DATA ILN'!A:J,10,FALSE),VLOOKUP(Tableau119[[#This Row],[Key(Compte ILN - shipper - POL)]],'DATA ILN'!B:J,9,FALSE))</f>
        <v>#N/A</v>
      </c>
      <c r="T743" s="81" t="e">
        <f>IFERROR(VLOOKUP(Tableau119[[#This Row],[Key(Compte ILN - shipper - POL - plant)]],'DATA ILN'!A:K,11,FALSE),VLOOKUP(Tableau119[[#This Row],[Key(Compte ILN - shipper - POL)]],'DATA ILN'!B:K,10,FALSE))</f>
        <v>#N/A</v>
      </c>
      <c r="U743" s="81" t="e">
        <f>IFERROR(VLOOKUP(Tableau119[[#This Row],[Key(Compte ILN - shipper - POL - plant)]],'DATA ILN'!A:L,12,FALSE),VLOOKUP(Tableau119[[#This Row],[Key(Compte ILN - shipper - POL)]],'DATA ILN'!B:L,11,FALSE))</f>
        <v>#N/A</v>
      </c>
      <c r="V743" s="81" t="e">
        <f>Tableau119[[#This Row],[Day ILN Order]]+Tableau119[[#This Row],[Delivery time to ILN/Shipper]]-1</f>
        <v>#N/A</v>
      </c>
      <c r="W743" s="81" t="e">
        <f>IFERROR(VLOOKUP(Tableau119[[#This Row],[Key(Compte ILN - shipper - POL - plant)]],'DATA ILN'!A:N,14,FALSE),VLOOKUP(Tableau119[[#This Row],[Key(Compte ILN - shipper - POL)]],'DATA ILN'!B:N,13,FALSE))</f>
        <v>#N/A</v>
      </c>
      <c r="X743" s="81" t="e">
        <f>IFERROR(VLOOKUP(Tableau119[[#This Row],[Key(Compte ILN - shipper - POL - plant)]],'DATA ILN'!A:P,16,FALSE),VLOOKUP(Tableau119[[#This Row],[Key(Compte ILN - shipper - POL)]],'DATA ILN'!B:P,15,FALSE))</f>
        <v>#N/A</v>
      </c>
      <c r="Y743" s="102" t="s">
        <v>322</v>
      </c>
      <c r="Z743" s="417">
        <f>IFERROR(VLOOKUP(Tableau119[[#This Row],[Name Shipper]],Plant_AILN!L:M,2,FALSE),0)</f>
        <v>27002800</v>
      </c>
      <c r="AA743" s="102">
        <v>754</v>
      </c>
      <c r="AB743" s="396" t="b">
        <f>_xlfn.XLOOKUP(Tableau119[[#This Row],[Key(ID-date)]],'DATA BTO'!S:S,'DATA BTO'!E:E,FALSE)</f>
        <v>0</v>
      </c>
      <c r="AC743" s="3" t="b">
        <f>_xlfn.XLOOKUP(Tableau119[[#This Row],[Key(ID-date)]],'DATA BTO'!S:S,'DATA BTO'!F:F,FALSE)</f>
        <v>0</v>
      </c>
      <c r="AD743" s="50" t="b">
        <f>_xlfn.XLOOKUP(Tableau119[[#This Row],[Key(ID-date)]],'DATA BTO'!S:S,'DATA BTO'!G:G,FALSE)</f>
        <v>0</v>
      </c>
      <c r="AE743" s="50" t="b">
        <f>_xlfn.XLOOKUP(Tableau119[[#This Row],[Key(ID-date)]],'DATA BTO'!S:S,'DATA BTO'!H:H,FALSE)</f>
        <v>0</v>
      </c>
      <c r="AF743" s="447" t="e">
        <f>IF(Tableau119[[#This Row],[First Day to POL]]&lt;=Tableau119[[#This Row],[Day Cut Off]],Tableau119[[#This Row],[Day ETD]],Tableau119[[#This Row],[Day ETD]]+7)</f>
        <v>#N/A</v>
      </c>
      <c r="AG743" s="50" t="b">
        <f>_xlfn.XLOOKUP(Tableau119[[#This Row],[Key(ID-date)]],'DATA BTO'!S:S,'DATA BTO'!I:I,FALSE)</f>
        <v>0</v>
      </c>
      <c r="AH743" s="3" t="b">
        <f>_xlfn.XLOOKUP(Tableau119[[#This Row],[Key(ID-date)]],'DATA BTO'!S:S,'DATA BTO'!J:J,FALSE)</f>
        <v>0</v>
      </c>
      <c r="AI743" s="3" t="b">
        <f>_xlfn.XLOOKUP(Tableau119[[#This Row],[Key(ID-date)]],'DATA BTO'!S:S,'DATA BTO'!K:K,FALSE)</f>
        <v>0</v>
      </c>
      <c r="AJ743" s="50" t="b">
        <f>_xlfn.XLOOKUP(Tableau119[[#This Row],[Key(ID-date)]],'DATA BTO'!S:S,'DATA BTO'!L:L,FALSE)</f>
        <v>0</v>
      </c>
      <c r="AK743" s="53" t="b">
        <f>_xlfn.XLOOKUP(Tableau119[[#This Row],[Key(ID-date)]],'DATA BTO'!S:S,'DATA BTO'!N:N,FALSE)</f>
        <v>0</v>
      </c>
      <c r="AL743" s="54" t="e">
        <f>VLOOKUP(Tableau119[[#This Row],[Key(POD -PFI- Usine)]],'DATA Consignee'!A:F,6,FALSE)</f>
        <v>#N/A</v>
      </c>
      <c r="AM743" s="102"/>
      <c r="AN743" s="375" t="str">
        <f>IF(Tableau119[[#This Row],[Name PFI/CDD]]="","-",VLOOKUP(Tableau119[[#This Row],[Name PFI/CDD]],Plant_AILN!I:J,2,FALSE))</f>
        <v>-</v>
      </c>
      <c r="AO74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3" s="110" t="e">
        <f>VLOOKUP(Tableau119[[#This Row],[Key(POD -PFI- Usine)]],'DATA Consignee'!A:J,10,FALSE)</f>
        <v>#N/A</v>
      </c>
      <c r="AR743" s="81" t="e">
        <f>VLOOKUP(Tableau119[[#This Row],[Key(POD -PFI- Usine)]],'DATA Consignee'!A:N,14,FALSE)</f>
        <v>#N/A</v>
      </c>
      <c r="AS74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3" s="81">
        <f>Tableau119[[#This Row],[Transit time]]+Tableau119[[#This Row],[Time for security]]+Tableau119[[#This Row],[Time for security2 buffer]]</f>
        <v>0</v>
      </c>
      <c r="AV7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3" s="50" t="e">
        <f>Tableau119[[#This Row],[Leadtime SI2C]]+Tableau119[[#This Row],[First Receipt Days]]-Tableau119[[#This Row],[Day Customer Order]]+1</f>
        <v>#N/A</v>
      </c>
      <c r="AX743" s="119" t="e">
        <f>IF(Tableau119[[#This Row],[Name ILN]]&lt;&gt;"SFK Freight Forwarder",Tableau119[[#This Row],[Cust. Leadtime]],Tableau119[[#This Row],[Leadtime SI2C]])</f>
        <v>#N/A</v>
      </c>
      <c r="AY743" s="51" t="b">
        <f>_xlfn.XLOOKUP(Tableau119[[#This Row],[Key(ID-date)]],'DATA BTO'!S:S,'DATA BTO'!P:P,FALSE)</f>
        <v>0</v>
      </c>
      <c r="AZ743" s="388">
        <v>46142</v>
      </c>
      <c r="BA743" s="81"/>
    </row>
    <row r="744" spans="2:53">
      <c r="B744" s="446" t="str">
        <f>_xlfn.CONCAT(Tableau119[[#This Row],[Name ILN]],"-",Tableau119[[#This Row],[Name Shipper]],"-",Tableau119[[#This Row],[Name Site]])</f>
        <v>SFK Freight Forwarder-HIGHLY MARELLI MALAYSIA SDN. BHD.-OYAK MONT</v>
      </c>
      <c r="C744" s="66" t="str">
        <f>_xlfn.CONCAT(Tableau119[[#This Row],[Compte ILN]],"-",Tableau119[[#This Row],[Compte Shipper]],"-",Tableau119[[#This Row],[POL]],"-",Tableau119[[#This Row],[Compte Consignee]])</f>
        <v>0-27002800-FALSO-90017000</v>
      </c>
      <c r="D744" s="66" t="str">
        <f>_xlfn.CONCAT(Tableau119[[#This Row],[Compte ILN]],"-",Tableau119[[#This Row],[Compte Shipper]],"-",Tableau119[[#This Row],[POL]])</f>
        <v>0-27002800-FALSO</v>
      </c>
      <c r="E744" s="130" t="str">
        <f>_xlfn.CONCAT(Tableau119[[#This Row],[POL]],"-",Tableau119[[#This Row],[Carrier]],"-",Tableau119[[#This Row],[POD]])</f>
        <v>FALSO-FALSO-FALSO</v>
      </c>
      <c r="F744" s="66" t="str">
        <f>_xlfn.CONCAT(Tableau119[[#This Row],[ID]],"-","Actif")</f>
        <v>754-Actif</v>
      </c>
      <c r="G744" s="66" t="str">
        <f>_xlfn.CONCAT(Tableau119[[#This Row],[POD]],"-",Tableau119[[#This Row],[Code PFI]],"-",Tableau119[[#This Row],[Compte Consignee]])</f>
        <v>FALSO---90017000</v>
      </c>
      <c r="H7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27002800FALSOOYAK MONT</v>
      </c>
      <c r="I744" s="434" t="str">
        <f>_xlfn.CONCAT(Tableau119[[#This Row],[ID]],"-",Tableau119[[#This Row],[Expiration Date]])</f>
        <v>754-45944</v>
      </c>
      <c r="J7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Forwarder-HIGHLY MARELLI MALAYSIA SDN. BHD.-754-FALSO-FALSO-FALSO--45944</v>
      </c>
      <c r="K744" s="119" t="str">
        <f ca="1">IF(COUNTIF(J:J,Tableau119[[#This Row],[Plant-ILN-shipper-POL-Carrier-POD-PFI]])=1,"Non","Oui")</f>
        <v>Non</v>
      </c>
      <c r="L744" s="128" t="str">
        <f>VLOOKUP(Tableau119[[#This Row],[Name Site]],Plant_AILN!A:D,4,FALSE)</f>
        <v>TURKEY</v>
      </c>
      <c r="M744" s="411" t="s">
        <v>173</v>
      </c>
      <c r="N744" s="454">
        <f>VLOOKUP(Tableau119[[#This Row],[Name Site]],Plant_AILN!A:C,3,FALSE)</f>
        <v>90017000</v>
      </c>
      <c r="O744" s="55">
        <f>VLOOKUP(Tableau119[[#This Row],[Compte Consignee]],Order!C:D,2,FALSE)</f>
        <v>7</v>
      </c>
      <c r="P744" s="124" t="s">
        <v>146</v>
      </c>
      <c r="Q744" s="365">
        <f>VLOOKUP(Tableau119[[#This Row],[Name ILN]],Plant_AILN!F:G,2,FALSE)</f>
        <v>0</v>
      </c>
      <c r="R744" s="50">
        <f>VLOOKUP(Tableau119[[#This Row],[Compte ILN]],'DATA ILN'!D:I,6,FALSE)</f>
        <v>9</v>
      </c>
      <c r="S744" s="50" t="e">
        <f>IFERROR(VLOOKUP(Tableau119[[#This Row],[Key(Compte ILN - shipper - POL - plant)]],'DATA ILN'!A:J,10,FALSE),VLOOKUP(Tableau119[[#This Row],[Key(Compte ILN - shipper - POL)]],'DATA ILN'!B:J,9,FALSE))</f>
        <v>#N/A</v>
      </c>
      <c r="T744" s="50" t="e">
        <f>IFERROR(VLOOKUP(Tableau119[[#This Row],[Key(Compte ILN - shipper - POL - plant)]],'DATA ILN'!A:K,11,FALSE),VLOOKUP(Tableau119[[#This Row],[Key(Compte ILN - shipper - POL)]],'DATA ILN'!B:K,10,FALSE))</f>
        <v>#N/A</v>
      </c>
      <c r="U744" s="50" t="e">
        <f>IFERROR(VLOOKUP(Tableau119[[#This Row],[Key(Compte ILN - shipper - POL - plant)]],'DATA ILN'!A:L,12,FALSE),VLOOKUP(Tableau119[[#This Row],[Key(Compte ILN - shipper - POL)]],'DATA ILN'!B:L,11,FALSE))</f>
        <v>#N/A</v>
      </c>
      <c r="V744" s="50" t="e">
        <f>Tableau119[[#This Row],[Day ILN Order]]+Tableau119[[#This Row],[Delivery time to ILN/Shipper]]-1</f>
        <v>#N/A</v>
      </c>
      <c r="W744" s="50" t="e">
        <f>IFERROR(VLOOKUP(Tableau119[[#This Row],[Key(Compte ILN - shipper - POL - plant)]],'DATA ILN'!A:N,14,FALSE),VLOOKUP(Tableau119[[#This Row],[Key(Compte ILN - shipper - POL)]],'DATA ILN'!B:N,13,FALSE))</f>
        <v>#N/A</v>
      </c>
      <c r="X744" s="50" t="e">
        <f>IFERROR(VLOOKUP(Tableau119[[#This Row],[Key(Compte ILN - shipper - POL - plant)]],'DATA ILN'!A:P,16,FALSE),VLOOKUP(Tableau119[[#This Row],[Key(Compte ILN - shipper - POL)]],'DATA ILN'!B:P,15,FALSE))</f>
        <v>#N/A</v>
      </c>
      <c r="Y744" s="284" t="s">
        <v>322</v>
      </c>
      <c r="Z744" s="430">
        <f>IFERROR(VLOOKUP(Tableau119[[#This Row],[Name Shipper]],Plant_AILN!L:M,2,FALSE),0)</f>
        <v>27002800</v>
      </c>
      <c r="AA744" s="406">
        <v>754</v>
      </c>
      <c r="AB744" s="396" t="b">
        <f>_xlfn.XLOOKUP(Tableau119[[#This Row],[Key(ID-date)]],'DATA BTO'!S:S,'DATA BTO'!E:E,FALSE)</f>
        <v>0</v>
      </c>
      <c r="AC744" s="3" t="b">
        <f>_xlfn.XLOOKUP(Tableau119[[#This Row],[Key(ID-date)]],'DATA BTO'!S:S,'DATA BTO'!F:F,FALSE)</f>
        <v>0</v>
      </c>
      <c r="AD744" s="50" t="b">
        <f>_xlfn.XLOOKUP(Tableau119[[#This Row],[Key(ID-date)]],'DATA BTO'!S:S,'DATA BTO'!G:G,FALSE)</f>
        <v>0</v>
      </c>
      <c r="AE744" s="50" t="b">
        <f>_xlfn.XLOOKUP(Tableau119[[#This Row],[Key(ID-date)]],'DATA BTO'!S:S,'DATA BTO'!H:H,FALSE)</f>
        <v>0</v>
      </c>
      <c r="AF744" s="447" t="e">
        <f>IF(Tableau119[[#This Row],[First Day to POL]]&lt;=Tableau119[[#This Row],[Day Cut Off]],Tableau119[[#This Row],[Day ETD]],Tableau119[[#This Row],[Day ETD]]+7)</f>
        <v>#N/A</v>
      </c>
      <c r="AG744" s="50" t="b">
        <f>_xlfn.XLOOKUP(Tableau119[[#This Row],[Key(ID-date)]],'DATA BTO'!S:S,'DATA BTO'!I:I,FALSE)</f>
        <v>0</v>
      </c>
      <c r="AH744" s="3" t="b">
        <f>_xlfn.XLOOKUP(Tableau119[[#This Row],[Key(ID-date)]],'DATA BTO'!S:S,'DATA BTO'!J:J,FALSE)</f>
        <v>0</v>
      </c>
      <c r="AI744" s="3" t="b">
        <f>_xlfn.XLOOKUP(Tableau119[[#This Row],[Key(ID-date)]],'DATA BTO'!S:S,'DATA BTO'!K:K,FALSE)</f>
        <v>0</v>
      </c>
      <c r="AJ744" s="50" t="b">
        <f>_xlfn.XLOOKUP(Tableau119[[#This Row],[Key(ID-date)]],'DATA BTO'!S:S,'DATA BTO'!L:L,FALSE)</f>
        <v>0</v>
      </c>
      <c r="AK744" s="53" t="b">
        <f>_xlfn.XLOOKUP(Tableau119[[#This Row],[Key(ID-date)]],'DATA BTO'!S:S,'DATA BTO'!N:N,FALSE)</f>
        <v>0</v>
      </c>
      <c r="AL744" s="54" t="e">
        <f>VLOOKUP(Tableau119[[#This Row],[Key(POD -PFI- Usine)]],'DATA Consignee'!A:F,6,FALSE)</f>
        <v>#N/A</v>
      </c>
      <c r="AM744" s="284"/>
      <c r="AN744" s="376" t="str">
        <f>IF(Tableau119[[#This Row],[Name PFI/CDD]]="","-",VLOOKUP(Tableau119[[#This Row],[Name PFI/CDD]],Plant_AILN!I:J,2,FALSE))</f>
        <v>-</v>
      </c>
      <c r="AO7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4" s="2" t="e">
        <f>VLOOKUP(Tableau119[[#This Row],[Key(POD -PFI- Usine)]],'DATA Consignee'!A:J,10,FALSE)</f>
        <v>#N/A</v>
      </c>
      <c r="AR744" s="50" t="e">
        <f>VLOOKUP(Tableau119[[#This Row],[Key(POD -PFI- Usine)]],'DATA Consignee'!A:N,14,FALSE)</f>
        <v>#N/A</v>
      </c>
      <c r="AS74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4" s="50">
        <f>Tableau119[[#This Row],[Transit time]]+Tableau119[[#This Row],[Time for security]]+Tableau119[[#This Row],[Time for security2 buffer]]</f>
        <v>0</v>
      </c>
      <c r="AV7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4" s="50" t="e">
        <f>Tableau119[[#This Row],[Leadtime SI2C]]+Tableau119[[#This Row],[First Receipt Days]]-Tableau119[[#This Row],[Day Customer Order]]+1</f>
        <v>#N/A</v>
      </c>
      <c r="AX744" s="119" t="e">
        <f>IF(Tableau119[[#This Row],[Name ILN]]&lt;&gt;"SFK Freight Forwarder",Tableau119[[#This Row],[Cust. Leadtime]],Tableau119[[#This Row],[Leadtime SI2C]])</f>
        <v>#N/A</v>
      </c>
      <c r="AY744" s="51" t="b">
        <f>_xlfn.XLOOKUP(Tableau119[[#This Row],[Key(ID-date)]],'DATA BTO'!S:S,'DATA BTO'!P:P,FALSE)</f>
        <v>0</v>
      </c>
      <c r="AZ744" s="338">
        <v>45944</v>
      </c>
      <c r="BA744" s="50"/>
    </row>
    <row r="745" spans="2:53">
      <c r="B745" s="446" t="str">
        <f>_xlfn.CONCAT(Tableau119[[#This Row],[Name ILN]],"-",Tableau119[[#This Row],[Name Shipper]],"-",Tableau119[[#This Row],[Name Site]])</f>
        <v>SFK Freight Forwarder-HIGHLY MARELLI MALAYSIA SDN. BHD.-OYAK MONT</v>
      </c>
      <c r="C745" s="66" t="str">
        <f>_xlfn.CONCAT(Tableau119[[#This Row],[Compte ILN]],"-",Tableau119[[#This Row],[Compte Shipper]],"-",Tableau119[[#This Row],[POL]],"-",Tableau119[[#This Row],[Compte Consignee]])</f>
        <v>0-27002800-FALSO-90017000</v>
      </c>
      <c r="D745" s="66" t="str">
        <f>_xlfn.CONCAT(Tableau119[[#This Row],[Compte ILN]],"-",Tableau119[[#This Row],[Compte Shipper]],"-",Tableau119[[#This Row],[POL]])</f>
        <v>0-27002800-FALSO</v>
      </c>
      <c r="E745" s="130" t="str">
        <f>_xlfn.CONCAT(Tableau119[[#This Row],[POL]],"-",Tableau119[[#This Row],[Carrier]],"-",Tableau119[[#This Row],[POD]])</f>
        <v>FALSO-FALSO-FALSO</v>
      </c>
      <c r="F745" s="66" t="str">
        <f>_xlfn.CONCAT(Tableau119[[#This Row],[ID]],"-","Actif")</f>
        <v>754-Actif</v>
      </c>
      <c r="G745" s="66" t="str">
        <f>_xlfn.CONCAT(Tableau119[[#This Row],[POD]],"-",Tableau119[[#This Row],[Code PFI]],"-",Tableau119[[#This Row],[Compte Consignee]])</f>
        <v>FALSO---90017000</v>
      </c>
      <c r="H7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27002800FALSOOYAK MONT</v>
      </c>
      <c r="I745" s="434" t="str">
        <f>_xlfn.CONCAT(Tableau119[[#This Row],[ID]],"-",Tableau119[[#This Row],[Expiration Date]])</f>
        <v>754-45777</v>
      </c>
      <c r="J7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Forwarder-HIGHLY MARELLI MALAYSIA SDN. BHD.-754-FALSO-FALSO-FALSO--45777</v>
      </c>
      <c r="K745" s="119" t="str">
        <f ca="1">IF(COUNTIF(J:J,Tableau119[[#This Row],[Plant-ILN-shipper-POL-Carrier-POD-PFI]])=1,"Non","Oui")</f>
        <v>Non</v>
      </c>
      <c r="L745" s="128" t="str">
        <f>VLOOKUP(Tableau119[[#This Row],[Name Site]],Plant_AILN!A:D,4,FALSE)</f>
        <v>TURKEY</v>
      </c>
      <c r="M745" s="411" t="s">
        <v>173</v>
      </c>
      <c r="N745" s="454">
        <f>VLOOKUP(Tableau119[[#This Row],[Name Site]],Plant_AILN!A:C,3,FALSE)</f>
        <v>90017000</v>
      </c>
      <c r="O745" s="55">
        <f>VLOOKUP(Tableau119[[#This Row],[Compte Consignee]],Order!C:D,2,FALSE)</f>
        <v>7</v>
      </c>
      <c r="P745" s="124" t="s">
        <v>146</v>
      </c>
      <c r="Q745" s="365">
        <f>VLOOKUP(Tableau119[[#This Row],[Name ILN]],Plant_AILN!F:G,2,FALSE)</f>
        <v>0</v>
      </c>
      <c r="R745" s="50">
        <f>VLOOKUP(Tableau119[[#This Row],[Compte ILN]],'DATA ILN'!D:I,6,FALSE)</f>
        <v>9</v>
      </c>
      <c r="S745" s="50" t="e">
        <f>IFERROR(VLOOKUP(Tableau119[[#This Row],[Key(Compte ILN - shipper - POL - plant)]],'DATA ILN'!A:J,10,FALSE),VLOOKUP(Tableau119[[#This Row],[Key(Compte ILN - shipper - POL)]],'DATA ILN'!B:J,9,FALSE))</f>
        <v>#N/A</v>
      </c>
      <c r="T745" s="50" t="e">
        <f>IFERROR(VLOOKUP(Tableau119[[#This Row],[Key(Compte ILN - shipper - POL - plant)]],'DATA ILN'!A:K,11,FALSE),VLOOKUP(Tableau119[[#This Row],[Key(Compte ILN - shipper - POL)]],'DATA ILN'!B:K,10,FALSE))</f>
        <v>#N/A</v>
      </c>
      <c r="U745" s="50" t="e">
        <f>IFERROR(VLOOKUP(Tableau119[[#This Row],[Key(Compte ILN - shipper - POL - plant)]],'DATA ILN'!A:L,12,FALSE),VLOOKUP(Tableau119[[#This Row],[Key(Compte ILN - shipper - POL)]],'DATA ILN'!B:L,11,FALSE))</f>
        <v>#N/A</v>
      </c>
      <c r="V745" s="50" t="e">
        <f>Tableau119[[#This Row],[Day ILN Order]]+Tableau119[[#This Row],[Delivery time to ILN/Shipper]]-1</f>
        <v>#N/A</v>
      </c>
      <c r="W745" s="50" t="e">
        <f>IFERROR(VLOOKUP(Tableau119[[#This Row],[Key(Compte ILN - shipper - POL - plant)]],'DATA ILN'!A:N,14,FALSE),VLOOKUP(Tableau119[[#This Row],[Key(Compte ILN - shipper - POL)]],'DATA ILN'!B:N,13,FALSE))</f>
        <v>#N/A</v>
      </c>
      <c r="X745" s="50" t="e">
        <f>IFERROR(VLOOKUP(Tableau119[[#This Row],[Key(Compte ILN - shipper - POL - plant)]],'DATA ILN'!A:P,16,FALSE),VLOOKUP(Tableau119[[#This Row],[Key(Compte ILN - shipper - POL)]],'DATA ILN'!B:P,15,FALSE))</f>
        <v>#N/A</v>
      </c>
      <c r="Y745" s="284" t="s">
        <v>322</v>
      </c>
      <c r="Z745" s="430">
        <f>IFERROR(VLOOKUP(Tableau119[[#This Row],[Name Shipper]],Plant_AILN!L:M,2,FALSE),0)</f>
        <v>27002800</v>
      </c>
      <c r="AA745" s="406">
        <v>754</v>
      </c>
      <c r="AB745" s="396" t="b">
        <f>_xlfn.XLOOKUP(Tableau119[[#This Row],[Key(ID-date)]],'DATA BTO'!S:S,'DATA BTO'!E:E,FALSE)</f>
        <v>0</v>
      </c>
      <c r="AC745" s="3" t="b">
        <f>_xlfn.XLOOKUP(Tableau119[[#This Row],[Key(ID-date)]],'DATA BTO'!S:S,'DATA BTO'!F:F,FALSE)</f>
        <v>0</v>
      </c>
      <c r="AD745" s="50" t="b">
        <f>_xlfn.XLOOKUP(Tableau119[[#This Row],[Key(ID-date)]],'DATA BTO'!S:S,'DATA BTO'!G:G,FALSE)</f>
        <v>0</v>
      </c>
      <c r="AE745" s="50" t="b">
        <f>_xlfn.XLOOKUP(Tableau119[[#This Row],[Key(ID-date)]],'DATA BTO'!S:S,'DATA BTO'!H:H,FALSE)</f>
        <v>0</v>
      </c>
      <c r="AF745" s="447" t="e">
        <f>IF(Tableau119[[#This Row],[First Day to POL]]&lt;=Tableau119[[#This Row],[Day Cut Off]],Tableau119[[#This Row],[Day ETD]],Tableau119[[#This Row],[Day ETD]]+7)</f>
        <v>#N/A</v>
      </c>
      <c r="AG745" s="50" t="b">
        <f>_xlfn.XLOOKUP(Tableau119[[#This Row],[Key(ID-date)]],'DATA BTO'!S:S,'DATA BTO'!I:I,FALSE)</f>
        <v>0</v>
      </c>
      <c r="AH745" s="3" t="b">
        <f>_xlfn.XLOOKUP(Tableau119[[#This Row],[Key(ID-date)]],'DATA BTO'!S:S,'DATA BTO'!J:J,FALSE)</f>
        <v>0</v>
      </c>
      <c r="AI745" s="3" t="b">
        <f>_xlfn.XLOOKUP(Tableau119[[#This Row],[Key(ID-date)]],'DATA BTO'!S:S,'DATA BTO'!K:K,FALSE)</f>
        <v>0</v>
      </c>
      <c r="AJ745" s="50" t="b">
        <f>_xlfn.XLOOKUP(Tableau119[[#This Row],[Key(ID-date)]],'DATA BTO'!S:S,'DATA BTO'!L:L,FALSE)</f>
        <v>0</v>
      </c>
      <c r="AK745" s="53" t="b">
        <f>_xlfn.XLOOKUP(Tableau119[[#This Row],[Key(ID-date)]],'DATA BTO'!S:S,'DATA BTO'!N:N,FALSE)</f>
        <v>0</v>
      </c>
      <c r="AL745" s="54" t="e">
        <f>VLOOKUP(Tableau119[[#This Row],[Key(POD -PFI- Usine)]],'DATA Consignee'!A:F,6,FALSE)</f>
        <v>#N/A</v>
      </c>
      <c r="AM745" s="284"/>
      <c r="AN745" s="376" t="str">
        <f>IF(Tableau119[[#This Row],[Name PFI/CDD]]="","-",VLOOKUP(Tableau119[[#This Row],[Name PFI/CDD]],Plant_AILN!I:J,2,FALSE))</f>
        <v>-</v>
      </c>
      <c r="AO74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5" s="2" t="e">
        <f>VLOOKUP(Tableau119[[#This Row],[Key(POD -PFI- Usine)]],'DATA Consignee'!A:J,10,FALSE)</f>
        <v>#N/A</v>
      </c>
      <c r="AR745" s="50" t="e">
        <f>VLOOKUP(Tableau119[[#This Row],[Key(POD -PFI- Usine)]],'DATA Consignee'!A:N,14,FALSE)</f>
        <v>#N/A</v>
      </c>
      <c r="AS7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5" s="50">
        <f>Tableau119[[#This Row],[Transit time]]+Tableau119[[#This Row],[Time for security]]+Tableau119[[#This Row],[Time for security2 buffer]]</f>
        <v>0</v>
      </c>
      <c r="AV7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5" s="50" t="e">
        <f>Tableau119[[#This Row],[Leadtime SI2C]]+Tableau119[[#This Row],[First Receipt Days]]-Tableau119[[#This Row],[Day Customer Order]]+1</f>
        <v>#N/A</v>
      </c>
      <c r="AX745" s="119" t="e">
        <f>IF(Tableau119[[#This Row],[Name ILN]]&lt;&gt;"SFK Freight Forwarder",Tableau119[[#This Row],[Cust. Leadtime]],Tableau119[[#This Row],[Leadtime SI2C]])</f>
        <v>#N/A</v>
      </c>
      <c r="AY745" s="51" t="b">
        <f>_xlfn.XLOOKUP(Tableau119[[#This Row],[Key(ID-date)]],'DATA BTO'!S:S,'DATA BTO'!P:P,FALSE)</f>
        <v>0</v>
      </c>
      <c r="AZ745" s="338">
        <v>45777</v>
      </c>
      <c r="BA745" s="50"/>
    </row>
    <row r="746" spans="2:53">
      <c r="B746" s="446" t="str">
        <f>_xlfn.CONCAT(Tableau119[[#This Row],[Name ILN]],"-",Tableau119[[#This Row],[Name Shipper]],"-",Tableau119[[#This Row],[Name Site]])</f>
        <v>SFK Freight Forwarder-HIGHLY MARELLI MALAYSIA SDN. BHD.-OYAK MONT</v>
      </c>
      <c r="C746" s="66" t="str">
        <f>_xlfn.CONCAT(Tableau119[[#This Row],[Compte ILN]],"-",Tableau119[[#This Row],[Compte Shipper]],"-",Tableau119[[#This Row],[POL]],"-",Tableau119[[#This Row],[Compte Consignee]])</f>
        <v>0-27002800-FALSO-90017000</v>
      </c>
      <c r="D746" s="66" t="str">
        <f>_xlfn.CONCAT(Tableau119[[#This Row],[Compte ILN]],"-",Tableau119[[#This Row],[Compte Shipper]],"-",Tableau119[[#This Row],[POL]])</f>
        <v>0-27002800-FALSO</v>
      </c>
      <c r="E746" s="130" t="str">
        <f>_xlfn.CONCAT(Tableau119[[#This Row],[POL]],"-",Tableau119[[#This Row],[Carrier]],"-",Tableau119[[#This Row],[POD]])</f>
        <v>FALSO-FALSO-FALSO</v>
      </c>
      <c r="F746" s="66" t="str">
        <f>_xlfn.CONCAT(Tableau119[[#This Row],[ID]],"-","Actif")</f>
        <v>754-Actif</v>
      </c>
      <c r="G746" s="66" t="str">
        <f>_xlfn.CONCAT(Tableau119[[#This Row],[POD]],"-",Tableau119[[#This Row],[Code PFI]],"-",Tableau119[[#This Row],[Compte Consignee]])</f>
        <v>FALSO---90017000</v>
      </c>
      <c r="H7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27002800FALSOOYAK MONT</v>
      </c>
      <c r="I746" s="434" t="str">
        <f>_xlfn.CONCAT(Tableau119[[#This Row],[ID]],"-",Tableau119[[#This Row],[Expiration Date]])</f>
        <v>754-45473</v>
      </c>
      <c r="J7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Forwarder-HIGHLY MARELLI MALAYSIA SDN. BHD.-754-FALSO-FALSO-FALSO--45473</v>
      </c>
      <c r="K746" s="119" t="str">
        <f ca="1">IF(COUNTIF(J:J,Tableau119[[#This Row],[Plant-ILN-shipper-POL-Carrier-POD-PFI]])=1,"Non","Oui")</f>
        <v>Non</v>
      </c>
      <c r="L746" s="128" t="str">
        <f>VLOOKUP(Tableau119[[#This Row],[Name Site]],Plant_AILN!A:D,4,FALSE)</f>
        <v>TURKEY</v>
      </c>
      <c r="M746" s="411" t="s">
        <v>173</v>
      </c>
      <c r="N746" s="454">
        <f>VLOOKUP(Tableau119[[#This Row],[Name Site]],Plant_AILN!A:C,3,FALSE)</f>
        <v>90017000</v>
      </c>
      <c r="O746" s="55">
        <f>VLOOKUP(Tableau119[[#This Row],[Compte Consignee]],Order!C:D,2,FALSE)</f>
        <v>7</v>
      </c>
      <c r="P746" s="124" t="s">
        <v>146</v>
      </c>
      <c r="Q746" s="365">
        <f>VLOOKUP(Tableau119[[#This Row],[Name ILN]],Plant_AILN!F:G,2,FALSE)</f>
        <v>0</v>
      </c>
      <c r="R746" s="50">
        <f>VLOOKUP(Tableau119[[#This Row],[Compte ILN]],'DATA ILN'!D:I,6,FALSE)</f>
        <v>9</v>
      </c>
      <c r="S746" s="50" t="e">
        <f>IFERROR(VLOOKUP(Tableau119[[#This Row],[Key(Compte ILN - shipper - POL - plant)]],'DATA ILN'!A:J,10,FALSE),VLOOKUP(Tableau119[[#This Row],[Key(Compte ILN - shipper - POL)]],'DATA ILN'!B:J,9,FALSE))</f>
        <v>#N/A</v>
      </c>
      <c r="T746" s="50" t="e">
        <f>IFERROR(VLOOKUP(Tableau119[[#This Row],[Key(Compte ILN - shipper - POL - plant)]],'DATA ILN'!A:K,11,FALSE),VLOOKUP(Tableau119[[#This Row],[Key(Compte ILN - shipper - POL)]],'DATA ILN'!B:K,10,FALSE))</f>
        <v>#N/A</v>
      </c>
      <c r="U746" s="50" t="e">
        <f>IFERROR(VLOOKUP(Tableau119[[#This Row],[Key(Compte ILN - shipper - POL - plant)]],'DATA ILN'!A:L,12,FALSE),VLOOKUP(Tableau119[[#This Row],[Key(Compte ILN - shipper - POL)]],'DATA ILN'!B:L,11,FALSE))</f>
        <v>#N/A</v>
      </c>
      <c r="V746" s="50" t="e">
        <f>Tableau119[[#This Row],[Day ILN Order]]+Tableau119[[#This Row],[Delivery time to ILN/Shipper]]-1</f>
        <v>#N/A</v>
      </c>
      <c r="W746" s="50" t="e">
        <f>IFERROR(VLOOKUP(Tableau119[[#This Row],[Key(Compte ILN - shipper - POL - plant)]],'DATA ILN'!A:N,14,FALSE),VLOOKUP(Tableau119[[#This Row],[Key(Compte ILN - shipper - POL)]],'DATA ILN'!B:N,13,FALSE))</f>
        <v>#N/A</v>
      </c>
      <c r="X746" s="50" t="e">
        <f>IFERROR(VLOOKUP(Tableau119[[#This Row],[Key(Compte ILN - shipper - POL - plant)]],'DATA ILN'!A:P,16,FALSE),VLOOKUP(Tableau119[[#This Row],[Key(Compte ILN - shipper - POL)]],'DATA ILN'!B:P,15,FALSE))</f>
        <v>#N/A</v>
      </c>
      <c r="Y746" s="284" t="s">
        <v>322</v>
      </c>
      <c r="Z746" s="430">
        <f>IFERROR(VLOOKUP(Tableau119[[#This Row],[Name Shipper]],Plant_AILN!L:M,2,FALSE),0)</f>
        <v>27002800</v>
      </c>
      <c r="AA746" s="406">
        <v>754</v>
      </c>
      <c r="AB746" s="396" t="b">
        <f>_xlfn.XLOOKUP(Tableau119[[#This Row],[Key(ID-date)]],'DATA BTO'!S:S,'DATA BTO'!E:E,FALSE)</f>
        <v>0</v>
      </c>
      <c r="AC746" s="3" t="b">
        <f>_xlfn.XLOOKUP(Tableau119[[#This Row],[Key(ID-date)]],'DATA BTO'!S:S,'DATA BTO'!F:F,FALSE)</f>
        <v>0</v>
      </c>
      <c r="AD746" s="50" t="b">
        <f>_xlfn.XLOOKUP(Tableau119[[#This Row],[Key(ID-date)]],'DATA BTO'!S:S,'DATA BTO'!G:G,FALSE)</f>
        <v>0</v>
      </c>
      <c r="AE746" s="50" t="b">
        <f>_xlfn.XLOOKUP(Tableau119[[#This Row],[Key(ID-date)]],'DATA BTO'!S:S,'DATA BTO'!H:H,FALSE)</f>
        <v>0</v>
      </c>
      <c r="AF746" s="447" t="e">
        <f>IF(Tableau119[[#This Row],[First Day to POL]]&lt;=Tableau119[[#This Row],[Day Cut Off]],Tableau119[[#This Row],[Day ETD]],Tableau119[[#This Row],[Day ETD]]+7)</f>
        <v>#N/A</v>
      </c>
      <c r="AG746" s="50" t="b">
        <f>_xlfn.XLOOKUP(Tableau119[[#This Row],[Key(ID-date)]],'DATA BTO'!S:S,'DATA BTO'!I:I,FALSE)</f>
        <v>0</v>
      </c>
      <c r="AH746" s="3" t="b">
        <f>_xlfn.XLOOKUP(Tableau119[[#This Row],[Key(ID-date)]],'DATA BTO'!S:S,'DATA BTO'!J:J,FALSE)</f>
        <v>0</v>
      </c>
      <c r="AI746" s="3" t="b">
        <f>_xlfn.XLOOKUP(Tableau119[[#This Row],[Key(ID-date)]],'DATA BTO'!S:S,'DATA BTO'!K:K,FALSE)</f>
        <v>0</v>
      </c>
      <c r="AJ746" s="50" t="b">
        <f>_xlfn.XLOOKUP(Tableau119[[#This Row],[Key(ID-date)]],'DATA BTO'!S:S,'DATA BTO'!L:L,FALSE)</f>
        <v>0</v>
      </c>
      <c r="AK746" s="53" t="b">
        <f>_xlfn.XLOOKUP(Tableau119[[#This Row],[Key(ID-date)]],'DATA BTO'!S:S,'DATA BTO'!N:N,FALSE)</f>
        <v>0</v>
      </c>
      <c r="AL746" s="54" t="e">
        <f>VLOOKUP(Tableau119[[#This Row],[Key(POD -PFI- Usine)]],'DATA Consignee'!A:F,6,FALSE)</f>
        <v>#N/A</v>
      </c>
      <c r="AM746" s="284"/>
      <c r="AN746" s="376" t="str">
        <f>IF(Tableau119[[#This Row],[Name PFI/CDD]]="","-",VLOOKUP(Tableau119[[#This Row],[Name PFI/CDD]],Plant_AILN!I:J,2,FALSE))</f>
        <v>-</v>
      </c>
      <c r="AO7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6" s="2" t="e">
        <f>VLOOKUP(Tableau119[[#This Row],[Key(POD -PFI- Usine)]],'DATA Consignee'!A:J,10,FALSE)</f>
        <v>#N/A</v>
      </c>
      <c r="AR746" s="50" t="e">
        <f>VLOOKUP(Tableau119[[#This Row],[Key(POD -PFI- Usine)]],'DATA Consignee'!A:N,14,FALSE)</f>
        <v>#N/A</v>
      </c>
      <c r="AS7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6" s="50">
        <f>Tableau119[[#This Row],[Transit time]]+Tableau119[[#This Row],[Time for security]]+Tableau119[[#This Row],[Time for security2 buffer]]</f>
        <v>0</v>
      </c>
      <c r="AV7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6" s="50" t="e">
        <f>Tableau119[[#This Row],[Leadtime SI2C]]+Tableau119[[#This Row],[First Receipt Days]]-Tableau119[[#This Row],[Day Customer Order]]+1</f>
        <v>#N/A</v>
      </c>
      <c r="AX746" s="119" t="e">
        <f>IF(Tableau119[[#This Row],[Name ILN]]&lt;&gt;"SFK Freight Forwarder",Tableau119[[#This Row],[Cust. Leadtime]],Tableau119[[#This Row],[Leadtime SI2C]])</f>
        <v>#N/A</v>
      </c>
      <c r="AY746" s="51" t="b">
        <f>_xlfn.XLOOKUP(Tableau119[[#This Row],[Key(ID-date)]],'DATA BTO'!S:S,'DATA BTO'!P:P,FALSE)</f>
        <v>0</v>
      </c>
      <c r="AZ746" s="338">
        <v>45473</v>
      </c>
      <c r="BA746" s="50"/>
    </row>
    <row r="747" spans="2:53">
      <c r="B747" s="446" t="str">
        <f>_xlfn.CONCAT(Tableau119[[#This Row],[Name ILN]],"-",Tableau119[[#This Row],[Name Shipper]],"-",Tableau119[[#This Row],[Name Site]])</f>
        <v>SFK Freight Forwarder-HIGHLY MARELLI MALAYSIA SDN. BHD.-OYAK MONT</v>
      </c>
      <c r="C747" s="66" t="str">
        <f>_xlfn.CONCAT(Tableau119[[#This Row],[Compte ILN]],"-",Tableau119[[#This Row],[Compte Shipper]],"-",Tableau119[[#This Row],[POL]],"-",Tableau119[[#This Row],[Compte Consignee]])</f>
        <v>0-27002800-FALSO-90017000</v>
      </c>
      <c r="D747" s="66" t="str">
        <f>_xlfn.CONCAT(Tableau119[[#This Row],[Compte ILN]],"-",Tableau119[[#This Row],[Compte Shipper]],"-",Tableau119[[#This Row],[POL]])</f>
        <v>0-27002800-FALSO</v>
      </c>
      <c r="E747" s="130" t="str">
        <f>_xlfn.CONCAT(Tableau119[[#This Row],[POL]],"-",Tableau119[[#This Row],[Carrier]],"-",Tableau119[[#This Row],[POD]])</f>
        <v>FALSO-FALSO-FALSO</v>
      </c>
      <c r="F747" s="66" t="str">
        <f>_xlfn.CONCAT(Tableau119[[#This Row],[ID]],"-","Actif")</f>
        <v>754-Actif</v>
      </c>
      <c r="G747" s="66" t="str">
        <f>_xlfn.CONCAT(Tableau119[[#This Row],[POD]],"-",Tableau119[[#This Row],[Code PFI]],"-",Tableau119[[#This Row],[Compte Consignee]])</f>
        <v>FALSO---90017000</v>
      </c>
      <c r="H7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27002800FALSOOYAK MONT</v>
      </c>
      <c r="I747" s="434" t="str">
        <f>_xlfn.CONCAT(Tableau119[[#This Row],[ID]],"-",Tableau119[[#This Row],[Expiration Date]])</f>
        <v>754-45412</v>
      </c>
      <c r="J7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Forwarder-HIGHLY MARELLI MALAYSIA SDN. BHD.-754-FALSO-FALSO-FALSO--45412</v>
      </c>
      <c r="K747" s="119" t="str">
        <f ca="1">IF(COUNTIF(J:J,Tableau119[[#This Row],[Plant-ILN-shipper-POL-Carrier-POD-PFI]])=1,"Non","Oui")</f>
        <v>Non</v>
      </c>
      <c r="L747" s="128" t="str">
        <f>VLOOKUP(Tableau119[[#This Row],[Name Site]],Plant_AILN!A:D,4,FALSE)</f>
        <v>TURKEY</v>
      </c>
      <c r="M747" s="415" t="s">
        <v>173</v>
      </c>
      <c r="N747" s="455">
        <f>VLOOKUP(Tableau119[[#This Row],[Name Site]],Plant_AILN!A:C,3,FALSE)</f>
        <v>90017000</v>
      </c>
      <c r="O747" s="104">
        <f>VLOOKUP(Tableau119[[#This Row],[Compte Consignee]],Order!C:D,2,FALSE)</f>
        <v>7</v>
      </c>
      <c r="P747" s="126" t="s">
        <v>146</v>
      </c>
      <c r="Q747" s="366">
        <f>VLOOKUP(Tableau119[[#This Row],[Name ILN]],Plant_AILN!F:G,2,FALSE)</f>
        <v>0</v>
      </c>
      <c r="R747" s="81">
        <f>VLOOKUP(Tableau119[[#This Row],[Compte ILN]],'DATA ILN'!D:I,6,FALSE)</f>
        <v>9</v>
      </c>
      <c r="S747" s="81" t="e">
        <f>IFERROR(VLOOKUP(Tableau119[[#This Row],[Key(Compte ILN - shipper - POL - plant)]],'DATA ILN'!A:J,10,FALSE),VLOOKUP(Tableau119[[#This Row],[Key(Compte ILN - shipper - POL)]],'DATA ILN'!B:J,9,FALSE))</f>
        <v>#N/A</v>
      </c>
      <c r="T747" s="81" t="e">
        <f>IFERROR(VLOOKUP(Tableau119[[#This Row],[Key(Compte ILN - shipper - POL - plant)]],'DATA ILN'!A:K,11,FALSE),VLOOKUP(Tableau119[[#This Row],[Key(Compte ILN - shipper - POL)]],'DATA ILN'!B:K,10,FALSE))</f>
        <v>#N/A</v>
      </c>
      <c r="U747" s="81" t="e">
        <f>IFERROR(VLOOKUP(Tableau119[[#This Row],[Key(Compte ILN - shipper - POL - plant)]],'DATA ILN'!A:L,12,FALSE),VLOOKUP(Tableau119[[#This Row],[Key(Compte ILN - shipper - POL)]],'DATA ILN'!B:L,11,FALSE))</f>
        <v>#N/A</v>
      </c>
      <c r="V747" s="81" t="e">
        <f>Tableau119[[#This Row],[Day ILN Order]]+Tableau119[[#This Row],[Delivery time to ILN/Shipper]]-1</f>
        <v>#N/A</v>
      </c>
      <c r="W747" s="81" t="e">
        <f>IFERROR(VLOOKUP(Tableau119[[#This Row],[Key(Compte ILN - shipper - POL - plant)]],'DATA ILN'!A:N,14,FALSE),VLOOKUP(Tableau119[[#This Row],[Key(Compte ILN - shipper - POL)]],'DATA ILN'!B:N,13,FALSE))</f>
        <v>#N/A</v>
      </c>
      <c r="X747" s="81" t="e">
        <f>IFERROR(VLOOKUP(Tableau119[[#This Row],[Key(Compte ILN - shipper - POL - plant)]],'DATA ILN'!A:P,16,FALSE),VLOOKUP(Tableau119[[#This Row],[Key(Compte ILN - shipper - POL)]],'DATA ILN'!B:P,15,FALSE))</f>
        <v>#N/A</v>
      </c>
      <c r="Y747" s="102" t="s">
        <v>322</v>
      </c>
      <c r="Z747" s="417">
        <f>IFERROR(VLOOKUP(Tableau119[[#This Row],[Name Shipper]],Plant_AILN!L:M,2,FALSE),0)</f>
        <v>27002800</v>
      </c>
      <c r="AA747" s="416">
        <v>754</v>
      </c>
      <c r="AB747" s="396" t="b">
        <f>_xlfn.XLOOKUP(Tableau119[[#This Row],[Key(ID-date)]],'DATA BTO'!S:S,'DATA BTO'!E:E,FALSE)</f>
        <v>0</v>
      </c>
      <c r="AC747" s="3" t="b">
        <f>_xlfn.XLOOKUP(Tableau119[[#This Row],[Key(ID-date)]],'DATA BTO'!S:S,'DATA BTO'!F:F,FALSE)</f>
        <v>0</v>
      </c>
      <c r="AD747" s="50" t="b">
        <f>_xlfn.XLOOKUP(Tableau119[[#This Row],[Key(ID-date)]],'DATA BTO'!S:S,'DATA BTO'!G:G,FALSE)</f>
        <v>0</v>
      </c>
      <c r="AE747" s="50" t="b">
        <f>_xlfn.XLOOKUP(Tableau119[[#This Row],[Key(ID-date)]],'DATA BTO'!S:S,'DATA BTO'!H:H,FALSE)</f>
        <v>0</v>
      </c>
      <c r="AF747" s="447" t="e">
        <f>IF(Tableau119[[#This Row],[First Day to POL]]&lt;=Tableau119[[#This Row],[Day Cut Off]],Tableau119[[#This Row],[Day ETD]],Tableau119[[#This Row],[Day ETD]]+7)</f>
        <v>#N/A</v>
      </c>
      <c r="AG747" s="50" t="b">
        <f>_xlfn.XLOOKUP(Tableau119[[#This Row],[Key(ID-date)]],'DATA BTO'!S:S,'DATA BTO'!I:I,FALSE)</f>
        <v>0</v>
      </c>
      <c r="AH747" s="3" t="b">
        <f>_xlfn.XLOOKUP(Tableau119[[#This Row],[Key(ID-date)]],'DATA BTO'!S:S,'DATA BTO'!J:J,FALSE)</f>
        <v>0</v>
      </c>
      <c r="AI747" s="3" t="b">
        <f>_xlfn.XLOOKUP(Tableau119[[#This Row],[Key(ID-date)]],'DATA BTO'!S:S,'DATA BTO'!K:K,FALSE)</f>
        <v>0</v>
      </c>
      <c r="AJ747" s="50" t="b">
        <f>_xlfn.XLOOKUP(Tableau119[[#This Row],[Key(ID-date)]],'DATA BTO'!S:S,'DATA BTO'!L:L,FALSE)</f>
        <v>0</v>
      </c>
      <c r="AK747" s="53" t="b">
        <f>_xlfn.XLOOKUP(Tableau119[[#This Row],[Key(ID-date)]],'DATA BTO'!S:S,'DATA BTO'!N:N,FALSE)</f>
        <v>0</v>
      </c>
      <c r="AL747" s="54" t="e">
        <f>VLOOKUP(Tableau119[[#This Row],[Key(POD -PFI- Usine)]],'DATA Consignee'!A:F,6,FALSE)</f>
        <v>#N/A</v>
      </c>
      <c r="AM747" s="102"/>
      <c r="AN747" s="375" t="str">
        <f>IF(Tableau119[[#This Row],[Name PFI/CDD]]="","-",VLOOKUP(Tableau119[[#This Row],[Name PFI/CDD]],Plant_AILN!I:J,2,FALSE))</f>
        <v>-</v>
      </c>
      <c r="AO74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7" s="110" t="e">
        <f>VLOOKUP(Tableau119[[#This Row],[Key(POD -PFI- Usine)]],'DATA Consignee'!A:J,10,FALSE)</f>
        <v>#N/A</v>
      </c>
      <c r="AR747" s="81" t="e">
        <f>VLOOKUP(Tableau119[[#This Row],[Key(POD -PFI- Usine)]],'DATA Consignee'!A:N,14,FALSE)</f>
        <v>#N/A</v>
      </c>
      <c r="AS74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7" s="81">
        <f>Tableau119[[#This Row],[Transit time]]+Tableau119[[#This Row],[Time for security]]+Tableau119[[#This Row],[Time for security2 buffer]]</f>
        <v>0</v>
      </c>
      <c r="AV7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7" s="50" t="e">
        <f>Tableau119[[#This Row],[Leadtime SI2C]]+Tableau119[[#This Row],[First Receipt Days]]-Tableau119[[#This Row],[Day Customer Order]]+1</f>
        <v>#N/A</v>
      </c>
      <c r="AX747" s="119" t="e">
        <f>IF(Tableau119[[#This Row],[Name ILN]]&lt;&gt;"SFK Freight Forwarder",Tableau119[[#This Row],[Cust. Leadtime]],Tableau119[[#This Row],[Leadtime SI2C]])</f>
        <v>#N/A</v>
      </c>
      <c r="AY747" s="51" t="b">
        <f>_xlfn.XLOOKUP(Tableau119[[#This Row],[Key(ID-date)]],'DATA BTO'!S:S,'DATA BTO'!P:P,FALSE)</f>
        <v>0</v>
      </c>
      <c r="AZ747" s="388">
        <v>45412</v>
      </c>
      <c r="BA747" s="81"/>
    </row>
    <row r="748" spans="2:53">
      <c r="B748" s="66" t="str">
        <f>_xlfn.CONCAT(Tableau119[[#This Row],[Name ILN]],"-",Tableau119[[#This Row],[Name Shipper]],"-",Tableau119[[#This Row],[Name Site]])</f>
        <v>ILN Curitiba-ILN Curitiba-SOMACA</v>
      </c>
      <c r="C748" s="66" t="str">
        <f>_xlfn.CONCAT(Tableau119[[#This Row],[Compte ILN]],"-",Tableau119[[#This Row],[Compte Shipper]],"-",Tableau119[[#This Row],[POL]],"-",Tableau119[[#This Row],[Compte Consignee]])</f>
        <v>95207-95207-FALSO-90038200</v>
      </c>
      <c r="D748" s="66" t="str">
        <f>_xlfn.CONCAT(Tableau119[[#This Row],[Compte ILN]],"-",Tableau119[[#This Row],[Compte Shipper]],"-",Tableau119[[#This Row],[POL]])</f>
        <v>95207-95207-FALSO</v>
      </c>
      <c r="E748" s="130" t="str">
        <f>_xlfn.CONCAT(Tableau119[[#This Row],[POL]],"-",Tableau119[[#This Row],[Carrier]],"-",Tableau119[[#This Row],[POD]])</f>
        <v>FALSO-FALSO-FALSO</v>
      </c>
      <c r="F748" s="66" t="str">
        <f>_xlfn.CONCAT(Tableau119[[#This Row],[ID]],"-","Actif")</f>
        <v>759-Actif</v>
      </c>
      <c r="G748" s="66" t="str">
        <f>_xlfn.CONCAT(Tableau119[[#This Row],[POD]],"-",Tableau119[[#This Row],[Code PFI]],"-",Tableau119[[#This Row],[Compte Consignee]])</f>
        <v>FALSO---90038200</v>
      </c>
      <c r="H7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CuritibaFALSOSOMACA</v>
      </c>
      <c r="I748" s="434" t="str">
        <f>_xlfn.CONCAT(Tableau119[[#This Row],[ID]],"-",Tableau119[[#This Row],[Expiration Date]])</f>
        <v>759-46142</v>
      </c>
      <c r="J7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Curitiba-ILN Curitiba-759-FALSO-FALSO-FALSO--46142</v>
      </c>
      <c r="K748" s="119" t="str">
        <f ca="1">IF(COUNTIF(J:J,Tableau119[[#This Row],[Plant-ILN-shipper-POL-Carrier-POD-PFI]])=1,"Non","Oui")</f>
        <v>Non</v>
      </c>
      <c r="L748" s="440" t="str">
        <f>VLOOKUP(Tableau119[[#This Row],[Name Site]],Plant_AILN!A:D,4,FALSE)</f>
        <v>MOROCCO</v>
      </c>
      <c r="M748" s="10" t="s">
        <v>179</v>
      </c>
      <c r="N748" s="454">
        <f>VLOOKUP(Tableau119[[#This Row],[Name Site]],Plant_AILN!A:C,3,FALSE)</f>
        <v>90038200</v>
      </c>
      <c r="O748" s="55">
        <f>IF(Tableau119[[#This Row],[Name PFI/CDD]]="PFI VLL",2,VLOOKUP(Tableau119[[#This Row],[Compte Consignee]],Order!C:D,2,FALSE))</f>
        <v>7</v>
      </c>
      <c r="P748" s="124" t="s">
        <v>163</v>
      </c>
      <c r="Q748" s="365">
        <f>VLOOKUP(Tableau119[[#This Row],[Name ILN]],Plant_AILN!F:G,2,FALSE)</f>
        <v>95207</v>
      </c>
      <c r="R748" s="50">
        <f>VLOOKUP(Tableau119[[#This Row],[Compte ILN]],'DATA ILN'!D:I,6,FALSE)</f>
        <v>9</v>
      </c>
      <c r="S748" s="50" t="e">
        <f>IFERROR(VLOOKUP(Tableau119[[#This Row],[Key(Compte ILN - shipper - POL - plant)]],'DATA ILN'!A:J,10,FALSE),VLOOKUP(Tableau119[[#This Row],[Key(Compte ILN - shipper - POL)]],'DATA ILN'!B:J,9,FALSE))</f>
        <v>#N/A</v>
      </c>
      <c r="T748" s="50" t="e">
        <f>IFERROR(VLOOKUP(Tableau119[[#This Row],[Key(Compte ILN - shipper - POL - plant)]],'DATA ILN'!A:K,11,FALSE),VLOOKUP(Tableau119[[#This Row],[Key(Compte ILN - shipper - POL)]],'DATA ILN'!B:K,10,FALSE))</f>
        <v>#N/A</v>
      </c>
      <c r="U748" s="50" t="e">
        <f>IFERROR(VLOOKUP(Tableau119[[#This Row],[Key(Compte ILN - shipper - POL - plant)]],'DATA ILN'!A:L,12,FALSE),VLOOKUP(Tableau119[[#This Row],[Key(Compte ILN - shipper - POL)]],'DATA ILN'!B:L,11,FALSE))</f>
        <v>#N/A</v>
      </c>
      <c r="V748" s="50" t="e">
        <f>Tableau119[[#This Row],[Day ILN Order]]+Tableau119[[#This Row],[Delivery time to ILN/Shipper]]-1</f>
        <v>#N/A</v>
      </c>
      <c r="W748" s="50" t="e">
        <f>IFERROR(VLOOKUP(Tableau119[[#This Row],[Key(Compte ILN - shipper - POL - plant)]],'DATA ILN'!A:N,14,FALSE),VLOOKUP(Tableau119[[#This Row],[Key(Compte ILN - shipper - POL)]],'DATA ILN'!B:N,13,FALSE))</f>
        <v>#N/A</v>
      </c>
      <c r="X748" s="50" t="e">
        <f>IFERROR(VLOOKUP(Tableau119[[#This Row],[Key(Compte ILN - shipper - POL - plant)]],'DATA ILN'!A:P,16,FALSE),VLOOKUP(Tableau119[[#This Row],[Key(Compte ILN - shipper - POL)]],'DATA ILN'!B:P,15,FALSE))</f>
        <v>#N/A</v>
      </c>
      <c r="Y748" s="284" t="s">
        <v>163</v>
      </c>
      <c r="Z748" s="430">
        <f>IFERROR(VLOOKUP(Tableau119[[#This Row],[Name Shipper]],Plant_AILN!L:M,2,FALSE),0)</f>
        <v>95207</v>
      </c>
      <c r="AA748" s="406">
        <v>759</v>
      </c>
      <c r="AB748" s="396" t="b">
        <f>_xlfn.XLOOKUP(Tableau119[[#This Row],[Key(ID-date)]],'DATA BTO'!S:S,'DATA BTO'!E:E,FALSE)</f>
        <v>0</v>
      </c>
      <c r="AC748" s="3" t="b">
        <f>_xlfn.XLOOKUP(Tableau119[[#This Row],[Key(ID-date)]],'DATA BTO'!S:S,'DATA BTO'!F:F,FALSE)</f>
        <v>0</v>
      </c>
      <c r="AD748" s="50" t="b">
        <f>_xlfn.XLOOKUP(Tableau119[[#This Row],[Key(ID-date)]],'DATA BTO'!S:S,'DATA BTO'!G:G,FALSE)</f>
        <v>0</v>
      </c>
      <c r="AE748" s="50" t="b">
        <f>_xlfn.XLOOKUP(Tableau119[[#This Row],[Key(ID-date)]],'DATA BTO'!S:S,'DATA BTO'!H:H,FALSE)</f>
        <v>0</v>
      </c>
      <c r="AF748" s="447" t="e">
        <f>IF(Tableau119[[#This Row],[First Day to POL]]&lt;=Tableau119[[#This Row],[Day Cut Off]],Tableau119[[#This Row],[Day ETD]],Tableau119[[#This Row],[Day ETD]]+7)</f>
        <v>#N/A</v>
      </c>
      <c r="AG748" s="50" t="b">
        <f>_xlfn.XLOOKUP(Tableau119[[#This Row],[Key(ID-date)]],'DATA BTO'!S:S,'DATA BTO'!I:I,FALSE)</f>
        <v>0</v>
      </c>
      <c r="AH748" s="3" t="b">
        <f>_xlfn.XLOOKUP(Tableau119[[#This Row],[Key(ID-date)]],'DATA BTO'!S:S,'DATA BTO'!J:J,FALSE)</f>
        <v>0</v>
      </c>
      <c r="AI748" s="3" t="b">
        <f>_xlfn.XLOOKUP(Tableau119[[#This Row],[Key(ID-date)]],'DATA BTO'!S:S,'DATA BTO'!K:K,FALSE)</f>
        <v>0</v>
      </c>
      <c r="AJ748" s="50" t="b">
        <f>_xlfn.XLOOKUP(Tableau119[[#This Row],[Key(ID-date)]],'DATA BTO'!S:S,'DATA BTO'!L:L,FALSE)</f>
        <v>0</v>
      </c>
      <c r="AK748" s="53" t="b">
        <f>_xlfn.XLOOKUP(Tableau119[[#This Row],[Key(ID-date)]],'DATA BTO'!S:S,'DATA BTO'!N:N,FALSE)</f>
        <v>0</v>
      </c>
      <c r="AL748" s="54" t="e">
        <f>VLOOKUP(Tableau119[[#This Row],[Key(POD -PFI- Usine)]],'DATA Consignee'!A:F,6,FALSE)</f>
        <v>#N/A</v>
      </c>
      <c r="AM748" s="284"/>
      <c r="AN748" s="376" t="str">
        <f>IF(Tableau119[[#This Row],[Name PFI/CDD]]="","-",VLOOKUP(Tableau119[[#This Row],[Name PFI/CDD]],Plant_AILN!I:J,2,FALSE))</f>
        <v>-</v>
      </c>
      <c r="AO7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8" s="2" t="e">
        <f>VLOOKUP(Tableau119[[#This Row],[Key(POD -PFI- Usine)]],'DATA Consignee'!A:J,10,FALSE)</f>
        <v>#N/A</v>
      </c>
      <c r="AR748" s="50" t="e">
        <f>VLOOKUP(Tableau119[[#This Row],[Key(POD -PFI- Usine)]],'DATA Consignee'!A:N,14,FALSE)</f>
        <v>#N/A</v>
      </c>
      <c r="AS74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8" s="50">
        <f>Tableau119[[#This Row],[Transit time]]+Tableau119[[#This Row],[Time for security]]+Tableau119[[#This Row],[Time for security2 buffer]]</f>
        <v>0</v>
      </c>
      <c r="AV74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8" s="50" t="e">
        <f>Tableau119[[#This Row],[Leadtime SI2C]]+Tableau119[[#This Row],[First Receipt Days]]-Tableau119[[#This Row],[Day Customer Order]]+1</f>
        <v>#N/A</v>
      </c>
      <c r="AX748" s="119" t="e">
        <f>IF(Tableau119[[#This Row],[Name ILN]]&lt;&gt;"SFK Freight Forwarder",Tableau119[[#This Row],[Cust. Leadtime]],Tableau119[[#This Row],[Leadtime SI2C]])</f>
        <v>#N/A</v>
      </c>
      <c r="AY748" s="51" t="b">
        <f>_xlfn.XLOOKUP(Tableau119[[#This Row],[Key(ID-date)]],'DATA BTO'!S:S,'DATA BTO'!P:P,FALSE)</f>
        <v>0</v>
      </c>
      <c r="AZ748" s="338">
        <v>46142</v>
      </c>
      <c r="BA748" s="50"/>
    </row>
    <row r="749" spans="2:53">
      <c r="B749" s="66" t="str">
        <f>_xlfn.CONCAT(Tableau119[[#This Row],[Name ILN]],"-",Tableau119[[#This Row],[Name Shipper]],"-",Tableau119[[#This Row],[Name Site]])</f>
        <v>ILN Curitiba-ILN Curitiba-TANGER</v>
      </c>
      <c r="C749" s="66" t="str">
        <f>_xlfn.CONCAT(Tableau119[[#This Row],[Compte ILN]],"-",Tableau119[[#This Row],[Compte Shipper]],"-",Tableau119[[#This Row],[POL]],"-",Tableau119[[#This Row],[Compte Consignee]])</f>
        <v>95207-95207-FALSO-900383</v>
      </c>
      <c r="D749" s="66" t="str">
        <f>_xlfn.CONCAT(Tableau119[[#This Row],[Compte ILN]],"-",Tableau119[[#This Row],[Compte Shipper]],"-",Tableau119[[#This Row],[POL]])</f>
        <v>95207-95207-FALSO</v>
      </c>
      <c r="E749" s="130" t="str">
        <f>_xlfn.CONCAT(Tableau119[[#This Row],[POL]],"-",Tableau119[[#This Row],[Carrier]],"-",Tableau119[[#This Row],[POD]])</f>
        <v>FALSO-FALSO-FALSO</v>
      </c>
      <c r="F749" s="66" t="str">
        <f>_xlfn.CONCAT(Tableau119[[#This Row],[ID]],"-","Actif")</f>
        <v>759-Actif</v>
      </c>
      <c r="G749" s="66" t="str">
        <f>_xlfn.CONCAT(Tableau119[[#This Row],[POD]],"-",Tableau119[[#This Row],[Code PFI]],"-",Tableau119[[#This Row],[Compte Consignee]])</f>
        <v>FALSO---900383</v>
      </c>
      <c r="H7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CuritibaFALSOTANGER</v>
      </c>
      <c r="I749" s="434" t="str">
        <f>_xlfn.CONCAT(Tableau119[[#This Row],[ID]],"-",Tableau119[[#This Row],[Expiration Date]])</f>
        <v>759-46142</v>
      </c>
      <c r="J7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Curitiba-ILN Curitiba-759-FALSO-FALSO-FALSO--46142</v>
      </c>
      <c r="K749" s="119" t="str">
        <f ca="1">IF(COUNTIF(J:J,Tableau119[[#This Row],[Plant-ILN-shipper-POL-Carrier-POD-PFI]])=1,"Non","Oui")</f>
        <v>Non</v>
      </c>
      <c r="L749" s="440" t="str">
        <f>VLOOKUP(Tableau119[[#This Row],[Name Site]],Plant_AILN!A:D,4,FALSE)</f>
        <v>MOROCCO</v>
      </c>
      <c r="M749" s="10" t="s">
        <v>180</v>
      </c>
      <c r="N749" s="454">
        <f>VLOOKUP(Tableau119[[#This Row],[Name Site]],Plant_AILN!A:C,3,FALSE)</f>
        <v>900383</v>
      </c>
      <c r="O749" s="55">
        <f>IF(Tableau119[[#This Row],[Name PFI/CDD]]="PFI VLL",2,VLOOKUP(Tableau119[[#This Row],[Compte Consignee]],Order!C:D,2,FALSE))</f>
        <v>7</v>
      </c>
      <c r="P749" s="124" t="s">
        <v>163</v>
      </c>
      <c r="Q749" s="365">
        <f>VLOOKUP(Tableau119[[#This Row],[Name ILN]],Plant_AILN!F:G,2,FALSE)</f>
        <v>95207</v>
      </c>
      <c r="R749" s="50">
        <f>VLOOKUP(Tableau119[[#This Row],[Compte ILN]],'DATA ILN'!D:I,6,FALSE)</f>
        <v>9</v>
      </c>
      <c r="S749" s="50" t="e">
        <f>IFERROR(VLOOKUP(Tableau119[[#This Row],[Key(Compte ILN - shipper - POL - plant)]],'DATA ILN'!A:J,10,FALSE),VLOOKUP(Tableau119[[#This Row],[Key(Compte ILN - shipper - POL)]],'DATA ILN'!B:J,9,FALSE))</f>
        <v>#N/A</v>
      </c>
      <c r="T749" s="50" t="e">
        <f>IFERROR(VLOOKUP(Tableau119[[#This Row],[Key(Compte ILN - shipper - POL - plant)]],'DATA ILN'!A:K,11,FALSE),VLOOKUP(Tableau119[[#This Row],[Key(Compte ILN - shipper - POL)]],'DATA ILN'!B:K,10,FALSE))</f>
        <v>#N/A</v>
      </c>
      <c r="U749" s="50" t="e">
        <f>IFERROR(VLOOKUP(Tableau119[[#This Row],[Key(Compte ILN - shipper - POL - plant)]],'DATA ILN'!A:L,12,FALSE),VLOOKUP(Tableau119[[#This Row],[Key(Compte ILN - shipper - POL)]],'DATA ILN'!B:L,11,FALSE))</f>
        <v>#N/A</v>
      </c>
      <c r="V749" s="50" t="e">
        <f>Tableau119[[#This Row],[Day ILN Order]]+Tableau119[[#This Row],[Delivery time to ILN/Shipper]]-1</f>
        <v>#N/A</v>
      </c>
      <c r="W749" s="50" t="e">
        <f>IFERROR(VLOOKUP(Tableau119[[#This Row],[Key(Compte ILN - shipper - POL - plant)]],'DATA ILN'!A:N,14,FALSE),VLOOKUP(Tableau119[[#This Row],[Key(Compte ILN - shipper - POL)]],'DATA ILN'!B:N,13,FALSE))</f>
        <v>#N/A</v>
      </c>
      <c r="X749" s="50" t="e">
        <f>IFERROR(VLOOKUP(Tableau119[[#This Row],[Key(Compte ILN - shipper - POL - plant)]],'DATA ILN'!A:P,16,FALSE),VLOOKUP(Tableau119[[#This Row],[Key(Compte ILN - shipper - POL)]],'DATA ILN'!B:P,15,FALSE))</f>
        <v>#N/A</v>
      </c>
      <c r="Y749" s="284" t="s">
        <v>163</v>
      </c>
      <c r="Z749" s="430">
        <f>IFERROR(VLOOKUP(Tableau119[[#This Row],[Name Shipper]],Plant_AILN!L:M,2,FALSE),0)</f>
        <v>95207</v>
      </c>
      <c r="AA749" s="406">
        <v>759</v>
      </c>
      <c r="AB749" s="396" t="b">
        <f>_xlfn.XLOOKUP(Tableau119[[#This Row],[Key(ID-date)]],'DATA BTO'!S:S,'DATA BTO'!E:E,FALSE)</f>
        <v>0</v>
      </c>
      <c r="AC749" s="3" t="b">
        <f>_xlfn.XLOOKUP(Tableau119[[#This Row],[Key(ID-date)]],'DATA BTO'!S:S,'DATA BTO'!F:F,FALSE)</f>
        <v>0</v>
      </c>
      <c r="AD749" s="50" t="b">
        <f>_xlfn.XLOOKUP(Tableau119[[#This Row],[Key(ID-date)]],'DATA BTO'!S:S,'DATA BTO'!G:G,FALSE)</f>
        <v>0</v>
      </c>
      <c r="AE749" s="50" t="b">
        <f>_xlfn.XLOOKUP(Tableau119[[#This Row],[Key(ID-date)]],'DATA BTO'!S:S,'DATA BTO'!H:H,FALSE)</f>
        <v>0</v>
      </c>
      <c r="AF749" s="447" t="e">
        <f>IF(Tableau119[[#This Row],[First Day to POL]]&lt;=Tableau119[[#This Row],[Day Cut Off]],Tableau119[[#This Row],[Day ETD]],Tableau119[[#This Row],[Day ETD]]+7)</f>
        <v>#N/A</v>
      </c>
      <c r="AG749" s="50" t="b">
        <f>_xlfn.XLOOKUP(Tableau119[[#This Row],[Key(ID-date)]],'DATA BTO'!S:S,'DATA BTO'!I:I,FALSE)</f>
        <v>0</v>
      </c>
      <c r="AH749" s="3" t="b">
        <f>_xlfn.XLOOKUP(Tableau119[[#This Row],[Key(ID-date)]],'DATA BTO'!S:S,'DATA BTO'!J:J,FALSE)</f>
        <v>0</v>
      </c>
      <c r="AI749" s="3" t="b">
        <f>_xlfn.XLOOKUP(Tableau119[[#This Row],[Key(ID-date)]],'DATA BTO'!S:S,'DATA BTO'!K:K,FALSE)</f>
        <v>0</v>
      </c>
      <c r="AJ749" s="50" t="b">
        <f>_xlfn.XLOOKUP(Tableau119[[#This Row],[Key(ID-date)]],'DATA BTO'!S:S,'DATA BTO'!L:L,FALSE)</f>
        <v>0</v>
      </c>
      <c r="AK749" s="53" t="b">
        <f>_xlfn.XLOOKUP(Tableau119[[#This Row],[Key(ID-date)]],'DATA BTO'!S:S,'DATA BTO'!N:N,FALSE)</f>
        <v>0</v>
      </c>
      <c r="AL749" s="54" t="e">
        <f>VLOOKUP(Tableau119[[#This Row],[Key(POD -PFI- Usine)]],'DATA Consignee'!A:F,6,FALSE)</f>
        <v>#N/A</v>
      </c>
      <c r="AM749" s="284"/>
      <c r="AN749" s="376" t="str">
        <f>IF(Tableau119[[#This Row],[Name PFI/CDD]]="","-",VLOOKUP(Tableau119[[#This Row],[Name PFI/CDD]],Plant_AILN!I:J,2,FALSE))</f>
        <v>-</v>
      </c>
      <c r="AO7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49" s="2" t="e">
        <f>VLOOKUP(Tableau119[[#This Row],[Key(POD -PFI- Usine)]],'DATA Consignee'!A:J,10,FALSE)</f>
        <v>#N/A</v>
      </c>
      <c r="AR749" s="50" t="e">
        <f>VLOOKUP(Tableau119[[#This Row],[Key(POD -PFI- Usine)]],'DATA Consignee'!A:N,14,FALSE)</f>
        <v>#N/A</v>
      </c>
      <c r="AS7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49" s="50">
        <f>Tableau119[[#This Row],[Transit time]]+Tableau119[[#This Row],[Time for security]]+Tableau119[[#This Row],[Time for security2 buffer]]</f>
        <v>0</v>
      </c>
      <c r="AV7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49" s="50" t="e">
        <f>Tableau119[[#This Row],[Leadtime SI2C]]+Tableau119[[#This Row],[First Receipt Days]]-Tableau119[[#This Row],[Day Customer Order]]+1</f>
        <v>#N/A</v>
      </c>
      <c r="AX749" s="119" t="e">
        <f>IF(Tableau119[[#This Row],[Name ILN]]&lt;&gt;"SFK Freight Forwarder",Tableau119[[#This Row],[Cust. Leadtime]],Tableau119[[#This Row],[Leadtime SI2C]])</f>
        <v>#N/A</v>
      </c>
      <c r="AY749" s="51" t="b">
        <f>_xlfn.XLOOKUP(Tableau119[[#This Row],[Key(ID-date)]],'DATA BTO'!S:S,'DATA BTO'!P:P,FALSE)</f>
        <v>0</v>
      </c>
      <c r="AZ749" s="338">
        <v>46142</v>
      </c>
      <c r="BA749" s="50"/>
    </row>
    <row r="750" spans="2:53">
      <c r="B750" s="446" t="str">
        <f>_xlfn.CONCAT(Tableau119[[#This Row],[Name ILN]],"-",Tableau119[[#This Row],[Name Shipper]],"-",Tableau119[[#This Row],[Name Site]])</f>
        <v>ILN Curitiba-ILN Curitiba-SOMACA</v>
      </c>
      <c r="C750" s="66" t="str">
        <f>_xlfn.CONCAT(Tableau119[[#This Row],[Compte ILN]],"-",Tableau119[[#This Row],[Compte Shipper]],"-",Tableau119[[#This Row],[POL]],"-",Tableau119[[#This Row],[Compte Consignee]])</f>
        <v>95207-95207-FALSO-90038200</v>
      </c>
      <c r="D750" s="66" t="str">
        <f>_xlfn.CONCAT(Tableau119[[#This Row],[Compte ILN]],"-",Tableau119[[#This Row],[Compte Shipper]],"-",Tableau119[[#This Row],[POL]])</f>
        <v>95207-95207-FALSO</v>
      </c>
      <c r="E750" s="130" t="str">
        <f>_xlfn.CONCAT(Tableau119[[#This Row],[POL]],"-",Tableau119[[#This Row],[Carrier]],"-",Tableau119[[#This Row],[POD]])</f>
        <v>FALSO-FALSO-FALSO</v>
      </c>
      <c r="F750" s="66" t="str">
        <f>_xlfn.CONCAT(Tableau119[[#This Row],[ID]],"-","Actif")</f>
        <v>759-Actif</v>
      </c>
      <c r="G750" s="66" t="str">
        <f>_xlfn.CONCAT(Tableau119[[#This Row],[POD]],"-",Tableau119[[#This Row],[Code PFI]],"-",Tableau119[[#This Row],[Compte Consignee]])</f>
        <v>FALSO---90038200</v>
      </c>
      <c r="H7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CuritibaFALSOSOMACA</v>
      </c>
      <c r="I750" s="434" t="str">
        <f>_xlfn.CONCAT(Tableau119[[#This Row],[ID]],"-",Tableau119[[#This Row],[Expiration Date]])</f>
        <v>759-45777</v>
      </c>
      <c r="J7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Curitiba-ILN Curitiba-759-FALSO-FALSO-FALSO--45777</v>
      </c>
      <c r="K750" s="119" t="str">
        <f ca="1">IF(COUNTIF(J:J,Tableau119[[#This Row],[Plant-ILN-shipper-POL-Carrier-POD-PFI]])=1,"Non","Oui")</f>
        <v>Non</v>
      </c>
      <c r="L750" s="128" t="str">
        <f>VLOOKUP(Tableau119[[#This Row],[Name Site]],Plant_AILN!A:D,4,FALSE)</f>
        <v>MOROCCO</v>
      </c>
      <c r="M750" s="411" t="s">
        <v>179</v>
      </c>
      <c r="N750" s="454">
        <f>VLOOKUP(Tableau119[[#This Row],[Name Site]],Plant_AILN!A:C,3,FALSE)</f>
        <v>90038200</v>
      </c>
      <c r="O750" s="55">
        <f>VLOOKUP(Tableau119[[#This Row],[Compte Consignee]],Order!C:D,2,FALSE)</f>
        <v>7</v>
      </c>
      <c r="P750" s="124" t="s">
        <v>163</v>
      </c>
      <c r="Q750" s="365">
        <f>VLOOKUP(Tableau119[[#This Row],[Name ILN]],Plant_AILN!F:G,2,FALSE)</f>
        <v>95207</v>
      </c>
      <c r="R750" s="50">
        <f>VLOOKUP(Tableau119[[#This Row],[Compte ILN]],'DATA ILN'!D:I,6,FALSE)</f>
        <v>9</v>
      </c>
      <c r="S750" s="50" t="e">
        <f>IFERROR(VLOOKUP(Tableau119[[#This Row],[Key(Compte ILN - shipper - POL - plant)]],'DATA ILN'!A:J,10,FALSE),VLOOKUP(Tableau119[[#This Row],[Key(Compte ILN - shipper - POL)]],'DATA ILN'!B:J,9,FALSE))</f>
        <v>#N/A</v>
      </c>
      <c r="T750" s="50" t="e">
        <f>IFERROR(VLOOKUP(Tableau119[[#This Row],[Key(Compte ILN - shipper - POL - plant)]],'DATA ILN'!A:K,11,FALSE),VLOOKUP(Tableau119[[#This Row],[Key(Compte ILN - shipper - POL)]],'DATA ILN'!B:K,10,FALSE))</f>
        <v>#N/A</v>
      </c>
      <c r="U750" s="50" t="e">
        <f>IFERROR(VLOOKUP(Tableau119[[#This Row],[Key(Compte ILN - shipper - POL - plant)]],'DATA ILN'!A:L,12,FALSE),VLOOKUP(Tableau119[[#This Row],[Key(Compte ILN - shipper - POL)]],'DATA ILN'!B:L,11,FALSE))</f>
        <v>#N/A</v>
      </c>
      <c r="V750" s="50" t="e">
        <f>Tableau119[[#This Row],[Day ILN Order]]+Tableau119[[#This Row],[Delivery time to ILN/Shipper]]-1</f>
        <v>#N/A</v>
      </c>
      <c r="W750" s="50" t="e">
        <f>IFERROR(VLOOKUP(Tableau119[[#This Row],[Key(Compte ILN - shipper - POL - plant)]],'DATA ILN'!A:N,14,FALSE),VLOOKUP(Tableau119[[#This Row],[Key(Compte ILN - shipper - POL)]],'DATA ILN'!B:N,13,FALSE))</f>
        <v>#N/A</v>
      </c>
      <c r="X750" s="50" t="e">
        <f>IFERROR(VLOOKUP(Tableau119[[#This Row],[Key(Compte ILN - shipper - POL - plant)]],'DATA ILN'!A:P,16,FALSE),VLOOKUP(Tableau119[[#This Row],[Key(Compte ILN - shipper - POL)]],'DATA ILN'!B:P,15,FALSE))</f>
        <v>#N/A</v>
      </c>
      <c r="Y750" s="284" t="s">
        <v>163</v>
      </c>
      <c r="Z750" s="430">
        <f>IFERROR(VLOOKUP(Tableau119[[#This Row],[Name Shipper]],Plant_AILN!L:M,2,FALSE),0)</f>
        <v>95207</v>
      </c>
      <c r="AA750" s="406">
        <v>759</v>
      </c>
      <c r="AB750" s="396" t="b">
        <f>_xlfn.XLOOKUP(Tableau119[[#This Row],[Key(ID-date)]],'DATA BTO'!S:S,'DATA BTO'!E:E,FALSE)</f>
        <v>0</v>
      </c>
      <c r="AC750" s="3" t="b">
        <f>_xlfn.XLOOKUP(Tableau119[[#This Row],[Key(ID-date)]],'DATA BTO'!S:S,'DATA BTO'!F:F,FALSE)</f>
        <v>0</v>
      </c>
      <c r="AD750" s="50" t="b">
        <f>_xlfn.XLOOKUP(Tableau119[[#This Row],[Key(ID-date)]],'DATA BTO'!S:S,'DATA BTO'!G:G,FALSE)</f>
        <v>0</v>
      </c>
      <c r="AE750" s="50" t="b">
        <f>_xlfn.XLOOKUP(Tableau119[[#This Row],[Key(ID-date)]],'DATA BTO'!S:S,'DATA BTO'!H:H,FALSE)</f>
        <v>0</v>
      </c>
      <c r="AF750" s="447" t="e">
        <f>IF(Tableau119[[#This Row],[First Day to POL]]&lt;=Tableau119[[#This Row],[Day Cut Off]],Tableau119[[#This Row],[Day ETD]],Tableau119[[#This Row],[Day ETD]]+7)</f>
        <v>#N/A</v>
      </c>
      <c r="AG750" s="50" t="b">
        <f>_xlfn.XLOOKUP(Tableau119[[#This Row],[Key(ID-date)]],'DATA BTO'!S:S,'DATA BTO'!I:I,FALSE)</f>
        <v>0</v>
      </c>
      <c r="AH750" s="3" t="b">
        <f>_xlfn.XLOOKUP(Tableau119[[#This Row],[Key(ID-date)]],'DATA BTO'!S:S,'DATA BTO'!J:J,FALSE)</f>
        <v>0</v>
      </c>
      <c r="AI750" s="3" t="b">
        <f>_xlfn.XLOOKUP(Tableau119[[#This Row],[Key(ID-date)]],'DATA BTO'!S:S,'DATA BTO'!K:K,FALSE)</f>
        <v>0</v>
      </c>
      <c r="AJ750" s="50" t="b">
        <f>_xlfn.XLOOKUP(Tableau119[[#This Row],[Key(ID-date)]],'DATA BTO'!S:S,'DATA BTO'!L:L,FALSE)</f>
        <v>0</v>
      </c>
      <c r="AK750" s="53" t="b">
        <f>_xlfn.XLOOKUP(Tableau119[[#This Row],[Key(ID-date)]],'DATA BTO'!S:S,'DATA BTO'!N:N,FALSE)</f>
        <v>0</v>
      </c>
      <c r="AL750" s="54" t="e">
        <f>VLOOKUP(Tableau119[[#This Row],[Key(POD -PFI- Usine)]],'DATA Consignee'!A:F,6,FALSE)</f>
        <v>#N/A</v>
      </c>
      <c r="AM750" s="284"/>
      <c r="AN750" s="376" t="str">
        <f>IF(Tableau119[[#This Row],[Name PFI/CDD]]="","-",VLOOKUP(Tableau119[[#This Row],[Name PFI/CDD]],Plant_AILN!I:J,2,FALSE))</f>
        <v>-</v>
      </c>
      <c r="AO7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0" s="2" t="e">
        <f>VLOOKUP(Tableau119[[#This Row],[Key(POD -PFI- Usine)]],'DATA Consignee'!A:J,10,FALSE)</f>
        <v>#N/A</v>
      </c>
      <c r="AR750" s="50" t="e">
        <f>VLOOKUP(Tableau119[[#This Row],[Key(POD -PFI- Usine)]],'DATA Consignee'!A:N,14,FALSE)</f>
        <v>#N/A</v>
      </c>
      <c r="AS75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0" s="50">
        <f>Tableau119[[#This Row],[Transit time]]+Tableau119[[#This Row],[Time for security]]+Tableau119[[#This Row],[Time for security2 buffer]]</f>
        <v>0</v>
      </c>
      <c r="AV7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0" s="50" t="e">
        <f>Tableau119[[#This Row],[Leadtime SI2C]]+Tableau119[[#This Row],[First Receipt Days]]-Tableau119[[#This Row],[Day Customer Order]]+1</f>
        <v>#N/A</v>
      </c>
      <c r="AX750" s="119" t="e">
        <f>IF(Tableau119[[#This Row],[Name ILN]]&lt;&gt;"SFK Freight Forwarder",Tableau119[[#This Row],[Cust. Leadtime]],Tableau119[[#This Row],[Leadtime SI2C]])</f>
        <v>#N/A</v>
      </c>
      <c r="AY750" s="51" t="b">
        <f>_xlfn.XLOOKUP(Tableau119[[#This Row],[Key(ID-date)]],'DATA BTO'!S:S,'DATA BTO'!P:P,FALSE)</f>
        <v>0</v>
      </c>
      <c r="AZ750" s="338">
        <v>45777</v>
      </c>
      <c r="BA750" s="50"/>
    </row>
    <row r="751" spans="2:53">
      <c r="B751" s="446" t="str">
        <f>_xlfn.CONCAT(Tableau119[[#This Row],[Name ILN]],"-",Tableau119[[#This Row],[Name Shipper]],"-",Tableau119[[#This Row],[Name Site]])</f>
        <v>ILN Curitiba-ILN Curitiba-TANGER</v>
      </c>
      <c r="C751" s="66" t="str">
        <f>_xlfn.CONCAT(Tableau119[[#This Row],[Compte ILN]],"-",Tableau119[[#This Row],[Compte Shipper]],"-",Tableau119[[#This Row],[POL]],"-",Tableau119[[#This Row],[Compte Consignee]])</f>
        <v>95207-95207-FALSO-900383</v>
      </c>
      <c r="D751" s="66" t="str">
        <f>_xlfn.CONCAT(Tableau119[[#This Row],[Compte ILN]],"-",Tableau119[[#This Row],[Compte Shipper]],"-",Tableau119[[#This Row],[POL]])</f>
        <v>95207-95207-FALSO</v>
      </c>
      <c r="E751" s="130" t="str">
        <f>_xlfn.CONCAT(Tableau119[[#This Row],[POL]],"-",Tableau119[[#This Row],[Carrier]],"-",Tableau119[[#This Row],[POD]])</f>
        <v>FALSO-FALSO-FALSO</v>
      </c>
      <c r="F751" s="66" t="str">
        <f>_xlfn.CONCAT(Tableau119[[#This Row],[ID]],"-","Actif")</f>
        <v>759-Actif</v>
      </c>
      <c r="G751" s="66" t="str">
        <f>_xlfn.CONCAT(Tableau119[[#This Row],[POD]],"-",Tableau119[[#This Row],[Code PFI]],"-",Tableau119[[#This Row],[Compte Consignee]])</f>
        <v>FALSO---900383</v>
      </c>
      <c r="H7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CuritibaFALSOTANGER</v>
      </c>
      <c r="I751" s="434" t="str">
        <f>_xlfn.CONCAT(Tableau119[[#This Row],[ID]],"-",Tableau119[[#This Row],[Expiration Date]])</f>
        <v>759-45777</v>
      </c>
      <c r="J7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Curitiba-ILN Curitiba-759-FALSO-FALSO-FALSO--45777</v>
      </c>
      <c r="K751" s="119" t="str">
        <f ca="1">IF(COUNTIF(J:J,Tableau119[[#This Row],[Plant-ILN-shipper-POL-Carrier-POD-PFI]])=1,"Non","Oui")</f>
        <v>Non</v>
      </c>
      <c r="L751" s="128" t="str">
        <f>VLOOKUP(Tableau119[[#This Row],[Name Site]],Plant_AILN!A:D,4,FALSE)</f>
        <v>MOROCCO</v>
      </c>
      <c r="M751" s="411" t="s">
        <v>180</v>
      </c>
      <c r="N751" s="454">
        <f>VLOOKUP(Tableau119[[#This Row],[Name Site]],Plant_AILN!A:C,3,FALSE)</f>
        <v>900383</v>
      </c>
      <c r="O751" s="55">
        <f>VLOOKUP(Tableau119[[#This Row],[Compte Consignee]],Order!C:D,2,FALSE)</f>
        <v>7</v>
      </c>
      <c r="P751" s="124" t="s">
        <v>163</v>
      </c>
      <c r="Q751" s="365">
        <f>VLOOKUP(Tableau119[[#This Row],[Name ILN]],Plant_AILN!F:G,2,FALSE)</f>
        <v>95207</v>
      </c>
      <c r="R751" s="50">
        <f>VLOOKUP(Tableau119[[#This Row],[Compte ILN]],'DATA ILN'!D:I,6,FALSE)</f>
        <v>9</v>
      </c>
      <c r="S751" s="50" t="e">
        <f>IFERROR(VLOOKUP(Tableau119[[#This Row],[Key(Compte ILN - shipper - POL - plant)]],'DATA ILN'!A:J,10,FALSE),VLOOKUP(Tableau119[[#This Row],[Key(Compte ILN - shipper - POL)]],'DATA ILN'!B:J,9,FALSE))</f>
        <v>#N/A</v>
      </c>
      <c r="T751" s="50" t="e">
        <f>IFERROR(VLOOKUP(Tableau119[[#This Row],[Key(Compte ILN - shipper - POL - plant)]],'DATA ILN'!A:K,11,FALSE),VLOOKUP(Tableau119[[#This Row],[Key(Compte ILN - shipper - POL)]],'DATA ILN'!B:K,10,FALSE))</f>
        <v>#N/A</v>
      </c>
      <c r="U751" s="50" t="e">
        <f>IFERROR(VLOOKUP(Tableau119[[#This Row],[Key(Compte ILN - shipper - POL - plant)]],'DATA ILN'!A:L,12,FALSE),VLOOKUP(Tableau119[[#This Row],[Key(Compte ILN - shipper - POL)]],'DATA ILN'!B:L,11,FALSE))</f>
        <v>#N/A</v>
      </c>
      <c r="V751" s="50" t="e">
        <f>Tableau119[[#This Row],[Day ILN Order]]+Tableau119[[#This Row],[Delivery time to ILN/Shipper]]-1</f>
        <v>#N/A</v>
      </c>
      <c r="W751" s="50" t="e">
        <f>IFERROR(VLOOKUP(Tableau119[[#This Row],[Key(Compte ILN - shipper - POL - plant)]],'DATA ILN'!A:N,14,FALSE),VLOOKUP(Tableau119[[#This Row],[Key(Compte ILN - shipper - POL)]],'DATA ILN'!B:N,13,FALSE))</f>
        <v>#N/A</v>
      </c>
      <c r="X751" s="50" t="e">
        <f>IFERROR(VLOOKUP(Tableau119[[#This Row],[Key(Compte ILN - shipper - POL - plant)]],'DATA ILN'!A:P,16,FALSE),VLOOKUP(Tableau119[[#This Row],[Key(Compte ILN - shipper - POL)]],'DATA ILN'!B:P,15,FALSE))</f>
        <v>#N/A</v>
      </c>
      <c r="Y751" s="284" t="s">
        <v>163</v>
      </c>
      <c r="Z751" s="430">
        <f>IFERROR(VLOOKUP(Tableau119[[#This Row],[Name Shipper]],Plant_AILN!L:M,2,FALSE),0)</f>
        <v>95207</v>
      </c>
      <c r="AA751" s="406">
        <v>759</v>
      </c>
      <c r="AB751" s="396" t="b">
        <f>_xlfn.XLOOKUP(Tableau119[[#This Row],[Key(ID-date)]],'DATA BTO'!S:S,'DATA BTO'!E:E,FALSE)</f>
        <v>0</v>
      </c>
      <c r="AC751" s="3" t="b">
        <f>_xlfn.XLOOKUP(Tableau119[[#This Row],[Key(ID-date)]],'DATA BTO'!S:S,'DATA BTO'!F:F,FALSE)</f>
        <v>0</v>
      </c>
      <c r="AD751" s="50" t="b">
        <f>_xlfn.XLOOKUP(Tableau119[[#This Row],[Key(ID-date)]],'DATA BTO'!S:S,'DATA BTO'!G:G,FALSE)</f>
        <v>0</v>
      </c>
      <c r="AE751" s="50" t="b">
        <f>_xlfn.XLOOKUP(Tableau119[[#This Row],[Key(ID-date)]],'DATA BTO'!S:S,'DATA BTO'!H:H,FALSE)</f>
        <v>0</v>
      </c>
      <c r="AF751" s="447" t="e">
        <f>IF(Tableau119[[#This Row],[First Day to POL]]&lt;=Tableau119[[#This Row],[Day Cut Off]],Tableau119[[#This Row],[Day ETD]],Tableau119[[#This Row],[Day ETD]]+7)</f>
        <v>#N/A</v>
      </c>
      <c r="AG751" s="50" t="b">
        <f>_xlfn.XLOOKUP(Tableau119[[#This Row],[Key(ID-date)]],'DATA BTO'!S:S,'DATA BTO'!I:I,FALSE)</f>
        <v>0</v>
      </c>
      <c r="AH751" s="3" t="b">
        <f>_xlfn.XLOOKUP(Tableau119[[#This Row],[Key(ID-date)]],'DATA BTO'!S:S,'DATA BTO'!J:J,FALSE)</f>
        <v>0</v>
      </c>
      <c r="AI751" s="3" t="b">
        <f>_xlfn.XLOOKUP(Tableau119[[#This Row],[Key(ID-date)]],'DATA BTO'!S:S,'DATA BTO'!K:K,FALSE)</f>
        <v>0</v>
      </c>
      <c r="AJ751" s="50" t="b">
        <f>_xlfn.XLOOKUP(Tableau119[[#This Row],[Key(ID-date)]],'DATA BTO'!S:S,'DATA BTO'!L:L,FALSE)</f>
        <v>0</v>
      </c>
      <c r="AK751" s="53" t="b">
        <f>_xlfn.XLOOKUP(Tableau119[[#This Row],[Key(ID-date)]],'DATA BTO'!S:S,'DATA BTO'!N:N,FALSE)</f>
        <v>0</v>
      </c>
      <c r="AL751" s="54" t="e">
        <f>VLOOKUP(Tableau119[[#This Row],[Key(POD -PFI- Usine)]],'DATA Consignee'!A:F,6,FALSE)</f>
        <v>#N/A</v>
      </c>
      <c r="AM751" s="284"/>
      <c r="AN751" s="376" t="str">
        <f>IF(Tableau119[[#This Row],[Name PFI/CDD]]="","-",VLOOKUP(Tableau119[[#This Row],[Name PFI/CDD]],Plant_AILN!I:J,2,FALSE))</f>
        <v>-</v>
      </c>
      <c r="AO7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1" s="2" t="e">
        <f>VLOOKUP(Tableau119[[#This Row],[Key(POD -PFI- Usine)]],'DATA Consignee'!A:J,10,FALSE)</f>
        <v>#N/A</v>
      </c>
      <c r="AR751" s="50" t="e">
        <f>VLOOKUP(Tableau119[[#This Row],[Key(POD -PFI- Usine)]],'DATA Consignee'!A:N,14,FALSE)</f>
        <v>#N/A</v>
      </c>
      <c r="AS7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1" s="50">
        <f>Tableau119[[#This Row],[Transit time]]+Tableau119[[#This Row],[Time for security]]+Tableau119[[#This Row],[Time for security2 buffer]]</f>
        <v>0</v>
      </c>
      <c r="AV7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1" s="50" t="e">
        <f>Tableau119[[#This Row],[Leadtime SI2C]]+Tableau119[[#This Row],[First Receipt Days]]-Tableau119[[#This Row],[Day Customer Order]]+1</f>
        <v>#N/A</v>
      </c>
      <c r="AX751" s="119" t="e">
        <f>IF(Tableau119[[#This Row],[Name ILN]]&lt;&gt;"SFK Freight Forwarder",Tableau119[[#This Row],[Cust. Leadtime]],Tableau119[[#This Row],[Leadtime SI2C]])</f>
        <v>#N/A</v>
      </c>
      <c r="AY751" s="51" t="b">
        <f>_xlfn.XLOOKUP(Tableau119[[#This Row],[Key(ID-date)]],'DATA BTO'!S:S,'DATA BTO'!P:P,FALSE)</f>
        <v>0</v>
      </c>
      <c r="AZ751" s="338">
        <v>45777</v>
      </c>
      <c r="BA751" s="50"/>
    </row>
    <row r="752" spans="2:53">
      <c r="B752" s="446" t="str">
        <f>_xlfn.CONCAT(Tableau119[[#This Row],[Name ILN]],"-",Tableau119[[#This Row],[Name Shipper]],"-",Tableau119[[#This Row],[Name Site]])</f>
        <v>ILN Curitiba-ILN Curitiba-SOMACA</v>
      </c>
      <c r="C752" s="66" t="str">
        <f>_xlfn.CONCAT(Tableau119[[#This Row],[Compte ILN]],"-",Tableau119[[#This Row],[Compte Shipper]],"-",Tableau119[[#This Row],[POL]],"-",Tableau119[[#This Row],[Compte Consignee]])</f>
        <v>95207-95207-FALSO-90038200</v>
      </c>
      <c r="D752" s="66" t="str">
        <f>_xlfn.CONCAT(Tableau119[[#This Row],[Compte ILN]],"-",Tableau119[[#This Row],[Compte Shipper]],"-",Tableau119[[#This Row],[POL]])</f>
        <v>95207-95207-FALSO</v>
      </c>
      <c r="E752" s="130" t="str">
        <f>_xlfn.CONCAT(Tableau119[[#This Row],[POL]],"-",Tableau119[[#This Row],[Carrier]],"-",Tableau119[[#This Row],[POD]])</f>
        <v>FALSO-FALSO-FALSO</v>
      </c>
      <c r="F752" s="66" t="str">
        <f>_xlfn.CONCAT(Tableau119[[#This Row],[ID]],"-","Actif")</f>
        <v>759-Actif</v>
      </c>
      <c r="G752" s="66" t="str">
        <f>_xlfn.CONCAT(Tableau119[[#This Row],[POD]],"-",Tableau119[[#This Row],[Code PFI]],"-",Tableau119[[#This Row],[Compte Consignee]])</f>
        <v>FALSO---90038200</v>
      </c>
      <c r="H7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CuritibaFALSOSOMACA</v>
      </c>
      <c r="I752" s="434" t="str">
        <f>_xlfn.CONCAT(Tableau119[[#This Row],[ID]],"-",Tableau119[[#This Row],[Expiration Date]])</f>
        <v>759-45473</v>
      </c>
      <c r="J7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Curitiba-ILN Curitiba-759-FALSO-FALSO-FALSO--45473</v>
      </c>
      <c r="K752" s="119" t="str">
        <f ca="1">IF(COUNTIF(J:J,Tableau119[[#This Row],[Plant-ILN-shipper-POL-Carrier-POD-PFI]])=1,"Non","Oui")</f>
        <v>Non</v>
      </c>
      <c r="L752" s="128" t="str">
        <f>VLOOKUP(Tableau119[[#This Row],[Name Site]],Plant_AILN!A:D,4,FALSE)</f>
        <v>MOROCCO</v>
      </c>
      <c r="M752" s="411" t="s">
        <v>179</v>
      </c>
      <c r="N752" s="454">
        <f>VLOOKUP(Tableau119[[#This Row],[Name Site]],Plant_AILN!A:C,3,FALSE)</f>
        <v>90038200</v>
      </c>
      <c r="O752" s="55">
        <f>VLOOKUP(Tableau119[[#This Row],[Compte Consignee]],Order!C:D,2,FALSE)</f>
        <v>7</v>
      </c>
      <c r="P752" s="124" t="s">
        <v>163</v>
      </c>
      <c r="Q752" s="365">
        <f>VLOOKUP(Tableau119[[#This Row],[Name ILN]],Plant_AILN!F:G,2,FALSE)</f>
        <v>95207</v>
      </c>
      <c r="R752" s="50">
        <f>VLOOKUP(Tableau119[[#This Row],[Compte ILN]],'DATA ILN'!D:I,6,FALSE)</f>
        <v>9</v>
      </c>
      <c r="S752" s="50" t="e">
        <f>IFERROR(VLOOKUP(Tableau119[[#This Row],[Key(Compte ILN - shipper - POL - plant)]],'DATA ILN'!A:J,10,FALSE),VLOOKUP(Tableau119[[#This Row],[Key(Compte ILN - shipper - POL)]],'DATA ILN'!B:J,9,FALSE))</f>
        <v>#N/A</v>
      </c>
      <c r="T752" s="50" t="e">
        <f>IFERROR(VLOOKUP(Tableau119[[#This Row],[Key(Compte ILN - shipper - POL - plant)]],'DATA ILN'!A:K,11,FALSE),VLOOKUP(Tableau119[[#This Row],[Key(Compte ILN - shipper - POL)]],'DATA ILN'!B:K,10,FALSE))</f>
        <v>#N/A</v>
      </c>
      <c r="U752" s="50" t="e">
        <f>IFERROR(VLOOKUP(Tableau119[[#This Row],[Key(Compte ILN - shipper - POL - plant)]],'DATA ILN'!A:L,12,FALSE),VLOOKUP(Tableau119[[#This Row],[Key(Compte ILN - shipper - POL)]],'DATA ILN'!B:L,11,FALSE))</f>
        <v>#N/A</v>
      </c>
      <c r="V752" s="50" t="e">
        <f>Tableau119[[#This Row],[Day ILN Order]]+Tableau119[[#This Row],[Delivery time to ILN/Shipper]]-1</f>
        <v>#N/A</v>
      </c>
      <c r="W752" s="50" t="e">
        <f>IFERROR(VLOOKUP(Tableau119[[#This Row],[Key(Compte ILN - shipper - POL - plant)]],'DATA ILN'!A:N,14,FALSE),VLOOKUP(Tableau119[[#This Row],[Key(Compte ILN - shipper - POL)]],'DATA ILN'!B:N,13,FALSE))</f>
        <v>#N/A</v>
      </c>
      <c r="X752" s="50" t="e">
        <f>IFERROR(VLOOKUP(Tableau119[[#This Row],[Key(Compte ILN - shipper - POL - plant)]],'DATA ILN'!A:P,16,FALSE),VLOOKUP(Tableau119[[#This Row],[Key(Compte ILN - shipper - POL)]],'DATA ILN'!B:P,15,FALSE))</f>
        <v>#N/A</v>
      </c>
      <c r="Y752" s="284" t="s">
        <v>163</v>
      </c>
      <c r="Z752" s="430">
        <f>IFERROR(VLOOKUP(Tableau119[[#This Row],[Name Shipper]],Plant_AILN!L:M,2,FALSE),0)</f>
        <v>95207</v>
      </c>
      <c r="AA752" s="406">
        <v>759</v>
      </c>
      <c r="AB752" s="396" t="b">
        <f>_xlfn.XLOOKUP(Tableau119[[#This Row],[Key(ID-date)]],'DATA BTO'!S:S,'DATA BTO'!E:E,FALSE)</f>
        <v>0</v>
      </c>
      <c r="AC752" s="3" t="b">
        <f>_xlfn.XLOOKUP(Tableau119[[#This Row],[Key(ID-date)]],'DATA BTO'!S:S,'DATA BTO'!F:F,FALSE)</f>
        <v>0</v>
      </c>
      <c r="AD752" s="50" t="b">
        <f>_xlfn.XLOOKUP(Tableau119[[#This Row],[Key(ID-date)]],'DATA BTO'!S:S,'DATA BTO'!G:G,FALSE)</f>
        <v>0</v>
      </c>
      <c r="AE752" s="50" t="b">
        <f>_xlfn.XLOOKUP(Tableau119[[#This Row],[Key(ID-date)]],'DATA BTO'!S:S,'DATA BTO'!H:H,FALSE)</f>
        <v>0</v>
      </c>
      <c r="AF752" s="447" t="e">
        <f>IF(Tableau119[[#This Row],[First Day to POL]]&lt;=Tableau119[[#This Row],[Day Cut Off]],Tableau119[[#This Row],[Day ETD]],Tableau119[[#This Row],[Day ETD]]+7)</f>
        <v>#N/A</v>
      </c>
      <c r="AG752" s="50" t="b">
        <f>_xlfn.XLOOKUP(Tableau119[[#This Row],[Key(ID-date)]],'DATA BTO'!S:S,'DATA BTO'!I:I,FALSE)</f>
        <v>0</v>
      </c>
      <c r="AH752" s="3" t="b">
        <f>_xlfn.XLOOKUP(Tableau119[[#This Row],[Key(ID-date)]],'DATA BTO'!S:S,'DATA BTO'!J:J,FALSE)</f>
        <v>0</v>
      </c>
      <c r="AI752" s="3" t="b">
        <f>_xlfn.XLOOKUP(Tableau119[[#This Row],[Key(ID-date)]],'DATA BTO'!S:S,'DATA BTO'!K:K,FALSE)</f>
        <v>0</v>
      </c>
      <c r="AJ752" s="50" t="b">
        <f>_xlfn.XLOOKUP(Tableau119[[#This Row],[Key(ID-date)]],'DATA BTO'!S:S,'DATA BTO'!L:L,FALSE)</f>
        <v>0</v>
      </c>
      <c r="AK752" s="53" t="b">
        <f>_xlfn.XLOOKUP(Tableau119[[#This Row],[Key(ID-date)]],'DATA BTO'!S:S,'DATA BTO'!N:N,FALSE)</f>
        <v>0</v>
      </c>
      <c r="AL752" s="54" t="e">
        <f>VLOOKUP(Tableau119[[#This Row],[Key(POD -PFI- Usine)]],'DATA Consignee'!A:F,6,FALSE)</f>
        <v>#N/A</v>
      </c>
      <c r="AM752" s="284"/>
      <c r="AN752" s="376" t="str">
        <f>IF(Tableau119[[#This Row],[Name PFI/CDD]]="","-",VLOOKUP(Tableau119[[#This Row],[Name PFI/CDD]],Plant_AILN!I:J,2,FALSE))</f>
        <v>-</v>
      </c>
      <c r="AO7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2" s="2" t="e">
        <f>VLOOKUP(Tableau119[[#This Row],[Key(POD -PFI- Usine)]],'DATA Consignee'!A:J,10,FALSE)</f>
        <v>#N/A</v>
      </c>
      <c r="AR752" s="50" t="e">
        <f>VLOOKUP(Tableau119[[#This Row],[Key(POD -PFI- Usine)]],'DATA Consignee'!A:N,14,FALSE)</f>
        <v>#N/A</v>
      </c>
      <c r="AS75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2" s="50">
        <f>Tableau119[[#This Row],[Transit time]]+Tableau119[[#This Row],[Time for security]]+Tableau119[[#This Row],[Time for security2 buffer]]</f>
        <v>0</v>
      </c>
      <c r="AV75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2" s="50" t="e">
        <f>Tableau119[[#This Row],[Leadtime SI2C]]+Tableau119[[#This Row],[First Receipt Days]]-Tableau119[[#This Row],[Day Customer Order]]+1</f>
        <v>#N/A</v>
      </c>
      <c r="AX752" s="119" t="e">
        <f>IF(Tableau119[[#This Row],[Name ILN]]&lt;&gt;"SFK Freight Forwarder",Tableau119[[#This Row],[Cust. Leadtime]],Tableau119[[#This Row],[Leadtime SI2C]])</f>
        <v>#N/A</v>
      </c>
      <c r="AY752" s="51" t="b">
        <f>_xlfn.XLOOKUP(Tableau119[[#This Row],[Key(ID-date)]],'DATA BTO'!S:S,'DATA BTO'!P:P,FALSE)</f>
        <v>0</v>
      </c>
      <c r="AZ752" s="338">
        <v>45473</v>
      </c>
      <c r="BA752" s="50"/>
    </row>
    <row r="753" spans="2:53">
      <c r="B753" s="446" t="str">
        <f>_xlfn.CONCAT(Tableau119[[#This Row],[Name ILN]],"-",Tableau119[[#This Row],[Name Shipper]],"-",Tableau119[[#This Row],[Name Site]])</f>
        <v>ILN Curitiba-ILN Curitiba-TANGER</v>
      </c>
      <c r="C753" s="66" t="str">
        <f>_xlfn.CONCAT(Tableau119[[#This Row],[Compte ILN]],"-",Tableau119[[#This Row],[Compte Shipper]],"-",Tableau119[[#This Row],[POL]],"-",Tableau119[[#This Row],[Compte Consignee]])</f>
        <v>95207-95207-FALSO-900383</v>
      </c>
      <c r="D753" s="66" t="str">
        <f>_xlfn.CONCAT(Tableau119[[#This Row],[Compte ILN]],"-",Tableau119[[#This Row],[Compte Shipper]],"-",Tableau119[[#This Row],[POL]])</f>
        <v>95207-95207-FALSO</v>
      </c>
      <c r="E753" s="130" t="str">
        <f>_xlfn.CONCAT(Tableau119[[#This Row],[POL]],"-",Tableau119[[#This Row],[Carrier]],"-",Tableau119[[#This Row],[POD]])</f>
        <v>FALSO-FALSO-FALSO</v>
      </c>
      <c r="F753" s="66" t="str">
        <f>_xlfn.CONCAT(Tableau119[[#This Row],[ID]],"-","Actif")</f>
        <v>759-Actif</v>
      </c>
      <c r="G753" s="66" t="str">
        <f>_xlfn.CONCAT(Tableau119[[#This Row],[POD]],"-",Tableau119[[#This Row],[Code PFI]],"-",Tableau119[[#This Row],[Compte Consignee]])</f>
        <v>FALSO---900383</v>
      </c>
      <c r="H7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CuritibaFALSOTANGER</v>
      </c>
      <c r="I753" s="434" t="str">
        <f>_xlfn.CONCAT(Tableau119[[#This Row],[ID]],"-",Tableau119[[#This Row],[Expiration Date]])</f>
        <v>759-45473</v>
      </c>
      <c r="J7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Curitiba-ILN Curitiba-759-FALSO-FALSO-FALSO--45473</v>
      </c>
      <c r="K753" s="119" t="str">
        <f ca="1">IF(COUNTIF(J:J,Tableau119[[#This Row],[Plant-ILN-shipper-POL-Carrier-POD-PFI]])=1,"Non","Oui")</f>
        <v>Non</v>
      </c>
      <c r="L753" s="128" t="str">
        <f>VLOOKUP(Tableau119[[#This Row],[Name Site]],Plant_AILN!A:D,4,FALSE)</f>
        <v>MOROCCO</v>
      </c>
      <c r="M753" s="411" t="s">
        <v>180</v>
      </c>
      <c r="N753" s="454">
        <f>VLOOKUP(Tableau119[[#This Row],[Name Site]],Plant_AILN!A:C,3,FALSE)</f>
        <v>900383</v>
      </c>
      <c r="O753" s="55">
        <f>VLOOKUP(Tableau119[[#This Row],[Compte Consignee]],Order!C:D,2,FALSE)</f>
        <v>7</v>
      </c>
      <c r="P753" s="124" t="s">
        <v>163</v>
      </c>
      <c r="Q753" s="365">
        <f>VLOOKUP(Tableau119[[#This Row],[Name ILN]],Plant_AILN!F:G,2,FALSE)</f>
        <v>95207</v>
      </c>
      <c r="R753" s="50">
        <f>VLOOKUP(Tableau119[[#This Row],[Compte ILN]],'DATA ILN'!D:I,6,FALSE)</f>
        <v>9</v>
      </c>
      <c r="S753" s="50" t="e">
        <f>IFERROR(VLOOKUP(Tableau119[[#This Row],[Key(Compte ILN - shipper - POL - plant)]],'DATA ILN'!A:J,10,FALSE),VLOOKUP(Tableau119[[#This Row],[Key(Compte ILN - shipper - POL)]],'DATA ILN'!B:J,9,FALSE))</f>
        <v>#N/A</v>
      </c>
      <c r="T753" s="50" t="e">
        <f>IFERROR(VLOOKUP(Tableau119[[#This Row],[Key(Compte ILN - shipper - POL - plant)]],'DATA ILN'!A:K,11,FALSE),VLOOKUP(Tableau119[[#This Row],[Key(Compte ILN - shipper - POL)]],'DATA ILN'!B:K,10,FALSE))</f>
        <v>#N/A</v>
      </c>
      <c r="U753" s="50" t="e">
        <f>IFERROR(VLOOKUP(Tableau119[[#This Row],[Key(Compte ILN - shipper - POL - plant)]],'DATA ILN'!A:L,12,FALSE),VLOOKUP(Tableau119[[#This Row],[Key(Compte ILN - shipper - POL)]],'DATA ILN'!B:L,11,FALSE))</f>
        <v>#N/A</v>
      </c>
      <c r="V753" s="50" t="e">
        <f>Tableau119[[#This Row],[Day ILN Order]]+Tableau119[[#This Row],[Delivery time to ILN/Shipper]]-1</f>
        <v>#N/A</v>
      </c>
      <c r="W753" s="50" t="e">
        <f>IFERROR(VLOOKUP(Tableau119[[#This Row],[Key(Compte ILN - shipper - POL - plant)]],'DATA ILN'!A:N,14,FALSE),VLOOKUP(Tableau119[[#This Row],[Key(Compte ILN - shipper - POL)]],'DATA ILN'!B:N,13,FALSE))</f>
        <v>#N/A</v>
      </c>
      <c r="X753" s="50" t="e">
        <f>IFERROR(VLOOKUP(Tableau119[[#This Row],[Key(Compte ILN - shipper - POL - plant)]],'DATA ILN'!A:P,16,FALSE),VLOOKUP(Tableau119[[#This Row],[Key(Compte ILN - shipper - POL)]],'DATA ILN'!B:P,15,FALSE))</f>
        <v>#N/A</v>
      </c>
      <c r="Y753" s="284" t="s">
        <v>163</v>
      </c>
      <c r="Z753" s="430">
        <f>IFERROR(VLOOKUP(Tableau119[[#This Row],[Name Shipper]],Plant_AILN!L:M,2,FALSE),0)</f>
        <v>95207</v>
      </c>
      <c r="AA753" s="406">
        <v>759</v>
      </c>
      <c r="AB753" s="396" t="b">
        <f>_xlfn.XLOOKUP(Tableau119[[#This Row],[Key(ID-date)]],'DATA BTO'!S:S,'DATA BTO'!E:E,FALSE)</f>
        <v>0</v>
      </c>
      <c r="AC753" s="3" t="b">
        <f>_xlfn.XLOOKUP(Tableau119[[#This Row],[Key(ID-date)]],'DATA BTO'!S:S,'DATA BTO'!F:F,FALSE)</f>
        <v>0</v>
      </c>
      <c r="AD753" s="50" t="b">
        <f>_xlfn.XLOOKUP(Tableau119[[#This Row],[Key(ID-date)]],'DATA BTO'!S:S,'DATA BTO'!G:G,FALSE)</f>
        <v>0</v>
      </c>
      <c r="AE753" s="50" t="b">
        <f>_xlfn.XLOOKUP(Tableau119[[#This Row],[Key(ID-date)]],'DATA BTO'!S:S,'DATA BTO'!H:H,FALSE)</f>
        <v>0</v>
      </c>
      <c r="AF753" s="447" t="e">
        <f>IF(Tableau119[[#This Row],[First Day to POL]]&lt;=Tableau119[[#This Row],[Day Cut Off]],Tableau119[[#This Row],[Day ETD]],Tableau119[[#This Row],[Day ETD]]+7)</f>
        <v>#N/A</v>
      </c>
      <c r="AG753" s="50" t="b">
        <f>_xlfn.XLOOKUP(Tableau119[[#This Row],[Key(ID-date)]],'DATA BTO'!S:S,'DATA BTO'!I:I,FALSE)</f>
        <v>0</v>
      </c>
      <c r="AH753" s="3" t="b">
        <f>_xlfn.XLOOKUP(Tableau119[[#This Row],[Key(ID-date)]],'DATA BTO'!S:S,'DATA BTO'!J:J,FALSE)</f>
        <v>0</v>
      </c>
      <c r="AI753" s="3" t="b">
        <f>_xlfn.XLOOKUP(Tableau119[[#This Row],[Key(ID-date)]],'DATA BTO'!S:S,'DATA BTO'!K:K,FALSE)</f>
        <v>0</v>
      </c>
      <c r="AJ753" s="50" t="b">
        <f>_xlfn.XLOOKUP(Tableau119[[#This Row],[Key(ID-date)]],'DATA BTO'!S:S,'DATA BTO'!L:L,FALSE)</f>
        <v>0</v>
      </c>
      <c r="AK753" s="53" t="b">
        <f>_xlfn.XLOOKUP(Tableau119[[#This Row],[Key(ID-date)]],'DATA BTO'!S:S,'DATA BTO'!N:N,FALSE)</f>
        <v>0</v>
      </c>
      <c r="AL753" s="54" t="e">
        <f>VLOOKUP(Tableau119[[#This Row],[Key(POD -PFI- Usine)]],'DATA Consignee'!A:F,6,FALSE)</f>
        <v>#N/A</v>
      </c>
      <c r="AM753" s="284"/>
      <c r="AN753" s="376" t="str">
        <f>IF(Tableau119[[#This Row],[Name PFI/CDD]]="","-",VLOOKUP(Tableau119[[#This Row],[Name PFI/CDD]],Plant_AILN!I:J,2,FALSE))</f>
        <v>-</v>
      </c>
      <c r="AO7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3" s="2" t="e">
        <f>VLOOKUP(Tableau119[[#This Row],[Key(POD -PFI- Usine)]],'DATA Consignee'!A:J,10,FALSE)</f>
        <v>#N/A</v>
      </c>
      <c r="AR753" s="50" t="e">
        <f>VLOOKUP(Tableau119[[#This Row],[Key(POD -PFI- Usine)]],'DATA Consignee'!A:N,14,FALSE)</f>
        <v>#N/A</v>
      </c>
      <c r="AS75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3" s="50">
        <f>Tableau119[[#This Row],[Transit time]]+Tableau119[[#This Row],[Time for security]]+Tableau119[[#This Row],[Time for security2 buffer]]</f>
        <v>0</v>
      </c>
      <c r="AV75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3" s="50" t="e">
        <f>Tableau119[[#This Row],[Leadtime SI2C]]+Tableau119[[#This Row],[First Receipt Days]]-Tableau119[[#This Row],[Day Customer Order]]+1</f>
        <v>#N/A</v>
      </c>
      <c r="AX753" s="119" t="e">
        <f>IF(Tableau119[[#This Row],[Name ILN]]&lt;&gt;"SFK Freight Forwarder",Tableau119[[#This Row],[Cust. Leadtime]],Tableau119[[#This Row],[Leadtime SI2C]])</f>
        <v>#N/A</v>
      </c>
      <c r="AY753" s="51" t="b">
        <f>_xlfn.XLOOKUP(Tableau119[[#This Row],[Key(ID-date)]],'DATA BTO'!S:S,'DATA BTO'!P:P,FALSE)</f>
        <v>0</v>
      </c>
      <c r="AZ753" s="338">
        <v>45473</v>
      </c>
      <c r="BA753" s="50"/>
    </row>
    <row r="754" spans="2:53">
      <c r="B754" s="446" t="str">
        <f>_xlfn.CONCAT(Tableau119[[#This Row],[Name ILN]],"-",Tableau119[[#This Row],[Name Shipper]],"-",Tableau119[[#This Row],[Name Site]])</f>
        <v>ILN Curitiba-ILN Curitiba-SOMACA</v>
      </c>
      <c r="C754" s="66" t="str">
        <f>_xlfn.CONCAT(Tableau119[[#This Row],[Compte ILN]],"-",Tableau119[[#This Row],[Compte Shipper]],"-",Tableau119[[#This Row],[POL]],"-",Tableau119[[#This Row],[Compte Consignee]])</f>
        <v>95207-95207-FALSO-90038200</v>
      </c>
      <c r="D754" s="66" t="str">
        <f>_xlfn.CONCAT(Tableau119[[#This Row],[Compte ILN]],"-",Tableau119[[#This Row],[Compte Shipper]],"-",Tableau119[[#This Row],[POL]])</f>
        <v>95207-95207-FALSO</v>
      </c>
      <c r="E754" s="130" t="str">
        <f>_xlfn.CONCAT(Tableau119[[#This Row],[POL]],"-",Tableau119[[#This Row],[Carrier]],"-",Tableau119[[#This Row],[POD]])</f>
        <v>FALSO-FALSO-FALSO</v>
      </c>
      <c r="F754" s="66" t="str">
        <f>_xlfn.CONCAT(Tableau119[[#This Row],[ID]],"-","Actif")</f>
        <v>759-Actif</v>
      </c>
      <c r="G754" s="66" t="str">
        <f>_xlfn.CONCAT(Tableau119[[#This Row],[POD]],"-",Tableau119[[#This Row],[Code PFI]],"-",Tableau119[[#This Row],[Compte Consignee]])</f>
        <v>FALSO---90038200</v>
      </c>
      <c r="H7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CuritibaFALSOSOMACA</v>
      </c>
      <c r="I754" s="434" t="str">
        <f>_xlfn.CONCAT(Tableau119[[#This Row],[ID]],"-",Tableau119[[#This Row],[Expiration Date]])</f>
        <v>759-45412</v>
      </c>
      <c r="J7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SOMACA-ILN Curitiba-ILN Curitiba-759-FALSO-FALSO-FALSO--45412</v>
      </c>
      <c r="K754" s="119" t="str">
        <f ca="1">IF(COUNTIF(J:J,Tableau119[[#This Row],[Plant-ILN-shipper-POL-Carrier-POD-PFI]])=1,"Non","Oui")</f>
        <v>Non</v>
      </c>
      <c r="L754" s="128" t="str">
        <f>VLOOKUP(Tableau119[[#This Row],[Name Site]],Plant_AILN!A:D,4,FALSE)</f>
        <v>MOROCCO</v>
      </c>
      <c r="M754" s="411" t="s">
        <v>179</v>
      </c>
      <c r="N754" s="454">
        <f>VLOOKUP(Tableau119[[#This Row],[Name Site]],Plant_AILN!A:C,3,FALSE)</f>
        <v>90038200</v>
      </c>
      <c r="O754" s="55">
        <f>VLOOKUP(Tableau119[[#This Row],[Compte Consignee]],Order!C:D,2,FALSE)</f>
        <v>7</v>
      </c>
      <c r="P754" s="124" t="s">
        <v>163</v>
      </c>
      <c r="Q754" s="365">
        <f>VLOOKUP(Tableau119[[#This Row],[Name ILN]],Plant_AILN!F:G,2,FALSE)</f>
        <v>95207</v>
      </c>
      <c r="R754" s="50">
        <f>VLOOKUP(Tableau119[[#This Row],[Compte ILN]],'DATA ILN'!D:I,6,FALSE)</f>
        <v>9</v>
      </c>
      <c r="S754" s="50" t="e">
        <f>IFERROR(VLOOKUP(Tableau119[[#This Row],[Key(Compte ILN - shipper - POL - plant)]],'DATA ILN'!A:J,10,FALSE),VLOOKUP(Tableau119[[#This Row],[Key(Compte ILN - shipper - POL)]],'DATA ILN'!B:J,9,FALSE))</f>
        <v>#N/A</v>
      </c>
      <c r="T754" s="50" t="e">
        <f>IFERROR(VLOOKUP(Tableau119[[#This Row],[Key(Compte ILN - shipper - POL - plant)]],'DATA ILN'!A:K,11,FALSE),VLOOKUP(Tableau119[[#This Row],[Key(Compte ILN - shipper - POL)]],'DATA ILN'!B:K,10,FALSE))</f>
        <v>#N/A</v>
      </c>
      <c r="U754" s="50" t="e">
        <f>IFERROR(VLOOKUP(Tableau119[[#This Row],[Key(Compte ILN - shipper - POL - plant)]],'DATA ILN'!A:L,12,FALSE),VLOOKUP(Tableau119[[#This Row],[Key(Compte ILN - shipper - POL)]],'DATA ILN'!B:L,11,FALSE))</f>
        <v>#N/A</v>
      </c>
      <c r="V754" s="50" t="e">
        <f>Tableau119[[#This Row],[Day ILN Order]]+Tableau119[[#This Row],[Delivery time to ILN/Shipper]]-1</f>
        <v>#N/A</v>
      </c>
      <c r="W754" s="50" t="e">
        <f>IFERROR(VLOOKUP(Tableau119[[#This Row],[Key(Compte ILN - shipper - POL - plant)]],'DATA ILN'!A:N,14,FALSE),VLOOKUP(Tableau119[[#This Row],[Key(Compte ILN - shipper - POL)]],'DATA ILN'!B:N,13,FALSE))</f>
        <v>#N/A</v>
      </c>
      <c r="X754" s="50" t="e">
        <f>IFERROR(VLOOKUP(Tableau119[[#This Row],[Key(Compte ILN - shipper - POL - plant)]],'DATA ILN'!A:P,16,FALSE),VLOOKUP(Tableau119[[#This Row],[Key(Compte ILN - shipper - POL)]],'DATA ILN'!B:P,15,FALSE))</f>
        <v>#N/A</v>
      </c>
      <c r="Y754" s="284" t="s">
        <v>163</v>
      </c>
      <c r="Z754" s="430">
        <f>IFERROR(VLOOKUP(Tableau119[[#This Row],[Name Shipper]],Plant_AILN!L:M,2,FALSE),0)</f>
        <v>95207</v>
      </c>
      <c r="AA754" s="406">
        <v>759</v>
      </c>
      <c r="AB754" s="396" t="b">
        <f>_xlfn.XLOOKUP(Tableau119[[#This Row],[Key(ID-date)]],'DATA BTO'!S:S,'DATA BTO'!E:E,FALSE)</f>
        <v>0</v>
      </c>
      <c r="AC754" s="3" t="b">
        <f>_xlfn.XLOOKUP(Tableau119[[#This Row],[Key(ID-date)]],'DATA BTO'!S:S,'DATA BTO'!F:F,FALSE)</f>
        <v>0</v>
      </c>
      <c r="AD754" s="50" t="b">
        <f>_xlfn.XLOOKUP(Tableau119[[#This Row],[Key(ID-date)]],'DATA BTO'!S:S,'DATA BTO'!G:G,FALSE)</f>
        <v>0</v>
      </c>
      <c r="AE754" s="50" t="b">
        <f>_xlfn.XLOOKUP(Tableau119[[#This Row],[Key(ID-date)]],'DATA BTO'!S:S,'DATA BTO'!H:H,FALSE)</f>
        <v>0</v>
      </c>
      <c r="AF754" s="447" t="e">
        <f>IF(Tableau119[[#This Row],[First Day to POL]]&lt;=Tableau119[[#This Row],[Day Cut Off]],Tableau119[[#This Row],[Day ETD]],Tableau119[[#This Row],[Day ETD]]+7)</f>
        <v>#N/A</v>
      </c>
      <c r="AG754" s="50" t="b">
        <f>_xlfn.XLOOKUP(Tableau119[[#This Row],[Key(ID-date)]],'DATA BTO'!S:S,'DATA BTO'!I:I,FALSE)</f>
        <v>0</v>
      </c>
      <c r="AH754" s="3" t="b">
        <f>_xlfn.XLOOKUP(Tableau119[[#This Row],[Key(ID-date)]],'DATA BTO'!S:S,'DATA BTO'!J:J,FALSE)</f>
        <v>0</v>
      </c>
      <c r="AI754" s="3" t="b">
        <f>_xlfn.XLOOKUP(Tableau119[[#This Row],[Key(ID-date)]],'DATA BTO'!S:S,'DATA BTO'!K:K,FALSE)</f>
        <v>0</v>
      </c>
      <c r="AJ754" s="50" t="b">
        <f>_xlfn.XLOOKUP(Tableau119[[#This Row],[Key(ID-date)]],'DATA BTO'!S:S,'DATA BTO'!L:L,FALSE)</f>
        <v>0</v>
      </c>
      <c r="AK754" s="53" t="b">
        <f>_xlfn.XLOOKUP(Tableau119[[#This Row],[Key(ID-date)]],'DATA BTO'!S:S,'DATA BTO'!N:N,FALSE)</f>
        <v>0</v>
      </c>
      <c r="AL754" s="54" t="e">
        <f>VLOOKUP(Tableau119[[#This Row],[Key(POD -PFI- Usine)]],'DATA Consignee'!A:F,6,FALSE)</f>
        <v>#N/A</v>
      </c>
      <c r="AM754" s="284"/>
      <c r="AN754" s="376" t="str">
        <f>IF(Tableau119[[#This Row],[Name PFI/CDD]]="","-",VLOOKUP(Tableau119[[#This Row],[Name PFI/CDD]],Plant_AILN!I:J,2,FALSE))</f>
        <v>-</v>
      </c>
      <c r="AO75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4" s="2" t="e">
        <f>VLOOKUP(Tableau119[[#This Row],[Key(POD -PFI- Usine)]],'DATA Consignee'!A:J,10,FALSE)</f>
        <v>#N/A</v>
      </c>
      <c r="AR754" s="50" t="e">
        <f>VLOOKUP(Tableau119[[#This Row],[Key(POD -PFI- Usine)]],'DATA Consignee'!A:N,14,FALSE)</f>
        <v>#N/A</v>
      </c>
      <c r="AS75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4" s="50">
        <f>Tableau119[[#This Row],[Transit time]]+Tableau119[[#This Row],[Time for security]]+Tableau119[[#This Row],[Time for security2 buffer]]</f>
        <v>0</v>
      </c>
      <c r="AV75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4" s="50" t="e">
        <f>Tableau119[[#This Row],[Leadtime SI2C]]+Tableau119[[#This Row],[First Receipt Days]]-Tableau119[[#This Row],[Day Customer Order]]+1</f>
        <v>#N/A</v>
      </c>
      <c r="AX754" s="119" t="e">
        <f>IF(Tableau119[[#This Row],[Name ILN]]&lt;&gt;"SFK Freight Forwarder",Tableau119[[#This Row],[Cust. Leadtime]],Tableau119[[#This Row],[Leadtime SI2C]])</f>
        <v>#N/A</v>
      </c>
      <c r="AY754" s="51" t="b">
        <f>_xlfn.XLOOKUP(Tableau119[[#This Row],[Key(ID-date)]],'DATA BTO'!S:S,'DATA BTO'!P:P,FALSE)</f>
        <v>0</v>
      </c>
      <c r="AZ754" s="338">
        <v>45412</v>
      </c>
      <c r="BA754" s="50"/>
    </row>
    <row r="755" spans="2:53">
      <c r="B755" s="446" t="str">
        <f>_xlfn.CONCAT(Tableau119[[#This Row],[Name ILN]],"-",Tableau119[[#This Row],[Name Shipper]],"-",Tableau119[[#This Row],[Name Site]])</f>
        <v>ILN Curitiba-ILN Curitiba-TANGER</v>
      </c>
      <c r="C755" s="66" t="str">
        <f>_xlfn.CONCAT(Tableau119[[#This Row],[Compte ILN]],"-",Tableau119[[#This Row],[Compte Shipper]],"-",Tableau119[[#This Row],[POL]],"-",Tableau119[[#This Row],[Compte Consignee]])</f>
        <v>95207-95207-FALSO-900383</v>
      </c>
      <c r="D755" s="66" t="str">
        <f>_xlfn.CONCAT(Tableau119[[#This Row],[Compte ILN]],"-",Tableau119[[#This Row],[Compte Shipper]],"-",Tableau119[[#This Row],[POL]])</f>
        <v>95207-95207-FALSO</v>
      </c>
      <c r="E755" s="130" t="str">
        <f>_xlfn.CONCAT(Tableau119[[#This Row],[POL]],"-",Tableau119[[#This Row],[Carrier]],"-",Tableau119[[#This Row],[POD]])</f>
        <v>FALSO-FALSO-FALSO</v>
      </c>
      <c r="F755" s="66" t="str">
        <f>_xlfn.CONCAT(Tableau119[[#This Row],[ID]],"-","Actif")</f>
        <v>759-Actif</v>
      </c>
      <c r="G755" s="66" t="str">
        <f>_xlfn.CONCAT(Tableau119[[#This Row],[POD]],"-",Tableau119[[#This Row],[Code PFI]],"-",Tableau119[[#This Row],[Compte Consignee]])</f>
        <v>FALSO---900383</v>
      </c>
      <c r="H7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CuritibaFALSOTANGER</v>
      </c>
      <c r="I755" s="434" t="str">
        <f>_xlfn.CONCAT(Tableau119[[#This Row],[ID]],"-",Tableau119[[#This Row],[Expiration Date]])</f>
        <v>759-45412</v>
      </c>
      <c r="J7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TANGER-ILN Curitiba-ILN Curitiba-759-FALSO-FALSO-FALSO--45412</v>
      </c>
      <c r="K755" s="119" t="str">
        <f ca="1">IF(COUNTIF(J:J,Tableau119[[#This Row],[Plant-ILN-shipper-POL-Carrier-POD-PFI]])=1,"Non","Oui")</f>
        <v>Non</v>
      </c>
      <c r="L755" s="128" t="str">
        <f>VLOOKUP(Tableau119[[#This Row],[Name Site]],Plant_AILN!A:D,4,FALSE)</f>
        <v>MOROCCO</v>
      </c>
      <c r="M755" s="415" t="s">
        <v>180</v>
      </c>
      <c r="N755" s="455">
        <f>VLOOKUP(Tableau119[[#This Row],[Name Site]],Plant_AILN!A:C,3,FALSE)</f>
        <v>900383</v>
      </c>
      <c r="O755" s="104">
        <f>VLOOKUP(Tableau119[[#This Row],[Compte Consignee]],Order!C:D,2,FALSE)</f>
        <v>7</v>
      </c>
      <c r="P755" s="126" t="s">
        <v>163</v>
      </c>
      <c r="Q755" s="366">
        <f>VLOOKUP(Tableau119[[#This Row],[Name ILN]],Plant_AILN!F:G,2,FALSE)</f>
        <v>95207</v>
      </c>
      <c r="R755" s="81">
        <f>VLOOKUP(Tableau119[[#This Row],[Compte ILN]],'DATA ILN'!D:I,6,FALSE)</f>
        <v>9</v>
      </c>
      <c r="S755" s="81" t="e">
        <f>IFERROR(VLOOKUP(Tableau119[[#This Row],[Key(Compte ILN - shipper - POL - plant)]],'DATA ILN'!A:J,10,FALSE),VLOOKUP(Tableau119[[#This Row],[Key(Compte ILN - shipper - POL)]],'DATA ILN'!B:J,9,FALSE))</f>
        <v>#N/A</v>
      </c>
      <c r="T755" s="81" t="e">
        <f>IFERROR(VLOOKUP(Tableau119[[#This Row],[Key(Compte ILN - shipper - POL - plant)]],'DATA ILN'!A:K,11,FALSE),VLOOKUP(Tableau119[[#This Row],[Key(Compte ILN - shipper - POL)]],'DATA ILN'!B:K,10,FALSE))</f>
        <v>#N/A</v>
      </c>
      <c r="U755" s="81" t="e">
        <f>IFERROR(VLOOKUP(Tableau119[[#This Row],[Key(Compte ILN - shipper - POL - plant)]],'DATA ILN'!A:L,12,FALSE),VLOOKUP(Tableau119[[#This Row],[Key(Compte ILN - shipper - POL)]],'DATA ILN'!B:L,11,FALSE))</f>
        <v>#N/A</v>
      </c>
      <c r="V755" s="81" t="e">
        <f>Tableau119[[#This Row],[Day ILN Order]]+Tableau119[[#This Row],[Delivery time to ILN/Shipper]]-1</f>
        <v>#N/A</v>
      </c>
      <c r="W755" s="81" t="e">
        <f>IFERROR(VLOOKUP(Tableau119[[#This Row],[Key(Compte ILN - shipper - POL - plant)]],'DATA ILN'!A:N,14,FALSE),VLOOKUP(Tableau119[[#This Row],[Key(Compte ILN - shipper - POL)]],'DATA ILN'!B:N,13,FALSE))</f>
        <v>#N/A</v>
      </c>
      <c r="X755" s="81" t="e">
        <f>IFERROR(VLOOKUP(Tableau119[[#This Row],[Key(Compte ILN - shipper - POL - plant)]],'DATA ILN'!A:P,16,FALSE),VLOOKUP(Tableau119[[#This Row],[Key(Compte ILN - shipper - POL)]],'DATA ILN'!B:P,15,FALSE))</f>
        <v>#N/A</v>
      </c>
      <c r="Y755" s="102" t="s">
        <v>163</v>
      </c>
      <c r="Z755" s="417">
        <f>IFERROR(VLOOKUP(Tableau119[[#This Row],[Name Shipper]],Plant_AILN!L:M,2,FALSE),0)</f>
        <v>95207</v>
      </c>
      <c r="AA755" s="416">
        <v>759</v>
      </c>
      <c r="AB755" s="396" t="b">
        <f>_xlfn.XLOOKUP(Tableau119[[#This Row],[Key(ID-date)]],'DATA BTO'!S:S,'DATA BTO'!E:E,FALSE)</f>
        <v>0</v>
      </c>
      <c r="AC755" s="3" t="b">
        <f>_xlfn.XLOOKUP(Tableau119[[#This Row],[Key(ID-date)]],'DATA BTO'!S:S,'DATA BTO'!F:F,FALSE)</f>
        <v>0</v>
      </c>
      <c r="AD755" s="50" t="b">
        <f>_xlfn.XLOOKUP(Tableau119[[#This Row],[Key(ID-date)]],'DATA BTO'!S:S,'DATA BTO'!G:G,FALSE)</f>
        <v>0</v>
      </c>
      <c r="AE755" s="50" t="b">
        <f>_xlfn.XLOOKUP(Tableau119[[#This Row],[Key(ID-date)]],'DATA BTO'!S:S,'DATA BTO'!H:H,FALSE)</f>
        <v>0</v>
      </c>
      <c r="AF755" s="447" t="e">
        <f>IF(Tableau119[[#This Row],[First Day to POL]]&lt;=Tableau119[[#This Row],[Day Cut Off]],Tableau119[[#This Row],[Day ETD]],Tableau119[[#This Row],[Day ETD]]+7)</f>
        <v>#N/A</v>
      </c>
      <c r="AG755" s="50" t="b">
        <f>_xlfn.XLOOKUP(Tableau119[[#This Row],[Key(ID-date)]],'DATA BTO'!S:S,'DATA BTO'!I:I,FALSE)</f>
        <v>0</v>
      </c>
      <c r="AH755" s="3" t="b">
        <f>_xlfn.XLOOKUP(Tableau119[[#This Row],[Key(ID-date)]],'DATA BTO'!S:S,'DATA BTO'!J:J,FALSE)</f>
        <v>0</v>
      </c>
      <c r="AI755" s="3" t="b">
        <f>_xlfn.XLOOKUP(Tableau119[[#This Row],[Key(ID-date)]],'DATA BTO'!S:S,'DATA BTO'!K:K,FALSE)</f>
        <v>0</v>
      </c>
      <c r="AJ755" s="50" t="b">
        <f>_xlfn.XLOOKUP(Tableau119[[#This Row],[Key(ID-date)]],'DATA BTO'!S:S,'DATA BTO'!L:L,FALSE)</f>
        <v>0</v>
      </c>
      <c r="AK755" s="53" t="b">
        <f>_xlfn.XLOOKUP(Tableau119[[#This Row],[Key(ID-date)]],'DATA BTO'!S:S,'DATA BTO'!N:N,FALSE)</f>
        <v>0</v>
      </c>
      <c r="AL755" s="54" t="e">
        <f>VLOOKUP(Tableau119[[#This Row],[Key(POD -PFI- Usine)]],'DATA Consignee'!A:F,6,FALSE)</f>
        <v>#N/A</v>
      </c>
      <c r="AM755" s="102"/>
      <c r="AN755" s="375" t="str">
        <f>IF(Tableau119[[#This Row],[Name PFI/CDD]]="","-",VLOOKUP(Tableau119[[#This Row],[Name PFI/CDD]],Plant_AILN!I:J,2,FALSE))</f>
        <v>-</v>
      </c>
      <c r="AO75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5" s="110" t="e">
        <f>VLOOKUP(Tableau119[[#This Row],[Key(POD -PFI- Usine)]],'DATA Consignee'!A:J,10,FALSE)</f>
        <v>#N/A</v>
      </c>
      <c r="AR755" s="81" t="e">
        <f>VLOOKUP(Tableau119[[#This Row],[Key(POD -PFI- Usine)]],'DATA Consignee'!A:N,14,FALSE)</f>
        <v>#N/A</v>
      </c>
      <c r="AS75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5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55" s="81">
        <f>Tableau119[[#This Row],[Transit time]]+Tableau119[[#This Row],[Time for security]]+Tableau119[[#This Row],[Time for security2 buffer]]</f>
        <v>0</v>
      </c>
      <c r="AV75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55" s="50" t="e">
        <f>Tableau119[[#This Row],[Leadtime SI2C]]+Tableau119[[#This Row],[First Receipt Days]]-Tableau119[[#This Row],[Day Customer Order]]+1</f>
        <v>#N/A</v>
      </c>
      <c r="AX755" s="119" t="e">
        <f>IF(Tableau119[[#This Row],[Name ILN]]&lt;&gt;"SFK Freight Forwarder",Tableau119[[#This Row],[Cust. Leadtime]],Tableau119[[#This Row],[Leadtime SI2C]])</f>
        <v>#N/A</v>
      </c>
      <c r="AY755" s="51" t="b">
        <f>_xlfn.XLOOKUP(Tableau119[[#This Row],[Key(ID-date)]],'DATA BTO'!S:S,'DATA BTO'!P:P,FALSE)</f>
        <v>0</v>
      </c>
      <c r="AZ755" s="388">
        <v>45412</v>
      </c>
      <c r="BA755" s="81"/>
    </row>
    <row r="756" spans="2:53">
      <c r="B756" s="446" t="str">
        <f>_xlfn.CONCAT(Tableau119[[#This Row],[Name ILN]],"-",Tableau119[[#This Row],[Name Shipper]],"-",Tableau119[[#This Row],[Name Site]])</f>
        <v>SFK Freight Forwarder-Magna Shanghai-SOVAB</v>
      </c>
      <c r="C756" s="66" t="str">
        <f>_xlfn.CONCAT(Tableau119[[#This Row],[Compte ILN]],"-",Tableau119[[#This Row],[Compte Shipper]],"-",Tableau119[[#This Row],[POL]],"-",Tableau119[[#This Row],[Compte Consignee]])</f>
        <v>0-42838303-CNSHA-90016900</v>
      </c>
      <c r="D756" s="66" t="str">
        <f>_xlfn.CONCAT(Tableau119[[#This Row],[Compte ILN]],"-",Tableau119[[#This Row],[Compte Shipper]],"-",Tableau119[[#This Row],[POL]])</f>
        <v>0-42838303-CNSHA</v>
      </c>
      <c r="E756" s="130" t="str">
        <f>_xlfn.CONCAT(Tableau119[[#This Row],[POL]],"-",Tableau119[[#This Row],[Carrier]],"-",Tableau119[[#This Row],[POD]])</f>
        <v>CNSHA-Evergreen-FRLEH</v>
      </c>
      <c r="F756" s="66" t="str">
        <f>_xlfn.CONCAT(Tableau119[[#This Row],[ID]],"-","Actif")</f>
        <v>761-Actif</v>
      </c>
      <c r="G756" s="66" t="str">
        <f>_xlfn.CONCAT(Tableau119[[#This Row],[POD]],"-",Tableau119[[#This Row],[Code PFI]],"-",Tableau119[[#This Row],[Compte Consignee]])</f>
        <v>FRLEH-90016600-90016900</v>
      </c>
      <c r="H7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42838303CNSHASOVAB</v>
      </c>
      <c r="I756" s="434" t="str">
        <f>_xlfn.CONCAT(Tableau119[[#This Row],[ID]],"-",Tableau119[[#This Row],[Expiration Date]])</f>
        <v>761-46142</v>
      </c>
      <c r="J7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SOVAB-SFK Freight Forwarder-Magna Shanghai-761-CNSHA-Evergreen-FRLEH-CDD FR-46142</v>
      </c>
      <c r="K756" s="119" t="str">
        <f ca="1">IF(COUNTIF(J:J,Tableau119[[#This Row],[Plant-ILN-shipper-POL-Carrier-POD-PFI]])=1,"Non","Oui")</f>
        <v>Non</v>
      </c>
      <c r="L756" s="128" t="str">
        <f>VLOOKUP(Tableau119[[#This Row],[Name Site]],Plant_AILN!A:D,4,FALSE)</f>
        <v>FRANCE</v>
      </c>
      <c r="M756" s="411" t="s">
        <v>154</v>
      </c>
      <c r="N756" s="454">
        <f>VLOOKUP(Tableau119[[#This Row],[Name Site]],Plant_AILN!A:C,3,FALSE)</f>
        <v>90016900</v>
      </c>
      <c r="O756" s="55">
        <f>IF(Tableau119[[#This Row],[Name PFI/CDD]]="PFI VLL",2,VLOOKUP(Tableau119[[#This Row],[Compte Consignee]],Order!C:D,2,FALSE))</f>
        <v>7</v>
      </c>
      <c r="P756" s="124" t="s">
        <v>146</v>
      </c>
      <c r="Q756" s="365">
        <f>VLOOKUP(Tableau119[[#This Row],[Name ILN]],Plant_AILN!F:G,2,FALSE)</f>
        <v>0</v>
      </c>
      <c r="R756" s="50">
        <f>VLOOKUP(Tableau119[[#This Row],[Compte ILN]],'DATA ILN'!D:I,6,FALSE)</f>
        <v>9</v>
      </c>
      <c r="S756" s="50">
        <f>IFERROR(VLOOKUP(Tableau119[[#This Row],[Key(Compte ILN - shipper - POL - plant)]],'DATA ILN'!A:J,10,FALSE),VLOOKUP(Tableau119[[#This Row],[Key(Compte ILN - shipper - POL)]],'DATA ILN'!B:J,9,FALSE))</f>
        <v>7</v>
      </c>
      <c r="T756" s="50">
        <f>IFERROR(VLOOKUP(Tableau119[[#This Row],[Key(Compte ILN - shipper - POL - plant)]],'DATA ILN'!A:K,11,FALSE),VLOOKUP(Tableau119[[#This Row],[Key(Compte ILN - shipper - POL)]],'DATA ILN'!B:K,10,FALSE))</f>
        <v>5</v>
      </c>
      <c r="U756" s="50">
        <f>IFERROR(VLOOKUP(Tableau119[[#This Row],[Key(Compte ILN - shipper - POL - plant)]],'DATA ILN'!A:L,12,FALSE),VLOOKUP(Tableau119[[#This Row],[Key(Compte ILN - shipper - POL)]],'DATA ILN'!B:L,11,FALSE))</f>
        <v>7</v>
      </c>
      <c r="V756" s="50">
        <f>Tableau119[[#This Row],[Day ILN Order]]+Tableau119[[#This Row],[Delivery time to ILN/Shipper]]-1</f>
        <v>15</v>
      </c>
      <c r="W756" s="50">
        <f>IFERROR(VLOOKUP(Tableau119[[#This Row],[Key(Compte ILN - shipper - POL - plant)]],'DATA ILN'!A:N,14,FALSE),VLOOKUP(Tableau119[[#This Row],[Key(Compte ILN - shipper - POL)]],'DATA ILN'!B:N,13,FALSE))</f>
        <v>8</v>
      </c>
      <c r="X756" s="50">
        <f>IFERROR(VLOOKUP(Tableau119[[#This Row],[Key(Compte ILN - shipper - POL - plant)]],'DATA ILN'!A:P,16,FALSE),VLOOKUP(Tableau119[[#This Row],[Key(Compte ILN - shipper - POL)]],'DATA ILN'!B:P,15,FALSE))</f>
        <v>3</v>
      </c>
      <c r="Y756" s="284" t="s">
        <v>153</v>
      </c>
      <c r="Z756" s="430">
        <f>IFERROR(VLOOKUP(Tableau119[[#This Row],[Name Shipper]],Plant_AILN!L:M,2,FALSE),0)</f>
        <v>42838303</v>
      </c>
      <c r="AA756" s="284">
        <v>761</v>
      </c>
      <c r="AB756" s="396" t="str">
        <f>_xlfn.XLOOKUP(Tableau119[[#This Row],[Key(ID-date)]],'DATA BTO'!S:S,'DATA BTO'!E:E,FALSE)</f>
        <v>CNSHA</v>
      </c>
      <c r="AC756" s="3" t="str">
        <f>_xlfn.XLOOKUP(Tableau119[[#This Row],[Key(ID-date)]],'DATA BTO'!S:S,'DATA BTO'!F:F,FALSE)</f>
        <v>Evergreen</v>
      </c>
      <c r="AD756" s="50">
        <f>_xlfn.XLOOKUP(Tableau119[[#This Row],[Key(ID-date)]],'DATA BTO'!S:S,'DATA BTO'!G:G,FALSE)</f>
        <v>4</v>
      </c>
      <c r="AE756" s="50">
        <f>_xlfn.XLOOKUP(Tableau119[[#This Row],[Key(ID-date)]],'DATA BTO'!S:S,'DATA BTO'!H:H,FALSE)</f>
        <v>6</v>
      </c>
      <c r="AF756" s="447">
        <f>IF(Tableau119[[#This Row],[First Day to POL]]&lt;=Tableau119[[#This Row],[Day Cut Off]],Tableau119[[#This Row],[Day ETD]],Tableau119[[#This Row],[Day ETD]]+7)</f>
        <v>6</v>
      </c>
      <c r="AG756" s="50">
        <f>_xlfn.XLOOKUP(Tableau119[[#This Row],[Key(ID-date)]],'DATA BTO'!S:S,'DATA BTO'!I:I,FALSE)</f>
        <v>37</v>
      </c>
      <c r="AH756" s="3" t="str">
        <f>_xlfn.XLOOKUP(Tableau119[[#This Row],[Key(ID-date)]],'DATA BTO'!S:S,'DATA BTO'!J:J,FALSE)</f>
        <v>FRLEH</v>
      </c>
      <c r="AI756" s="3">
        <f>_xlfn.XLOOKUP(Tableau119[[#This Row],[Key(ID-date)]],'DATA BTO'!S:S,'DATA BTO'!K:K,FALSE)</f>
        <v>3</v>
      </c>
      <c r="AJ756" s="50">
        <f>_xlfn.XLOOKUP(Tableau119[[#This Row],[Key(ID-date)]],'DATA BTO'!S:S,'DATA BTO'!L:L,FALSE)</f>
        <v>7</v>
      </c>
      <c r="AK756" s="53" t="str">
        <f>_xlfn.XLOOKUP(Tableau119[[#This Row],[Key(ID-date)]],'DATA BTO'!S:S,'DATA BTO'!N:N,FALSE)</f>
        <v>Max</v>
      </c>
      <c r="AL756" s="54">
        <f>VLOOKUP(Tableau119[[#This Row],[Key(POD -PFI- Usine)]],'DATA Consignee'!A:F,6,FALSE)</f>
        <v>3</v>
      </c>
      <c r="AM756" s="284" t="s">
        <v>155</v>
      </c>
      <c r="AN756" s="376">
        <f>IF(Tableau119[[#This Row],[Name PFI/CDD]]="","-",VLOOKUP(Tableau119[[#This Row],[Name PFI/CDD]],Plant_AILN!I:J,2,FALSE))</f>
        <v>90016600</v>
      </c>
      <c r="AO75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6" s="2">
        <f>VLOOKUP(Tableau119[[#This Row],[Key(POD -PFI- Usine)]],'DATA Consignee'!A:J,10,FALSE)</f>
        <v>2</v>
      </c>
      <c r="AR756" s="50">
        <f>VLOOKUP(Tableau119[[#This Row],[Key(POD -PFI- Usine)]],'DATA Consignee'!A:N,14,FALSE)</f>
        <v>4</v>
      </c>
      <c r="AS75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75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56" s="50">
        <f>Tableau119[[#This Row],[Transit time]]+Tableau119[[#This Row],[Time for security]]+Tableau119[[#This Row],[Time for security2 buffer]]</f>
        <v>47</v>
      </c>
      <c r="AV75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56" s="50">
        <f>Tableau119[[#This Row],[Leadtime SI2C]]+Tableau119[[#This Row],[First Receipt Days]]-Tableau119[[#This Row],[Day Customer Order]]+1</f>
        <v>85</v>
      </c>
      <c r="AX756" s="119">
        <f>IF(Tableau119[[#This Row],[Name ILN]]&lt;&gt;"SFK Freight Forwarder",Tableau119[[#This Row],[Cust. Leadtime]],Tableau119[[#This Row],[Leadtime SI2C]])</f>
        <v>76</v>
      </c>
      <c r="AY756" s="51" t="str">
        <f>_xlfn.XLOOKUP(Tableau119[[#This Row],[Key(ID-date)]],'DATA BTO'!S:S,'DATA BTO'!P:P,FALSE)</f>
        <v>Horse &gt; Renault BPH (MLP)</v>
      </c>
      <c r="AZ756" s="338">
        <v>46142</v>
      </c>
      <c r="BA756" s="50"/>
    </row>
    <row r="757" spans="2:53">
      <c r="B757" s="446" t="str">
        <f>_xlfn.CONCAT(Tableau119[[#This Row],[Name ILN]],"-",Tableau119[[#This Row],[Name Shipper]],"-",Tableau119[[#This Row],[Name Site]])</f>
        <v>SFK Freight Forwarder-Magna Shanghai-SOVAB</v>
      </c>
      <c r="C757" s="66" t="str">
        <f>_xlfn.CONCAT(Tableau119[[#This Row],[Compte ILN]],"-",Tableau119[[#This Row],[Compte Shipper]],"-",Tableau119[[#This Row],[POL]],"-",Tableau119[[#This Row],[Compte Consignee]])</f>
        <v>0-42838303-CNSHA-90016900</v>
      </c>
      <c r="D757" s="66" t="str">
        <f>_xlfn.CONCAT(Tableau119[[#This Row],[Compte ILN]],"-",Tableau119[[#This Row],[Compte Shipper]],"-",Tableau119[[#This Row],[POL]])</f>
        <v>0-42838303-CNSHA</v>
      </c>
      <c r="E757" s="130" t="str">
        <f>_xlfn.CONCAT(Tableau119[[#This Row],[POL]],"-",Tableau119[[#This Row],[Carrier]],"-",Tableau119[[#This Row],[POD]])</f>
        <v>CNSHA-Hapag Lloyd-FRLEH</v>
      </c>
      <c r="F757" s="66" t="str">
        <f>_xlfn.CONCAT(Tableau119[[#This Row],[ID]],"-","Actif")</f>
        <v>761-Actif</v>
      </c>
      <c r="G757" s="66" t="str">
        <f>_xlfn.CONCAT(Tableau119[[#This Row],[POD]],"-",Tableau119[[#This Row],[Code PFI]],"-",Tableau119[[#This Row],[Compte Consignee]])</f>
        <v>FRLEH-90016600-90016900</v>
      </c>
      <c r="H7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42838303CNSHASOVAB</v>
      </c>
      <c r="I757" s="434" t="str">
        <f>_xlfn.CONCAT(Tableau119[[#This Row],[ID]],"-",Tableau119[[#This Row],[Expiration Date]])</f>
        <v>761-45777</v>
      </c>
      <c r="J7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SOVAB-SFK Freight Forwarder-Magna Shanghai-761-CNSHA-Hapag Lloyd-FRLEH-CDD FR-45777</v>
      </c>
      <c r="K757" s="119" t="str">
        <f ca="1">IF(COUNTIF(J:J,Tableau119[[#This Row],[Plant-ILN-shipper-POL-Carrier-POD-PFI]])=1,"Non","Oui")</f>
        <v>Non</v>
      </c>
      <c r="L757" s="128" t="str">
        <f>VLOOKUP(Tableau119[[#This Row],[Name Site]],Plant_AILN!A:D,4,FALSE)</f>
        <v>FRANCE</v>
      </c>
      <c r="M757" s="415" t="s">
        <v>154</v>
      </c>
      <c r="N757" s="455">
        <f>VLOOKUP(Tableau119[[#This Row],[Name Site]],Plant_AILN!A:C,3,FALSE)</f>
        <v>90016900</v>
      </c>
      <c r="O757" s="104">
        <f>VLOOKUP(Tableau119[[#This Row],[Compte Consignee]],Order!C:D,2,FALSE)</f>
        <v>7</v>
      </c>
      <c r="P757" s="126" t="s">
        <v>146</v>
      </c>
      <c r="Q757" s="366">
        <f>VLOOKUP(Tableau119[[#This Row],[Name ILN]],Plant_AILN!F:G,2,FALSE)</f>
        <v>0</v>
      </c>
      <c r="R757" s="81">
        <f>VLOOKUP(Tableau119[[#This Row],[Compte ILN]],'DATA ILN'!D:I,6,FALSE)</f>
        <v>9</v>
      </c>
      <c r="S757" s="81">
        <f>IFERROR(VLOOKUP(Tableau119[[#This Row],[Key(Compte ILN - shipper - POL - plant)]],'DATA ILN'!A:J,10,FALSE),VLOOKUP(Tableau119[[#This Row],[Key(Compte ILN - shipper - POL)]],'DATA ILN'!B:J,9,FALSE))</f>
        <v>7</v>
      </c>
      <c r="T757" s="81">
        <f>IFERROR(VLOOKUP(Tableau119[[#This Row],[Key(Compte ILN - shipper - POL - plant)]],'DATA ILN'!A:K,11,FALSE),VLOOKUP(Tableau119[[#This Row],[Key(Compte ILN - shipper - POL)]],'DATA ILN'!B:K,10,FALSE))</f>
        <v>5</v>
      </c>
      <c r="U757" s="81">
        <f>IFERROR(VLOOKUP(Tableau119[[#This Row],[Key(Compte ILN - shipper - POL - plant)]],'DATA ILN'!A:L,12,FALSE),VLOOKUP(Tableau119[[#This Row],[Key(Compte ILN - shipper - POL)]],'DATA ILN'!B:L,11,FALSE))</f>
        <v>7</v>
      </c>
      <c r="V757" s="81">
        <f>Tableau119[[#This Row],[Day ILN Order]]+Tableau119[[#This Row],[Delivery time to ILN/Shipper]]-1</f>
        <v>15</v>
      </c>
      <c r="W757" s="81">
        <f>IFERROR(VLOOKUP(Tableau119[[#This Row],[Key(Compte ILN - shipper - POL - plant)]],'DATA ILN'!A:N,14,FALSE),VLOOKUP(Tableau119[[#This Row],[Key(Compte ILN - shipper - POL)]],'DATA ILN'!B:N,13,FALSE))</f>
        <v>8</v>
      </c>
      <c r="X757" s="81">
        <f>IFERROR(VLOOKUP(Tableau119[[#This Row],[Key(Compte ILN - shipper - POL - plant)]],'DATA ILN'!A:P,16,FALSE),VLOOKUP(Tableau119[[#This Row],[Key(Compte ILN - shipper - POL)]],'DATA ILN'!B:P,15,FALSE))</f>
        <v>3</v>
      </c>
      <c r="Y757" s="102" t="s">
        <v>153</v>
      </c>
      <c r="Z757" s="417">
        <f>IFERROR(VLOOKUP(Tableau119[[#This Row],[Name Shipper]],Plant_AILN!L:M,2,FALSE),0)</f>
        <v>42838303</v>
      </c>
      <c r="AA757" s="416">
        <v>761</v>
      </c>
      <c r="AB757" s="396" t="str">
        <f>_xlfn.XLOOKUP(Tableau119[[#This Row],[Key(ID-date)]],'DATA BTO'!S:S,'DATA BTO'!E:E,FALSE)</f>
        <v>CNSHA</v>
      </c>
      <c r="AC757" s="3" t="str">
        <f>_xlfn.XLOOKUP(Tableau119[[#This Row],[Key(ID-date)]],'DATA BTO'!S:S,'DATA BTO'!F:F,FALSE)</f>
        <v>Hapag Lloyd</v>
      </c>
      <c r="AD757" s="50">
        <f>_xlfn.XLOOKUP(Tableau119[[#This Row],[Key(ID-date)]],'DATA BTO'!S:S,'DATA BTO'!G:G,FALSE)</f>
        <v>5</v>
      </c>
      <c r="AE757" s="50">
        <f>_xlfn.XLOOKUP(Tableau119[[#This Row],[Key(ID-date)]],'DATA BTO'!S:S,'DATA BTO'!H:H,FALSE)</f>
        <v>7</v>
      </c>
      <c r="AF757" s="447">
        <f>IF(Tableau119[[#This Row],[First Day to POL]]&lt;=Tableau119[[#This Row],[Day Cut Off]],Tableau119[[#This Row],[Day ETD]],Tableau119[[#This Row],[Day ETD]]+7)</f>
        <v>7</v>
      </c>
      <c r="AG757" s="50">
        <f>_xlfn.XLOOKUP(Tableau119[[#This Row],[Key(ID-date)]],'DATA BTO'!S:S,'DATA BTO'!I:I,FALSE)</f>
        <v>46</v>
      </c>
      <c r="AH757" s="3" t="str">
        <f>_xlfn.XLOOKUP(Tableau119[[#This Row],[Key(ID-date)]],'DATA BTO'!S:S,'DATA BTO'!J:J,FALSE)</f>
        <v>FRLEH</v>
      </c>
      <c r="AI757" s="3">
        <f>_xlfn.XLOOKUP(Tableau119[[#This Row],[Key(ID-date)]],'DATA BTO'!S:S,'DATA BTO'!K:K,FALSE)</f>
        <v>3</v>
      </c>
      <c r="AJ757" s="50">
        <f>_xlfn.XLOOKUP(Tableau119[[#This Row],[Key(ID-date)]],'DATA BTO'!S:S,'DATA BTO'!L:L,FALSE)</f>
        <v>0</v>
      </c>
      <c r="AK757" s="53" t="str">
        <f>_xlfn.XLOOKUP(Tableau119[[#This Row],[Key(ID-date)]],'DATA BTO'!S:S,'DATA BTO'!N:N,FALSE)</f>
        <v>Max</v>
      </c>
      <c r="AL757" s="54">
        <f>VLOOKUP(Tableau119[[#This Row],[Key(POD -PFI- Usine)]],'DATA Consignee'!A:F,6,FALSE)</f>
        <v>3</v>
      </c>
      <c r="AM757" s="102" t="s">
        <v>155</v>
      </c>
      <c r="AN757" s="375">
        <f>IF(Tableau119[[#This Row],[Name PFI/CDD]]="","-",VLOOKUP(Tableau119[[#This Row],[Name PFI/CDD]],Plant_AILN!I:J,2,FALSE))</f>
        <v>90016600</v>
      </c>
      <c r="AO75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7" s="110">
        <f>VLOOKUP(Tableau119[[#This Row],[Key(POD -PFI- Usine)]],'DATA Consignee'!A:J,10,FALSE)</f>
        <v>2</v>
      </c>
      <c r="AR757" s="81">
        <f>VLOOKUP(Tableau119[[#This Row],[Key(POD -PFI- Usine)]],'DATA Consignee'!A:N,14,FALSE)</f>
        <v>4</v>
      </c>
      <c r="AS75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75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19</v>
      </c>
      <c r="AU757" s="81">
        <f>Tableau119[[#This Row],[Transit time]]+Tableau119[[#This Row],[Time for security]]+Tableau119[[#This Row],[Time for security2 buffer]]</f>
        <v>49</v>
      </c>
      <c r="AV75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757" s="50">
        <f>Tableau119[[#This Row],[Leadtime SI2C]]+Tableau119[[#This Row],[First Receipt Days]]-Tableau119[[#This Row],[Day Customer Order]]+1</f>
        <v>92</v>
      </c>
      <c r="AX757" s="119">
        <f>IF(Tableau119[[#This Row],[Name ILN]]&lt;&gt;"SFK Freight Forwarder",Tableau119[[#This Row],[Cust. Leadtime]],Tableau119[[#This Row],[Leadtime SI2C]])</f>
        <v>83</v>
      </c>
      <c r="AY757" s="51" t="str">
        <f>_xlfn.XLOOKUP(Tableau119[[#This Row],[Key(ID-date)]],'DATA BTO'!S:S,'DATA BTO'!P:P,FALSE)</f>
        <v>Horse &gt; Renault BPH (MLP)</v>
      </c>
      <c r="AZ757" s="388">
        <v>45777</v>
      </c>
      <c r="BA757" s="81"/>
    </row>
    <row r="758" spans="2:53">
      <c r="B758" s="446" t="str">
        <f>_xlfn.CONCAT(Tableau119[[#This Row],[Name ILN]],"-",Tableau119[[#This Row],[Name Shipper]],"-",Tableau119[[#This Row],[Name Site]])</f>
        <v>SFK Freight Forwarder-Magna Shanghai-SOVAB</v>
      </c>
      <c r="C758" s="66" t="str">
        <f>_xlfn.CONCAT(Tableau119[[#This Row],[Compte ILN]],"-",Tableau119[[#This Row],[Compte Shipper]],"-",Tableau119[[#This Row],[POL]],"-",Tableau119[[#This Row],[Compte Consignee]])</f>
        <v>0-42838303-CNSHA-90016900</v>
      </c>
      <c r="D758" s="66" t="str">
        <f>_xlfn.CONCAT(Tableau119[[#This Row],[Compte ILN]],"-",Tableau119[[#This Row],[Compte Shipper]],"-",Tableau119[[#This Row],[POL]])</f>
        <v>0-42838303-CNSHA</v>
      </c>
      <c r="E758" s="130" t="str">
        <f>_xlfn.CONCAT(Tableau119[[#This Row],[POL]],"-",Tableau119[[#This Row],[Carrier]],"-",Tableau119[[#This Row],[POD]])</f>
        <v>CNSHA-Maersk-FRLEH</v>
      </c>
      <c r="F758" s="66" t="str">
        <f>_xlfn.CONCAT(Tableau119[[#This Row],[ID]],"-","Actif")</f>
        <v>761-Actif</v>
      </c>
      <c r="G758" s="66" t="str">
        <f>_xlfn.CONCAT(Tableau119[[#This Row],[POD]],"-",Tableau119[[#This Row],[Code PFI]],"-",Tableau119[[#This Row],[Compte Consignee]])</f>
        <v>FRLEH-90016600-90016900</v>
      </c>
      <c r="H7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42838303CNSHASOVAB</v>
      </c>
      <c r="I758" s="434" t="str">
        <f>_xlfn.CONCAT(Tableau119[[#This Row],[ID]],"-",Tableau119[[#This Row],[Expiration Date]])</f>
        <v>761-45657</v>
      </c>
      <c r="J7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SOVAB-SFK Freight Forwarder-Magna Shanghai-761-CNSHA-Maersk-FRLEH-CDD FR-45657</v>
      </c>
      <c r="K758" s="119" t="str">
        <f ca="1">IF(COUNTIF(J:J,Tableau119[[#This Row],[Plant-ILN-shipper-POL-Carrier-POD-PFI]])=1,"Non","Oui")</f>
        <v>Non</v>
      </c>
      <c r="L758" s="128" t="str">
        <f>VLOOKUP(Tableau119[[#This Row],[Name Site]],Plant_AILN!A:D,4,FALSE)</f>
        <v>FRANCE</v>
      </c>
      <c r="M758" s="411" t="s">
        <v>154</v>
      </c>
      <c r="N758" s="454">
        <f>VLOOKUP(Tableau119[[#This Row],[Name Site]],Plant_AILN!A:C,3,FALSE)</f>
        <v>90016900</v>
      </c>
      <c r="O758" s="55">
        <f>VLOOKUP(Tableau119[[#This Row],[Compte Consignee]],Order!C:D,2,FALSE)</f>
        <v>7</v>
      </c>
      <c r="P758" s="124" t="s">
        <v>146</v>
      </c>
      <c r="Q758" s="365">
        <f>VLOOKUP(Tableau119[[#This Row],[Name ILN]],Plant_AILN!F:G,2,FALSE)</f>
        <v>0</v>
      </c>
      <c r="R758" s="50">
        <f>VLOOKUP(Tableau119[[#This Row],[Compte ILN]],'DATA ILN'!D:I,6,FALSE)</f>
        <v>9</v>
      </c>
      <c r="S758" s="50">
        <f>IFERROR(VLOOKUP(Tableau119[[#This Row],[Key(Compte ILN - shipper - POL - plant)]],'DATA ILN'!A:J,10,FALSE),VLOOKUP(Tableau119[[#This Row],[Key(Compte ILN - shipper - POL)]],'DATA ILN'!B:J,9,FALSE))</f>
        <v>7</v>
      </c>
      <c r="T758" s="50">
        <f>IFERROR(VLOOKUP(Tableau119[[#This Row],[Key(Compte ILN - shipper - POL - plant)]],'DATA ILN'!A:K,11,FALSE),VLOOKUP(Tableau119[[#This Row],[Key(Compte ILN - shipper - POL)]],'DATA ILN'!B:K,10,FALSE))</f>
        <v>5</v>
      </c>
      <c r="U758" s="50">
        <f>IFERROR(VLOOKUP(Tableau119[[#This Row],[Key(Compte ILN - shipper - POL - plant)]],'DATA ILN'!A:L,12,FALSE),VLOOKUP(Tableau119[[#This Row],[Key(Compte ILN - shipper - POL)]],'DATA ILN'!B:L,11,FALSE))</f>
        <v>7</v>
      </c>
      <c r="V758" s="50">
        <f>Tableau119[[#This Row],[Day ILN Order]]+Tableau119[[#This Row],[Delivery time to ILN/Shipper]]-1</f>
        <v>15</v>
      </c>
      <c r="W758" s="50">
        <f>IFERROR(VLOOKUP(Tableau119[[#This Row],[Key(Compte ILN - shipper - POL - plant)]],'DATA ILN'!A:N,14,FALSE),VLOOKUP(Tableau119[[#This Row],[Key(Compte ILN - shipper - POL)]],'DATA ILN'!B:N,13,FALSE))</f>
        <v>8</v>
      </c>
      <c r="X758" s="50">
        <f>IFERROR(VLOOKUP(Tableau119[[#This Row],[Key(Compte ILN - shipper - POL - plant)]],'DATA ILN'!A:P,16,FALSE),VLOOKUP(Tableau119[[#This Row],[Key(Compte ILN - shipper - POL)]],'DATA ILN'!B:P,15,FALSE))</f>
        <v>3</v>
      </c>
      <c r="Y758" s="284" t="s">
        <v>153</v>
      </c>
      <c r="Z758" s="430">
        <f>IFERROR(VLOOKUP(Tableau119[[#This Row],[Name Shipper]],Plant_AILN!L:M,2,FALSE),0)</f>
        <v>42838303</v>
      </c>
      <c r="AA758" s="406">
        <v>761</v>
      </c>
      <c r="AB758" s="396" t="str">
        <f>_xlfn.XLOOKUP(Tableau119[[#This Row],[Key(ID-date)]],'DATA BTO'!S:S,'DATA BTO'!E:E,FALSE)</f>
        <v>CNSHA</v>
      </c>
      <c r="AC758" s="3" t="str">
        <f>_xlfn.XLOOKUP(Tableau119[[#This Row],[Key(ID-date)]],'DATA BTO'!S:S,'DATA BTO'!F:F,FALSE)</f>
        <v>Maersk</v>
      </c>
      <c r="AD758" s="50">
        <f>_xlfn.XLOOKUP(Tableau119[[#This Row],[Key(ID-date)]],'DATA BTO'!S:S,'DATA BTO'!G:G,FALSE)</f>
        <v>5</v>
      </c>
      <c r="AE758" s="50">
        <f>_xlfn.XLOOKUP(Tableau119[[#This Row],[Key(ID-date)]],'DATA BTO'!S:S,'DATA BTO'!H:H,FALSE)</f>
        <v>10</v>
      </c>
      <c r="AF758" s="447">
        <f>IF(Tableau119[[#This Row],[First Day to POL]]&lt;=Tableau119[[#This Row],[Day Cut Off]],Tableau119[[#This Row],[Day ETD]],Tableau119[[#This Row],[Day ETD]]+7)</f>
        <v>10</v>
      </c>
      <c r="AG758" s="50">
        <f>_xlfn.XLOOKUP(Tableau119[[#This Row],[Key(ID-date)]],'DATA BTO'!S:S,'DATA BTO'!I:I,FALSE)</f>
        <v>51</v>
      </c>
      <c r="AH758" s="3" t="str">
        <f>_xlfn.XLOOKUP(Tableau119[[#This Row],[Key(ID-date)]],'DATA BTO'!S:S,'DATA BTO'!J:J,FALSE)</f>
        <v>FRLEH</v>
      </c>
      <c r="AI758" s="3">
        <f>_xlfn.XLOOKUP(Tableau119[[#This Row],[Key(ID-date)]],'DATA BTO'!S:S,'DATA BTO'!K:K,FALSE)</f>
        <v>3</v>
      </c>
      <c r="AJ758" s="50">
        <f>_xlfn.XLOOKUP(Tableau119[[#This Row],[Key(ID-date)]],'DATA BTO'!S:S,'DATA BTO'!L:L,FALSE)</f>
        <v>0</v>
      </c>
      <c r="AK758" s="53" t="str">
        <f>_xlfn.XLOOKUP(Tableau119[[#This Row],[Key(ID-date)]],'DATA BTO'!S:S,'DATA BTO'!N:N,FALSE)</f>
        <v>Emmanuelle</v>
      </c>
      <c r="AL758" s="54">
        <f>VLOOKUP(Tableau119[[#This Row],[Key(POD -PFI- Usine)]],'DATA Consignee'!A:F,6,FALSE)</f>
        <v>3</v>
      </c>
      <c r="AM758" s="284" t="s">
        <v>155</v>
      </c>
      <c r="AN758" s="376">
        <f>IF(Tableau119[[#This Row],[Name PFI/CDD]]="","-",VLOOKUP(Tableau119[[#This Row],[Name PFI/CDD]],Plant_AILN!I:J,2,FALSE))</f>
        <v>90016600</v>
      </c>
      <c r="AO7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8" s="2">
        <f>VLOOKUP(Tableau119[[#This Row],[Key(POD -PFI- Usine)]],'DATA Consignee'!A:J,10,FALSE)</f>
        <v>2</v>
      </c>
      <c r="AR758" s="50">
        <f>VLOOKUP(Tableau119[[#This Row],[Key(POD -PFI- Usine)]],'DATA Consignee'!A:N,14,FALSE)</f>
        <v>4</v>
      </c>
      <c r="AS75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75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22</v>
      </c>
      <c r="AU758" s="50">
        <f>Tableau119[[#This Row],[Transit time]]+Tableau119[[#This Row],[Time for security]]+Tableau119[[#This Row],[Time for security2 buffer]]</f>
        <v>54</v>
      </c>
      <c r="AV75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758" s="50">
        <f>Tableau119[[#This Row],[Leadtime SI2C]]+Tableau119[[#This Row],[First Receipt Days]]-Tableau119[[#This Row],[Day Customer Order]]+1</f>
        <v>99</v>
      </c>
      <c r="AX758" s="119">
        <f>IF(Tableau119[[#This Row],[Name ILN]]&lt;&gt;"SFK Freight Forwarder",Tableau119[[#This Row],[Cust. Leadtime]],Tableau119[[#This Row],[Leadtime SI2C]])</f>
        <v>90</v>
      </c>
      <c r="AY758" s="51" t="str">
        <f>_xlfn.XLOOKUP(Tableau119[[#This Row],[Key(ID-date)]],'DATA BTO'!S:S,'DATA BTO'!P:P,FALSE)</f>
        <v>Horse &gt; Renault BPH (MLP)</v>
      </c>
      <c r="AZ758" s="338">
        <v>45657</v>
      </c>
      <c r="BA758" s="50"/>
    </row>
    <row r="759" spans="2:53">
      <c r="B759" s="446" t="str">
        <f>_xlfn.CONCAT(Tableau119[[#This Row],[Name ILN]],"-",Tableau119[[#This Row],[Name Shipper]],"-",Tableau119[[#This Row],[Name Site]])</f>
        <v>SFK Freight Forwarder-Magna Shanghai-SOVAB</v>
      </c>
      <c r="C759" s="66" t="str">
        <f>_xlfn.CONCAT(Tableau119[[#This Row],[Compte ILN]],"-",Tableau119[[#This Row],[Compte Shipper]],"-",Tableau119[[#This Row],[POL]],"-",Tableau119[[#This Row],[Compte Consignee]])</f>
        <v>0-42838303-CNSHA-90016900</v>
      </c>
      <c r="D759" s="66" t="str">
        <f>_xlfn.CONCAT(Tableau119[[#This Row],[Compte ILN]],"-",Tableau119[[#This Row],[Compte Shipper]],"-",Tableau119[[#This Row],[POL]])</f>
        <v>0-42838303-CNSHA</v>
      </c>
      <c r="E759" s="130" t="str">
        <f>_xlfn.CONCAT(Tableau119[[#This Row],[POL]],"-",Tableau119[[#This Row],[Carrier]],"-",Tableau119[[#This Row],[POD]])</f>
        <v>CNSHA-Maersk-FRLEH</v>
      </c>
      <c r="F759" s="66" t="str">
        <f>_xlfn.CONCAT(Tableau119[[#This Row],[ID]],"-","Actif")</f>
        <v>761-Actif</v>
      </c>
      <c r="G759" s="66" t="str">
        <f>_xlfn.CONCAT(Tableau119[[#This Row],[POD]],"-",Tableau119[[#This Row],[Code PFI]],"-",Tableau119[[#This Row],[Compte Consignee]])</f>
        <v>FRLEH-90016600-90016900</v>
      </c>
      <c r="H7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42838303CNSHASOVAB</v>
      </c>
      <c r="I759" s="434" t="str">
        <f>_xlfn.CONCAT(Tableau119[[#This Row],[ID]],"-",Tableau119[[#This Row],[Expiration Date]])</f>
        <v>761-45412</v>
      </c>
      <c r="J7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SOVAB-SFK Freight Forwarder-Magna Shanghai-761-CNSHA-Maersk-FRLEH-CDD FR-45412</v>
      </c>
      <c r="K759" s="119" t="str">
        <f ca="1">IF(COUNTIF(J:J,Tableau119[[#This Row],[Plant-ILN-shipper-POL-Carrier-POD-PFI]])=1,"Non","Oui")</f>
        <v>Non</v>
      </c>
      <c r="L759" s="128" t="str">
        <f>VLOOKUP(Tableau119[[#This Row],[Name Site]],Plant_AILN!A:D,4,FALSE)</f>
        <v>FRANCE</v>
      </c>
      <c r="M759" s="411" t="s">
        <v>154</v>
      </c>
      <c r="N759" s="454">
        <f>VLOOKUP(Tableau119[[#This Row],[Name Site]],Plant_AILN!A:C,3,FALSE)</f>
        <v>90016900</v>
      </c>
      <c r="O759" s="55">
        <f>VLOOKUP(Tableau119[[#This Row],[Compte Consignee]],Order!C:D,2,FALSE)</f>
        <v>7</v>
      </c>
      <c r="P759" s="124" t="s">
        <v>146</v>
      </c>
      <c r="Q759" s="365">
        <f>VLOOKUP(Tableau119[[#This Row],[Name ILN]],Plant_AILN!F:G,2,FALSE)</f>
        <v>0</v>
      </c>
      <c r="R759" s="50">
        <f>VLOOKUP(Tableau119[[#This Row],[Compte ILN]],'DATA ILN'!D:I,6,FALSE)</f>
        <v>9</v>
      </c>
      <c r="S759" s="50">
        <f>IFERROR(VLOOKUP(Tableau119[[#This Row],[Key(Compte ILN - shipper - POL - plant)]],'DATA ILN'!A:J,10,FALSE),VLOOKUP(Tableau119[[#This Row],[Key(Compte ILN - shipper - POL)]],'DATA ILN'!B:J,9,FALSE))</f>
        <v>7</v>
      </c>
      <c r="T759" s="50">
        <f>IFERROR(VLOOKUP(Tableau119[[#This Row],[Key(Compte ILN - shipper - POL - plant)]],'DATA ILN'!A:K,11,FALSE),VLOOKUP(Tableau119[[#This Row],[Key(Compte ILN - shipper - POL)]],'DATA ILN'!B:K,10,FALSE))</f>
        <v>5</v>
      </c>
      <c r="U759" s="50">
        <f>IFERROR(VLOOKUP(Tableau119[[#This Row],[Key(Compte ILN - shipper - POL - plant)]],'DATA ILN'!A:L,12,FALSE),VLOOKUP(Tableau119[[#This Row],[Key(Compte ILN - shipper - POL)]],'DATA ILN'!B:L,11,FALSE))</f>
        <v>7</v>
      </c>
      <c r="V759" s="50">
        <f>Tableau119[[#This Row],[Day ILN Order]]+Tableau119[[#This Row],[Delivery time to ILN/Shipper]]-1</f>
        <v>15</v>
      </c>
      <c r="W759" s="50">
        <f>IFERROR(VLOOKUP(Tableau119[[#This Row],[Key(Compte ILN - shipper - POL - plant)]],'DATA ILN'!A:N,14,FALSE),VLOOKUP(Tableau119[[#This Row],[Key(Compte ILN - shipper - POL)]],'DATA ILN'!B:N,13,FALSE))</f>
        <v>8</v>
      </c>
      <c r="X759" s="50">
        <f>IFERROR(VLOOKUP(Tableau119[[#This Row],[Key(Compte ILN - shipper - POL - plant)]],'DATA ILN'!A:P,16,FALSE),VLOOKUP(Tableau119[[#This Row],[Key(Compte ILN - shipper - POL)]],'DATA ILN'!B:P,15,FALSE))</f>
        <v>3</v>
      </c>
      <c r="Y759" s="284" t="s">
        <v>153</v>
      </c>
      <c r="Z759" s="430">
        <f>IFERROR(VLOOKUP(Tableau119[[#This Row],[Name Shipper]],Plant_AILN!L:M,2,FALSE),0)</f>
        <v>42838303</v>
      </c>
      <c r="AA759" s="406">
        <v>761</v>
      </c>
      <c r="AB759" s="396" t="str">
        <f>_xlfn.XLOOKUP(Tableau119[[#This Row],[Key(ID-date)]],'DATA BTO'!S:S,'DATA BTO'!E:E,FALSE)</f>
        <v>CNSHA</v>
      </c>
      <c r="AC759" s="3" t="str">
        <f>_xlfn.XLOOKUP(Tableau119[[#This Row],[Key(ID-date)]],'DATA BTO'!S:S,'DATA BTO'!F:F,FALSE)</f>
        <v>Maersk</v>
      </c>
      <c r="AD759" s="50">
        <f>_xlfn.XLOOKUP(Tableau119[[#This Row],[Key(ID-date)]],'DATA BTO'!S:S,'DATA BTO'!G:G,FALSE)</f>
        <v>5</v>
      </c>
      <c r="AE759" s="50">
        <f>_xlfn.XLOOKUP(Tableau119[[#This Row],[Key(ID-date)]],'DATA BTO'!S:S,'DATA BTO'!H:H,FALSE)</f>
        <v>10</v>
      </c>
      <c r="AF759" s="447">
        <f>IF(Tableau119[[#This Row],[First Day to POL]]&lt;=Tableau119[[#This Row],[Day Cut Off]],Tableau119[[#This Row],[Day ETD]],Tableau119[[#This Row],[Day ETD]]+7)</f>
        <v>10</v>
      </c>
      <c r="AG759" s="50">
        <f>_xlfn.XLOOKUP(Tableau119[[#This Row],[Key(ID-date)]],'DATA BTO'!S:S,'DATA BTO'!I:I,FALSE)</f>
        <v>60</v>
      </c>
      <c r="AH759" s="3" t="str">
        <f>_xlfn.XLOOKUP(Tableau119[[#This Row],[Key(ID-date)]],'DATA BTO'!S:S,'DATA BTO'!J:J,FALSE)</f>
        <v>FRLEH</v>
      </c>
      <c r="AI759" s="3">
        <f>_xlfn.XLOOKUP(Tableau119[[#This Row],[Key(ID-date)]],'DATA BTO'!S:S,'DATA BTO'!K:K,FALSE)</f>
        <v>0</v>
      </c>
      <c r="AJ759" s="50">
        <f>_xlfn.XLOOKUP(Tableau119[[#This Row],[Key(ID-date)]],'DATA BTO'!S:S,'DATA BTO'!L:L,FALSE)</f>
        <v>0</v>
      </c>
      <c r="AK759" s="53" t="str">
        <f>_xlfn.XLOOKUP(Tableau119[[#This Row],[Key(ID-date)]],'DATA BTO'!S:S,'DATA BTO'!N:N,FALSE)</f>
        <v>Emmanuelle</v>
      </c>
      <c r="AL759" s="54">
        <f>VLOOKUP(Tableau119[[#This Row],[Key(POD -PFI- Usine)]],'DATA Consignee'!A:F,6,FALSE)</f>
        <v>3</v>
      </c>
      <c r="AM759" s="284" t="s">
        <v>155</v>
      </c>
      <c r="AN759" s="376">
        <f>IF(Tableau119[[#This Row],[Name PFI/CDD]]="","-",VLOOKUP(Tableau119[[#This Row],[Name PFI/CDD]],Plant_AILN!I:J,2,FALSE))</f>
        <v>90016600</v>
      </c>
      <c r="AO7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59" s="2">
        <f>VLOOKUP(Tableau119[[#This Row],[Key(POD -PFI- Usine)]],'DATA Consignee'!A:J,10,FALSE)</f>
        <v>2</v>
      </c>
      <c r="AR759" s="50">
        <f>VLOOKUP(Tableau119[[#This Row],[Key(POD -PFI- Usine)]],'DATA Consignee'!A:N,14,FALSE)</f>
        <v>4</v>
      </c>
      <c r="AS75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75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22</v>
      </c>
      <c r="AU759" s="50">
        <f>Tableau119[[#This Row],[Transit time]]+Tableau119[[#This Row],[Time for security]]+Tableau119[[#This Row],[Time for security2 buffer]]</f>
        <v>60</v>
      </c>
      <c r="AV75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759" s="50">
        <f>Tableau119[[#This Row],[Leadtime SI2C]]+Tableau119[[#This Row],[First Receipt Days]]-Tableau119[[#This Row],[Day Customer Order]]+1</f>
        <v>106</v>
      </c>
      <c r="AX759" s="119">
        <f>IF(Tableau119[[#This Row],[Name ILN]]&lt;&gt;"SFK Freight Forwarder",Tableau119[[#This Row],[Cust. Leadtime]],Tableau119[[#This Row],[Leadtime SI2C]])</f>
        <v>97</v>
      </c>
      <c r="AY759" s="51" t="str">
        <f>_xlfn.XLOOKUP(Tableau119[[#This Row],[Key(ID-date)]],'DATA BTO'!S:S,'DATA BTO'!P:P,FALSE)</f>
        <v>Horse &gt; Renault BPH (MLP)</v>
      </c>
      <c r="AZ759" s="338">
        <v>45412</v>
      </c>
      <c r="BA759" s="50"/>
    </row>
    <row r="760" spans="2:53">
      <c r="B760" s="66" t="str">
        <f>_xlfn.CONCAT(Tableau119[[#This Row],[Name ILN]],"-",Tableau119[[#This Row],[Name Shipper]],"-",Tableau119[[#This Row],[Name Site]])</f>
        <v>ILN Curitiba-ILN Curitiba-VALL MONTAGE</v>
      </c>
      <c r="C760" s="66" t="str">
        <f>_xlfn.CONCAT(Tableau119[[#This Row],[Compte ILN]],"-",Tableau119[[#This Row],[Compte Shipper]],"-",Tableau119[[#This Row],[POL]],"-",Tableau119[[#This Row],[Compte Consignee]])</f>
        <v>95207-95207-FALSO-91017300</v>
      </c>
      <c r="D760" s="66" t="str">
        <f>_xlfn.CONCAT(Tableau119[[#This Row],[Compte ILN]],"-",Tableau119[[#This Row],[Compte Shipper]],"-",Tableau119[[#This Row],[POL]])</f>
        <v>95207-95207-FALSO</v>
      </c>
      <c r="E760" s="130" t="str">
        <f>_xlfn.CONCAT(Tableau119[[#This Row],[POL]],"-",Tableau119[[#This Row],[Carrier]],"-",Tableau119[[#This Row],[POD]])</f>
        <v>FALSO-FALSO-FALSO</v>
      </c>
      <c r="F760" s="66" t="str">
        <f>_xlfn.CONCAT(Tableau119[[#This Row],[ID]],"-","Actif")</f>
        <v>798-Actif</v>
      </c>
      <c r="G760" s="66" t="str">
        <f>_xlfn.CONCAT(Tableau119[[#This Row],[POD]],"-",Tableau119[[#This Row],[Code PFI]],"-",Tableau119[[#This Row],[Compte Consignee]])</f>
        <v>FALSO-91018400-91017300</v>
      </c>
      <c r="H7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CuritibaFALSOVALL MONTAGE</v>
      </c>
      <c r="I760" s="434" t="str">
        <f>_xlfn.CONCAT(Tableau119[[#This Row],[ID]],"-",Tableau119[[#This Row],[Expiration Date]])</f>
        <v>798-46142</v>
      </c>
      <c r="J7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Curitiba-ILN Curitiba-798-FALSO-FALSO-FALSO-CDD VLL-46142</v>
      </c>
      <c r="K760" s="119" t="str">
        <f ca="1">IF(COUNTIF(J:J,Tableau119[[#This Row],[Plant-ILN-shipper-POL-Carrier-POD-PFI]])=1,"Non","Oui")</f>
        <v>Non</v>
      </c>
      <c r="L760" s="440" t="str">
        <f>VLOOKUP(Tableau119[[#This Row],[Name Site]],Plant_AILN!A:D,4,FALSE)</f>
        <v>SPAIN</v>
      </c>
      <c r="M760" s="483" t="s">
        <v>175</v>
      </c>
      <c r="N760" s="455">
        <f>VLOOKUP(Tableau119[[#This Row],[Name Site]],Plant_AILN!A:C,3,FALSE)</f>
        <v>91017300</v>
      </c>
      <c r="O760" s="104">
        <f>IF(Tableau119[[#This Row],[Name PFI/CDD]]="PFI VLL",2,VLOOKUP(Tableau119[[#This Row],[Compte Consignee]],Order!C:D,2,FALSE))</f>
        <v>7</v>
      </c>
      <c r="P760" s="126" t="s">
        <v>163</v>
      </c>
      <c r="Q760" s="366">
        <f>VLOOKUP(Tableau119[[#This Row],[Name ILN]],Plant_AILN!F:G,2,FALSE)</f>
        <v>95207</v>
      </c>
      <c r="R760" s="81">
        <f>VLOOKUP(Tableau119[[#This Row],[Compte ILN]],'DATA ILN'!D:I,6,FALSE)</f>
        <v>9</v>
      </c>
      <c r="S760" s="81" t="e">
        <f>IFERROR(VLOOKUP(Tableau119[[#This Row],[Key(Compte ILN - shipper - POL - plant)]],'DATA ILN'!A:J,10,FALSE),VLOOKUP(Tableau119[[#This Row],[Key(Compte ILN - shipper - POL)]],'DATA ILN'!B:J,9,FALSE))</f>
        <v>#N/A</v>
      </c>
      <c r="T760" s="81" t="e">
        <f>IFERROR(VLOOKUP(Tableau119[[#This Row],[Key(Compte ILN - shipper - POL - plant)]],'DATA ILN'!A:K,11,FALSE),VLOOKUP(Tableau119[[#This Row],[Key(Compte ILN - shipper - POL)]],'DATA ILN'!B:K,10,FALSE))</f>
        <v>#N/A</v>
      </c>
      <c r="U760" s="81" t="e">
        <f>IFERROR(VLOOKUP(Tableau119[[#This Row],[Key(Compte ILN - shipper - POL - plant)]],'DATA ILN'!A:L,12,FALSE),VLOOKUP(Tableau119[[#This Row],[Key(Compte ILN - shipper - POL)]],'DATA ILN'!B:L,11,FALSE))</f>
        <v>#N/A</v>
      </c>
      <c r="V760" s="81" t="e">
        <f>Tableau119[[#This Row],[Day ILN Order]]+Tableau119[[#This Row],[Delivery time to ILN/Shipper]]-1</f>
        <v>#N/A</v>
      </c>
      <c r="W760" s="81" t="e">
        <f>IFERROR(VLOOKUP(Tableau119[[#This Row],[Key(Compte ILN - shipper - POL - plant)]],'DATA ILN'!A:N,14,FALSE),VLOOKUP(Tableau119[[#This Row],[Key(Compte ILN - shipper - POL)]],'DATA ILN'!B:N,13,FALSE))</f>
        <v>#N/A</v>
      </c>
      <c r="X760" s="81" t="e">
        <f>IFERROR(VLOOKUP(Tableau119[[#This Row],[Key(Compte ILN - shipper - POL - plant)]],'DATA ILN'!A:P,16,FALSE),VLOOKUP(Tableau119[[#This Row],[Key(Compte ILN - shipper - POL)]],'DATA ILN'!B:P,15,FALSE))</f>
        <v>#N/A</v>
      </c>
      <c r="Y760" s="102" t="s">
        <v>163</v>
      </c>
      <c r="Z760" s="417">
        <f>IFERROR(VLOOKUP(Tableau119[[#This Row],[Name Shipper]],Plant_AILN!L:M,2,FALSE),0)</f>
        <v>95207</v>
      </c>
      <c r="AA760" s="416">
        <v>798</v>
      </c>
      <c r="AB760" s="396" t="b">
        <f>_xlfn.XLOOKUP(Tableau119[[#This Row],[Key(ID-date)]],'DATA BTO'!S:S,'DATA BTO'!E:E,FALSE)</f>
        <v>0</v>
      </c>
      <c r="AC760" s="3" t="b">
        <f>_xlfn.XLOOKUP(Tableau119[[#This Row],[Key(ID-date)]],'DATA BTO'!S:S,'DATA BTO'!F:F,FALSE)</f>
        <v>0</v>
      </c>
      <c r="AD760" s="50" t="b">
        <f>_xlfn.XLOOKUP(Tableau119[[#This Row],[Key(ID-date)]],'DATA BTO'!S:S,'DATA BTO'!G:G,FALSE)</f>
        <v>0</v>
      </c>
      <c r="AE760" s="50" t="b">
        <f>_xlfn.XLOOKUP(Tableau119[[#This Row],[Key(ID-date)]],'DATA BTO'!S:S,'DATA BTO'!H:H,FALSE)</f>
        <v>0</v>
      </c>
      <c r="AF760" s="447" t="e">
        <f>IF(Tableau119[[#This Row],[First Day to POL]]&lt;=Tableau119[[#This Row],[Day Cut Off]],Tableau119[[#This Row],[Day ETD]],Tableau119[[#This Row],[Day ETD]]+7)</f>
        <v>#N/A</v>
      </c>
      <c r="AG760" s="50" t="b">
        <f>_xlfn.XLOOKUP(Tableau119[[#This Row],[Key(ID-date)]],'DATA BTO'!S:S,'DATA BTO'!I:I,FALSE)</f>
        <v>0</v>
      </c>
      <c r="AH760" s="3" t="b">
        <f>_xlfn.XLOOKUP(Tableau119[[#This Row],[Key(ID-date)]],'DATA BTO'!S:S,'DATA BTO'!J:J,FALSE)</f>
        <v>0</v>
      </c>
      <c r="AI760" s="3" t="b">
        <f>_xlfn.XLOOKUP(Tableau119[[#This Row],[Key(ID-date)]],'DATA BTO'!S:S,'DATA BTO'!K:K,FALSE)</f>
        <v>0</v>
      </c>
      <c r="AJ760" s="50" t="b">
        <f>_xlfn.XLOOKUP(Tableau119[[#This Row],[Key(ID-date)]],'DATA BTO'!S:S,'DATA BTO'!L:L,FALSE)</f>
        <v>0</v>
      </c>
      <c r="AK760" s="53" t="b">
        <f>_xlfn.XLOOKUP(Tableau119[[#This Row],[Key(ID-date)]],'DATA BTO'!S:S,'DATA BTO'!N:N,FALSE)</f>
        <v>0</v>
      </c>
      <c r="AL760" s="54" t="e">
        <f>VLOOKUP(Tableau119[[#This Row],[Key(POD -PFI- Usine)]],'DATA Consignee'!A:F,6,FALSE)</f>
        <v>#N/A</v>
      </c>
      <c r="AM760" s="102" t="s">
        <v>169</v>
      </c>
      <c r="AN760" s="375">
        <f>IF(Tableau119[[#This Row],[Name PFI/CDD]]="","-",VLOOKUP(Tableau119[[#This Row],[Name PFI/CDD]],Plant_AILN!I:J,2,FALSE))</f>
        <v>91018400</v>
      </c>
      <c r="AO760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760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760" s="110" t="e">
        <f>VLOOKUP(Tableau119[[#This Row],[Key(POD -PFI- Usine)]],'DATA Consignee'!A:J,10,FALSE)</f>
        <v>#N/A</v>
      </c>
      <c r="AR760" s="81" t="e">
        <f>VLOOKUP(Tableau119[[#This Row],[Key(POD -PFI- Usine)]],'DATA Consignee'!A:N,14,FALSE)</f>
        <v>#N/A</v>
      </c>
      <c r="AS76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0" s="81">
        <f>Tableau119[[#This Row],[Transit time]]+Tableau119[[#This Row],[Time for security]]+Tableau119[[#This Row],[Time for security2 buffer]]</f>
        <v>0</v>
      </c>
      <c r="AV76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0" s="50" t="e">
        <f>Tableau119[[#This Row],[Leadtime SI2C]]+Tableau119[[#This Row],[First Receipt Days]]-Tableau119[[#This Row],[Day Customer Order]]+1</f>
        <v>#N/A</v>
      </c>
      <c r="AX760" s="119" t="e">
        <f>IF(Tableau119[[#This Row],[Name ILN]]&lt;&gt;"SFK Freight Forwarder",Tableau119[[#This Row],[Cust. Leadtime]],Tableau119[[#This Row],[Leadtime SI2C]])</f>
        <v>#N/A</v>
      </c>
      <c r="AY760" s="51" t="b">
        <f>_xlfn.XLOOKUP(Tableau119[[#This Row],[Key(ID-date)]],'DATA BTO'!S:S,'DATA BTO'!P:P,FALSE)</f>
        <v>0</v>
      </c>
      <c r="AZ760" s="388">
        <v>46142</v>
      </c>
      <c r="BA760" s="81"/>
    </row>
    <row r="761" spans="2:53">
      <c r="B761" s="446" t="str">
        <f>_xlfn.CONCAT(Tableau119[[#This Row],[Name ILN]],"-",Tableau119[[#This Row],[Name Shipper]],"-",Tableau119[[#This Row],[Name Site]])</f>
        <v>ILN Curitiba-ILN Curitiba-VALL MONTAGE</v>
      </c>
      <c r="C761" s="66" t="str">
        <f>_xlfn.CONCAT(Tableau119[[#This Row],[Compte ILN]],"-",Tableau119[[#This Row],[Compte Shipper]],"-",Tableau119[[#This Row],[POL]],"-",Tableau119[[#This Row],[Compte Consignee]])</f>
        <v>95207-95207-FALSO-91017300</v>
      </c>
      <c r="D761" s="66" t="str">
        <f>_xlfn.CONCAT(Tableau119[[#This Row],[Compte ILN]],"-",Tableau119[[#This Row],[Compte Shipper]],"-",Tableau119[[#This Row],[POL]])</f>
        <v>95207-95207-FALSO</v>
      </c>
      <c r="E761" s="130" t="str">
        <f>_xlfn.CONCAT(Tableau119[[#This Row],[POL]],"-",Tableau119[[#This Row],[Carrier]],"-",Tableau119[[#This Row],[POD]])</f>
        <v>FALSO-FALSO-FALSO</v>
      </c>
      <c r="F761" s="66" t="str">
        <f>_xlfn.CONCAT(Tableau119[[#This Row],[ID]],"-","Actif")</f>
        <v>798-Actif</v>
      </c>
      <c r="G761" s="66" t="str">
        <f>_xlfn.CONCAT(Tableau119[[#This Row],[POD]],"-",Tableau119[[#This Row],[Code PFI]],"-",Tableau119[[#This Row],[Compte Consignee]])</f>
        <v>FALSO---91017300</v>
      </c>
      <c r="H7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CuritibaFALSOVALL MONTAGE</v>
      </c>
      <c r="I761" s="434" t="str">
        <f>_xlfn.CONCAT(Tableau119[[#This Row],[ID]],"-",Tableau119[[#This Row],[Expiration Date]])</f>
        <v>798-45777</v>
      </c>
      <c r="J7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Curitiba-ILN Curitiba-798-FALSO-FALSO-FALSO--45777</v>
      </c>
      <c r="K761" s="119" t="str">
        <f ca="1">IF(COUNTIF(J:J,Tableau119[[#This Row],[Plant-ILN-shipper-POL-Carrier-POD-PFI]])=1,"Non","Oui")</f>
        <v>Non</v>
      </c>
      <c r="L761" s="128" t="str">
        <f>VLOOKUP(Tableau119[[#This Row],[Name Site]],Plant_AILN!A:D,4,FALSE)</f>
        <v>SPAIN</v>
      </c>
      <c r="M761" s="411" t="s">
        <v>175</v>
      </c>
      <c r="N761" s="454">
        <f>VLOOKUP(Tableau119[[#This Row],[Name Site]],Plant_AILN!A:C,3,FALSE)</f>
        <v>91017300</v>
      </c>
      <c r="O761" s="55">
        <f>VLOOKUP(Tableau119[[#This Row],[Compte Consignee]],Order!C:D,2,FALSE)</f>
        <v>7</v>
      </c>
      <c r="P761" s="124" t="s">
        <v>163</v>
      </c>
      <c r="Q761" s="365">
        <f>VLOOKUP(Tableau119[[#This Row],[Name ILN]],Plant_AILN!F:G,2,FALSE)</f>
        <v>95207</v>
      </c>
      <c r="R761" s="50">
        <f>VLOOKUP(Tableau119[[#This Row],[Compte ILN]],'DATA ILN'!D:I,6,FALSE)</f>
        <v>9</v>
      </c>
      <c r="S761" s="50" t="e">
        <f>IFERROR(VLOOKUP(Tableau119[[#This Row],[Key(Compte ILN - shipper - POL - plant)]],'DATA ILN'!A:J,10,FALSE),VLOOKUP(Tableau119[[#This Row],[Key(Compte ILN - shipper - POL)]],'DATA ILN'!B:J,9,FALSE))</f>
        <v>#N/A</v>
      </c>
      <c r="T761" s="50" t="e">
        <f>IFERROR(VLOOKUP(Tableau119[[#This Row],[Key(Compte ILN - shipper - POL - plant)]],'DATA ILN'!A:K,11,FALSE),VLOOKUP(Tableau119[[#This Row],[Key(Compte ILN - shipper - POL)]],'DATA ILN'!B:K,10,FALSE))</f>
        <v>#N/A</v>
      </c>
      <c r="U761" s="50" t="e">
        <f>IFERROR(VLOOKUP(Tableau119[[#This Row],[Key(Compte ILN - shipper - POL - plant)]],'DATA ILN'!A:L,12,FALSE),VLOOKUP(Tableau119[[#This Row],[Key(Compte ILN - shipper - POL)]],'DATA ILN'!B:L,11,FALSE))</f>
        <v>#N/A</v>
      </c>
      <c r="V761" s="50" t="e">
        <f>Tableau119[[#This Row],[Day ILN Order]]+Tableau119[[#This Row],[Delivery time to ILN/Shipper]]-1</f>
        <v>#N/A</v>
      </c>
      <c r="W761" s="50" t="e">
        <f>IFERROR(VLOOKUP(Tableau119[[#This Row],[Key(Compte ILN - shipper - POL - plant)]],'DATA ILN'!A:N,14,FALSE),VLOOKUP(Tableau119[[#This Row],[Key(Compte ILN - shipper - POL)]],'DATA ILN'!B:N,13,FALSE))</f>
        <v>#N/A</v>
      </c>
      <c r="X761" s="50" t="e">
        <f>IFERROR(VLOOKUP(Tableau119[[#This Row],[Key(Compte ILN - shipper - POL - plant)]],'DATA ILN'!A:P,16,FALSE),VLOOKUP(Tableau119[[#This Row],[Key(Compte ILN - shipper - POL)]],'DATA ILN'!B:P,15,FALSE))</f>
        <v>#N/A</v>
      </c>
      <c r="Y761" s="284" t="s">
        <v>163</v>
      </c>
      <c r="Z761" s="430">
        <f>IFERROR(VLOOKUP(Tableau119[[#This Row],[Name Shipper]],Plant_AILN!L:M,2,FALSE),0)</f>
        <v>95207</v>
      </c>
      <c r="AA761" s="406">
        <v>798</v>
      </c>
      <c r="AB761" s="396" t="b">
        <f>_xlfn.XLOOKUP(Tableau119[[#This Row],[Key(ID-date)]],'DATA BTO'!S:S,'DATA BTO'!E:E,FALSE)</f>
        <v>0</v>
      </c>
      <c r="AC761" s="3" t="b">
        <f>_xlfn.XLOOKUP(Tableau119[[#This Row],[Key(ID-date)]],'DATA BTO'!S:S,'DATA BTO'!F:F,FALSE)</f>
        <v>0</v>
      </c>
      <c r="AD761" s="50" t="b">
        <f>_xlfn.XLOOKUP(Tableau119[[#This Row],[Key(ID-date)]],'DATA BTO'!S:S,'DATA BTO'!G:G,FALSE)</f>
        <v>0</v>
      </c>
      <c r="AE761" s="50" t="b">
        <f>_xlfn.XLOOKUP(Tableau119[[#This Row],[Key(ID-date)]],'DATA BTO'!S:S,'DATA BTO'!H:H,FALSE)</f>
        <v>0</v>
      </c>
      <c r="AF761" s="447" t="e">
        <f>IF(Tableau119[[#This Row],[First Day to POL]]&lt;=Tableau119[[#This Row],[Day Cut Off]],Tableau119[[#This Row],[Day ETD]],Tableau119[[#This Row],[Day ETD]]+7)</f>
        <v>#N/A</v>
      </c>
      <c r="AG761" s="50" t="b">
        <f>_xlfn.XLOOKUP(Tableau119[[#This Row],[Key(ID-date)]],'DATA BTO'!S:S,'DATA BTO'!I:I,FALSE)</f>
        <v>0</v>
      </c>
      <c r="AH761" s="3" t="b">
        <f>_xlfn.XLOOKUP(Tableau119[[#This Row],[Key(ID-date)]],'DATA BTO'!S:S,'DATA BTO'!J:J,FALSE)</f>
        <v>0</v>
      </c>
      <c r="AI761" s="3" t="b">
        <f>_xlfn.XLOOKUP(Tableau119[[#This Row],[Key(ID-date)]],'DATA BTO'!S:S,'DATA BTO'!K:K,FALSE)</f>
        <v>0</v>
      </c>
      <c r="AJ761" s="50" t="b">
        <f>_xlfn.XLOOKUP(Tableau119[[#This Row],[Key(ID-date)]],'DATA BTO'!S:S,'DATA BTO'!L:L,FALSE)</f>
        <v>0</v>
      </c>
      <c r="AK761" s="53" t="b">
        <f>_xlfn.XLOOKUP(Tableau119[[#This Row],[Key(ID-date)]],'DATA BTO'!S:S,'DATA BTO'!N:N,FALSE)</f>
        <v>0</v>
      </c>
      <c r="AL761" s="54" t="e">
        <f>VLOOKUP(Tableau119[[#This Row],[Key(POD -PFI- Usine)]],'DATA Consignee'!A:F,6,FALSE)</f>
        <v>#N/A</v>
      </c>
      <c r="AM761" s="284"/>
      <c r="AN761" s="376" t="str">
        <f>IF(Tableau119[[#This Row],[Name PFI/CDD]]="","-",VLOOKUP(Tableau119[[#This Row],[Name PFI/CDD]],Plant_AILN!I:J,2,FALSE))</f>
        <v>-</v>
      </c>
      <c r="AO7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1" s="2" t="e">
        <f>VLOOKUP(Tableau119[[#This Row],[Key(POD -PFI- Usine)]],'DATA Consignee'!A:J,10,FALSE)</f>
        <v>#N/A</v>
      </c>
      <c r="AR761" s="50" t="e">
        <f>VLOOKUP(Tableau119[[#This Row],[Key(POD -PFI- Usine)]],'DATA Consignee'!A:N,14,FALSE)</f>
        <v>#N/A</v>
      </c>
      <c r="AS76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1" s="50">
        <f>Tableau119[[#This Row],[Transit time]]+Tableau119[[#This Row],[Time for security]]+Tableau119[[#This Row],[Time for security2 buffer]]</f>
        <v>0</v>
      </c>
      <c r="AV76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1" s="50" t="e">
        <f>Tableau119[[#This Row],[Leadtime SI2C]]+Tableau119[[#This Row],[First Receipt Days]]-Tableau119[[#This Row],[Day Customer Order]]+1</f>
        <v>#N/A</v>
      </c>
      <c r="AX761" s="119" t="e">
        <f>IF(Tableau119[[#This Row],[Name ILN]]&lt;&gt;"SFK Freight Forwarder",Tableau119[[#This Row],[Cust. Leadtime]],Tableau119[[#This Row],[Leadtime SI2C]])</f>
        <v>#N/A</v>
      </c>
      <c r="AY761" s="51" t="b">
        <f>_xlfn.XLOOKUP(Tableau119[[#This Row],[Key(ID-date)]],'DATA BTO'!S:S,'DATA BTO'!P:P,FALSE)</f>
        <v>0</v>
      </c>
      <c r="AZ761" s="338">
        <v>45777</v>
      </c>
      <c r="BA761" s="50"/>
    </row>
    <row r="762" spans="2:53">
      <c r="B762" s="446" t="str">
        <f>_xlfn.CONCAT(Tableau119[[#This Row],[Name ILN]],"-",Tableau119[[#This Row],[Name Shipper]],"-",Tableau119[[#This Row],[Name Site]])</f>
        <v>ILN Curitiba-ILN Curitiba-VALL MONTAGE</v>
      </c>
      <c r="C762" s="66" t="str">
        <f>_xlfn.CONCAT(Tableau119[[#This Row],[Compte ILN]],"-",Tableau119[[#This Row],[Compte Shipper]],"-",Tableau119[[#This Row],[POL]],"-",Tableau119[[#This Row],[Compte Consignee]])</f>
        <v>95207-95207-FALSO-91017300</v>
      </c>
      <c r="D762" s="66" t="str">
        <f>_xlfn.CONCAT(Tableau119[[#This Row],[Compte ILN]],"-",Tableau119[[#This Row],[Compte Shipper]],"-",Tableau119[[#This Row],[POL]])</f>
        <v>95207-95207-FALSO</v>
      </c>
      <c r="E762" s="130" t="str">
        <f>_xlfn.CONCAT(Tableau119[[#This Row],[POL]],"-",Tableau119[[#This Row],[Carrier]],"-",Tableau119[[#This Row],[POD]])</f>
        <v>FALSO-FALSO-FALSO</v>
      </c>
      <c r="F762" s="66" t="str">
        <f>_xlfn.CONCAT(Tableau119[[#This Row],[ID]],"-","Actif")</f>
        <v>798-Actif</v>
      </c>
      <c r="G762" s="66" t="str">
        <f>_xlfn.CONCAT(Tableau119[[#This Row],[POD]],"-",Tableau119[[#This Row],[Code PFI]],"-",Tableau119[[#This Row],[Compte Consignee]])</f>
        <v>FALSO---91017300</v>
      </c>
      <c r="H7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CuritibaFALSOVALL MONTAGE</v>
      </c>
      <c r="I762" s="434" t="str">
        <f>_xlfn.CONCAT(Tableau119[[#This Row],[ID]],"-",Tableau119[[#This Row],[Expiration Date]])</f>
        <v>798-45473</v>
      </c>
      <c r="J7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Curitiba-ILN Curitiba-798-FALSO-FALSO-FALSO--45473</v>
      </c>
      <c r="K762" s="119" t="str">
        <f ca="1">IF(COUNTIF(J:J,Tableau119[[#This Row],[Plant-ILN-shipper-POL-Carrier-POD-PFI]])=1,"Non","Oui")</f>
        <v>Non</v>
      </c>
      <c r="L762" s="128" t="str">
        <f>VLOOKUP(Tableau119[[#This Row],[Name Site]],Plant_AILN!A:D,4,FALSE)</f>
        <v>SPAIN</v>
      </c>
      <c r="M762" s="411" t="s">
        <v>175</v>
      </c>
      <c r="N762" s="454">
        <f>VLOOKUP(Tableau119[[#This Row],[Name Site]],Plant_AILN!A:C,3,FALSE)</f>
        <v>91017300</v>
      </c>
      <c r="O762" s="55">
        <f>VLOOKUP(Tableau119[[#This Row],[Compte Consignee]],Order!C:D,2,FALSE)</f>
        <v>7</v>
      </c>
      <c r="P762" s="124" t="s">
        <v>163</v>
      </c>
      <c r="Q762" s="365">
        <f>VLOOKUP(Tableau119[[#This Row],[Name ILN]],Plant_AILN!F:G,2,FALSE)</f>
        <v>95207</v>
      </c>
      <c r="R762" s="50">
        <f>VLOOKUP(Tableau119[[#This Row],[Compte ILN]],'DATA ILN'!D:I,6,FALSE)</f>
        <v>9</v>
      </c>
      <c r="S762" s="50" t="e">
        <f>IFERROR(VLOOKUP(Tableau119[[#This Row],[Key(Compte ILN - shipper - POL - plant)]],'DATA ILN'!A:J,10,FALSE),VLOOKUP(Tableau119[[#This Row],[Key(Compte ILN - shipper - POL)]],'DATA ILN'!B:J,9,FALSE))</f>
        <v>#N/A</v>
      </c>
      <c r="T762" s="50" t="e">
        <f>IFERROR(VLOOKUP(Tableau119[[#This Row],[Key(Compte ILN - shipper - POL - plant)]],'DATA ILN'!A:K,11,FALSE),VLOOKUP(Tableau119[[#This Row],[Key(Compte ILN - shipper - POL)]],'DATA ILN'!B:K,10,FALSE))</f>
        <v>#N/A</v>
      </c>
      <c r="U762" s="50" t="e">
        <f>IFERROR(VLOOKUP(Tableau119[[#This Row],[Key(Compte ILN - shipper - POL - plant)]],'DATA ILN'!A:L,12,FALSE),VLOOKUP(Tableau119[[#This Row],[Key(Compte ILN - shipper - POL)]],'DATA ILN'!B:L,11,FALSE))</f>
        <v>#N/A</v>
      </c>
      <c r="V762" s="50" t="e">
        <f>Tableau119[[#This Row],[Day ILN Order]]+Tableau119[[#This Row],[Delivery time to ILN/Shipper]]-1</f>
        <v>#N/A</v>
      </c>
      <c r="W762" s="50" t="e">
        <f>IFERROR(VLOOKUP(Tableau119[[#This Row],[Key(Compte ILN - shipper - POL - plant)]],'DATA ILN'!A:N,14,FALSE),VLOOKUP(Tableau119[[#This Row],[Key(Compte ILN - shipper - POL)]],'DATA ILN'!B:N,13,FALSE))</f>
        <v>#N/A</v>
      </c>
      <c r="X762" s="50" t="e">
        <f>IFERROR(VLOOKUP(Tableau119[[#This Row],[Key(Compte ILN - shipper - POL - plant)]],'DATA ILN'!A:P,16,FALSE),VLOOKUP(Tableau119[[#This Row],[Key(Compte ILN - shipper - POL)]],'DATA ILN'!B:P,15,FALSE))</f>
        <v>#N/A</v>
      </c>
      <c r="Y762" s="284" t="s">
        <v>163</v>
      </c>
      <c r="Z762" s="430">
        <f>IFERROR(VLOOKUP(Tableau119[[#This Row],[Name Shipper]],Plant_AILN!L:M,2,FALSE),0)</f>
        <v>95207</v>
      </c>
      <c r="AA762" s="406">
        <v>798</v>
      </c>
      <c r="AB762" s="396" t="b">
        <f>_xlfn.XLOOKUP(Tableau119[[#This Row],[Key(ID-date)]],'DATA BTO'!S:S,'DATA BTO'!E:E,FALSE)</f>
        <v>0</v>
      </c>
      <c r="AC762" s="3" t="b">
        <f>_xlfn.XLOOKUP(Tableau119[[#This Row],[Key(ID-date)]],'DATA BTO'!S:S,'DATA BTO'!F:F,FALSE)</f>
        <v>0</v>
      </c>
      <c r="AD762" s="50" t="b">
        <f>_xlfn.XLOOKUP(Tableau119[[#This Row],[Key(ID-date)]],'DATA BTO'!S:S,'DATA BTO'!G:G,FALSE)</f>
        <v>0</v>
      </c>
      <c r="AE762" s="50" t="b">
        <f>_xlfn.XLOOKUP(Tableau119[[#This Row],[Key(ID-date)]],'DATA BTO'!S:S,'DATA BTO'!H:H,FALSE)</f>
        <v>0</v>
      </c>
      <c r="AF762" s="447" t="e">
        <f>IF(Tableau119[[#This Row],[First Day to POL]]&lt;=Tableau119[[#This Row],[Day Cut Off]],Tableau119[[#This Row],[Day ETD]],Tableau119[[#This Row],[Day ETD]]+7)</f>
        <v>#N/A</v>
      </c>
      <c r="AG762" s="50" t="b">
        <f>_xlfn.XLOOKUP(Tableau119[[#This Row],[Key(ID-date)]],'DATA BTO'!S:S,'DATA BTO'!I:I,FALSE)</f>
        <v>0</v>
      </c>
      <c r="AH762" s="3" t="b">
        <f>_xlfn.XLOOKUP(Tableau119[[#This Row],[Key(ID-date)]],'DATA BTO'!S:S,'DATA BTO'!J:J,FALSE)</f>
        <v>0</v>
      </c>
      <c r="AI762" s="3" t="b">
        <f>_xlfn.XLOOKUP(Tableau119[[#This Row],[Key(ID-date)]],'DATA BTO'!S:S,'DATA BTO'!K:K,FALSE)</f>
        <v>0</v>
      </c>
      <c r="AJ762" s="50" t="b">
        <f>_xlfn.XLOOKUP(Tableau119[[#This Row],[Key(ID-date)]],'DATA BTO'!S:S,'DATA BTO'!L:L,FALSE)</f>
        <v>0</v>
      </c>
      <c r="AK762" s="53" t="b">
        <f>_xlfn.XLOOKUP(Tableau119[[#This Row],[Key(ID-date)]],'DATA BTO'!S:S,'DATA BTO'!N:N,FALSE)</f>
        <v>0</v>
      </c>
      <c r="AL762" s="54" t="e">
        <f>VLOOKUP(Tableau119[[#This Row],[Key(POD -PFI- Usine)]],'DATA Consignee'!A:F,6,FALSE)</f>
        <v>#N/A</v>
      </c>
      <c r="AM762" s="284"/>
      <c r="AN762" s="376" t="str">
        <f>IF(Tableau119[[#This Row],[Name PFI/CDD]]="","-",VLOOKUP(Tableau119[[#This Row],[Name PFI/CDD]],Plant_AILN!I:J,2,FALSE))</f>
        <v>-</v>
      </c>
      <c r="AO7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2" s="2" t="e">
        <f>VLOOKUP(Tableau119[[#This Row],[Key(POD -PFI- Usine)]],'DATA Consignee'!A:J,10,FALSE)</f>
        <v>#N/A</v>
      </c>
      <c r="AR762" s="50" t="e">
        <f>VLOOKUP(Tableau119[[#This Row],[Key(POD -PFI- Usine)]],'DATA Consignee'!A:N,14,FALSE)</f>
        <v>#N/A</v>
      </c>
      <c r="AS76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2" s="50">
        <f>Tableau119[[#This Row],[Transit time]]+Tableau119[[#This Row],[Time for security]]+Tableau119[[#This Row],[Time for security2 buffer]]</f>
        <v>0</v>
      </c>
      <c r="AV76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2" s="50" t="e">
        <f>Tableau119[[#This Row],[Leadtime SI2C]]+Tableau119[[#This Row],[First Receipt Days]]-Tableau119[[#This Row],[Day Customer Order]]+1</f>
        <v>#N/A</v>
      </c>
      <c r="AX762" s="119" t="e">
        <f>IF(Tableau119[[#This Row],[Name ILN]]&lt;&gt;"SFK Freight Forwarder",Tableau119[[#This Row],[Cust. Leadtime]],Tableau119[[#This Row],[Leadtime SI2C]])</f>
        <v>#N/A</v>
      </c>
      <c r="AY762" s="51" t="b">
        <f>_xlfn.XLOOKUP(Tableau119[[#This Row],[Key(ID-date)]],'DATA BTO'!S:S,'DATA BTO'!P:P,FALSE)</f>
        <v>0</v>
      </c>
      <c r="AZ762" s="338">
        <v>45473</v>
      </c>
      <c r="BA762" s="50"/>
    </row>
    <row r="763" spans="2:53">
      <c r="B763" s="66" t="str">
        <f>_xlfn.CONCAT(Tableau119[[#This Row],[Name ILN]],"-",Tableau119[[#This Row],[Name Shipper]],"-",Tableau119[[#This Row],[Name Site]])</f>
        <v>ILN VLL-SEVILLE-RKM</v>
      </c>
      <c r="C763" s="66" t="str">
        <f>_xlfn.CONCAT(Tableau119[[#This Row],[Compte ILN]],"-",Tableau119[[#This Row],[Compte Shipper]],"-",Tableau119[[#This Row],[POL]],"-",Tableau119[[#This Row],[Compte Consignee]])</f>
        <v>91018400-91017500-ESALG-92002200</v>
      </c>
      <c r="D763" s="66" t="str">
        <f>_xlfn.CONCAT(Tableau119[[#This Row],[Compte ILN]],"-",Tableau119[[#This Row],[Compte Shipper]],"-",Tableau119[[#This Row],[POL]])</f>
        <v>91018400-91017500-ESALG</v>
      </c>
      <c r="E763" s="130" t="str">
        <f>_xlfn.CONCAT(Tableau119[[#This Row],[POL]],"-",Tableau119[[#This Row],[Carrier]],"-",Tableau119[[#This Row],[POD]])</f>
        <v>ESALG-Hapag Lloyd-KRPUS</v>
      </c>
      <c r="F763" s="66" t="str">
        <f>_xlfn.CONCAT(Tableau119[[#This Row],[ID]],"-","Actif")</f>
        <v>801-Actif</v>
      </c>
      <c r="G763" s="66" t="str">
        <f>_xlfn.CONCAT(Tableau119[[#This Row],[POD]],"-",Tableau119[[#This Row],[Code PFI]],"-",Tableau119[[#This Row],[Compte Consignee]])</f>
        <v>KRPUS---92002200</v>
      </c>
      <c r="H7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91017500ESALGRKM</v>
      </c>
      <c r="I763" s="434" t="str">
        <f>_xlfn.CONCAT(Tableau119[[#This Row],[ID]],"-",Tableau119[[#This Row],[Expiration Date]])</f>
        <v>801-46142</v>
      </c>
      <c r="J7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VLL-SEVILLE-801-ESALG-Hapag Lloyd-KRPUS--46142</v>
      </c>
      <c r="K763" s="119" t="str">
        <f ca="1">IF(COUNTIF(J:J,Tableau119[[#This Row],[Plant-ILN-shipper-POL-Carrier-POD-PFI]])=1,"Non","Oui")</f>
        <v>Non</v>
      </c>
      <c r="L763" s="436" t="str">
        <f>VLOOKUP(Tableau119[[#This Row],[Name Site]],Plant_AILN!A:D,4,FALSE)</f>
        <v>KOREA</v>
      </c>
      <c r="M763" s="485" t="s">
        <v>145</v>
      </c>
      <c r="N763" s="455">
        <f>VLOOKUP(Tableau119[[#This Row],[Name Site]],Plant_AILN!A:C,3,FALSE)</f>
        <v>92002200</v>
      </c>
      <c r="O763" s="104">
        <f>IF(Tableau119[[#This Row],[Name PFI/CDD]]="PFI VLL",2,VLOOKUP(Tableau119[[#This Row],[Compte Consignee]],Order!C:D,2,FALSE))</f>
        <v>2</v>
      </c>
      <c r="P763" s="126" t="s">
        <v>151</v>
      </c>
      <c r="Q763" s="366">
        <f>VLOOKUP(Tableau119[[#This Row],[Name ILN]],Plant_AILN!F:G,2,FALSE)</f>
        <v>91018400</v>
      </c>
      <c r="R763" s="81">
        <f>VLOOKUP(Tableau119[[#This Row],[Compte ILN]],'DATA ILN'!D:I,6,FALSE)</f>
        <v>9</v>
      </c>
      <c r="S763" s="81">
        <f>IFERROR(VLOOKUP(Tableau119[[#This Row],[Key(Compte ILN - shipper - POL - plant)]],'DATA ILN'!A:J,10,FALSE),VLOOKUP(Tableau119[[#This Row],[Key(Compte ILN - shipper - POL)]],'DATA ILN'!B:J,9,FALSE))</f>
        <v>14</v>
      </c>
      <c r="T763" s="81">
        <f>IFERROR(VLOOKUP(Tableau119[[#This Row],[Key(Compte ILN - shipper - POL - plant)]],'DATA ILN'!A:K,11,FALSE),VLOOKUP(Tableau119[[#This Row],[Key(Compte ILN - shipper - POL)]],'DATA ILN'!B:K,10,FALSE))</f>
        <v>5</v>
      </c>
      <c r="U763" s="81">
        <f>IFERROR(VLOOKUP(Tableau119[[#This Row],[Key(Compte ILN - shipper - POL - plant)]],'DATA ILN'!A:L,12,FALSE),VLOOKUP(Tableau119[[#This Row],[Key(Compte ILN - shipper - POL)]],'DATA ILN'!B:L,11,FALSE))</f>
        <v>7</v>
      </c>
      <c r="V763" s="81">
        <f>Tableau119[[#This Row],[Day ILN Order]]+Tableau119[[#This Row],[Delivery time to ILN/Shipper]]-1</f>
        <v>22</v>
      </c>
      <c r="W763" s="81">
        <f>IFERROR(VLOOKUP(Tableau119[[#This Row],[Key(Compte ILN - shipper - POL - plant)]],'DATA ILN'!A:N,14,FALSE),VLOOKUP(Tableau119[[#This Row],[Key(Compte ILN - shipper - POL)]],'DATA ILN'!B:N,13,FALSE))</f>
        <v>2</v>
      </c>
      <c r="X763" s="81">
        <f>IFERROR(VLOOKUP(Tableau119[[#This Row],[Key(Compte ILN - shipper - POL - plant)]],'DATA ILN'!A:P,16,FALSE),VLOOKUP(Tableau119[[#This Row],[Key(Compte ILN - shipper - POL)]],'DATA ILN'!B:P,15,FALSE))</f>
        <v>3</v>
      </c>
      <c r="Y763" s="102" t="s">
        <v>156</v>
      </c>
      <c r="Z763" s="417">
        <f>IFERROR(VLOOKUP(Tableau119[[#This Row],[Name Shipper]],Plant_AILN!L:M,2,FALSE),0)</f>
        <v>91017500</v>
      </c>
      <c r="AA763" s="416">
        <v>801</v>
      </c>
      <c r="AB763" s="396" t="str">
        <f>_xlfn.XLOOKUP(Tableau119[[#This Row],[Key(ID-date)]],'DATA BTO'!S:S,'DATA BTO'!E:E,FALSE)</f>
        <v>ESALG</v>
      </c>
      <c r="AC763" s="3" t="str">
        <f>_xlfn.XLOOKUP(Tableau119[[#This Row],[Key(ID-date)]],'DATA BTO'!S:S,'DATA BTO'!F:F,FALSE)</f>
        <v>Hapag Lloyd</v>
      </c>
      <c r="AD763" s="50">
        <f>_xlfn.XLOOKUP(Tableau119[[#This Row],[Key(ID-date)]],'DATA BTO'!S:S,'DATA BTO'!G:G,FALSE)</f>
        <v>4</v>
      </c>
      <c r="AE763" s="50">
        <f>_xlfn.XLOOKUP(Tableau119[[#This Row],[Key(ID-date)]],'DATA BTO'!S:S,'DATA BTO'!H:H,FALSE)</f>
        <v>6</v>
      </c>
      <c r="AF763" s="447">
        <f>IF(Tableau119[[#This Row],[First Day to POL]]&lt;=Tableau119[[#This Row],[Day Cut Off]],Tableau119[[#This Row],[Day ETD]],Tableau119[[#This Row],[Day ETD]]+7)</f>
        <v>6</v>
      </c>
      <c r="AG763" s="50">
        <f>_xlfn.XLOOKUP(Tableau119[[#This Row],[Key(ID-date)]],'DATA BTO'!S:S,'DATA BTO'!I:I,FALSE)</f>
        <v>41</v>
      </c>
      <c r="AH763" s="3" t="str">
        <f>_xlfn.XLOOKUP(Tableau119[[#This Row],[Key(ID-date)]],'DATA BTO'!S:S,'DATA BTO'!J:J,FALSE)</f>
        <v>KRPUS</v>
      </c>
      <c r="AI763" s="3">
        <f>_xlfn.XLOOKUP(Tableau119[[#This Row],[Key(ID-date)]],'DATA BTO'!S:S,'DATA BTO'!K:K,FALSE)</f>
        <v>3</v>
      </c>
      <c r="AJ763" s="50">
        <f>_xlfn.XLOOKUP(Tableau119[[#This Row],[Key(ID-date)]],'DATA BTO'!S:S,'DATA BTO'!L:L,FALSE)</f>
        <v>7</v>
      </c>
      <c r="AK763" s="53" t="str">
        <f>_xlfn.XLOOKUP(Tableau119[[#This Row],[Key(ID-date)]],'DATA BTO'!S:S,'DATA BTO'!N:N,FALSE)</f>
        <v>Max</v>
      </c>
      <c r="AL763" s="54">
        <f>VLOOKUP(Tableau119[[#This Row],[Key(POD -PFI- Usine)]],'DATA Consignee'!A:F,6,FALSE)</f>
        <v>2</v>
      </c>
      <c r="AM763" s="102"/>
      <c r="AN763" s="375" t="str">
        <f>IF(Tableau119[[#This Row],[Name PFI/CDD]]="","-",VLOOKUP(Tableau119[[#This Row],[Name PFI/CDD]],Plant_AILN!I:J,2,FALSE))</f>
        <v>-</v>
      </c>
      <c r="AO76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3" s="110">
        <f>VLOOKUP(Tableau119[[#This Row],[Key(POD -PFI- Usine)]],'DATA Consignee'!A:J,10,FALSE)</f>
        <v>0</v>
      </c>
      <c r="AR763" s="81">
        <f>VLOOKUP(Tableau119[[#This Row],[Key(POD -PFI- Usine)]],'DATA Consignee'!A:N,14,FALSE)</f>
        <v>1</v>
      </c>
      <c r="AS76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76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763" s="81">
        <f>Tableau119[[#This Row],[Transit time]]+Tableau119[[#This Row],[Time for security]]+Tableau119[[#This Row],[Time for security2 buffer]]</f>
        <v>51</v>
      </c>
      <c r="AV76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763" s="50">
        <f>Tableau119[[#This Row],[Leadtime SI2C]]+Tableau119[[#This Row],[First Receipt Days]]-Tableau119[[#This Row],[Day Customer Order]]+1</f>
        <v>90</v>
      </c>
      <c r="AX763" s="119">
        <f>IF(Tableau119[[#This Row],[Name ILN]]&lt;&gt;"SFK Freight Forwarder",Tableau119[[#This Row],[Cust. Leadtime]],Tableau119[[#This Row],[Leadtime SI2C]])</f>
        <v>90</v>
      </c>
      <c r="AY763" s="51" t="str">
        <f>_xlfn.XLOOKUP(Tableau119[[#This Row],[Key(ID-date)]],'DATA BTO'!S:S,'DATA BTO'!P:P,FALSE)</f>
        <v>Horse &gt; Renault BPR</v>
      </c>
      <c r="AZ763" s="388">
        <v>46142</v>
      </c>
      <c r="BA763" s="81"/>
    </row>
    <row r="764" spans="2:53">
      <c r="B764" s="446" t="str">
        <f>_xlfn.CONCAT(Tableau119[[#This Row],[Name ILN]],"-",Tableau119[[#This Row],[Name Shipper]],"-",Tableau119[[#This Row],[Name Site]])</f>
        <v>ILN VLL-SEVILLE-RKM</v>
      </c>
      <c r="C764" s="66" t="str">
        <f>_xlfn.CONCAT(Tableau119[[#This Row],[Compte ILN]],"-",Tableau119[[#This Row],[Compte Shipper]],"-",Tableau119[[#This Row],[POL]],"-",Tableau119[[#This Row],[Compte Consignee]])</f>
        <v>91018400-91017500-ESALG-92002200</v>
      </c>
      <c r="D764" s="66" t="str">
        <f>_xlfn.CONCAT(Tableau119[[#This Row],[Compte ILN]],"-",Tableau119[[#This Row],[Compte Shipper]],"-",Tableau119[[#This Row],[POL]])</f>
        <v>91018400-91017500-ESALG</v>
      </c>
      <c r="E764" s="130" t="str">
        <f>_xlfn.CONCAT(Tableau119[[#This Row],[POL]],"-",Tableau119[[#This Row],[Carrier]],"-",Tableau119[[#This Row],[POD]])</f>
        <v>ESALG-Hapag Lloyd-KRPUS</v>
      </c>
      <c r="F764" s="66" t="str">
        <f>_xlfn.CONCAT(Tableau119[[#This Row],[ID]],"-","Actif")</f>
        <v>801-Actif</v>
      </c>
      <c r="G764" s="66" t="str">
        <f>_xlfn.CONCAT(Tableau119[[#This Row],[POD]],"-",Tableau119[[#This Row],[Code PFI]],"-",Tableau119[[#This Row],[Compte Consignee]])</f>
        <v>KRPUS---92002200</v>
      </c>
      <c r="H7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91017500ESALGRKM</v>
      </c>
      <c r="I764" s="434" t="str">
        <f>_xlfn.CONCAT(Tableau119[[#This Row],[ID]],"-",Tableau119[[#This Row],[Expiration Date]])</f>
        <v>801-46005</v>
      </c>
      <c r="J7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VLL-SEVILLE-801-ESALG-Hapag Lloyd-KRPUS--46005</v>
      </c>
      <c r="K764" s="119" t="str">
        <f ca="1">IF(COUNTIF(J:J,Tableau119[[#This Row],[Plant-ILN-shipper-POL-Carrier-POD-PFI]])=1,"Non","Oui")</f>
        <v>Non</v>
      </c>
      <c r="L764" s="128" t="str">
        <f>VLOOKUP(Tableau119[[#This Row],[Name Site]],Plant_AILN!A:D,4,FALSE)</f>
        <v>KOREA</v>
      </c>
      <c r="M764" s="411" t="s">
        <v>145</v>
      </c>
      <c r="N764" s="454">
        <f>VLOOKUP(Tableau119[[#This Row],[Name Site]],Plant_AILN!A:C,3,FALSE)</f>
        <v>92002200</v>
      </c>
      <c r="O764" s="55">
        <f>VLOOKUP(Tableau119[[#This Row],[Compte Consignee]],Order!C:D,2,FALSE)</f>
        <v>2</v>
      </c>
      <c r="P764" s="124" t="s">
        <v>151</v>
      </c>
      <c r="Q764" s="365">
        <f>VLOOKUP(Tableau119[[#This Row],[Name ILN]],Plant_AILN!F:G,2,FALSE)</f>
        <v>91018400</v>
      </c>
      <c r="R764" s="50">
        <f>VLOOKUP(Tableau119[[#This Row],[Compte ILN]],'DATA ILN'!D:I,6,FALSE)</f>
        <v>9</v>
      </c>
      <c r="S764" s="50">
        <f>IFERROR(VLOOKUP(Tableau119[[#This Row],[Key(Compte ILN - shipper - POL - plant)]],'DATA ILN'!A:J,10,FALSE),VLOOKUP(Tableau119[[#This Row],[Key(Compte ILN - shipper - POL)]],'DATA ILN'!B:J,9,FALSE))</f>
        <v>14</v>
      </c>
      <c r="T764" s="50">
        <f>IFERROR(VLOOKUP(Tableau119[[#This Row],[Key(Compte ILN - shipper - POL - plant)]],'DATA ILN'!A:K,11,FALSE),VLOOKUP(Tableau119[[#This Row],[Key(Compte ILN - shipper - POL)]],'DATA ILN'!B:K,10,FALSE))</f>
        <v>5</v>
      </c>
      <c r="U764" s="50">
        <f>IFERROR(VLOOKUP(Tableau119[[#This Row],[Key(Compte ILN - shipper - POL - plant)]],'DATA ILN'!A:L,12,FALSE),VLOOKUP(Tableau119[[#This Row],[Key(Compte ILN - shipper - POL)]],'DATA ILN'!B:L,11,FALSE))</f>
        <v>7</v>
      </c>
      <c r="V764" s="50">
        <f>Tableau119[[#This Row],[Day ILN Order]]+Tableau119[[#This Row],[Delivery time to ILN/Shipper]]-1</f>
        <v>22</v>
      </c>
      <c r="W764" s="50">
        <f>IFERROR(VLOOKUP(Tableau119[[#This Row],[Key(Compte ILN - shipper - POL - plant)]],'DATA ILN'!A:N,14,FALSE),VLOOKUP(Tableau119[[#This Row],[Key(Compte ILN - shipper - POL)]],'DATA ILN'!B:N,13,FALSE))</f>
        <v>2</v>
      </c>
      <c r="X764" s="50">
        <f>IFERROR(VLOOKUP(Tableau119[[#This Row],[Key(Compte ILN - shipper - POL - plant)]],'DATA ILN'!A:P,16,FALSE),VLOOKUP(Tableau119[[#This Row],[Key(Compte ILN - shipper - POL)]],'DATA ILN'!B:P,15,FALSE))</f>
        <v>3</v>
      </c>
      <c r="Y764" s="284" t="s">
        <v>156</v>
      </c>
      <c r="Z764" s="430">
        <f>IFERROR(VLOOKUP(Tableau119[[#This Row],[Name Shipper]],Plant_AILN!L:M,2,FALSE),0)</f>
        <v>91017500</v>
      </c>
      <c r="AA764" s="406">
        <v>801</v>
      </c>
      <c r="AB764" s="396" t="str">
        <f>_xlfn.XLOOKUP(Tableau119[[#This Row],[Key(ID-date)]],'DATA BTO'!S:S,'DATA BTO'!E:E,FALSE)</f>
        <v>ESALG</v>
      </c>
      <c r="AC764" s="3" t="str">
        <f>_xlfn.XLOOKUP(Tableau119[[#This Row],[Key(ID-date)]],'DATA BTO'!S:S,'DATA BTO'!F:F,FALSE)</f>
        <v>Hapag Lloyd</v>
      </c>
      <c r="AD764" s="50">
        <f>_xlfn.XLOOKUP(Tableau119[[#This Row],[Key(ID-date)]],'DATA BTO'!S:S,'DATA BTO'!G:G,FALSE)</f>
        <v>4</v>
      </c>
      <c r="AE764" s="50">
        <f>_xlfn.XLOOKUP(Tableau119[[#This Row],[Key(ID-date)]],'DATA BTO'!S:S,'DATA BTO'!H:H,FALSE)</f>
        <v>6</v>
      </c>
      <c r="AF764" s="447">
        <f>IF(Tableau119[[#This Row],[First Day to POL]]&lt;=Tableau119[[#This Row],[Day Cut Off]],Tableau119[[#This Row],[Day ETD]],Tableau119[[#This Row],[Day ETD]]+7)</f>
        <v>6</v>
      </c>
      <c r="AG764" s="50">
        <f>_xlfn.XLOOKUP(Tableau119[[#This Row],[Key(ID-date)]],'DATA BTO'!S:S,'DATA BTO'!I:I,FALSE)</f>
        <v>41</v>
      </c>
      <c r="AH764" s="3" t="str">
        <f>_xlfn.XLOOKUP(Tableau119[[#This Row],[Key(ID-date)]],'DATA BTO'!S:S,'DATA BTO'!J:J,FALSE)</f>
        <v>KRPUS</v>
      </c>
      <c r="AI764" s="3">
        <f>_xlfn.XLOOKUP(Tableau119[[#This Row],[Key(ID-date)]],'DATA BTO'!S:S,'DATA BTO'!K:K,FALSE)</f>
        <v>3</v>
      </c>
      <c r="AJ764" s="50">
        <f>_xlfn.XLOOKUP(Tableau119[[#This Row],[Key(ID-date)]],'DATA BTO'!S:S,'DATA BTO'!L:L,FALSE)</f>
        <v>14</v>
      </c>
      <c r="AK764" s="53" t="str">
        <f>_xlfn.XLOOKUP(Tableau119[[#This Row],[Key(ID-date)]],'DATA BTO'!S:S,'DATA BTO'!N:N,FALSE)</f>
        <v>Max</v>
      </c>
      <c r="AL764" s="54">
        <f>VLOOKUP(Tableau119[[#This Row],[Key(POD -PFI- Usine)]],'DATA Consignee'!A:F,6,FALSE)</f>
        <v>2</v>
      </c>
      <c r="AM764" s="284"/>
      <c r="AN764" s="376" t="str">
        <f>IF(Tableau119[[#This Row],[Name PFI/CDD]]="","-",VLOOKUP(Tableau119[[#This Row],[Name PFI/CDD]],Plant_AILN!I:J,2,FALSE))</f>
        <v>-</v>
      </c>
      <c r="AO76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4" s="2">
        <f>VLOOKUP(Tableau119[[#This Row],[Key(POD -PFI- Usine)]],'DATA Consignee'!A:J,10,FALSE)</f>
        <v>0</v>
      </c>
      <c r="AR764" s="50">
        <f>VLOOKUP(Tableau119[[#This Row],[Key(POD -PFI- Usine)]],'DATA Consignee'!A:N,14,FALSE)</f>
        <v>1</v>
      </c>
      <c r="AS76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76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764" s="50">
        <f>Tableau119[[#This Row],[Transit time]]+Tableau119[[#This Row],[Time for security]]+Tableau119[[#This Row],[Time for security2 buffer]]</f>
        <v>58</v>
      </c>
      <c r="AV76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64" s="50">
        <f>Tableau119[[#This Row],[Leadtime SI2C]]+Tableau119[[#This Row],[First Receipt Days]]-Tableau119[[#This Row],[Day Customer Order]]+1</f>
        <v>97</v>
      </c>
      <c r="AX764" s="119">
        <f>IF(Tableau119[[#This Row],[Name ILN]]&lt;&gt;"SFK Freight Forwarder",Tableau119[[#This Row],[Cust. Leadtime]],Tableau119[[#This Row],[Leadtime SI2C]])</f>
        <v>97</v>
      </c>
      <c r="AY764" s="51" t="str">
        <f>_xlfn.XLOOKUP(Tableau119[[#This Row],[Key(ID-date)]],'DATA BTO'!S:S,'DATA BTO'!P:P,FALSE)</f>
        <v>Horse &gt; Renault BPR</v>
      </c>
      <c r="AZ764" s="338">
        <v>46005</v>
      </c>
      <c r="BA764" s="50"/>
    </row>
    <row r="765" spans="2:53">
      <c r="B765" s="446" t="str">
        <f>_xlfn.CONCAT(Tableau119[[#This Row],[Name ILN]],"-",Tableau119[[#This Row],[Name Shipper]],"-",Tableau119[[#This Row],[Name Site]])</f>
        <v>ILN VLL-SEVILLE-RKM</v>
      </c>
      <c r="C765" s="66" t="str">
        <f>_xlfn.CONCAT(Tableau119[[#This Row],[Compte ILN]],"-",Tableau119[[#This Row],[Compte Shipper]],"-",Tableau119[[#This Row],[POL]],"-",Tableau119[[#This Row],[Compte Consignee]])</f>
        <v>91018400-91017500-ESALG-92002200</v>
      </c>
      <c r="D765" s="66" t="str">
        <f>_xlfn.CONCAT(Tableau119[[#This Row],[Compte ILN]],"-",Tableau119[[#This Row],[Compte Shipper]],"-",Tableau119[[#This Row],[POL]])</f>
        <v>91018400-91017500-ESALG</v>
      </c>
      <c r="E765" s="130" t="str">
        <f>_xlfn.CONCAT(Tableau119[[#This Row],[POL]],"-",Tableau119[[#This Row],[Carrier]],"-",Tableau119[[#This Row],[POD]])</f>
        <v>ESALG-CMA-CGM-KRPUS</v>
      </c>
      <c r="F765" s="66" t="str">
        <f>_xlfn.CONCAT(Tableau119[[#This Row],[ID]],"-","Actif")</f>
        <v>801-Actif</v>
      </c>
      <c r="G765" s="66" t="str">
        <f>_xlfn.CONCAT(Tableau119[[#This Row],[POD]],"-",Tableau119[[#This Row],[Code PFI]],"-",Tableau119[[#This Row],[Compte Consignee]])</f>
        <v>KRPUS---92002200</v>
      </c>
      <c r="H7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91017500ESALGRKM</v>
      </c>
      <c r="I765" s="434" t="str">
        <f>_xlfn.CONCAT(Tableau119[[#This Row],[ID]],"-",Tableau119[[#This Row],[Expiration Date]])</f>
        <v>801-45777</v>
      </c>
      <c r="J7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VLL-SEVILLE-801-ESALG-CMA-CGM-KRPUS--45777</v>
      </c>
      <c r="K765" s="119" t="str">
        <f ca="1">IF(COUNTIF(J:J,Tableau119[[#This Row],[Plant-ILN-shipper-POL-Carrier-POD-PFI]])=1,"Non","Oui")</f>
        <v>Non</v>
      </c>
      <c r="L765" s="128" t="str">
        <f>VLOOKUP(Tableau119[[#This Row],[Name Site]],Plant_AILN!A:D,4,FALSE)</f>
        <v>KOREA</v>
      </c>
      <c r="M765" s="411" t="s">
        <v>145</v>
      </c>
      <c r="N765" s="454">
        <f>VLOOKUP(Tableau119[[#This Row],[Name Site]],Plant_AILN!A:C,3,FALSE)</f>
        <v>92002200</v>
      </c>
      <c r="O765" s="55">
        <f>VLOOKUP(Tableau119[[#This Row],[Compte Consignee]],Order!C:D,2,FALSE)</f>
        <v>2</v>
      </c>
      <c r="P765" s="124" t="s">
        <v>151</v>
      </c>
      <c r="Q765" s="365">
        <f>VLOOKUP(Tableau119[[#This Row],[Name ILN]],Plant_AILN!F:G,2,FALSE)</f>
        <v>91018400</v>
      </c>
      <c r="R765" s="50">
        <f>VLOOKUP(Tableau119[[#This Row],[Compte ILN]],'DATA ILN'!D:I,6,FALSE)</f>
        <v>9</v>
      </c>
      <c r="S765" s="50">
        <f>IFERROR(VLOOKUP(Tableau119[[#This Row],[Key(Compte ILN - shipper - POL - plant)]],'DATA ILN'!A:J,10,FALSE),VLOOKUP(Tableau119[[#This Row],[Key(Compte ILN - shipper - POL)]],'DATA ILN'!B:J,9,FALSE))</f>
        <v>14</v>
      </c>
      <c r="T765" s="50">
        <f>IFERROR(VLOOKUP(Tableau119[[#This Row],[Key(Compte ILN - shipper - POL - plant)]],'DATA ILN'!A:K,11,FALSE),VLOOKUP(Tableau119[[#This Row],[Key(Compte ILN - shipper - POL)]],'DATA ILN'!B:K,10,FALSE))</f>
        <v>5</v>
      </c>
      <c r="U765" s="50">
        <f>IFERROR(VLOOKUP(Tableau119[[#This Row],[Key(Compte ILN - shipper - POL - plant)]],'DATA ILN'!A:L,12,FALSE),VLOOKUP(Tableau119[[#This Row],[Key(Compte ILN - shipper - POL)]],'DATA ILN'!B:L,11,FALSE))</f>
        <v>7</v>
      </c>
      <c r="V765" s="50">
        <f>Tableau119[[#This Row],[Day ILN Order]]+Tableau119[[#This Row],[Delivery time to ILN/Shipper]]-1</f>
        <v>22</v>
      </c>
      <c r="W765" s="50">
        <f>IFERROR(VLOOKUP(Tableau119[[#This Row],[Key(Compte ILN - shipper - POL - plant)]],'DATA ILN'!A:N,14,FALSE),VLOOKUP(Tableau119[[#This Row],[Key(Compte ILN - shipper - POL)]],'DATA ILN'!B:N,13,FALSE))</f>
        <v>2</v>
      </c>
      <c r="X765" s="50">
        <f>IFERROR(VLOOKUP(Tableau119[[#This Row],[Key(Compte ILN - shipper - POL - plant)]],'DATA ILN'!A:P,16,FALSE),VLOOKUP(Tableau119[[#This Row],[Key(Compte ILN - shipper - POL)]],'DATA ILN'!B:P,15,FALSE))</f>
        <v>3</v>
      </c>
      <c r="Y765" s="284" t="s">
        <v>156</v>
      </c>
      <c r="Z765" s="430">
        <f>IFERROR(VLOOKUP(Tableau119[[#This Row],[Name Shipper]],Plant_AILN!L:M,2,FALSE),0)</f>
        <v>91017500</v>
      </c>
      <c r="AA765" s="406">
        <v>801</v>
      </c>
      <c r="AB765" s="396" t="str">
        <f>_xlfn.XLOOKUP(Tableau119[[#This Row],[Key(ID-date)]],'DATA BTO'!S:S,'DATA BTO'!E:E,FALSE)</f>
        <v>ESALG</v>
      </c>
      <c r="AC765" s="3" t="str">
        <f>_xlfn.XLOOKUP(Tableau119[[#This Row],[Key(ID-date)]],'DATA BTO'!S:S,'DATA BTO'!F:F,FALSE)</f>
        <v>CMA-CGM</v>
      </c>
      <c r="AD765" s="50">
        <f>_xlfn.XLOOKUP(Tableau119[[#This Row],[Key(ID-date)]],'DATA BTO'!S:S,'DATA BTO'!G:G,FALSE)</f>
        <v>2</v>
      </c>
      <c r="AE765" s="50">
        <f>_xlfn.XLOOKUP(Tableau119[[#This Row],[Key(ID-date)]],'DATA BTO'!S:S,'DATA BTO'!H:H,FALSE)</f>
        <v>4</v>
      </c>
      <c r="AF765" s="447">
        <f>IF(Tableau119[[#This Row],[First Day to POL]]&lt;=Tableau119[[#This Row],[Day Cut Off]],Tableau119[[#This Row],[Day ETD]],Tableau119[[#This Row],[Day ETD]]+7)</f>
        <v>11</v>
      </c>
      <c r="AG765" s="50">
        <f>_xlfn.XLOOKUP(Tableau119[[#This Row],[Key(ID-date)]],'DATA BTO'!S:S,'DATA BTO'!I:I,FALSE)</f>
        <v>50</v>
      </c>
      <c r="AH765" s="3" t="str">
        <f>_xlfn.XLOOKUP(Tableau119[[#This Row],[Key(ID-date)]],'DATA BTO'!S:S,'DATA BTO'!J:J,FALSE)</f>
        <v>KRPUS</v>
      </c>
      <c r="AI765" s="3">
        <f>_xlfn.XLOOKUP(Tableau119[[#This Row],[Key(ID-date)]],'DATA BTO'!S:S,'DATA BTO'!K:K,FALSE)</f>
        <v>3</v>
      </c>
      <c r="AJ765" s="50">
        <f>_xlfn.XLOOKUP(Tableau119[[#This Row],[Key(ID-date)]],'DATA BTO'!S:S,'DATA BTO'!L:L,FALSE)</f>
        <v>0</v>
      </c>
      <c r="AK765" s="53" t="str">
        <f>_xlfn.XLOOKUP(Tableau119[[#This Row],[Key(ID-date)]],'DATA BTO'!S:S,'DATA BTO'!N:N,FALSE)</f>
        <v>Max</v>
      </c>
      <c r="AL765" s="54">
        <f>VLOOKUP(Tableau119[[#This Row],[Key(POD -PFI- Usine)]],'DATA Consignee'!A:F,6,FALSE)</f>
        <v>2</v>
      </c>
      <c r="AM765" s="284"/>
      <c r="AN765" s="376" t="str">
        <f>IF(Tableau119[[#This Row],[Name PFI/CDD]]="","-",VLOOKUP(Tableau119[[#This Row],[Name PFI/CDD]],Plant_AILN!I:J,2,FALSE))</f>
        <v>-</v>
      </c>
      <c r="AO7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5" s="2">
        <f>VLOOKUP(Tableau119[[#This Row],[Key(POD -PFI- Usine)]],'DATA Consignee'!A:J,10,FALSE)</f>
        <v>0</v>
      </c>
      <c r="AR765" s="50">
        <f>VLOOKUP(Tableau119[[#This Row],[Key(POD -PFI- Usine)]],'DATA Consignee'!A:N,14,FALSE)</f>
        <v>1</v>
      </c>
      <c r="AS76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76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765" s="50">
        <f>Tableau119[[#This Row],[Transit time]]+Tableau119[[#This Row],[Time for security]]+Tableau119[[#This Row],[Time for security2 buffer]]</f>
        <v>53</v>
      </c>
      <c r="AV76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65" s="50">
        <f>Tableau119[[#This Row],[Leadtime SI2C]]+Tableau119[[#This Row],[First Receipt Days]]-Tableau119[[#This Row],[Day Customer Order]]+1</f>
        <v>97</v>
      </c>
      <c r="AX765" s="119">
        <f>IF(Tableau119[[#This Row],[Name ILN]]&lt;&gt;"SFK Freight Forwarder",Tableau119[[#This Row],[Cust. Leadtime]],Tableau119[[#This Row],[Leadtime SI2C]])</f>
        <v>97</v>
      </c>
      <c r="AY765" s="51" t="str">
        <f>_xlfn.XLOOKUP(Tableau119[[#This Row],[Key(ID-date)]],'DATA BTO'!S:S,'DATA BTO'!P:P,FALSE)</f>
        <v>Horse &gt; Renault BPR</v>
      </c>
      <c r="AZ765" s="338">
        <v>45777</v>
      </c>
      <c r="BA765" s="50"/>
    </row>
    <row r="766" spans="2:53">
      <c r="B766" s="446" t="str">
        <f>_xlfn.CONCAT(Tableau119[[#This Row],[Name ILN]],"-",Tableau119[[#This Row],[Name Shipper]],"-",Tableau119[[#This Row],[Name Site]])</f>
        <v>ILN VLL-SEVILLE-RKM</v>
      </c>
      <c r="C766" s="66" t="str">
        <f>_xlfn.CONCAT(Tableau119[[#This Row],[Compte ILN]],"-",Tableau119[[#This Row],[Compte Shipper]],"-",Tableau119[[#This Row],[POL]],"-",Tableau119[[#This Row],[Compte Consignee]])</f>
        <v>91018400-91017500-ESALG-92002200</v>
      </c>
      <c r="D766" s="66" t="str">
        <f>_xlfn.CONCAT(Tableau119[[#This Row],[Compte ILN]],"-",Tableau119[[#This Row],[Compte Shipper]],"-",Tableau119[[#This Row],[POL]])</f>
        <v>91018400-91017500-ESALG</v>
      </c>
      <c r="E766" s="130" t="str">
        <f>_xlfn.CONCAT(Tableau119[[#This Row],[POL]],"-",Tableau119[[#This Row],[Carrier]],"-",Tableau119[[#This Row],[POD]])</f>
        <v>ESALG-CMA-CGM-KRPUS</v>
      </c>
      <c r="F766" s="66" t="str">
        <f>_xlfn.CONCAT(Tableau119[[#This Row],[ID]],"-","Actif")</f>
        <v>801-Actif</v>
      </c>
      <c r="G766" s="66" t="str">
        <f>_xlfn.CONCAT(Tableau119[[#This Row],[POD]],"-",Tableau119[[#This Row],[Code PFI]],"-",Tableau119[[#This Row],[Compte Consignee]])</f>
        <v>KRPUS---92002200</v>
      </c>
      <c r="H7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91017500ESALGRKM</v>
      </c>
      <c r="I766" s="434" t="str">
        <f>_xlfn.CONCAT(Tableau119[[#This Row],[ID]],"-",Tableau119[[#This Row],[Expiration Date]])</f>
        <v>801-45565</v>
      </c>
      <c r="J7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VLL-SEVILLE-801-ESALG-CMA-CGM-KRPUS--45565</v>
      </c>
      <c r="K766" s="119" t="str">
        <f ca="1">IF(COUNTIF(J:J,Tableau119[[#This Row],[Plant-ILN-shipper-POL-Carrier-POD-PFI]])=1,"Non","Oui")</f>
        <v>Non</v>
      </c>
      <c r="L766" s="128" t="str">
        <f>VLOOKUP(Tableau119[[#This Row],[Name Site]],Plant_AILN!A:D,4,FALSE)</f>
        <v>KOREA</v>
      </c>
      <c r="M766" s="415" t="s">
        <v>145</v>
      </c>
      <c r="N766" s="455">
        <f>VLOOKUP(Tableau119[[#This Row],[Name Site]],Plant_AILN!A:C,3,FALSE)</f>
        <v>92002200</v>
      </c>
      <c r="O766" s="104">
        <f>VLOOKUP(Tableau119[[#This Row],[Compte Consignee]],Order!C:D,2,FALSE)</f>
        <v>2</v>
      </c>
      <c r="P766" s="126" t="s">
        <v>151</v>
      </c>
      <c r="Q766" s="366">
        <f>VLOOKUP(Tableau119[[#This Row],[Name ILN]],Plant_AILN!F:G,2,FALSE)</f>
        <v>91018400</v>
      </c>
      <c r="R766" s="81">
        <f>VLOOKUP(Tableau119[[#This Row],[Compte ILN]],'DATA ILN'!D:I,6,FALSE)</f>
        <v>9</v>
      </c>
      <c r="S766" s="81">
        <f>IFERROR(VLOOKUP(Tableau119[[#This Row],[Key(Compte ILN - shipper - POL - plant)]],'DATA ILN'!A:J,10,FALSE),VLOOKUP(Tableau119[[#This Row],[Key(Compte ILN - shipper - POL)]],'DATA ILN'!B:J,9,FALSE))</f>
        <v>14</v>
      </c>
      <c r="T766" s="81">
        <f>IFERROR(VLOOKUP(Tableau119[[#This Row],[Key(Compte ILN - shipper - POL - plant)]],'DATA ILN'!A:K,11,FALSE),VLOOKUP(Tableau119[[#This Row],[Key(Compte ILN - shipper - POL)]],'DATA ILN'!B:K,10,FALSE))</f>
        <v>5</v>
      </c>
      <c r="U766" s="81">
        <f>IFERROR(VLOOKUP(Tableau119[[#This Row],[Key(Compte ILN - shipper - POL - plant)]],'DATA ILN'!A:L,12,FALSE),VLOOKUP(Tableau119[[#This Row],[Key(Compte ILN - shipper - POL)]],'DATA ILN'!B:L,11,FALSE))</f>
        <v>7</v>
      </c>
      <c r="V766" s="81">
        <f>Tableau119[[#This Row],[Day ILN Order]]+Tableau119[[#This Row],[Delivery time to ILN/Shipper]]-1</f>
        <v>22</v>
      </c>
      <c r="W766" s="81">
        <f>IFERROR(VLOOKUP(Tableau119[[#This Row],[Key(Compte ILN - shipper - POL - plant)]],'DATA ILN'!A:N,14,FALSE),VLOOKUP(Tableau119[[#This Row],[Key(Compte ILN - shipper - POL)]],'DATA ILN'!B:N,13,FALSE))</f>
        <v>2</v>
      </c>
      <c r="X766" s="81">
        <f>IFERROR(VLOOKUP(Tableau119[[#This Row],[Key(Compte ILN - shipper - POL - plant)]],'DATA ILN'!A:P,16,FALSE),VLOOKUP(Tableau119[[#This Row],[Key(Compte ILN - shipper - POL)]],'DATA ILN'!B:P,15,FALSE))</f>
        <v>3</v>
      </c>
      <c r="Y766" s="102" t="s">
        <v>156</v>
      </c>
      <c r="Z766" s="417">
        <f>IFERROR(VLOOKUP(Tableau119[[#This Row],[Name Shipper]],Plant_AILN!L:M,2,FALSE),0)</f>
        <v>91017500</v>
      </c>
      <c r="AA766" s="416">
        <v>801</v>
      </c>
      <c r="AB766" s="396" t="str">
        <f>_xlfn.XLOOKUP(Tableau119[[#This Row],[Key(ID-date)]],'DATA BTO'!S:S,'DATA BTO'!E:E,FALSE)</f>
        <v>ESALG</v>
      </c>
      <c r="AC766" s="3" t="str">
        <f>_xlfn.XLOOKUP(Tableau119[[#This Row],[Key(ID-date)]],'DATA BTO'!S:S,'DATA BTO'!F:F,FALSE)</f>
        <v>CMA-CGM</v>
      </c>
      <c r="AD766" s="50">
        <f>_xlfn.XLOOKUP(Tableau119[[#This Row],[Key(ID-date)]],'DATA BTO'!S:S,'DATA BTO'!G:G,FALSE)</f>
        <v>1</v>
      </c>
      <c r="AE766" s="50">
        <f>_xlfn.XLOOKUP(Tableau119[[#This Row],[Key(ID-date)]],'DATA BTO'!S:S,'DATA BTO'!H:H,FALSE)</f>
        <v>3</v>
      </c>
      <c r="AF766" s="447">
        <f>IF(Tableau119[[#This Row],[First Day to POL]]&lt;=Tableau119[[#This Row],[Day Cut Off]],Tableau119[[#This Row],[Day ETD]],Tableau119[[#This Row],[Day ETD]]+7)</f>
        <v>10</v>
      </c>
      <c r="AG766" s="50">
        <f>_xlfn.XLOOKUP(Tableau119[[#This Row],[Key(ID-date)]],'DATA BTO'!S:S,'DATA BTO'!I:I,FALSE)</f>
        <v>41</v>
      </c>
      <c r="AH766" s="3" t="str">
        <f>_xlfn.XLOOKUP(Tableau119[[#This Row],[Key(ID-date)]],'DATA BTO'!S:S,'DATA BTO'!J:J,FALSE)</f>
        <v>KRPUS</v>
      </c>
      <c r="AI766" s="3">
        <f>_xlfn.XLOOKUP(Tableau119[[#This Row],[Key(ID-date)]],'DATA BTO'!S:S,'DATA BTO'!K:K,FALSE)</f>
        <v>3</v>
      </c>
      <c r="AJ766" s="50">
        <f>_xlfn.XLOOKUP(Tableau119[[#This Row],[Key(ID-date)]],'DATA BTO'!S:S,'DATA BTO'!L:L,FALSE)</f>
        <v>7</v>
      </c>
      <c r="AK766" s="53" t="str">
        <f>_xlfn.XLOOKUP(Tableau119[[#This Row],[Key(ID-date)]],'DATA BTO'!S:S,'DATA BTO'!N:N,FALSE)</f>
        <v>Max</v>
      </c>
      <c r="AL766" s="54">
        <f>VLOOKUP(Tableau119[[#This Row],[Key(POD -PFI- Usine)]],'DATA Consignee'!A:F,6,FALSE)</f>
        <v>2</v>
      </c>
      <c r="AM766" s="102"/>
      <c r="AN766" s="375" t="str">
        <f>IF(Tableau119[[#This Row],[Name PFI/CDD]]="","-",VLOOKUP(Tableau119[[#This Row],[Name PFI/CDD]],Plant_AILN!I:J,2,FALSE))</f>
        <v>-</v>
      </c>
      <c r="AO76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6" s="110">
        <f>VLOOKUP(Tableau119[[#This Row],[Key(POD -PFI- Usine)]],'DATA Consignee'!A:J,10,FALSE)</f>
        <v>0</v>
      </c>
      <c r="AR766" s="81">
        <f>VLOOKUP(Tableau119[[#This Row],[Key(POD -PFI- Usine)]],'DATA Consignee'!A:N,14,FALSE)</f>
        <v>1</v>
      </c>
      <c r="AS76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76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766" s="81">
        <f>Tableau119[[#This Row],[Transit time]]+Tableau119[[#This Row],[Time for security]]+Tableau119[[#This Row],[Time for security2 buffer]]</f>
        <v>51</v>
      </c>
      <c r="AV76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766" s="50">
        <f>Tableau119[[#This Row],[Leadtime SI2C]]+Tableau119[[#This Row],[First Receipt Days]]-Tableau119[[#This Row],[Day Customer Order]]+1</f>
        <v>90</v>
      </c>
      <c r="AX766" s="119">
        <f>IF(Tableau119[[#This Row],[Name ILN]]&lt;&gt;"SFK Freight Forwarder",Tableau119[[#This Row],[Cust. Leadtime]],Tableau119[[#This Row],[Leadtime SI2C]])</f>
        <v>90</v>
      </c>
      <c r="AY766" s="51" t="str">
        <f>_xlfn.XLOOKUP(Tableau119[[#This Row],[Key(ID-date)]],'DATA BTO'!S:S,'DATA BTO'!P:P,FALSE)</f>
        <v>Horse &gt; Renault BPR</v>
      </c>
      <c r="AZ766" s="388">
        <v>45565</v>
      </c>
      <c r="BA766" s="81"/>
    </row>
    <row r="767" spans="2:53">
      <c r="B767" s="446" t="str">
        <f>_xlfn.CONCAT(Tableau119[[#This Row],[Name ILN]],"-",Tableau119[[#This Row],[Name Shipper]],"-",Tableau119[[#This Row],[Name Site]])</f>
        <v>ILN VLL-SEVILLE-RKM</v>
      </c>
      <c r="C767" s="66" t="str">
        <f>_xlfn.CONCAT(Tableau119[[#This Row],[Compte ILN]],"-",Tableau119[[#This Row],[Compte Shipper]],"-",Tableau119[[#This Row],[POL]],"-",Tableau119[[#This Row],[Compte Consignee]])</f>
        <v>91018400-91017500-ESALG-92002200</v>
      </c>
      <c r="D767" s="66" t="str">
        <f>_xlfn.CONCAT(Tableau119[[#This Row],[Compte ILN]],"-",Tableau119[[#This Row],[Compte Shipper]],"-",Tableau119[[#This Row],[POL]])</f>
        <v>91018400-91017500-ESALG</v>
      </c>
      <c r="E767" s="130" t="str">
        <f>_xlfn.CONCAT(Tableau119[[#This Row],[POL]],"-",Tableau119[[#This Row],[Carrier]],"-",Tableau119[[#This Row],[POD]])</f>
        <v>ESALG-CMA-CGM-KRPUS</v>
      </c>
      <c r="F767" s="66" t="str">
        <f>_xlfn.CONCAT(Tableau119[[#This Row],[ID]],"-","Actif")</f>
        <v>801-Actif</v>
      </c>
      <c r="G767" s="66" t="str">
        <f>_xlfn.CONCAT(Tableau119[[#This Row],[POD]],"-",Tableau119[[#This Row],[Code PFI]],"-",Tableau119[[#This Row],[Compte Consignee]])</f>
        <v>KRPUS---92002200</v>
      </c>
      <c r="H7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91017500ESALGRKM</v>
      </c>
      <c r="I767" s="434" t="str">
        <f>_xlfn.CONCAT(Tableau119[[#This Row],[ID]],"-",Tableau119[[#This Row],[Expiration Date]])</f>
        <v>801-45473</v>
      </c>
      <c r="J7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VLL-SEVILLE-801-ESALG-CMA-CGM-KRPUS--45473</v>
      </c>
      <c r="K767" s="119" t="str">
        <f ca="1">IF(COUNTIF(J:J,Tableau119[[#This Row],[Plant-ILN-shipper-POL-Carrier-POD-PFI]])=1,"Non","Oui")</f>
        <v>Non</v>
      </c>
      <c r="L767" s="128" t="str">
        <f>VLOOKUP(Tableau119[[#This Row],[Name Site]],Plant_AILN!A:D,4,FALSE)</f>
        <v>KOREA</v>
      </c>
      <c r="M767" s="411" t="s">
        <v>145</v>
      </c>
      <c r="N767" s="454">
        <f>VLOOKUP(Tableau119[[#This Row],[Name Site]],Plant_AILN!A:C,3,FALSE)</f>
        <v>92002200</v>
      </c>
      <c r="O767" s="55">
        <f>VLOOKUP(Tableau119[[#This Row],[Compte Consignee]],Order!C:D,2,FALSE)</f>
        <v>2</v>
      </c>
      <c r="P767" s="124" t="s">
        <v>151</v>
      </c>
      <c r="Q767" s="365">
        <f>VLOOKUP(Tableau119[[#This Row],[Name ILN]],Plant_AILN!F:G,2,FALSE)</f>
        <v>91018400</v>
      </c>
      <c r="R767" s="50">
        <f>VLOOKUP(Tableau119[[#This Row],[Compte ILN]],'DATA ILN'!D:I,6,FALSE)</f>
        <v>9</v>
      </c>
      <c r="S767" s="50">
        <f>IFERROR(VLOOKUP(Tableau119[[#This Row],[Key(Compte ILN - shipper - POL - plant)]],'DATA ILN'!A:J,10,FALSE),VLOOKUP(Tableau119[[#This Row],[Key(Compte ILN - shipper - POL)]],'DATA ILN'!B:J,9,FALSE))</f>
        <v>14</v>
      </c>
      <c r="T767" s="50">
        <f>IFERROR(VLOOKUP(Tableau119[[#This Row],[Key(Compte ILN - shipper - POL - plant)]],'DATA ILN'!A:K,11,FALSE),VLOOKUP(Tableau119[[#This Row],[Key(Compte ILN - shipper - POL)]],'DATA ILN'!B:K,10,FALSE))</f>
        <v>5</v>
      </c>
      <c r="U767" s="50">
        <f>IFERROR(VLOOKUP(Tableau119[[#This Row],[Key(Compte ILN - shipper - POL - plant)]],'DATA ILN'!A:L,12,FALSE),VLOOKUP(Tableau119[[#This Row],[Key(Compte ILN - shipper - POL)]],'DATA ILN'!B:L,11,FALSE))</f>
        <v>7</v>
      </c>
      <c r="V767" s="50">
        <f>Tableau119[[#This Row],[Day ILN Order]]+Tableau119[[#This Row],[Delivery time to ILN/Shipper]]-1</f>
        <v>22</v>
      </c>
      <c r="W767" s="50">
        <f>IFERROR(VLOOKUP(Tableau119[[#This Row],[Key(Compte ILN - shipper - POL - plant)]],'DATA ILN'!A:N,14,FALSE),VLOOKUP(Tableau119[[#This Row],[Key(Compte ILN - shipper - POL)]],'DATA ILN'!B:N,13,FALSE))</f>
        <v>2</v>
      </c>
      <c r="X767" s="50">
        <f>IFERROR(VLOOKUP(Tableau119[[#This Row],[Key(Compte ILN - shipper - POL - plant)]],'DATA ILN'!A:P,16,FALSE),VLOOKUP(Tableau119[[#This Row],[Key(Compte ILN - shipper - POL)]],'DATA ILN'!B:P,15,FALSE))</f>
        <v>3</v>
      </c>
      <c r="Y767" s="284" t="s">
        <v>156</v>
      </c>
      <c r="Z767" s="430">
        <f>IFERROR(VLOOKUP(Tableau119[[#This Row],[Name Shipper]],Plant_AILN!L:M,2,FALSE),0)</f>
        <v>91017500</v>
      </c>
      <c r="AA767" s="406">
        <v>801</v>
      </c>
      <c r="AB767" s="396" t="str">
        <f>_xlfn.XLOOKUP(Tableau119[[#This Row],[Key(ID-date)]],'DATA BTO'!S:S,'DATA BTO'!E:E,FALSE)</f>
        <v>ESALG</v>
      </c>
      <c r="AC767" s="3" t="str">
        <f>_xlfn.XLOOKUP(Tableau119[[#This Row],[Key(ID-date)]],'DATA BTO'!S:S,'DATA BTO'!F:F,FALSE)</f>
        <v>CMA-CGM</v>
      </c>
      <c r="AD767" s="50">
        <f>_xlfn.XLOOKUP(Tableau119[[#This Row],[Key(ID-date)]],'DATA BTO'!S:S,'DATA BTO'!G:G,FALSE)</f>
        <v>3</v>
      </c>
      <c r="AE767" s="50">
        <f>_xlfn.XLOOKUP(Tableau119[[#This Row],[Key(ID-date)]],'DATA BTO'!S:S,'DATA BTO'!H:H,FALSE)</f>
        <v>5</v>
      </c>
      <c r="AF767" s="447">
        <f>IF(Tableau119[[#This Row],[First Day to POL]]&lt;=Tableau119[[#This Row],[Day Cut Off]],Tableau119[[#This Row],[Day ETD]],Tableau119[[#This Row],[Day ETD]]+7)</f>
        <v>5</v>
      </c>
      <c r="AG767" s="50">
        <f>_xlfn.XLOOKUP(Tableau119[[#This Row],[Key(ID-date)]],'DATA BTO'!S:S,'DATA BTO'!I:I,FALSE)</f>
        <v>38</v>
      </c>
      <c r="AH767" s="3" t="str">
        <f>_xlfn.XLOOKUP(Tableau119[[#This Row],[Key(ID-date)]],'DATA BTO'!S:S,'DATA BTO'!J:J,FALSE)</f>
        <v>KRPUS</v>
      </c>
      <c r="AI767" s="3">
        <f>_xlfn.XLOOKUP(Tableau119[[#This Row],[Key(ID-date)]],'DATA BTO'!S:S,'DATA BTO'!K:K,FALSE)</f>
        <v>3</v>
      </c>
      <c r="AJ767" s="50">
        <f>_xlfn.XLOOKUP(Tableau119[[#This Row],[Key(ID-date)]],'DATA BTO'!S:S,'DATA BTO'!L:L,FALSE)</f>
        <v>0</v>
      </c>
      <c r="AK767" s="53" t="str">
        <f>_xlfn.XLOOKUP(Tableau119[[#This Row],[Key(ID-date)]],'DATA BTO'!S:S,'DATA BTO'!N:N,FALSE)</f>
        <v>Max</v>
      </c>
      <c r="AL767" s="54">
        <f>VLOOKUP(Tableau119[[#This Row],[Key(POD -PFI- Usine)]],'DATA Consignee'!A:F,6,FALSE)</f>
        <v>2</v>
      </c>
      <c r="AM767" s="127"/>
      <c r="AN767" s="376" t="str">
        <f>IF(Tableau119[[#This Row],[Name PFI/CDD]]="","-",VLOOKUP(Tableau119[[#This Row],[Name PFI/CDD]],Plant_AILN!I:J,2,FALSE))</f>
        <v>-</v>
      </c>
      <c r="AO76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7" s="2">
        <f>VLOOKUP(Tableau119[[#This Row],[Key(POD -PFI- Usine)]],'DATA Consignee'!A:J,10,FALSE)</f>
        <v>0</v>
      </c>
      <c r="AR767" s="50">
        <f>VLOOKUP(Tableau119[[#This Row],[Key(POD -PFI- Usine)]],'DATA Consignee'!A:N,14,FALSE)</f>
        <v>1</v>
      </c>
      <c r="AS76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76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767" s="50">
        <f>Tableau119[[#This Row],[Transit time]]+Tableau119[[#This Row],[Time for security]]+Tableau119[[#This Row],[Time for security2 buffer]]</f>
        <v>41</v>
      </c>
      <c r="AV76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767" s="50">
        <f>Tableau119[[#This Row],[Leadtime SI2C]]+Tableau119[[#This Row],[First Receipt Days]]-Tableau119[[#This Row],[Day Customer Order]]+1</f>
        <v>76</v>
      </c>
      <c r="AX767" s="119">
        <f>IF(Tableau119[[#This Row],[Name ILN]]&lt;&gt;"SFK Freight Forwarder",Tableau119[[#This Row],[Cust. Leadtime]],Tableau119[[#This Row],[Leadtime SI2C]])</f>
        <v>76</v>
      </c>
      <c r="AY767" s="51" t="str">
        <f>_xlfn.XLOOKUP(Tableau119[[#This Row],[Key(ID-date)]],'DATA BTO'!S:S,'DATA BTO'!P:P,FALSE)</f>
        <v>Horse &gt; Renault BPR</v>
      </c>
      <c r="AZ767" s="338">
        <v>45473</v>
      </c>
      <c r="BA767" s="50"/>
    </row>
    <row r="768" spans="2:53">
      <c r="B768" s="66" t="str">
        <f>_xlfn.CONCAT(Tableau119[[#This Row],[Name ILN]],"-",Tableau119[[#This Row],[Name Shipper]],"-",Tableau119[[#This Row],[Name Site]])</f>
        <v>ILN FR-RENAULT CLEON-Curitiba CVP</v>
      </c>
      <c r="C768" s="66" t="str">
        <f>_xlfn.CONCAT(Tableau119[[#This Row],[Compte ILN]],"-",Tableau119[[#This Row],[Compte Shipper]],"-",Tableau119[[#This Row],[POL]],"-",Tableau119[[#This Row],[Compte Consignee]])</f>
        <v>92000100-90016100-FALSO-90018000</v>
      </c>
      <c r="D768" s="66" t="str">
        <f>_xlfn.CONCAT(Tableau119[[#This Row],[Compte ILN]],"-",Tableau119[[#This Row],[Compte Shipper]],"-",Tableau119[[#This Row],[POL]])</f>
        <v>92000100-90016100-FALSO</v>
      </c>
      <c r="E768" s="130" t="str">
        <f>_xlfn.CONCAT(Tableau119[[#This Row],[POL]],"-",Tableau119[[#This Row],[Carrier]],"-",Tableau119[[#This Row],[POD]])</f>
        <v>FALSO-FALSO-FALSO</v>
      </c>
      <c r="F768" s="66" t="str">
        <f>_xlfn.CONCAT(Tableau119[[#This Row],[ID]],"-","Actif")</f>
        <v>802-Actif</v>
      </c>
      <c r="G768" s="66" t="str">
        <f>_xlfn.CONCAT(Tableau119[[#This Row],[POD]],"-",Tableau119[[#This Row],[Code PFI]],"-",Tableau119[[#This Row],[Compte Consignee]])</f>
        <v>FALSO---90018000</v>
      </c>
      <c r="H7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90016100FALSOCuritiba CVP</v>
      </c>
      <c r="I768" s="434" t="str">
        <f>_xlfn.CONCAT(Tableau119[[#This Row],[ID]],"-",Tableau119[[#This Row],[Expiration Date]])</f>
        <v>802-46142</v>
      </c>
      <c r="J7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FR-RENAULT CLEON-802-FALSO-FALSO-FALSO--46142</v>
      </c>
      <c r="K768" s="119" t="str">
        <f ca="1">IF(COUNTIF(J:J,Tableau119[[#This Row],[Plant-ILN-shipper-POL-Carrier-POD-PFI]])=1,"Non","Oui")</f>
        <v>Non</v>
      </c>
      <c r="L768" s="436" t="str">
        <f>VLOOKUP(Tableau119[[#This Row],[Name Site]],Plant_AILN!A:D,4,FALSE)</f>
        <v>BRAZIL</v>
      </c>
      <c r="M768" s="285" t="s">
        <v>152</v>
      </c>
      <c r="N768" s="454">
        <f>VLOOKUP(Tableau119[[#This Row],[Name Site]],Plant_AILN!A:C,3,FALSE)</f>
        <v>90018000</v>
      </c>
      <c r="O768" s="55">
        <f>IF(Tableau119[[#This Row],[Name PFI/CDD]]="PFI VLL",2,VLOOKUP(Tableau119[[#This Row],[Compte Consignee]],Order!C:D,2,FALSE))</f>
        <v>7</v>
      </c>
      <c r="P768" s="124" t="s">
        <v>143</v>
      </c>
      <c r="Q768" s="365">
        <f>VLOOKUP(Tableau119[[#This Row],[Name ILN]],Plant_AILN!F:G,2,FALSE)</f>
        <v>92000100</v>
      </c>
      <c r="R768" s="50">
        <f>VLOOKUP(Tableau119[[#This Row],[Compte ILN]],'DATA ILN'!D:I,6,FALSE)</f>
        <v>9</v>
      </c>
      <c r="S768" s="50" t="e">
        <f>IFERROR(VLOOKUP(Tableau119[[#This Row],[Key(Compte ILN - shipper - POL - plant)]],'DATA ILN'!A:J,10,FALSE),VLOOKUP(Tableau119[[#This Row],[Key(Compte ILN - shipper - POL)]],'DATA ILN'!B:J,9,FALSE))</f>
        <v>#N/A</v>
      </c>
      <c r="T768" s="50" t="e">
        <f>IFERROR(VLOOKUP(Tableau119[[#This Row],[Key(Compte ILN - shipper - POL - plant)]],'DATA ILN'!A:K,11,FALSE),VLOOKUP(Tableau119[[#This Row],[Key(Compte ILN - shipper - POL)]],'DATA ILN'!B:K,10,FALSE))</f>
        <v>#N/A</v>
      </c>
      <c r="U768" s="50" t="e">
        <f>IFERROR(VLOOKUP(Tableau119[[#This Row],[Key(Compte ILN - shipper - POL - plant)]],'DATA ILN'!A:L,12,FALSE),VLOOKUP(Tableau119[[#This Row],[Key(Compte ILN - shipper - POL)]],'DATA ILN'!B:L,11,FALSE))</f>
        <v>#N/A</v>
      </c>
      <c r="V768" s="50" t="e">
        <f>Tableau119[[#This Row],[Day ILN Order]]+Tableau119[[#This Row],[Delivery time to ILN/Shipper]]-1</f>
        <v>#N/A</v>
      </c>
      <c r="W768" s="50" t="e">
        <f>IFERROR(VLOOKUP(Tableau119[[#This Row],[Key(Compte ILN - shipper - POL - plant)]],'DATA ILN'!A:N,14,FALSE),VLOOKUP(Tableau119[[#This Row],[Key(Compte ILN - shipper - POL)]],'DATA ILN'!B:N,13,FALSE))</f>
        <v>#N/A</v>
      </c>
      <c r="X768" s="50" t="e">
        <f>IFERROR(VLOOKUP(Tableau119[[#This Row],[Key(Compte ILN - shipper - POL - plant)]],'DATA ILN'!A:P,16,FALSE),VLOOKUP(Tableau119[[#This Row],[Key(Compte ILN - shipper - POL)]],'DATA ILN'!B:P,15,FALSE))</f>
        <v>#N/A</v>
      </c>
      <c r="Y768" s="406" t="s">
        <v>291</v>
      </c>
      <c r="Z768" s="430">
        <f>IFERROR(VLOOKUP(Tableau119[[#This Row],[Name Shipper]],Plant_AILN!L:M,2,FALSE),0)</f>
        <v>90016100</v>
      </c>
      <c r="AA768" s="406">
        <v>802</v>
      </c>
      <c r="AB768" s="396" t="b">
        <f>_xlfn.XLOOKUP(Tableau119[[#This Row],[Key(ID-date)]],'DATA BTO'!S:S,'DATA BTO'!E:E,FALSE)</f>
        <v>0</v>
      </c>
      <c r="AC768" s="3" t="b">
        <f>_xlfn.XLOOKUP(Tableau119[[#This Row],[Key(ID-date)]],'DATA BTO'!S:S,'DATA BTO'!F:F,FALSE)</f>
        <v>0</v>
      </c>
      <c r="AD768" s="50" t="b">
        <f>_xlfn.XLOOKUP(Tableau119[[#This Row],[Key(ID-date)]],'DATA BTO'!S:S,'DATA BTO'!G:G,FALSE)</f>
        <v>0</v>
      </c>
      <c r="AE768" s="50" t="b">
        <f>_xlfn.XLOOKUP(Tableau119[[#This Row],[Key(ID-date)]],'DATA BTO'!S:S,'DATA BTO'!H:H,FALSE)</f>
        <v>0</v>
      </c>
      <c r="AF768" s="447" t="e">
        <f>IF(Tableau119[[#This Row],[First Day to POL]]&lt;=Tableau119[[#This Row],[Day Cut Off]],Tableau119[[#This Row],[Day ETD]],Tableau119[[#This Row],[Day ETD]]+7)</f>
        <v>#N/A</v>
      </c>
      <c r="AG768" s="50" t="b">
        <f>_xlfn.XLOOKUP(Tableau119[[#This Row],[Key(ID-date)]],'DATA BTO'!S:S,'DATA BTO'!I:I,FALSE)</f>
        <v>0</v>
      </c>
      <c r="AH768" s="3" t="b">
        <f>_xlfn.XLOOKUP(Tableau119[[#This Row],[Key(ID-date)]],'DATA BTO'!S:S,'DATA BTO'!J:J,FALSE)</f>
        <v>0</v>
      </c>
      <c r="AI768" s="3" t="b">
        <f>_xlfn.XLOOKUP(Tableau119[[#This Row],[Key(ID-date)]],'DATA BTO'!S:S,'DATA BTO'!K:K,FALSE)</f>
        <v>0</v>
      </c>
      <c r="AJ768" s="50" t="b">
        <f>_xlfn.XLOOKUP(Tableau119[[#This Row],[Key(ID-date)]],'DATA BTO'!S:S,'DATA BTO'!L:L,FALSE)</f>
        <v>0</v>
      </c>
      <c r="AK768" s="53" t="b">
        <f>_xlfn.XLOOKUP(Tableau119[[#This Row],[Key(ID-date)]],'DATA BTO'!S:S,'DATA BTO'!N:N,FALSE)</f>
        <v>0</v>
      </c>
      <c r="AL768" s="54" t="e">
        <f>VLOOKUP(Tableau119[[#This Row],[Key(POD -PFI- Usine)]],'DATA Consignee'!A:F,6,FALSE)</f>
        <v>#N/A</v>
      </c>
      <c r="AM768" s="127"/>
      <c r="AN768" s="376" t="str">
        <f>IF(Tableau119[[#This Row],[Name PFI/CDD]]="","-",VLOOKUP(Tableau119[[#This Row],[Name PFI/CDD]],Plant_AILN!I:J,2,FALSE))</f>
        <v>-</v>
      </c>
      <c r="AO7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8" s="2" t="e">
        <f>VLOOKUP(Tableau119[[#This Row],[Key(POD -PFI- Usine)]],'DATA Consignee'!A:J,10,FALSE)</f>
        <v>#N/A</v>
      </c>
      <c r="AR768" s="50" t="e">
        <f>VLOOKUP(Tableau119[[#This Row],[Key(POD -PFI- Usine)]],'DATA Consignee'!A:N,14,FALSE)</f>
        <v>#N/A</v>
      </c>
      <c r="AS7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8" s="50">
        <f>Tableau119[[#This Row],[Transit time]]+Tableau119[[#This Row],[Time for security]]+Tableau119[[#This Row],[Time for security2 buffer]]</f>
        <v>0</v>
      </c>
      <c r="AV7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8" s="50" t="e">
        <f>Tableau119[[#This Row],[Leadtime SI2C]]+Tableau119[[#This Row],[First Receipt Days]]-Tableau119[[#This Row],[Day Customer Order]]+1</f>
        <v>#N/A</v>
      </c>
      <c r="AX768" s="119" t="e">
        <f>IF(Tableau119[[#This Row],[Name ILN]]&lt;&gt;"SFK Freight Forwarder",Tableau119[[#This Row],[Cust. Leadtime]],Tableau119[[#This Row],[Leadtime SI2C]])</f>
        <v>#N/A</v>
      </c>
      <c r="AY768" s="51" t="b">
        <f>_xlfn.XLOOKUP(Tableau119[[#This Row],[Key(ID-date)]],'DATA BTO'!S:S,'DATA BTO'!P:P,FALSE)</f>
        <v>0</v>
      </c>
      <c r="AZ768" s="338">
        <v>46142</v>
      </c>
      <c r="BA768" s="50"/>
    </row>
    <row r="769" spans="2:53">
      <c r="B769" s="66" t="str">
        <f>_xlfn.CONCAT(Tableau119[[#This Row],[Name ILN]],"-",Tableau119[[#This Row],[Name Shipper]],"-",Tableau119[[#This Row],[Name Site]])</f>
        <v>ILN FR-ILN FR-Curitiba CVP</v>
      </c>
      <c r="C769" s="66" t="str">
        <f>_xlfn.CONCAT(Tableau119[[#This Row],[Compte ILN]],"-",Tableau119[[#This Row],[Compte Shipper]],"-",Tableau119[[#This Row],[POL]],"-",Tableau119[[#This Row],[Compte Consignee]])</f>
        <v>92000100-92000100-FALSO-90018000</v>
      </c>
      <c r="D769" s="66" t="str">
        <f>_xlfn.CONCAT(Tableau119[[#This Row],[Compte ILN]],"-",Tableau119[[#This Row],[Compte Shipper]],"-",Tableau119[[#This Row],[POL]])</f>
        <v>92000100-92000100-FALSO</v>
      </c>
      <c r="E769" s="130" t="str">
        <f>_xlfn.CONCAT(Tableau119[[#This Row],[POL]],"-",Tableau119[[#This Row],[Carrier]],"-",Tableau119[[#This Row],[POD]])</f>
        <v>FALSO-FALSO-FALSO</v>
      </c>
      <c r="F769" s="66" t="str">
        <f>_xlfn.CONCAT(Tableau119[[#This Row],[ID]],"-","Actif")</f>
        <v>802-Actif</v>
      </c>
      <c r="G769" s="66" t="str">
        <f>_xlfn.CONCAT(Tableau119[[#This Row],[POD]],"-",Tableau119[[#This Row],[Code PFI]],"-",Tableau119[[#This Row],[Compte Consignee]])</f>
        <v>FALSO---90018000</v>
      </c>
      <c r="H7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CVP</v>
      </c>
      <c r="I769" s="434" t="str">
        <f>_xlfn.CONCAT(Tableau119[[#This Row],[ID]],"-",Tableau119[[#This Row],[Expiration Date]])</f>
        <v>802-46142</v>
      </c>
      <c r="J7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FR-ILN FR-802-FALSO-FALSO-FALSO--46142</v>
      </c>
      <c r="K769" s="119" t="str">
        <f ca="1">IF(COUNTIF(J:J,Tableau119[[#This Row],[Plant-ILN-shipper-POL-Carrier-POD-PFI]])=1,"Non","Oui")</f>
        <v>Non</v>
      </c>
      <c r="L769" s="436" t="str">
        <f>VLOOKUP(Tableau119[[#This Row],[Name Site]],Plant_AILN!A:D,4,FALSE)</f>
        <v>BRAZIL</v>
      </c>
      <c r="M769" s="285" t="s">
        <v>152</v>
      </c>
      <c r="N769" s="454">
        <f>VLOOKUP(Tableau119[[#This Row],[Name Site]],Plant_AILN!A:C,3,FALSE)</f>
        <v>90018000</v>
      </c>
      <c r="O769" s="55">
        <f>IF(Tableau119[[#This Row],[Name PFI/CDD]]="PFI VLL",2,VLOOKUP(Tableau119[[#This Row],[Compte Consignee]],Order!C:D,2,FALSE))</f>
        <v>7</v>
      </c>
      <c r="P769" s="506" t="s">
        <v>143</v>
      </c>
      <c r="Q769" s="365">
        <f>VLOOKUP(Tableau119[[#This Row],[Name ILN]],Plant_AILN!F:G,2,FALSE)</f>
        <v>92000100</v>
      </c>
      <c r="R769" s="50">
        <f>VLOOKUP(Tableau119[[#This Row],[Compte ILN]],'DATA ILN'!D:I,6,FALSE)</f>
        <v>9</v>
      </c>
      <c r="S769" s="50" t="e">
        <f>IFERROR(VLOOKUP(Tableau119[[#This Row],[Key(Compte ILN - shipper - POL - plant)]],'DATA ILN'!A:J,10,FALSE),VLOOKUP(Tableau119[[#This Row],[Key(Compte ILN - shipper - POL)]],'DATA ILN'!B:J,9,FALSE))</f>
        <v>#N/A</v>
      </c>
      <c r="T769" s="50" t="e">
        <f>IFERROR(VLOOKUP(Tableau119[[#This Row],[Key(Compte ILN - shipper - POL - plant)]],'DATA ILN'!A:K,11,FALSE),VLOOKUP(Tableau119[[#This Row],[Key(Compte ILN - shipper - POL)]],'DATA ILN'!B:K,10,FALSE))</f>
        <v>#N/A</v>
      </c>
      <c r="U769" s="50" t="e">
        <f>IFERROR(VLOOKUP(Tableau119[[#This Row],[Key(Compte ILN - shipper - POL - plant)]],'DATA ILN'!A:L,12,FALSE),VLOOKUP(Tableau119[[#This Row],[Key(Compte ILN - shipper - POL)]],'DATA ILN'!B:L,11,FALSE))</f>
        <v>#N/A</v>
      </c>
      <c r="V769" s="50" t="e">
        <f>Tableau119[[#This Row],[Day ILN Order]]+Tableau119[[#This Row],[Delivery time to ILN/Shipper]]-1</f>
        <v>#N/A</v>
      </c>
      <c r="W769" s="50" t="e">
        <f>IFERROR(VLOOKUP(Tableau119[[#This Row],[Key(Compte ILN - shipper - POL - plant)]],'DATA ILN'!A:N,14,FALSE),VLOOKUP(Tableau119[[#This Row],[Key(Compte ILN - shipper - POL)]],'DATA ILN'!B:N,13,FALSE))</f>
        <v>#N/A</v>
      </c>
      <c r="X769" s="50" t="e">
        <f>IFERROR(VLOOKUP(Tableau119[[#This Row],[Key(Compte ILN - shipper - POL - plant)]],'DATA ILN'!A:P,16,FALSE),VLOOKUP(Tableau119[[#This Row],[Key(Compte ILN - shipper - POL)]],'DATA ILN'!B:P,15,FALSE))</f>
        <v>#N/A</v>
      </c>
      <c r="Y769" s="284" t="s">
        <v>143</v>
      </c>
      <c r="Z769" s="430">
        <f>IFERROR(VLOOKUP(Tableau119[[#This Row],[Name Shipper]],Plant_AILN!L:M,2,FALSE),0)</f>
        <v>92000100</v>
      </c>
      <c r="AA769" s="406">
        <v>802</v>
      </c>
      <c r="AB769" s="396" t="b">
        <f>_xlfn.XLOOKUP(Tableau119[[#This Row],[Key(ID-date)]],'DATA BTO'!S:S,'DATA BTO'!E:E,FALSE)</f>
        <v>0</v>
      </c>
      <c r="AC769" s="3" t="b">
        <f>_xlfn.XLOOKUP(Tableau119[[#This Row],[Key(ID-date)]],'DATA BTO'!S:S,'DATA BTO'!F:F,FALSE)</f>
        <v>0</v>
      </c>
      <c r="AD769" s="50" t="b">
        <f>_xlfn.XLOOKUP(Tableau119[[#This Row],[Key(ID-date)]],'DATA BTO'!S:S,'DATA BTO'!G:G,FALSE)</f>
        <v>0</v>
      </c>
      <c r="AE769" s="50" t="b">
        <f>_xlfn.XLOOKUP(Tableau119[[#This Row],[Key(ID-date)]],'DATA BTO'!S:S,'DATA BTO'!H:H,FALSE)</f>
        <v>0</v>
      </c>
      <c r="AF769" s="447" t="e">
        <f>IF(Tableau119[[#This Row],[First Day to POL]]&lt;=Tableau119[[#This Row],[Day Cut Off]],Tableau119[[#This Row],[Day ETD]],Tableau119[[#This Row],[Day ETD]]+7)</f>
        <v>#N/A</v>
      </c>
      <c r="AG769" s="50" t="b">
        <f>_xlfn.XLOOKUP(Tableau119[[#This Row],[Key(ID-date)]],'DATA BTO'!S:S,'DATA BTO'!I:I,FALSE)</f>
        <v>0</v>
      </c>
      <c r="AH769" s="3" t="b">
        <f>_xlfn.XLOOKUP(Tableau119[[#This Row],[Key(ID-date)]],'DATA BTO'!S:S,'DATA BTO'!J:J,FALSE)</f>
        <v>0</v>
      </c>
      <c r="AI769" s="3" t="b">
        <f>_xlfn.XLOOKUP(Tableau119[[#This Row],[Key(ID-date)]],'DATA BTO'!S:S,'DATA BTO'!K:K,FALSE)</f>
        <v>0</v>
      </c>
      <c r="AJ769" s="50" t="b">
        <f>_xlfn.XLOOKUP(Tableau119[[#This Row],[Key(ID-date)]],'DATA BTO'!S:S,'DATA BTO'!L:L,FALSE)</f>
        <v>0</v>
      </c>
      <c r="AK769" s="53" t="b">
        <f>_xlfn.XLOOKUP(Tableau119[[#This Row],[Key(ID-date)]],'DATA BTO'!S:S,'DATA BTO'!N:N,FALSE)</f>
        <v>0</v>
      </c>
      <c r="AL769" s="54" t="e">
        <f>VLOOKUP(Tableau119[[#This Row],[Key(POD -PFI- Usine)]],'DATA Consignee'!A:F,6,FALSE)</f>
        <v>#N/A</v>
      </c>
      <c r="AM769" s="127"/>
      <c r="AN769" s="376" t="str">
        <f>IF(Tableau119[[#This Row],[Name PFI/CDD]]="","-",VLOOKUP(Tableau119[[#This Row],[Name PFI/CDD]],Plant_AILN!I:J,2,FALSE))</f>
        <v>-</v>
      </c>
      <c r="AO7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69" s="2" t="e">
        <f>VLOOKUP(Tableau119[[#This Row],[Key(POD -PFI- Usine)]],'DATA Consignee'!A:J,10,FALSE)</f>
        <v>#N/A</v>
      </c>
      <c r="AR769" s="50" t="e">
        <f>VLOOKUP(Tableau119[[#This Row],[Key(POD -PFI- Usine)]],'DATA Consignee'!A:N,14,FALSE)</f>
        <v>#N/A</v>
      </c>
      <c r="AS7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69" s="50">
        <f>Tableau119[[#This Row],[Transit time]]+Tableau119[[#This Row],[Time for security]]+Tableau119[[#This Row],[Time for security2 buffer]]</f>
        <v>0</v>
      </c>
      <c r="AV7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69" s="50" t="e">
        <f>Tableau119[[#This Row],[Leadtime SI2C]]+Tableau119[[#This Row],[First Receipt Days]]-Tableau119[[#This Row],[Day Customer Order]]+1</f>
        <v>#N/A</v>
      </c>
      <c r="AX769" s="119" t="e">
        <f>IF(Tableau119[[#This Row],[Name ILN]]&lt;&gt;"SFK Freight Forwarder",Tableau119[[#This Row],[Cust. Leadtime]],Tableau119[[#This Row],[Leadtime SI2C]])</f>
        <v>#N/A</v>
      </c>
      <c r="AY769" s="51" t="b">
        <f>_xlfn.XLOOKUP(Tableau119[[#This Row],[Key(ID-date)]],'DATA BTO'!S:S,'DATA BTO'!P:P,FALSE)</f>
        <v>0</v>
      </c>
      <c r="AZ769" s="338">
        <v>46142</v>
      </c>
      <c r="BA769" s="50"/>
    </row>
    <row r="770" spans="2:53">
      <c r="B770" s="66" t="str">
        <f>_xlfn.CONCAT(Tableau119[[#This Row],[Name ILN]],"-",Tableau119[[#This Row],[Name Shipper]],"-",Tableau119[[#This Row],[Name Site]])</f>
        <v>ILN FR-ILN FR-Curitiba CVU</v>
      </c>
      <c r="C770" s="66" t="str">
        <f>_xlfn.CONCAT(Tableau119[[#This Row],[Compte ILN]],"-",Tableau119[[#This Row],[Compte Shipper]],"-",Tableau119[[#This Row],[POL]],"-",Tableau119[[#This Row],[Compte Consignee]])</f>
        <v>92000100-92000100-FALSO-90018500</v>
      </c>
      <c r="D770" s="66" t="str">
        <f>_xlfn.CONCAT(Tableau119[[#This Row],[Compte ILN]],"-",Tableau119[[#This Row],[Compte Shipper]],"-",Tableau119[[#This Row],[POL]])</f>
        <v>92000100-92000100-FALSO</v>
      </c>
      <c r="E770" s="130" t="str">
        <f>_xlfn.CONCAT(Tableau119[[#This Row],[POL]],"-",Tableau119[[#This Row],[Carrier]],"-",Tableau119[[#This Row],[POD]])</f>
        <v>FALSO-FALSO-FALSO</v>
      </c>
      <c r="F770" s="66" t="str">
        <f>_xlfn.CONCAT(Tableau119[[#This Row],[ID]],"-","Actif")</f>
        <v>802-Actif</v>
      </c>
      <c r="G770" s="66" t="str">
        <f>_xlfn.CONCAT(Tableau119[[#This Row],[POD]],"-",Tableau119[[#This Row],[Code PFI]],"-",Tableau119[[#This Row],[Compte Consignee]])</f>
        <v>FALSO---90018500</v>
      </c>
      <c r="H7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CVU</v>
      </c>
      <c r="I770" s="434" t="str">
        <f>_xlfn.CONCAT(Tableau119[[#This Row],[ID]],"-",Tableau119[[#This Row],[Expiration Date]])</f>
        <v>802-46142</v>
      </c>
      <c r="J7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FR-ILN FR-802-FALSO-FALSO-FALSO--46142</v>
      </c>
      <c r="K770" s="119" t="str">
        <f ca="1">IF(COUNTIF(J:J,Tableau119[[#This Row],[Plant-ILN-shipper-POL-Carrier-POD-PFI]])=1,"Non","Oui")</f>
        <v>Non</v>
      </c>
      <c r="L770" s="440" t="str">
        <f>VLOOKUP(Tableau119[[#This Row],[Name Site]],Plant_AILN!A:D,4,FALSE)</f>
        <v>BRAZIL</v>
      </c>
      <c r="M770" s="483" t="s">
        <v>639</v>
      </c>
      <c r="N770" s="455">
        <f>VLOOKUP(Tableau119[[#This Row],[Name Site]],Plant_AILN!A:C,3,FALSE)</f>
        <v>90018500</v>
      </c>
      <c r="O770" s="104">
        <f>IF(Tableau119[[#This Row],[Name PFI/CDD]]="PFI VLL",2,VLOOKUP(Tableau119[[#This Row],[Compte Consignee]],Order!C:D,2,FALSE))</f>
        <v>7</v>
      </c>
      <c r="P770" s="126" t="s">
        <v>143</v>
      </c>
      <c r="Q770" s="366">
        <f>VLOOKUP(Tableau119[[#This Row],[Name ILN]],Plant_AILN!F:G,2,FALSE)</f>
        <v>92000100</v>
      </c>
      <c r="R770" s="81">
        <f>VLOOKUP(Tableau119[[#This Row],[Compte ILN]],'DATA ILN'!D:I,6,FALSE)</f>
        <v>9</v>
      </c>
      <c r="S770" s="81" t="e">
        <f>IFERROR(VLOOKUP(Tableau119[[#This Row],[Key(Compte ILN - shipper - POL - plant)]],'DATA ILN'!A:J,10,FALSE),VLOOKUP(Tableau119[[#This Row],[Key(Compte ILN - shipper - POL)]],'DATA ILN'!B:J,9,FALSE))</f>
        <v>#N/A</v>
      </c>
      <c r="T770" s="81" t="e">
        <f>IFERROR(VLOOKUP(Tableau119[[#This Row],[Key(Compte ILN - shipper - POL - plant)]],'DATA ILN'!A:K,11,FALSE),VLOOKUP(Tableau119[[#This Row],[Key(Compte ILN - shipper - POL)]],'DATA ILN'!B:K,10,FALSE))</f>
        <v>#N/A</v>
      </c>
      <c r="U770" s="81" t="e">
        <f>IFERROR(VLOOKUP(Tableau119[[#This Row],[Key(Compte ILN - shipper - POL - plant)]],'DATA ILN'!A:L,12,FALSE),VLOOKUP(Tableau119[[#This Row],[Key(Compte ILN - shipper - POL)]],'DATA ILN'!B:L,11,FALSE))</f>
        <v>#N/A</v>
      </c>
      <c r="V770" s="81" t="e">
        <f>Tableau119[[#This Row],[Day ILN Order]]+Tableau119[[#This Row],[Delivery time to ILN/Shipper]]-1</f>
        <v>#N/A</v>
      </c>
      <c r="W770" s="81" t="e">
        <f>IFERROR(VLOOKUP(Tableau119[[#This Row],[Key(Compte ILN - shipper - POL - plant)]],'DATA ILN'!A:N,14,FALSE),VLOOKUP(Tableau119[[#This Row],[Key(Compte ILN - shipper - POL)]],'DATA ILN'!B:N,13,FALSE))</f>
        <v>#N/A</v>
      </c>
      <c r="X770" s="81" t="e">
        <f>IFERROR(VLOOKUP(Tableau119[[#This Row],[Key(Compte ILN - shipper - POL - plant)]],'DATA ILN'!A:P,16,FALSE),VLOOKUP(Tableau119[[#This Row],[Key(Compte ILN - shipper - POL)]],'DATA ILN'!B:P,15,FALSE))</f>
        <v>#N/A</v>
      </c>
      <c r="Y770" s="102" t="s">
        <v>143</v>
      </c>
      <c r="Z770" s="417">
        <f>IFERROR(VLOOKUP(Tableau119[[#This Row],[Name Shipper]],Plant_AILN!L:M,2,FALSE),0)</f>
        <v>92000100</v>
      </c>
      <c r="AA770" s="416">
        <v>802</v>
      </c>
      <c r="AB770" s="396" t="b">
        <f>_xlfn.XLOOKUP(Tableau119[[#This Row],[Key(ID-date)]],'DATA BTO'!S:S,'DATA BTO'!E:E,FALSE)</f>
        <v>0</v>
      </c>
      <c r="AC770" s="3" t="b">
        <f>_xlfn.XLOOKUP(Tableau119[[#This Row],[Key(ID-date)]],'DATA BTO'!S:S,'DATA BTO'!F:F,FALSE)</f>
        <v>0</v>
      </c>
      <c r="AD770" s="50" t="b">
        <f>_xlfn.XLOOKUP(Tableau119[[#This Row],[Key(ID-date)]],'DATA BTO'!S:S,'DATA BTO'!G:G,FALSE)</f>
        <v>0</v>
      </c>
      <c r="AE770" s="50" t="b">
        <f>_xlfn.XLOOKUP(Tableau119[[#This Row],[Key(ID-date)]],'DATA BTO'!S:S,'DATA BTO'!H:H,FALSE)</f>
        <v>0</v>
      </c>
      <c r="AF770" s="447" t="e">
        <f>IF(Tableau119[[#This Row],[First Day to POL]]&lt;=Tableau119[[#This Row],[Day Cut Off]],Tableau119[[#This Row],[Day ETD]],Tableau119[[#This Row],[Day ETD]]+7)</f>
        <v>#N/A</v>
      </c>
      <c r="AG770" s="50" t="b">
        <f>_xlfn.XLOOKUP(Tableau119[[#This Row],[Key(ID-date)]],'DATA BTO'!S:S,'DATA BTO'!I:I,FALSE)</f>
        <v>0</v>
      </c>
      <c r="AH770" s="3" t="b">
        <f>_xlfn.XLOOKUP(Tableau119[[#This Row],[Key(ID-date)]],'DATA BTO'!S:S,'DATA BTO'!J:J,FALSE)</f>
        <v>0</v>
      </c>
      <c r="AI770" s="3" t="b">
        <f>_xlfn.XLOOKUP(Tableau119[[#This Row],[Key(ID-date)]],'DATA BTO'!S:S,'DATA BTO'!K:K,FALSE)</f>
        <v>0</v>
      </c>
      <c r="AJ770" s="50" t="b">
        <f>_xlfn.XLOOKUP(Tableau119[[#This Row],[Key(ID-date)]],'DATA BTO'!S:S,'DATA BTO'!L:L,FALSE)</f>
        <v>0</v>
      </c>
      <c r="AK770" s="53" t="b">
        <f>_xlfn.XLOOKUP(Tableau119[[#This Row],[Key(ID-date)]],'DATA BTO'!S:S,'DATA BTO'!N:N,FALSE)</f>
        <v>0</v>
      </c>
      <c r="AL770" s="54" t="e">
        <f>VLOOKUP(Tableau119[[#This Row],[Key(POD -PFI- Usine)]],'DATA Consignee'!A:F,6,FALSE)</f>
        <v>#N/A</v>
      </c>
      <c r="AM770" s="127"/>
      <c r="AN770" s="375" t="str">
        <f>IF(Tableau119[[#This Row],[Name PFI/CDD]]="","-",VLOOKUP(Tableau119[[#This Row],[Name PFI/CDD]],Plant_AILN!I:J,2,FALSE))</f>
        <v>-</v>
      </c>
      <c r="AO77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0" s="110" t="e">
        <f>VLOOKUP(Tableau119[[#This Row],[Key(POD -PFI- Usine)]],'DATA Consignee'!A:J,10,FALSE)</f>
        <v>#N/A</v>
      </c>
      <c r="AR770" s="81" t="e">
        <f>VLOOKUP(Tableau119[[#This Row],[Key(POD -PFI- Usine)]],'DATA Consignee'!A:N,14,FALSE)</f>
        <v>#N/A</v>
      </c>
      <c r="AS77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0" s="81">
        <f>Tableau119[[#This Row],[Transit time]]+Tableau119[[#This Row],[Time for security]]+Tableau119[[#This Row],[Time for security2 buffer]]</f>
        <v>0</v>
      </c>
      <c r="AV7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0" s="50" t="e">
        <f>Tableau119[[#This Row],[Leadtime SI2C]]+Tableau119[[#This Row],[First Receipt Days]]-Tableau119[[#This Row],[Day Customer Order]]+1</f>
        <v>#N/A</v>
      </c>
      <c r="AX770" s="119" t="e">
        <f>IF(Tableau119[[#This Row],[Name ILN]]&lt;&gt;"SFK Freight Forwarder",Tableau119[[#This Row],[Cust. Leadtime]],Tableau119[[#This Row],[Leadtime SI2C]])</f>
        <v>#N/A</v>
      </c>
      <c r="AY770" s="51" t="b">
        <f>_xlfn.XLOOKUP(Tableau119[[#This Row],[Key(ID-date)]],'DATA BTO'!S:S,'DATA BTO'!P:P,FALSE)</f>
        <v>0</v>
      </c>
      <c r="AZ770" s="388">
        <v>46142</v>
      </c>
      <c r="BA770" s="81"/>
    </row>
    <row r="771" spans="2:53">
      <c r="B771" s="446" t="str">
        <f>_xlfn.CONCAT(Tableau119[[#This Row],[Name ILN]],"-",Tableau119[[#This Row],[Name Shipper]],"-",Tableau119[[#This Row],[Name Site]])</f>
        <v>ILN FR-RENAULT CLEON-Curitiba CVP</v>
      </c>
      <c r="C771" s="66" t="str">
        <f>_xlfn.CONCAT(Tableau119[[#This Row],[Compte ILN]],"-",Tableau119[[#This Row],[Compte Shipper]],"-",Tableau119[[#This Row],[POL]],"-",Tableau119[[#This Row],[Compte Consignee]])</f>
        <v>92000100-90016100-FALSO-90018000</v>
      </c>
      <c r="D771" s="66" t="str">
        <f>_xlfn.CONCAT(Tableau119[[#This Row],[Compte ILN]],"-",Tableau119[[#This Row],[Compte Shipper]],"-",Tableau119[[#This Row],[POL]])</f>
        <v>92000100-90016100-FALSO</v>
      </c>
      <c r="E771" s="130" t="str">
        <f>_xlfn.CONCAT(Tableau119[[#This Row],[POL]],"-",Tableau119[[#This Row],[Carrier]],"-",Tableau119[[#This Row],[POD]])</f>
        <v>FALSO-FALSO-FALSO</v>
      </c>
      <c r="F771" s="66" t="str">
        <f>_xlfn.CONCAT(Tableau119[[#This Row],[ID]],"-","Actif")</f>
        <v>802-Actif</v>
      </c>
      <c r="G771" s="66" t="str">
        <f>_xlfn.CONCAT(Tableau119[[#This Row],[POD]],"-",Tableau119[[#This Row],[Code PFI]],"-",Tableau119[[#This Row],[Compte Consignee]])</f>
        <v>FALSO---90018000</v>
      </c>
      <c r="H7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90016100FALSOCuritiba CVP</v>
      </c>
      <c r="I771" s="434" t="str">
        <f>_xlfn.CONCAT(Tableau119[[#This Row],[ID]],"-",Tableau119[[#This Row],[Expiration Date]])</f>
        <v>802-45777</v>
      </c>
      <c r="J7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FR-RENAULT CLEON-802-FALSO-FALSO-FALSO--45777</v>
      </c>
      <c r="K771" s="119" t="str">
        <f ca="1">IF(COUNTIF(J:J,Tableau119[[#This Row],[Plant-ILN-shipper-POL-Carrier-POD-PFI]])=1,"Non","Oui")</f>
        <v>Non</v>
      </c>
      <c r="L771" s="128" t="str">
        <f>VLOOKUP(Tableau119[[#This Row],[Name Site]],Plant_AILN!A:D,4,FALSE)</f>
        <v>BRAZIL</v>
      </c>
      <c r="M771" s="411" t="s">
        <v>152</v>
      </c>
      <c r="N771" s="454">
        <f>VLOOKUP(Tableau119[[#This Row],[Name Site]],Plant_AILN!A:C,3,FALSE)</f>
        <v>90018000</v>
      </c>
      <c r="O771" s="55">
        <f>VLOOKUP(Tableau119[[#This Row],[Compte Consignee]],Order!C:D,2,FALSE)</f>
        <v>7</v>
      </c>
      <c r="P771" s="124" t="s">
        <v>143</v>
      </c>
      <c r="Q771" s="365">
        <f>VLOOKUP(Tableau119[[#This Row],[Name ILN]],Plant_AILN!F:G,2,FALSE)</f>
        <v>92000100</v>
      </c>
      <c r="R771" s="50">
        <f>VLOOKUP(Tableau119[[#This Row],[Compte ILN]],'DATA ILN'!D:I,6,FALSE)</f>
        <v>9</v>
      </c>
      <c r="S771" s="50" t="e">
        <f>IFERROR(VLOOKUP(Tableau119[[#This Row],[Key(Compte ILN - shipper - POL - plant)]],'DATA ILN'!A:J,10,FALSE),VLOOKUP(Tableau119[[#This Row],[Key(Compte ILN - shipper - POL)]],'DATA ILN'!B:J,9,FALSE))</f>
        <v>#N/A</v>
      </c>
      <c r="T771" s="50" t="e">
        <f>IFERROR(VLOOKUP(Tableau119[[#This Row],[Key(Compte ILN - shipper - POL - plant)]],'DATA ILN'!A:K,11,FALSE),VLOOKUP(Tableau119[[#This Row],[Key(Compte ILN - shipper - POL)]],'DATA ILN'!B:K,10,FALSE))</f>
        <v>#N/A</v>
      </c>
      <c r="U771" s="50" t="e">
        <f>IFERROR(VLOOKUP(Tableau119[[#This Row],[Key(Compte ILN - shipper - POL - plant)]],'DATA ILN'!A:L,12,FALSE),VLOOKUP(Tableau119[[#This Row],[Key(Compte ILN - shipper - POL)]],'DATA ILN'!B:L,11,FALSE))</f>
        <v>#N/A</v>
      </c>
      <c r="V771" s="50" t="e">
        <f>Tableau119[[#This Row],[Day ILN Order]]+Tableau119[[#This Row],[Delivery time to ILN/Shipper]]-1</f>
        <v>#N/A</v>
      </c>
      <c r="W771" s="50" t="e">
        <f>IFERROR(VLOOKUP(Tableau119[[#This Row],[Key(Compte ILN - shipper - POL - plant)]],'DATA ILN'!A:N,14,FALSE),VLOOKUP(Tableau119[[#This Row],[Key(Compte ILN - shipper - POL)]],'DATA ILN'!B:N,13,FALSE))</f>
        <v>#N/A</v>
      </c>
      <c r="X771" s="50" t="e">
        <f>IFERROR(VLOOKUP(Tableau119[[#This Row],[Key(Compte ILN - shipper - POL - plant)]],'DATA ILN'!A:P,16,FALSE),VLOOKUP(Tableau119[[#This Row],[Key(Compte ILN - shipper - POL)]],'DATA ILN'!B:P,15,FALSE))</f>
        <v>#N/A</v>
      </c>
      <c r="Y771" s="284" t="s">
        <v>291</v>
      </c>
      <c r="Z771" s="430">
        <f>IFERROR(VLOOKUP(Tableau119[[#This Row],[Name Shipper]],Plant_AILN!L:M,2,FALSE),0)</f>
        <v>90016100</v>
      </c>
      <c r="AA771" s="406">
        <v>802</v>
      </c>
      <c r="AB771" s="396" t="b">
        <f>_xlfn.XLOOKUP(Tableau119[[#This Row],[Key(ID-date)]],'DATA BTO'!S:S,'DATA BTO'!E:E,FALSE)</f>
        <v>0</v>
      </c>
      <c r="AC771" s="3" t="b">
        <f>_xlfn.XLOOKUP(Tableau119[[#This Row],[Key(ID-date)]],'DATA BTO'!S:S,'DATA BTO'!F:F,FALSE)</f>
        <v>0</v>
      </c>
      <c r="AD771" s="50" t="b">
        <f>_xlfn.XLOOKUP(Tableau119[[#This Row],[Key(ID-date)]],'DATA BTO'!S:S,'DATA BTO'!G:G,FALSE)</f>
        <v>0</v>
      </c>
      <c r="AE771" s="50" t="b">
        <f>_xlfn.XLOOKUP(Tableau119[[#This Row],[Key(ID-date)]],'DATA BTO'!S:S,'DATA BTO'!H:H,FALSE)</f>
        <v>0</v>
      </c>
      <c r="AF771" s="447" t="e">
        <f>IF(Tableau119[[#This Row],[First Day to POL]]&lt;=Tableau119[[#This Row],[Day Cut Off]],Tableau119[[#This Row],[Day ETD]],Tableau119[[#This Row],[Day ETD]]+7)</f>
        <v>#N/A</v>
      </c>
      <c r="AG771" s="50" t="b">
        <f>_xlfn.XLOOKUP(Tableau119[[#This Row],[Key(ID-date)]],'DATA BTO'!S:S,'DATA BTO'!I:I,FALSE)</f>
        <v>0</v>
      </c>
      <c r="AH771" s="3" t="b">
        <f>_xlfn.XLOOKUP(Tableau119[[#This Row],[Key(ID-date)]],'DATA BTO'!S:S,'DATA BTO'!J:J,FALSE)</f>
        <v>0</v>
      </c>
      <c r="AI771" s="3" t="b">
        <f>_xlfn.XLOOKUP(Tableau119[[#This Row],[Key(ID-date)]],'DATA BTO'!S:S,'DATA BTO'!K:K,FALSE)</f>
        <v>0</v>
      </c>
      <c r="AJ771" s="50" t="b">
        <f>_xlfn.XLOOKUP(Tableau119[[#This Row],[Key(ID-date)]],'DATA BTO'!S:S,'DATA BTO'!L:L,FALSE)</f>
        <v>0</v>
      </c>
      <c r="AK771" s="53" t="b">
        <f>_xlfn.XLOOKUP(Tableau119[[#This Row],[Key(ID-date)]],'DATA BTO'!S:S,'DATA BTO'!N:N,FALSE)</f>
        <v>0</v>
      </c>
      <c r="AL771" s="54" t="e">
        <f>VLOOKUP(Tableau119[[#This Row],[Key(POD -PFI- Usine)]],'DATA Consignee'!A:F,6,FALSE)</f>
        <v>#N/A</v>
      </c>
      <c r="AM771" s="127"/>
      <c r="AN771" s="376" t="str">
        <f>IF(Tableau119[[#This Row],[Name PFI/CDD]]="","-",VLOOKUP(Tableau119[[#This Row],[Name PFI/CDD]],Plant_AILN!I:J,2,FALSE))</f>
        <v>-</v>
      </c>
      <c r="AO7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1" s="2" t="e">
        <f>VLOOKUP(Tableau119[[#This Row],[Key(POD -PFI- Usine)]],'DATA Consignee'!A:J,10,FALSE)</f>
        <v>#N/A</v>
      </c>
      <c r="AR771" s="50" t="e">
        <f>VLOOKUP(Tableau119[[#This Row],[Key(POD -PFI- Usine)]],'DATA Consignee'!A:N,14,FALSE)</f>
        <v>#N/A</v>
      </c>
      <c r="AS7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1" s="50">
        <f>Tableau119[[#This Row],[Transit time]]+Tableau119[[#This Row],[Time for security]]+Tableau119[[#This Row],[Time for security2 buffer]]</f>
        <v>0</v>
      </c>
      <c r="AV7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1" s="50" t="e">
        <f>Tableau119[[#This Row],[Leadtime SI2C]]+Tableau119[[#This Row],[First Receipt Days]]-Tableau119[[#This Row],[Day Customer Order]]+1</f>
        <v>#N/A</v>
      </c>
      <c r="AX771" s="119" t="e">
        <f>IF(Tableau119[[#This Row],[Name ILN]]&lt;&gt;"SFK Freight Forwarder",Tableau119[[#This Row],[Cust. Leadtime]],Tableau119[[#This Row],[Leadtime SI2C]])</f>
        <v>#N/A</v>
      </c>
      <c r="AY771" s="51" t="b">
        <f>_xlfn.XLOOKUP(Tableau119[[#This Row],[Key(ID-date)]],'DATA BTO'!S:S,'DATA BTO'!P:P,FALSE)</f>
        <v>0</v>
      </c>
      <c r="AZ771" s="338">
        <v>45777</v>
      </c>
      <c r="BA771" s="50"/>
    </row>
    <row r="772" spans="2:53">
      <c r="B772" s="446" t="str">
        <f>_xlfn.CONCAT(Tableau119[[#This Row],[Name ILN]],"-",Tableau119[[#This Row],[Name Shipper]],"-",Tableau119[[#This Row],[Name Site]])</f>
        <v>ILN FR-ILN FR-Curitiba CVP</v>
      </c>
      <c r="C772" s="66" t="str">
        <f>_xlfn.CONCAT(Tableau119[[#This Row],[Compte ILN]],"-",Tableau119[[#This Row],[Compte Shipper]],"-",Tableau119[[#This Row],[POL]],"-",Tableau119[[#This Row],[Compte Consignee]])</f>
        <v>92000100-92000100-FALSO-90018000</v>
      </c>
      <c r="D772" s="66" t="str">
        <f>_xlfn.CONCAT(Tableau119[[#This Row],[Compte ILN]],"-",Tableau119[[#This Row],[Compte Shipper]],"-",Tableau119[[#This Row],[POL]])</f>
        <v>92000100-92000100-FALSO</v>
      </c>
      <c r="E772" s="130" t="str">
        <f>_xlfn.CONCAT(Tableau119[[#This Row],[POL]],"-",Tableau119[[#This Row],[Carrier]],"-",Tableau119[[#This Row],[POD]])</f>
        <v>FALSO-FALSO-FALSO</v>
      </c>
      <c r="F772" s="66" t="str">
        <f>_xlfn.CONCAT(Tableau119[[#This Row],[ID]],"-","Actif")</f>
        <v>802-Actif</v>
      </c>
      <c r="G772" s="66" t="str">
        <f>_xlfn.CONCAT(Tableau119[[#This Row],[POD]],"-",Tableau119[[#This Row],[Code PFI]],"-",Tableau119[[#This Row],[Compte Consignee]])</f>
        <v>FALSO---90018000</v>
      </c>
      <c r="H7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CVP</v>
      </c>
      <c r="I772" s="434" t="str">
        <f>_xlfn.CONCAT(Tableau119[[#This Row],[ID]],"-",Tableau119[[#This Row],[Expiration Date]])</f>
        <v>802-45777</v>
      </c>
      <c r="J7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FR-ILN FR-802-FALSO-FALSO-FALSO--45777</v>
      </c>
      <c r="K772" s="119" t="str">
        <f ca="1">IF(COUNTIF(J:J,Tableau119[[#This Row],[Plant-ILN-shipper-POL-Carrier-POD-PFI]])=1,"Non","Oui")</f>
        <v>Non</v>
      </c>
      <c r="L772" s="128" t="str">
        <f>VLOOKUP(Tableau119[[#This Row],[Name Site]],Plant_AILN!A:D,4,FALSE)</f>
        <v>BRAZIL</v>
      </c>
      <c r="M772" s="411" t="s">
        <v>152</v>
      </c>
      <c r="N772" s="454">
        <f>VLOOKUP(Tableau119[[#This Row],[Name Site]],Plant_AILN!A:C,3,FALSE)</f>
        <v>90018000</v>
      </c>
      <c r="O772" s="55">
        <f>VLOOKUP(Tableau119[[#This Row],[Compte Consignee]],Order!C:D,2,FALSE)</f>
        <v>7</v>
      </c>
      <c r="P772" s="124" t="s">
        <v>143</v>
      </c>
      <c r="Q772" s="365">
        <f>VLOOKUP(Tableau119[[#This Row],[Name ILN]],Plant_AILN!F:G,2,FALSE)</f>
        <v>92000100</v>
      </c>
      <c r="R772" s="50">
        <f>VLOOKUP(Tableau119[[#This Row],[Compte ILN]],'DATA ILN'!D:I,6,FALSE)</f>
        <v>9</v>
      </c>
      <c r="S772" s="50" t="e">
        <f>IFERROR(VLOOKUP(Tableau119[[#This Row],[Key(Compte ILN - shipper - POL - plant)]],'DATA ILN'!A:J,10,FALSE),VLOOKUP(Tableau119[[#This Row],[Key(Compte ILN - shipper - POL)]],'DATA ILN'!B:J,9,FALSE))</f>
        <v>#N/A</v>
      </c>
      <c r="T772" s="50" t="e">
        <f>IFERROR(VLOOKUP(Tableau119[[#This Row],[Key(Compte ILN - shipper - POL - plant)]],'DATA ILN'!A:K,11,FALSE),VLOOKUP(Tableau119[[#This Row],[Key(Compte ILN - shipper - POL)]],'DATA ILN'!B:K,10,FALSE))</f>
        <v>#N/A</v>
      </c>
      <c r="U772" s="50" t="e">
        <f>IFERROR(VLOOKUP(Tableau119[[#This Row],[Key(Compte ILN - shipper - POL - plant)]],'DATA ILN'!A:L,12,FALSE),VLOOKUP(Tableau119[[#This Row],[Key(Compte ILN - shipper - POL)]],'DATA ILN'!B:L,11,FALSE))</f>
        <v>#N/A</v>
      </c>
      <c r="V772" s="50" t="e">
        <f>Tableau119[[#This Row],[Day ILN Order]]+Tableau119[[#This Row],[Delivery time to ILN/Shipper]]-1</f>
        <v>#N/A</v>
      </c>
      <c r="W772" s="50" t="e">
        <f>IFERROR(VLOOKUP(Tableau119[[#This Row],[Key(Compte ILN - shipper - POL - plant)]],'DATA ILN'!A:N,14,FALSE),VLOOKUP(Tableau119[[#This Row],[Key(Compte ILN - shipper - POL)]],'DATA ILN'!B:N,13,FALSE))</f>
        <v>#N/A</v>
      </c>
      <c r="X772" s="50" t="e">
        <f>IFERROR(VLOOKUP(Tableau119[[#This Row],[Key(Compte ILN - shipper - POL - plant)]],'DATA ILN'!A:P,16,FALSE),VLOOKUP(Tableau119[[#This Row],[Key(Compte ILN - shipper - POL)]],'DATA ILN'!B:P,15,FALSE))</f>
        <v>#N/A</v>
      </c>
      <c r="Y772" s="284" t="s">
        <v>143</v>
      </c>
      <c r="Z772" s="430">
        <f>IFERROR(VLOOKUP(Tableau119[[#This Row],[Name Shipper]],Plant_AILN!L:M,2,FALSE),0)</f>
        <v>92000100</v>
      </c>
      <c r="AA772" s="406">
        <v>802</v>
      </c>
      <c r="AB772" s="396" t="b">
        <f>_xlfn.XLOOKUP(Tableau119[[#This Row],[Key(ID-date)]],'DATA BTO'!S:S,'DATA BTO'!E:E,FALSE)</f>
        <v>0</v>
      </c>
      <c r="AC772" s="3" t="b">
        <f>_xlfn.XLOOKUP(Tableau119[[#This Row],[Key(ID-date)]],'DATA BTO'!S:S,'DATA BTO'!F:F,FALSE)</f>
        <v>0</v>
      </c>
      <c r="AD772" s="50" t="b">
        <f>_xlfn.XLOOKUP(Tableau119[[#This Row],[Key(ID-date)]],'DATA BTO'!S:S,'DATA BTO'!G:G,FALSE)</f>
        <v>0</v>
      </c>
      <c r="AE772" s="50" t="b">
        <f>_xlfn.XLOOKUP(Tableau119[[#This Row],[Key(ID-date)]],'DATA BTO'!S:S,'DATA BTO'!H:H,FALSE)</f>
        <v>0</v>
      </c>
      <c r="AF772" s="447" t="e">
        <f>IF(Tableau119[[#This Row],[First Day to POL]]&lt;=Tableau119[[#This Row],[Day Cut Off]],Tableau119[[#This Row],[Day ETD]],Tableau119[[#This Row],[Day ETD]]+7)</f>
        <v>#N/A</v>
      </c>
      <c r="AG772" s="50" t="b">
        <f>_xlfn.XLOOKUP(Tableau119[[#This Row],[Key(ID-date)]],'DATA BTO'!S:S,'DATA BTO'!I:I,FALSE)</f>
        <v>0</v>
      </c>
      <c r="AH772" s="3" t="b">
        <f>_xlfn.XLOOKUP(Tableau119[[#This Row],[Key(ID-date)]],'DATA BTO'!S:S,'DATA BTO'!J:J,FALSE)</f>
        <v>0</v>
      </c>
      <c r="AI772" s="3" t="b">
        <f>_xlfn.XLOOKUP(Tableau119[[#This Row],[Key(ID-date)]],'DATA BTO'!S:S,'DATA BTO'!K:K,FALSE)</f>
        <v>0</v>
      </c>
      <c r="AJ772" s="50" t="b">
        <f>_xlfn.XLOOKUP(Tableau119[[#This Row],[Key(ID-date)]],'DATA BTO'!S:S,'DATA BTO'!L:L,FALSE)</f>
        <v>0</v>
      </c>
      <c r="AK772" s="53" t="b">
        <f>_xlfn.XLOOKUP(Tableau119[[#This Row],[Key(ID-date)]],'DATA BTO'!S:S,'DATA BTO'!N:N,FALSE)</f>
        <v>0</v>
      </c>
      <c r="AL772" s="54" t="e">
        <f>VLOOKUP(Tableau119[[#This Row],[Key(POD -PFI- Usine)]],'DATA Consignee'!A:F,6,FALSE)</f>
        <v>#N/A</v>
      </c>
      <c r="AM772" s="127"/>
      <c r="AN772" s="376" t="str">
        <f>IF(Tableau119[[#This Row],[Name PFI/CDD]]="","-",VLOOKUP(Tableau119[[#This Row],[Name PFI/CDD]],Plant_AILN!I:J,2,FALSE))</f>
        <v>-</v>
      </c>
      <c r="AO7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2" s="2" t="e">
        <f>VLOOKUP(Tableau119[[#This Row],[Key(POD -PFI- Usine)]],'DATA Consignee'!A:J,10,FALSE)</f>
        <v>#N/A</v>
      </c>
      <c r="AR772" s="50" t="e">
        <f>VLOOKUP(Tableau119[[#This Row],[Key(POD -PFI- Usine)]],'DATA Consignee'!A:N,14,FALSE)</f>
        <v>#N/A</v>
      </c>
      <c r="AS77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2" s="50">
        <f>Tableau119[[#This Row],[Transit time]]+Tableau119[[#This Row],[Time for security]]+Tableau119[[#This Row],[Time for security2 buffer]]</f>
        <v>0</v>
      </c>
      <c r="AV7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2" s="50" t="e">
        <f>Tableau119[[#This Row],[Leadtime SI2C]]+Tableau119[[#This Row],[First Receipt Days]]-Tableau119[[#This Row],[Day Customer Order]]+1</f>
        <v>#N/A</v>
      </c>
      <c r="AX772" s="119" t="e">
        <f>IF(Tableau119[[#This Row],[Name ILN]]&lt;&gt;"SFK Freight Forwarder",Tableau119[[#This Row],[Cust. Leadtime]],Tableau119[[#This Row],[Leadtime SI2C]])</f>
        <v>#N/A</v>
      </c>
      <c r="AY772" s="51" t="b">
        <f>_xlfn.XLOOKUP(Tableau119[[#This Row],[Key(ID-date)]],'DATA BTO'!S:S,'DATA BTO'!P:P,FALSE)</f>
        <v>0</v>
      </c>
      <c r="AZ772" s="338">
        <v>45777</v>
      </c>
      <c r="BA772" s="50"/>
    </row>
    <row r="773" spans="2:53">
      <c r="B773" s="446" t="str">
        <f>_xlfn.CONCAT(Tableau119[[#This Row],[Name ILN]],"-",Tableau119[[#This Row],[Name Shipper]],"-",Tableau119[[#This Row],[Name Site]])</f>
        <v>ILN FR-ILN FR-Curitiba CVU</v>
      </c>
      <c r="C773" s="66" t="str">
        <f>_xlfn.CONCAT(Tableau119[[#This Row],[Compte ILN]],"-",Tableau119[[#This Row],[Compte Shipper]],"-",Tableau119[[#This Row],[POL]],"-",Tableau119[[#This Row],[Compte Consignee]])</f>
        <v>92000100-92000100-FALSO-90018500</v>
      </c>
      <c r="D773" s="66" t="str">
        <f>_xlfn.CONCAT(Tableau119[[#This Row],[Compte ILN]],"-",Tableau119[[#This Row],[Compte Shipper]],"-",Tableau119[[#This Row],[POL]])</f>
        <v>92000100-92000100-FALSO</v>
      </c>
      <c r="E773" s="130" t="str">
        <f>_xlfn.CONCAT(Tableau119[[#This Row],[POL]],"-",Tableau119[[#This Row],[Carrier]],"-",Tableau119[[#This Row],[POD]])</f>
        <v>FALSO-FALSO-FALSO</v>
      </c>
      <c r="F773" s="66" t="str">
        <f>_xlfn.CONCAT(Tableau119[[#This Row],[ID]],"-","Actif")</f>
        <v>802-Actif</v>
      </c>
      <c r="G773" s="66" t="str">
        <f>_xlfn.CONCAT(Tableau119[[#This Row],[POD]],"-",Tableau119[[#This Row],[Code PFI]],"-",Tableau119[[#This Row],[Compte Consignee]])</f>
        <v>FALSO---90018500</v>
      </c>
      <c r="H7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CVU</v>
      </c>
      <c r="I773" s="434" t="str">
        <f>_xlfn.CONCAT(Tableau119[[#This Row],[ID]],"-",Tableau119[[#This Row],[Expiration Date]])</f>
        <v>802-45777</v>
      </c>
      <c r="J7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FR-ILN FR-802-FALSO-FALSO-FALSO--45777</v>
      </c>
      <c r="K773" s="119" t="str">
        <f ca="1">IF(COUNTIF(J:J,Tableau119[[#This Row],[Plant-ILN-shipper-POL-Carrier-POD-PFI]])=1,"Non","Oui")</f>
        <v>Non</v>
      </c>
      <c r="L773" s="128" t="str">
        <f>VLOOKUP(Tableau119[[#This Row],[Name Site]],Plant_AILN!A:D,4,FALSE)</f>
        <v>BRAZIL</v>
      </c>
      <c r="M773" s="411" t="s">
        <v>639</v>
      </c>
      <c r="N773" s="454">
        <f>VLOOKUP(Tableau119[[#This Row],[Name Site]],Plant_AILN!A:C,3,FALSE)</f>
        <v>90018500</v>
      </c>
      <c r="O773" s="55">
        <f>VLOOKUP(Tableau119[[#This Row],[Compte Consignee]],Order!C:D,2,FALSE)</f>
        <v>7</v>
      </c>
      <c r="P773" s="124" t="s">
        <v>143</v>
      </c>
      <c r="Q773" s="365">
        <f>VLOOKUP(Tableau119[[#This Row],[Name ILN]],Plant_AILN!F:G,2,FALSE)</f>
        <v>92000100</v>
      </c>
      <c r="R773" s="50">
        <f>VLOOKUP(Tableau119[[#This Row],[Compte ILN]],'DATA ILN'!D:I,6,FALSE)</f>
        <v>9</v>
      </c>
      <c r="S773" s="50" t="e">
        <f>IFERROR(VLOOKUP(Tableau119[[#This Row],[Key(Compte ILN - shipper - POL - plant)]],'DATA ILN'!A:J,10,FALSE),VLOOKUP(Tableau119[[#This Row],[Key(Compte ILN - shipper - POL)]],'DATA ILN'!B:J,9,FALSE))</f>
        <v>#N/A</v>
      </c>
      <c r="T773" s="50" t="e">
        <f>IFERROR(VLOOKUP(Tableau119[[#This Row],[Key(Compte ILN - shipper - POL - plant)]],'DATA ILN'!A:K,11,FALSE),VLOOKUP(Tableau119[[#This Row],[Key(Compte ILN - shipper - POL)]],'DATA ILN'!B:K,10,FALSE))</f>
        <v>#N/A</v>
      </c>
      <c r="U773" s="50" t="e">
        <f>IFERROR(VLOOKUP(Tableau119[[#This Row],[Key(Compte ILN - shipper - POL - plant)]],'DATA ILN'!A:L,12,FALSE),VLOOKUP(Tableau119[[#This Row],[Key(Compte ILN - shipper - POL)]],'DATA ILN'!B:L,11,FALSE))</f>
        <v>#N/A</v>
      </c>
      <c r="V773" s="50" t="e">
        <f>Tableau119[[#This Row],[Day ILN Order]]+Tableau119[[#This Row],[Delivery time to ILN/Shipper]]-1</f>
        <v>#N/A</v>
      </c>
      <c r="W773" s="50" t="e">
        <f>IFERROR(VLOOKUP(Tableau119[[#This Row],[Key(Compte ILN - shipper - POL - plant)]],'DATA ILN'!A:N,14,FALSE),VLOOKUP(Tableau119[[#This Row],[Key(Compte ILN - shipper - POL)]],'DATA ILN'!B:N,13,FALSE))</f>
        <v>#N/A</v>
      </c>
      <c r="X773" s="50" t="e">
        <f>IFERROR(VLOOKUP(Tableau119[[#This Row],[Key(Compte ILN - shipper - POL - plant)]],'DATA ILN'!A:P,16,FALSE),VLOOKUP(Tableau119[[#This Row],[Key(Compte ILN - shipper - POL)]],'DATA ILN'!B:P,15,FALSE))</f>
        <v>#N/A</v>
      </c>
      <c r="Y773" s="284" t="s">
        <v>143</v>
      </c>
      <c r="Z773" s="430">
        <f>IFERROR(VLOOKUP(Tableau119[[#This Row],[Name Shipper]],Plant_AILN!L:M,2,FALSE),0)</f>
        <v>92000100</v>
      </c>
      <c r="AA773" s="406">
        <v>802</v>
      </c>
      <c r="AB773" s="396" t="b">
        <f>_xlfn.XLOOKUP(Tableau119[[#This Row],[Key(ID-date)]],'DATA BTO'!S:S,'DATA BTO'!E:E,FALSE)</f>
        <v>0</v>
      </c>
      <c r="AC773" s="3" t="b">
        <f>_xlfn.XLOOKUP(Tableau119[[#This Row],[Key(ID-date)]],'DATA BTO'!S:S,'DATA BTO'!F:F,FALSE)</f>
        <v>0</v>
      </c>
      <c r="AD773" s="50" t="b">
        <f>_xlfn.XLOOKUP(Tableau119[[#This Row],[Key(ID-date)]],'DATA BTO'!S:S,'DATA BTO'!G:G,FALSE)</f>
        <v>0</v>
      </c>
      <c r="AE773" s="50" t="b">
        <f>_xlfn.XLOOKUP(Tableau119[[#This Row],[Key(ID-date)]],'DATA BTO'!S:S,'DATA BTO'!H:H,FALSE)</f>
        <v>0</v>
      </c>
      <c r="AF773" s="447" t="e">
        <f>IF(Tableau119[[#This Row],[First Day to POL]]&lt;=Tableau119[[#This Row],[Day Cut Off]],Tableau119[[#This Row],[Day ETD]],Tableau119[[#This Row],[Day ETD]]+7)</f>
        <v>#N/A</v>
      </c>
      <c r="AG773" s="50" t="b">
        <f>_xlfn.XLOOKUP(Tableau119[[#This Row],[Key(ID-date)]],'DATA BTO'!S:S,'DATA BTO'!I:I,FALSE)</f>
        <v>0</v>
      </c>
      <c r="AH773" s="3" t="b">
        <f>_xlfn.XLOOKUP(Tableau119[[#This Row],[Key(ID-date)]],'DATA BTO'!S:S,'DATA BTO'!J:J,FALSE)</f>
        <v>0</v>
      </c>
      <c r="AI773" s="3" t="b">
        <f>_xlfn.XLOOKUP(Tableau119[[#This Row],[Key(ID-date)]],'DATA BTO'!S:S,'DATA BTO'!K:K,FALSE)</f>
        <v>0</v>
      </c>
      <c r="AJ773" s="50" t="b">
        <f>_xlfn.XLOOKUP(Tableau119[[#This Row],[Key(ID-date)]],'DATA BTO'!S:S,'DATA BTO'!L:L,FALSE)</f>
        <v>0</v>
      </c>
      <c r="AK773" s="53" t="b">
        <f>_xlfn.XLOOKUP(Tableau119[[#This Row],[Key(ID-date)]],'DATA BTO'!S:S,'DATA BTO'!N:N,FALSE)</f>
        <v>0</v>
      </c>
      <c r="AL773" s="54" t="e">
        <f>VLOOKUP(Tableau119[[#This Row],[Key(POD -PFI- Usine)]],'DATA Consignee'!A:F,6,FALSE)</f>
        <v>#N/A</v>
      </c>
      <c r="AM773" s="127"/>
      <c r="AN773" s="376" t="str">
        <f>IF(Tableau119[[#This Row],[Name PFI/CDD]]="","-",VLOOKUP(Tableau119[[#This Row],[Name PFI/CDD]],Plant_AILN!I:J,2,FALSE))</f>
        <v>-</v>
      </c>
      <c r="AO7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3" s="2" t="e">
        <f>VLOOKUP(Tableau119[[#This Row],[Key(POD -PFI- Usine)]],'DATA Consignee'!A:J,10,FALSE)</f>
        <v>#N/A</v>
      </c>
      <c r="AR773" s="50" t="e">
        <f>VLOOKUP(Tableau119[[#This Row],[Key(POD -PFI- Usine)]],'DATA Consignee'!A:N,14,FALSE)</f>
        <v>#N/A</v>
      </c>
      <c r="AS77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3" s="50">
        <f>Tableau119[[#This Row],[Transit time]]+Tableau119[[#This Row],[Time for security]]+Tableau119[[#This Row],[Time for security2 buffer]]</f>
        <v>0</v>
      </c>
      <c r="AV77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3" s="50" t="e">
        <f>Tableau119[[#This Row],[Leadtime SI2C]]+Tableau119[[#This Row],[First Receipt Days]]-Tableau119[[#This Row],[Day Customer Order]]+1</f>
        <v>#N/A</v>
      </c>
      <c r="AX773" s="119" t="e">
        <f>IF(Tableau119[[#This Row],[Name ILN]]&lt;&gt;"SFK Freight Forwarder",Tableau119[[#This Row],[Cust. Leadtime]],Tableau119[[#This Row],[Leadtime SI2C]])</f>
        <v>#N/A</v>
      </c>
      <c r="AY773" s="51" t="b">
        <f>_xlfn.XLOOKUP(Tableau119[[#This Row],[Key(ID-date)]],'DATA BTO'!S:S,'DATA BTO'!P:P,FALSE)</f>
        <v>0</v>
      </c>
      <c r="AZ773" s="338">
        <v>45777</v>
      </c>
      <c r="BA773" s="50"/>
    </row>
    <row r="774" spans="2:53">
      <c r="B774" s="446" t="str">
        <f>_xlfn.CONCAT(Tableau119[[#This Row],[Name ILN]],"-",Tableau119[[#This Row],[Name Shipper]],"-",Tableau119[[#This Row],[Name Site]])</f>
        <v>ILN FR-RENAULT CLEON-Curitiba CVP</v>
      </c>
      <c r="C774" s="66" t="str">
        <f>_xlfn.CONCAT(Tableau119[[#This Row],[Compte ILN]],"-",Tableau119[[#This Row],[Compte Shipper]],"-",Tableau119[[#This Row],[POL]],"-",Tableau119[[#This Row],[Compte Consignee]])</f>
        <v>92000100-90016100-FALSO-90018000</v>
      </c>
      <c r="D774" s="66" t="str">
        <f>_xlfn.CONCAT(Tableau119[[#This Row],[Compte ILN]],"-",Tableau119[[#This Row],[Compte Shipper]],"-",Tableau119[[#This Row],[POL]])</f>
        <v>92000100-90016100-FALSO</v>
      </c>
      <c r="E774" s="130" t="str">
        <f>_xlfn.CONCAT(Tableau119[[#This Row],[POL]],"-",Tableau119[[#This Row],[Carrier]],"-",Tableau119[[#This Row],[POD]])</f>
        <v>FALSO-FALSO-FALSO</v>
      </c>
      <c r="F774" s="66" t="str">
        <f>_xlfn.CONCAT(Tableau119[[#This Row],[ID]],"-","Actif")</f>
        <v>802-Actif</v>
      </c>
      <c r="G774" s="66" t="str">
        <f>_xlfn.CONCAT(Tableau119[[#This Row],[POD]],"-",Tableau119[[#This Row],[Code PFI]],"-",Tableau119[[#This Row],[Compte Consignee]])</f>
        <v>FALSO---90018000</v>
      </c>
      <c r="H7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90016100FALSOCuritiba CVP</v>
      </c>
      <c r="I774" s="434" t="str">
        <f>_xlfn.CONCAT(Tableau119[[#This Row],[ID]],"-",Tableau119[[#This Row],[Expiration Date]])</f>
        <v>802-45580</v>
      </c>
      <c r="J7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FR-RENAULT CLEON-802-FALSO-FALSO-FALSO--45580</v>
      </c>
      <c r="K774" s="119" t="str">
        <f ca="1">IF(COUNTIF(J:J,Tableau119[[#This Row],[Plant-ILN-shipper-POL-Carrier-POD-PFI]])=1,"Non","Oui")</f>
        <v>Non</v>
      </c>
      <c r="L774" s="128" t="str">
        <f>VLOOKUP(Tableau119[[#This Row],[Name Site]],Plant_AILN!A:D,4,FALSE)</f>
        <v>BRAZIL</v>
      </c>
      <c r="M774" s="415" t="s">
        <v>152</v>
      </c>
      <c r="N774" s="455">
        <f>VLOOKUP(Tableau119[[#This Row],[Name Site]],Plant_AILN!A:C,3,FALSE)</f>
        <v>90018000</v>
      </c>
      <c r="O774" s="104">
        <f>VLOOKUP(Tableau119[[#This Row],[Compte Consignee]],Order!C:D,2,FALSE)</f>
        <v>7</v>
      </c>
      <c r="P774" s="126" t="s">
        <v>143</v>
      </c>
      <c r="Q774" s="366">
        <f>VLOOKUP(Tableau119[[#This Row],[Name ILN]],Plant_AILN!F:G,2,FALSE)</f>
        <v>92000100</v>
      </c>
      <c r="R774" s="81">
        <f>VLOOKUP(Tableau119[[#This Row],[Compte ILN]],'DATA ILN'!D:I,6,FALSE)</f>
        <v>9</v>
      </c>
      <c r="S774" s="81" t="e">
        <f>IFERROR(VLOOKUP(Tableau119[[#This Row],[Key(Compte ILN - shipper - POL - plant)]],'DATA ILN'!A:J,10,FALSE),VLOOKUP(Tableau119[[#This Row],[Key(Compte ILN - shipper - POL)]],'DATA ILN'!B:J,9,FALSE))</f>
        <v>#N/A</v>
      </c>
      <c r="T774" s="81" t="e">
        <f>IFERROR(VLOOKUP(Tableau119[[#This Row],[Key(Compte ILN - shipper - POL - plant)]],'DATA ILN'!A:K,11,FALSE),VLOOKUP(Tableau119[[#This Row],[Key(Compte ILN - shipper - POL)]],'DATA ILN'!B:K,10,FALSE))</f>
        <v>#N/A</v>
      </c>
      <c r="U774" s="81" t="e">
        <f>IFERROR(VLOOKUP(Tableau119[[#This Row],[Key(Compte ILN - shipper - POL - plant)]],'DATA ILN'!A:L,12,FALSE),VLOOKUP(Tableau119[[#This Row],[Key(Compte ILN - shipper - POL)]],'DATA ILN'!B:L,11,FALSE))</f>
        <v>#N/A</v>
      </c>
      <c r="V774" s="81" t="e">
        <f>Tableau119[[#This Row],[Day ILN Order]]+Tableau119[[#This Row],[Delivery time to ILN/Shipper]]-1</f>
        <v>#N/A</v>
      </c>
      <c r="W774" s="81" t="e">
        <f>IFERROR(VLOOKUP(Tableau119[[#This Row],[Key(Compte ILN - shipper - POL - plant)]],'DATA ILN'!A:N,14,FALSE),VLOOKUP(Tableau119[[#This Row],[Key(Compte ILN - shipper - POL)]],'DATA ILN'!B:N,13,FALSE))</f>
        <v>#N/A</v>
      </c>
      <c r="X774" s="81" t="e">
        <f>IFERROR(VLOOKUP(Tableau119[[#This Row],[Key(Compte ILN - shipper - POL - plant)]],'DATA ILN'!A:P,16,FALSE),VLOOKUP(Tableau119[[#This Row],[Key(Compte ILN - shipper - POL)]],'DATA ILN'!B:P,15,FALSE))</f>
        <v>#N/A</v>
      </c>
      <c r="Y774" s="102" t="s">
        <v>291</v>
      </c>
      <c r="Z774" s="417">
        <f>IFERROR(VLOOKUP(Tableau119[[#This Row],[Name Shipper]],Plant_AILN!L:M,2,FALSE),0)</f>
        <v>90016100</v>
      </c>
      <c r="AA774" s="416">
        <v>802</v>
      </c>
      <c r="AB774" s="396" t="b">
        <f>_xlfn.XLOOKUP(Tableau119[[#This Row],[Key(ID-date)]],'DATA BTO'!S:S,'DATA BTO'!E:E,FALSE)</f>
        <v>0</v>
      </c>
      <c r="AC774" s="3" t="b">
        <f>_xlfn.XLOOKUP(Tableau119[[#This Row],[Key(ID-date)]],'DATA BTO'!S:S,'DATA BTO'!F:F,FALSE)</f>
        <v>0</v>
      </c>
      <c r="AD774" s="50" t="b">
        <f>_xlfn.XLOOKUP(Tableau119[[#This Row],[Key(ID-date)]],'DATA BTO'!S:S,'DATA BTO'!G:G,FALSE)</f>
        <v>0</v>
      </c>
      <c r="AE774" s="50" t="b">
        <f>_xlfn.XLOOKUP(Tableau119[[#This Row],[Key(ID-date)]],'DATA BTO'!S:S,'DATA BTO'!H:H,FALSE)</f>
        <v>0</v>
      </c>
      <c r="AF774" s="447" t="e">
        <f>IF(Tableau119[[#This Row],[First Day to POL]]&lt;=Tableau119[[#This Row],[Day Cut Off]],Tableau119[[#This Row],[Day ETD]],Tableau119[[#This Row],[Day ETD]]+7)</f>
        <v>#N/A</v>
      </c>
      <c r="AG774" s="50" t="b">
        <f>_xlfn.XLOOKUP(Tableau119[[#This Row],[Key(ID-date)]],'DATA BTO'!S:S,'DATA BTO'!I:I,FALSE)</f>
        <v>0</v>
      </c>
      <c r="AH774" s="3" t="b">
        <f>_xlfn.XLOOKUP(Tableau119[[#This Row],[Key(ID-date)]],'DATA BTO'!S:S,'DATA BTO'!J:J,FALSE)</f>
        <v>0</v>
      </c>
      <c r="AI774" s="3" t="b">
        <f>_xlfn.XLOOKUP(Tableau119[[#This Row],[Key(ID-date)]],'DATA BTO'!S:S,'DATA BTO'!K:K,FALSE)</f>
        <v>0</v>
      </c>
      <c r="AJ774" s="50" t="b">
        <f>_xlfn.XLOOKUP(Tableau119[[#This Row],[Key(ID-date)]],'DATA BTO'!S:S,'DATA BTO'!L:L,FALSE)</f>
        <v>0</v>
      </c>
      <c r="AK774" s="53" t="b">
        <f>_xlfn.XLOOKUP(Tableau119[[#This Row],[Key(ID-date)]],'DATA BTO'!S:S,'DATA BTO'!N:N,FALSE)</f>
        <v>0</v>
      </c>
      <c r="AL774" s="54" t="e">
        <f>VLOOKUP(Tableau119[[#This Row],[Key(POD -PFI- Usine)]],'DATA Consignee'!A:F,6,FALSE)</f>
        <v>#N/A</v>
      </c>
      <c r="AM774" s="127"/>
      <c r="AN774" s="375" t="str">
        <f>IF(Tableau119[[#This Row],[Name PFI/CDD]]="","-",VLOOKUP(Tableau119[[#This Row],[Name PFI/CDD]],Plant_AILN!I:J,2,FALSE))</f>
        <v>-</v>
      </c>
      <c r="AO77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4" s="110" t="e">
        <f>VLOOKUP(Tableau119[[#This Row],[Key(POD -PFI- Usine)]],'DATA Consignee'!A:J,10,FALSE)</f>
        <v>#N/A</v>
      </c>
      <c r="AR774" s="81" t="e">
        <f>VLOOKUP(Tableau119[[#This Row],[Key(POD -PFI- Usine)]],'DATA Consignee'!A:N,14,FALSE)</f>
        <v>#N/A</v>
      </c>
      <c r="AS77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4" s="81">
        <f>Tableau119[[#This Row],[Transit time]]+Tableau119[[#This Row],[Time for security]]+Tableau119[[#This Row],[Time for security2 buffer]]</f>
        <v>0</v>
      </c>
      <c r="AV77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4" s="50" t="e">
        <f>Tableau119[[#This Row],[Leadtime SI2C]]+Tableau119[[#This Row],[First Receipt Days]]-Tableau119[[#This Row],[Day Customer Order]]+1</f>
        <v>#N/A</v>
      </c>
      <c r="AX774" s="119" t="e">
        <f>IF(Tableau119[[#This Row],[Name ILN]]&lt;&gt;"SFK Freight Forwarder",Tableau119[[#This Row],[Cust. Leadtime]],Tableau119[[#This Row],[Leadtime SI2C]])</f>
        <v>#N/A</v>
      </c>
      <c r="AY774" s="51" t="b">
        <f>_xlfn.XLOOKUP(Tableau119[[#This Row],[Key(ID-date)]],'DATA BTO'!S:S,'DATA BTO'!P:P,FALSE)</f>
        <v>0</v>
      </c>
      <c r="AZ774" s="388">
        <v>45580</v>
      </c>
      <c r="BA774" s="81"/>
    </row>
    <row r="775" spans="2:53">
      <c r="B775" s="446" t="str">
        <f>_xlfn.CONCAT(Tableau119[[#This Row],[Name ILN]],"-",Tableau119[[#This Row],[Name Shipper]],"-",Tableau119[[#This Row],[Name Site]])</f>
        <v>ILN FR-ILN FR-Curitiba CVP</v>
      </c>
      <c r="C775" s="66" t="str">
        <f>_xlfn.CONCAT(Tableau119[[#This Row],[Compte ILN]],"-",Tableau119[[#This Row],[Compte Shipper]],"-",Tableau119[[#This Row],[POL]],"-",Tableau119[[#This Row],[Compte Consignee]])</f>
        <v>92000100-92000100-FALSO-90018000</v>
      </c>
      <c r="D775" s="66" t="str">
        <f>_xlfn.CONCAT(Tableau119[[#This Row],[Compte ILN]],"-",Tableau119[[#This Row],[Compte Shipper]],"-",Tableau119[[#This Row],[POL]])</f>
        <v>92000100-92000100-FALSO</v>
      </c>
      <c r="E775" s="130" t="str">
        <f>_xlfn.CONCAT(Tableau119[[#This Row],[POL]],"-",Tableau119[[#This Row],[Carrier]],"-",Tableau119[[#This Row],[POD]])</f>
        <v>FALSO-FALSO-FALSO</v>
      </c>
      <c r="F775" s="66" t="str">
        <f>_xlfn.CONCAT(Tableau119[[#This Row],[ID]],"-","Actif")</f>
        <v>802-Actif</v>
      </c>
      <c r="G775" s="66" t="str">
        <f>_xlfn.CONCAT(Tableau119[[#This Row],[POD]],"-",Tableau119[[#This Row],[Code PFI]],"-",Tableau119[[#This Row],[Compte Consignee]])</f>
        <v>FALSO---90018000</v>
      </c>
      <c r="H7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CVP</v>
      </c>
      <c r="I775" s="434" t="str">
        <f>_xlfn.CONCAT(Tableau119[[#This Row],[ID]],"-",Tableau119[[#This Row],[Expiration Date]])</f>
        <v>802-45580</v>
      </c>
      <c r="J7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FR-ILN FR-802-FALSO-FALSO-FALSO--45580</v>
      </c>
      <c r="K775" s="119" t="str">
        <f ca="1">IF(COUNTIF(J:J,Tableau119[[#This Row],[Plant-ILN-shipper-POL-Carrier-POD-PFI]])=1,"Non","Oui")</f>
        <v>Non</v>
      </c>
      <c r="L775" s="128" t="str">
        <f>VLOOKUP(Tableau119[[#This Row],[Name Site]],Plant_AILN!A:D,4,FALSE)</f>
        <v>BRAZIL</v>
      </c>
      <c r="M775" s="411" t="s">
        <v>152</v>
      </c>
      <c r="N775" s="454">
        <f>VLOOKUP(Tableau119[[#This Row],[Name Site]],Plant_AILN!A:C,3,FALSE)</f>
        <v>90018000</v>
      </c>
      <c r="O775" s="55">
        <f>VLOOKUP(Tableau119[[#This Row],[Compte Consignee]],Order!C:D,2,FALSE)</f>
        <v>7</v>
      </c>
      <c r="P775" s="124" t="s">
        <v>143</v>
      </c>
      <c r="Q775" s="365">
        <f>VLOOKUP(Tableau119[[#This Row],[Name ILN]],Plant_AILN!F:G,2,FALSE)</f>
        <v>92000100</v>
      </c>
      <c r="R775" s="50">
        <f>VLOOKUP(Tableau119[[#This Row],[Compte ILN]],'DATA ILN'!D:I,6,FALSE)</f>
        <v>9</v>
      </c>
      <c r="S775" s="50" t="e">
        <f>IFERROR(VLOOKUP(Tableau119[[#This Row],[Key(Compte ILN - shipper - POL - plant)]],'DATA ILN'!A:J,10,FALSE),VLOOKUP(Tableau119[[#This Row],[Key(Compte ILN - shipper - POL)]],'DATA ILN'!B:J,9,FALSE))</f>
        <v>#N/A</v>
      </c>
      <c r="T775" s="50" t="e">
        <f>IFERROR(VLOOKUP(Tableau119[[#This Row],[Key(Compte ILN - shipper - POL - plant)]],'DATA ILN'!A:K,11,FALSE),VLOOKUP(Tableau119[[#This Row],[Key(Compte ILN - shipper - POL)]],'DATA ILN'!B:K,10,FALSE))</f>
        <v>#N/A</v>
      </c>
      <c r="U775" s="50" t="e">
        <f>IFERROR(VLOOKUP(Tableau119[[#This Row],[Key(Compte ILN - shipper - POL - plant)]],'DATA ILN'!A:L,12,FALSE),VLOOKUP(Tableau119[[#This Row],[Key(Compte ILN - shipper - POL)]],'DATA ILN'!B:L,11,FALSE))</f>
        <v>#N/A</v>
      </c>
      <c r="V775" s="50" t="e">
        <f>Tableau119[[#This Row],[Day ILN Order]]+Tableau119[[#This Row],[Delivery time to ILN/Shipper]]-1</f>
        <v>#N/A</v>
      </c>
      <c r="W775" s="50" t="e">
        <f>IFERROR(VLOOKUP(Tableau119[[#This Row],[Key(Compte ILN - shipper - POL - plant)]],'DATA ILN'!A:N,14,FALSE),VLOOKUP(Tableau119[[#This Row],[Key(Compte ILN - shipper - POL)]],'DATA ILN'!B:N,13,FALSE))</f>
        <v>#N/A</v>
      </c>
      <c r="X775" s="50" t="e">
        <f>IFERROR(VLOOKUP(Tableau119[[#This Row],[Key(Compte ILN - shipper - POL - plant)]],'DATA ILN'!A:P,16,FALSE),VLOOKUP(Tableau119[[#This Row],[Key(Compte ILN - shipper - POL)]],'DATA ILN'!B:P,15,FALSE))</f>
        <v>#N/A</v>
      </c>
      <c r="Y775" s="284" t="s">
        <v>143</v>
      </c>
      <c r="Z775" s="430">
        <f>IFERROR(VLOOKUP(Tableau119[[#This Row],[Name Shipper]],Plant_AILN!L:M,2,FALSE),0)</f>
        <v>92000100</v>
      </c>
      <c r="AA775" s="406">
        <v>802</v>
      </c>
      <c r="AB775" s="396" t="b">
        <f>_xlfn.XLOOKUP(Tableau119[[#This Row],[Key(ID-date)]],'DATA BTO'!S:S,'DATA BTO'!E:E,FALSE)</f>
        <v>0</v>
      </c>
      <c r="AC775" s="3" t="b">
        <f>_xlfn.XLOOKUP(Tableau119[[#This Row],[Key(ID-date)]],'DATA BTO'!S:S,'DATA BTO'!F:F,FALSE)</f>
        <v>0</v>
      </c>
      <c r="AD775" s="50" t="b">
        <f>_xlfn.XLOOKUP(Tableau119[[#This Row],[Key(ID-date)]],'DATA BTO'!S:S,'DATA BTO'!G:G,FALSE)</f>
        <v>0</v>
      </c>
      <c r="AE775" s="50" t="b">
        <f>_xlfn.XLOOKUP(Tableau119[[#This Row],[Key(ID-date)]],'DATA BTO'!S:S,'DATA BTO'!H:H,FALSE)</f>
        <v>0</v>
      </c>
      <c r="AF775" s="447" t="e">
        <f>IF(Tableau119[[#This Row],[First Day to POL]]&lt;=Tableau119[[#This Row],[Day Cut Off]],Tableau119[[#This Row],[Day ETD]],Tableau119[[#This Row],[Day ETD]]+7)</f>
        <v>#N/A</v>
      </c>
      <c r="AG775" s="50" t="b">
        <f>_xlfn.XLOOKUP(Tableau119[[#This Row],[Key(ID-date)]],'DATA BTO'!S:S,'DATA BTO'!I:I,FALSE)</f>
        <v>0</v>
      </c>
      <c r="AH775" s="3" t="b">
        <f>_xlfn.XLOOKUP(Tableau119[[#This Row],[Key(ID-date)]],'DATA BTO'!S:S,'DATA BTO'!J:J,FALSE)</f>
        <v>0</v>
      </c>
      <c r="AI775" s="3" t="b">
        <f>_xlfn.XLOOKUP(Tableau119[[#This Row],[Key(ID-date)]],'DATA BTO'!S:S,'DATA BTO'!K:K,FALSE)</f>
        <v>0</v>
      </c>
      <c r="AJ775" s="50" t="b">
        <f>_xlfn.XLOOKUP(Tableau119[[#This Row],[Key(ID-date)]],'DATA BTO'!S:S,'DATA BTO'!L:L,FALSE)</f>
        <v>0</v>
      </c>
      <c r="AK775" s="53" t="b">
        <f>_xlfn.XLOOKUP(Tableau119[[#This Row],[Key(ID-date)]],'DATA BTO'!S:S,'DATA BTO'!N:N,FALSE)</f>
        <v>0</v>
      </c>
      <c r="AL775" s="54" t="e">
        <f>VLOOKUP(Tableau119[[#This Row],[Key(POD -PFI- Usine)]],'DATA Consignee'!A:F,6,FALSE)</f>
        <v>#N/A</v>
      </c>
      <c r="AM775" s="284"/>
      <c r="AN775" s="376" t="str">
        <f>IF(Tableau119[[#This Row],[Name PFI/CDD]]="","-",VLOOKUP(Tableau119[[#This Row],[Name PFI/CDD]],Plant_AILN!I:J,2,FALSE))</f>
        <v>-</v>
      </c>
      <c r="AO7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5" s="2" t="e">
        <f>VLOOKUP(Tableau119[[#This Row],[Key(POD -PFI- Usine)]],'DATA Consignee'!A:J,10,FALSE)</f>
        <v>#N/A</v>
      </c>
      <c r="AR775" s="50" t="e">
        <f>VLOOKUP(Tableau119[[#This Row],[Key(POD -PFI- Usine)]],'DATA Consignee'!A:N,14,FALSE)</f>
        <v>#N/A</v>
      </c>
      <c r="AS77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5" s="50">
        <f>Tableau119[[#This Row],[Transit time]]+Tableau119[[#This Row],[Time for security]]+Tableau119[[#This Row],[Time for security2 buffer]]</f>
        <v>0</v>
      </c>
      <c r="AV77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5" s="50" t="e">
        <f>Tableau119[[#This Row],[Leadtime SI2C]]+Tableau119[[#This Row],[First Receipt Days]]-Tableau119[[#This Row],[Day Customer Order]]+1</f>
        <v>#N/A</v>
      </c>
      <c r="AX775" s="119" t="e">
        <f>IF(Tableau119[[#This Row],[Name ILN]]&lt;&gt;"SFK Freight Forwarder",Tableau119[[#This Row],[Cust. Leadtime]],Tableau119[[#This Row],[Leadtime SI2C]])</f>
        <v>#N/A</v>
      </c>
      <c r="AY775" s="51" t="b">
        <f>_xlfn.XLOOKUP(Tableau119[[#This Row],[Key(ID-date)]],'DATA BTO'!S:S,'DATA BTO'!P:P,FALSE)</f>
        <v>0</v>
      </c>
      <c r="AZ775" s="338">
        <v>45580</v>
      </c>
      <c r="BA775" s="50"/>
    </row>
    <row r="776" spans="2:53">
      <c r="B776" s="446" t="str">
        <f>_xlfn.CONCAT(Tableau119[[#This Row],[Name ILN]],"-",Tableau119[[#This Row],[Name Shipper]],"-",Tableau119[[#This Row],[Name Site]])</f>
        <v>ILN FR-ILN FR-Curitiba CVU</v>
      </c>
      <c r="C776" s="66" t="str">
        <f>_xlfn.CONCAT(Tableau119[[#This Row],[Compte ILN]],"-",Tableau119[[#This Row],[Compte Shipper]],"-",Tableau119[[#This Row],[POL]],"-",Tableau119[[#This Row],[Compte Consignee]])</f>
        <v>92000100-92000100-FALSO-90018500</v>
      </c>
      <c r="D776" s="66" t="str">
        <f>_xlfn.CONCAT(Tableau119[[#This Row],[Compte ILN]],"-",Tableau119[[#This Row],[Compte Shipper]],"-",Tableau119[[#This Row],[POL]])</f>
        <v>92000100-92000100-FALSO</v>
      </c>
      <c r="E776" s="130" t="str">
        <f>_xlfn.CONCAT(Tableau119[[#This Row],[POL]],"-",Tableau119[[#This Row],[Carrier]],"-",Tableau119[[#This Row],[POD]])</f>
        <v>FALSO-FALSO-FALSO</v>
      </c>
      <c r="F776" s="66" t="str">
        <f>_xlfn.CONCAT(Tableau119[[#This Row],[ID]],"-","Actif")</f>
        <v>802-Actif</v>
      </c>
      <c r="G776" s="66" t="str">
        <f>_xlfn.CONCAT(Tableau119[[#This Row],[POD]],"-",Tableau119[[#This Row],[Code PFI]],"-",Tableau119[[#This Row],[Compte Consignee]])</f>
        <v>FALSO---90018500</v>
      </c>
      <c r="H7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CVU</v>
      </c>
      <c r="I776" s="434" t="str">
        <f>_xlfn.CONCAT(Tableau119[[#This Row],[ID]],"-",Tableau119[[#This Row],[Expiration Date]])</f>
        <v>802-45580</v>
      </c>
      <c r="J7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FR-ILN FR-802-FALSO-FALSO-FALSO--45580</v>
      </c>
      <c r="K776" s="119" t="str">
        <f ca="1">IF(COUNTIF(J:J,Tableau119[[#This Row],[Plant-ILN-shipper-POL-Carrier-POD-PFI]])=1,"Non","Oui")</f>
        <v>Non</v>
      </c>
      <c r="L776" s="128" t="str">
        <f>VLOOKUP(Tableau119[[#This Row],[Name Site]],Plant_AILN!A:D,4,FALSE)</f>
        <v>BRAZIL</v>
      </c>
      <c r="M776" s="411" t="s">
        <v>639</v>
      </c>
      <c r="N776" s="454">
        <f>VLOOKUP(Tableau119[[#This Row],[Name Site]],Plant_AILN!A:C,3,FALSE)</f>
        <v>90018500</v>
      </c>
      <c r="O776" s="55">
        <f>VLOOKUP(Tableau119[[#This Row],[Compte Consignee]],Order!C:D,2,FALSE)</f>
        <v>7</v>
      </c>
      <c r="P776" s="124" t="s">
        <v>143</v>
      </c>
      <c r="Q776" s="365">
        <f>VLOOKUP(Tableau119[[#This Row],[Name ILN]],Plant_AILN!F:G,2,FALSE)</f>
        <v>92000100</v>
      </c>
      <c r="R776" s="50">
        <f>VLOOKUP(Tableau119[[#This Row],[Compte ILN]],'DATA ILN'!D:I,6,FALSE)</f>
        <v>9</v>
      </c>
      <c r="S776" s="50" t="e">
        <f>IFERROR(VLOOKUP(Tableau119[[#This Row],[Key(Compte ILN - shipper - POL - plant)]],'DATA ILN'!A:J,10,FALSE),VLOOKUP(Tableau119[[#This Row],[Key(Compte ILN - shipper - POL)]],'DATA ILN'!B:J,9,FALSE))</f>
        <v>#N/A</v>
      </c>
      <c r="T776" s="50" t="e">
        <f>IFERROR(VLOOKUP(Tableau119[[#This Row],[Key(Compte ILN - shipper - POL - plant)]],'DATA ILN'!A:K,11,FALSE),VLOOKUP(Tableau119[[#This Row],[Key(Compte ILN - shipper - POL)]],'DATA ILN'!B:K,10,FALSE))</f>
        <v>#N/A</v>
      </c>
      <c r="U776" s="50" t="e">
        <f>IFERROR(VLOOKUP(Tableau119[[#This Row],[Key(Compte ILN - shipper - POL - plant)]],'DATA ILN'!A:L,12,FALSE),VLOOKUP(Tableau119[[#This Row],[Key(Compte ILN - shipper - POL)]],'DATA ILN'!B:L,11,FALSE))</f>
        <v>#N/A</v>
      </c>
      <c r="V776" s="50" t="e">
        <f>Tableau119[[#This Row],[Day ILN Order]]+Tableau119[[#This Row],[Delivery time to ILN/Shipper]]-1</f>
        <v>#N/A</v>
      </c>
      <c r="W776" s="50" t="e">
        <f>IFERROR(VLOOKUP(Tableau119[[#This Row],[Key(Compte ILN - shipper - POL - plant)]],'DATA ILN'!A:N,14,FALSE),VLOOKUP(Tableau119[[#This Row],[Key(Compte ILN - shipper - POL)]],'DATA ILN'!B:N,13,FALSE))</f>
        <v>#N/A</v>
      </c>
      <c r="X776" s="50" t="e">
        <f>IFERROR(VLOOKUP(Tableau119[[#This Row],[Key(Compte ILN - shipper - POL - plant)]],'DATA ILN'!A:P,16,FALSE),VLOOKUP(Tableau119[[#This Row],[Key(Compte ILN - shipper - POL)]],'DATA ILN'!B:P,15,FALSE))</f>
        <v>#N/A</v>
      </c>
      <c r="Y776" s="284" t="s">
        <v>143</v>
      </c>
      <c r="Z776" s="430">
        <f>IFERROR(VLOOKUP(Tableau119[[#This Row],[Name Shipper]],Plant_AILN!L:M,2,FALSE),0)</f>
        <v>92000100</v>
      </c>
      <c r="AA776" s="406">
        <v>802</v>
      </c>
      <c r="AB776" s="396" t="b">
        <f>_xlfn.XLOOKUP(Tableau119[[#This Row],[Key(ID-date)]],'DATA BTO'!S:S,'DATA BTO'!E:E,FALSE)</f>
        <v>0</v>
      </c>
      <c r="AC776" s="3" t="b">
        <f>_xlfn.XLOOKUP(Tableau119[[#This Row],[Key(ID-date)]],'DATA BTO'!S:S,'DATA BTO'!F:F,FALSE)</f>
        <v>0</v>
      </c>
      <c r="AD776" s="50" t="b">
        <f>_xlfn.XLOOKUP(Tableau119[[#This Row],[Key(ID-date)]],'DATA BTO'!S:S,'DATA BTO'!G:G,FALSE)</f>
        <v>0</v>
      </c>
      <c r="AE776" s="50" t="b">
        <f>_xlfn.XLOOKUP(Tableau119[[#This Row],[Key(ID-date)]],'DATA BTO'!S:S,'DATA BTO'!H:H,FALSE)</f>
        <v>0</v>
      </c>
      <c r="AF776" s="447" t="e">
        <f>IF(Tableau119[[#This Row],[First Day to POL]]&lt;=Tableau119[[#This Row],[Day Cut Off]],Tableau119[[#This Row],[Day ETD]],Tableau119[[#This Row],[Day ETD]]+7)</f>
        <v>#N/A</v>
      </c>
      <c r="AG776" s="50" t="b">
        <f>_xlfn.XLOOKUP(Tableau119[[#This Row],[Key(ID-date)]],'DATA BTO'!S:S,'DATA BTO'!I:I,FALSE)</f>
        <v>0</v>
      </c>
      <c r="AH776" s="3" t="b">
        <f>_xlfn.XLOOKUP(Tableau119[[#This Row],[Key(ID-date)]],'DATA BTO'!S:S,'DATA BTO'!J:J,FALSE)</f>
        <v>0</v>
      </c>
      <c r="AI776" s="3" t="b">
        <f>_xlfn.XLOOKUP(Tableau119[[#This Row],[Key(ID-date)]],'DATA BTO'!S:S,'DATA BTO'!K:K,FALSE)</f>
        <v>0</v>
      </c>
      <c r="AJ776" s="50" t="b">
        <f>_xlfn.XLOOKUP(Tableau119[[#This Row],[Key(ID-date)]],'DATA BTO'!S:S,'DATA BTO'!L:L,FALSE)</f>
        <v>0</v>
      </c>
      <c r="AK776" s="53" t="b">
        <f>_xlfn.XLOOKUP(Tableau119[[#This Row],[Key(ID-date)]],'DATA BTO'!S:S,'DATA BTO'!N:N,FALSE)</f>
        <v>0</v>
      </c>
      <c r="AL776" s="54" t="e">
        <f>VLOOKUP(Tableau119[[#This Row],[Key(POD -PFI- Usine)]],'DATA Consignee'!A:F,6,FALSE)</f>
        <v>#N/A</v>
      </c>
      <c r="AM776" s="284"/>
      <c r="AN776" s="376" t="str">
        <f>IF(Tableau119[[#This Row],[Name PFI/CDD]]="","-",VLOOKUP(Tableau119[[#This Row],[Name PFI/CDD]],Plant_AILN!I:J,2,FALSE))</f>
        <v>-</v>
      </c>
      <c r="AO77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6" s="2" t="e">
        <f>VLOOKUP(Tableau119[[#This Row],[Key(POD -PFI- Usine)]],'DATA Consignee'!A:J,10,FALSE)</f>
        <v>#N/A</v>
      </c>
      <c r="AR776" s="50" t="e">
        <f>VLOOKUP(Tableau119[[#This Row],[Key(POD -PFI- Usine)]],'DATA Consignee'!A:N,14,FALSE)</f>
        <v>#N/A</v>
      </c>
      <c r="AS77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6" s="50">
        <f>Tableau119[[#This Row],[Transit time]]+Tableau119[[#This Row],[Time for security]]+Tableau119[[#This Row],[Time for security2 buffer]]</f>
        <v>0</v>
      </c>
      <c r="AV77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6" s="50" t="e">
        <f>Tableau119[[#This Row],[Leadtime SI2C]]+Tableau119[[#This Row],[First Receipt Days]]-Tableau119[[#This Row],[Day Customer Order]]+1</f>
        <v>#N/A</v>
      </c>
      <c r="AX776" s="119" t="e">
        <f>IF(Tableau119[[#This Row],[Name ILN]]&lt;&gt;"SFK Freight Forwarder",Tableau119[[#This Row],[Cust. Leadtime]],Tableau119[[#This Row],[Leadtime SI2C]])</f>
        <v>#N/A</v>
      </c>
      <c r="AY776" s="51" t="b">
        <f>_xlfn.XLOOKUP(Tableau119[[#This Row],[Key(ID-date)]],'DATA BTO'!S:S,'DATA BTO'!P:P,FALSE)</f>
        <v>0</v>
      </c>
      <c r="AZ776" s="338">
        <v>45580</v>
      </c>
      <c r="BA776" s="50"/>
    </row>
    <row r="777" spans="2:53">
      <c r="B777" s="446" t="str">
        <f>_xlfn.CONCAT(Tableau119[[#This Row],[Name ILN]],"-",Tableau119[[#This Row],[Name Shipper]],"-",Tableau119[[#This Row],[Name Site]])</f>
        <v>ILN FR-RENAULT CLEON-Curitiba CVP</v>
      </c>
      <c r="C777" s="66" t="str">
        <f>_xlfn.CONCAT(Tableau119[[#This Row],[Compte ILN]],"-",Tableau119[[#This Row],[Compte Shipper]],"-",Tableau119[[#This Row],[POL]],"-",Tableau119[[#This Row],[Compte Consignee]])</f>
        <v>92000100-90016100-FALSO-90018000</v>
      </c>
      <c r="D777" s="66" t="str">
        <f>_xlfn.CONCAT(Tableau119[[#This Row],[Compte ILN]],"-",Tableau119[[#This Row],[Compte Shipper]],"-",Tableau119[[#This Row],[POL]])</f>
        <v>92000100-90016100-FALSO</v>
      </c>
      <c r="E777" s="130" t="str">
        <f>_xlfn.CONCAT(Tableau119[[#This Row],[POL]],"-",Tableau119[[#This Row],[Carrier]],"-",Tableau119[[#This Row],[POD]])</f>
        <v>FALSO-FALSO-FALSO</v>
      </c>
      <c r="F777" s="66" t="str">
        <f>_xlfn.CONCAT(Tableau119[[#This Row],[ID]],"-","Actif")</f>
        <v>802-Actif</v>
      </c>
      <c r="G777" s="66" t="str">
        <f>_xlfn.CONCAT(Tableau119[[#This Row],[POD]],"-",Tableau119[[#This Row],[Code PFI]],"-",Tableau119[[#This Row],[Compte Consignee]])</f>
        <v>FALSO---90018000</v>
      </c>
      <c r="H7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90016100FALSOCuritiba CVP</v>
      </c>
      <c r="I777" s="434" t="str">
        <f>_xlfn.CONCAT(Tableau119[[#This Row],[ID]],"-",Tableau119[[#This Row],[Expiration Date]])</f>
        <v>802-45473</v>
      </c>
      <c r="J7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FR-RENAULT CLEON-802-FALSO-FALSO-FALSO--45473</v>
      </c>
      <c r="K777" s="119" t="str">
        <f ca="1">IF(COUNTIF(J:J,Tableau119[[#This Row],[Plant-ILN-shipper-POL-Carrier-POD-PFI]])=1,"Non","Oui")</f>
        <v>Non</v>
      </c>
      <c r="L777" s="128" t="str">
        <f>VLOOKUP(Tableau119[[#This Row],[Name Site]],Plant_AILN!A:D,4,FALSE)</f>
        <v>BRAZIL</v>
      </c>
      <c r="M777" s="411" t="s">
        <v>152</v>
      </c>
      <c r="N777" s="454">
        <f>VLOOKUP(Tableau119[[#This Row],[Name Site]],Plant_AILN!A:C,3,FALSE)</f>
        <v>90018000</v>
      </c>
      <c r="O777" s="55">
        <f>VLOOKUP(Tableau119[[#This Row],[Compte Consignee]],Order!C:D,2,FALSE)</f>
        <v>7</v>
      </c>
      <c r="P777" s="124" t="s">
        <v>143</v>
      </c>
      <c r="Q777" s="365">
        <f>VLOOKUP(Tableau119[[#This Row],[Name ILN]],Plant_AILN!F:G,2,FALSE)</f>
        <v>92000100</v>
      </c>
      <c r="R777" s="50">
        <f>VLOOKUP(Tableau119[[#This Row],[Compte ILN]],'DATA ILN'!D:I,6,FALSE)</f>
        <v>9</v>
      </c>
      <c r="S777" s="50" t="e">
        <f>IFERROR(VLOOKUP(Tableau119[[#This Row],[Key(Compte ILN - shipper - POL - plant)]],'DATA ILN'!A:J,10,FALSE),VLOOKUP(Tableau119[[#This Row],[Key(Compte ILN - shipper - POL)]],'DATA ILN'!B:J,9,FALSE))</f>
        <v>#N/A</v>
      </c>
      <c r="T777" s="50" t="e">
        <f>IFERROR(VLOOKUP(Tableau119[[#This Row],[Key(Compte ILN - shipper - POL - plant)]],'DATA ILN'!A:K,11,FALSE),VLOOKUP(Tableau119[[#This Row],[Key(Compte ILN - shipper - POL)]],'DATA ILN'!B:K,10,FALSE))</f>
        <v>#N/A</v>
      </c>
      <c r="U777" s="50" t="e">
        <f>IFERROR(VLOOKUP(Tableau119[[#This Row],[Key(Compte ILN - shipper - POL - plant)]],'DATA ILN'!A:L,12,FALSE),VLOOKUP(Tableau119[[#This Row],[Key(Compte ILN - shipper - POL)]],'DATA ILN'!B:L,11,FALSE))</f>
        <v>#N/A</v>
      </c>
      <c r="V777" s="50" t="e">
        <f>Tableau119[[#This Row],[Day ILN Order]]+Tableau119[[#This Row],[Delivery time to ILN/Shipper]]-1</f>
        <v>#N/A</v>
      </c>
      <c r="W777" s="50" t="e">
        <f>IFERROR(VLOOKUP(Tableau119[[#This Row],[Key(Compte ILN - shipper - POL - plant)]],'DATA ILN'!A:N,14,FALSE),VLOOKUP(Tableau119[[#This Row],[Key(Compte ILN - shipper - POL)]],'DATA ILN'!B:N,13,FALSE))</f>
        <v>#N/A</v>
      </c>
      <c r="X777" s="50" t="e">
        <f>IFERROR(VLOOKUP(Tableau119[[#This Row],[Key(Compte ILN - shipper - POL - plant)]],'DATA ILN'!A:P,16,FALSE),VLOOKUP(Tableau119[[#This Row],[Key(Compte ILN - shipper - POL)]],'DATA ILN'!B:P,15,FALSE))</f>
        <v>#N/A</v>
      </c>
      <c r="Y777" s="284" t="s">
        <v>291</v>
      </c>
      <c r="Z777" s="430">
        <f>IFERROR(VLOOKUP(Tableau119[[#This Row],[Name Shipper]],Plant_AILN!L:M,2,FALSE),0)</f>
        <v>90016100</v>
      </c>
      <c r="AA777" s="406">
        <v>802</v>
      </c>
      <c r="AB777" s="396" t="b">
        <f>_xlfn.XLOOKUP(Tableau119[[#This Row],[Key(ID-date)]],'DATA BTO'!S:S,'DATA BTO'!E:E,FALSE)</f>
        <v>0</v>
      </c>
      <c r="AC777" s="3" t="b">
        <f>_xlfn.XLOOKUP(Tableau119[[#This Row],[Key(ID-date)]],'DATA BTO'!S:S,'DATA BTO'!F:F,FALSE)</f>
        <v>0</v>
      </c>
      <c r="AD777" s="50" t="b">
        <f>_xlfn.XLOOKUP(Tableau119[[#This Row],[Key(ID-date)]],'DATA BTO'!S:S,'DATA BTO'!G:G,FALSE)</f>
        <v>0</v>
      </c>
      <c r="AE777" s="50" t="b">
        <f>_xlfn.XLOOKUP(Tableau119[[#This Row],[Key(ID-date)]],'DATA BTO'!S:S,'DATA BTO'!H:H,FALSE)</f>
        <v>0</v>
      </c>
      <c r="AF777" s="447" t="e">
        <f>IF(Tableau119[[#This Row],[First Day to POL]]&lt;=Tableau119[[#This Row],[Day Cut Off]],Tableau119[[#This Row],[Day ETD]],Tableau119[[#This Row],[Day ETD]]+7)</f>
        <v>#N/A</v>
      </c>
      <c r="AG777" s="50" t="b">
        <f>_xlfn.XLOOKUP(Tableau119[[#This Row],[Key(ID-date)]],'DATA BTO'!S:S,'DATA BTO'!I:I,FALSE)</f>
        <v>0</v>
      </c>
      <c r="AH777" s="3" t="b">
        <f>_xlfn.XLOOKUP(Tableau119[[#This Row],[Key(ID-date)]],'DATA BTO'!S:S,'DATA BTO'!J:J,FALSE)</f>
        <v>0</v>
      </c>
      <c r="AI777" s="3" t="b">
        <f>_xlfn.XLOOKUP(Tableau119[[#This Row],[Key(ID-date)]],'DATA BTO'!S:S,'DATA BTO'!K:K,FALSE)</f>
        <v>0</v>
      </c>
      <c r="AJ777" s="50" t="b">
        <f>_xlfn.XLOOKUP(Tableau119[[#This Row],[Key(ID-date)]],'DATA BTO'!S:S,'DATA BTO'!L:L,FALSE)</f>
        <v>0</v>
      </c>
      <c r="AK777" s="53" t="b">
        <f>_xlfn.XLOOKUP(Tableau119[[#This Row],[Key(ID-date)]],'DATA BTO'!S:S,'DATA BTO'!N:N,FALSE)</f>
        <v>0</v>
      </c>
      <c r="AL777" s="54" t="e">
        <f>VLOOKUP(Tableau119[[#This Row],[Key(POD -PFI- Usine)]],'DATA Consignee'!A:F,6,FALSE)</f>
        <v>#N/A</v>
      </c>
      <c r="AM777" s="284"/>
      <c r="AN777" s="376" t="str">
        <f>IF(Tableau119[[#This Row],[Name PFI/CDD]]="","-",VLOOKUP(Tableau119[[#This Row],[Name PFI/CDD]],Plant_AILN!I:J,2,FALSE))</f>
        <v>-</v>
      </c>
      <c r="AO7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7" s="2" t="e">
        <f>VLOOKUP(Tableau119[[#This Row],[Key(POD -PFI- Usine)]],'DATA Consignee'!A:J,10,FALSE)</f>
        <v>#N/A</v>
      </c>
      <c r="AR777" s="50" t="e">
        <f>VLOOKUP(Tableau119[[#This Row],[Key(POD -PFI- Usine)]],'DATA Consignee'!A:N,14,FALSE)</f>
        <v>#N/A</v>
      </c>
      <c r="AS77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7" s="50">
        <f>Tableau119[[#This Row],[Transit time]]+Tableau119[[#This Row],[Time for security]]+Tableau119[[#This Row],[Time for security2 buffer]]</f>
        <v>0</v>
      </c>
      <c r="AV77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7" s="50" t="e">
        <f>Tableau119[[#This Row],[Leadtime SI2C]]+Tableau119[[#This Row],[First Receipt Days]]-Tableau119[[#This Row],[Day Customer Order]]+1</f>
        <v>#N/A</v>
      </c>
      <c r="AX777" s="119" t="e">
        <f>IF(Tableau119[[#This Row],[Name ILN]]&lt;&gt;"SFK Freight Forwarder",Tableau119[[#This Row],[Cust. Leadtime]],Tableau119[[#This Row],[Leadtime SI2C]])</f>
        <v>#N/A</v>
      </c>
      <c r="AY777" s="51" t="b">
        <f>_xlfn.XLOOKUP(Tableau119[[#This Row],[Key(ID-date)]],'DATA BTO'!S:S,'DATA BTO'!P:P,FALSE)</f>
        <v>0</v>
      </c>
      <c r="AZ777" s="338">
        <v>45473</v>
      </c>
      <c r="BA777" s="50"/>
    </row>
    <row r="778" spans="2:53">
      <c r="B778" s="446" t="str">
        <f>_xlfn.CONCAT(Tableau119[[#This Row],[Name ILN]],"-",Tableau119[[#This Row],[Name Shipper]],"-",Tableau119[[#This Row],[Name Site]])</f>
        <v>ILN FR-ILN FR-Curitiba CVP</v>
      </c>
      <c r="C778" s="66" t="str">
        <f>_xlfn.CONCAT(Tableau119[[#This Row],[Compte ILN]],"-",Tableau119[[#This Row],[Compte Shipper]],"-",Tableau119[[#This Row],[POL]],"-",Tableau119[[#This Row],[Compte Consignee]])</f>
        <v>92000100-92000100-FALSO-90018000</v>
      </c>
      <c r="D778" s="66" t="str">
        <f>_xlfn.CONCAT(Tableau119[[#This Row],[Compte ILN]],"-",Tableau119[[#This Row],[Compte Shipper]],"-",Tableau119[[#This Row],[POL]])</f>
        <v>92000100-92000100-FALSO</v>
      </c>
      <c r="E778" s="130" t="str">
        <f>_xlfn.CONCAT(Tableau119[[#This Row],[POL]],"-",Tableau119[[#This Row],[Carrier]],"-",Tableau119[[#This Row],[POD]])</f>
        <v>FALSO-FALSO-FALSO</v>
      </c>
      <c r="F778" s="66" t="str">
        <f>_xlfn.CONCAT(Tableau119[[#This Row],[ID]],"-","Actif")</f>
        <v>802-Actif</v>
      </c>
      <c r="G778" s="66" t="str">
        <f>_xlfn.CONCAT(Tableau119[[#This Row],[POD]],"-",Tableau119[[#This Row],[Code PFI]],"-",Tableau119[[#This Row],[Compte Consignee]])</f>
        <v>FALSO---90018000</v>
      </c>
      <c r="H7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CVP</v>
      </c>
      <c r="I778" s="434" t="str">
        <f>_xlfn.CONCAT(Tableau119[[#This Row],[ID]],"-",Tableau119[[#This Row],[Expiration Date]])</f>
        <v>802-45473</v>
      </c>
      <c r="J7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FR-ILN FR-802-FALSO-FALSO-FALSO--45473</v>
      </c>
      <c r="K778" s="119" t="str">
        <f ca="1">IF(COUNTIF(J:J,Tableau119[[#This Row],[Plant-ILN-shipper-POL-Carrier-POD-PFI]])=1,"Non","Oui")</f>
        <v>Non</v>
      </c>
      <c r="L778" s="128" t="str">
        <f>VLOOKUP(Tableau119[[#This Row],[Name Site]],Plant_AILN!A:D,4,FALSE)</f>
        <v>BRAZIL</v>
      </c>
      <c r="M778" s="415" t="s">
        <v>152</v>
      </c>
      <c r="N778" s="455">
        <f>VLOOKUP(Tableau119[[#This Row],[Name Site]],Plant_AILN!A:C,3,FALSE)</f>
        <v>90018000</v>
      </c>
      <c r="O778" s="104">
        <f>VLOOKUP(Tableau119[[#This Row],[Compte Consignee]],Order!C:D,2,FALSE)</f>
        <v>7</v>
      </c>
      <c r="P778" s="126" t="s">
        <v>143</v>
      </c>
      <c r="Q778" s="366">
        <f>VLOOKUP(Tableau119[[#This Row],[Name ILN]],Plant_AILN!F:G,2,FALSE)</f>
        <v>92000100</v>
      </c>
      <c r="R778" s="81">
        <f>VLOOKUP(Tableau119[[#This Row],[Compte ILN]],'DATA ILN'!D:I,6,FALSE)</f>
        <v>9</v>
      </c>
      <c r="S778" s="81" t="e">
        <f>IFERROR(VLOOKUP(Tableau119[[#This Row],[Key(Compte ILN - shipper - POL - plant)]],'DATA ILN'!A:J,10,FALSE),VLOOKUP(Tableau119[[#This Row],[Key(Compte ILN - shipper - POL)]],'DATA ILN'!B:J,9,FALSE))</f>
        <v>#N/A</v>
      </c>
      <c r="T778" s="81" t="e">
        <f>IFERROR(VLOOKUP(Tableau119[[#This Row],[Key(Compte ILN - shipper - POL - plant)]],'DATA ILN'!A:K,11,FALSE),VLOOKUP(Tableau119[[#This Row],[Key(Compte ILN - shipper - POL)]],'DATA ILN'!B:K,10,FALSE))</f>
        <v>#N/A</v>
      </c>
      <c r="U778" s="81" t="e">
        <f>IFERROR(VLOOKUP(Tableau119[[#This Row],[Key(Compte ILN - shipper - POL - plant)]],'DATA ILN'!A:L,12,FALSE),VLOOKUP(Tableau119[[#This Row],[Key(Compte ILN - shipper - POL)]],'DATA ILN'!B:L,11,FALSE))</f>
        <v>#N/A</v>
      </c>
      <c r="V778" s="81" t="e">
        <f>Tableau119[[#This Row],[Day ILN Order]]+Tableau119[[#This Row],[Delivery time to ILN/Shipper]]-1</f>
        <v>#N/A</v>
      </c>
      <c r="W778" s="81" t="e">
        <f>IFERROR(VLOOKUP(Tableau119[[#This Row],[Key(Compte ILN - shipper - POL - plant)]],'DATA ILN'!A:N,14,FALSE),VLOOKUP(Tableau119[[#This Row],[Key(Compte ILN - shipper - POL)]],'DATA ILN'!B:N,13,FALSE))</f>
        <v>#N/A</v>
      </c>
      <c r="X778" s="81" t="e">
        <f>IFERROR(VLOOKUP(Tableau119[[#This Row],[Key(Compte ILN - shipper - POL - plant)]],'DATA ILN'!A:P,16,FALSE),VLOOKUP(Tableau119[[#This Row],[Key(Compte ILN - shipper - POL)]],'DATA ILN'!B:P,15,FALSE))</f>
        <v>#N/A</v>
      </c>
      <c r="Y778" s="102" t="s">
        <v>143</v>
      </c>
      <c r="Z778" s="417">
        <f>IFERROR(VLOOKUP(Tableau119[[#This Row],[Name Shipper]],Plant_AILN!L:M,2,FALSE),0)</f>
        <v>92000100</v>
      </c>
      <c r="AA778" s="416">
        <v>802</v>
      </c>
      <c r="AB778" s="396" t="b">
        <f>_xlfn.XLOOKUP(Tableau119[[#This Row],[Key(ID-date)]],'DATA BTO'!S:S,'DATA BTO'!E:E,FALSE)</f>
        <v>0</v>
      </c>
      <c r="AC778" s="3" t="b">
        <f>_xlfn.XLOOKUP(Tableau119[[#This Row],[Key(ID-date)]],'DATA BTO'!S:S,'DATA BTO'!F:F,FALSE)</f>
        <v>0</v>
      </c>
      <c r="AD778" s="50" t="b">
        <f>_xlfn.XLOOKUP(Tableau119[[#This Row],[Key(ID-date)]],'DATA BTO'!S:S,'DATA BTO'!G:G,FALSE)</f>
        <v>0</v>
      </c>
      <c r="AE778" s="50" t="b">
        <f>_xlfn.XLOOKUP(Tableau119[[#This Row],[Key(ID-date)]],'DATA BTO'!S:S,'DATA BTO'!H:H,FALSE)</f>
        <v>0</v>
      </c>
      <c r="AF778" s="447" t="e">
        <f>IF(Tableau119[[#This Row],[First Day to POL]]&lt;=Tableau119[[#This Row],[Day Cut Off]],Tableau119[[#This Row],[Day ETD]],Tableau119[[#This Row],[Day ETD]]+7)</f>
        <v>#N/A</v>
      </c>
      <c r="AG778" s="50" t="b">
        <f>_xlfn.XLOOKUP(Tableau119[[#This Row],[Key(ID-date)]],'DATA BTO'!S:S,'DATA BTO'!I:I,FALSE)</f>
        <v>0</v>
      </c>
      <c r="AH778" s="3" t="b">
        <f>_xlfn.XLOOKUP(Tableau119[[#This Row],[Key(ID-date)]],'DATA BTO'!S:S,'DATA BTO'!J:J,FALSE)</f>
        <v>0</v>
      </c>
      <c r="AI778" s="3" t="b">
        <f>_xlfn.XLOOKUP(Tableau119[[#This Row],[Key(ID-date)]],'DATA BTO'!S:S,'DATA BTO'!K:K,FALSE)</f>
        <v>0</v>
      </c>
      <c r="AJ778" s="50" t="b">
        <f>_xlfn.XLOOKUP(Tableau119[[#This Row],[Key(ID-date)]],'DATA BTO'!S:S,'DATA BTO'!L:L,FALSE)</f>
        <v>0</v>
      </c>
      <c r="AK778" s="53" t="b">
        <f>_xlfn.XLOOKUP(Tableau119[[#This Row],[Key(ID-date)]],'DATA BTO'!S:S,'DATA BTO'!N:N,FALSE)</f>
        <v>0</v>
      </c>
      <c r="AL778" s="54" t="e">
        <f>VLOOKUP(Tableau119[[#This Row],[Key(POD -PFI- Usine)]],'DATA Consignee'!A:F,6,FALSE)</f>
        <v>#N/A</v>
      </c>
      <c r="AM778" s="102"/>
      <c r="AN778" s="375" t="str">
        <f>IF(Tableau119[[#This Row],[Name PFI/CDD]]="","-",VLOOKUP(Tableau119[[#This Row],[Name PFI/CDD]],Plant_AILN!I:J,2,FALSE))</f>
        <v>-</v>
      </c>
      <c r="AO77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8" s="110" t="e">
        <f>VLOOKUP(Tableau119[[#This Row],[Key(POD -PFI- Usine)]],'DATA Consignee'!A:J,10,FALSE)</f>
        <v>#N/A</v>
      </c>
      <c r="AR778" s="81" t="e">
        <f>VLOOKUP(Tableau119[[#This Row],[Key(POD -PFI- Usine)]],'DATA Consignee'!A:N,14,FALSE)</f>
        <v>#N/A</v>
      </c>
      <c r="AS77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8" s="81">
        <f>Tableau119[[#This Row],[Transit time]]+Tableau119[[#This Row],[Time for security]]+Tableau119[[#This Row],[Time for security2 buffer]]</f>
        <v>0</v>
      </c>
      <c r="AV77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8" s="50" t="e">
        <f>Tableau119[[#This Row],[Leadtime SI2C]]+Tableau119[[#This Row],[First Receipt Days]]-Tableau119[[#This Row],[Day Customer Order]]+1</f>
        <v>#N/A</v>
      </c>
      <c r="AX778" s="119" t="e">
        <f>IF(Tableau119[[#This Row],[Name ILN]]&lt;&gt;"SFK Freight Forwarder",Tableau119[[#This Row],[Cust. Leadtime]],Tableau119[[#This Row],[Leadtime SI2C]])</f>
        <v>#N/A</v>
      </c>
      <c r="AY778" s="51" t="b">
        <f>_xlfn.XLOOKUP(Tableau119[[#This Row],[Key(ID-date)]],'DATA BTO'!S:S,'DATA BTO'!P:P,FALSE)</f>
        <v>0</v>
      </c>
      <c r="AZ778" s="388">
        <v>45473</v>
      </c>
      <c r="BA778" s="81"/>
    </row>
    <row r="779" spans="2:53">
      <c r="B779" s="446" t="str">
        <f>_xlfn.CONCAT(Tableau119[[#This Row],[Name ILN]],"-",Tableau119[[#This Row],[Name Shipper]],"-",Tableau119[[#This Row],[Name Site]])</f>
        <v>ILN FR-ILN FR-Curitiba CVU</v>
      </c>
      <c r="C779" s="66" t="str">
        <f>_xlfn.CONCAT(Tableau119[[#This Row],[Compte ILN]],"-",Tableau119[[#This Row],[Compte Shipper]],"-",Tableau119[[#This Row],[POL]],"-",Tableau119[[#This Row],[Compte Consignee]])</f>
        <v>92000100-92000100-FALSO-90018500</v>
      </c>
      <c r="D779" s="66" t="str">
        <f>_xlfn.CONCAT(Tableau119[[#This Row],[Compte ILN]],"-",Tableau119[[#This Row],[Compte Shipper]],"-",Tableau119[[#This Row],[POL]])</f>
        <v>92000100-92000100-FALSO</v>
      </c>
      <c r="E779" s="130" t="str">
        <f>_xlfn.CONCAT(Tableau119[[#This Row],[POL]],"-",Tableau119[[#This Row],[Carrier]],"-",Tableau119[[#This Row],[POD]])</f>
        <v>FALSO-FALSO-FALSO</v>
      </c>
      <c r="F779" s="66" t="str">
        <f>_xlfn.CONCAT(Tableau119[[#This Row],[ID]],"-","Actif")</f>
        <v>802-Actif</v>
      </c>
      <c r="G779" s="66" t="str">
        <f>_xlfn.CONCAT(Tableau119[[#This Row],[POD]],"-",Tableau119[[#This Row],[Code PFI]],"-",Tableau119[[#This Row],[Compte Consignee]])</f>
        <v>FALSO---90018500</v>
      </c>
      <c r="H7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FRFALSOCuritiba CVU</v>
      </c>
      <c r="I779" s="434" t="str">
        <f>_xlfn.CONCAT(Tableau119[[#This Row],[ID]],"-",Tableau119[[#This Row],[Expiration Date]])</f>
        <v>802-45473</v>
      </c>
      <c r="J7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CVU-ILN FR-ILN FR-802-FALSO-FALSO-FALSO--45473</v>
      </c>
      <c r="K779" s="119" t="str">
        <f ca="1">IF(COUNTIF(J:J,Tableau119[[#This Row],[Plant-ILN-shipper-POL-Carrier-POD-PFI]])=1,"Non","Oui")</f>
        <v>Non</v>
      </c>
      <c r="L779" s="128" t="str">
        <f>VLOOKUP(Tableau119[[#This Row],[Name Site]],Plant_AILN!A:D,4,FALSE)</f>
        <v>BRAZIL</v>
      </c>
      <c r="M779" s="411" t="s">
        <v>639</v>
      </c>
      <c r="N779" s="454">
        <f>VLOOKUP(Tableau119[[#This Row],[Name Site]],Plant_AILN!A:C,3,FALSE)</f>
        <v>90018500</v>
      </c>
      <c r="O779" s="55">
        <f>VLOOKUP(Tableau119[[#This Row],[Compte Consignee]],Order!C:D,2,FALSE)</f>
        <v>7</v>
      </c>
      <c r="P779" s="124" t="s">
        <v>143</v>
      </c>
      <c r="Q779" s="365">
        <f>VLOOKUP(Tableau119[[#This Row],[Name ILN]],Plant_AILN!F:G,2,FALSE)</f>
        <v>92000100</v>
      </c>
      <c r="R779" s="50">
        <f>VLOOKUP(Tableau119[[#This Row],[Compte ILN]],'DATA ILN'!D:I,6,FALSE)</f>
        <v>9</v>
      </c>
      <c r="S779" s="50" t="e">
        <f>IFERROR(VLOOKUP(Tableau119[[#This Row],[Key(Compte ILN - shipper - POL - plant)]],'DATA ILN'!A:J,10,FALSE),VLOOKUP(Tableau119[[#This Row],[Key(Compte ILN - shipper - POL)]],'DATA ILN'!B:J,9,FALSE))</f>
        <v>#N/A</v>
      </c>
      <c r="T779" s="50" t="e">
        <f>IFERROR(VLOOKUP(Tableau119[[#This Row],[Key(Compte ILN - shipper - POL - plant)]],'DATA ILN'!A:K,11,FALSE),VLOOKUP(Tableau119[[#This Row],[Key(Compte ILN - shipper - POL)]],'DATA ILN'!B:K,10,FALSE))</f>
        <v>#N/A</v>
      </c>
      <c r="U779" s="50" t="e">
        <f>IFERROR(VLOOKUP(Tableau119[[#This Row],[Key(Compte ILN - shipper - POL - plant)]],'DATA ILN'!A:L,12,FALSE),VLOOKUP(Tableau119[[#This Row],[Key(Compte ILN - shipper - POL)]],'DATA ILN'!B:L,11,FALSE))</f>
        <v>#N/A</v>
      </c>
      <c r="V779" s="50" t="e">
        <f>Tableau119[[#This Row],[Day ILN Order]]+Tableau119[[#This Row],[Delivery time to ILN/Shipper]]-1</f>
        <v>#N/A</v>
      </c>
      <c r="W779" s="50" t="e">
        <f>IFERROR(VLOOKUP(Tableau119[[#This Row],[Key(Compte ILN - shipper - POL - plant)]],'DATA ILN'!A:N,14,FALSE),VLOOKUP(Tableau119[[#This Row],[Key(Compte ILN - shipper - POL)]],'DATA ILN'!B:N,13,FALSE))</f>
        <v>#N/A</v>
      </c>
      <c r="X779" s="50" t="e">
        <f>IFERROR(VLOOKUP(Tableau119[[#This Row],[Key(Compte ILN - shipper - POL - plant)]],'DATA ILN'!A:P,16,FALSE),VLOOKUP(Tableau119[[#This Row],[Key(Compte ILN - shipper - POL)]],'DATA ILN'!B:P,15,FALSE))</f>
        <v>#N/A</v>
      </c>
      <c r="Y779" s="284" t="s">
        <v>143</v>
      </c>
      <c r="Z779" s="430">
        <f>IFERROR(VLOOKUP(Tableau119[[#This Row],[Name Shipper]],Plant_AILN!L:M,2,FALSE),0)</f>
        <v>92000100</v>
      </c>
      <c r="AA779" s="406">
        <v>802</v>
      </c>
      <c r="AB779" s="396" t="b">
        <f>_xlfn.XLOOKUP(Tableau119[[#This Row],[Key(ID-date)]],'DATA BTO'!S:S,'DATA BTO'!E:E,FALSE)</f>
        <v>0</v>
      </c>
      <c r="AC779" s="3" t="b">
        <f>_xlfn.XLOOKUP(Tableau119[[#This Row],[Key(ID-date)]],'DATA BTO'!S:S,'DATA BTO'!F:F,FALSE)</f>
        <v>0</v>
      </c>
      <c r="AD779" s="50" t="b">
        <f>_xlfn.XLOOKUP(Tableau119[[#This Row],[Key(ID-date)]],'DATA BTO'!S:S,'DATA BTO'!G:G,FALSE)</f>
        <v>0</v>
      </c>
      <c r="AE779" s="50" t="b">
        <f>_xlfn.XLOOKUP(Tableau119[[#This Row],[Key(ID-date)]],'DATA BTO'!S:S,'DATA BTO'!H:H,FALSE)</f>
        <v>0</v>
      </c>
      <c r="AF779" s="447" t="e">
        <f>IF(Tableau119[[#This Row],[First Day to POL]]&lt;=Tableau119[[#This Row],[Day Cut Off]],Tableau119[[#This Row],[Day ETD]],Tableau119[[#This Row],[Day ETD]]+7)</f>
        <v>#N/A</v>
      </c>
      <c r="AG779" s="50" t="b">
        <f>_xlfn.XLOOKUP(Tableau119[[#This Row],[Key(ID-date)]],'DATA BTO'!S:S,'DATA BTO'!I:I,FALSE)</f>
        <v>0</v>
      </c>
      <c r="AH779" s="3" t="b">
        <f>_xlfn.XLOOKUP(Tableau119[[#This Row],[Key(ID-date)]],'DATA BTO'!S:S,'DATA BTO'!J:J,FALSE)</f>
        <v>0</v>
      </c>
      <c r="AI779" s="3" t="b">
        <f>_xlfn.XLOOKUP(Tableau119[[#This Row],[Key(ID-date)]],'DATA BTO'!S:S,'DATA BTO'!K:K,FALSE)</f>
        <v>0</v>
      </c>
      <c r="AJ779" s="50" t="b">
        <f>_xlfn.XLOOKUP(Tableau119[[#This Row],[Key(ID-date)]],'DATA BTO'!S:S,'DATA BTO'!L:L,FALSE)</f>
        <v>0</v>
      </c>
      <c r="AK779" s="53" t="b">
        <f>_xlfn.XLOOKUP(Tableau119[[#This Row],[Key(ID-date)]],'DATA BTO'!S:S,'DATA BTO'!N:N,FALSE)</f>
        <v>0</v>
      </c>
      <c r="AL779" s="54" t="e">
        <f>VLOOKUP(Tableau119[[#This Row],[Key(POD -PFI- Usine)]],'DATA Consignee'!A:F,6,FALSE)</f>
        <v>#N/A</v>
      </c>
      <c r="AM779" s="284"/>
      <c r="AN779" s="376" t="str">
        <f>IF(Tableau119[[#This Row],[Name PFI/CDD]]="","-",VLOOKUP(Tableau119[[#This Row],[Name PFI/CDD]],Plant_AILN!I:J,2,FALSE))</f>
        <v>-</v>
      </c>
      <c r="AO7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79" s="2" t="e">
        <f>VLOOKUP(Tableau119[[#This Row],[Key(POD -PFI- Usine)]],'DATA Consignee'!A:J,10,FALSE)</f>
        <v>#N/A</v>
      </c>
      <c r="AR779" s="50" t="e">
        <f>VLOOKUP(Tableau119[[#This Row],[Key(POD -PFI- Usine)]],'DATA Consignee'!A:N,14,FALSE)</f>
        <v>#N/A</v>
      </c>
      <c r="AS77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7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79" s="50">
        <f>Tableau119[[#This Row],[Transit time]]+Tableau119[[#This Row],[Time for security]]+Tableau119[[#This Row],[Time for security2 buffer]]</f>
        <v>0</v>
      </c>
      <c r="AV77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79" s="50" t="e">
        <f>Tableau119[[#This Row],[Leadtime SI2C]]+Tableau119[[#This Row],[First Receipt Days]]-Tableau119[[#This Row],[Day Customer Order]]+1</f>
        <v>#N/A</v>
      </c>
      <c r="AX779" s="119" t="e">
        <f>IF(Tableau119[[#This Row],[Name ILN]]&lt;&gt;"SFK Freight Forwarder",Tableau119[[#This Row],[Cust. Leadtime]],Tableau119[[#This Row],[Leadtime SI2C]])</f>
        <v>#N/A</v>
      </c>
      <c r="AY779" s="51" t="b">
        <f>_xlfn.XLOOKUP(Tableau119[[#This Row],[Key(ID-date)]],'DATA BTO'!S:S,'DATA BTO'!P:P,FALSE)</f>
        <v>0</v>
      </c>
      <c r="AZ779" s="338">
        <v>45473</v>
      </c>
      <c r="BA779" s="50"/>
    </row>
    <row r="780" spans="2:53">
      <c r="B780" s="446" t="str">
        <f>_xlfn.CONCAT(Tableau119[[#This Row],[Name ILN]],"-",Tableau119[[#This Row],[Name Shipper]],"-",Tableau119[[#This Row],[Name Site]])</f>
        <v>SFK Freight Forwarder-Valeo CN-DACIA MONT</v>
      </c>
      <c r="C780" s="66" t="str">
        <f>_xlfn.CONCAT(Tableau119[[#This Row],[Compte ILN]],"-",Tableau119[[#This Row],[Compte Shipper]],"-",Tableau119[[#This Row],[POL]],"-",Tableau119[[#This Row],[Compte Consignee]])</f>
        <v>0-27084300-FALSO-90016800</v>
      </c>
      <c r="D780" s="66" t="str">
        <f>_xlfn.CONCAT(Tableau119[[#This Row],[Compte ILN]],"-",Tableau119[[#This Row],[Compte Shipper]],"-",Tableau119[[#This Row],[POL]])</f>
        <v>0-27084300-FALSO</v>
      </c>
      <c r="E780" s="130" t="str">
        <f>_xlfn.CONCAT(Tableau119[[#This Row],[POL]],"-",Tableau119[[#This Row],[Carrier]],"-",Tableau119[[#This Row],[POD]])</f>
        <v>FALSO-FALSO-FALSO</v>
      </c>
      <c r="F780" s="66" t="str">
        <f>_xlfn.CONCAT(Tableau119[[#This Row],[ID]],"-","Actif")</f>
        <v>855-Actif</v>
      </c>
      <c r="G780" s="66" t="str">
        <f>_xlfn.CONCAT(Tableau119[[#This Row],[POD]],"-",Tableau119[[#This Row],[Code PFI]],"-",Tableau119[[#This Row],[Compte Consignee]])</f>
        <v>FALSO---90016800</v>
      </c>
      <c r="H7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27084300FALSODACIA MONT</v>
      </c>
      <c r="I780" s="434" t="str">
        <f>_xlfn.CONCAT(Tableau119[[#This Row],[ID]],"-",Tableau119[[#This Row],[Expiration Date]])</f>
        <v>855-46142</v>
      </c>
      <c r="J7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Forwarder-Valeo CN-855-FALSO-FALSO-FALSO--46142</v>
      </c>
      <c r="K780" s="119" t="str">
        <f ca="1">IF(COUNTIF(J:J,Tableau119[[#This Row],[Plant-ILN-shipper-POL-Carrier-POD-PFI]])=1,"Non","Oui")</f>
        <v>Non</v>
      </c>
      <c r="L780" s="128" t="str">
        <f>VLOOKUP(Tableau119[[#This Row],[Name Site]],Plant_AILN!A:D,4,FALSE)</f>
        <v>ROMANIA</v>
      </c>
      <c r="M780" s="411" t="s">
        <v>185</v>
      </c>
      <c r="N780" s="454">
        <f>VLOOKUP(Tableau119[[#This Row],[Name Site]],Plant_AILN!A:C,3,FALSE)</f>
        <v>90016800</v>
      </c>
      <c r="O780" s="55">
        <f>IF(Tableau119[[#This Row],[Name PFI/CDD]]="PFI VLL",2,VLOOKUP(Tableau119[[#This Row],[Compte Consignee]],Order!C:D,2,FALSE))</f>
        <v>7</v>
      </c>
      <c r="P780" s="124" t="s">
        <v>146</v>
      </c>
      <c r="Q780" s="365">
        <f>VLOOKUP(Tableau119[[#This Row],[Name ILN]],Plant_AILN!F:G,2,FALSE)</f>
        <v>0</v>
      </c>
      <c r="R780" s="50">
        <f>VLOOKUP(Tableau119[[#This Row],[Compte ILN]],'DATA ILN'!D:I,6,FALSE)</f>
        <v>9</v>
      </c>
      <c r="S780" s="50" t="e">
        <f>IFERROR(VLOOKUP(Tableau119[[#This Row],[Key(Compte ILN - shipper - POL - plant)]],'DATA ILN'!A:J,10,FALSE),VLOOKUP(Tableau119[[#This Row],[Key(Compte ILN - shipper - POL)]],'DATA ILN'!B:J,9,FALSE))</f>
        <v>#N/A</v>
      </c>
      <c r="T780" s="50" t="e">
        <f>IFERROR(VLOOKUP(Tableau119[[#This Row],[Key(Compte ILN - shipper - POL - plant)]],'DATA ILN'!A:K,11,FALSE),VLOOKUP(Tableau119[[#This Row],[Key(Compte ILN - shipper - POL)]],'DATA ILN'!B:K,10,FALSE))</f>
        <v>#N/A</v>
      </c>
      <c r="U780" s="50" t="e">
        <f>IFERROR(VLOOKUP(Tableau119[[#This Row],[Key(Compte ILN - shipper - POL - plant)]],'DATA ILN'!A:L,12,FALSE),VLOOKUP(Tableau119[[#This Row],[Key(Compte ILN - shipper - POL)]],'DATA ILN'!B:L,11,FALSE))</f>
        <v>#N/A</v>
      </c>
      <c r="V780" s="50" t="e">
        <f>Tableau119[[#This Row],[Day ILN Order]]+Tableau119[[#This Row],[Delivery time to ILN/Shipper]]-1</f>
        <v>#N/A</v>
      </c>
      <c r="W780" s="50" t="e">
        <f>IFERROR(VLOOKUP(Tableau119[[#This Row],[Key(Compte ILN - shipper - POL - plant)]],'DATA ILN'!A:N,14,FALSE),VLOOKUP(Tableau119[[#This Row],[Key(Compte ILN - shipper - POL)]],'DATA ILN'!B:N,13,FALSE))</f>
        <v>#N/A</v>
      </c>
      <c r="X780" s="50" t="e">
        <f>IFERROR(VLOOKUP(Tableau119[[#This Row],[Key(Compte ILN - shipper - POL - plant)]],'DATA ILN'!A:P,16,FALSE),VLOOKUP(Tableau119[[#This Row],[Key(Compte ILN - shipper - POL)]],'DATA ILN'!B:P,15,FALSE))</f>
        <v>#N/A</v>
      </c>
      <c r="Y780" s="284" t="s">
        <v>428</v>
      </c>
      <c r="Z780" s="430">
        <f>IFERROR(VLOOKUP(Tableau119[[#This Row],[Name Shipper]],Plant_AILN!L:M,2,FALSE),0)</f>
        <v>27084300</v>
      </c>
      <c r="AA780" s="406">
        <v>855</v>
      </c>
      <c r="AB780" s="396" t="b">
        <f>_xlfn.XLOOKUP(Tableau119[[#This Row],[Key(ID-date)]],'DATA BTO'!S:S,'DATA BTO'!E:E,FALSE)</f>
        <v>0</v>
      </c>
      <c r="AC780" s="3" t="b">
        <f>_xlfn.XLOOKUP(Tableau119[[#This Row],[Key(ID-date)]],'DATA BTO'!S:S,'DATA BTO'!F:F,FALSE)</f>
        <v>0</v>
      </c>
      <c r="AD780" s="50" t="b">
        <f>_xlfn.XLOOKUP(Tableau119[[#This Row],[Key(ID-date)]],'DATA BTO'!S:S,'DATA BTO'!G:G,FALSE)</f>
        <v>0</v>
      </c>
      <c r="AE780" s="50" t="b">
        <f>_xlfn.XLOOKUP(Tableau119[[#This Row],[Key(ID-date)]],'DATA BTO'!S:S,'DATA BTO'!H:H,FALSE)</f>
        <v>0</v>
      </c>
      <c r="AF780" s="447" t="e">
        <f>IF(Tableau119[[#This Row],[First Day to POL]]&lt;=Tableau119[[#This Row],[Day Cut Off]],Tableau119[[#This Row],[Day ETD]],Tableau119[[#This Row],[Day ETD]]+7)</f>
        <v>#N/A</v>
      </c>
      <c r="AG780" s="50" t="b">
        <f>_xlfn.XLOOKUP(Tableau119[[#This Row],[Key(ID-date)]],'DATA BTO'!S:S,'DATA BTO'!I:I,FALSE)</f>
        <v>0</v>
      </c>
      <c r="AH780" s="3" t="b">
        <f>_xlfn.XLOOKUP(Tableau119[[#This Row],[Key(ID-date)]],'DATA BTO'!S:S,'DATA BTO'!J:J,FALSE)</f>
        <v>0</v>
      </c>
      <c r="AI780" s="3" t="b">
        <f>_xlfn.XLOOKUP(Tableau119[[#This Row],[Key(ID-date)]],'DATA BTO'!S:S,'DATA BTO'!K:K,FALSE)</f>
        <v>0</v>
      </c>
      <c r="AJ780" s="50" t="b">
        <f>_xlfn.XLOOKUP(Tableau119[[#This Row],[Key(ID-date)]],'DATA BTO'!S:S,'DATA BTO'!L:L,FALSE)</f>
        <v>0</v>
      </c>
      <c r="AK780" s="53" t="b">
        <f>_xlfn.XLOOKUP(Tableau119[[#This Row],[Key(ID-date)]],'DATA BTO'!S:S,'DATA BTO'!N:N,FALSE)</f>
        <v>0</v>
      </c>
      <c r="AL780" s="54" t="e">
        <f>VLOOKUP(Tableau119[[#This Row],[Key(POD -PFI- Usine)]],'DATA Consignee'!A:F,6,FALSE)</f>
        <v>#N/A</v>
      </c>
      <c r="AM780" s="284"/>
      <c r="AN780" s="376" t="str">
        <f>IF(Tableau119[[#This Row],[Name PFI/CDD]]="","-",VLOOKUP(Tableau119[[#This Row],[Name PFI/CDD]],Plant_AILN!I:J,2,FALSE))</f>
        <v>-</v>
      </c>
      <c r="AO7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0" s="2" t="e">
        <f>VLOOKUP(Tableau119[[#This Row],[Key(POD -PFI- Usine)]],'DATA Consignee'!A:J,10,FALSE)</f>
        <v>#N/A</v>
      </c>
      <c r="AR780" s="50" t="e">
        <f>VLOOKUP(Tableau119[[#This Row],[Key(POD -PFI- Usine)]],'DATA Consignee'!A:N,14,FALSE)</f>
        <v>#N/A</v>
      </c>
      <c r="AS78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0" s="50">
        <v>34</v>
      </c>
      <c r="AV78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0" s="50" t="e">
        <f>Tableau119[[#This Row],[Leadtime SI2C]]+Tableau119[[#This Row],[First Receipt Days]]-Tableau119[[#This Row],[Day Customer Order]]+1</f>
        <v>#N/A</v>
      </c>
      <c r="AX780" s="119" t="e">
        <f>IF(Tableau119[[#This Row],[Name ILN]]&lt;&gt;"SFK Freight Forwarder",Tableau119[[#This Row],[Cust. Leadtime]],Tableau119[[#This Row],[Leadtime SI2C]])</f>
        <v>#N/A</v>
      </c>
      <c r="AY780" s="51" t="b">
        <f>_xlfn.XLOOKUP(Tableau119[[#This Row],[Key(ID-date)]],'DATA BTO'!S:S,'DATA BTO'!P:P,FALSE)</f>
        <v>0</v>
      </c>
      <c r="AZ780" s="338">
        <v>46142</v>
      </c>
      <c r="BA780" s="50"/>
    </row>
    <row r="781" spans="2:53">
      <c r="B781" s="446" t="str">
        <f>_xlfn.CONCAT(Tableau119[[#This Row],[Name ILN]],"-",Tableau119[[#This Row],[Name Shipper]],"-",Tableau119[[#This Row],[Name Site]])</f>
        <v>SFK Freight Forwarder-Valeo CN-DACIA MONT</v>
      </c>
      <c r="C781" s="66" t="str">
        <f>_xlfn.CONCAT(Tableau119[[#This Row],[Compte ILN]],"-",Tableau119[[#This Row],[Compte Shipper]],"-",Tableau119[[#This Row],[POL]],"-",Tableau119[[#This Row],[Compte Consignee]])</f>
        <v>0-27084300-FALSO-90016800</v>
      </c>
      <c r="D781" s="66" t="str">
        <f>_xlfn.CONCAT(Tableau119[[#This Row],[Compte ILN]],"-",Tableau119[[#This Row],[Compte Shipper]],"-",Tableau119[[#This Row],[POL]])</f>
        <v>0-27084300-FALSO</v>
      </c>
      <c r="E781" s="130" t="str">
        <f>_xlfn.CONCAT(Tableau119[[#This Row],[POL]],"-",Tableau119[[#This Row],[Carrier]],"-",Tableau119[[#This Row],[POD]])</f>
        <v>FALSO-FALSO-FALSO</v>
      </c>
      <c r="F781" s="66" t="str">
        <f>_xlfn.CONCAT(Tableau119[[#This Row],[ID]],"-","Actif")</f>
        <v>855-Actif</v>
      </c>
      <c r="G781" s="66" t="str">
        <f>_xlfn.CONCAT(Tableau119[[#This Row],[POD]],"-",Tableau119[[#This Row],[Code PFI]],"-",Tableau119[[#This Row],[Compte Consignee]])</f>
        <v>FALSO---90016800</v>
      </c>
      <c r="H7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27084300FALSODACIA MONT</v>
      </c>
      <c r="I781" s="434" t="str">
        <f>_xlfn.CONCAT(Tableau119[[#This Row],[ID]],"-",Tableau119[[#This Row],[Expiration Date]])</f>
        <v>855-45777</v>
      </c>
      <c r="J7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Forwarder-Valeo CN-855-FALSO-FALSO-FALSO--45777</v>
      </c>
      <c r="K781" s="119" t="str">
        <f ca="1">IF(COUNTIF(J:J,Tableau119[[#This Row],[Plant-ILN-shipper-POL-Carrier-POD-PFI]])=1,"Non","Oui")</f>
        <v>Non</v>
      </c>
      <c r="L781" s="128" t="str">
        <f>VLOOKUP(Tableau119[[#This Row],[Name Site]],Plant_AILN!A:D,4,FALSE)</f>
        <v>ROMANIA</v>
      </c>
      <c r="M781" s="411" t="s">
        <v>185</v>
      </c>
      <c r="N781" s="454">
        <f>VLOOKUP(Tableau119[[#This Row],[Name Site]],Plant_AILN!A:C,3,FALSE)</f>
        <v>90016800</v>
      </c>
      <c r="O781" s="55">
        <f>VLOOKUP(Tableau119[[#This Row],[Compte Consignee]],Order!C:D,2,FALSE)</f>
        <v>7</v>
      </c>
      <c r="P781" s="124" t="s">
        <v>146</v>
      </c>
      <c r="Q781" s="365">
        <f>VLOOKUP(Tableau119[[#This Row],[Name ILN]],Plant_AILN!F:G,2,FALSE)</f>
        <v>0</v>
      </c>
      <c r="R781" s="50">
        <f>VLOOKUP(Tableau119[[#This Row],[Compte ILN]],'DATA ILN'!D:I,6,FALSE)</f>
        <v>9</v>
      </c>
      <c r="S781" s="50" t="e">
        <f>IFERROR(VLOOKUP(Tableau119[[#This Row],[Key(Compte ILN - shipper - POL - plant)]],'DATA ILN'!A:J,10,FALSE),VLOOKUP(Tableau119[[#This Row],[Key(Compte ILN - shipper - POL)]],'DATA ILN'!B:J,9,FALSE))</f>
        <v>#N/A</v>
      </c>
      <c r="T781" s="50" t="e">
        <f>IFERROR(VLOOKUP(Tableau119[[#This Row],[Key(Compte ILN - shipper - POL - plant)]],'DATA ILN'!A:K,11,FALSE),VLOOKUP(Tableau119[[#This Row],[Key(Compte ILN - shipper - POL)]],'DATA ILN'!B:K,10,FALSE))</f>
        <v>#N/A</v>
      </c>
      <c r="U781" s="50" t="e">
        <f>IFERROR(VLOOKUP(Tableau119[[#This Row],[Key(Compte ILN - shipper - POL - plant)]],'DATA ILN'!A:L,12,FALSE),VLOOKUP(Tableau119[[#This Row],[Key(Compte ILN - shipper - POL)]],'DATA ILN'!B:L,11,FALSE))</f>
        <v>#N/A</v>
      </c>
      <c r="V781" s="50" t="e">
        <f>Tableau119[[#This Row],[Day ILN Order]]+Tableau119[[#This Row],[Delivery time to ILN/Shipper]]-1</f>
        <v>#N/A</v>
      </c>
      <c r="W781" s="50" t="e">
        <f>IFERROR(VLOOKUP(Tableau119[[#This Row],[Key(Compte ILN - shipper - POL - plant)]],'DATA ILN'!A:N,14,FALSE),VLOOKUP(Tableau119[[#This Row],[Key(Compte ILN - shipper - POL)]],'DATA ILN'!B:N,13,FALSE))</f>
        <v>#N/A</v>
      </c>
      <c r="X781" s="50" t="e">
        <f>IFERROR(VLOOKUP(Tableau119[[#This Row],[Key(Compte ILN - shipper - POL - plant)]],'DATA ILN'!A:P,16,FALSE),VLOOKUP(Tableau119[[#This Row],[Key(Compte ILN - shipper - POL)]],'DATA ILN'!B:P,15,FALSE))</f>
        <v>#N/A</v>
      </c>
      <c r="Y781" s="284" t="s">
        <v>428</v>
      </c>
      <c r="Z781" s="430">
        <f>IFERROR(VLOOKUP(Tableau119[[#This Row],[Name Shipper]],Plant_AILN!L:M,2,FALSE),0)</f>
        <v>27084300</v>
      </c>
      <c r="AA781" s="406">
        <v>855</v>
      </c>
      <c r="AB781" s="396" t="b">
        <f>_xlfn.XLOOKUP(Tableau119[[#This Row],[Key(ID-date)]],'DATA BTO'!S:S,'DATA BTO'!E:E,FALSE)</f>
        <v>0</v>
      </c>
      <c r="AC781" s="3" t="b">
        <f>_xlfn.XLOOKUP(Tableau119[[#This Row],[Key(ID-date)]],'DATA BTO'!S:S,'DATA BTO'!F:F,FALSE)</f>
        <v>0</v>
      </c>
      <c r="AD781" s="50" t="b">
        <f>_xlfn.XLOOKUP(Tableau119[[#This Row],[Key(ID-date)]],'DATA BTO'!S:S,'DATA BTO'!G:G,FALSE)</f>
        <v>0</v>
      </c>
      <c r="AE781" s="50" t="b">
        <f>_xlfn.XLOOKUP(Tableau119[[#This Row],[Key(ID-date)]],'DATA BTO'!S:S,'DATA BTO'!H:H,FALSE)</f>
        <v>0</v>
      </c>
      <c r="AF781" s="447" t="e">
        <f>IF(Tableau119[[#This Row],[First Day to POL]]&lt;=Tableau119[[#This Row],[Day Cut Off]],Tableau119[[#This Row],[Day ETD]],Tableau119[[#This Row],[Day ETD]]+7)</f>
        <v>#N/A</v>
      </c>
      <c r="AG781" s="50" t="b">
        <f>_xlfn.XLOOKUP(Tableau119[[#This Row],[Key(ID-date)]],'DATA BTO'!S:S,'DATA BTO'!I:I,FALSE)</f>
        <v>0</v>
      </c>
      <c r="AH781" s="3" t="b">
        <f>_xlfn.XLOOKUP(Tableau119[[#This Row],[Key(ID-date)]],'DATA BTO'!S:S,'DATA BTO'!J:J,FALSE)</f>
        <v>0</v>
      </c>
      <c r="AI781" s="3" t="b">
        <f>_xlfn.XLOOKUP(Tableau119[[#This Row],[Key(ID-date)]],'DATA BTO'!S:S,'DATA BTO'!K:K,FALSE)</f>
        <v>0</v>
      </c>
      <c r="AJ781" s="50" t="b">
        <f>_xlfn.XLOOKUP(Tableau119[[#This Row],[Key(ID-date)]],'DATA BTO'!S:S,'DATA BTO'!L:L,FALSE)</f>
        <v>0</v>
      </c>
      <c r="AK781" s="53" t="b">
        <f>_xlfn.XLOOKUP(Tableau119[[#This Row],[Key(ID-date)]],'DATA BTO'!S:S,'DATA BTO'!N:N,FALSE)</f>
        <v>0</v>
      </c>
      <c r="AL781" s="54" t="e">
        <f>VLOOKUP(Tableau119[[#This Row],[Key(POD -PFI- Usine)]],'DATA Consignee'!A:F,6,FALSE)</f>
        <v>#N/A</v>
      </c>
      <c r="AM781" s="284"/>
      <c r="AN781" s="376" t="str">
        <f>IF(Tableau119[[#This Row],[Name PFI/CDD]]="","-",VLOOKUP(Tableau119[[#This Row],[Name PFI/CDD]],Plant_AILN!I:J,2,FALSE))</f>
        <v>-</v>
      </c>
      <c r="AO7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1" s="2" t="e">
        <f>VLOOKUP(Tableau119[[#This Row],[Key(POD -PFI- Usine)]],'DATA Consignee'!A:J,10,FALSE)</f>
        <v>#N/A</v>
      </c>
      <c r="AR781" s="50" t="e">
        <f>VLOOKUP(Tableau119[[#This Row],[Key(POD -PFI- Usine)]],'DATA Consignee'!A:N,14,FALSE)</f>
        <v>#N/A</v>
      </c>
      <c r="AS78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1" s="50">
        <f>Tableau119[[#This Row],[Transit time]]+Tableau119[[#This Row],[Time for security]]+Tableau119[[#This Row],[Time for security2 buffer]]</f>
        <v>0</v>
      </c>
      <c r="AV78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1" s="50" t="e">
        <f>Tableau119[[#This Row],[Leadtime SI2C]]+Tableau119[[#This Row],[First Receipt Days]]-Tableau119[[#This Row],[Day Customer Order]]+1</f>
        <v>#N/A</v>
      </c>
      <c r="AX781" s="119" t="e">
        <f>IF(Tableau119[[#This Row],[Name ILN]]&lt;&gt;"SFK Freight Forwarder",Tableau119[[#This Row],[Cust. Leadtime]],Tableau119[[#This Row],[Leadtime SI2C]])</f>
        <v>#N/A</v>
      </c>
      <c r="AY781" s="51" t="b">
        <f>_xlfn.XLOOKUP(Tableau119[[#This Row],[Key(ID-date)]],'DATA BTO'!S:S,'DATA BTO'!P:P,FALSE)</f>
        <v>0</v>
      </c>
      <c r="AZ781" s="338">
        <v>45777</v>
      </c>
      <c r="BA781" s="50"/>
    </row>
    <row r="782" spans="2:53">
      <c r="B782" s="446" t="str">
        <f>_xlfn.CONCAT(Tableau119[[#This Row],[Name ILN]],"-",Tableau119[[#This Row],[Name Shipper]],"-",Tableau119[[#This Row],[Name Site]])</f>
        <v>SFK Freight Forwarder-Valeo CN-DACIA MONT</v>
      </c>
      <c r="C782" s="66" t="str">
        <f>_xlfn.CONCAT(Tableau119[[#This Row],[Compte ILN]],"-",Tableau119[[#This Row],[Compte Shipper]],"-",Tableau119[[#This Row],[POL]],"-",Tableau119[[#This Row],[Compte Consignee]])</f>
        <v>0-27084300-FALSO-90016800</v>
      </c>
      <c r="D782" s="66" t="str">
        <f>_xlfn.CONCAT(Tableau119[[#This Row],[Compte ILN]],"-",Tableau119[[#This Row],[Compte Shipper]],"-",Tableau119[[#This Row],[POL]])</f>
        <v>0-27084300-FALSO</v>
      </c>
      <c r="E782" s="130" t="str">
        <f>_xlfn.CONCAT(Tableau119[[#This Row],[POL]],"-",Tableau119[[#This Row],[Carrier]],"-",Tableau119[[#This Row],[POD]])</f>
        <v>FALSO-FALSO-FALSO</v>
      </c>
      <c r="F782" s="66" t="str">
        <f>_xlfn.CONCAT(Tableau119[[#This Row],[ID]],"-","Actif")</f>
        <v>855-Actif</v>
      </c>
      <c r="G782" s="66" t="str">
        <f>_xlfn.CONCAT(Tableau119[[#This Row],[POD]],"-",Tableau119[[#This Row],[Code PFI]],"-",Tableau119[[#This Row],[Compte Consignee]])</f>
        <v>FALSO---90016800</v>
      </c>
      <c r="H7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27084300FALSODACIA MONT</v>
      </c>
      <c r="I782" s="434" t="str">
        <f>_xlfn.CONCAT(Tableau119[[#This Row],[ID]],"-",Tableau119[[#This Row],[Expiration Date]])</f>
        <v>855-45473</v>
      </c>
      <c r="J7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Forwarder-Valeo CN-855-FALSO-FALSO-FALSO--45473</v>
      </c>
      <c r="K782" s="119" t="str">
        <f ca="1">IF(COUNTIF(J:J,Tableau119[[#This Row],[Plant-ILN-shipper-POL-Carrier-POD-PFI]])=1,"Non","Oui")</f>
        <v>Non</v>
      </c>
      <c r="L782" s="128" t="str">
        <f>VLOOKUP(Tableau119[[#This Row],[Name Site]],Plant_AILN!A:D,4,FALSE)</f>
        <v>ROMANIA</v>
      </c>
      <c r="M782" s="415" t="s">
        <v>185</v>
      </c>
      <c r="N782" s="455">
        <f>VLOOKUP(Tableau119[[#This Row],[Name Site]],Plant_AILN!A:C,3,FALSE)</f>
        <v>90016800</v>
      </c>
      <c r="O782" s="104">
        <f>VLOOKUP(Tableau119[[#This Row],[Compte Consignee]],Order!C:D,2,FALSE)</f>
        <v>7</v>
      </c>
      <c r="P782" s="126" t="s">
        <v>146</v>
      </c>
      <c r="Q782" s="366">
        <f>VLOOKUP(Tableau119[[#This Row],[Name ILN]],Plant_AILN!F:G,2,FALSE)</f>
        <v>0</v>
      </c>
      <c r="R782" s="81">
        <f>VLOOKUP(Tableau119[[#This Row],[Compte ILN]],'DATA ILN'!D:I,6,FALSE)</f>
        <v>9</v>
      </c>
      <c r="S782" s="81" t="e">
        <f>IFERROR(VLOOKUP(Tableau119[[#This Row],[Key(Compte ILN - shipper - POL - plant)]],'DATA ILN'!A:J,10,FALSE),VLOOKUP(Tableau119[[#This Row],[Key(Compte ILN - shipper - POL)]],'DATA ILN'!B:J,9,FALSE))</f>
        <v>#N/A</v>
      </c>
      <c r="T782" s="81" t="e">
        <f>IFERROR(VLOOKUP(Tableau119[[#This Row],[Key(Compte ILN - shipper - POL - plant)]],'DATA ILN'!A:K,11,FALSE),VLOOKUP(Tableau119[[#This Row],[Key(Compte ILN - shipper - POL)]],'DATA ILN'!B:K,10,FALSE))</f>
        <v>#N/A</v>
      </c>
      <c r="U782" s="81" t="e">
        <f>IFERROR(VLOOKUP(Tableau119[[#This Row],[Key(Compte ILN - shipper - POL - plant)]],'DATA ILN'!A:L,12,FALSE),VLOOKUP(Tableau119[[#This Row],[Key(Compte ILN - shipper - POL)]],'DATA ILN'!B:L,11,FALSE))</f>
        <v>#N/A</v>
      </c>
      <c r="V782" s="81" t="e">
        <f>Tableau119[[#This Row],[Day ILN Order]]+Tableau119[[#This Row],[Delivery time to ILN/Shipper]]-1</f>
        <v>#N/A</v>
      </c>
      <c r="W782" s="81" t="e">
        <f>IFERROR(VLOOKUP(Tableau119[[#This Row],[Key(Compte ILN - shipper - POL - plant)]],'DATA ILN'!A:N,14,FALSE),VLOOKUP(Tableau119[[#This Row],[Key(Compte ILN - shipper - POL)]],'DATA ILN'!B:N,13,FALSE))</f>
        <v>#N/A</v>
      </c>
      <c r="X782" s="81" t="e">
        <f>IFERROR(VLOOKUP(Tableau119[[#This Row],[Key(Compte ILN - shipper - POL - plant)]],'DATA ILN'!A:P,16,FALSE),VLOOKUP(Tableau119[[#This Row],[Key(Compte ILN - shipper - POL)]],'DATA ILN'!B:P,15,FALSE))</f>
        <v>#N/A</v>
      </c>
      <c r="Y782" s="102" t="s">
        <v>428</v>
      </c>
      <c r="Z782" s="417">
        <f>IFERROR(VLOOKUP(Tableau119[[#This Row],[Name Shipper]],Plant_AILN!L:M,2,FALSE),0)</f>
        <v>27084300</v>
      </c>
      <c r="AA782" s="416">
        <v>855</v>
      </c>
      <c r="AB782" s="396" t="b">
        <f>_xlfn.XLOOKUP(Tableau119[[#This Row],[Key(ID-date)]],'DATA BTO'!S:S,'DATA BTO'!E:E,FALSE)</f>
        <v>0</v>
      </c>
      <c r="AC782" s="3" t="b">
        <f>_xlfn.XLOOKUP(Tableau119[[#This Row],[Key(ID-date)]],'DATA BTO'!S:S,'DATA BTO'!F:F,FALSE)</f>
        <v>0</v>
      </c>
      <c r="AD782" s="50" t="b">
        <f>_xlfn.XLOOKUP(Tableau119[[#This Row],[Key(ID-date)]],'DATA BTO'!S:S,'DATA BTO'!G:G,FALSE)</f>
        <v>0</v>
      </c>
      <c r="AE782" s="50" t="b">
        <f>_xlfn.XLOOKUP(Tableau119[[#This Row],[Key(ID-date)]],'DATA BTO'!S:S,'DATA BTO'!H:H,FALSE)</f>
        <v>0</v>
      </c>
      <c r="AF782" s="447" t="e">
        <f>IF(Tableau119[[#This Row],[First Day to POL]]&lt;=Tableau119[[#This Row],[Day Cut Off]],Tableau119[[#This Row],[Day ETD]],Tableau119[[#This Row],[Day ETD]]+7)</f>
        <v>#N/A</v>
      </c>
      <c r="AG782" s="50" t="b">
        <f>_xlfn.XLOOKUP(Tableau119[[#This Row],[Key(ID-date)]],'DATA BTO'!S:S,'DATA BTO'!I:I,FALSE)</f>
        <v>0</v>
      </c>
      <c r="AH782" s="3" t="b">
        <f>_xlfn.XLOOKUP(Tableau119[[#This Row],[Key(ID-date)]],'DATA BTO'!S:S,'DATA BTO'!J:J,FALSE)</f>
        <v>0</v>
      </c>
      <c r="AI782" s="3" t="b">
        <f>_xlfn.XLOOKUP(Tableau119[[#This Row],[Key(ID-date)]],'DATA BTO'!S:S,'DATA BTO'!K:K,FALSE)</f>
        <v>0</v>
      </c>
      <c r="AJ782" s="50" t="b">
        <f>_xlfn.XLOOKUP(Tableau119[[#This Row],[Key(ID-date)]],'DATA BTO'!S:S,'DATA BTO'!L:L,FALSE)</f>
        <v>0</v>
      </c>
      <c r="AK782" s="53" t="b">
        <f>_xlfn.XLOOKUP(Tableau119[[#This Row],[Key(ID-date)]],'DATA BTO'!S:S,'DATA BTO'!N:N,FALSE)</f>
        <v>0</v>
      </c>
      <c r="AL782" s="54" t="e">
        <f>VLOOKUP(Tableau119[[#This Row],[Key(POD -PFI- Usine)]],'DATA Consignee'!A:F,6,FALSE)</f>
        <v>#N/A</v>
      </c>
      <c r="AM782" s="102"/>
      <c r="AN782" s="375" t="str">
        <f>IF(Tableau119[[#This Row],[Name PFI/CDD]]="","-",VLOOKUP(Tableau119[[#This Row],[Name PFI/CDD]],Plant_AILN!I:J,2,FALSE))</f>
        <v>-</v>
      </c>
      <c r="AO78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2" s="110" t="e">
        <f>VLOOKUP(Tableau119[[#This Row],[Key(POD -PFI- Usine)]],'DATA Consignee'!A:J,10,FALSE)</f>
        <v>#N/A</v>
      </c>
      <c r="AR782" s="81" t="e">
        <f>VLOOKUP(Tableau119[[#This Row],[Key(POD -PFI- Usine)]],'DATA Consignee'!A:N,14,FALSE)</f>
        <v>#N/A</v>
      </c>
      <c r="AS78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2" s="81">
        <f>Tableau119[[#This Row],[Transit time]]+Tableau119[[#This Row],[Time for security]]+Tableau119[[#This Row],[Time for security2 buffer]]</f>
        <v>0</v>
      </c>
      <c r="AV78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2" s="50" t="e">
        <f>Tableau119[[#This Row],[Leadtime SI2C]]+Tableau119[[#This Row],[First Receipt Days]]-Tableau119[[#This Row],[Day Customer Order]]+1</f>
        <v>#N/A</v>
      </c>
      <c r="AX782" s="119" t="e">
        <f>IF(Tableau119[[#This Row],[Name ILN]]&lt;&gt;"SFK Freight Forwarder",Tableau119[[#This Row],[Cust. Leadtime]],Tableau119[[#This Row],[Leadtime SI2C]])</f>
        <v>#N/A</v>
      </c>
      <c r="AY782" s="51" t="b">
        <f>_xlfn.XLOOKUP(Tableau119[[#This Row],[Key(ID-date)]],'DATA BTO'!S:S,'DATA BTO'!P:P,FALSE)</f>
        <v>0</v>
      </c>
      <c r="AZ782" s="388">
        <v>45473</v>
      </c>
      <c r="BA782" s="81"/>
    </row>
    <row r="783" spans="2:53">
      <c r="B783" s="446" t="str">
        <f>_xlfn.CONCAT(Tableau119[[#This Row],[Name ILN]],"-",Tableau119[[#This Row],[Name Shipper]],"-",Tableau119[[#This Row],[Name Site]])</f>
        <v>SFK Freight Forwarder-Valeo CN-TANGER</v>
      </c>
      <c r="C783" s="66" t="str">
        <f>_xlfn.CONCAT(Tableau119[[#This Row],[Compte ILN]],"-",Tableau119[[#This Row],[Compte Shipper]],"-",Tableau119[[#This Row],[POL]],"-",Tableau119[[#This Row],[Compte Consignee]])</f>
        <v>0-27084300-FALSO-900383</v>
      </c>
      <c r="D783" s="66" t="str">
        <f>_xlfn.CONCAT(Tableau119[[#This Row],[Compte ILN]],"-",Tableau119[[#This Row],[Compte Shipper]],"-",Tableau119[[#This Row],[POL]])</f>
        <v>0-27084300-FALSO</v>
      </c>
      <c r="E783" s="130" t="str">
        <f>_xlfn.CONCAT(Tableau119[[#This Row],[POL]],"-",Tableau119[[#This Row],[Carrier]],"-",Tableau119[[#This Row],[POD]])</f>
        <v>FALSO-FALSO-FALSO</v>
      </c>
      <c r="F783" s="66" t="str">
        <f>_xlfn.CONCAT(Tableau119[[#This Row],[ID]],"-","Actif")</f>
        <v>858-Actif</v>
      </c>
      <c r="G783" s="66" t="str">
        <f>_xlfn.CONCAT(Tableau119[[#This Row],[POD]],"-",Tableau119[[#This Row],[Code PFI]],"-",Tableau119[[#This Row],[Compte Consignee]])</f>
        <v>FALSO---900383</v>
      </c>
      <c r="H7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27084300FALSOTANGER</v>
      </c>
      <c r="I783" s="434" t="str">
        <f>_xlfn.CONCAT(Tableau119[[#This Row],[ID]],"-",Tableau119[[#This Row],[Expiration Date]])</f>
        <v>858-46142</v>
      </c>
      <c r="J7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Forwarder-Valeo CN-858-FALSO-FALSO-FALSO--46142</v>
      </c>
      <c r="K783" s="119" t="str">
        <f ca="1">IF(COUNTIF(J:J,Tableau119[[#This Row],[Plant-ILN-shipper-POL-Carrier-POD-PFI]])=1,"Non","Oui")</f>
        <v>Non</v>
      </c>
      <c r="L783" s="128" t="str">
        <f>VLOOKUP(Tableau119[[#This Row],[Name Site]],Plant_AILN!A:D,4,FALSE)</f>
        <v>MOROCCO</v>
      </c>
      <c r="M783" s="411" t="s">
        <v>180</v>
      </c>
      <c r="N783" s="454">
        <f>VLOOKUP(Tableau119[[#This Row],[Name Site]],Plant_AILN!A:C,3,FALSE)</f>
        <v>900383</v>
      </c>
      <c r="O783" s="55">
        <f>IF(Tableau119[[#This Row],[Name PFI/CDD]]="PFI VLL",2,VLOOKUP(Tableau119[[#This Row],[Compte Consignee]],Order!C:D,2,FALSE))</f>
        <v>7</v>
      </c>
      <c r="P783" s="124" t="s">
        <v>146</v>
      </c>
      <c r="Q783" s="365">
        <f>VLOOKUP(Tableau119[[#This Row],[Name ILN]],Plant_AILN!F:G,2,FALSE)</f>
        <v>0</v>
      </c>
      <c r="R783" s="50">
        <f>VLOOKUP(Tableau119[[#This Row],[Compte ILN]],'DATA ILN'!D:I,6,FALSE)</f>
        <v>9</v>
      </c>
      <c r="S783" s="50" t="e">
        <f>IFERROR(VLOOKUP(Tableau119[[#This Row],[Key(Compte ILN - shipper - POL - plant)]],'DATA ILN'!A:J,10,FALSE),VLOOKUP(Tableau119[[#This Row],[Key(Compte ILN - shipper - POL)]],'DATA ILN'!B:J,9,FALSE))</f>
        <v>#N/A</v>
      </c>
      <c r="T783" s="50" t="e">
        <f>IFERROR(VLOOKUP(Tableau119[[#This Row],[Key(Compte ILN - shipper - POL - plant)]],'DATA ILN'!A:K,11,FALSE),VLOOKUP(Tableau119[[#This Row],[Key(Compte ILN - shipper - POL)]],'DATA ILN'!B:K,10,FALSE))</f>
        <v>#N/A</v>
      </c>
      <c r="U783" s="50" t="e">
        <f>IFERROR(VLOOKUP(Tableau119[[#This Row],[Key(Compte ILN - shipper - POL - plant)]],'DATA ILN'!A:L,12,FALSE),VLOOKUP(Tableau119[[#This Row],[Key(Compte ILN - shipper - POL)]],'DATA ILN'!B:L,11,FALSE))</f>
        <v>#N/A</v>
      </c>
      <c r="V783" s="50" t="e">
        <f>Tableau119[[#This Row],[Day ILN Order]]+Tableau119[[#This Row],[Delivery time to ILN/Shipper]]-1</f>
        <v>#N/A</v>
      </c>
      <c r="W783" s="50" t="e">
        <f>IFERROR(VLOOKUP(Tableau119[[#This Row],[Key(Compte ILN - shipper - POL - plant)]],'DATA ILN'!A:N,14,FALSE),VLOOKUP(Tableau119[[#This Row],[Key(Compte ILN - shipper - POL)]],'DATA ILN'!B:N,13,FALSE))</f>
        <v>#N/A</v>
      </c>
      <c r="X783" s="50" t="e">
        <f>IFERROR(VLOOKUP(Tableau119[[#This Row],[Key(Compte ILN - shipper - POL - plant)]],'DATA ILN'!A:P,16,FALSE),VLOOKUP(Tableau119[[#This Row],[Key(Compte ILN - shipper - POL)]],'DATA ILN'!B:P,15,FALSE))</f>
        <v>#N/A</v>
      </c>
      <c r="Y783" s="284" t="s">
        <v>428</v>
      </c>
      <c r="Z783" s="430">
        <f>IFERROR(VLOOKUP(Tableau119[[#This Row],[Name Shipper]],Plant_AILN!L:M,2,FALSE),0)</f>
        <v>27084300</v>
      </c>
      <c r="AA783" s="406">
        <v>858</v>
      </c>
      <c r="AB783" s="396" t="b">
        <f>_xlfn.XLOOKUP(Tableau119[[#This Row],[Key(ID-date)]],'DATA BTO'!S:S,'DATA BTO'!E:E,FALSE)</f>
        <v>0</v>
      </c>
      <c r="AC783" s="3" t="b">
        <f>_xlfn.XLOOKUP(Tableau119[[#This Row],[Key(ID-date)]],'DATA BTO'!S:S,'DATA BTO'!F:F,FALSE)</f>
        <v>0</v>
      </c>
      <c r="AD783" s="50" t="b">
        <f>_xlfn.XLOOKUP(Tableau119[[#This Row],[Key(ID-date)]],'DATA BTO'!S:S,'DATA BTO'!G:G,FALSE)</f>
        <v>0</v>
      </c>
      <c r="AE783" s="50" t="b">
        <f>_xlfn.XLOOKUP(Tableau119[[#This Row],[Key(ID-date)]],'DATA BTO'!S:S,'DATA BTO'!H:H,FALSE)</f>
        <v>0</v>
      </c>
      <c r="AF783" s="447" t="e">
        <f>IF(Tableau119[[#This Row],[First Day to POL]]&lt;=Tableau119[[#This Row],[Day Cut Off]],Tableau119[[#This Row],[Day ETD]],Tableau119[[#This Row],[Day ETD]]+7)</f>
        <v>#N/A</v>
      </c>
      <c r="AG783" s="50" t="b">
        <f>_xlfn.XLOOKUP(Tableau119[[#This Row],[Key(ID-date)]],'DATA BTO'!S:S,'DATA BTO'!I:I,FALSE)</f>
        <v>0</v>
      </c>
      <c r="AH783" s="3" t="b">
        <f>_xlfn.XLOOKUP(Tableau119[[#This Row],[Key(ID-date)]],'DATA BTO'!S:S,'DATA BTO'!J:J,FALSE)</f>
        <v>0</v>
      </c>
      <c r="AI783" s="3" t="b">
        <f>_xlfn.XLOOKUP(Tableau119[[#This Row],[Key(ID-date)]],'DATA BTO'!S:S,'DATA BTO'!K:K,FALSE)</f>
        <v>0</v>
      </c>
      <c r="AJ783" s="50" t="b">
        <f>_xlfn.XLOOKUP(Tableau119[[#This Row],[Key(ID-date)]],'DATA BTO'!S:S,'DATA BTO'!L:L,FALSE)</f>
        <v>0</v>
      </c>
      <c r="AK783" s="53" t="b">
        <f>_xlfn.XLOOKUP(Tableau119[[#This Row],[Key(ID-date)]],'DATA BTO'!S:S,'DATA BTO'!N:N,FALSE)</f>
        <v>0</v>
      </c>
      <c r="AL783" s="54" t="e">
        <f>VLOOKUP(Tableau119[[#This Row],[Key(POD -PFI- Usine)]],'DATA Consignee'!A:F,6,FALSE)</f>
        <v>#N/A</v>
      </c>
      <c r="AM783" s="284"/>
      <c r="AN783" s="376" t="str">
        <f>IF(Tableau119[[#This Row],[Name PFI/CDD]]="","-",VLOOKUP(Tableau119[[#This Row],[Name PFI/CDD]],Plant_AILN!I:J,2,FALSE))</f>
        <v>-</v>
      </c>
      <c r="AO7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3" s="2" t="e">
        <f>VLOOKUP(Tableau119[[#This Row],[Key(POD -PFI- Usine)]],'DATA Consignee'!A:J,10,FALSE)</f>
        <v>#N/A</v>
      </c>
      <c r="AR783" s="50" t="e">
        <f>VLOOKUP(Tableau119[[#This Row],[Key(POD -PFI- Usine)]],'DATA Consignee'!A:N,14,FALSE)</f>
        <v>#N/A</v>
      </c>
      <c r="AS7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3" s="50">
        <f>Tableau119[[#This Row],[Transit time]]+Tableau119[[#This Row],[Time for security]]+Tableau119[[#This Row],[Time for security2 buffer]]</f>
        <v>0</v>
      </c>
      <c r="AV7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3" s="50" t="e">
        <f>Tableau119[[#This Row],[Leadtime SI2C]]+Tableau119[[#This Row],[First Receipt Days]]-Tableau119[[#This Row],[Day Customer Order]]+1</f>
        <v>#N/A</v>
      </c>
      <c r="AX783" s="119" t="e">
        <f>IF(Tableau119[[#This Row],[Name ILN]]&lt;&gt;"SFK Freight Forwarder",Tableau119[[#This Row],[Cust. Leadtime]],Tableau119[[#This Row],[Leadtime SI2C]])</f>
        <v>#N/A</v>
      </c>
      <c r="AY783" s="51" t="b">
        <f>_xlfn.XLOOKUP(Tableau119[[#This Row],[Key(ID-date)]],'DATA BTO'!S:S,'DATA BTO'!P:P,FALSE)</f>
        <v>0</v>
      </c>
      <c r="AZ783" s="338">
        <v>46142</v>
      </c>
      <c r="BA783" s="50"/>
    </row>
    <row r="784" spans="2:53">
      <c r="B784" s="446" t="str">
        <f>_xlfn.CONCAT(Tableau119[[#This Row],[Name ILN]],"-",Tableau119[[#This Row],[Name Shipper]],"-",Tableau119[[#This Row],[Name Site]])</f>
        <v>SFK Freight Forwarder-Valeo CN-TANGER</v>
      </c>
      <c r="C784" s="66" t="str">
        <f>_xlfn.CONCAT(Tableau119[[#This Row],[Compte ILN]],"-",Tableau119[[#This Row],[Compte Shipper]],"-",Tableau119[[#This Row],[POL]],"-",Tableau119[[#This Row],[Compte Consignee]])</f>
        <v>0-27084300-FALSO-900383</v>
      </c>
      <c r="D784" s="66" t="str">
        <f>_xlfn.CONCAT(Tableau119[[#This Row],[Compte ILN]],"-",Tableau119[[#This Row],[Compte Shipper]],"-",Tableau119[[#This Row],[POL]])</f>
        <v>0-27084300-FALSO</v>
      </c>
      <c r="E784" s="130" t="str">
        <f>_xlfn.CONCAT(Tableau119[[#This Row],[POL]],"-",Tableau119[[#This Row],[Carrier]],"-",Tableau119[[#This Row],[POD]])</f>
        <v>FALSO-FALSO-FALSO</v>
      </c>
      <c r="F784" s="66" t="str">
        <f>_xlfn.CONCAT(Tableau119[[#This Row],[ID]],"-","Actif")</f>
        <v>858-Actif</v>
      </c>
      <c r="G784" s="66" t="str">
        <f>_xlfn.CONCAT(Tableau119[[#This Row],[POD]],"-",Tableau119[[#This Row],[Code PFI]],"-",Tableau119[[#This Row],[Compte Consignee]])</f>
        <v>FALSO---900383</v>
      </c>
      <c r="H7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27084300FALSOTANGER</v>
      </c>
      <c r="I784" s="434" t="str">
        <f>_xlfn.CONCAT(Tableau119[[#This Row],[ID]],"-",Tableau119[[#This Row],[Expiration Date]])</f>
        <v>858-45777</v>
      </c>
      <c r="J7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Forwarder-Valeo CN-858-FALSO-FALSO-FALSO--45777</v>
      </c>
      <c r="K784" s="119" t="str">
        <f ca="1">IF(COUNTIF(J:J,Tableau119[[#This Row],[Plant-ILN-shipper-POL-Carrier-POD-PFI]])=1,"Non","Oui")</f>
        <v>Non</v>
      </c>
      <c r="L784" s="128" t="str">
        <f>VLOOKUP(Tableau119[[#This Row],[Name Site]],Plant_AILN!A:D,4,FALSE)</f>
        <v>MOROCCO</v>
      </c>
      <c r="M784" s="415" t="s">
        <v>180</v>
      </c>
      <c r="N784" s="455">
        <f>VLOOKUP(Tableau119[[#This Row],[Name Site]],Plant_AILN!A:C,3,FALSE)</f>
        <v>900383</v>
      </c>
      <c r="O784" s="104">
        <f>VLOOKUP(Tableau119[[#This Row],[Compte Consignee]],Order!C:D,2,FALSE)</f>
        <v>7</v>
      </c>
      <c r="P784" s="126" t="s">
        <v>146</v>
      </c>
      <c r="Q784" s="366">
        <f>VLOOKUP(Tableau119[[#This Row],[Name ILN]],Plant_AILN!F:G,2,FALSE)</f>
        <v>0</v>
      </c>
      <c r="R784" s="81">
        <f>VLOOKUP(Tableau119[[#This Row],[Compte ILN]],'DATA ILN'!D:I,6,FALSE)</f>
        <v>9</v>
      </c>
      <c r="S784" s="81" t="e">
        <f>IFERROR(VLOOKUP(Tableau119[[#This Row],[Key(Compte ILN - shipper - POL - plant)]],'DATA ILN'!A:J,10,FALSE),VLOOKUP(Tableau119[[#This Row],[Key(Compte ILN - shipper - POL)]],'DATA ILN'!B:J,9,FALSE))</f>
        <v>#N/A</v>
      </c>
      <c r="T784" s="81" t="e">
        <f>IFERROR(VLOOKUP(Tableau119[[#This Row],[Key(Compte ILN - shipper - POL - plant)]],'DATA ILN'!A:K,11,FALSE),VLOOKUP(Tableau119[[#This Row],[Key(Compte ILN - shipper - POL)]],'DATA ILN'!B:K,10,FALSE))</f>
        <v>#N/A</v>
      </c>
      <c r="U784" s="81" t="e">
        <f>IFERROR(VLOOKUP(Tableau119[[#This Row],[Key(Compte ILN - shipper - POL - plant)]],'DATA ILN'!A:L,12,FALSE),VLOOKUP(Tableau119[[#This Row],[Key(Compte ILN - shipper - POL)]],'DATA ILN'!B:L,11,FALSE))</f>
        <v>#N/A</v>
      </c>
      <c r="V784" s="81" t="e">
        <f>Tableau119[[#This Row],[Day ILN Order]]+Tableau119[[#This Row],[Delivery time to ILN/Shipper]]-1</f>
        <v>#N/A</v>
      </c>
      <c r="W784" s="81" t="e">
        <f>IFERROR(VLOOKUP(Tableau119[[#This Row],[Key(Compte ILN - shipper - POL - plant)]],'DATA ILN'!A:N,14,FALSE),VLOOKUP(Tableau119[[#This Row],[Key(Compte ILN - shipper - POL)]],'DATA ILN'!B:N,13,FALSE))</f>
        <v>#N/A</v>
      </c>
      <c r="X784" s="81" t="e">
        <f>IFERROR(VLOOKUP(Tableau119[[#This Row],[Key(Compte ILN - shipper - POL - plant)]],'DATA ILN'!A:P,16,FALSE),VLOOKUP(Tableau119[[#This Row],[Key(Compte ILN - shipper - POL)]],'DATA ILN'!B:P,15,FALSE))</f>
        <v>#N/A</v>
      </c>
      <c r="Y784" s="102" t="s">
        <v>428</v>
      </c>
      <c r="Z784" s="417">
        <f>IFERROR(VLOOKUP(Tableau119[[#This Row],[Name Shipper]],Plant_AILN!L:M,2,FALSE),0)</f>
        <v>27084300</v>
      </c>
      <c r="AA784" s="416">
        <v>858</v>
      </c>
      <c r="AB784" s="396" t="b">
        <f>_xlfn.XLOOKUP(Tableau119[[#This Row],[Key(ID-date)]],'DATA BTO'!S:S,'DATA BTO'!E:E,FALSE)</f>
        <v>0</v>
      </c>
      <c r="AC784" s="3" t="b">
        <f>_xlfn.XLOOKUP(Tableau119[[#This Row],[Key(ID-date)]],'DATA BTO'!S:S,'DATA BTO'!F:F,FALSE)</f>
        <v>0</v>
      </c>
      <c r="AD784" s="50" t="b">
        <f>_xlfn.XLOOKUP(Tableau119[[#This Row],[Key(ID-date)]],'DATA BTO'!S:S,'DATA BTO'!G:G,FALSE)</f>
        <v>0</v>
      </c>
      <c r="AE784" s="50" t="b">
        <f>_xlfn.XLOOKUP(Tableau119[[#This Row],[Key(ID-date)]],'DATA BTO'!S:S,'DATA BTO'!H:H,FALSE)</f>
        <v>0</v>
      </c>
      <c r="AF784" s="447" t="e">
        <f>IF(Tableau119[[#This Row],[First Day to POL]]&lt;=Tableau119[[#This Row],[Day Cut Off]],Tableau119[[#This Row],[Day ETD]],Tableau119[[#This Row],[Day ETD]]+7)</f>
        <v>#N/A</v>
      </c>
      <c r="AG784" s="50" t="b">
        <f>_xlfn.XLOOKUP(Tableau119[[#This Row],[Key(ID-date)]],'DATA BTO'!S:S,'DATA BTO'!I:I,FALSE)</f>
        <v>0</v>
      </c>
      <c r="AH784" s="3" t="b">
        <f>_xlfn.XLOOKUP(Tableau119[[#This Row],[Key(ID-date)]],'DATA BTO'!S:S,'DATA BTO'!J:J,FALSE)</f>
        <v>0</v>
      </c>
      <c r="AI784" s="3" t="b">
        <f>_xlfn.XLOOKUP(Tableau119[[#This Row],[Key(ID-date)]],'DATA BTO'!S:S,'DATA BTO'!K:K,FALSE)</f>
        <v>0</v>
      </c>
      <c r="AJ784" s="50" t="b">
        <f>_xlfn.XLOOKUP(Tableau119[[#This Row],[Key(ID-date)]],'DATA BTO'!S:S,'DATA BTO'!L:L,FALSE)</f>
        <v>0</v>
      </c>
      <c r="AK784" s="53" t="b">
        <f>_xlfn.XLOOKUP(Tableau119[[#This Row],[Key(ID-date)]],'DATA BTO'!S:S,'DATA BTO'!N:N,FALSE)</f>
        <v>0</v>
      </c>
      <c r="AL784" s="54" t="e">
        <f>VLOOKUP(Tableau119[[#This Row],[Key(POD -PFI- Usine)]],'DATA Consignee'!A:F,6,FALSE)</f>
        <v>#N/A</v>
      </c>
      <c r="AM784" s="102"/>
      <c r="AN784" s="375" t="str">
        <f>IF(Tableau119[[#This Row],[Name PFI/CDD]]="","-",VLOOKUP(Tableau119[[#This Row],[Name PFI/CDD]],Plant_AILN!I:J,2,FALSE))</f>
        <v>-</v>
      </c>
      <c r="AO78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4" s="110" t="e">
        <f>VLOOKUP(Tableau119[[#This Row],[Key(POD -PFI- Usine)]],'DATA Consignee'!A:J,10,FALSE)</f>
        <v>#N/A</v>
      </c>
      <c r="AR784" s="81" t="e">
        <f>VLOOKUP(Tableau119[[#This Row],[Key(POD -PFI- Usine)]],'DATA Consignee'!A:N,14,FALSE)</f>
        <v>#N/A</v>
      </c>
      <c r="AS78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4" s="81">
        <f>Tableau119[[#This Row],[Transit time]]+Tableau119[[#This Row],[Time for security]]+Tableau119[[#This Row],[Time for security2 buffer]]</f>
        <v>0</v>
      </c>
      <c r="AV7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4" s="50" t="e">
        <f>Tableau119[[#This Row],[Leadtime SI2C]]+Tableau119[[#This Row],[First Receipt Days]]-Tableau119[[#This Row],[Day Customer Order]]+1</f>
        <v>#N/A</v>
      </c>
      <c r="AX784" s="119" t="e">
        <f>IF(Tableau119[[#This Row],[Name ILN]]&lt;&gt;"SFK Freight Forwarder",Tableau119[[#This Row],[Cust. Leadtime]],Tableau119[[#This Row],[Leadtime SI2C]])</f>
        <v>#N/A</v>
      </c>
      <c r="AY784" s="51" t="b">
        <f>_xlfn.XLOOKUP(Tableau119[[#This Row],[Key(ID-date)]],'DATA BTO'!S:S,'DATA BTO'!P:P,FALSE)</f>
        <v>0</v>
      </c>
      <c r="AZ784" s="388">
        <v>45777</v>
      </c>
      <c r="BA784" s="81"/>
    </row>
    <row r="785" spans="2:53">
      <c r="B785" s="446" t="str">
        <f>_xlfn.CONCAT(Tableau119[[#This Row],[Name ILN]],"-",Tableau119[[#This Row],[Name Shipper]],"-",Tableau119[[#This Row],[Name Site]])</f>
        <v>SFK Freight Forwarder-linlong serbie-TANGER</v>
      </c>
      <c r="C785" s="66" t="str">
        <f>_xlfn.CONCAT(Tableau119[[#This Row],[Compte ILN]],"-",Tableau119[[#This Row],[Compte Shipper]],"-",Tableau119[[#This Row],[POL]],"-",Tableau119[[#This Row],[Compte Consignee]])</f>
        <v>0-43763900-FALSO-900383</v>
      </c>
      <c r="D785" s="66" t="str">
        <f>_xlfn.CONCAT(Tableau119[[#This Row],[Compte ILN]],"-",Tableau119[[#This Row],[Compte Shipper]],"-",Tableau119[[#This Row],[POL]])</f>
        <v>0-43763900-FALSO</v>
      </c>
      <c r="E785" s="130" t="str">
        <f>_xlfn.CONCAT(Tableau119[[#This Row],[POL]],"-",Tableau119[[#This Row],[Carrier]],"-",Tableau119[[#This Row],[POD]])</f>
        <v>FALSO-FALSO-FALSO</v>
      </c>
      <c r="F785" s="66" t="str">
        <f>_xlfn.CONCAT(Tableau119[[#This Row],[ID]],"-","Actif")</f>
        <v>861-Actif</v>
      </c>
      <c r="G785" s="66" t="str">
        <f>_xlfn.CONCAT(Tableau119[[#This Row],[POD]],"-",Tableau119[[#This Row],[Code PFI]],"-",Tableau119[[#This Row],[Compte Consignee]])</f>
        <v>FALSO---900383</v>
      </c>
      <c r="H7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43763900FALSOTANGER</v>
      </c>
      <c r="I785" s="434" t="str">
        <f>_xlfn.CONCAT(Tableau119[[#This Row],[ID]],"-",Tableau119[[#This Row],[Expiration Date]])</f>
        <v>861-46142</v>
      </c>
      <c r="J7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Forwarder-linlong serbie-861-FALSO-FALSO-FALSO--46142</v>
      </c>
      <c r="K785" s="119" t="str">
        <f ca="1">IF(COUNTIF(J:J,Tableau119[[#This Row],[Plant-ILN-shipper-POL-Carrier-POD-PFI]])=1,"Non","Oui")</f>
        <v>Non</v>
      </c>
      <c r="L785" s="128" t="str">
        <f>VLOOKUP(Tableau119[[#This Row],[Name Site]],Plant_AILN!A:D,4,FALSE)</f>
        <v>MOROCCO</v>
      </c>
      <c r="M785" s="411" t="s">
        <v>180</v>
      </c>
      <c r="N785" s="454">
        <f>VLOOKUP(Tableau119[[#This Row],[Name Site]],Plant_AILN!A:C,3,FALSE)</f>
        <v>900383</v>
      </c>
      <c r="O785" s="55">
        <f>IF(Tableau119[[#This Row],[Name PFI/CDD]]="PFI VLL",2,VLOOKUP(Tableau119[[#This Row],[Compte Consignee]],Order!C:D,2,FALSE))</f>
        <v>7</v>
      </c>
      <c r="P785" s="124" t="s">
        <v>146</v>
      </c>
      <c r="Q785" s="365">
        <f>VLOOKUP(Tableau119[[#This Row],[Name ILN]],Plant_AILN!F:G,2,FALSE)</f>
        <v>0</v>
      </c>
      <c r="R785" s="50">
        <f>VLOOKUP(Tableau119[[#This Row],[Compte ILN]],'DATA ILN'!D:I,6,FALSE)</f>
        <v>9</v>
      </c>
      <c r="S785" s="50" t="e">
        <f>IFERROR(VLOOKUP(Tableau119[[#This Row],[Key(Compte ILN - shipper - POL - plant)]],'DATA ILN'!A:J,10,FALSE),VLOOKUP(Tableau119[[#This Row],[Key(Compte ILN - shipper - POL)]],'DATA ILN'!B:J,9,FALSE))</f>
        <v>#N/A</v>
      </c>
      <c r="T785" s="50" t="e">
        <f>IFERROR(VLOOKUP(Tableau119[[#This Row],[Key(Compte ILN - shipper - POL - plant)]],'DATA ILN'!A:K,11,FALSE),VLOOKUP(Tableau119[[#This Row],[Key(Compte ILN - shipper - POL)]],'DATA ILN'!B:K,10,FALSE))</f>
        <v>#N/A</v>
      </c>
      <c r="U785" s="50" t="e">
        <f>IFERROR(VLOOKUP(Tableau119[[#This Row],[Key(Compte ILN - shipper - POL - plant)]],'DATA ILN'!A:L,12,FALSE),VLOOKUP(Tableau119[[#This Row],[Key(Compte ILN - shipper - POL)]],'DATA ILN'!B:L,11,FALSE))</f>
        <v>#N/A</v>
      </c>
      <c r="V785" s="50" t="e">
        <f>Tableau119[[#This Row],[Day ILN Order]]+Tableau119[[#This Row],[Delivery time to ILN/Shipper]]-1</f>
        <v>#N/A</v>
      </c>
      <c r="W785" s="50" t="e">
        <f>IFERROR(VLOOKUP(Tableau119[[#This Row],[Key(Compte ILN - shipper - POL - plant)]],'DATA ILN'!A:N,14,FALSE),VLOOKUP(Tableau119[[#This Row],[Key(Compte ILN - shipper - POL)]],'DATA ILN'!B:N,13,FALSE))</f>
        <v>#N/A</v>
      </c>
      <c r="X785" s="50" t="e">
        <f>IFERROR(VLOOKUP(Tableau119[[#This Row],[Key(Compte ILN - shipper - POL - plant)]],'DATA ILN'!A:P,16,FALSE),VLOOKUP(Tableau119[[#This Row],[Key(Compte ILN - shipper - POL)]],'DATA ILN'!B:P,15,FALSE))</f>
        <v>#N/A</v>
      </c>
      <c r="Y785" s="284" t="s">
        <v>434</v>
      </c>
      <c r="Z785" s="430">
        <f>IFERROR(VLOOKUP(Tableau119[[#This Row],[Name Shipper]],Plant_AILN!L:M,2,FALSE),0)</f>
        <v>43763900</v>
      </c>
      <c r="AA785" s="406">
        <v>861</v>
      </c>
      <c r="AB785" s="396" t="b">
        <f>_xlfn.XLOOKUP(Tableau119[[#This Row],[Key(ID-date)]],'DATA BTO'!S:S,'DATA BTO'!E:E,FALSE)</f>
        <v>0</v>
      </c>
      <c r="AC785" s="3" t="b">
        <f>_xlfn.XLOOKUP(Tableau119[[#This Row],[Key(ID-date)]],'DATA BTO'!S:S,'DATA BTO'!F:F,FALSE)</f>
        <v>0</v>
      </c>
      <c r="AD785" s="50" t="b">
        <f>_xlfn.XLOOKUP(Tableau119[[#This Row],[Key(ID-date)]],'DATA BTO'!S:S,'DATA BTO'!G:G,FALSE)</f>
        <v>0</v>
      </c>
      <c r="AE785" s="50" t="b">
        <f>_xlfn.XLOOKUP(Tableau119[[#This Row],[Key(ID-date)]],'DATA BTO'!S:S,'DATA BTO'!H:H,FALSE)</f>
        <v>0</v>
      </c>
      <c r="AF785" s="447" t="e">
        <f>IF(Tableau119[[#This Row],[First Day to POL]]&lt;=Tableau119[[#This Row],[Day Cut Off]],Tableau119[[#This Row],[Day ETD]],Tableau119[[#This Row],[Day ETD]]+7)</f>
        <v>#N/A</v>
      </c>
      <c r="AG785" s="50" t="b">
        <f>_xlfn.XLOOKUP(Tableau119[[#This Row],[Key(ID-date)]],'DATA BTO'!S:S,'DATA BTO'!I:I,FALSE)</f>
        <v>0</v>
      </c>
      <c r="AH785" s="3" t="b">
        <f>_xlfn.XLOOKUP(Tableau119[[#This Row],[Key(ID-date)]],'DATA BTO'!S:S,'DATA BTO'!J:J,FALSE)</f>
        <v>0</v>
      </c>
      <c r="AI785" s="3" t="b">
        <f>_xlfn.XLOOKUP(Tableau119[[#This Row],[Key(ID-date)]],'DATA BTO'!S:S,'DATA BTO'!K:K,FALSE)</f>
        <v>0</v>
      </c>
      <c r="AJ785" s="50" t="b">
        <f>_xlfn.XLOOKUP(Tableau119[[#This Row],[Key(ID-date)]],'DATA BTO'!S:S,'DATA BTO'!L:L,FALSE)</f>
        <v>0</v>
      </c>
      <c r="AK785" s="53" t="b">
        <f>_xlfn.XLOOKUP(Tableau119[[#This Row],[Key(ID-date)]],'DATA BTO'!S:S,'DATA BTO'!N:N,FALSE)</f>
        <v>0</v>
      </c>
      <c r="AL785" s="54" t="e">
        <f>VLOOKUP(Tableau119[[#This Row],[Key(POD -PFI- Usine)]],'DATA Consignee'!A:F,6,FALSE)</f>
        <v>#N/A</v>
      </c>
      <c r="AM785" s="284"/>
      <c r="AN785" s="376" t="str">
        <f>IF(Tableau119[[#This Row],[Name PFI/CDD]]="","-",VLOOKUP(Tableau119[[#This Row],[Name PFI/CDD]],Plant_AILN!I:J,2,FALSE))</f>
        <v>-</v>
      </c>
      <c r="AO7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5" s="2" t="e">
        <f>VLOOKUP(Tableau119[[#This Row],[Key(POD -PFI- Usine)]],'DATA Consignee'!A:J,10,FALSE)</f>
        <v>#N/A</v>
      </c>
      <c r="AR785" s="50" t="e">
        <f>VLOOKUP(Tableau119[[#This Row],[Key(POD -PFI- Usine)]],'DATA Consignee'!A:N,14,FALSE)</f>
        <v>#N/A</v>
      </c>
      <c r="AS7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5" s="50">
        <f>Tableau119[[#This Row],[Transit time]]+Tableau119[[#This Row],[Time for security]]+Tableau119[[#This Row],[Time for security2 buffer]]</f>
        <v>0</v>
      </c>
      <c r="AV7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5" s="50" t="e">
        <f>Tableau119[[#This Row],[Leadtime SI2C]]+Tableau119[[#This Row],[First Receipt Days]]-Tableau119[[#This Row],[Day Customer Order]]+1</f>
        <v>#N/A</v>
      </c>
      <c r="AX785" s="119" t="e">
        <f>IF(Tableau119[[#This Row],[Name ILN]]&lt;&gt;"SFK Freight Forwarder",Tableau119[[#This Row],[Cust. Leadtime]],Tableau119[[#This Row],[Leadtime SI2C]])</f>
        <v>#N/A</v>
      </c>
      <c r="AY785" s="51" t="b">
        <f>_xlfn.XLOOKUP(Tableau119[[#This Row],[Key(ID-date)]],'DATA BTO'!S:S,'DATA BTO'!P:P,FALSE)</f>
        <v>0</v>
      </c>
      <c r="AZ785" s="338">
        <v>46142</v>
      </c>
      <c r="BA785" s="50"/>
    </row>
    <row r="786" spans="2:53">
      <c r="B786" s="446" t="str">
        <f>_xlfn.CONCAT(Tableau119[[#This Row],[Name ILN]],"-",Tableau119[[#This Row],[Name Shipper]],"-",Tableau119[[#This Row],[Name Site]])</f>
        <v>SFK Freight Forwarder-linlong serbie-TANGER</v>
      </c>
      <c r="C786" s="66" t="str">
        <f>_xlfn.CONCAT(Tableau119[[#This Row],[Compte ILN]],"-",Tableau119[[#This Row],[Compte Shipper]],"-",Tableau119[[#This Row],[POL]],"-",Tableau119[[#This Row],[Compte Consignee]])</f>
        <v>0-43763900-FALSO-900383</v>
      </c>
      <c r="D786" s="66" t="str">
        <f>_xlfn.CONCAT(Tableau119[[#This Row],[Compte ILN]],"-",Tableau119[[#This Row],[Compte Shipper]],"-",Tableau119[[#This Row],[POL]])</f>
        <v>0-43763900-FALSO</v>
      </c>
      <c r="E786" s="130" t="str">
        <f>_xlfn.CONCAT(Tableau119[[#This Row],[POL]],"-",Tableau119[[#This Row],[Carrier]],"-",Tableau119[[#This Row],[POD]])</f>
        <v>FALSO-FALSO-FALSO</v>
      </c>
      <c r="F786" s="66" t="str">
        <f>_xlfn.CONCAT(Tableau119[[#This Row],[ID]],"-","Actif")</f>
        <v>861-Actif</v>
      </c>
      <c r="G786" s="66" t="str">
        <f>_xlfn.CONCAT(Tableau119[[#This Row],[POD]],"-",Tableau119[[#This Row],[Code PFI]],"-",Tableau119[[#This Row],[Compte Consignee]])</f>
        <v>FALSO---900383</v>
      </c>
      <c r="H7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43763900FALSOTANGER</v>
      </c>
      <c r="I786" s="434" t="str">
        <f>_xlfn.CONCAT(Tableau119[[#This Row],[ID]],"-",Tableau119[[#This Row],[Expiration Date]])</f>
        <v>861-45900</v>
      </c>
      <c r="J7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Forwarder-linlong serbie-861-FALSO-FALSO-FALSO--45900</v>
      </c>
      <c r="K786" s="119" t="str">
        <f ca="1">IF(COUNTIF(J:J,Tableau119[[#This Row],[Plant-ILN-shipper-POL-Carrier-POD-PFI]])=1,"Non","Oui")</f>
        <v>Non</v>
      </c>
      <c r="L786" s="128" t="str">
        <f>VLOOKUP(Tableau119[[#This Row],[Name Site]],Plant_AILN!A:D,4,FALSE)</f>
        <v>MOROCCO</v>
      </c>
      <c r="M786" s="411" t="s">
        <v>180</v>
      </c>
      <c r="N786" s="454">
        <f>VLOOKUP(Tableau119[[#This Row],[Name Site]],Plant_AILN!A:C,3,FALSE)</f>
        <v>900383</v>
      </c>
      <c r="O786" s="55">
        <f>VLOOKUP(Tableau119[[#This Row],[Compte Consignee]],Order!C:D,2,FALSE)</f>
        <v>7</v>
      </c>
      <c r="P786" s="124" t="s">
        <v>146</v>
      </c>
      <c r="Q786" s="365">
        <f>VLOOKUP(Tableau119[[#This Row],[Name ILN]],Plant_AILN!F:G,2,FALSE)</f>
        <v>0</v>
      </c>
      <c r="R786" s="50">
        <f>VLOOKUP(Tableau119[[#This Row],[Compte ILN]],'DATA ILN'!D:I,6,FALSE)</f>
        <v>9</v>
      </c>
      <c r="S786" s="50" t="e">
        <f>IFERROR(VLOOKUP(Tableau119[[#This Row],[Key(Compte ILN - shipper - POL - plant)]],'DATA ILN'!A:J,10,FALSE),VLOOKUP(Tableau119[[#This Row],[Key(Compte ILN - shipper - POL)]],'DATA ILN'!B:J,9,FALSE))</f>
        <v>#N/A</v>
      </c>
      <c r="T786" s="50" t="e">
        <f>IFERROR(VLOOKUP(Tableau119[[#This Row],[Key(Compte ILN - shipper - POL - plant)]],'DATA ILN'!A:K,11,FALSE),VLOOKUP(Tableau119[[#This Row],[Key(Compte ILN - shipper - POL)]],'DATA ILN'!B:K,10,FALSE))</f>
        <v>#N/A</v>
      </c>
      <c r="U786" s="50" t="e">
        <f>IFERROR(VLOOKUP(Tableau119[[#This Row],[Key(Compte ILN - shipper - POL - plant)]],'DATA ILN'!A:L,12,FALSE),VLOOKUP(Tableau119[[#This Row],[Key(Compte ILN - shipper - POL)]],'DATA ILN'!B:L,11,FALSE))</f>
        <v>#N/A</v>
      </c>
      <c r="V786" s="50" t="e">
        <f>Tableau119[[#This Row],[Day ILN Order]]+Tableau119[[#This Row],[Delivery time to ILN/Shipper]]-1</f>
        <v>#N/A</v>
      </c>
      <c r="W786" s="50" t="e">
        <f>IFERROR(VLOOKUP(Tableau119[[#This Row],[Key(Compte ILN - shipper - POL - plant)]],'DATA ILN'!A:N,14,FALSE),VLOOKUP(Tableau119[[#This Row],[Key(Compte ILN - shipper - POL)]],'DATA ILN'!B:N,13,FALSE))</f>
        <v>#N/A</v>
      </c>
      <c r="X786" s="50" t="e">
        <f>IFERROR(VLOOKUP(Tableau119[[#This Row],[Key(Compte ILN - shipper - POL - plant)]],'DATA ILN'!A:P,16,FALSE),VLOOKUP(Tableau119[[#This Row],[Key(Compte ILN - shipper - POL)]],'DATA ILN'!B:P,15,FALSE))</f>
        <v>#N/A</v>
      </c>
      <c r="Y786" s="284" t="s">
        <v>434</v>
      </c>
      <c r="Z786" s="430">
        <f>IFERROR(VLOOKUP(Tableau119[[#This Row],[Name Shipper]],Plant_AILN!L:M,2,FALSE),0)</f>
        <v>43763900</v>
      </c>
      <c r="AA786" s="406">
        <v>861</v>
      </c>
      <c r="AB786" s="396" t="b">
        <f>_xlfn.XLOOKUP(Tableau119[[#This Row],[Key(ID-date)]],'DATA BTO'!S:S,'DATA BTO'!E:E,FALSE)</f>
        <v>0</v>
      </c>
      <c r="AC786" s="3" t="b">
        <f>_xlfn.XLOOKUP(Tableau119[[#This Row],[Key(ID-date)]],'DATA BTO'!S:S,'DATA BTO'!F:F,FALSE)</f>
        <v>0</v>
      </c>
      <c r="AD786" s="50" t="b">
        <f>_xlfn.XLOOKUP(Tableau119[[#This Row],[Key(ID-date)]],'DATA BTO'!S:S,'DATA BTO'!G:G,FALSE)</f>
        <v>0</v>
      </c>
      <c r="AE786" s="50" t="b">
        <f>_xlfn.XLOOKUP(Tableau119[[#This Row],[Key(ID-date)]],'DATA BTO'!S:S,'DATA BTO'!H:H,FALSE)</f>
        <v>0</v>
      </c>
      <c r="AF786" s="447" t="e">
        <f>IF(Tableau119[[#This Row],[First Day to POL]]&lt;=Tableau119[[#This Row],[Day Cut Off]],Tableau119[[#This Row],[Day ETD]],Tableau119[[#This Row],[Day ETD]]+7)</f>
        <v>#N/A</v>
      </c>
      <c r="AG786" s="50" t="b">
        <f>_xlfn.XLOOKUP(Tableau119[[#This Row],[Key(ID-date)]],'DATA BTO'!S:S,'DATA BTO'!I:I,FALSE)</f>
        <v>0</v>
      </c>
      <c r="AH786" s="3" t="b">
        <f>_xlfn.XLOOKUP(Tableau119[[#This Row],[Key(ID-date)]],'DATA BTO'!S:S,'DATA BTO'!J:J,FALSE)</f>
        <v>0</v>
      </c>
      <c r="AI786" s="3" t="b">
        <f>_xlfn.XLOOKUP(Tableau119[[#This Row],[Key(ID-date)]],'DATA BTO'!S:S,'DATA BTO'!K:K,FALSE)</f>
        <v>0</v>
      </c>
      <c r="AJ786" s="50" t="b">
        <f>_xlfn.XLOOKUP(Tableau119[[#This Row],[Key(ID-date)]],'DATA BTO'!S:S,'DATA BTO'!L:L,FALSE)</f>
        <v>0</v>
      </c>
      <c r="AK786" s="53" t="b">
        <f>_xlfn.XLOOKUP(Tableau119[[#This Row],[Key(ID-date)]],'DATA BTO'!S:S,'DATA BTO'!N:N,FALSE)</f>
        <v>0</v>
      </c>
      <c r="AL786" s="54" t="e">
        <f>VLOOKUP(Tableau119[[#This Row],[Key(POD -PFI- Usine)]],'DATA Consignee'!A:F,6,FALSE)</f>
        <v>#N/A</v>
      </c>
      <c r="AM786" s="284"/>
      <c r="AN786" s="376" t="str">
        <f>IF(Tableau119[[#This Row],[Name PFI/CDD]]="","-",VLOOKUP(Tableau119[[#This Row],[Name PFI/CDD]],Plant_AILN!I:J,2,FALSE))</f>
        <v>-</v>
      </c>
      <c r="AO7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6" s="2" t="e">
        <f>VLOOKUP(Tableau119[[#This Row],[Key(POD -PFI- Usine)]],'DATA Consignee'!A:J,10,FALSE)</f>
        <v>#N/A</v>
      </c>
      <c r="AR786" s="50" t="e">
        <f>VLOOKUP(Tableau119[[#This Row],[Key(POD -PFI- Usine)]],'DATA Consignee'!A:N,14,FALSE)</f>
        <v>#N/A</v>
      </c>
      <c r="AS7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6" s="50">
        <f>Tableau119[[#This Row],[Transit time]]+Tableau119[[#This Row],[Time for security]]+Tableau119[[#This Row],[Time for security2 buffer]]</f>
        <v>0</v>
      </c>
      <c r="AV7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6" s="50" t="e">
        <f>Tableau119[[#This Row],[Leadtime SI2C]]+Tableau119[[#This Row],[First Receipt Days]]-Tableau119[[#This Row],[Day Customer Order]]+1</f>
        <v>#N/A</v>
      </c>
      <c r="AX786" s="119" t="e">
        <f>IF(Tableau119[[#This Row],[Name ILN]]&lt;&gt;"SFK Freight Forwarder",Tableau119[[#This Row],[Cust. Leadtime]],Tableau119[[#This Row],[Leadtime SI2C]])</f>
        <v>#N/A</v>
      </c>
      <c r="AY786" s="51" t="b">
        <f>_xlfn.XLOOKUP(Tableau119[[#This Row],[Key(ID-date)]],'DATA BTO'!S:S,'DATA BTO'!P:P,FALSE)</f>
        <v>0</v>
      </c>
      <c r="AZ786" s="338">
        <v>45900</v>
      </c>
      <c r="BA786" s="50"/>
    </row>
    <row r="787" spans="2:53">
      <c r="B787" s="446" t="str">
        <f>_xlfn.CONCAT(Tableau119[[#This Row],[Name ILN]],"-",Tableau119[[#This Row],[Name Shipper]],"-",Tableau119[[#This Row],[Name Site]])</f>
        <v>SFK Freight Forwarder-linlong serbie-SOMACA</v>
      </c>
      <c r="C787" s="66" t="str">
        <f>_xlfn.CONCAT(Tableau119[[#This Row],[Compte ILN]],"-",Tableau119[[#This Row],[Compte Shipper]],"-",Tableau119[[#This Row],[POL]],"-",Tableau119[[#This Row],[Compte Consignee]])</f>
        <v>0-43763900-FALSO-90038200</v>
      </c>
      <c r="D787" s="66" t="str">
        <f>_xlfn.CONCAT(Tableau119[[#This Row],[Compte ILN]],"-",Tableau119[[#This Row],[Compte Shipper]],"-",Tableau119[[#This Row],[POL]])</f>
        <v>0-43763900-FALSO</v>
      </c>
      <c r="E787" s="130" t="str">
        <f>_xlfn.CONCAT(Tableau119[[#This Row],[POL]],"-",Tableau119[[#This Row],[Carrier]],"-",Tableau119[[#This Row],[POD]])</f>
        <v>FALSO-FALSO-FALSO</v>
      </c>
      <c r="F787" s="66" t="str">
        <f>_xlfn.CONCAT(Tableau119[[#This Row],[ID]],"-","Actif")</f>
        <v>862-Actif</v>
      </c>
      <c r="G787" s="66" t="str">
        <f>_xlfn.CONCAT(Tableau119[[#This Row],[POD]],"-",Tableau119[[#This Row],[Code PFI]],"-",Tableau119[[#This Row],[Compte Consignee]])</f>
        <v>FALSO---90038200</v>
      </c>
      <c r="H7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43763900FALSOSOMACA</v>
      </c>
      <c r="I787" s="434" t="str">
        <f>_xlfn.CONCAT(Tableau119[[#This Row],[ID]],"-",Tableau119[[#This Row],[Expiration Date]])</f>
        <v>862-46142</v>
      </c>
      <c r="J7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Forwarder-linlong serbie-862-FALSO-FALSO-FALSO--46142</v>
      </c>
      <c r="K787" s="119" t="str">
        <f ca="1">IF(COUNTIF(J:J,Tableau119[[#This Row],[Plant-ILN-shipper-POL-Carrier-POD-PFI]])=1,"Non","Oui")</f>
        <v>Non</v>
      </c>
      <c r="L787" s="128" t="str">
        <f>VLOOKUP(Tableau119[[#This Row],[Name Site]],Plant_AILN!A:D,4,FALSE)</f>
        <v>MOROCCO</v>
      </c>
      <c r="M787" s="411" t="s">
        <v>179</v>
      </c>
      <c r="N787" s="454">
        <f>VLOOKUP(Tableau119[[#This Row],[Name Site]],Plant_AILN!A:C,3,FALSE)</f>
        <v>90038200</v>
      </c>
      <c r="O787" s="55">
        <f>IF(Tableau119[[#This Row],[Name PFI/CDD]]="PFI VLL",2,VLOOKUP(Tableau119[[#This Row],[Compte Consignee]],Order!C:D,2,FALSE))</f>
        <v>7</v>
      </c>
      <c r="P787" s="124" t="s">
        <v>146</v>
      </c>
      <c r="Q787" s="365">
        <f>VLOOKUP(Tableau119[[#This Row],[Name ILN]],Plant_AILN!F:G,2,FALSE)</f>
        <v>0</v>
      </c>
      <c r="R787" s="50">
        <f>VLOOKUP(Tableau119[[#This Row],[Compte ILN]],'DATA ILN'!D:I,6,FALSE)</f>
        <v>9</v>
      </c>
      <c r="S787" s="50" t="e">
        <f>IFERROR(VLOOKUP(Tableau119[[#This Row],[Key(Compte ILN - shipper - POL - plant)]],'DATA ILN'!A:J,10,FALSE),VLOOKUP(Tableau119[[#This Row],[Key(Compte ILN - shipper - POL)]],'DATA ILN'!B:J,9,FALSE))</f>
        <v>#N/A</v>
      </c>
      <c r="T787" s="50" t="e">
        <f>IFERROR(VLOOKUP(Tableau119[[#This Row],[Key(Compte ILN - shipper - POL - plant)]],'DATA ILN'!A:K,11,FALSE),VLOOKUP(Tableau119[[#This Row],[Key(Compte ILN - shipper - POL)]],'DATA ILN'!B:K,10,FALSE))</f>
        <v>#N/A</v>
      </c>
      <c r="U787" s="50" t="e">
        <f>IFERROR(VLOOKUP(Tableau119[[#This Row],[Key(Compte ILN - shipper - POL - plant)]],'DATA ILN'!A:L,12,FALSE),VLOOKUP(Tableau119[[#This Row],[Key(Compte ILN - shipper - POL)]],'DATA ILN'!B:L,11,FALSE))</f>
        <v>#N/A</v>
      </c>
      <c r="V787" s="50" t="e">
        <f>Tableau119[[#This Row],[Day ILN Order]]+Tableau119[[#This Row],[Delivery time to ILN/Shipper]]-1</f>
        <v>#N/A</v>
      </c>
      <c r="W787" s="50" t="e">
        <f>IFERROR(VLOOKUP(Tableau119[[#This Row],[Key(Compte ILN - shipper - POL - plant)]],'DATA ILN'!A:N,14,FALSE),VLOOKUP(Tableau119[[#This Row],[Key(Compte ILN - shipper - POL)]],'DATA ILN'!B:N,13,FALSE))</f>
        <v>#N/A</v>
      </c>
      <c r="X787" s="50" t="e">
        <f>IFERROR(VLOOKUP(Tableau119[[#This Row],[Key(Compte ILN - shipper - POL - plant)]],'DATA ILN'!A:P,16,FALSE),VLOOKUP(Tableau119[[#This Row],[Key(Compte ILN - shipper - POL)]],'DATA ILN'!B:P,15,FALSE))</f>
        <v>#N/A</v>
      </c>
      <c r="Y787" s="284" t="s">
        <v>434</v>
      </c>
      <c r="Z787" s="430">
        <f>IFERROR(VLOOKUP(Tableau119[[#This Row],[Name Shipper]],Plant_AILN!L:M,2,FALSE),0)</f>
        <v>43763900</v>
      </c>
      <c r="AA787" s="406">
        <v>862</v>
      </c>
      <c r="AB787" s="396" t="b">
        <f>_xlfn.XLOOKUP(Tableau119[[#This Row],[Key(ID-date)]],'DATA BTO'!S:S,'DATA BTO'!E:E,FALSE)</f>
        <v>0</v>
      </c>
      <c r="AC787" s="3" t="b">
        <f>_xlfn.XLOOKUP(Tableau119[[#This Row],[Key(ID-date)]],'DATA BTO'!S:S,'DATA BTO'!F:F,FALSE)</f>
        <v>0</v>
      </c>
      <c r="AD787" s="50" t="b">
        <f>_xlfn.XLOOKUP(Tableau119[[#This Row],[Key(ID-date)]],'DATA BTO'!S:S,'DATA BTO'!G:G,FALSE)</f>
        <v>0</v>
      </c>
      <c r="AE787" s="50" t="b">
        <f>_xlfn.XLOOKUP(Tableau119[[#This Row],[Key(ID-date)]],'DATA BTO'!S:S,'DATA BTO'!H:H,FALSE)</f>
        <v>0</v>
      </c>
      <c r="AF787" s="447" t="e">
        <f>IF(Tableau119[[#This Row],[First Day to POL]]&lt;=Tableau119[[#This Row],[Day Cut Off]],Tableau119[[#This Row],[Day ETD]],Tableau119[[#This Row],[Day ETD]]+7)</f>
        <v>#N/A</v>
      </c>
      <c r="AG787" s="50" t="b">
        <f>_xlfn.XLOOKUP(Tableau119[[#This Row],[Key(ID-date)]],'DATA BTO'!S:S,'DATA BTO'!I:I,FALSE)</f>
        <v>0</v>
      </c>
      <c r="AH787" s="3" t="b">
        <f>_xlfn.XLOOKUP(Tableau119[[#This Row],[Key(ID-date)]],'DATA BTO'!S:S,'DATA BTO'!J:J,FALSE)</f>
        <v>0</v>
      </c>
      <c r="AI787" s="3" t="b">
        <f>_xlfn.XLOOKUP(Tableau119[[#This Row],[Key(ID-date)]],'DATA BTO'!S:S,'DATA BTO'!K:K,FALSE)</f>
        <v>0</v>
      </c>
      <c r="AJ787" s="50" t="b">
        <f>_xlfn.XLOOKUP(Tableau119[[#This Row],[Key(ID-date)]],'DATA BTO'!S:S,'DATA BTO'!L:L,FALSE)</f>
        <v>0</v>
      </c>
      <c r="AK787" s="53" t="b">
        <f>_xlfn.XLOOKUP(Tableau119[[#This Row],[Key(ID-date)]],'DATA BTO'!S:S,'DATA BTO'!N:N,FALSE)</f>
        <v>0</v>
      </c>
      <c r="AL787" s="54" t="e">
        <f>VLOOKUP(Tableau119[[#This Row],[Key(POD -PFI- Usine)]],'DATA Consignee'!A:F,6,FALSE)</f>
        <v>#N/A</v>
      </c>
      <c r="AM787" s="284"/>
      <c r="AN787" s="376" t="str">
        <f>IF(Tableau119[[#This Row],[Name PFI/CDD]]="","-",VLOOKUP(Tableau119[[#This Row],[Name PFI/CDD]],Plant_AILN!I:J,2,FALSE))</f>
        <v>-</v>
      </c>
      <c r="AO7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7" s="2" t="e">
        <f>VLOOKUP(Tableau119[[#This Row],[Key(POD -PFI- Usine)]],'DATA Consignee'!A:J,10,FALSE)</f>
        <v>#N/A</v>
      </c>
      <c r="AR787" s="50" t="e">
        <f>VLOOKUP(Tableau119[[#This Row],[Key(POD -PFI- Usine)]],'DATA Consignee'!A:N,14,FALSE)</f>
        <v>#N/A</v>
      </c>
      <c r="AS78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7" s="50">
        <f>Tableau119[[#This Row],[Transit time]]+Tableau119[[#This Row],[Time for security]]+Tableau119[[#This Row],[Time for security2 buffer]]</f>
        <v>0</v>
      </c>
      <c r="AV7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7" s="50" t="e">
        <f>Tableau119[[#This Row],[Leadtime SI2C]]+Tableau119[[#This Row],[First Receipt Days]]-Tableau119[[#This Row],[Day Customer Order]]+1</f>
        <v>#N/A</v>
      </c>
      <c r="AX787" s="119" t="e">
        <f>IF(Tableau119[[#This Row],[Name ILN]]&lt;&gt;"SFK Freight Forwarder",Tableau119[[#This Row],[Cust. Leadtime]],Tableau119[[#This Row],[Leadtime SI2C]])</f>
        <v>#N/A</v>
      </c>
      <c r="AY787" s="51" t="b">
        <f>_xlfn.XLOOKUP(Tableau119[[#This Row],[Key(ID-date)]],'DATA BTO'!S:S,'DATA BTO'!P:P,FALSE)</f>
        <v>0</v>
      </c>
      <c r="AZ787" s="338">
        <v>46142</v>
      </c>
      <c r="BA787" s="50"/>
    </row>
    <row r="788" spans="2:53">
      <c r="B788" s="446" t="str">
        <f>_xlfn.CONCAT(Tableau119[[#This Row],[Name ILN]],"-",Tableau119[[#This Row],[Name Shipper]],"-",Tableau119[[#This Row],[Name Site]])</f>
        <v>SFK Freight Forwarder-linlong serbie-SOMACA</v>
      </c>
      <c r="C788" s="66" t="str">
        <f>_xlfn.CONCAT(Tableau119[[#This Row],[Compte ILN]],"-",Tableau119[[#This Row],[Compte Shipper]],"-",Tableau119[[#This Row],[POL]],"-",Tableau119[[#This Row],[Compte Consignee]])</f>
        <v>0-43763900-FALSO-90038200</v>
      </c>
      <c r="D788" s="66" t="str">
        <f>_xlfn.CONCAT(Tableau119[[#This Row],[Compte ILN]],"-",Tableau119[[#This Row],[Compte Shipper]],"-",Tableau119[[#This Row],[POL]])</f>
        <v>0-43763900-FALSO</v>
      </c>
      <c r="E788" s="130" t="str">
        <f>_xlfn.CONCAT(Tableau119[[#This Row],[POL]],"-",Tableau119[[#This Row],[Carrier]],"-",Tableau119[[#This Row],[POD]])</f>
        <v>FALSO-FALSO-FALSO</v>
      </c>
      <c r="F788" s="66" t="str">
        <f>_xlfn.CONCAT(Tableau119[[#This Row],[ID]],"-","Actif")</f>
        <v>862-Actif</v>
      </c>
      <c r="G788" s="66" t="str">
        <f>_xlfn.CONCAT(Tableau119[[#This Row],[POD]],"-",Tableau119[[#This Row],[Code PFI]],"-",Tableau119[[#This Row],[Compte Consignee]])</f>
        <v>FALSO---90038200</v>
      </c>
      <c r="H7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43763900FALSOSOMACA</v>
      </c>
      <c r="I788" s="434" t="str">
        <f>_xlfn.CONCAT(Tableau119[[#This Row],[ID]],"-",Tableau119[[#This Row],[Expiration Date]])</f>
        <v>862-45900</v>
      </c>
      <c r="J7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Forwarder-linlong serbie-862-FALSO-FALSO-FALSO--45900</v>
      </c>
      <c r="K788" s="119" t="str">
        <f ca="1">IF(COUNTIF(J:J,Tableau119[[#This Row],[Plant-ILN-shipper-POL-Carrier-POD-PFI]])=1,"Non","Oui")</f>
        <v>Non</v>
      </c>
      <c r="L788" s="128" t="str">
        <f>VLOOKUP(Tableau119[[#This Row],[Name Site]],Plant_AILN!A:D,4,FALSE)</f>
        <v>MOROCCO</v>
      </c>
      <c r="M788" s="415" t="s">
        <v>179</v>
      </c>
      <c r="N788" s="455">
        <f>VLOOKUP(Tableau119[[#This Row],[Name Site]],Plant_AILN!A:C,3,FALSE)</f>
        <v>90038200</v>
      </c>
      <c r="O788" s="104">
        <f>VLOOKUP(Tableau119[[#This Row],[Compte Consignee]],Order!C:D,2,FALSE)</f>
        <v>7</v>
      </c>
      <c r="P788" s="126" t="s">
        <v>146</v>
      </c>
      <c r="Q788" s="366">
        <f>VLOOKUP(Tableau119[[#This Row],[Name ILN]],Plant_AILN!F:G,2,FALSE)</f>
        <v>0</v>
      </c>
      <c r="R788" s="81">
        <f>VLOOKUP(Tableau119[[#This Row],[Compte ILN]],'DATA ILN'!D:I,6,FALSE)</f>
        <v>9</v>
      </c>
      <c r="S788" s="81" t="e">
        <f>IFERROR(VLOOKUP(Tableau119[[#This Row],[Key(Compte ILN - shipper - POL - plant)]],'DATA ILN'!A:J,10,FALSE),VLOOKUP(Tableau119[[#This Row],[Key(Compte ILN - shipper - POL)]],'DATA ILN'!B:J,9,FALSE))</f>
        <v>#N/A</v>
      </c>
      <c r="T788" s="81" t="e">
        <f>IFERROR(VLOOKUP(Tableau119[[#This Row],[Key(Compte ILN - shipper - POL - plant)]],'DATA ILN'!A:K,11,FALSE),VLOOKUP(Tableau119[[#This Row],[Key(Compte ILN - shipper - POL)]],'DATA ILN'!B:K,10,FALSE))</f>
        <v>#N/A</v>
      </c>
      <c r="U788" s="81" t="e">
        <f>IFERROR(VLOOKUP(Tableau119[[#This Row],[Key(Compte ILN - shipper - POL - plant)]],'DATA ILN'!A:L,12,FALSE),VLOOKUP(Tableau119[[#This Row],[Key(Compte ILN - shipper - POL)]],'DATA ILN'!B:L,11,FALSE))</f>
        <v>#N/A</v>
      </c>
      <c r="V788" s="81" t="e">
        <f>Tableau119[[#This Row],[Day ILN Order]]+Tableau119[[#This Row],[Delivery time to ILN/Shipper]]-1</f>
        <v>#N/A</v>
      </c>
      <c r="W788" s="81" t="e">
        <f>IFERROR(VLOOKUP(Tableau119[[#This Row],[Key(Compte ILN - shipper - POL - plant)]],'DATA ILN'!A:N,14,FALSE),VLOOKUP(Tableau119[[#This Row],[Key(Compte ILN - shipper - POL)]],'DATA ILN'!B:N,13,FALSE))</f>
        <v>#N/A</v>
      </c>
      <c r="X788" s="81" t="e">
        <f>IFERROR(VLOOKUP(Tableau119[[#This Row],[Key(Compte ILN - shipper - POL - plant)]],'DATA ILN'!A:P,16,FALSE),VLOOKUP(Tableau119[[#This Row],[Key(Compte ILN - shipper - POL)]],'DATA ILN'!B:P,15,FALSE))</f>
        <v>#N/A</v>
      </c>
      <c r="Y788" s="102" t="s">
        <v>434</v>
      </c>
      <c r="Z788" s="417">
        <f>IFERROR(VLOOKUP(Tableau119[[#This Row],[Name Shipper]],Plant_AILN!L:M,2,FALSE),0)</f>
        <v>43763900</v>
      </c>
      <c r="AA788" s="416">
        <v>862</v>
      </c>
      <c r="AB788" s="396" t="b">
        <f>_xlfn.XLOOKUP(Tableau119[[#This Row],[Key(ID-date)]],'DATA BTO'!S:S,'DATA BTO'!E:E,FALSE)</f>
        <v>0</v>
      </c>
      <c r="AC788" s="3" t="b">
        <f>_xlfn.XLOOKUP(Tableau119[[#This Row],[Key(ID-date)]],'DATA BTO'!S:S,'DATA BTO'!F:F,FALSE)</f>
        <v>0</v>
      </c>
      <c r="AD788" s="50" t="b">
        <f>_xlfn.XLOOKUP(Tableau119[[#This Row],[Key(ID-date)]],'DATA BTO'!S:S,'DATA BTO'!G:G,FALSE)</f>
        <v>0</v>
      </c>
      <c r="AE788" s="50" t="b">
        <f>_xlfn.XLOOKUP(Tableau119[[#This Row],[Key(ID-date)]],'DATA BTO'!S:S,'DATA BTO'!H:H,FALSE)</f>
        <v>0</v>
      </c>
      <c r="AF788" s="447" t="e">
        <f>IF(Tableau119[[#This Row],[First Day to POL]]&lt;=Tableau119[[#This Row],[Day Cut Off]],Tableau119[[#This Row],[Day ETD]],Tableau119[[#This Row],[Day ETD]]+7)</f>
        <v>#N/A</v>
      </c>
      <c r="AG788" s="50" t="b">
        <f>_xlfn.XLOOKUP(Tableau119[[#This Row],[Key(ID-date)]],'DATA BTO'!S:S,'DATA BTO'!I:I,FALSE)</f>
        <v>0</v>
      </c>
      <c r="AH788" s="3" t="b">
        <f>_xlfn.XLOOKUP(Tableau119[[#This Row],[Key(ID-date)]],'DATA BTO'!S:S,'DATA BTO'!J:J,FALSE)</f>
        <v>0</v>
      </c>
      <c r="AI788" s="3" t="b">
        <f>_xlfn.XLOOKUP(Tableau119[[#This Row],[Key(ID-date)]],'DATA BTO'!S:S,'DATA BTO'!K:K,FALSE)</f>
        <v>0</v>
      </c>
      <c r="AJ788" s="50" t="b">
        <f>_xlfn.XLOOKUP(Tableau119[[#This Row],[Key(ID-date)]],'DATA BTO'!S:S,'DATA BTO'!L:L,FALSE)</f>
        <v>0</v>
      </c>
      <c r="AK788" s="53" t="b">
        <f>_xlfn.XLOOKUP(Tableau119[[#This Row],[Key(ID-date)]],'DATA BTO'!S:S,'DATA BTO'!N:N,FALSE)</f>
        <v>0</v>
      </c>
      <c r="AL788" s="54" t="e">
        <f>VLOOKUP(Tableau119[[#This Row],[Key(POD -PFI- Usine)]],'DATA Consignee'!A:F,6,FALSE)</f>
        <v>#N/A</v>
      </c>
      <c r="AM788" s="102"/>
      <c r="AN788" s="375" t="str">
        <f>IF(Tableau119[[#This Row],[Name PFI/CDD]]="","-",VLOOKUP(Tableau119[[#This Row],[Name PFI/CDD]],Plant_AILN!I:J,2,FALSE))</f>
        <v>-</v>
      </c>
      <c r="AO78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8" s="110" t="e">
        <f>VLOOKUP(Tableau119[[#This Row],[Key(POD -PFI- Usine)]],'DATA Consignee'!A:J,10,FALSE)</f>
        <v>#N/A</v>
      </c>
      <c r="AR788" s="81" t="e">
        <f>VLOOKUP(Tableau119[[#This Row],[Key(POD -PFI- Usine)]],'DATA Consignee'!A:N,14,FALSE)</f>
        <v>#N/A</v>
      </c>
      <c r="AS78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8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88" s="81">
        <f>Tableau119[[#This Row],[Transit time]]+Tableau119[[#This Row],[Time for security]]+Tableau119[[#This Row],[Time for security2 buffer]]</f>
        <v>0</v>
      </c>
      <c r="AV7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88" s="50" t="e">
        <f>Tableau119[[#This Row],[Leadtime SI2C]]+Tableau119[[#This Row],[First Receipt Days]]-Tableau119[[#This Row],[Day Customer Order]]+1</f>
        <v>#N/A</v>
      </c>
      <c r="AX788" s="119" t="e">
        <f>IF(Tableau119[[#This Row],[Name ILN]]&lt;&gt;"SFK Freight Forwarder",Tableau119[[#This Row],[Cust. Leadtime]],Tableau119[[#This Row],[Leadtime SI2C]])</f>
        <v>#N/A</v>
      </c>
      <c r="AY788" s="51" t="b">
        <f>_xlfn.XLOOKUP(Tableau119[[#This Row],[Key(ID-date)]],'DATA BTO'!S:S,'DATA BTO'!P:P,FALSE)</f>
        <v>0</v>
      </c>
      <c r="AZ788" s="388">
        <v>45900</v>
      </c>
      <c r="BA788" s="81"/>
    </row>
    <row r="789" spans="2:53">
      <c r="B789" s="66" t="str">
        <f>_xlfn.CONCAT(Tableau119[[#This Row],[Name ILN]],"-",Tableau119[[#This Row],[Name Shipper]],"-",Tableau119[[#This Row],[Name Site]])</f>
        <v>SFK Freight Forwarder-Magna Shanghai-CORDOBA</v>
      </c>
      <c r="C789" s="66" t="str">
        <f>_xlfn.CONCAT(Tableau119[[#This Row],[Compte ILN]],"-",Tableau119[[#This Row],[Compte Shipper]],"-",Tableau119[[#This Row],[POL]],"-",Tableau119[[#This Row],[Compte Consignee]])</f>
        <v>0-42838303-CNSHA-90016000</v>
      </c>
      <c r="D789" s="66" t="str">
        <f>_xlfn.CONCAT(Tableau119[[#This Row],[Compte ILN]],"-",Tableau119[[#This Row],[Compte Shipper]],"-",Tableau119[[#This Row],[POL]])</f>
        <v>0-42838303-CNSHA</v>
      </c>
      <c r="E789" s="130" t="str">
        <f>_xlfn.CONCAT(Tableau119[[#This Row],[POL]],"-",Tableau119[[#This Row],[Carrier]],"-",Tableau119[[#This Row],[POD]])</f>
        <v>CNSHA-CMA-CGM-ARBUE</v>
      </c>
      <c r="F789" s="66" t="str">
        <f>_xlfn.CONCAT(Tableau119[[#This Row],[ID]],"-","Actif")</f>
        <v>866-Actif</v>
      </c>
      <c r="G789" s="66" t="str">
        <f>_xlfn.CONCAT(Tableau119[[#This Row],[POD]],"-",Tableau119[[#This Row],[Code PFI]],"-",Tableau119[[#This Row],[Compte Consignee]])</f>
        <v>ARBUE---90016000</v>
      </c>
      <c r="H7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42838303CNSHACORDOBA</v>
      </c>
      <c r="I789" s="434" t="str">
        <f>_xlfn.CONCAT(Tableau119[[#This Row],[ID]],"-",Tableau119[[#This Row],[Expiration Date]])</f>
        <v>866-46142</v>
      </c>
      <c r="J7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Forwarder-Magna Shanghai-866-CNSHA-CMA-CGM-ARBUE--46142</v>
      </c>
      <c r="K789" s="119" t="str">
        <f ca="1">IF(COUNTIF(J:J,Tableau119[[#This Row],[Plant-ILN-shipper-POL-Carrier-POD-PFI]])=1,"Non","Oui")</f>
        <v>Non</v>
      </c>
      <c r="L789" s="128" t="str">
        <f>VLOOKUP(Tableau119[[#This Row],[Name Site]],Plant_AILN!A:D,4,FALSE)</f>
        <v>ARGENTINA</v>
      </c>
      <c r="M789" s="411" t="s">
        <v>158</v>
      </c>
      <c r="N789" s="454">
        <f>VLOOKUP(Tableau119[[#This Row],[Name Site]],Plant_AILN!A:C,3,FALSE)</f>
        <v>90016000</v>
      </c>
      <c r="O789" s="55">
        <f>IF(Tableau119[[#This Row],[Name PFI/CDD]]="PFI VLL",2,VLOOKUP(Tableau119[[#This Row],[Compte Consignee]],Order!C:D,2,FALSE))</f>
        <v>7</v>
      </c>
      <c r="P789" s="124" t="s">
        <v>146</v>
      </c>
      <c r="Q789" s="365">
        <f>VLOOKUP(Tableau119[[#This Row],[Name ILN]],Plant_AILN!F:G,2,FALSE)</f>
        <v>0</v>
      </c>
      <c r="R789" s="50">
        <f>VLOOKUP(Tableau119[[#This Row],[Compte ILN]],'DATA ILN'!D:I,6,FALSE)</f>
        <v>9</v>
      </c>
      <c r="S789" s="50">
        <f>IFERROR(VLOOKUP(Tableau119[[#This Row],[Key(Compte ILN - shipper - POL - plant)]],'DATA ILN'!A:J,10,FALSE),VLOOKUP(Tableau119[[#This Row],[Key(Compte ILN - shipper - POL)]],'DATA ILN'!B:J,9,FALSE))</f>
        <v>7</v>
      </c>
      <c r="T789" s="50">
        <f>IFERROR(VLOOKUP(Tableau119[[#This Row],[Key(Compte ILN - shipper - POL - plant)]],'DATA ILN'!A:K,11,FALSE),VLOOKUP(Tableau119[[#This Row],[Key(Compte ILN - shipper - POL)]],'DATA ILN'!B:K,10,FALSE))</f>
        <v>5</v>
      </c>
      <c r="U789" s="50">
        <f>IFERROR(VLOOKUP(Tableau119[[#This Row],[Key(Compte ILN - shipper - POL - plant)]],'DATA ILN'!A:L,12,FALSE),VLOOKUP(Tableau119[[#This Row],[Key(Compte ILN - shipper - POL)]],'DATA ILN'!B:L,11,FALSE))</f>
        <v>7</v>
      </c>
      <c r="V789" s="50">
        <f>Tableau119[[#This Row],[Day ILN Order]]+Tableau119[[#This Row],[Delivery time to ILN/Shipper]]-1</f>
        <v>15</v>
      </c>
      <c r="W789" s="50">
        <f>IFERROR(VLOOKUP(Tableau119[[#This Row],[Key(Compte ILN - shipper - POL - plant)]],'DATA ILN'!A:N,14,FALSE),VLOOKUP(Tableau119[[#This Row],[Key(Compte ILN - shipper - POL)]],'DATA ILN'!B:N,13,FALSE))</f>
        <v>8</v>
      </c>
      <c r="X789" s="50">
        <f>IFERROR(VLOOKUP(Tableau119[[#This Row],[Key(Compte ILN - shipper - POL - plant)]],'DATA ILN'!A:P,16,FALSE),VLOOKUP(Tableau119[[#This Row],[Key(Compte ILN - shipper - POL)]],'DATA ILN'!B:P,15,FALSE))</f>
        <v>3</v>
      </c>
      <c r="Y789" s="284" t="s">
        <v>153</v>
      </c>
      <c r="Z789" s="430">
        <f>IFERROR(VLOOKUP(Tableau119[[#This Row],[Name Shipper]],Plant_AILN!L:M,2,FALSE),0)</f>
        <v>42838303</v>
      </c>
      <c r="AA789" s="406">
        <v>866</v>
      </c>
      <c r="AB789" s="396" t="str">
        <f>_xlfn.XLOOKUP(Tableau119[[#This Row],[Key(ID-date)]],'DATA BTO'!S:S,'DATA BTO'!E:E,FALSE)</f>
        <v>CNSHA</v>
      </c>
      <c r="AC789" s="3" t="str">
        <f>_xlfn.XLOOKUP(Tableau119[[#This Row],[Key(ID-date)]],'DATA BTO'!S:S,'DATA BTO'!F:F,FALSE)</f>
        <v>CMA-CGM</v>
      </c>
      <c r="AD789" s="50">
        <f>_xlfn.XLOOKUP(Tableau119[[#This Row],[Key(ID-date)]],'DATA BTO'!S:S,'DATA BTO'!G:G,FALSE)</f>
        <v>3</v>
      </c>
      <c r="AE789" s="50">
        <f>_xlfn.XLOOKUP(Tableau119[[#This Row],[Key(ID-date)]],'DATA BTO'!S:S,'DATA BTO'!H:H,FALSE)</f>
        <v>6</v>
      </c>
      <c r="AF789" s="447">
        <f>IF(Tableau119[[#This Row],[First Day to POL]]&lt;=Tableau119[[#This Row],[Day Cut Off]],Tableau119[[#This Row],[Day ETD]],Tableau119[[#This Row],[Day ETD]]+7)</f>
        <v>6</v>
      </c>
      <c r="AG789" s="50">
        <f>_xlfn.XLOOKUP(Tableau119[[#This Row],[Key(ID-date)]],'DATA BTO'!S:S,'DATA BTO'!I:I,FALSE)</f>
        <v>43</v>
      </c>
      <c r="AH789" s="3" t="str">
        <f>_xlfn.XLOOKUP(Tableau119[[#This Row],[Key(ID-date)]],'DATA BTO'!S:S,'DATA BTO'!J:J,FALSE)</f>
        <v>ARBUE</v>
      </c>
      <c r="AI789" s="3">
        <f>_xlfn.XLOOKUP(Tableau119[[#This Row],[Key(ID-date)]],'DATA BTO'!S:S,'DATA BTO'!K:K,FALSE)</f>
        <v>3</v>
      </c>
      <c r="AJ789" s="50">
        <f>_xlfn.XLOOKUP(Tableau119[[#This Row],[Key(ID-date)]],'DATA BTO'!S:S,'DATA BTO'!L:L,FALSE)</f>
        <v>1</v>
      </c>
      <c r="AK789" s="53" t="str">
        <f>_xlfn.XLOOKUP(Tableau119[[#This Row],[Key(ID-date)]],'DATA BTO'!S:S,'DATA BTO'!N:N,FALSE)</f>
        <v>Max</v>
      </c>
      <c r="AL789" s="54">
        <f>VLOOKUP(Tableau119[[#This Row],[Key(POD -PFI- Usine)]],'DATA Consignee'!A:F,6,FALSE)</f>
        <v>3</v>
      </c>
      <c r="AM789" s="284"/>
      <c r="AN789" s="376" t="str">
        <f>IF(Tableau119[[#This Row],[Name PFI/CDD]]="","-",VLOOKUP(Tableau119[[#This Row],[Name PFI/CDD]],Plant_AILN!I:J,2,FALSE))</f>
        <v>-</v>
      </c>
      <c r="AO7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89" s="2">
        <f>VLOOKUP(Tableau119[[#This Row],[Key(POD -PFI- Usine)]],'DATA Consignee'!A:J,10,FALSE)</f>
        <v>0</v>
      </c>
      <c r="AR789" s="50">
        <f>VLOOKUP(Tableau119[[#This Row],[Key(POD -PFI- Usine)]],'DATA Consignee'!A:N,14,FALSE)</f>
        <v>3</v>
      </c>
      <c r="AS78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78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89" s="50">
        <f>Tableau119[[#This Row],[Transit time]]+Tableau119[[#This Row],[Time for security]]+Tableau119[[#This Row],[Time for security2 buffer]]</f>
        <v>47</v>
      </c>
      <c r="AV78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89" s="50">
        <f>Tableau119[[#This Row],[Leadtime SI2C]]+Tableau119[[#This Row],[First Receipt Days]]-Tableau119[[#This Row],[Day Customer Order]]+1</f>
        <v>85</v>
      </c>
      <c r="AX789" s="119">
        <f>IF(Tableau119[[#This Row],[Name ILN]]&lt;&gt;"SFK Freight Forwarder",Tableau119[[#This Row],[Cust. Leadtime]],Tableau119[[#This Row],[Leadtime SI2C]])</f>
        <v>76</v>
      </c>
      <c r="AY789" s="51" t="str">
        <f>_xlfn.XLOOKUP(Tableau119[[#This Row],[Key(ID-date)]],'DATA BTO'!S:S,'DATA BTO'!P:P,FALSE)</f>
        <v>Horse &gt; Renault BPH (MLP)</v>
      </c>
      <c r="AZ789" s="338">
        <v>46142</v>
      </c>
      <c r="BA789" s="50"/>
    </row>
    <row r="790" spans="2:53">
      <c r="B790" s="446" t="str">
        <f>_xlfn.CONCAT(Tableau119[[#This Row],[Name ILN]],"-",Tableau119[[#This Row],[Name Shipper]],"-",Tableau119[[#This Row],[Name Site]])</f>
        <v>SFK Freight Forwarder-Minth  serbie-TANGER</v>
      </c>
      <c r="C790" s="66" t="str">
        <f>_xlfn.CONCAT(Tableau119[[#This Row],[Compte ILN]],"-",Tableau119[[#This Row],[Compte Shipper]],"-",Tableau119[[#This Row],[POL]],"-",Tableau119[[#This Row],[Compte Consignee]])</f>
        <v>0-42524701-FALSO-900383</v>
      </c>
      <c r="D790" s="66" t="str">
        <f>_xlfn.CONCAT(Tableau119[[#This Row],[Compte ILN]],"-",Tableau119[[#This Row],[Compte Shipper]],"-",Tableau119[[#This Row],[POL]])</f>
        <v>0-42524701-FALSO</v>
      </c>
      <c r="E790" s="130" t="str">
        <f>_xlfn.CONCAT(Tableau119[[#This Row],[POL]],"-",Tableau119[[#This Row],[Carrier]],"-",Tableau119[[#This Row],[POD]])</f>
        <v>FALSO-FALSO-FALSO</v>
      </c>
      <c r="F790" s="66" t="str">
        <f>_xlfn.CONCAT(Tableau119[[#This Row],[ID]],"-","Actif")</f>
        <v>885-Actif</v>
      </c>
      <c r="G790" s="66" t="str">
        <f>_xlfn.CONCAT(Tableau119[[#This Row],[POD]],"-",Tableau119[[#This Row],[Code PFI]],"-",Tableau119[[#This Row],[Compte Consignee]])</f>
        <v>FALSO---900383</v>
      </c>
      <c r="H7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42524701FALSOTANGER</v>
      </c>
      <c r="I790" s="434" t="str">
        <f>_xlfn.CONCAT(Tableau119[[#This Row],[ID]],"-",Tableau119[[#This Row],[Expiration Date]])</f>
        <v>885-46142</v>
      </c>
      <c r="J7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Forwarder-Minth  serbie-885-FALSO-FALSO-FALSO--46142</v>
      </c>
      <c r="K790" s="119" t="str">
        <f ca="1">IF(COUNTIF(J:J,Tableau119[[#This Row],[Plant-ILN-shipper-POL-Carrier-POD-PFI]])=1,"Non","Oui")</f>
        <v>Non</v>
      </c>
      <c r="L790" s="128" t="str">
        <f>VLOOKUP(Tableau119[[#This Row],[Name Site]],Plant_AILN!A:D,4,FALSE)</f>
        <v>MOROCCO</v>
      </c>
      <c r="M790" s="411" t="s">
        <v>180</v>
      </c>
      <c r="N790" s="454">
        <f>VLOOKUP(Tableau119[[#This Row],[Name Site]],Plant_AILN!A:C,3,FALSE)</f>
        <v>900383</v>
      </c>
      <c r="O790" s="55">
        <f>VLOOKUP(Tableau119[[#This Row],[Compte Consignee]],Order!C:D,2,FALSE)</f>
        <v>7</v>
      </c>
      <c r="P790" s="124" t="s">
        <v>146</v>
      </c>
      <c r="Q790" s="365">
        <f>VLOOKUP(Tableau119[[#This Row],[Name ILN]],Plant_AILN!F:G,2,FALSE)</f>
        <v>0</v>
      </c>
      <c r="R790" s="50">
        <f>VLOOKUP(Tableau119[[#This Row],[Compte ILN]],'DATA ILN'!D:I,6,FALSE)</f>
        <v>9</v>
      </c>
      <c r="S790" s="50" t="e">
        <f>IFERROR(VLOOKUP(Tableau119[[#This Row],[Key(Compte ILN - shipper - POL - plant)]],'DATA ILN'!A:J,10,FALSE),VLOOKUP(Tableau119[[#This Row],[Key(Compte ILN - shipper - POL)]],'DATA ILN'!B:J,9,FALSE))</f>
        <v>#N/A</v>
      </c>
      <c r="T790" s="50" t="e">
        <f>IFERROR(VLOOKUP(Tableau119[[#This Row],[Key(Compte ILN - shipper - POL - plant)]],'DATA ILN'!A:K,11,FALSE),VLOOKUP(Tableau119[[#This Row],[Key(Compte ILN - shipper - POL)]],'DATA ILN'!B:K,10,FALSE))</f>
        <v>#N/A</v>
      </c>
      <c r="U790" s="50" t="e">
        <f>IFERROR(VLOOKUP(Tableau119[[#This Row],[Key(Compte ILN - shipper - POL - plant)]],'DATA ILN'!A:L,12,FALSE),VLOOKUP(Tableau119[[#This Row],[Key(Compte ILN - shipper - POL)]],'DATA ILN'!B:L,11,FALSE))</f>
        <v>#N/A</v>
      </c>
      <c r="V790" s="50" t="e">
        <f>Tableau119[[#This Row],[Day ILN Order]]+Tableau119[[#This Row],[Delivery time to ILN/Shipper]]-1</f>
        <v>#N/A</v>
      </c>
      <c r="W790" s="50" t="e">
        <f>IFERROR(VLOOKUP(Tableau119[[#This Row],[Key(Compte ILN - shipper - POL - plant)]],'DATA ILN'!A:N,14,FALSE),VLOOKUP(Tableau119[[#This Row],[Key(Compte ILN - shipper - POL)]],'DATA ILN'!B:N,13,FALSE))</f>
        <v>#N/A</v>
      </c>
      <c r="X790" s="50" t="e">
        <f>IFERROR(VLOOKUP(Tableau119[[#This Row],[Key(Compte ILN - shipper - POL - plant)]],'DATA ILN'!A:P,16,FALSE),VLOOKUP(Tableau119[[#This Row],[Key(Compte ILN - shipper - POL)]],'DATA ILN'!B:P,15,FALSE))</f>
        <v>#N/A</v>
      </c>
      <c r="Y790" s="284" t="s">
        <v>452</v>
      </c>
      <c r="Z790" s="430">
        <f>IFERROR(VLOOKUP(Tableau119[[#This Row],[Name Shipper]],Plant_AILN!L:M,2,FALSE),0)</f>
        <v>42524701</v>
      </c>
      <c r="AA790" s="406">
        <v>885</v>
      </c>
      <c r="AB790" s="396" t="b">
        <f>_xlfn.XLOOKUP(Tableau119[[#This Row],[Key(ID-date)]],'DATA BTO'!S:S,'DATA BTO'!E:E,FALSE)</f>
        <v>0</v>
      </c>
      <c r="AC790" s="3" t="b">
        <f>_xlfn.XLOOKUP(Tableau119[[#This Row],[Key(ID-date)]],'DATA BTO'!S:S,'DATA BTO'!F:F,FALSE)</f>
        <v>0</v>
      </c>
      <c r="AD790" s="50" t="b">
        <f>_xlfn.XLOOKUP(Tableau119[[#This Row],[Key(ID-date)]],'DATA BTO'!S:S,'DATA BTO'!G:G,FALSE)</f>
        <v>0</v>
      </c>
      <c r="AE790" s="50" t="b">
        <f>_xlfn.XLOOKUP(Tableau119[[#This Row],[Key(ID-date)]],'DATA BTO'!S:S,'DATA BTO'!H:H,FALSE)</f>
        <v>0</v>
      </c>
      <c r="AF790" s="447" t="e">
        <f>IF(Tableau119[[#This Row],[First Day to POL]]&lt;=Tableau119[[#This Row],[Day Cut Off]],Tableau119[[#This Row],[Day ETD]],Tableau119[[#This Row],[Day ETD]]+7)</f>
        <v>#N/A</v>
      </c>
      <c r="AG790" s="50" t="b">
        <f>_xlfn.XLOOKUP(Tableau119[[#This Row],[Key(ID-date)]],'DATA BTO'!S:S,'DATA BTO'!I:I,FALSE)</f>
        <v>0</v>
      </c>
      <c r="AH790" s="3" t="b">
        <f>_xlfn.XLOOKUP(Tableau119[[#This Row],[Key(ID-date)]],'DATA BTO'!S:S,'DATA BTO'!J:J,FALSE)</f>
        <v>0</v>
      </c>
      <c r="AI790" s="3" t="b">
        <f>_xlfn.XLOOKUP(Tableau119[[#This Row],[Key(ID-date)]],'DATA BTO'!S:S,'DATA BTO'!K:K,FALSE)</f>
        <v>0</v>
      </c>
      <c r="AJ790" s="50" t="b">
        <f>_xlfn.XLOOKUP(Tableau119[[#This Row],[Key(ID-date)]],'DATA BTO'!S:S,'DATA BTO'!L:L,FALSE)</f>
        <v>0</v>
      </c>
      <c r="AK790" s="53" t="b">
        <f>_xlfn.XLOOKUP(Tableau119[[#This Row],[Key(ID-date)]],'DATA BTO'!S:S,'DATA BTO'!N:N,FALSE)</f>
        <v>0</v>
      </c>
      <c r="AL790" s="54" t="e">
        <f>VLOOKUP(Tableau119[[#This Row],[Key(POD -PFI- Usine)]],'DATA Consignee'!A:F,6,FALSE)</f>
        <v>#N/A</v>
      </c>
      <c r="AM790" s="284"/>
      <c r="AN790" s="376" t="str">
        <f>IF(Tableau119[[#This Row],[Name PFI/CDD]]="","-",VLOOKUP(Tableau119[[#This Row],[Name PFI/CDD]],Plant_AILN!I:J,2,FALSE))</f>
        <v>-</v>
      </c>
      <c r="AO7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0" s="2" t="e">
        <f>VLOOKUP(Tableau119[[#This Row],[Key(POD -PFI- Usine)]],'DATA Consignee'!A:J,10,FALSE)</f>
        <v>#N/A</v>
      </c>
      <c r="AR790" s="50" t="e">
        <f>VLOOKUP(Tableau119[[#This Row],[Key(POD -PFI- Usine)]],'DATA Consignee'!A:N,14,FALSE)</f>
        <v>#N/A</v>
      </c>
      <c r="AS79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9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90" s="50">
        <f>Tableau119[[#This Row],[Transit time]]+Tableau119[[#This Row],[Time for security]]+Tableau119[[#This Row],[Time for security2 buffer]]</f>
        <v>0</v>
      </c>
      <c r="AV79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90" s="50" t="e">
        <f>Tableau119[[#This Row],[Leadtime SI2C]]+Tableau119[[#This Row],[First Receipt Days]]-Tableau119[[#This Row],[Day Customer Order]]+1</f>
        <v>#N/A</v>
      </c>
      <c r="AX790" s="119" t="e">
        <f>IF(Tableau119[[#This Row],[Name ILN]]&lt;&gt;"SFK Freight Forwarder",Tableau119[[#This Row],[Cust. Leadtime]],Tableau119[[#This Row],[Leadtime SI2C]])</f>
        <v>#N/A</v>
      </c>
      <c r="AY790" s="51" t="b">
        <f>_xlfn.XLOOKUP(Tableau119[[#This Row],[Key(ID-date)]],'DATA BTO'!S:S,'DATA BTO'!P:P,FALSE)</f>
        <v>0</v>
      </c>
      <c r="AZ790" s="338">
        <v>46142</v>
      </c>
      <c r="BA790" s="50"/>
    </row>
    <row r="791" spans="2:53">
      <c r="B791" s="446" t="str">
        <f>_xlfn.CONCAT(Tableau119[[#This Row],[Name ILN]],"-",Tableau119[[#This Row],[Name Shipper]],"-",Tableau119[[#This Row],[Name Site]])</f>
        <v>SFK Freight Forwarder-Minth  serbie-TANGER</v>
      </c>
      <c r="C791" s="66" t="str">
        <f>_xlfn.CONCAT(Tableau119[[#This Row],[Compte ILN]],"-",Tableau119[[#This Row],[Compte Shipper]],"-",Tableau119[[#This Row],[POL]],"-",Tableau119[[#This Row],[Compte Consignee]])</f>
        <v>0-42524701-FALSO-900383</v>
      </c>
      <c r="D791" s="66" t="str">
        <f>_xlfn.CONCAT(Tableau119[[#This Row],[Compte ILN]],"-",Tableau119[[#This Row],[Compte Shipper]],"-",Tableau119[[#This Row],[POL]])</f>
        <v>0-42524701-FALSO</v>
      </c>
      <c r="E791" s="130" t="str">
        <f>_xlfn.CONCAT(Tableau119[[#This Row],[POL]],"-",Tableau119[[#This Row],[Carrier]],"-",Tableau119[[#This Row],[POD]])</f>
        <v>FALSO-FALSO-FALSO</v>
      </c>
      <c r="F791" s="66" t="str">
        <f>_xlfn.CONCAT(Tableau119[[#This Row],[ID]],"-","Actif")</f>
        <v>885-Actif</v>
      </c>
      <c r="G791" s="66" t="str">
        <f>_xlfn.CONCAT(Tableau119[[#This Row],[POD]],"-",Tableau119[[#This Row],[Code PFI]],"-",Tableau119[[#This Row],[Compte Consignee]])</f>
        <v>FALSO---900383</v>
      </c>
      <c r="H7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42524701FALSOTANGER</v>
      </c>
      <c r="I791" s="434" t="str">
        <f>_xlfn.CONCAT(Tableau119[[#This Row],[ID]],"-",Tableau119[[#This Row],[Expiration Date]])</f>
        <v>885-45747</v>
      </c>
      <c r="J7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Forwarder-Minth  serbie-885-FALSO-FALSO-FALSO--45747</v>
      </c>
      <c r="K791" s="119" t="str">
        <f ca="1">IF(COUNTIF(J:J,Tableau119[[#This Row],[Plant-ILN-shipper-POL-Carrier-POD-PFI]])=1,"Non","Oui")</f>
        <v>Non</v>
      </c>
      <c r="L791" s="128" t="str">
        <f>VLOOKUP(Tableau119[[#This Row],[Name Site]],Plant_AILN!A:D,4,FALSE)</f>
        <v>MOROCCO</v>
      </c>
      <c r="M791" s="411" t="s">
        <v>180</v>
      </c>
      <c r="N791" s="454">
        <f>VLOOKUP(Tableau119[[#This Row],[Name Site]],Plant_AILN!A:C,3,FALSE)</f>
        <v>900383</v>
      </c>
      <c r="O791" s="55">
        <f>VLOOKUP(Tableau119[[#This Row],[Compte Consignee]],Order!C:D,2,FALSE)</f>
        <v>7</v>
      </c>
      <c r="P791" s="124" t="s">
        <v>146</v>
      </c>
      <c r="Q791" s="365">
        <f>VLOOKUP(Tableau119[[#This Row],[Name ILN]],Plant_AILN!F:G,2,FALSE)</f>
        <v>0</v>
      </c>
      <c r="R791" s="50">
        <f>VLOOKUP(Tableau119[[#This Row],[Compte ILN]],'DATA ILN'!D:I,6,FALSE)</f>
        <v>9</v>
      </c>
      <c r="S791" s="50" t="e">
        <f>IFERROR(VLOOKUP(Tableau119[[#This Row],[Key(Compte ILN - shipper - POL - plant)]],'DATA ILN'!A:J,10,FALSE),VLOOKUP(Tableau119[[#This Row],[Key(Compte ILN - shipper - POL)]],'DATA ILN'!B:J,9,FALSE))</f>
        <v>#N/A</v>
      </c>
      <c r="T791" s="50" t="e">
        <f>IFERROR(VLOOKUP(Tableau119[[#This Row],[Key(Compte ILN - shipper - POL - plant)]],'DATA ILN'!A:K,11,FALSE),VLOOKUP(Tableau119[[#This Row],[Key(Compte ILN - shipper - POL)]],'DATA ILN'!B:K,10,FALSE))</f>
        <v>#N/A</v>
      </c>
      <c r="U791" s="50" t="e">
        <f>IFERROR(VLOOKUP(Tableau119[[#This Row],[Key(Compte ILN - shipper - POL - plant)]],'DATA ILN'!A:L,12,FALSE),VLOOKUP(Tableau119[[#This Row],[Key(Compte ILN - shipper - POL)]],'DATA ILN'!B:L,11,FALSE))</f>
        <v>#N/A</v>
      </c>
      <c r="V791" s="50" t="e">
        <f>Tableau119[[#This Row],[Day ILN Order]]+Tableau119[[#This Row],[Delivery time to ILN/Shipper]]-1</f>
        <v>#N/A</v>
      </c>
      <c r="W791" s="50" t="e">
        <f>IFERROR(VLOOKUP(Tableau119[[#This Row],[Key(Compte ILN - shipper - POL - plant)]],'DATA ILN'!A:N,14,FALSE),VLOOKUP(Tableau119[[#This Row],[Key(Compte ILN - shipper - POL)]],'DATA ILN'!B:N,13,FALSE))</f>
        <v>#N/A</v>
      </c>
      <c r="X791" s="50" t="e">
        <f>IFERROR(VLOOKUP(Tableau119[[#This Row],[Key(Compte ILN - shipper - POL - plant)]],'DATA ILN'!A:P,16,FALSE),VLOOKUP(Tableau119[[#This Row],[Key(Compte ILN - shipper - POL)]],'DATA ILN'!B:P,15,FALSE))</f>
        <v>#N/A</v>
      </c>
      <c r="Y791" s="284" t="s">
        <v>452</v>
      </c>
      <c r="Z791" s="430">
        <f>IFERROR(VLOOKUP(Tableau119[[#This Row],[Name Shipper]],Plant_AILN!L:M,2,FALSE),0)</f>
        <v>42524701</v>
      </c>
      <c r="AA791" s="406">
        <v>885</v>
      </c>
      <c r="AB791" s="396" t="b">
        <f>_xlfn.XLOOKUP(Tableau119[[#This Row],[Key(ID-date)]],'DATA BTO'!S:S,'DATA BTO'!E:E,FALSE)</f>
        <v>0</v>
      </c>
      <c r="AC791" s="3" t="b">
        <f>_xlfn.XLOOKUP(Tableau119[[#This Row],[Key(ID-date)]],'DATA BTO'!S:S,'DATA BTO'!F:F,FALSE)</f>
        <v>0</v>
      </c>
      <c r="AD791" s="50" t="b">
        <f>_xlfn.XLOOKUP(Tableau119[[#This Row],[Key(ID-date)]],'DATA BTO'!S:S,'DATA BTO'!G:G,FALSE)</f>
        <v>0</v>
      </c>
      <c r="AE791" s="50" t="b">
        <f>_xlfn.XLOOKUP(Tableau119[[#This Row],[Key(ID-date)]],'DATA BTO'!S:S,'DATA BTO'!H:H,FALSE)</f>
        <v>0</v>
      </c>
      <c r="AF791" s="447" t="e">
        <f>IF(Tableau119[[#This Row],[First Day to POL]]&lt;=Tableau119[[#This Row],[Day Cut Off]],Tableau119[[#This Row],[Day ETD]],Tableau119[[#This Row],[Day ETD]]+7)</f>
        <v>#N/A</v>
      </c>
      <c r="AG791" s="50" t="b">
        <f>_xlfn.XLOOKUP(Tableau119[[#This Row],[Key(ID-date)]],'DATA BTO'!S:S,'DATA BTO'!I:I,FALSE)</f>
        <v>0</v>
      </c>
      <c r="AH791" s="3" t="b">
        <f>_xlfn.XLOOKUP(Tableau119[[#This Row],[Key(ID-date)]],'DATA BTO'!S:S,'DATA BTO'!J:J,FALSE)</f>
        <v>0</v>
      </c>
      <c r="AI791" s="3" t="b">
        <f>_xlfn.XLOOKUP(Tableau119[[#This Row],[Key(ID-date)]],'DATA BTO'!S:S,'DATA BTO'!K:K,FALSE)</f>
        <v>0</v>
      </c>
      <c r="AJ791" s="50" t="b">
        <f>_xlfn.XLOOKUP(Tableau119[[#This Row],[Key(ID-date)]],'DATA BTO'!S:S,'DATA BTO'!L:L,FALSE)</f>
        <v>0</v>
      </c>
      <c r="AK791" s="53" t="b">
        <f>_xlfn.XLOOKUP(Tableau119[[#This Row],[Key(ID-date)]],'DATA BTO'!S:S,'DATA BTO'!N:N,FALSE)</f>
        <v>0</v>
      </c>
      <c r="AL791" s="54" t="e">
        <f>VLOOKUP(Tableau119[[#This Row],[Key(POD -PFI- Usine)]],'DATA Consignee'!A:F,6,FALSE)</f>
        <v>#N/A</v>
      </c>
      <c r="AM791" s="284"/>
      <c r="AN791" s="376" t="str">
        <f>IF(Tableau119[[#This Row],[Name PFI/CDD]]="","-",VLOOKUP(Tableau119[[#This Row],[Name PFI/CDD]],Plant_AILN!I:J,2,FALSE))</f>
        <v>-</v>
      </c>
      <c r="AO79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1" s="2" t="e">
        <f>VLOOKUP(Tableau119[[#This Row],[Key(POD -PFI- Usine)]],'DATA Consignee'!A:J,10,FALSE)</f>
        <v>#N/A</v>
      </c>
      <c r="AR791" s="50" t="e">
        <f>VLOOKUP(Tableau119[[#This Row],[Key(POD -PFI- Usine)]],'DATA Consignee'!A:N,14,FALSE)</f>
        <v>#N/A</v>
      </c>
      <c r="AS79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79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791" s="50">
        <f>Tableau119[[#This Row],[Transit time]]+Tableau119[[#This Row],[Time for security]]+Tableau119[[#This Row],[Time for security2 buffer]]</f>
        <v>0</v>
      </c>
      <c r="AV7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791" s="50" t="e">
        <f>Tableau119[[#This Row],[Leadtime SI2C]]+Tableau119[[#This Row],[First Receipt Days]]-Tableau119[[#This Row],[Day Customer Order]]+1</f>
        <v>#N/A</v>
      </c>
      <c r="AX791" s="119" t="e">
        <f>IF(Tableau119[[#This Row],[Name ILN]]&lt;&gt;"SFK Freight Forwarder",Tableau119[[#This Row],[Cust. Leadtime]],Tableau119[[#This Row],[Leadtime SI2C]])</f>
        <v>#N/A</v>
      </c>
      <c r="AY791" s="51" t="b">
        <f>_xlfn.XLOOKUP(Tableau119[[#This Row],[Key(ID-date)]],'DATA BTO'!S:S,'DATA BTO'!P:P,FALSE)</f>
        <v>0</v>
      </c>
      <c r="AZ791" s="338">
        <v>45747</v>
      </c>
      <c r="BA791" s="50"/>
    </row>
    <row r="792" spans="2:53">
      <c r="B792" s="446" t="str">
        <f>_xlfn.CONCAT(Tableau119[[#This Row],[Name ILN]],"-",Tableau119[[#This Row],[Name Shipper]],"-",Tableau119[[#This Row],[Name Site]])</f>
        <v>SFK Freight Forwarder-Magna Shanghai-CHENNAI Vehicule</v>
      </c>
      <c r="C792" s="66" t="str">
        <f>_xlfn.CONCAT(Tableau119[[#This Row],[Compte ILN]],"-",Tableau119[[#This Row],[Compte Shipper]],"-",Tableau119[[#This Row],[POL]],"-",Tableau119[[#This Row],[Compte Consignee]])</f>
        <v>0-42838303-CNSHA-26549502</v>
      </c>
      <c r="D792" s="66" t="str">
        <f>_xlfn.CONCAT(Tableau119[[#This Row],[Compte ILN]],"-",Tableau119[[#This Row],[Compte Shipper]],"-",Tableau119[[#This Row],[POL]])</f>
        <v>0-42838303-CNSHA</v>
      </c>
      <c r="E792" s="130" t="str">
        <f>_xlfn.CONCAT(Tableau119[[#This Row],[POL]],"-",Tableau119[[#This Row],[Carrier]],"-",Tableau119[[#This Row],[POD]])</f>
        <v>CNSHA-CMA-CGM-INMAA</v>
      </c>
      <c r="F792" s="66" t="str">
        <f>_xlfn.CONCAT(Tableau119[[#This Row],[ID]],"-","Actif")</f>
        <v>888-Actif</v>
      </c>
      <c r="G792" s="66" t="str">
        <f>_xlfn.CONCAT(Tableau119[[#This Row],[POD]],"-",Tableau119[[#This Row],[Code PFI]],"-",Tableau119[[#This Row],[Compte Consignee]])</f>
        <v>INMAA---26549502</v>
      </c>
      <c r="H7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42838303CNSHACHENNAI Vehicule</v>
      </c>
      <c r="I792" s="434" t="str">
        <f>_xlfn.CONCAT(Tableau119[[#This Row],[ID]],"-",Tableau119[[#This Row],[Expiration Date]])</f>
        <v>888-46142</v>
      </c>
      <c r="J7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Vehicule-SFK Freight Forwarder-Magna Shanghai-888-CNSHA-CMA-CGM-INMAA--46142</v>
      </c>
      <c r="K792" s="119" t="str">
        <f ca="1">IF(COUNTIF(J:J,Tableau119[[#This Row],[Plant-ILN-shipper-POL-Carrier-POD-PFI]])=1,"Non","Oui")</f>
        <v>Non</v>
      </c>
      <c r="L792" s="128" t="str">
        <f>VLOOKUP(Tableau119[[#This Row],[Name Site]],Plant_AILN!A:D,4,FALSE)</f>
        <v>INDIA</v>
      </c>
      <c r="M792" s="411" t="s">
        <v>159</v>
      </c>
      <c r="N792" s="454">
        <f>VLOOKUP(Tableau119[[#This Row],[Name Site]],Plant_AILN!A:C,3,FALSE)</f>
        <v>26549502</v>
      </c>
      <c r="O792" s="55">
        <f>IF(Tableau119[[#This Row],[Name PFI/CDD]]="PFI VLL",2,VLOOKUP(Tableau119[[#This Row],[Compte Consignee]],Order!C:D,2,FALSE))</f>
        <v>5</v>
      </c>
      <c r="P792" s="124" t="s">
        <v>146</v>
      </c>
      <c r="Q792" s="365">
        <f>VLOOKUP(Tableau119[[#This Row],[Name ILN]],Plant_AILN!F:G,2,FALSE)</f>
        <v>0</v>
      </c>
      <c r="R792" s="50">
        <f>VLOOKUP(Tableau119[[#This Row],[Compte ILN]],'DATA ILN'!D:I,6,FALSE)</f>
        <v>9</v>
      </c>
      <c r="S792" s="50">
        <f>IFERROR(VLOOKUP(Tableau119[[#This Row],[Key(Compte ILN - shipper - POL - plant)]],'DATA ILN'!A:J,10,FALSE),VLOOKUP(Tableau119[[#This Row],[Key(Compte ILN - shipper - POL)]],'DATA ILN'!B:J,9,FALSE))</f>
        <v>7</v>
      </c>
      <c r="T792" s="50">
        <f>IFERROR(VLOOKUP(Tableau119[[#This Row],[Key(Compte ILN - shipper - POL - plant)]],'DATA ILN'!A:K,11,FALSE),VLOOKUP(Tableau119[[#This Row],[Key(Compte ILN - shipper - POL)]],'DATA ILN'!B:K,10,FALSE))</f>
        <v>5</v>
      </c>
      <c r="U792" s="50">
        <f>IFERROR(VLOOKUP(Tableau119[[#This Row],[Key(Compte ILN - shipper - POL - plant)]],'DATA ILN'!A:L,12,FALSE),VLOOKUP(Tableau119[[#This Row],[Key(Compte ILN - shipper - POL)]],'DATA ILN'!B:L,11,FALSE))</f>
        <v>7</v>
      </c>
      <c r="V792" s="50">
        <f>Tableau119[[#This Row],[Day ILN Order]]+Tableau119[[#This Row],[Delivery time to ILN/Shipper]]-1</f>
        <v>15</v>
      </c>
      <c r="W792" s="50">
        <f>IFERROR(VLOOKUP(Tableau119[[#This Row],[Key(Compte ILN - shipper - POL - plant)]],'DATA ILN'!A:N,14,FALSE),VLOOKUP(Tableau119[[#This Row],[Key(Compte ILN - shipper - POL)]],'DATA ILN'!B:N,13,FALSE))</f>
        <v>8</v>
      </c>
      <c r="X792" s="50">
        <f>IFERROR(VLOOKUP(Tableau119[[#This Row],[Key(Compte ILN - shipper - POL - plant)]],'DATA ILN'!A:P,16,FALSE),VLOOKUP(Tableau119[[#This Row],[Key(Compte ILN - shipper - POL)]],'DATA ILN'!B:P,15,FALSE))</f>
        <v>3</v>
      </c>
      <c r="Y792" s="284" t="s">
        <v>153</v>
      </c>
      <c r="Z792" s="430">
        <f>IFERROR(VLOOKUP(Tableau119[[#This Row],[Name Shipper]],Plant_AILN!L:M,2,FALSE),0)</f>
        <v>42838303</v>
      </c>
      <c r="AA792" s="406">
        <v>888</v>
      </c>
      <c r="AB792" s="396" t="str">
        <f>_xlfn.XLOOKUP(Tableau119[[#This Row],[Key(ID-date)]],'DATA BTO'!S:S,'DATA BTO'!E:E,FALSE)</f>
        <v>CNSHA</v>
      </c>
      <c r="AC792" s="3" t="str">
        <f>_xlfn.XLOOKUP(Tableau119[[#This Row],[Key(ID-date)]],'DATA BTO'!S:S,'DATA BTO'!F:F,FALSE)</f>
        <v>CMA-CGM</v>
      </c>
      <c r="AD792" s="50">
        <f>_xlfn.XLOOKUP(Tableau119[[#This Row],[Key(ID-date)]],'DATA BTO'!S:S,'DATA BTO'!G:G,FALSE)</f>
        <v>1</v>
      </c>
      <c r="AE792" s="50">
        <f>_xlfn.XLOOKUP(Tableau119[[#This Row],[Key(ID-date)]],'DATA BTO'!S:S,'DATA BTO'!H:H,FALSE)</f>
        <v>4</v>
      </c>
      <c r="AF792" s="447">
        <f>IF(Tableau119[[#This Row],[First Day to POL]]&lt;=Tableau119[[#This Row],[Day Cut Off]],Tableau119[[#This Row],[Day ETD]],Tableau119[[#This Row],[Day ETD]]+7)</f>
        <v>11</v>
      </c>
      <c r="AG792" s="50">
        <f>_xlfn.XLOOKUP(Tableau119[[#This Row],[Key(ID-date)]],'DATA BTO'!S:S,'DATA BTO'!I:I,FALSE)</f>
        <v>17</v>
      </c>
      <c r="AH792" s="3" t="str">
        <f>_xlfn.XLOOKUP(Tableau119[[#This Row],[Key(ID-date)]],'DATA BTO'!S:S,'DATA BTO'!J:J,FALSE)</f>
        <v>INMAA</v>
      </c>
      <c r="AI792" s="3">
        <f>_xlfn.XLOOKUP(Tableau119[[#This Row],[Key(ID-date)]],'DATA BTO'!S:S,'DATA BTO'!K:K,FALSE)</f>
        <v>3</v>
      </c>
      <c r="AJ792" s="50">
        <f>_xlfn.XLOOKUP(Tableau119[[#This Row],[Key(ID-date)]],'DATA BTO'!S:S,'DATA BTO'!L:L,FALSE)</f>
        <v>7</v>
      </c>
      <c r="AK792" s="53" t="str">
        <f>_xlfn.XLOOKUP(Tableau119[[#This Row],[Key(ID-date)]],'DATA BTO'!S:S,'DATA BTO'!N:N,FALSE)</f>
        <v>Max</v>
      </c>
      <c r="AL792" s="54">
        <f>VLOOKUP(Tableau119[[#This Row],[Key(POD -PFI- Usine)]],'DATA Consignee'!A:F,6,FALSE)</f>
        <v>4</v>
      </c>
      <c r="AM792" s="284"/>
      <c r="AN792" s="376" t="str">
        <f>IF(Tableau119[[#This Row],[Name PFI/CDD]]="","-",VLOOKUP(Tableau119[[#This Row],[Name PFI/CDD]],Plant_AILN!I:J,2,FALSE))</f>
        <v>-</v>
      </c>
      <c r="AO79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2" s="2">
        <f>VLOOKUP(Tableau119[[#This Row],[Key(POD -PFI- Usine)]],'DATA Consignee'!A:J,10,FALSE)</f>
        <v>0</v>
      </c>
      <c r="AR792" s="50">
        <f>VLOOKUP(Tableau119[[#This Row],[Key(POD -PFI- Usine)]],'DATA Consignee'!A:N,14,FALSE)</f>
        <v>3</v>
      </c>
      <c r="AS79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79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23</v>
      </c>
      <c r="AU792" s="50">
        <f>Tableau119[[#This Row],[Transit time]]+Tableau119[[#This Row],[Time for security]]+Tableau119[[#This Row],[Time for security2 buffer]]</f>
        <v>27</v>
      </c>
      <c r="AV79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792" s="50">
        <f>Tableau119[[#This Row],[Leadtime SI2C]]+Tableau119[[#This Row],[First Receipt Days]]-Tableau119[[#This Row],[Day Customer Order]]+1</f>
        <v>73</v>
      </c>
      <c r="AX792" s="119">
        <f>IF(Tableau119[[#This Row],[Name ILN]]&lt;&gt;"SFK Freight Forwarder",Tableau119[[#This Row],[Cust. Leadtime]],Tableau119[[#This Row],[Leadtime SI2C]])</f>
        <v>62</v>
      </c>
      <c r="AY792" s="51" t="str">
        <f>_xlfn.XLOOKUP(Tableau119[[#This Row],[Key(ID-date)]],'DATA BTO'!S:S,'DATA BTO'!P:P,FALSE)</f>
        <v>Horse &gt; Renault BPH (MLP)</v>
      </c>
      <c r="AZ792" s="338">
        <v>46142</v>
      </c>
      <c r="BA792" s="50"/>
    </row>
    <row r="793" spans="2:53">
      <c r="B793" s="66" t="str">
        <f>_xlfn.CONCAT(Tableau119[[#This Row],[Name ILN]],"-",Tableau119[[#This Row],[Name Shipper]],"-",Tableau119[[#This Row],[Name Site]])</f>
        <v>ILN Tanger-ILN Tanger-Curitiba CMO</v>
      </c>
      <c r="C793" s="66" t="str">
        <f>_xlfn.CONCAT(Tableau119[[#This Row],[Compte ILN]],"-",Tableau119[[#This Row],[Compte Shipper]],"-",Tableau119[[#This Row],[POL]],"-",Tableau119[[#This Row],[Compte Consignee]])</f>
        <v>92050300-92050300-MAPTM-90018600</v>
      </c>
      <c r="D793" s="66" t="str">
        <f>_xlfn.CONCAT(Tableau119[[#This Row],[Compte ILN]],"-",Tableau119[[#This Row],[Compte Shipper]],"-",Tableau119[[#This Row],[POL]])</f>
        <v>92050300-92050300-MAPTM</v>
      </c>
      <c r="E793" s="130" t="str">
        <f>_xlfn.CONCAT(Tableau119[[#This Row],[POL]],"-",Tableau119[[#This Row],[Carrier]],"-",Tableau119[[#This Row],[POD]])</f>
        <v>MAPTM-CMA-CGM-BRPNG</v>
      </c>
      <c r="F793" s="66" t="str">
        <f>_xlfn.CONCAT(Tableau119[[#This Row],[ID]],"-","Actif")</f>
        <v>900-Actif</v>
      </c>
      <c r="G793" s="66" t="str">
        <f>_xlfn.CONCAT(Tableau119[[#This Row],[POD]],"-",Tableau119[[#This Row],[Code PFI]],"-",Tableau119[[#This Row],[Compte Consignee]])</f>
        <v>BRPNG---90018600</v>
      </c>
      <c r="H7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TangerMAPTMCuritiba CMO</v>
      </c>
      <c r="I793" s="434" t="str">
        <f>_xlfn.CONCAT(Tableau119[[#This Row],[ID]],"-",Tableau119[[#This Row],[Expiration Date]])</f>
        <v>900-46142</v>
      </c>
      <c r="J7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Tanger-ILN Tanger-900-MAPTM-CMA-CGM-BRPNG--46142</v>
      </c>
      <c r="K793" s="119" t="str">
        <f ca="1">IF(COUNTIF(J:J,Tableau119[[#This Row],[Plant-ILN-shipper-POL-Carrier-POD-PFI]])=1,"Non","Oui")</f>
        <v>Non</v>
      </c>
      <c r="L793" s="440" t="str">
        <f>VLOOKUP(Tableau119[[#This Row],[Name Site]],Plant_AILN!A:D,4,FALSE)</f>
        <v>BRAZIL</v>
      </c>
      <c r="M793" s="10" t="s">
        <v>160</v>
      </c>
      <c r="N793" s="454">
        <f>VLOOKUP(Tableau119[[#This Row],[Name Site]],Plant_AILN!A:C,3,FALSE)</f>
        <v>90018600</v>
      </c>
      <c r="O793" s="55">
        <f>IF(Tableau119[[#This Row],[Name PFI/CDD]]="PFI VLL",2,VLOOKUP(Tableau119[[#This Row],[Compte Consignee]],Order!C:D,2,FALSE))</f>
        <v>7</v>
      </c>
      <c r="P793" s="124" t="s">
        <v>161</v>
      </c>
      <c r="Q793" s="365">
        <f>VLOOKUP(Tableau119[[#This Row],[Name ILN]],Plant_AILN!F:G,2,FALSE)</f>
        <v>92050300</v>
      </c>
      <c r="R793" s="50">
        <f>VLOOKUP(Tableau119[[#This Row],[Compte ILN]],'DATA ILN'!D:I,6,FALSE)</f>
        <v>9</v>
      </c>
      <c r="S793" s="50">
        <f>IFERROR(VLOOKUP(Tableau119[[#This Row],[Key(Compte ILN - shipper - POL - plant)]],'DATA ILN'!A:J,10,FALSE),VLOOKUP(Tableau119[[#This Row],[Key(Compte ILN - shipper - POL)]],'DATA ILN'!B:J,9,FALSE))</f>
        <v>7</v>
      </c>
      <c r="T793" s="50">
        <f>IFERROR(VLOOKUP(Tableau119[[#This Row],[Key(Compte ILN - shipper - POL - plant)]],'DATA ILN'!A:K,11,FALSE),VLOOKUP(Tableau119[[#This Row],[Key(Compte ILN - shipper - POL)]],'DATA ILN'!B:K,10,FALSE))</f>
        <v>5</v>
      </c>
      <c r="U793" s="50">
        <f>IFERROR(VLOOKUP(Tableau119[[#This Row],[Key(Compte ILN - shipper - POL - plant)]],'DATA ILN'!A:L,12,FALSE),VLOOKUP(Tableau119[[#This Row],[Key(Compte ILN - shipper - POL)]],'DATA ILN'!B:L,11,FALSE))</f>
        <v>7</v>
      </c>
      <c r="V793" s="50">
        <f>Tableau119[[#This Row],[Day ILN Order]]+Tableau119[[#This Row],[Delivery time to ILN/Shipper]]-1</f>
        <v>15</v>
      </c>
      <c r="W793" s="50">
        <f>IFERROR(VLOOKUP(Tableau119[[#This Row],[Key(Compte ILN - shipper - POL - plant)]],'DATA ILN'!A:N,14,FALSE),VLOOKUP(Tableau119[[#This Row],[Key(Compte ILN - shipper - POL)]],'DATA ILN'!B:N,13,FALSE))</f>
        <v>3</v>
      </c>
      <c r="X793" s="50">
        <f>IFERROR(VLOOKUP(Tableau119[[#This Row],[Key(Compte ILN - shipper - POL - plant)]],'DATA ILN'!A:P,16,FALSE),VLOOKUP(Tableau119[[#This Row],[Key(Compte ILN - shipper - POL)]],'DATA ILN'!B:P,15,FALSE))</f>
        <v>4</v>
      </c>
      <c r="Y793" s="284" t="s">
        <v>161</v>
      </c>
      <c r="Z793" s="430">
        <f>IFERROR(VLOOKUP(Tableau119[[#This Row],[Name Shipper]],Plant_AILN!L:M,2,FALSE),0)</f>
        <v>92050300</v>
      </c>
      <c r="AA793" s="406">
        <v>900</v>
      </c>
      <c r="AB793" s="396" t="str">
        <f>_xlfn.XLOOKUP(Tableau119[[#This Row],[Key(ID-date)]],'DATA BTO'!S:S,'DATA BTO'!E:E,FALSE)</f>
        <v>MAPTM</v>
      </c>
      <c r="AC793" s="3" t="str">
        <f>_xlfn.XLOOKUP(Tableau119[[#This Row],[Key(ID-date)]],'DATA BTO'!S:S,'DATA BTO'!F:F,FALSE)</f>
        <v>CMA-CGM</v>
      </c>
      <c r="AD793" s="50">
        <f>_xlfn.XLOOKUP(Tableau119[[#This Row],[Key(ID-date)]],'DATA BTO'!S:S,'DATA BTO'!G:G,FALSE)</f>
        <v>4</v>
      </c>
      <c r="AE793" s="50">
        <f>_xlfn.XLOOKUP(Tableau119[[#This Row],[Key(ID-date)]],'DATA BTO'!S:S,'DATA BTO'!H:H,FALSE)</f>
        <v>6</v>
      </c>
      <c r="AF793" s="447">
        <f>IF(Tableau119[[#This Row],[First Day to POL]]&lt;=Tableau119[[#This Row],[Day Cut Off]],Tableau119[[#This Row],[Day ETD]],Tableau119[[#This Row],[Day ETD]]+7)</f>
        <v>6</v>
      </c>
      <c r="AG793" s="50">
        <f>_xlfn.XLOOKUP(Tableau119[[#This Row],[Key(ID-date)]],'DATA BTO'!S:S,'DATA BTO'!I:I,FALSE)</f>
        <v>23</v>
      </c>
      <c r="AH793" s="3" t="str">
        <f>_xlfn.XLOOKUP(Tableau119[[#This Row],[Key(ID-date)]],'DATA BTO'!S:S,'DATA BTO'!J:J,FALSE)</f>
        <v>BRPNG</v>
      </c>
      <c r="AI793" s="3">
        <f>_xlfn.XLOOKUP(Tableau119[[#This Row],[Key(ID-date)]],'DATA BTO'!S:S,'DATA BTO'!K:K,FALSE)</f>
        <v>3</v>
      </c>
      <c r="AJ793" s="50">
        <f>_xlfn.XLOOKUP(Tableau119[[#This Row],[Key(ID-date)]],'DATA BTO'!S:S,'DATA BTO'!L:L,FALSE)</f>
        <v>7</v>
      </c>
      <c r="AK793" s="53" t="str">
        <f>_xlfn.XLOOKUP(Tableau119[[#This Row],[Key(ID-date)]],'DATA BTO'!S:S,'DATA BTO'!N:N,FALSE)</f>
        <v>Véronique</v>
      </c>
      <c r="AL793" s="54">
        <f>VLOOKUP(Tableau119[[#This Row],[Key(POD -PFI- Usine)]],'DATA Consignee'!A:F,6,FALSE)</f>
        <v>2</v>
      </c>
      <c r="AM793" s="284"/>
      <c r="AN793" s="376" t="str">
        <f>IF(Tableau119[[#This Row],[Name PFI/CDD]]="","-",VLOOKUP(Tableau119[[#This Row],[Name PFI/CDD]],Plant_AILN!I:J,2,FALSE))</f>
        <v>-</v>
      </c>
      <c r="AO79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3" s="2">
        <f>VLOOKUP(Tableau119[[#This Row],[Key(POD -PFI- Usine)]],'DATA Consignee'!A:J,10,FALSE)</f>
        <v>0</v>
      </c>
      <c r="AR793" s="50">
        <f>VLOOKUP(Tableau119[[#This Row],[Key(POD -PFI- Usine)]],'DATA Consignee'!A:N,14,FALSE)</f>
        <v>2</v>
      </c>
      <c r="AS79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79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793" s="50">
        <f>Tableau119[[#This Row],[Transit time]]+Tableau119[[#This Row],[Time for security]]+Tableau119[[#This Row],[Time for security2 buffer]]</f>
        <v>33</v>
      </c>
      <c r="AV79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48</v>
      </c>
      <c r="AW793" s="50">
        <f>Tableau119[[#This Row],[Leadtime SI2C]]+Tableau119[[#This Row],[First Receipt Days]]-Tableau119[[#This Row],[Day Customer Order]]+1</f>
        <v>57</v>
      </c>
      <c r="AX793" s="119">
        <f>IF(Tableau119[[#This Row],[Name ILN]]&lt;&gt;"SFK Freight Forwarder",Tableau119[[#This Row],[Cust. Leadtime]],Tableau119[[#This Row],[Leadtime SI2C]])</f>
        <v>57</v>
      </c>
      <c r="AY793" s="51" t="str">
        <f>_xlfn.XLOOKUP(Tableau119[[#This Row],[Key(ID-date)]],'DATA BTO'!S:S,'DATA BTO'!P:P,FALSE)</f>
        <v>Renault &gt; Horse BPH</v>
      </c>
      <c r="AZ793" s="338">
        <v>46142</v>
      </c>
      <c r="BA793" s="50"/>
    </row>
    <row r="794" spans="2:53">
      <c r="B794" s="446" t="str">
        <f>_xlfn.CONCAT(Tableau119[[#This Row],[Name ILN]],"-",Tableau119[[#This Row],[Name Shipper]],"-",Tableau119[[#This Row],[Name Site]])</f>
        <v>ILN Tanger-ILN Tanger-Curitiba CMO</v>
      </c>
      <c r="C794" s="66" t="str">
        <f>_xlfn.CONCAT(Tableau119[[#This Row],[Compte ILN]],"-",Tableau119[[#This Row],[Compte Shipper]],"-",Tableau119[[#This Row],[POL]],"-",Tableau119[[#This Row],[Compte Consignee]])</f>
        <v>92050300-92050300-MAPTM-90018600</v>
      </c>
      <c r="D794" s="66" t="str">
        <f>_xlfn.CONCAT(Tableau119[[#This Row],[Compte ILN]],"-",Tableau119[[#This Row],[Compte Shipper]],"-",Tableau119[[#This Row],[POL]])</f>
        <v>92050300-92050300-MAPTM</v>
      </c>
      <c r="E794" s="130" t="str">
        <f>_xlfn.CONCAT(Tableau119[[#This Row],[POL]],"-",Tableau119[[#This Row],[Carrier]],"-",Tableau119[[#This Row],[POD]])</f>
        <v>MAPTM-CMA-BRPNG</v>
      </c>
      <c r="F794" s="66" t="str">
        <f>_xlfn.CONCAT(Tableau119[[#This Row],[ID]],"-","Actif")</f>
        <v>900-Actif</v>
      </c>
      <c r="G794" s="66" t="str">
        <f>_xlfn.CONCAT(Tableau119[[#This Row],[POD]],"-",Tableau119[[#This Row],[Code PFI]],"-",Tableau119[[#This Row],[Compte Consignee]])</f>
        <v>BRPNG---90018600</v>
      </c>
      <c r="H7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TangerMAPTMCuritiba CMO</v>
      </c>
      <c r="I794" s="434" t="str">
        <f>_xlfn.CONCAT(Tableau119[[#This Row],[ID]],"-",Tableau119[[#This Row],[Expiration Date]])</f>
        <v>900-45777</v>
      </c>
      <c r="J7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Tanger-ILN Tanger-900-MAPTM-CMA-BRPNG--45777</v>
      </c>
      <c r="K794" s="119" t="str">
        <f ca="1">IF(COUNTIF(J:J,Tableau119[[#This Row],[Plant-ILN-shipper-POL-Carrier-POD-PFI]])=1,"Non","Oui")</f>
        <v>Non</v>
      </c>
      <c r="L794" s="128" t="str">
        <f>VLOOKUP(Tableau119[[#This Row],[Name Site]],Plant_AILN!A:D,4,FALSE)</f>
        <v>BRAZIL</v>
      </c>
      <c r="M794" s="411" t="s">
        <v>160</v>
      </c>
      <c r="N794" s="454">
        <f>VLOOKUP(Tableau119[[#This Row],[Name Site]],Plant_AILN!A:C,3,FALSE)</f>
        <v>90018600</v>
      </c>
      <c r="O794" s="55">
        <f>VLOOKUP(Tableau119[[#This Row],[Compte Consignee]],Order!C:D,2,FALSE)</f>
        <v>7</v>
      </c>
      <c r="P794" s="124" t="s">
        <v>161</v>
      </c>
      <c r="Q794" s="365">
        <f>VLOOKUP(Tableau119[[#This Row],[Name ILN]],Plant_AILN!F:G,2,FALSE)</f>
        <v>92050300</v>
      </c>
      <c r="R794" s="50">
        <f>VLOOKUP(Tableau119[[#This Row],[Compte ILN]],'DATA ILN'!D:I,6,FALSE)</f>
        <v>9</v>
      </c>
      <c r="S794" s="50">
        <f>IFERROR(VLOOKUP(Tableau119[[#This Row],[Key(Compte ILN - shipper - POL - plant)]],'DATA ILN'!A:J,10,FALSE),VLOOKUP(Tableau119[[#This Row],[Key(Compte ILN - shipper - POL)]],'DATA ILN'!B:J,9,FALSE))</f>
        <v>7</v>
      </c>
      <c r="T794" s="50">
        <f>IFERROR(VLOOKUP(Tableau119[[#This Row],[Key(Compte ILN - shipper - POL - plant)]],'DATA ILN'!A:K,11,FALSE),VLOOKUP(Tableau119[[#This Row],[Key(Compte ILN - shipper - POL)]],'DATA ILN'!B:K,10,FALSE))</f>
        <v>5</v>
      </c>
      <c r="U794" s="50">
        <f>IFERROR(VLOOKUP(Tableau119[[#This Row],[Key(Compte ILN - shipper - POL - plant)]],'DATA ILN'!A:L,12,FALSE),VLOOKUP(Tableau119[[#This Row],[Key(Compte ILN - shipper - POL)]],'DATA ILN'!B:L,11,FALSE))</f>
        <v>7</v>
      </c>
      <c r="V794" s="50">
        <f>Tableau119[[#This Row],[Day ILN Order]]+Tableau119[[#This Row],[Delivery time to ILN/Shipper]]-1</f>
        <v>15</v>
      </c>
      <c r="W794" s="50">
        <f>IFERROR(VLOOKUP(Tableau119[[#This Row],[Key(Compte ILN - shipper - POL - plant)]],'DATA ILN'!A:N,14,FALSE),VLOOKUP(Tableau119[[#This Row],[Key(Compte ILN - shipper - POL)]],'DATA ILN'!B:N,13,FALSE))</f>
        <v>3</v>
      </c>
      <c r="X794" s="50">
        <f>IFERROR(VLOOKUP(Tableau119[[#This Row],[Key(Compte ILN - shipper - POL - plant)]],'DATA ILN'!A:P,16,FALSE),VLOOKUP(Tableau119[[#This Row],[Key(Compte ILN - shipper - POL)]],'DATA ILN'!B:P,15,FALSE))</f>
        <v>4</v>
      </c>
      <c r="Y794" s="284" t="s">
        <v>161</v>
      </c>
      <c r="Z794" s="430">
        <f>IFERROR(VLOOKUP(Tableau119[[#This Row],[Name Shipper]],Plant_AILN!L:M,2,FALSE),0)</f>
        <v>92050300</v>
      </c>
      <c r="AA794" s="406">
        <v>900</v>
      </c>
      <c r="AB794" s="396" t="str">
        <f>_xlfn.XLOOKUP(Tableau119[[#This Row],[Key(ID-date)]],'DATA BTO'!S:S,'DATA BTO'!E:E,FALSE)</f>
        <v>MAPTM</v>
      </c>
      <c r="AC794" s="3" t="str">
        <f>_xlfn.XLOOKUP(Tableau119[[#This Row],[Key(ID-date)]],'DATA BTO'!S:S,'DATA BTO'!F:F,FALSE)</f>
        <v>CMA</v>
      </c>
      <c r="AD794" s="50">
        <f>_xlfn.XLOOKUP(Tableau119[[#This Row],[Key(ID-date)]],'DATA BTO'!S:S,'DATA BTO'!G:G,FALSE)</f>
        <v>4</v>
      </c>
      <c r="AE794" s="50">
        <f>_xlfn.XLOOKUP(Tableau119[[#This Row],[Key(ID-date)]],'DATA BTO'!S:S,'DATA BTO'!H:H,FALSE)</f>
        <v>6</v>
      </c>
      <c r="AF794" s="447">
        <f>IF(Tableau119[[#This Row],[First Day to POL]]&lt;=Tableau119[[#This Row],[Day Cut Off]],Tableau119[[#This Row],[Day ETD]],Tableau119[[#This Row],[Day ETD]]+7)</f>
        <v>6</v>
      </c>
      <c r="AG794" s="50">
        <f>_xlfn.XLOOKUP(Tableau119[[#This Row],[Key(ID-date)]],'DATA BTO'!S:S,'DATA BTO'!I:I,FALSE)</f>
        <v>18</v>
      </c>
      <c r="AH794" s="3" t="str">
        <f>_xlfn.XLOOKUP(Tableau119[[#This Row],[Key(ID-date)]],'DATA BTO'!S:S,'DATA BTO'!J:J,FALSE)</f>
        <v>BRPNG</v>
      </c>
      <c r="AI794" s="3">
        <f>_xlfn.XLOOKUP(Tableau119[[#This Row],[Key(ID-date)]],'DATA BTO'!S:S,'DATA BTO'!K:K,FALSE)</f>
        <v>3</v>
      </c>
      <c r="AJ794" s="50">
        <f>_xlfn.XLOOKUP(Tableau119[[#This Row],[Key(ID-date)]],'DATA BTO'!S:S,'DATA BTO'!L:L,FALSE)</f>
        <v>0</v>
      </c>
      <c r="AK794" s="53" t="str">
        <f>_xlfn.XLOOKUP(Tableau119[[#This Row],[Key(ID-date)]],'DATA BTO'!S:S,'DATA BTO'!N:N,FALSE)</f>
        <v>Julien</v>
      </c>
      <c r="AL794" s="54">
        <f>VLOOKUP(Tableau119[[#This Row],[Key(POD -PFI- Usine)]],'DATA Consignee'!A:F,6,FALSE)</f>
        <v>2</v>
      </c>
      <c r="AM794" s="284"/>
      <c r="AN794" s="376" t="str">
        <f>IF(Tableau119[[#This Row],[Name PFI/CDD]]="","-",VLOOKUP(Tableau119[[#This Row],[Name PFI/CDD]],Plant_AILN!I:J,2,FALSE))</f>
        <v>-</v>
      </c>
      <c r="AO7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4" s="2">
        <f>VLOOKUP(Tableau119[[#This Row],[Key(POD -PFI- Usine)]],'DATA Consignee'!A:J,10,FALSE)</f>
        <v>0</v>
      </c>
      <c r="AR794" s="50">
        <f>VLOOKUP(Tableau119[[#This Row],[Key(POD -PFI- Usine)]],'DATA Consignee'!A:N,14,FALSE)</f>
        <v>2</v>
      </c>
      <c r="AS79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79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794" s="50">
        <f>Tableau119[[#This Row],[Transit time]]+Tableau119[[#This Row],[Time for security]]+Tableau119[[#This Row],[Time for security2 buffer]]</f>
        <v>21</v>
      </c>
      <c r="AV79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41</v>
      </c>
      <c r="AW794" s="50">
        <f>Tableau119[[#This Row],[Leadtime SI2C]]+Tableau119[[#This Row],[First Receipt Days]]-Tableau119[[#This Row],[Day Customer Order]]+1</f>
        <v>50</v>
      </c>
      <c r="AX794" s="119">
        <f>IF(Tableau119[[#This Row],[Name ILN]]&lt;&gt;"SFK Freight Forwarder",Tableau119[[#This Row],[Cust. Leadtime]],Tableau119[[#This Row],[Leadtime SI2C]])</f>
        <v>50</v>
      </c>
      <c r="AY794" s="51" t="str">
        <f>_xlfn.XLOOKUP(Tableau119[[#This Row],[Key(ID-date)]],'DATA BTO'!S:S,'DATA BTO'!P:P,FALSE)</f>
        <v>Renault &gt; Horse BPH</v>
      </c>
      <c r="AZ794" s="338">
        <v>45777</v>
      </c>
      <c r="BA794" s="50"/>
    </row>
    <row r="795" spans="2:53">
      <c r="B795" s="446" t="str">
        <f>_xlfn.CONCAT(Tableau119[[#This Row],[Name ILN]],"-",Tableau119[[#This Row],[Name Shipper]],"-",Tableau119[[#This Row],[Name Site]])</f>
        <v>ILN Tanger-ILN Tanger-Curitiba CMO</v>
      </c>
      <c r="C795" s="66" t="str">
        <f>_xlfn.CONCAT(Tableau119[[#This Row],[Compte ILN]],"-",Tableau119[[#This Row],[Compte Shipper]],"-",Tableau119[[#This Row],[POL]],"-",Tableau119[[#This Row],[Compte Consignee]])</f>
        <v>92050300-92050300-MAPTM-90018600</v>
      </c>
      <c r="D795" s="66" t="str">
        <f>_xlfn.CONCAT(Tableau119[[#This Row],[Compte ILN]],"-",Tableau119[[#This Row],[Compte Shipper]],"-",Tableau119[[#This Row],[POL]])</f>
        <v>92050300-92050300-MAPTM</v>
      </c>
      <c r="E795" s="130" t="str">
        <f>_xlfn.CONCAT(Tableau119[[#This Row],[POL]],"-",Tableau119[[#This Row],[Carrier]],"-",Tableau119[[#This Row],[POD]])</f>
        <v>MAPTM-CMA-BRPNG</v>
      </c>
      <c r="F795" s="66" t="str">
        <f>_xlfn.CONCAT(Tableau119[[#This Row],[ID]],"-","Actif")</f>
        <v>900-Actif</v>
      </c>
      <c r="G795" s="66" t="str">
        <f>_xlfn.CONCAT(Tableau119[[#This Row],[POD]],"-",Tableau119[[#This Row],[Code PFI]],"-",Tableau119[[#This Row],[Compte Consignee]])</f>
        <v>BRPNG---90018600</v>
      </c>
      <c r="H7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TangerMAPTMCuritiba CMO</v>
      </c>
      <c r="I795" s="434" t="str">
        <f>_xlfn.CONCAT(Tableau119[[#This Row],[ID]],"-",Tableau119[[#This Row],[Expiration Date]])</f>
        <v>900-45473</v>
      </c>
      <c r="J7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Tanger-ILN Tanger-900-MAPTM-CMA-BRPNG--45473</v>
      </c>
      <c r="K795" s="119" t="str">
        <f ca="1">IF(COUNTIF(J:J,Tableau119[[#This Row],[Plant-ILN-shipper-POL-Carrier-POD-PFI]])=1,"Non","Oui")</f>
        <v>Non</v>
      </c>
      <c r="L795" s="128" t="str">
        <f>VLOOKUP(Tableau119[[#This Row],[Name Site]],Plant_AILN!A:D,4,FALSE)</f>
        <v>BRAZIL</v>
      </c>
      <c r="M795" s="411" t="s">
        <v>160</v>
      </c>
      <c r="N795" s="454">
        <f>VLOOKUP(Tableau119[[#This Row],[Name Site]],Plant_AILN!A:C,3,FALSE)</f>
        <v>90018600</v>
      </c>
      <c r="O795" s="55">
        <f>VLOOKUP(Tableau119[[#This Row],[Compte Consignee]],Order!C:D,2,FALSE)</f>
        <v>7</v>
      </c>
      <c r="P795" s="124" t="s">
        <v>161</v>
      </c>
      <c r="Q795" s="365">
        <f>VLOOKUP(Tableau119[[#This Row],[Name ILN]],Plant_AILN!F:G,2,FALSE)</f>
        <v>92050300</v>
      </c>
      <c r="R795" s="50">
        <f>VLOOKUP(Tableau119[[#This Row],[Compte ILN]],'DATA ILN'!D:I,6,FALSE)</f>
        <v>9</v>
      </c>
      <c r="S795" s="50">
        <f>IFERROR(VLOOKUP(Tableau119[[#This Row],[Key(Compte ILN - shipper - POL - plant)]],'DATA ILN'!A:J,10,FALSE),VLOOKUP(Tableau119[[#This Row],[Key(Compte ILN - shipper - POL)]],'DATA ILN'!B:J,9,FALSE))</f>
        <v>7</v>
      </c>
      <c r="T795" s="50">
        <f>IFERROR(VLOOKUP(Tableau119[[#This Row],[Key(Compte ILN - shipper - POL - plant)]],'DATA ILN'!A:K,11,FALSE),VLOOKUP(Tableau119[[#This Row],[Key(Compte ILN - shipper - POL)]],'DATA ILN'!B:K,10,FALSE))</f>
        <v>5</v>
      </c>
      <c r="U795" s="50">
        <f>IFERROR(VLOOKUP(Tableau119[[#This Row],[Key(Compte ILN - shipper - POL - plant)]],'DATA ILN'!A:L,12,FALSE),VLOOKUP(Tableau119[[#This Row],[Key(Compte ILN - shipper - POL)]],'DATA ILN'!B:L,11,FALSE))</f>
        <v>7</v>
      </c>
      <c r="V795" s="50">
        <f>Tableau119[[#This Row],[Day ILN Order]]+Tableau119[[#This Row],[Delivery time to ILN/Shipper]]-1</f>
        <v>15</v>
      </c>
      <c r="W795" s="50">
        <f>IFERROR(VLOOKUP(Tableau119[[#This Row],[Key(Compte ILN - shipper - POL - plant)]],'DATA ILN'!A:N,14,FALSE),VLOOKUP(Tableau119[[#This Row],[Key(Compte ILN - shipper - POL)]],'DATA ILN'!B:N,13,FALSE))</f>
        <v>3</v>
      </c>
      <c r="X795" s="50">
        <f>IFERROR(VLOOKUP(Tableau119[[#This Row],[Key(Compte ILN - shipper - POL - plant)]],'DATA ILN'!A:P,16,FALSE),VLOOKUP(Tableau119[[#This Row],[Key(Compte ILN - shipper - POL)]],'DATA ILN'!B:P,15,FALSE))</f>
        <v>4</v>
      </c>
      <c r="Y795" s="284" t="s">
        <v>161</v>
      </c>
      <c r="Z795" s="430">
        <f>IFERROR(VLOOKUP(Tableau119[[#This Row],[Name Shipper]],Plant_AILN!L:M,2,FALSE),0)</f>
        <v>92050300</v>
      </c>
      <c r="AA795" s="406">
        <v>900</v>
      </c>
      <c r="AB795" s="396" t="str">
        <f>_xlfn.XLOOKUP(Tableau119[[#This Row],[Key(ID-date)]],'DATA BTO'!S:S,'DATA BTO'!E:E,FALSE)</f>
        <v>MAPTM</v>
      </c>
      <c r="AC795" s="3" t="str">
        <f>_xlfn.XLOOKUP(Tableau119[[#This Row],[Key(ID-date)]],'DATA BTO'!S:S,'DATA BTO'!F:F,FALSE)</f>
        <v>CMA</v>
      </c>
      <c r="AD795" s="50">
        <f>_xlfn.XLOOKUP(Tableau119[[#This Row],[Key(ID-date)]],'DATA BTO'!S:S,'DATA BTO'!G:G,FALSE)</f>
        <v>4</v>
      </c>
      <c r="AE795" s="50">
        <f>_xlfn.XLOOKUP(Tableau119[[#This Row],[Key(ID-date)]],'DATA BTO'!S:S,'DATA BTO'!H:H,FALSE)</f>
        <v>6</v>
      </c>
      <c r="AF795" s="447">
        <f>IF(Tableau119[[#This Row],[First Day to POL]]&lt;=Tableau119[[#This Row],[Day Cut Off]],Tableau119[[#This Row],[Day ETD]],Tableau119[[#This Row],[Day ETD]]+7)</f>
        <v>6</v>
      </c>
      <c r="AG795" s="50">
        <f>_xlfn.XLOOKUP(Tableau119[[#This Row],[Key(ID-date)]],'DATA BTO'!S:S,'DATA BTO'!I:I,FALSE)</f>
        <v>18</v>
      </c>
      <c r="AH795" s="3" t="str">
        <f>_xlfn.XLOOKUP(Tableau119[[#This Row],[Key(ID-date)]],'DATA BTO'!S:S,'DATA BTO'!J:J,FALSE)</f>
        <v>BRPNG</v>
      </c>
      <c r="AI795" s="3">
        <f>_xlfn.XLOOKUP(Tableau119[[#This Row],[Key(ID-date)]],'DATA BTO'!S:S,'DATA BTO'!K:K,FALSE)</f>
        <v>3</v>
      </c>
      <c r="AJ795" s="50">
        <f>_xlfn.XLOOKUP(Tableau119[[#This Row],[Key(ID-date)]],'DATA BTO'!S:S,'DATA BTO'!L:L,FALSE)</f>
        <v>7</v>
      </c>
      <c r="AK795" s="53" t="str">
        <f>_xlfn.XLOOKUP(Tableau119[[#This Row],[Key(ID-date)]],'DATA BTO'!S:S,'DATA BTO'!N:N,FALSE)</f>
        <v>Julien</v>
      </c>
      <c r="AL795" s="54">
        <f>VLOOKUP(Tableau119[[#This Row],[Key(POD -PFI- Usine)]],'DATA Consignee'!A:F,6,FALSE)</f>
        <v>2</v>
      </c>
      <c r="AM795" s="284"/>
      <c r="AN795" s="376" t="str">
        <f>IF(Tableau119[[#This Row],[Name PFI/CDD]]="","-",VLOOKUP(Tableau119[[#This Row],[Name PFI/CDD]],Plant_AILN!I:J,2,FALSE))</f>
        <v>-</v>
      </c>
      <c r="AO79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5" s="2">
        <f>VLOOKUP(Tableau119[[#This Row],[Key(POD -PFI- Usine)]],'DATA Consignee'!A:J,10,FALSE)</f>
        <v>0</v>
      </c>
      <c r="AR795" s="50">
        <f>VLOOKUP(Tableau119[[#This Row],[Key(POD -PFI- Usine)]],'DATA Consignee'!A:N,14,FALSE)</f>
        <v>2</v>
      </c>
      <c r="AS79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79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795" s="50">
        <f>Tableau119[[#This Row],[Transit time]]+Tableau119[[#This Row],[Time for security]]+Tableau119[[#This Row],[Time for security2 buffer]]</f>
        <v>28</v>
      </c>
      <c r="AV79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48</v>
      </c>
      <c r="AW795" s="50">
        <f>Tableau119[[#This Row],[Leadtime SI2C]]+Tableau119[[#This Row],[First Receipt Days]]-Tableau119[[#This Row],[Day Customer Order]]+1</f>
        <v>57</v>
      </c>
      <c r="AX795" s="119">
        <f>IF(Tableau119[[#This Row],[Name ILN]]&lt;&gt;"SFK Freight Forwarder",Tableau119[[#This Row],[Cust. Leadtime]],Tableau119[[#This Row],[Leadtime SI2C]])</f>
        <v>57</v>
      </c>
      <c r="AY795" s="51" t="str">
        <f>_xlfn.XLOOKUP(Tableau119[[#This Row],[Key(ID-date)]],'DATA BTO'!S:S,'DATA BTO'!P:P,FALSE)</f>
        <v>Renault &gt; Horse BPH</v>
      </c>
      <c r="AZ795" s="338">
        <v>45473</v>
      </c>
      <c r="BA795" s="50"/>
    </row>
    <row r="796" spans="2:53">
      <c r="B796" s="446" t="str">
        <f>_xlfn.CONCAT(Tableau119[[#This Row],[Name ILN]],"-",Tableau119[[#This Row],[Name Shipper]],"-",Tableau119[[#This Row],[Name Site]])</f>
        <v>ILN Tanger-ILN Tanger-Curitiba CMO</v>
      </c>
      <c r="C796" s="66" t="str">
        <f>_xlfn.CONCAT(Tableau119[[#This Row],[Compte ILN]],"-",Tableau119[[#This Row],[Compte Shipper]],"-",Tableau119[[#This Row],[POL]],"-",Tableau119[[#This Row],[Compte Consignee]])</f>
        <v>92050300-92050300-MAPTM-90018600</v>
      </c>
      <c r="D796" s="66" t="str">
        <f>_xlfn.CONCAT(Tableau119[[#This Row],[Compte ILN]],"-",Tableau119[[#This Row],[Compte Shipper]],"-",Tableau119[[#This Row],[POL]])</f>
        <v>92050300-92050300-MAPTM</v>
      </c>
      <c r="E796" s="130" t="str">
        <f>_xlfn.CONCAT(Tableau119[[#This Row],[POL]],"-",Tableau119[[#This Row],[Carrier]],"-",Tableau119[[#This Row],[POD]])</f>
        <v>MAPTM-Maersk-BRPNG</v>
      </c>
      <c r="F796" s="66" t="str">
        <f>_xlfn.CONCAT(Tableau119[[#This Row],[ID]],"-","Actif")</f>
        <v>900-Actif</v>
      </c>
      <c r="G796" s="66" t="str">
        <f>_xlfn.CONCAT(Tableau119[[#This Row],[POD]],"-",Tableau119[[#This Row],[Code PFI]],"-",Tableau119[[#This Row],[Compte Consignee]])</f>
        <v>BRPNG---90018600</v>
      </c>
      <c r="H7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TangerMAPTMCuritiba CMO</v>
      </c>
      <c r="I796" s="434" t="str">
        <f>_xlfn.CONCAT(Tableau119[[#This Row],[ID]],"-",Tableau119[[#This Row],[Expiration Date]])</f>
        <v>900-45412</v>
      </c>
      <c r="J7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Tanger-ILN Tanger-900-MAPTM-Maersk-BRPNG--45412</v>
      </c>
      <c r="K796" s="119" t="str">
        <f ca="1">IF(COUNTIF(J:J,Tableau119[[#This Row],[Plant-ILN-shipper-POL-Carrier-POD-PFI]])=1,"Non","Oui")</f>
        <v>Non</v>
      </c>
      <c r="L796" s="128" t="str">
        <f>VLOOKUP(Tableau119[[#This Row],[Name Site]],Plant_AILN!A:D,4,FALSE)</f>
        <v>BRAZIL</v>
      </c>
      <c r="M796" s="411" t="s">
        <v>160</v>
      </c>
      <c r="N796" s="454">
        <f>VLOOKUP(Tableau119[[#This Row],[Name Site]],Plant_AILN!A:C,3,FALSE)</f>
        <v>90018600</v>
      </c>
      <c r="O796" s="55">
        <f>VLOOKUP(Tableau119[[#This Row],[Compte Consignee]],Order!C:D,2,FALSE)</f>
        <v>7</v>
      </c>
      <c r="P796" s="124" t="s">
        <v>161</v>
      </c>
      <c r="Q796" s="365">
        <f>VLOOKUP(Tableau119[[#This Row],[Name ILN]],Plant_AILN!F:G,2,FALSE)</f>
        <v>92050300</v>
      </c>
      <c r="R796" s="50">
        <f>VLOOKUP(Tableau119[[#This Row],[Compte ILN]],'DATA ILN'!D:I,6,FALSE)</f>
        <v>9</v>
      </c>
      <c r="S796" s="50">
        <f>IFERROR(VLOOKUP(Tableau119[[#This Row],[Key(Compte ILN - shipper - POL - plant)]],'DATA ILN'!A:J,10,FALSE),VLOOKUP(Tableau119[[#This Row],[Key(Compte ILN - shipper - POL)]],'DATA ILN'!B:J,9,FALSE))</f>
        <v>7</v>
      </c>
      <c r="T796" s="50">
        <f>IFERROR(VLOOKUP(Tableau119[[#This Row],[Key(Compte ILN - shipper - POL - plant)]],'DATA ILN'!A:K,11,FALSE),VLOOKUP(Tableau119[[#This Row],[Key(Compte ILN - shipper - POL)]],'DATA ILN'!B:K,10,FALSE))</f>
        <v>5</v>
      </c>
      <c r="U796" s="50">
        <f>IFERROR(VLOOKUP(Tableau119[[#This Row],[Key(Compte ILN - shipper - POL - plant)]],'DATA ILN'!A:L,12,FALSE),VLOOKUP(Tableau119[[#This Row],[Key(Compte ILN - shipper - POL)]],'DATA ILN'!B:L,11,FALSE))</f>
        <v>7</v>
      </c>
      <c r="V796" s="50">
        <f>Tableau119[[#This Row],[Day ILN Order]]+Tableau119[[#This Row],[Delivery time to ILN/Shipper]]-1</f>
        <v>15</v>
      </c>
      <c r="W796" s="50">
        <f>IFERROR(VLOOKUP(Tableau119[[#This Row],[Key(Compte ILN - shipper - POL - plant)]],'DATA ILN'!A:N,14,FALSE),VLOOKUP(Tableau119[[#This Row],[Key(Compte ILN - shipper - POL)]],'DATA ILN'!B:N,13,FALSE))</f>
        <v>3</v>
      </c>
      <c r="X796" s="50">
        <f>IFERROR(VLOOKUP(Tableau119[[#This Row],[Key(Compte ILN - shipper - POL - plant)]],'DATA ILN'!A:P,16,FALSE),VLOOKUP(Tableau119[[#This Row],[Key(Compte ILN - shipper - POL)]],'DATA ILN'!B:P,15,FALSE))</f>
        <v>4</v>
      </c>
      <c r="Y796" s="284" t="s">
        <v>161</v>
      </c>
      <c r="Z796" s="430">
        <f>IFERROR(VLOOKUP(Tableau119[[#This Row],[Name Shipper]],Plant_AILN!L:M,2,FALSE),0)</f>
        <v>92050300</v>
      </c>
      <c r="AA796" s="406">
        <v>900</v>
      </c>
      <c r="AB796" s="396" t="str">
        <f>_xlfn.XLOOKUP(Tableau119[[#This Row],[Key(ID-date)]],'DATA BTO'!S:S,'DATA BTO'!E:E,FALSE)</f>
        <v>MAPTM</v>
      </c>
      <c r="AC796" s="3" t="str">
        <f>_xlfn.XLOOKUP(Tableau119[[#This Row],[Key(ID-date)]],'DATA BTO'!S:S,'DATA BTO'!F:F,FALSE)</f>
        <v>Maersk</v>
      </c>
      <c r="AD796" s="50">
        <f>_xlfn.XLOOKUP(Tableau119[[#This Row],[Key(ID-date)]],'DATA BTO'!S:S,'DATA BTO'!G:G,FALSE)</f>
        <v>3</v>
      </c>
      <c r="AE796" s="50">
        <f>_xlfn.XLOOKUP(Tableau119[[#This Row],[Key(ID-date)]],'DATA BTO'!S:S,'DATA BTO'!H:H,FALSE)</f>
        <v>6</v>
      </c>
      <c r="AF796" s="447">
        <f>IF(Tableau119[[#This Row],[First Day to POL]]&lt;=Tableau119[[#This Row],[Day Cut Off]],Tableau119[[#This Row],[Day ETD]],Tableau119[[#This Row],[Day ETD]]+7)</f>
        <v>13</v>
      </c>
      <c r="AG796" s="50">
        <f>_xlfn.XLOOKUP(Tableau119[[#This Row],[Key(ID-date)]],'DATA BTO'!S:S,'DATA BTO'!I:I,FALSE)</f>
        <v>19</v>
      </c>
      <c r="AH796" s="3" t="str">
        <f>_xlfn.XLOOKUP(Tableau119[[#This Row],[Key(ID-date)]],'DATA BTO'!S:S,'DATA BTO'!J:J,FALSE)</f>
        <v>BRPNG</v>
      </c>
      <c r="AI796" s="3">
        <f>_xlfn.XLOOKUP(Tableau119[[#This Row],[Key(ID-date)]],'DATA BTO'!S:S,'DATA BTO'!K:K,FALSE)</f>
        <v>3</v>
      </c>
      <c r="AJ796" s="50">
        <f>_xlfn.XLOOKUP(Tableau119[[#This Row],[Key(ID-date)]],'DATA BTO'!S:S,'DATA BTO'!L:L,FALSE)</f>
        <v>0</v>
      </c>
      <c r="AK796" s="53" t="str">
        <f>_xlfn.XLOOKUP(Tableau119[[#This Row],[Key(ID-date)]],'DATA BTO'!S:S,'DATA BTO'!N:N,FALSE)</f>
        <v>Julien</v>
      </c>
      <c r="AL796" s="54">
        <f>VLOOKUP(Tableau119[[#This Row],[Key(POD -PFI- Usine)]],'DATA Consignee'!A:F,6,FALSE)</f>
        <v>2</v>
      </c>
      <c r="AM796" s="284"/>
      <c r="AN796" s="376" t="str">
        <f>IF(Tableau119[[#This Row],[Name PFI/CDD]]="","-",VLOOKUP(Tableau119[[#This Row],[Name PFI/CDD]],Plant_AILN!I:J,2,FALSE))</f>
        <v>-</v>
      </c>
      <c r="AO79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6" s="2">
        <f>VLOOKUP(Tableau119[[#This Row],[Key(POD -PFI- Usine)]],'DATA Consignee'!A:J,10,FALSE)</f>
        <v>0</v>
      </c>
      <c r="AR796" s="50">
        <f>VLOOKUP(Tableau119[[#This Row],[Key(POD -PFI- Usine)]],'DATA Consignee'!A:N,14,FALSE)</f>
        <v>2</v>
      </c>
      <c r="AS79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79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96" s="50">
        <f>Tableau119[[#This Row],[Transit time]]+Tableau119[[#This Row],[Time for security]]+Tableau119[[#This Row],[Time for security2 buffer]]</f>
        <v>22</v>
      </c>
      <c r="AV79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48</v>
      </c>
      <c r="AW796" s="50">
        <f>Tableau119[[#This Row],[Leadtime SI2C]]+Tableau119[[#This Row],[First Receipt Days]]-Tableau119[[#This Row],[Day Customer Order]]+1</f>
        <v>57</v>
      </c>
      <c r="AX796" s="119">
        <f>IF(Tableau119[[#This Row],[Name ILN]]&lt;&gt;"SFK Freight Forwarder",Tableau119[[#This Row],[Cust. Leadtime]],Tableau119[[#This Row],[Leadtime SI2C]])</f>
        <v>57</v>
      </c>
      <c r="AY796" s="51" t="str">
        <f>_xlfn.XLOOKUP(Tableau119[[#This Row],[Key(ID-date)]],'DATA BTO'!S:S,'DATA BTO'!P:P,FALSE)</f>
        <v>Renault &gt; Horse BPH</v>
      </c>
      <c r="AZ796" s="338">
        <v>45412</v>
      </c>
      <c r="BA796" s="50"/>
    </row>
    <row r="797" spans="2:53">
      <c r="B797" s="66" t="str">
        <f>_xlfn.CONCAT(Tableau119[[#This Row],[Name ILN]],"-",Tableau119[[#This Row],[Name Shipper]],"-",Tableau119[[#This Row],[Name Site]])</f>
        <v>ILN Curitiba-ILN Curitiba-DACIA MECA</v>
      </c>
      <c r="C797" s="66" t="str">
        <f>_xlfn.CONCAT(Tableau119[[#This Row],[Compte ILN]],"-",Tableau119[[#This Row],[Compte Shipper]],"-",Tableau119[[#This Row],[POL]],"-",Tableau119[[#This Row],[Compte Consignee]])</f>
        <v>95207-95207-BRPNG-90012500</v>
      </c>
      <c r="D797" s="66" t="str">
        <f>_xlfn.CONCAT(Tableau119[[#This Row],[Compte ILN]],"-",Tableau119[[#This Row],[Compte Shipper]],"-",Tableau119[[#This Row],[POL]])</f>
        <v>95207-95207-BRPNG</v>
      </c>
      <c r="E797" s="130" t="str">
        <f>_xlfn.CONCAT(Tableau119[[#This Row],[POL]],"-",Tableau119[[#This Row],[Carrier]],"-",Tableau119[[#This Row],[POD]])</f>
        <v>BRPNG-CMA-CGM-ROCND</v>
      </c>
      <c r="F797" s="66" t="str">
        <f>_xlfn.CONCAT(Tableau119[[#This Row],[ID]],"-","Actif")</f>
        <v>901-Actif</v>
      </c>
      <c r="G797" s="66" t="str">
        <f>_xlfn.CONCAT(Tableau119[[#This Row],[POD]],"-",Tableau119[[#This Row],[Code PFI]],"-",Tableau119[[#This Row],[Compte Consignee]])</f>
        <v>ROCND-2839004-90012500</v>
      </c>
      <c r="H7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CuritibaBRPNGDACIA MECA</v>
      </c>
      <c r="I797" s="434" t="str">
        <f>_xlfn.CONCAT(Tableau119[[#This Row],[ID]],"-",Tableau119[[#This Row],[Expiration Date]])</f>
        <v>901-46142</v>
      </c>
      <c r="J7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Curitiba-ILN Curitiba-901-BRPNG-CMA-CGM-ROCND-Magasin Dacia-46142</v>
      </c>
      <c r="K797" s="119" t="str">
        <f ca="1">IF(COUNTIF(J:J,Tableau119[[#This Row],[Plant-ILN-shipper-POL-Carrier-POD-PFI]])=1,"Non","Oui")</f>
        <v>Non</v>
      </c>
      <c r="L797" s="436" t="str">
        <f>VLOOKUP(Tableau119[[#This Row],[Name Site]],Plant_AILN!A:D,4,FALSE)</f>
        <v>ROMANIA</v>
      </c>
      <c r="M797" s="411" t="s">
        <v>162</v>
      </c>
      <c r="N797" s="454">
        <f>VLOOKUP(Tableau119[[#This Row],[Name Site]],Plant_AILN!A:C,3,FALSE)</f>
        <v>90012500</v>
      </c>
      <c r="O797" s="55">
        <f>IF(Tableau119[[#This Row],[Name PFI/CDD]]="PFI VLL",2,VLOOKUP(Tableau119[[#This Row],[Compte Consignee]],Order!C:D,2,FALSE))</f>
        <v>7</v>
      </c>
      <c r="P797" s="124" t="s">
        <v>163</v>
      </c>
      <c r="Q797" s="365">
        <f>VLOOKUP(Tableau119[[#This Row],[Name ILN]],Plant_AILN!F:G,2,FALSE)</f>
        <v>95207</v>
      </c>
      <c r="R797" s="50">
        <f>VLOOKUP(Tableau119[[#This Row],[Compte ILN]],'DATA ILN'!D:I,6,FALSE)</f>
        <v>9</v>
      </c>
      <c r="S797" s="50">
        <f>IFERROR(VLOOKUP(Tableau119[[#This Row],[Key(Compte ILN - shipper - POL - plant)]],'DATA ILN'!A:J,10,FALSE),VLOOKUP(Tableau119[[#This Row],[Key(Compte ILN - shipper - POL)]],'DATA ILN'!B:J,9,FALSE))</f>
        <v>7</v>
      </c>
      <c r="T797" s="50">
        <f>IFERROR(VLOOKUP(Tableau119[[#This Row],[Key(Compte ILN - shipper - POL - plant)]],'DATA ILN'!A:K,11,FALSE),VLOOKUP(Tableau119[[#This Row],[Key(Compte ILN - shipper - POL)]],'DATA ILN'!B:K,10,FALSE))</f>
        <v>5</v>
      </c>
      <c r="U797" s="50">
        <f>IFERROR(VLOOKUP(Tableau119[[#This Row],[Key(Compte ILN - shipper - POL - plant)]],'DATA ILN'!A:L,12,FALSE),VLOOKUP(Tableau119[[#This Row],[Key(Compte ILN - shipper - POL)]],'DATA ILN'!B:L,11,FALSE))</f>
        <v>7</v>
      </c>
      <c r="V797" s="50">
        <f>Tableau119[[#This Row],[Day ILN Order]]+Tableau119[[#This Row],[Delivery time to ILN/Shipper]]-1</f>
        <v>15</v>
      </c>
      <c r="W797" s="50">
        <f>IFERROR(VLOOKUP(Tableau119[[#This Row],[Key(Compte ILN - shipper - POL - plant)]],'DATA ILN'!A:N,14,FALSE),VLOOKUP(Tableau119[[#This Row],[Key(Compte ILN - shipper - POL)]],'DATA ILN'!B:N,13,FALSE))</f>
        <v>4</v>
      </c>
      <c r="X797" s="50">
        <f>IFERROR(VLOOKUP(Tableau119[[#This Row],[Key(Compte ILN - shipper - POL - plant)]],'DATA ILN'!A:P,16,FALSE),VLOOKUP(Tableau119[[#This Row],[Key(Compte ILN - shipper - POL)]],'DATA ILN'!B:P,15,FALSE))</f>
        <v>5</v>
      </c>
      <c r="Y797" s="284" t="s">
        <v>163</v>
      </c>
      <c r="Z797" s="430">
        <f>IFERROR(VLOOKUP(Tableau119[[#This Row],[Name Shipper]],Plant_AILN!L:M,2,FALSE),0)</f>
        <v>95207</v>
      </c>
      <c r="AA797" s="406">
        <v>901</v>
      </c>
      <c r="AB797" s="396" t="str">
        <f>_xlfn.XLOOKUP(Tableau119[[#This Row],[Key(ID-date)]],'DATA BTO'!S:S,'DATA BTO'!E:E,FALSE)</f>
        <v>BRPNG</v>
      </c>
      <c r="AC797" s="3" t="str">
        <f>_xlfn.XLOOKUP(Tableau119[[#This Row],[Key(ID-date)]],'DATA BTO'!S:S,'DATA BTO'!F:F,FALSE)</f>
        <v>CMA-CGM</v>
      </c>
      <c r="AD797" s="50">
        <f>_xlfn.XLOOKUP(Tableau119[[#This Row],[Key(ID-date)]],'DATA BTO'!S:S,'DATA BTO'!G:G,FALSE)</f>
        <v>4</v>
      </c>
      <c r="AE797" s="50">
        <f>_xlfn.XLOOKUP(Tableau119[[#This Row],[Key(ID-date)]],'DATA BTO'!S:S,'DATA BTO'!H:H,FALSE)</f>
        <v>6</v>
      </c>
      <c r="AF797" s="447">
        <f>IF(Tableau119[[#This Row],[First Day to POL]]&lt;=Tableau119[[#This Row],[Day Cut Off]],Tableau119[[#This Row],[Day ETD]],Tableau119[[#This Row],[Day ETD]]+7)</f>
        <v>13</v>
      </c>
      <c r="AG797" s="50">
        <f>_xlfn.XLOOKUP(Tableau119[[#This Row],[Key(ID-date)]],'DATA BTO'!S:S,'DATA BTO'!I:I,FALSE)</f>
        <v>43</v>
      </c>
      <c r="AH797" s="3" t="str">
        <f>_xlfn.XLOOKUP(Tableau119[[#This Row],[Key(ID-date)]],'DATA BTO'!S:S,'DATA BTO'!J:J,FALSE)</f>
        <v>ROCND</v>
      </c>
      <c r="AI797" s="3">
        <f>_xlfn.XLOOKUP(Tableau119[[#This Row],[Key(ID-date)]],'DATA BTO'!S:S,'DATA BTO'!K:K,FALSE)</f>
        <v>3</v>
      </c>
      <c r="AJ797" s="50">
        <f>_xlfn.XLOOKUP(Tableau119[[#This Row],[Key(ID-date)]],'DATA BTO'!S:S,'DATA BTO'!L:L,FALSE)</f>
        <v>0</v>
      </c>
      <c r="AK797" s="53" t="str">
        <f>_xlfn.XLOOKUP(Tableau119[[#This Row],[Key(ID-date)]],'DATA BTO'!S:S,'DATA BTO'!N:N,FALSE)</f>
        <v>Jocelyn</v>
      </c>
      <c r="AL797" s="54">
        <f>VLOOKUP(Tableau119[[#This Row],[Key(POD -PFI- Usine)]],'DATA Consignee'!A:F,6,FALSE)</f>
        <v>1</v>
      </c>
      <c r="AM797" s="284" t="s">
        <v>164</v>
      </c>
      <c r="AN797" s="376">
        <f>IF(Tableau119[[#This Row],[Name PFI/CDD]]="","-",VLOOKUP(Tableau119[[#This Row],[Name PFI/CDD]],Plant_AILN!I:J,2,FALSE))</f>
        <v>2839004</v>
      </c>
      <c r="AO79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7" s="2">
        <f>VLOOKUP(Tableau119[[#This Row],[Key(POD -PFI- Usine)]],'DATA Consignee'!A:J,10,FALSE)</f>
        <v>7</v>
      </c>
      <c r="AR797" s="50">
        <f>VLOOKUP(Tableau119[[#This Row],[Key(POD -PFI- Usine)]],'DATA Consignee'!A:N,14,FALSE)</f>
        <v>1</v>
      </c>
      <c r="AS79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79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97" s="50">
        <f>Tableau119[[#This Row],[Transit time]]+Tableau119[[#This Row],[Time for security]]+Tableau119[[#This Row],[Time for security2 buffer]]</f>
        <v>46</v>
      </c>
      <c r="AV79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97" s="50">
        <f>Tableau119[[#This Row],[Leadtime SI2C]]+Tableau119[[#This Row],[First Receipt Days]]-Tableau119[[#This Row],[Day Customer Order]]+1</f>
        <v>85</v>
      </c>
      <c r="AX797" s="119">
        <f>IF(Tableau119[[#This Row],[Name ILN]]&lt;&gt;"SFK Freight Forwarder",Tableau119[[#This Row],[Cust. Leadtime]],Tableau119[[#This Row],[Leadtime SI2C]])</f>
        <v>85</v>
      </c>
      <c r="AY797" s="51" t="str">
        <f>_xlfn.XLOOKUP(Tableau119[[#This Row],[Key(ID-date)]],'DATA BTO'!S:S,'DATA BTO'!P:P,FALSE)</f>
        <v>Renault &gt; Horse BPH</v>
      </c>
      <c r="AZ797" s="338">
        <v>46142</v>
      </c>
      <c r="BA797" s="50"/>
    </row>
    <row r="798" spans="2:53">
      <c r="B798" s="446" t="str">
        <f>_xlfn.CONCAT(Tableau119[[#This Row],[Name ILN]],"-",Tableau119[[#This Row],[Name Shipper]],"-",Tableau119[[#This Row],[Name Site]])</f>
        <v>ILN Curitiba-ILN Curitiba-DACIA MECA</v>
      </c>
      <c r="C798" s="66" t="str">
        <f>_xlfn.CONCAT(Tableau119[[#This Row],[Compte ILN]],"-",Tableau119[[#This Row],[Compte Shipper]],"-",Tableau119[[#This Row],[POL]],"-",Tableau119[[#This Row],[Compte Consignee]])</f>
        <v>95207-95207-BRPNG-90012500</v>
      </c>
      <c r="D798" s="66" t="str">
        <f>_xlfn.CONCAT(Tableau119[[#This Row],[Compte ILN]],"-",Tableau119[[#This Row],[Compte Shipper]],"-",Tableau119[[#This Row],[POL]])</f>
        <v>95207-95207-BRPNG</v>
      </c>
      <c r="E798" s="130" t="str">
        <f>_xlfn.CONCAT(Tableau119[[#This Row],[POL]],"-",Tableau119[[#This Row],[Carrier]],"-",Tableau119[[#This Row],[POD]])</f>
        <v>BRPNG-CMA-CGM-ROCND</v>
      </c>
      <c r="F798" s="66" t="str">
        <f>_xlfn.CONCAT(Tableau119[[#This Row],[ID]],"-","Actif")</f>
        <v>901-Actif</v>
      </c>
      <c r="G798" s="66" t="str">
        <f>_xlfn.CONCAT(Tableau119[[#This Row],[POD]],"-",Tableau119[[#This Row],[Code PFI]],"-",Tableau119[[#This Row],[Compte Consignee]])</f>
        <v>ROCND---90012500</v>
      </c>
      <c r="H7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CuritibaBRPNGDACIA MECA</v>
      </c>
      <c r="I798" s="434" t="str">
        <f>_xlfn.CONCAT(Tableau119[[#This Row],[ID]],"-",Tableau119[[#This Row],[Expiration Date]])</f>
        <v>901-45777</v>
      </c>
      <c r="J7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Curitiba-ILN Curitiba-901-BRPNG-CMA-CGM-ROCND--45777</v>
      </c>
      <c r="K798" s="119" t="str">
        <f ca="1">IF(COUNTIF(J:J,Tableau119[[#This Row],[Plant-ILN-shipper-POL-Carrier-POD-PFI]])=1,"Non","Oui")</f>
        <v>Non</v>
      </c>
      <c r="L798" s="128" t="str">
        <f>VLOOKUP(Tableau119[[#This Row],[Name Site]],Plant_AILN!A:D,4,FALSE)</f>
        <v>ROMANIA</v>
      </c>
      <c r="M798" s="411" t="s">
        <v>162</v>
      </c>
      <c r="N798" s="454">
        <f>VLOOKUP(Tableau119[[#This Row],[Name Site]],Plant_AILN!A:C,3,FALSE)</f>
        <v>90012500</v>
      </c>
      <c r="O798" s="55">
        <f>VLOOKUP(Tableau119[[#This Row],[Compte Consignee]],Order!C:D,2,FALSE)</f>
        <v>7</v>
      </c>
      <c r="P798" s="124" t="s">
        <v>163</v>
      </c>
      <c r="Q798" s="365">
        <f>VLOOKUP(Tableau119[[#This Row],[Name ILN]],Plant_AILN!F:G,2,FALSE)</f>
        <v>95207</v>
      </c>
      <c r="R798" s="50">
        <f>VLOOKUP(Tableau119[[#This Row],[Compte ILN]],'DATA ILN'!D:I,6,FALSE)</f>
        <v>9</v>
      </c>
      <c r="S798" s="50">
        <f>IFERROR(VLOOKUP(Tableau119[[#This Row],[Key(Compte ILN - shipper - POL - plant)]],'DATA ILN'!A:J,10,FALSE),VLOOKUP(Tableau119[[#This Row],[Key(Compte ILN - shipper - POL)]],'DATA ILN'!B:J,9,FALSE))</f>
        <v>7</v>
      </c>
      <c r="T798" s="50">
        <f>IFERROR(VLOOKUP(Tableau119[[#This Row],[Key(Compte ILN - shipper - POL - plant)]],'DATA ILN'!A:K,11,FALSE),VLOOKUP(Tableau119[[#This Row],[Key(Compte ILN - shipper - POL)]],'DATA ILN'!B:K,10,FALSE))</f>
        <v>5</v>
      </c>
      <c r="U798" s="50">
        <f>IFERROR(VLOOKUP(Tableau119[[#This Row],[Key(Compte ILN - shipper - POL - plant)]],'DATA ILN'!A:L,12,FALSE),VLOOKUP(Tableau119[[#This Row],[Key(Compte ILN - shipper - POL)]],'DATA ILN'!B:L,11,FALSE))</f>
        <v>7</v>
      </c>
      <c r="V798" s="50">
        <f>Tableau119[[#This Row],[Day ILN Order]]+Tableau119[[#This Row],[Delivery time to ILN/Shipper]]-1</f>
        <v>15</v>
      </c>
      <c r="W798" s="50">
        <f>IFERROR(VLOOKUP(Tableau119[[#This Row],[Key(Compte ILN - shipper - POL - plant)]],'DATA ILN'!A:N,14,FALSE),VLOOKUP(Tableau119[[#This Row],[Key(Compte ILN - shipper - POL)]],'DATA ILN'!B:N,13,FALSE))</f>
        <v>4</v>
      </c>
      <c r="X798" s="50">
        <f>IFERROR(VLOOKUP(Tableau119[[#This Row],[Key(Compte ILN - shipper - POL - plant)]],'DATA ILN'!A:P,16,FALSE),VLOOKUP(Tableau119[[#This Row],[Key(Compte ILN - shipper - POL)]],'DATA ILN'!B:P,15,FALSE))</f>
        <v>5</v>
      </c>
      <c r="Y798" s="284" t="s">
        <v>163</v>
      </c>
      <c r="Z798" s="430">
        <f>IFERROR(VLOOKUP(Tableau119[[#This Row],[Name Shipper]],Plant_AILN!L:M,2,FALSE),0)</f>
        <v>95207</v>
      </c>
      <c r="AA798" s="406">
        <v>901</v>
      </c>
      <c r="AB798" s="396" t="str">
        <f>_xlfn.XLOOKUP(Tableau119[[#This Row],[Key(ID-date)]],'DATA BTO'!S:S,'DATA BTO'!E:E,FALSE)</f>
        <v>BRPNG</v>
      </c>
      <c r="AC798" s="3" t="str">
        <f>_xlfn.XLOOKUP(Tableau119[[#This Row],[Key(ID-date)]],'DATA BTO'!S:S,'DATA BTO'!F:F,FALSE)</f>
        <v>CMA-CGM</v>
      </c>
      <c r="AD798" s="50">
        <f>_xlfn.XLOOKUP(Tableau119[[#This Row],[Key(ID-date)]],'DATA BTO'!S:S,'DATA BTO'!G:G,FALSE)</f>
        <v>4</v>
      </c>
      <c r="AE798" s="50">
        <f>_xlfn.XLOOKUP(Tableau119[[#This Row],[Key(ID-date)]],'DATA BTO'!S:S,'DATA BTO'!H:H,FALSE)</f>
        <v>6</v>
      </c>
      <c r="AF798" s="447">
        <f>IF(Tableau119[[#This Row],[First Day to POL]]&lt;=Tableau119[[#This Row],[Day Cut Off]],Tableau119[[#This Row],[Day ETD]],Tableau119[[#This Row],[Day ETD]]+7)</f>
        <v>13</v>
      </c>
      <c r="AG798" s="50">
        <f>_xlfn.XLOOKUP(Tableau119[[#This Row],[Key(ID-date)]],'DATA BTO'!S:S,'DATA BTO'!I:I,FALSE)</f>
        <v>43</v>
      </c>
      <c r="AH798" s="3" t="str">
        <f>_xlfn.XLOOKUP(Tableau119[[#This Row],[Key(ID-date)]],'DATA BTO'!S:S,'DATA BTO'!J:J,FALSE)</f>
        <v>ROCND</v>
      </c>
      <c r="AI798" s="3">
        <f>_xlfn.XLOOKUP(Tableau119[[#This Row],[Key(ID-date)]],'DATA BTO'!S:S,'DATA BTO'!K:K,FALSE)</f>
        <v>3</v>
      </c>
      <c r="AJ798" s="50">
        <f>_xlfn.XLOOKUP(Tableau119[[#This Row],[Key(ID-date)]],'DATA BTO'!S:S,'DATA BTO'!L:L,FALSE)</f>
        <v>0</v>
      </c>
      <c r="AK798" s="53" t="str">
        <f>_xlfn.XLOOKUP(Tableau119[[#This Row],[Key(ID-date)]],'DATA BTO'!S:S,'DATA BTO'!N:N,FALSE)</f>
        <v>Jocelyn</v>
      </c>
      <c r="AL798" s="54">
        <f>VLOOKUP(Tableau119[[#This Row],[Key(POD -PFI- Usine)]],'DATA Consignee'!A:F,6,FALSE)</f>
        <v>2</v>
      </c>
      <c r="AM798" s="284"/>
      <c r="AN798" s="376" t="str">
        <f>IF(Tableau119[[#This Row],[Name PFI/CDD]]="","-",VLOOKUP(Tableau119[[#This Row],[Name PFI/CDD]],Plant_AILN!I:J,2,FALSE))</f>
        <v>-</v>
      </c>
      <c r="AO79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8" s="2">
        <f>VLOOKUP(Tableau119[[#This Row],[Key(POD -PFI- Usine)]],'DATA Consignee'!A:J,10,FALSE)</f>
        <v>0</v>
      </c>
      <c r="AR798" s="50">
        <f>VLOOKUP(Tableau119[[#This Row],[Key(POD -PFI- Usine)]],'DATA Consignee'!A:N,14,FALSE)</f>
        <v>7</v>
      </c>
      <c r="AS79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79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98" s="50">
        <f>Tableau119[[#This Row],[Transit time]]+Tableau119[[#This Row],[Time for security]]+Tableau119[[#This Row],[Time for security2 buffer]]</f>
        <v>46</v>
      </c>
      <c r="AV79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798" s="50">
        <f>Tableau119[[#This Row],[Leadtime SI2C]]+Tableau119[[#This Row],[First Receipt Days]]-Tableau119[[#This Row],[Day Customer Order]]+1</f>
        <v>85</v>
      </c>
      <c r="AX798" s="119">
        <f>IF(Tableau119[[#This Row],[Name ILN]]&lt;&gt;"SFK Freight Forwarder",Tableau119[[#This Row],[Cust. Leadtime]],Tableau119[[#This Row],[Leadtime SI2C]])</f>
        <v>85</v>
      </c>
      <c r="AY798" s="51" t="str">
        <f>_xlfn.XLOOKUP(Tableau119[[#This Row],[Key(ID-date)]],'DATA BTO'!S:S,'DATA BTO'!P:P,FALSE)</f>
        <v>Renault &gt; Horse BPH</v>
      </c>
      <c r="AZ798" s="338">
        <v>45777</v>
      </c>
      <c r="BA798" s="50"/>
    </row>
    <row r="799" spans="2:53">
      <c r="B799" s="446" t="str">
        <f>_xlfn.CONCAT(Tableau119[[#This Row],[Name ILN]],"-",Tableau119[[#This Row],[Name Shipper]],"-",Tableau119[[#This Row],[Name Site]])</f>
        <v>ILN Curitiba-ILN Curitiba-DACIA MECA</v>
      </c>
      <c r="C799" s="66" t="str">
        <f>_xlfn.CONCAT(Tableau119[[#This Row],[Compte ILN]],"-",Tableau119[[#This Row],[Compte Shipper]],"-",Tableau119[[#This Row],[POL]],"-",Tableau119[[#This Row],[Compte Consignee]])</f>
        <v>95207-95207-BRPNG-90012500</v>
      </c>
      <c r="D799" s="66" t="str">
        <f>_xlfn.CONCAT(Tableau119[[#This Row],[Compte ILN]],"-",Tableau119[[#This Row],[Compte Shipper]],"-",Tableau119[[#This Row],[POL]])</f>
        <v>95207-95207-BRPNG</v>
      </c>
      <c r="E799" s="130" t="str">
        <f>_xlfn.CONCAT(Tableau119[[#This Row],[POL]],"-",Tableau119[[#This Row],[Carrier]],"-",Tableau119[[#This Row],[POD]])</f>
        <v>BRPNG-CMA-CGM-ROCND</v>
      </c>
      <c r="F799" s="66" t="str">
        <f>_xlfn.CONCAT(Tableau119[[#This Row],[ID]],"-","Actif")</f>
        <v>901-Actif</v>
      </c>
      <c r="G799" s="66" t="str">
        <f>_xlfn.CONCAT(Tableau119[[#This Row],[POD]],"-",Tableau119[[#This Row],[Code PFI]],"-",Tableau119[[#This Row],[Compte Consignee]])</f>
        <v>ROCND---90012500</v>
      </c>
      <c r="H7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CuritibaBRPNGDACIA MECA</v>
      </c>
      <c r="I799" s="434" t="str">
        <f>_xlfn.CONCAT(Tableau119[[#This Row],[ID]],"-",Tableau119[[#This Row],[Expiration Date]])</f>
        <v>901-45473</v>
      </c>
      <c r="J7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Curitiba-ILN Curitiba-901-BRPNG-CMA-CGM-ROCND--45473</v>
      </c>
      <c r="K799" s="119" t="str">
        <f ca="1">IF(COUNTIF(J:J,Tableau119[[#This Row],[Plant-ILN-shipper-POL-Carrier-POD-PFI]])=1,"Non","Oui")</f>
        <v>Non</v>
      </c>
      <c r="L799" s="128" t="str">
        <f>VLOOKUP(Tableau119[[#This Row],[Name Site]],Plant_AILN!A:D,4,FALSE)</f>
        <v>ROMANIA</v>
      </c>
      <c r="M799" s="411" t="s">
        <v>162</v>
      </c>
      <c r="N799" s="454">
        <f>VLOOKUP(Tableau119[[#This Row],[Name Site]],Plant_AILN!A:C,3,FALSE)</f>
        <v>90012500</v>
      </c>
      <c r="O799" s="55">
        <f>VLOOKUP(Tableau119[[#This Row],[Compte Consignee]],Order!C:D,2,FALSE)</f>
        <v>7</v>
      </c>
      <c r="P799" s="124" t="s">
        <v>163</v>
      </c>
      <c r="Q799" s="365">
        <f>VLOOKUP(Tableau119[[#This Row],[Name ILN]],Plant_AILN!F:G,2,FALSE)</f>
        <v>95207</v>
      </c>
      <c r="R799" s="50">
        <f>VLOOKUP(Tableau119[[#This Row],[Compte ILN]],'DATA ILN'!D:I,6,FALSE)</f>
        <v>9</v>
      </c>
      <c r="S799" s="50">
        <f>IFERROR(VLOOKUP(Tableau119[[#This Row],[Key(Compte ILN - shipper - POL - plant)]],'DATA ILN'!A:J,10,FALSE),VLOOKUP(Tableau119[[#This Row],[Key(Compte ILN - shipper - POL)]],'DATA ILN'!B:J,9,FALSE))</f>
        <v>7</v>
      </c>
      <c r="T799" s="50">
        <f>IFERROR(VLOOKUP(Tableau119[[#This Row],[Key(Compte ILN - shipper - POL - plant)]],'DATA ILN'!A:K,11,FALSE),VLOOKUP(Tableau119[[#This Row],[Key(Compte ILN - shipper - POL)]],'DATA ILN'!B:K,10,FALSE))</f>
        <v>5</v>
      </c>
      <c r="U799" s="50">
        <f>IFERROR(VLOOKUP(Tableau119[[#This Row],[Key(Compte ILN - shipper - POL - plant)]],'DATA ILN'!A:L,12,FALSE),VLOOKUP(Tableau119[[#This Row],[Key(Compte ILN - shipper - POL)]],'DATA ILN'!B:L,11,FALSE))</f>
        <v>7</v>
      </c>
      <c r="V799" s="50">
        <f>Tableau119[[#This Row],[Day ILN Order]]+Tableau119[[#This Row],[Delivery time to ILN/Shipper]]-1</f>
        <v>15</v>
      </c>
      <c r="W799" s="50">
        <f>IFERROR(VLOOKUP(Tableau119[[#This Row],[Key(Compte ILN - shipper - POL - plant)]],'DATA ILN'!A:N,14,FALSE),VLOOKUP(Tableau119[[#This Row],[Key(Compte ILN - shipper - POL)]],'DATA ILN'!B:N,13,FALSE))</f>
        <v>4</v>
      </c>
      <c r="X799" s="50">
        <f>IFERROR(VLOOKUP(Tableau119[[#This Row],[Key(Compte ILN - shipper - POL - plant)]],'DATA ILN'!A:P,16,FALSE),VLOOKUP(Tableau119[[#This Row],[Key(Compte ILN - shipper - POL)]],'DATA ILN'!B:P,15,FALSE))</f>
        <v>5</v>
      </c>
      <c r="Y799" s="284" t="s">
        <v>163</v>
      </c>
      <c r="Z799" s="430">
        <f>IFERROR(VLOOKUP(Tableau119[[#This Row],[Name Shipper]],Plant_AILN!L:M,2,FALSE),0)</f>
        <v>95207</v>
      </c>
      <c r="AA799" s="406">
        <v>901</v>
      </c>
      <c r="AB799" s="396" t="str">
        <f>_xlfn.XLOOKUP(Tableau119[[#This Row],[Key(ID-date)]],'DATA BTO'!S:S,'DATA BTO'!E:E,FALSE)</f>
        <v>BRPNG</v>
      </c>
      <c r="AC799" s="3" t="str">
        <f>_xlfn.XLOOKUP(Tableau119[[#This Row],[Key(ID-date)]],'DATA BTO'!S:S,'DATA BTO'!F:F,FALSE)</f>
        <v>CMA-CGM</v>
      </c>
      <c r="AD799" s="50">
        <f>_xlfn.XLOOKUP(Tableau119[[#This Row],[Key(ID-date)]],'DATA BTO'!S:S,'DATA BTO'!G:G,FALSE)</f>
        <v>4</v>
      </c>
      <c r="AE799" s="50">
        <f>_xlfn.XLOOKUP(Tableau119[[#This Row],[Key(ID-date)]],'DATA BTO'!S:S,'DATA BTO'!H:H,FALSE)</f>
        <v>6</v>
      </c>
      <c r="AF799" s="447">
        <f>IF(Tableau119[[#This Row],[First Day to POL]]&lt;=Tableau119[[#This Row],[Day Cut Off]],Tableau119[[#This Row],[Day ETD]],Tableau119[[#This Row],[Day ETD]]+7)</f>
        <v>13</v>
      </c>
      <c r="AG799" s="50">
        <f>_xlfn.XLOOKUP(Tableau119[[#This Row],[Key(ID-date)]],'DATA BTO'!S:S,'DATA BTO'!I:I,FALSE)</f>
        <v>31</v>
      </c>
      <c r="AH799" s="3" t="str">
        <f>_xlfn.XLOOKUP(Tableau119[[#This Row],[Key(ID-date)]],'DATA BTO'!S:S,'DATA BTO'!J:J,FALSE)</f>
        <v>ROCND</v>
      </c>
      <c r="AI799" s="3">
        <f>_xlfn.XLOOKUP(Tableau119[[#This Row],[Key(ID-date)]],'DATA BTO'!S:S,'DATA BTO'!K:K,FALSE)</f>
        <v>3</v>
      </c>
      <c r="AJ799" s="50">
        <f>_xlfn.XLOOKUP(Tableau119[[#This Row],[Key(ID-date)]],'DATA BTO'!S:S,'DATA BTO'!L:L,FALSE)</f>
        <v>0</v>
      </c>
      <c r="AK799" s="53" t="str">
        <f>_xlfn.XLOOKUP(Tableau119[[#This Row],[Key(ID-date)]],'DATA BTO'!S:S,'DATA BTO'!N:N,FALSE)</f>
        <v>Jocelyn</v>
      </c>
      <c r="AL799" s="54">
        <f>VLOOKUP(Tableau119[[#This Row],[Key(POD -PFI- Usine)]],'DATA Consignee'!A:F,6,FALSE)</f>
        <v>2</v>
      </c>
      <c r="AM799" s="284"/>
      <c r="AN799" s="376" t="str">
        <f>IF(Tableau119[[#This Row],[Name PFI/CDD]]="","-",VLOOKUP(Tableau119[[#This Row],[Name PFI/CDD]],Plant_AILN!I:J,2,FALSE))</f>
        <v>-</v>
      </c>
      <c r="AO79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79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799" s="2">
        <f>VLOOKUP(Tableau119[[#This Row],[Key(POD -PFI- Usine)]],'DATA Consignee'!A:J,10,FALSE)</f>
        <v>0</v>
      </c>
      <c r="AR799" s="50">
        <f>VLOOKUP(Tableau119[[#This Row],[Key(POD -PFI- Usine)]],'DATA Consignee'!A:N,14,FALSE)</f>
        <v>7</v>
      </c>
      <c r="AS79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79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799" s="50">
        <f>Tableau119[[#This Row],[Transit time]]+Tableau119[[#This Row],[Time for security]]+Tableau119[[#This Row],[Time for security2 buffer]]</f>
        <v>34</v>
      </c>
      <c r="AV79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799" s="50">
        <f>Tableau119[[#This Row],[Leadtime SI2C]]+Tableau119[[#This Row],[First Receipt Days]]-Tableau119[[#This Row],[Day Customer Order]]+1</f>
        <v>71</v>
      </c>
      <c r="AX799" s="119">
        <f>IF(Tableau119[[#This Row],[Name ILN]]&lt;&gt;"SFK Freight Forwarder",Tableau119[[#This Row],[Cust. Leadtime]],Tableau119[[#This Row],[Leadtime SI2C]])</f>
        <v>71</v>
      </c>
      <c r="AY799" s="51" t="str">
        <f>_xlfn.XLOOKUP(Tableau119[[#This Row],[Key(ID-date)]],'DATA BTO'!S:S,'DATA BTO'!P:P,FALSE)</f>
        <v>Renault &gt; Horse BPH</v>
      </c>
      <c r="AZ799" s="338">
        <v>45473</v>
      </c>
      <c r="BA799" s="50"/>
    </row>
    <row r="800" spans="2:53">
      <c r="B800" s="446" t="str">
        <f>_xlfn.CONCAT(Tableau119[[#This Row],[Name ILN]],"-",Tableau119[[#This Row],[Name Shipper]],"-",Tableau119[[#This Row],[Name Site]])</f>
        <v>ILN Curitiba-ILN Curitiba-DACIA MECA</v>
      </c>
      <c r="C800" s="66" t="str">
        <f>_xlfn.CONCAT(Tableau119[[#This Row],[Compte ILN]],"-",Tableau119[[#This Row],[Compte Shipper]],"-",Tableau119[[#This Row],[POL]],"-",Tableau119[[#This Row],[Compte Consignee]])</f>
        <v>95207-95207-BRPNG-90012500</v>
      </c>
      <c r="D800" s="66" t="str">
        <f>_xlfn.CONCAT(Tableau119[[#This Row],[Compte ILN]],"-",Tableau119[[#This Row],[Compte Shipper]],"-",Tableau119[[#This Row],[POL]])</f>
        <v>95207-95207-BRPNG</v>
      </c>
      <c r="E800" s="130" t="str">
        <f>_xlfn.CONCAT(Tableau119[[#This Row],[POL]],"-",Tableau119[[#This Row],[Carrier]],"-",Tableau119[[#This Row],[POD]])</f>
        <v>BRPNG-CMA-CGM-ROCND</v>
      </c>
      <c r="F800" s="66" t="str">
        <f>_xlfn.CONCAT(Tableau119[[#This Row],[ID]],"-","Actif")</f>
        <v>901-Actif</v>
      </c>
      <c r="G800" s="66" t="str">
        <f>_xlfn.CONCAT(Tableau119[[#This Row],[POD]],"-",Tableau119[[#This Row],[Code PFI]],"-",Tableau119[[#This Row],[Compte Consignee]])</f>
        <v>ROCND---90012500</v>
      </c>
      <c r="H8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CuritibaBRPNGDACIA MECA</v>
      </c>
      <c r="I800" s="434" t="str">
        <f>_xlfn.CONCAT(Tableau119[[#This Row],[ID]],"-",Tableau119[[#This Row],[Expiration Date]])</f>
        <v>901-45412</v>
      </c>
      <c r="J8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Curitiba-ILN Curitiba-901-BRPNG-CMA-CGM-ROCND--45412</v>
      </c>
      <c r="K800" s="119" t="str">
        <f ca="1">IF(COUNTIF(J:J,Tableau119[[#This Row],[Plant-ILN-shipper-POL-Carrier-POD-PFI]])=1,"Non","Oui")</f>
        <v>Non</v>
      </c>
      <c r="L800" s="128" t="str">
        <f>VLOOKUP(Tableau119[[#This Row],[Name Site]],Plant_AILN!A:D,4,FALSE)</f>
        <v>ROMANIA</v>
      </c>
      <c r="M800" s="411" t="s">
        <v>162</v>
      </c>
      <c r="N800" s="454">
        <f>VLOOKUP(Tableau119[[#This Row],[Name Site]],Plant_AILN!A:C,3,FALSE)</f>
        <v>90012500</v>
      </c>
      <c r="O800" s="55">
        <f>VLOOKUP(Tableau119[[#This Row],[Compte Consignee]],Order!C:D,2,FALSE)</f>
        <v>7</v>
      </c>
      <c r="P800" s="124" t="s">
        <v>163</v>
      </c>
      <c r="Q800" s="365">
        <f>VLOOKUP(Tableau119[[#This Row],[Name ILN]],Plant_AILN!F:G,2,FALSE)</f>
        <v>95207</v>
      </c>
      <c r="R800" s="50">
        <f>VLOOKUP(Tableau119[[#This Row],[Compte ILN]],'DATA ILN'!D:I,6,FALSE)</f>
        <v>9</v>
      </c>
      <c r="S800" s="50">
        <f>IFERROR(VLOOKUP(Tableau119[[#This Row],[Key(Compte ILN - shipper - POL - plant)]],'DATA ILN'!A:J,10,FALSE),VLOOKUP(Tableau119[[#This Row],[Key(Compte ILN - shipper - POL)]],'DATA ILN'!B:J,9,FALSE))</f>
        <v>7</v>
      </c>
      <c r="T800" s="50">
        <f>IFERROR(VLOOKUP(Tableau119[[#This Row],[Key(Compte ILN - shipper - POL - plant)]],'DATA ILN'!A:K,11,FALSE),VLOOKUP(Tableau119[[#This Row],[Key(Compte ILN - shipper - POL)]],'DATA ILN'!B:K,10,FALSE))</f>
        <v>5</v>
      </c>
      <c r="U800" s="50">
        <f>IFERROR(VLOOKUP(Tableau119[[#This Row],[Key(Compte ILN - shipper - POL - plant)]],'DATA ILN'!A:L,12,FALSE),VLOOKUP(Tableau119[[#This Row],[Key(Compte ILN - shipper - POL)]],'DATA ILN'!B:L,11,FALSE))</f>
        <v>7</v>
      </c>
      <c r="V800" s="50">
        <f>Tableau119[[#This Row],[Day ILN Order]]+Tableau119[[#This Row],[Delivery time to ILN/Shipper]]-1</f>
        <v>15</v>
      </c>
      <c r="W800" s="50">
        <f>IFERROR(VLOOKUP(Tableau119[[#This Row],[Key(Compte ILN - shipper - POL - plant)]],'DATA ILN'!A:N,14,FALSE),VLOOKUP(Tableau119[[#This Row],[Key(Compte ILN - shipper - POL)]],'DATA ILN'!B:N,13,FALSE))</f>
        <v>4</v>
      </c>
      <c r="X800" s="50">
        <f>IFERROR(VLOOKUP(Tableau119[[#This Row],[Key(Compte ILN - shipper - POL - plant)]],'DATA ILN'!A:P,16,FALSE),VLOOKUP(Tableau119[[#This Row],[Key(Compte ILN - shipper - POL)]],'DATA ILN'!B:P,15,FALSE))</f>
        <v>5</v>
      </c>
      <c r="Y800" s="284" t="s">
        <v>163</v>
      </c>
      <c r="Z800" s="430">
        <f>IFERROR(VLOOKUP(Tableau119[[#This Row],[Name Shipper]],Plant_AILN!L:M,2,FALSE),0)</f>
        <v>95207</v>
      </c>
      <c r="AA800" s="406">
        <v>901</v>
      </c>
      <c r="AB800" s="396" t="str">
        <f>_xlfn.XLOOKUP(Tableau119[[#This Row],[Key(ID-date)]],'DATA BTO'!S:S,'DATA BTO'!E:E,FALSE)</f>
        <v>BRPNG</v>
      </c>
      <c r="AC800" s="3" t="str">
        <f>_xlfn.XLOOKUP(Tableau119[[#This Row],[Key(ID-date)]],'DATA BTO'!S:S,'DATA BTO'!F:F,FALSE)</f>
        <v>CMA-CGM</v>
      </c>
      <c r="AD800" s="50">
        <f>_xlfn.XLOOKUP(Tableau119[[#This Row],[Key(ID-date)]],'DATA BTO'!S:S,'DATA BTO'!G:G,FALSE)</f>
        <v>2</v>
      </c>
      <c r="AE800" s="50">
        <f>_xlfn.XLOOKUP(Tableau119[[#This Row],[Key(ID-date)]],'DATA BTO'!S:S,'DATA BTO'!H:H,FALSE)</f>
        <v>4</v>
      </c>
      <c r="AF800" s="447">
        <f>IF(Tableau119[[#This Row],[First Day to POL]]&lt;=Tableau119[[#This Row],[Day Cut Off]],Tableau119[[#This Row],[Day ETD]],Tableau119[[#This Row],[Day ETD]]+7)</f>
        <v>11</v>
      </c>
      <c r="AG800" s="50">
        <f>_xlfn.XLOOKUP(Tableau119[[#This Row],[Key(ID-date)]],'DATA BTO'!S:S,'DATA BTO'!I:I,FALSE)</f>
        <v>43</v>
      </c>
      <c r="AH800" s="3" t="str">
        <f>_xlfn.XLOOKUP(Tableau119[[#This Row],[Key(ID-date)]],'DATA BTO'!S:S,'DATA BTO'!J:J,FALSE)</f>
        <v>ROCND</v>
      </c>
      <c r="AI800" s="3">
        <f>_xlfn.XLOOKUP(Tableau119[[#This Row],[Key(ID-date)]],'DATA BTO'!S:S,'DATA BTO'!K:K,FALSE)</f>
        <v>3</v>
      </c>
      <c r="AJ800" s="50">
        <f>_xlfn.XLOOKUP(Tableau119[[#This Row],[Key(ID-date)]],'DATA BTO'!S:S,'DATA BTO'!L:L,FALSE)</f>
        <v>0</v>
      </c>
      <c r="AK800" s="53" t="str">
        <f>_xlfn.XLOOKUP(Tableau119[[#This Row],[Key(ID-date)]],'DATA BTO'!S:S,'DATA BTO'!N:N,FALSE)</f>
        <v>Max</v>
      </c>
      <c r="AL800" s="54">
        <f>VLOOKUP(Tableau119[[#This Row],[Key(POD -PFI- Usine)]],'DATA Consignee'!A:F,6,FALSE)</f>
        <v>2</v>
      </c>
      <c r="AM800" s="284"/>
      <c r="AN800" s="376" t="str">
        <f>IF(Tableau119[[#This Row],[Name PFI/CDD]]="","-",VLOOKUP(Tableau119[[#This Row],[Name PFI/CDD]],Plant_AILN!I:J,2,FALSE))</f>
        <v>-</v>
      </c>
      <c r="AO80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0" s="2">
        <f>VLOOKUP(Tableau119[[#This Row],[Key(POD -PFI- Usine)]],'DATA Consignee'!A:J,10,FALSE)</f>
        <v>0</v>
      </c>
      <c r="AR800" s="50">
        <f>VLOOKUP(Tableau119[[#This Row],[Key(POD -PFI- Usine)]],'DATA Consignee'!A:N,14,FALSE)</f>
        <v>7</v>
      </c>
      <c r="AS80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0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00" s="50">
        <f>Tableau119[[#This Row],[Transit time]]+Tableau119[[#This Row],[Time for security]]+Tableau119[[#This Row],[Time for security2 buffer]]</f>
        <v>46</v>
      </c>
      <c r="AV80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00" s="50">
        <f>Tableau119[[#This Row],[Leadtime SI2C]]+Tableau119[[#This Row],[First Receipt Days]]-Tableau119[[#This Row],[Day Customer Order]]+1</f>
        <v>85</v>
      </c>
      <c r="AX800" s="119">
        <f>IF(Tableau119[[#This Row],[Name ILN]]&lt;&gt;"SFK Freight Forwarder",Tableau119[[#This Row],[Cust. Leadtime]],Tableau119[[#This Row],[Leadtime SI2C]])</f>
        <v>85</v>
      </c>
      <c r="AY800" s="51" t="str">
        <f>_xlfn.XLOOKUP(Tableau119[[#This Row],[Key(ID-date)]],'DATA BTO'!S:S,'DATA BTO'!P:P,FALSE)</f>
        <v>Renault &gt; Horse BPH</v>
      </c>
      <c r="AZ800" s="338">
        <v>45412</v>
      </c>
      <c r="BA800" s="50"/>
    </row>
    <row r="801" spans="2:53">
      <c r="B801" s="66" t="str">
        <f>_xlfn.CONCAT(Tableau119[[#This Row],[Name ILN]],"-",Tableau119[[#This Row],[Name Shipper]],"-",Tableau119[[#This Row],[Name Site]])</f>
        <v>ILN Busan-ILN Busan-DACIA MECA</v>
      </c>
      <c r="C801" s="66" t="str">
        <f>_xlfn.CONCAT(Tableau119[[#This Row],[Compte ILN]],"-",Tableau119[[#This Row],[Compte Shipper]],"-",Tableau119[[#This Row],[POL]],"-",Tableau119[[#This Row],[Compte Consignee]])</f>
        <v>95436-95436-FALSO-90012500</v>
      </c>
      <c r="D801" s="66" t="str">
        <f>_xlfn.CONCAT(Tableau119[[#This Row],[Compte ILN]],"-",Tableau119[[#This Row],[Compte Shipper]],"-",Tableau119[[#This Row],[POL]])</f>
        <v>95436-95436-FALSO</v>
      </c>
      <c r="E801" s="130" t="str">
        <f>_xlfn.CONCAT(Tableau119[[#This Row],[POL]],"-",Tableau119[[#This Row],[Carrier]],"-",Tableau119[[#This Row],[POD]])</f>
        <v>FALSO-FALSO-FALSO</v>
      </c>
      <c r="F801" s="66" t="str">
        <f>_xlfn.CONCAT(Tableau119[[#This Row],[ID]],"-","Actif")</f>
        <v>902-Actif</v>
      </c>
      <c r="G801" s="66" t="str">
        <f>_xlfn.CONCAT(Tableau119[[#This Row],[POD]],"-",Tableau119[[#This Row],[Code PFI]],"-",Tableau119[[#This Row],[Compte Consignee]])</f>
        <v>FALSO-2839004-90012500</v>
      </c>
      <c r="H8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MECA</v>
      </c>
      <c r="I801" s="434" t="str">
        <f>_xlfn.CONCAT(Tableau119[[#This Row],[ID]],"-",Tableau119[[#This Row],[Expiration Date]])</f>
        <v>902-46142</v>
      </c>
      <c r="J8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Busan-ILN Busan-902-FALSO-FALSO-FALSO-Magasin Dacia-46142</v>
      </c>
      <c r="K801" s="119" t="str">
        <f ca="1">IF(COUNTIF(J:J,Tableau119[[#This Row],[Plant-ILN-shipper-POL-Carrier-POD-PFI]])=1,"Non","Oui")</f>
        <v>Non</v>
      </c>
      <c r="L801" s="128" t="str">
        <f>VLOOKUP(Tableau119[[#This Row],[Name Site]],Plant_AILN!A:D,4,FALSE)</f>
        <v>ROMANIA</v>
      </c>
      <c r="M801" s="483" t="s">
        <v>162</v>
      </c>
      <c r="N801" s="455">
        <f>VLOOKUP(Tableau119[[#This Row],[Name Site]],Plant_AILN!A:C,3,FALSE)</f>
        <v>90012500</v>
      </c>
      <c r="O801" s="104">
        <f>IF(Tableau119[[#This Row],[Name PFI/CDD]]="PFI VLL",2,VLOOKUP(Tableau119[[#This Row],[Compte Consignee]],Order!C:D,2,FALSE))</f>
        <v>7</v>
      </c>
      <c r="P801" s="126" t="s">
        <v>166</v>
      </c>
      <c r="Q801" s="366">
        <f>VLOOKUP(Tableau119[[#This Row],[Name ILN]],Plant_AILN!F:G,2,FALSE)</f>
        <v>95436</v>
      </c>
      <c r="R801" s="81">
        <f>VLOOKUP(Tableau119[[#This Row],[Compte ILN]],'DATA ILN'!D:I,6,FALSE)</f>
        <v>9</v>
      </c>
      <c r="S801" s="81" t="e">
        <f>IFERROR(VLOOKUP(Tableau119[[#This Row],[Key(Compte ILN - shipper - POL - plant)]],'DATA ILN'!A:J,10,FALSE),VLOOKUP(Tableau119[[#This Row],[Key(Compte ILN - shipper - POL)]],'DATA ILN'!B:J,9,FALSE))</f>
        <v>#N/A</v>
      </c>
      <c r="T801" s="81" t="e">
        <f>IFERROR(VLOOKUP(Tableau119[[#This Row],[Key(Compte ILN - shipper - POL - plant)]],'DATA ILN'!A:K,11,FALSE),VLOOKUP(Tableau119[[#This Row],[Key(Compte ILN - shipper - POL)]],'DATA ILN'!B:K,10,FALSE))</f>
        <v>#N/A</v>
      </c>
      <c r="U801" s="81" t="e">
        <f>IFERROR(VLOOKUP(Tableau119[[#This Row],[Key(Compte ILN - shipper - POL - plant)]],'DATA ILN'!A:L,12,FALSE),VLOOKUP(Tableau119[[#This Row],[Key(Compte ILN - shipper - POL)]],'DATA ILN'!B:L,11,FALSE))</f>
        <v>#N/A</v>
      </c>
      <c r="V801" s="81" t="e">
        <f>Tableau119[[#This Row],[Day ILN Order]]+Tableau119[[#This Row],[Delivery time to ILN/Shipper]]-1</f>
        <v>#N/A</v>
      </c>
      <c r="W801" s="81" t="e">
        <f>IFERROR(VLOOKUP(Tableau119[[#This Row],[Key(Compte ILN - shipper - POL - plant)]],'DATA ILN'!A:N,14,FALSE),VLOOKUP(Tableau119[[#This Row],[Key(Compte ILN - shipper - POL)]],'DATA ILN'!B:N,13,FALSE))</f>
        <v>#N/A</v>
      </c>
      <c r="X801" s="81" t="e">
        <f>IFERROR(VLOOKUP(Tableau119[[#This Row],[Key(Compte ILN - shipper - POL - plant)]],'DATA ILN'!A:P,16,FALSE),VLOOKUP(Tableau119[[#This Row],[Key(Compte ILN - shipper - POL)]],'DATA ILN'!B:P,15,FALSE))</f>
        <v>#N/A</v>
      </c>
      <c r="Y801" s="102" t="s">
        <v>166</v>
      </c>
      <c r="Z801" s="417">
        <f>IFERROR(VLOOKUP(Tableau119[[#This Row],[Name Shipper]],Plant_AILN!L:M,2,FALSE),0)</f>
        <v>95436</v>
      </c>
      <c r="AA801" s="416">
        <v>902</v>
      </c>
      <c r="AB801" s="396" t="b">
        <f>_xlfn.XLOOKUP(Tableau119[[#This Row],[Key(ID-date)]],'DATA BTO'!S:S,'DATA BTO'!E:E,FALSE)</f>
        <v>0</v>
      </c>
      <c r="AC801" s="3" t="b">
        <f>_xlfn.XLOOKUP(Tableau119[[#This Row],[Key(ID-date)]],'DATA BTO'!S:S,'DATA BTO'!F:F,FALSE)</f>
        <v>0</v>
      </c>
      <c r="AD801" s="50" t="b">
        <f>_xlfn.XLOOKUP(Tableau119[[#This Row],[Key(ID-date)]],'DATA BTO'!S:S,'DATA BTO'!G:G,FALSE)</f>
        <v>0</v>
      </c>
      <c r="AE801" s="50" t="b">
        <f>_xlfn.XLOOKUP(Tableau119[[#This Row],[Key(ID-date)]],'DATA BTO'!S:S,'DATA BTO'!H:H,FALSE)</f>
        <v>0</v>
      </c>
      <c r="AF801" s="447" t="e">
        <f>IF(Tableau119[[#This Row],[First Day to POL]]&lt;=Tableau119[[#This Row],[Day Cut Off]],Tableau119[[#This Row],[Day ETD]],Tableau119[[#This Row],[Day ETD]]+7)</f>
        <v>#N/A</v>
      </c>
      <c r="AG801" s="50" t="b">
        <f>_xlfn.XLOOKUP(Tableau119[[#This Row],[Key(ID-date)]],'DATA BTO'!S:S,'DATA BTO'!I:I,FALSE)</f>
        <v>0</v>
      </c>
      <c r="AH801" s="3" t="b">
        <f>_xlfn.XLOOKUP(Tableau119[[#This Row],[Key(ID-date)]],'DATA BTO'!S:S,'DATA BTO'!J:J,FALSE)</f>
        <v>0</v>
      </c>
      <c r="AI801" s="3" t="b">
        <f>_xlfn.XLOOKUP(Tableau119[[#This Row],[Key(ID-date)]],'DATA BTO'!S:S,'DATA BTO'!K:K,FALSE)</f>
        <v>0</v>
      </c>
      <c r="AJ801" s="50" t="b">
        <f>_xlfn.XLOOKUP(Tableau119[[#This Row],[Key(ID-date)]],'DATA BTO'!S:S,'DATA BTO'!L:L,FALSE)</f>
        <v>0</v>
      </c>
      <c r="AK801" s="53" t="b">
        <f>_xlfn.XLOOKUP(Tableau119[[#This Row],[Key(ID-date)]],'DATA BTO'!S:S,'DATA BTO'!N:N,FALSE)</f>
        <v>0</v>
      </c>
      <c r="AL801" s="54" t="e">
        <f>VLOOKUP(Tableau119[[#This Row],[Key(POD -PFI- Usine)]],'DATA Consignee'!A:F,6,FALSE)</f>
        <v>#N/A</v>
      </c>
      <c r="AM801" s="102" t="s">
        <v>164</v>
      </c>
      <c r="AN801" s="375">
        <f>IF(Tableau119[[#This Row],[Name PFI/CDD]]="","-",VLOOKUP(Tableau119[[#This Row],[Name PFI/CDD]],Plant_AILN!I:J,2,FALSE))</f>
        <v>2839004</v>
      </c>
      <c r="AO80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1" s="110" t="e">
        <f>VLOOKUP(Tableau119[[#This Row],[Key(POD -PFI- Usine)]],'DATA Consignee'!A:J,10,FALSE)</f>
        <v>#N/A</v>
      </c>
      <c r="AR801" s="81" t="e">
        <f>VLOOKUP(Tableau119[[#This Row],[Key(POD -PFI- Usine)]],'DATA Consignee'!A:N,14,FALSE)</f>
        <v>#N/A</v>
      </c>
      <c r="AS80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1" s="81">
        <f>Tableau119[[#This Row],[Transit time]]+Tableau119[[#This Row],[Time for security]]+Tableau119[[#This Row],[Time for security2 buffer]]</f>
        <v>0</v>
      </c>
      <c r="AV80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1" s="50" t="e">
        <f>Tableau119[[#This Row],[Leadtime SI2C]]+Tableau119[[#This Row],[First Receipt Days]]-Tableau119[[#This Row],[Day Customer Order]]+1</f>
        <v>#N/A</v>
      </c>
      <c r="AX801" s="119" t="e">
        <f>IF(Tableau119[[#This Row],[Name ILN]]&lt;&gt;"SFK Freight Forwarder",Tableau119[[#This Row],[Cust. Leadtime]],Tableau119[[#This Row],[Leadtime SI2C]])</f>
        <v>#N/A</v>
      </c>
      <c r="AY801" s="51" t="b">
        <f>_xlfn.XLOOKUP(Tableau119[[#This Row],[Key(ID-date)]],'DATA BTO'!S:S,'DATA BTO'!P:P,FALSE)</f>
        <v>0</v>
      </c>
      <c r="AZ801" s="388">
        <v>46142</v>
      </c>
      <c r="BA801" s="81"/>
    </row>
    <row r="802" spans="2:53">
      <c r="B802" s="446" t="str">
        <f>_xlfn.CONCAT(Tableau119[[#This Row],[Name ILN]],"-",Tableau119[[#This Row],[Name Shipper]],"-",Tableau119[[#This Row],[Name Site]])</f>
        <v>ILN Busan-ILN Busan-DACIA MECA</v>
      </c>
      <c r="C802" s="66" t="str">
        <f>_xlfn.CONCAT(Tableau119[[#This Row],[Compte ILN]],"-",Tableau119[[#This Row],[Compte Shipper]],"-",Tableau119[[#This Row],[POL]],"-",Tableau119[[#This Row],[Compte Consignee]])</f>
        <v>95436-95436-FALSO-90012500</v>
      </c>
      <c r="D802" s="66" t="str">
        <f>_xlfn.CONCAT(Tableau119[[#This Row],[Compte ILN]],"-",Tableau119[[#This Row],[Compte Shipper]],"-",Tableau119[[#This Row],[POL]])</f>
        <v>95436-95436-FALSO</v>
      </c>
      <c r="E802" s="130" t="str">
        <f>_xlfn.CONCAT(Tableau119[[#This Row],[POL]],"-",Tableau119[[#This Row],[Carrier]],"-",Tableau119[[#This Row],[POD]])</f>
        <v>FALSO-FALSO-FALSO</v>
      </c>
      <c r="F802" s="66" t="str">
        <f>_xlfn.CONCAT(Tableau119[[#This Row],[ID]],"-","Actif")</f>
        <v>902-Actif</v>
      </c>
      <c r="G802" s="66" t="str">
        <f>_xlfn.CONCAT(Tableau119[[#This Row],[POD]],"-",Tableau119[[#This Row],[Code PFI]],"-",Tableau119[[#This Row],[Compte Consignee]])</f>
        <v>FALSO---90012500</v>
      </c>
      <c r="H8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MECA</v>
      </c>
      <c r="I802" s="434" t="str">
        <f>_xlfn.CONCAT(Tableau119[[#This Row],[ID]],"-",Tableau119[[#This Row],[Expiration Date]])</f>
        <v>902-45777</v>
      </c>
      <c r="J8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Busan-ILN Busan-902-FALSO-FALSO-FALSO--45777</v>
      </c>
      <c r="K802" s="119" t="str">
        <f ca="1">IF(COUNTIF(J:J,Tableau119[[#This Row],[Plant-ILN-shipper-POL-Carrier-POD-PFI]])=1,"Non","Oui")</f>
        <v>Non</v>
      </c>
      <c r="L802" s="128" t="str">
        <f>VLOOKUP(Tableau119[[#This Row],[Name Site]],Plant_AILN!A:D,4,FALSE)</f>
        <v>ROMANIA</v>
      </c>
      <c r="M802" s="411" t="s">
        <v>162</v>
      </c>
      <c r="N802" s="454">
        <f>VLOOKUP(Tableau119[[#This Row],[Name Site]],Plant_AILN!A:C,3,FALSE)</f>
        <v>90012500</v>
      </c>
      <c r="O802" s="55">
        <f>VLOOKUP(Tableau119[[#This Row],[Compte Consignee]],Order!C:D,2,FALSE)</f>
        <v>7</v>
      </c>
      <c r="P802" s="124" t="s">
        <v>166</v>
      </c>
      <c r="Q802" s="365">
        <f>VLOOKUP(Tableau119[[#This Row],[Name ILN]],Plant_AILN!F:G,2,FALSE)</f>
        <v>95436</v>
      </c>
      <c r="R802" s="50">
        <f>VLOOKUP(Tableau119[[#This Row],[Compte ILN]],'DATA ILN'!D:I,6,FALSE)</f>
        <v>9</v>
      </c>
      <c r="S802" s="50" t="e">
        <f>IFERROR(VLOOKUP(Tableau119[[#This Row],[Key(Compte ILN - shipper - POL - plant)]],'DATA ILN'!A:J,10,FALSE),VLOOKUP(Tableau119[[#This Row],[Key(Compte ILN - shipper - POL)]],'DATA ILN'!B:J,9,FALSE))</f>
        <v>#N/A</v>
      </c>
      <c r="T802" s="50" t="e">
        <f>IFERROR(VLOOKUP(Tableau119[[#This Row],[Key(Compte ILN - shipper - POL - plant)]],'DATA ILN'!A:K,11,FALSE),VLOOKUP(Tableau119[[#This Row],[Key(Compte ILN - shipper - POL)]],'DATA ILN'!B:K,10,FALSE))</f>
        <v>#N/A</v>
      </c>
      <c r="U802" s="50" t="e">
        <f>IFERROR(VLOOKUP(Tableau119[[#This Row],[Key(Compte ILN - shipper - POL - plant)]],'DATA ILN'!A:L,12,FALSE),VLOOKUP(Tableau119[[#This Row],[Key(Compte ILN - shipper - POL)]],'DATA ILN'!B:L,11,FALSE))</f>
        <v>#N/A</v>
      </c>
      <c r="V802" s="50" t="e">
        <f>Tableau119[[#This Row],[Day ILN Order]]+Tableau119[[#This Row],[Delivery time to ILN/Shipper]]-1</f>
        <v>#N/A</v>
      </c>
      <c r="W802" s="50" t="e">
        <f>IFERROR(VLOOKUP(Tableau119[[#This Row],[Key(Compte ILN - shipper - POL - plant)]],'DATA ILN'!A:N,14,FALSE),VLOOKUP(Tableau119[[#This Row],[Key(Compte ILN - shipper - POL)]],'DATA ILN'!B:N,13,FALSE))</f>
        <v>#N/A</v>
      </c>
      <c r="X802" s="50" t="e">
        <f>IFERROR(VLOOKUP(Tableau119[[#This Row],[Key(Compte ILN - shipper - POL - plant)]],'DATA ILN'!A:P,16,FALSE),VLOOKUP(Tableau119[[#This Row],[Key(Compte ILN - shipper - POL)]],'DATA ILN'!B:P,15,FALSE))</f>
        <v>#N/A</v>
      </c>
      <c r="Y802" s="284" t="s">
        <v>166</v>
      </c>
      <c r="Z802" s="430">
        <f>IFERROR(VLOOKUP(Tableau119[[#This Row],[Name Shipper]],Plant_AILN!L:M,2,FALSE),0)</f>
        <v>95436</v>
      </c>
      <c r="AA802" s="406">
        <v>902</v>
      </c>
      <c r="AB802" s="396" t="b">
        <f>_xlfn.XLOOKUP(Tableau119[[#This Row],[Key(ID-date)]],'DATA BTO'!S:S,'DATA BTO'!E:E,FALSE)</f>
        <v>0</v>
      </c>
      <c r="AC802" s="3" t="b">
        <f>_xlfn.XLOOKUP(Tableau119[[#This Row],[Key(ID-date)]],'DATA BTO'!S:S,'DATA BTO'!F:F,FALSE)</f>
        <v>0</v>
      </c>
      <c r="AD802" s="50" t="b">
        <f>_xlfn.XLOOKUP(Tableau119[[#This Row],[Key(ID-date)]],'DATA BTO'!S:S,'DATA BTO'!G:G,FALSE)</f>
        <v>0</v>
      </c>
      <c r="AE802" s="50" t="b">
        <f>_xlfn.XLOOKUP(Tableau119[[#This Row],[Key(ID-date)]],'DATA BTO'!S:S,'DATA BTO'!H:H,FALSE)</f>
        <v>0</v>
      </c>
      <c r="AF802" s="447" t="e">
        <f>IF(Tableau119[[#This Row],[First Day to POL]]&lt;=Tableau119[[#This Row],[Day Cut Off]],Tableau119[[#This Row],[Day ETD]],Tableau119[[#This Row],[Day ETD]]+7)</f>
        <v>#N/A</v>
      </c>
      <c r="AG802" s="50" t="b">
        <f>_xlfn.XLOOKUP(Tableau119[[#This Row],[Key(ID-date)]],'DATA BTO'!S:S,'DATA BTO'!I:I,FALSE)</f>
        <v>0</v>
      </c>
      <c r="AH802" s="3" t="b">
        <f>_xlfn.XLOOKUP(Tableau119[[#This Row],[Key(ID-date)]],'DATA BTO'!S:S,'DATA BTO'!J:J,FALSE)</f>
        <v>0</v>
      </c>
      <c r="AI802" s="3" t="b">
        <f>_xlfn.XLOOKUP(Tableau119[[#This Row],[Key(ID-date)]],'DATA BTO'!S:S,'DATA BTO'!K:K,FALSE)</f>
        <v>0</v>
      </c>
      <c r="AJ802" s="50" t="b">
        <f>_xlfn.XLOOKUP(Tableau119[[#This Row],[Key(ID-date)]],'DATA BTO'!S:S,'DATA BTO'!L:L,FALSE)</f>
        <v>0</v>
      </c>
      <c r="AK802" s="53" t="b">
        <f>_xlfn.XLOOKUP(Tableau119[[#This Row],[Key(ID-date)]],'DATA BTO'!S:S,'DATA BTO'!N:N,FALSE)</f>
        <v>0</v>
      </c>
      <c r="AL802" s="54" t="e">
        <f>VLOOKUP(Tableau119[[#This Row],[Key(POD -PFI- Usine)]],'DATA Consignee'!A:F,6,FALSE)</f>
        <v>#N/A</v>
      </c>
      <c r="AM802" s="284"/>
      <c r="AN802" s="376" t="str">
        <f>IF(Tableau119[[#This Row],[Name PFI/CDD]]="","-",VLOOKUP(Tableau119[[#This Row],[Name PFI/CDD]],Plant_AILN!I:J,2,FALSE))</f>
        <v>-</v>
      </c>
      <c r="AO80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2" s="2" t="e">
        <f>VLOOKUP(Tableau119[[#This Row],[Key(POD -PFI- Usine)]],'DATA Consignee'!A:J,10,FALSE)</f>
        <v>#N/A</v>
      </c>
      <c r="AR802" s="50" t="e">
        <f>VLOOKUP(Tableau119[[#This Row],[Key(POD -PFI- Usine)]],'DATA Consignee'!A:N,14,FALSE)</f>
        <v>#N/A</v>
      </c>
      <c r="AS80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2" s="50">
        <f>Tableau119[[#This Row],[Transit time]]+Tableau119[[#This Row],[Time for security]]+Tableau119[[#This Row],[Time for security2 buffer]]</f>
        <v>0</v>
      </c>
      <c r="AV80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2" s="50" t="e">
        <f>Tableau119[[#This Row],[Leadtime SI2C]]+Tableau119[[#This Row],[First Receipt Days]]-Tableau119[[#This Row],[Day Customer Order]]+1</f>
        <v>#N/A</v>
      </c>
      <c r="AX802" s="119" t="e">
        <f>IF(Tableau119[[#This Row],[Name ILN]]&lt;&gt;"SFK Freight Forwarder",Tableau119[[#This Row],[Cust. Leadtime]],Tableau119[[#This Row],[Leadtime SI2C]])</f>
        <v>#N/A</v>
      </c>
      <c r="AY802" s="51" t="b">
        <f>_xlfn.XLOOKUP(Tableau119[[#This Row],[Key(ID-date)]],'DATA BTO'!S:S,'DATA BTO'!P:P,FALSE)</f>
        <v>0</v>
      </c>
      <c r="AZ802" s="338">
        <v>45777</v>
      </c>
      <c r="BA802" s="50"/>
    </row>
    <row r="803" spans="2:53">
      <c r="B803" s="446" t="str">
        <f>_xlfn.CONCAT(Tableau119[[#This Row],[Name ILN]],"-",Tableau119[[#This Row],[Name Shipper]],"-",Tableau119[[#This Row],[Name Site]])</f>
        <v>ILN Busan-ILN Busan-DACIA MECA</v>
      </c>
      <c r="C803" s="66" t="str">
        <f>_xlfn.CONCAT(Tableau119[[#This Row],[Compte ILN]],"-",Tableau119[[#This Row],[Compte Shipper]],"-",Tableau119[[#This Row],[POL]],"-",Tableau119[[#This Row],[Compte Consignee]])</f>
        <v>95436-95436-FALSO-90012500</v>
      </c>
      <c r="D803" s="66" t="str">
        <f>_xlfn.CONCAT(Tableau119[[#This Row],[Compte ILN]],"-",Tableau119[[#This Row],[Compte Shipper]],"-",Tableau119[[#This Row],[POL]])</f>
        <v>95436-95436-FALSO</v>
      </c>
      <c r="E803" s="130" t="str">
        <f>_xlfn.CONCAT(Tableau119[[#This Row],[POL]],"-",Tableau119[[#This Row],[Carrier]],"-",Tableau119[[#This Row],[POD]])</f>
        <v>FALSO-FALSO-FALSO</v>
      </c>
      <c r="F803" s="66" t="str">
        <f>_xlfn.CONCAT(Tableau119[[#This Row],[ID]],"-","Actif")</f>
        <v>902-Actif</v>
      </c>
      <c r="G803" s="66" t="str">
        <f>_xlfn.CONCAT(Tableau119[[#This Row],[POD]],"-",Tableau119[[#This Row],[Code PFI]],"-",Tableau119[[#This Row],[Compte Consignee]])</f>
        <v>FALSO---90012500</v>
      </c>
      <c r="H8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BusanFALSODACIA MECA</v>
      </c>
      <c r="I803" s="434" t="str">
        <f>_xlfn.CONCAT(Tableau119[[#This Row],[ID]],"-",Tableau119[[#This Row],[Expiration Date]])</f>
        <v>902-45473</v>
      </c>
      <c r="J8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Busan-ILN Busan-902-FALSO-FALSO-FALSO--45473</v>
      </c>
      <c r="K803" s="119" t="str">
        <f ca="1">IF(COUNTIF(J:J,Tableau119[[#This Row],[Plant-ILN-shipper-POL-Carrier-POD-PFI]])=1,"Non","Oui")</f>
        <v>Non</v>
      </c>
      <c r="L803" s="128" t="str">
        <f>VLOOKUP(Tableau119[[#This Row],[Name Site]],Plant_AILN!A:D,4,FALSE)</f>
        <v>ROMANIA</v>
      </c>
      <c r="M803" s="415" t="s">
        <v>162</v>
      </c>
      <c r="N803" s="455">
        <f>VLOOKUP(Tableau119[[#This Row],[Name Site]],Plant_AILN!A:C,3,FALSE)</f>
        <v>90012500</v>
      </c>
      <c r="O803" s="104">
        <f>VLOOKUP(Tableau119[[#This Row],[Compte Consignee]],Order!C:D,2,FALSE)</f>
        <v>7</v>
      </c>
      <c r="P803" s="126" t="s">
        <v>166</v>
      </c>
      <c r="Q803" s="366">
        <f>VLOOKUP(Tableau119[[#This Row],[Name ILN]],Plant_AILN!F:G,2,FALSE)</f>
        <v>95436</v>
      </c>
      <c r="R803" s="81">
        <f>VLOOKUP(Tableau119[[#This Row],[Compte ILN]],'DATA ILN'!D:I,6,FALSE)</f>
        <v>9</v>
      </c>
      <c r="S803" s="81" t="e">
        <f>IFERROR(VLOOKUP(Tableau119[[#This Row],[Key(Compte ILN - shipper - POL - plant)]],'DATA ILN'!A:J,10,FALSE),VLOOKUP(Tableau119[[#This Row],[Key(Compte ILN - shipper - POL)]],'DATA ILN'!B:J,9,FALSE))</f>
        <v>#N/A</v>
      </c>
      <c r="T803" s="81" t="e">
        <f>IFERROR(VLOOKUP(Tableau119[[#This Row],[Key(Compte ILN - shipper - POL - plant)]],'DATA ILN'!A:K,11,FALSE),VLOOKUP(Tableau119[[#This Row],[Key(Compte ILN - shipper - POL)]],'DATA ILN'!B:K,10,FALSE))</f>
        <v>#N/A</v>
      </c>
      <c r="U803" s="81" t="e">
        <f>IFERROR(VLOOKUP(Tableau119[[#This Row],[Key(Compte ILN - shipper - POL - plant)]],'DATA ILN'!A:L,12,FALSE),VLOOKUP(Tableau119[[#This Row],[Key(Compte ILN - shipper - POL)]],'DATA ILN'!B:L,11,FALSE))</f>
        <v>#N/A</v>
      </c>
      <c r="V803" s="81" t="e">
        <f>Tableau119[[#This Row],[Day ILN Order]]+Tableau119[[#This Row],[Delivery time to ILN/Shipper]]-1</f>
        <v>#N/A</v>
      </c>
      <c r="W803" s="81" t="e">
        <f>IFERROR(VLOOKUP(Tableau119[[#This Row],[Key(Compte ILN - shipper - POL - plant)]],'DATA ILN'!A:N,14,FALSE),VLOOKUP(Tableau119[[#This Row],[Key(Compte ILN - shipper - POL)]],'DATA ILN'!B:N,13,FALSE))</f>
        <v>#N/A</v>
      </c>
      <c r="X803" s="81" t="e">
        <f>IFERROR(VLOOKUP(Tableau119[[#This Row],[Key(Compte ILN - shipper - POL - plant)]],'DATA ILN'!A:P,16,FALSE),VLOOKUP(Tableau119[[#This Row],[Key(Compte ILN - shipper - POL)]],'DATA ILN'!B:P,15,FALSE))</f>
        <v>#N/A</v>
      </c>
      <c r="Y803" s="102" t="s">
        <v>166</v>
      </c>
      <c r="Z803" s="417">
        <f>IFERROR(VLOOKUP(Tableau119[[#This Row],[Name Shipper]],Plant_AILN!L:M,2,FALSE),0)</f>
        <v>95436</v>
      </c>
      <c r="AA803" s="416">
        <v>902</v>
      </c>
      <c r="AB803" s="396" t="b">
        <f>_xlfn.XLOOKUP(Tableau119[[#This Row],[Key(ID-date)]],'DATA BTO'!S:S,'DATA BTO'!E:E,FALSE)</f>
        <v>0</v>
      </c>
      <c r="AC803" s="3" t="b">
        <f>_xlfn.XLOOKUP(Tableau119[[#This Row],[Key(ID-date)]],'DATA BTO'!S:S,'DATA BTO'!F:F,FALSE)</f>
        <v>0</v>
      </c>
      <c r="AD803" s="50" t="b">
        <f>_xlfn.XLOOKUP(Tableau119[[#This Row],[Key(ID-date)]],'DATA BTO'!S:S,'DATA BTO'!G:G,FALSE)</f>
        <v>0</v>
      </c>
      <c r="AE803" s="50" t="b">
        <f>_xlfn.XLOOKUP(Tableau119[[#This Row],[Key(ID-date)]],'DATA BTO'!S:S,'DATA BTO'!H:H,FALSE)</f>
        <v>0</v>
      </c>
      <c r="AF803" s="447" t="e">
        <f>IF(Tableau119[[#This Row],[First Day to POL]]&lt;=Tableau119[[#This Row],[Day Cut Off]],Tableau119[[#This Row],[Day ETD]],Tableau119[[#This Row],[Day ETD]]+7)</f>
        <v>#N/A</v>
      </c>
      <c r="AG803" s="50" t="b">
        <f>_xlfn.XLOOKUP(Tableau119[[#This Row],[Key(ID-date)]],'DATA BTO'!S:S,'DATA BTO'!I:I,FALSE)</f>
        <v>0</v>
      </c>
      <c r="AH803" s="3" t="b">
        <f>_xlfn.XLOOKUP(Tableau119[[#This Row],[Key(ID-date)]],'DATA BTO'!S:S,'DATA BTO'!J:J,FALSE)</f>
        <v>0</v>
      </c>
      <c r="AI803" s="3" t="b">
        <f>_xlfn.XLOOKUP(Tableau119[[#This Row],[Key(ID-date)]],'DATA BTO'!S:S,'DATA BTO'!K:K,FALSE)</f>
        <v>0</v>
      </c>
      <c r="AJ803" s="50" t="b">
        <f>_xlfn.XLOOKUP(Tableau119[[#This Row],[Key(ID-date)]],'DATA BTO'!S:S,'DATA BTO'!L:L,FALSE)</f>
        <v>0</v>
      </c>
      <c r="AK803" s="53" t="b">
        <f>_xlfn.XLOOKUP(Tableau119[[#This Row],[Key(ID-date)]],'DATA BTO'!S:S,'DATA BTO'!N:N,FALSE)</f>
        <v>0</v>
      </c>
      <c r="AL803" s="54" t="e">
        <f>VLOOKUP(Tableau119[[#This Row],[Key(POD -PFI- Usine)]],'DATA Consignee'!A:F,6,FALSE)</f>
        <v>#N/A</v>
      </c>
      <c r="AM803" s="102"/>
      <c r="AN803" s="375" t="str">
        <f>IF(Tableau119[[#This Row],[Name PFI/CDD]]="","-",VLOOKUP(Tableau119[[#This Row],[Name PFI/CDD]],Plant_AILN!I:J,2,FALSE))</f>
        <v>-</v>
      </c>
      <c r="AO80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3" s="110" t="e">
        <f>VLOOKUP(Tableau119[[#This Row],[Key(POD -PFI- Usine)]],'DATA Consignee'!A:J,10,FALSE)</f>
        <v>#N/A</v>
      </c>
      <c r="AR803" s="81" t="e">
        <f>VLOOKUP(Tableau119[[#This Row],[Key(POD -PFI- Usine)]],'DATA Consignee'!A:N,14,FALSE)</f>
        <v>#N/A</v>
      </c>
      <c r="AS80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3" s="81">
        <f>Tableau119[[#This Row],[Transit time]]+Tableau119[[#This Row],[Time for security]]+Tableau119[[#This Row],[Time for security2 buffer]]</f>
        <v>0</v>
      </c>
      <c r="AV80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3" s="50" t="e">
        <f>Tableau119[[#This Row],[Leadtime SI2C]]+Tableau119[[#This Row],[First Receipt Days]]-Tableau119[[#This Row],[Day Customer Order]]+1</f>
        <v>#N/A</v>
      </c>
      <c r="AX803" s="119" t="e">
        <f>IF(Tableau119[[#This Row],[Name ILN]]&lt;&gt;"SFK Freight Forwarder",Tableau119[[#This Row],[Cust. Leadtime]],Tableau119[[#This Row],[Leadtime SI2C]])</f>
        <v>#N/A</v>
      </c>
      <c r="AY803" s="51" t="b">
        <f>_xlfn.XLOOKUP(Tableau119[[#This Row],[Key(ID-date)]],'DATA BTO'!S:S,'DATA BTO'!P:P,FALSE)</f>
        <v>0</v>
      </c>
      <c r="AZ803" s="388">
        <v>45473</v>
      </c>
      <c r="BA803" s="81"/>
    </row>
    <row r="804" spans="2:53">
      <c r="B804" s="66" t="str">
        <f>_xlfn.CONCAT(Tableau119[[#This Row],[Name ILN]],"-",Tableau119[[#This Row],[Name Shipper]],"-",Tableau119[[#This Row],[Name Site]])</f>
        <v>ILN Busan-ILN Busan-CACIA</v>
      </c>
      <c r="C804" s="66" t="str">
        <f>_xlfn.CONCAT(Tableau119[[#This Row],[Compte ILN]],"-",Tableau119[[#This Row],[Compte Shipper]],"-",Tableau119[[#This Row],[POL]],"-",Tableau119[[#This Row],[Compte Consignee]])</f>
        <v>95436-95436-FALSO-90016500</v>
      </c>
      <c r="D804" s="66" t="str">
        <f>_xlfn.CONCAT(Tableau119[[#This Row],[Compte ILN]],"-",Tableau119[[#This Row],[Compte Shipper]],"-",Tableau119[[#This Row],[POL]])</f>
        <v>95436-95436-FALSO</v>
      </c>
      <c r="E804" s="130" t="str">
        <f>_xlfn.CONCAT(Tableau119[[#This Row],[POL]],"-",Tableau119[[#This Row],[Carrier]],"-",Tableau119[[#This Row],[POD]])</f>
        <v>FALSO-FALSO-FALSO</v>
      </c>
      <c r="F804" s="66" t="str">
        <f>_xlfn.CONCAT(Tableau119[[#This Row],[ID]],"-","Actif")</f>
        <v>903-Actif</v>
      </c>
      <c r="G804" s="66" t="str">
        <f>_xlfn.CONCAT(Tableau119[[#This Row],[POD]],"-",Tableau119[[#This Row],[Code PFI]],"-",Tableau119[[#This Row],[Compte Consignee]])</f>
        <v>FALSO-91018400-90016500</v>
      </c>
      <c r="H8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BusanFALSOCACIA</v>
      </c>
      <c r="I804" s="434" t="str">
        <f>_xlfn.CONCAT(Tableau119[[#This Row],[ID]],"-",Tableau119[[#This Row],[Expiration Date]])</f>
        <v>903-46142</v>
      </c>
      <c r="J8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Busan-ILN Busan-903-FALSO-FALSO-FALSO-PFI VLL-46142</v>
      </c>
      <c r="K804" s="119" t="str">
        <f ca="1">IF(COUNTIF(J:J,Tableau119[[#This Row],[Plant-ILN-shipper-POL-Carrier-POD-PFI]])=1,"Non","Oui")</f>
        <v>Non</v>
      </c>
      <c r="L804" s="128" t="str">
        <f>VLOOKUP(Tableau119[[#This Row],[Name Site]],Plant_AILN!A:D,4,FALSE)</f>
        <v>PORTUGAL</v>
      </c>
      <c r="M804" s="10" t="s">
        <v>170</v>
      </c>
      <c r="N804" s="454">
        <f>VLOOKUP(Tableau119[[#This Row],[Name Site]],Plant_AILN!A:C,3,FALSE)</f>
        <v>90016500</v>
      </c>
      <c r="O804" s="55">
        <f>IF(Tableau119[[#This Row],[Name PFI/CDD]]="PFI VLL",2,VLOOKUP(Tableau119[[#This Row],[Compte Consignee]],Order!C:D,2,FALSE))</f>
        <v>2</v>
      </c>
      <c r="P804" s="124" t="s">
        <v>166</v>
      </c>
      <c r="Q804" s="365">
        <f>VLOOKUP(Tableau119[[#This Row],[Name ILN]],Plant_AILN!F:G,2,FALSE)</f>
        <v>95436</v>
      </c>
      <c r="R804" s="50">
        <f>VLOOKUP(Tableau119[[#This Row],[Compte ILN]],'DATA ILN'!D:I,6,FALSE)</f>
        <v>9</v>
      </c>
      <c r="S804" s="50" t="e">
        <f>IFERROR(VLOOKUP(Tableau119[[#This Row],[Key(Compte ILN - shipper - POL - plant)]],'DATA ILN'!A:J,10,FALSE),VLOOKUP(Tableau119[[#This Row],[Key(Compte ILN - shipper - POL)]],'DATA ILN'!B:J,9,FALSE))</f>
        <v>#N/A</v>
      </c>
      <c r="T804" s="50" t="e">
        <f>IFERROR(VLOOKUP(Tableau119[[#This Row],[Key(Compte ILN - shipper - POL - plant)]],'DATA ILN'!A:K,11,FALSE),VLOOKUP(Tableau119[[#This Row],[Key(Compte ILN - shipper - POL)]],'DATA ILN'!B:K,10,FALSE))</f>
        <v>#N/A</v>
      </c>
      <c r="U804" s="50" t="e">
        <f>IFERROR(VLOOKUP(Tableau119[[#This Row],[Key(Compte ILN - shipper - POL - plant)]],'DATA ILN'!A:L,12,FALSE),VLOOKUP(Tableau119[[#This Row],[Key(Compte ILN - shipper - POL)]],'DATA ILN'!B:L,11,FALSE))</f>
        <v>#N/A</v>
      </c>
      <c r="V804" s="50" t="e">
        <f>Tableau119[[#This Row],[Day ILN Order]]+Tableau119[[#This Row],[Delivery time to ILN/Shipper]]-1</f>
        <v>#N/A</v>
      </c>
      <c r="W804" s="50" t="e">
        <f>IFERROR(VLOOKUP(Tableau119[[#This Row],[Key(Compte ILN - shipper - POL - plant)]],'DATA ILN'!A:N,14,FALSE),VLOOKUP(Tableau119[[#This Row],[Key(Compte ILN - shipper - POL)]],'DATA ILN'!B:N,13,FALSE))</f>
        <v>#N/A</v>
      </c>
      <c r="X804" s="50" t="e">
        <f>IFERROR(VLOOKUP(Tableau119[[#This Row],[Key(Compte ILN - shipper - POL - plant)]],'DATA ILN'!A:P,16,FALSE),VLOOKUP(Tableau119[[#This Row],[Key(Compte ILN - shipper - POL)]],'DATA ILN'!B:P,15,FALSE))</f>
        <v>#N/A</v>
      </c>
      <c r="Y804" s="284" t="s">
        <v>166</v>
      </c>
      <c r="Z804" s="430">
        <f>IFERROR(VLOOKUP(Tableau119[[#This Row],[Name Shipper]],Plant_AILN!L:M,2,FALSE),0)</f>
        <v>95436</v>
      </c>
      <c r="AA804" s="406">
        <v>903</v>
      </c>
      <c r="AB804" s="396" t="b">
        <f>_xlfn.XLOOKUP(Tableau119[[#This Row],[Key(ID-date)]],'DATA BTO'!S:S,'DATA BTO'!E:E,FALSE)</f>
        <v>0</v>
      </c>
      <c r="AC804" s="3" t="b">
        <f>_xlfn.XLOOKUP(Tableau119[[#This Row],[Key(ID-date)]],'DATA BTO'!S:S,'DATA BTO'!F:F,FALSE)</f>
        <v>0</v>
      </c>
      <c r="AD804" s="50" t="b">
        <f>_xlfn.XLOOKUP(Tableau119[[#This Row],[Key(ID-date)]],'DATA BTO'!S:S,'DATA BTO'!G:G,FALSE)</f>
        <v>0</v>
      </c>
      <c r="AE804" s="50" t="b">
        <f>_xlfn.XLOOKUP(Tableau119[[#This Row],[Key(ID-date)]],'DATA BTO'!S:S,'DATA BTO'!H:H,FALSE)</f>
        <v>0</v>
      </c>
      <c r="AF804" s="447" t="e">
        <f>IF(Tableau119[[#This Row],[First Day to POL]]&lt;=Tableau119[[#This Row],[Day Cut Off]],Tableau119[[#This Row],[Day ETD]],Tableau119[[#This Row],[Day ETD]]+7)</f>
        <v>#N/A</v>
      </c>
      <c r="AG804" s="50" t="b">
        <f>_xlfn.XLOOKUP(Tableau119[[#This Row],[Key(ID-date)]],'DATA BTO'!S:S,'DATA BTO'!I:I,FALSE)</f>
        <v>0</v>
      </c>
      <c r="AH804" s="3" t="b">
        <f>_xlfn.XLOOKUP(Tableau119[[#This Row],[Key(ID-date)]],'DATA BTO'!S:S,'DATA BTO'!J:J,FALSE)</f>
        <v>0</v>
      </c>
      <c r="AI804" s="3" t="b">
        <f>_xlfn.XLOOKUP(Tableau119[[#This Row],[Key(ID-date)]],'DATA BTO'!S:S,'DATA BTO'!K:K,FALSE)</f>
        <v>0</v>
      </c>
      <c r="AJ804" s="50" t="b">
        <f>_xlfn.XLOOKUP(Tableau119[[#This Row],[Key(ID-date)]],'DATA BTO'!S:S,'DATA BTO'!L:L,FALSE)</f>
        <v>0</v>
      </c>
      <c r="AK804" s="53" t="b">
        <f>_xlfn.XLOOKUP(Tableau119[[#This Row],[Key(ID-date)]],'DATA BTO'!S:S,'DATA BTO'!N:N,FALSE)</f>
        <v>0</v>
      </c>
      <c r="AL804" s="54" t="e">
        <f>VLOOKUP(Tableau119[[#This Row],[Key(POD -PFI- Usine)]],'DATA Consignee'!A:F,6,FALSE)</f>
        <v>#N/A</v>
      </c>
      <c r="AM804" s="284" t="s">
        <v>171</v>
      </c>
      <c r="AN804" s="376">
        <f>IF(Tableau119[[#This Row],[Name PFI/CDD]]="","-",VLOOKUP(Tableau119[[#This Row],[Name PFI/CDD]],Plant_AILN!I:J,2,FALSE))</f>
        <v>91018400</v>
      </c>
      <c r="AO804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04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04" s="2" t="e">
        <f>VLOOKUP(Tableau119[[#This Row],[Key(POD -PFI- Usine)]],'DATA Consignee'!A:J,10,FALSE)</f>
        <v>#N/A</v>
      </c>
      <c r="AR804" s="50" t="e">
        <f>VLOOKUP(Tableau119[[#This Row],[Key(POD -PFI- Usine)]],'DATA Consignee'!A:N,14,FALSE)</f>
        <v>#N/A</v>
      </c>
      <c r="AS80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4" s="50">
        <f>Tableau119[[#This Row],[Transit time]]+Tableau119[[#This Row],[Time for security]]+Tableau119[[#This Row],[Time for security2 buffer]]</f>
        <v>0</v>
      </c>
      <c r="AV80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4" s="50" t="e">
        <f>Tableau119[[#This Row],[Leadtime SI2C]]+Tableau119[[#This Row],[First Receipt Days]]-Tableau119[[#This Row],[Day Customer Order]]+1</f>
        <v>#N/A</v>
      </c>
      <c r="AX804" s="119" t="e">
        <f>IF(Tableau119[[#This Row],[Name ILN]]&lt;&gt;"SFK Freight Forwarder",Tableau119[[#This Row],[Cust. Leadtime]],Tableau119[[#This Row],[Leadtime SI2C]])</f>
        <v>#N/A</v>
      </c>
      <c r="AY804" s="51" t="b">
        <f>_xlfn.XLOOKUP(Tableau119[[#This Row],[Key(ID-date)]],'DATA BTO'!S:S,'DATA BTO'!P:P,FALSE)</f>
        <v>0</v>
      </c>
      <c r="AZ804" s="338">
        <v>46142</v>
      </c>
      <c r="BA804" s="50"/>
    </row>
    <row r="805" spans="2:53">
      <c r="B805" s="66" t="str">
        <f>_xlfn.CONCAT(Tableau119[[#This Row],[Name ILN]],"-",Tableau119[[#This Row],[Name Shipper]],"-",Tableau119[[#This Row],[Name Site]])</f>
        <v>ILN Busan-ILN Busan-MOTORES</v>
      </c>
      <c r="C805" s="66" t="str">
        <f>_xlfn.CONCAT(Tableau119[[#This Row],[Compte ILN]],"-",Tableau119[[#This Row],[Compte Shipper]],"-",Tableau119[[#This Row],[POL]],"-",Tableau119[[#This Row],[Compte Consignee]])</f>
        <v>95436-95436-FALSO-91017700</v>
      </c>
      <c r="D805" s="66" t="str">
        <f>_xlfn.CONCAT(Tableau119[[#This Row],[Compte ILN]],"-",Tableau119[[#This Row],[Compte Shipper]],"-",Tableau119[[#This Row],[POL]])</f>
        <v>95436-95436-FALSO</v>
      </c>
      <c r="E805" s="130" t="str">
        <f>_xlfn.CONCAT(Tableau119[[#This Row],[POL]],"-",Tableau119[[#This Row],[Carrier]],"-",Tableau119[[#This Row],[POD]])</f>
        <v>FALSO-FALSO-FALSO</v>
      </c>
      <c r="F805" s="66" t="str">
        <f>_xlfn.CONCAT(Tableau119[[#This Row],[ID]],"-","Actif")</f>
        <v>903-Actif</v>
      </c>
      <c r="G805" s="66" t="str">
        <f>_xlfn.CONCAT(Tableau119[[#This Row],[POD]],"-",Tableau119[[#This Row],[Code PFI]],"-",Tableau119[[#This Row],[Compte Consignee]])</f>
        <v>FALSO-91018400-91017700</v>
      </c>
      <c r="H8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BusanFALSOMOTORES</v>
      </c>
      <c r="I805" s="434" t="str">
        <f>_xlfn.CONCAT(Tableau119[[#This Row],[ID]],"-",Tableau119[[#This Row],[Expiration Date]])</f>
        <v>903-46142</v>
      </c>
      <c r="J8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Busan-ILN Busan-903-FALSO-FALSO-FALSO-PFI VLL-46142</v>
      </c>
      <c r="K805" s="119" t="str">
        <f ca="1">IF(COUNTIF(J:J,Tableau119[[#This Row],[Plant-ILN-shipper-POL-Carrier-POD-PFI]])=1,"Non","Oui")</f>
        <v>Non</v>
      </c>
      <c r="L805" s="128" t="str">
        <f>VLOOKUP(Tableau119[[#This Row],[Name Site]],Plant_AILN!A:D,4,FALSE)</f>
        <v>SPAIN</v>
      </c>
      <c r="M805" s="413" t="s">
        <v>63</v>
      </c>
      <c r="N805" s="454">
        <f>VLOOKUP(Tableau119[[#This Row],[Name Site]],Plant_AILN!A:C,3,FALSE)</f>
        <v>91017700</v>
      </c>
      <c r="O805" s="55">
        <f>IF(Tableau119[[#This Row],[Name PFI/CDD]]="PFI VLL",2,VLOOKUP(Tableau119[[#This Row],[Compte Consignee]],Order!C:D,2,FALSE))</f>
        <v>2</v>
      </c>
      <c r="P805" s="505" t="s">
        <v>166</v>
      </c>
      <c r="Q805" s="365">
        <f>VLOOKUP(Tableau119[[#This Row],[Name ILN]],Plant_AILN!F:G,2,FALSE)</f>
        <v>95436</v>
      </c>
      <c r="R805" s="50">
        <f>VLOOKUP(Tableau119[[#This Row],[Compte ILN]],'DATA ILN'!D:I,6,FALSE)</f>
        <v>9</v>
      </c>
      <c r="S805" s="50" t="e">
        <f>IFERROR(VLOOKUP(Tableau119[[#This Row],[Key(Compte ILN - shipper - POL - plant)]],'DATA ILN'!A:J,10,FALSE),VLOOKUP(Tableau119[[#This Row],[Key(Compte ILN - shipper - POL)]],'DATA ILN'!B:J,9,FALSE))</f>
        <v>#N/A</v>
      </c>
      <c r="T805" s="50" t="e">
        <f>IFERROR(VLOOKUP(Tableau119[[#This Row],[Key(Compte ILN - shipper - POL - plant)]],'DATA ILN'!A:K,11,FALSE),VLOOKUP(Tableau119[[#This Row],[Key(Compte ILN - shipper - POL)]],'DATA ILN'!B:K,10,FALSE))</f>
        <v>#N/A</v>
      </c>
      <c r="U805" s="50" t="e">
        <f>IFERROR(VLOOKUP(Tableau119[[#This Row],[Key(Compte ILN - shipper - POL - plant)]],'DATA ILN'!A:L,12,FALSE),VLOOKUP(Tableau119[[#This Row],[Key(Compte ILN - shipper - POL)]],'DATA ILN'!B:L,11,FALSE))</f>
        <v>#N/A</v>
      </c>
      <c r="V805" s="50" t="e">
        <f>Tableau119[[#This Row],[Day ILN Order]]+Tableau119[[#This Row],[Delivery time to ILN/Shipper]]-1</f>
        <v>#N/A</v>
      </c>
      <c r="W805" s="50" t="e">
        <f>IFERROR(VLOOKUP(Tableau119[[#This Row],[Key(Compte ILN - shipper - POL - plant)]],'DATA ILN'!A:N,14,FALSE),VLOOKUP(Tableau119[[#This Row],[Key(Compte ILN - shipper - POL)]],'DATA ILN'!B:N,13,FALSE))</f>
        <v>#N/A</v>
      </c>
      <c r="X805" s="50" t="e">
        <f>IFERROR(VLOOKUP(Tableau119[[#This Row],[Key(Compte ILN - shipper - POL - plant)]],'DATA ILN'!A:P,16,FALSE),VLOOKUP(Tableau119[[#This Row],[Key(Compte ILN - shipper - POL)]],'DATA ILN'!B:P,15,FALSE))</f>
        <v>#N/A</v>
      </c>
      <c r="Y805" s="284" t="s">
        <v>166</v>
      </c>
      <c r="Z805" s="430">
        <f>IFERROR(VLOOKUP(Tableau119[[#This Row],[Name Shipper]],Plant_AILN!L:M,2,FALSE),0)</f>
        <v>95436</v>
      </c>
      <c r="AA805" s="414">
        <v>903</v>
      </c>
      <c r="AB805" s="396" t="b">
        <f>_xlfn.XLOOKUP(Tableau119[[#This Row],[Key(ID-date)]],'DATA BTO'!S:S,'DATA BTO'!E:E,FALSE)</f>
        <v>0</v>
      </c>
      <c r="AC805" s="3" t="b">
        <f>_xlfn.XLOOKUP(Tableau119[[#This Row],[Key(ID-date)]],'DATA BTO'!S:S,'DATA BTO'!F:F,FALSE)</f>
        <v>0</v>
      </c>
      <c r="AD805" s="50" t="b">
        <f>_xlfn.XLOOKUP(Tableau119[[#This Row],[Key(ID-date)]],'DATA BTO'!S:S,'DATA BTO'!G:G,FALSE)</f>
        <v>0</v>
      </c>
      <c r="AE805" s="50" t="b">
        <f>_xlfn.XLOOKUP(Tableau119[[#This Row],[Key(ID-date)]],'DATA BTO'!S:S,'DATA BTO'!H:H,FALSE)</f>
        <v>0</v>
      </c>
      <c r="AF805" s="447" t="e">
        <f>IF(Tableau119[[#This Row],[First Day to POL]]&lt;=Tableau119[[#This Row],[Day Cut Off]],Tableau119[[#This Row],[Day ETD]],Tableau119[[#This Row],[Day ETD]]+7)</f>
        <v>#N/A</v>
      </c>
      <c r="AG805" s="50" t="b">
        <f>_xlfn.XLOOKUP(Tableau119[[#This Row],[Key(ID-date)]],'DATA BTO'!S:S,'DATA BTO'!I:I,FALSE)</f>
        <v>0</v>
      </c>
      <c r="AH805" s="3" t="b">
        <f>_xlfn.XLOOKUP(Tableau119[[#This Row],[Key(ID-date)]],'DATA BTO'!S:S,'DATA BTO'!J:J,FALSE)</f>
        <v>0</v>
      </c>
      <c r="AI805" s="3" t="b">
        <f>_xlfn.XLOOKUP(Tableau119[[#This Row],[Key(ID-date)]],'DATA BTO'!S:S,'DATA BTO'!K:K,FALSE)</f>
        <v>0</v>
      </c>
      <c r="AJ805" s="50" t="b">
        <f>_xlfn.XLOOKUP(Tableau119[[#This Row],[Key(ID-date)]],'DATA BTO'!S:S,'DATA BTO'!L:L,FALSE)</f>
        <v>0</v>
      </c>
      <c r="AK805" s="53" t="b">
        <f>_xlfn.XLOOKUP(Tableau119[[#This Row],[Key(ID-date)]],'DATA BTO'!S:S,'DATA BTO'!N:N,FALSE)</f>
        <v>0</v>
      </c>
      <c r="AL805" s="54" t="e">
        <f>VLOOKUP(Tableau119[[#This Row],[Key(POD -PFI- Usine)]],'DATA Consignee'!A:F,6,FALSE)</f>
        <v>#N/A</v>
      </c>
      <c r="AM805" s="284" t="s">
        <v>171</v>
      </c>
      <c r="AN805" s="376">
        <f>IF(Tableau119[[#This Row],[Name PFI/CDD]]="","-",VLOOKUP(Tableau119[[#This Row],[Name PFI/CDD]],Plant_AILN!I:J,2,FALSE))</f>
        <v>91018400</v>
      </c>
      <c r="AO80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0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05" s="2" t="e">
        <f>VLOOKUP(Tableau119[[#This Row],[Key(POD -PFI- Usine)]],'DATA Consignee'!A:J,10,FALSE)</f>
        <v>#N/A</v>
      </c>
      <c r="AR805" s="50" t="e">
        <f>VLOOKUP(Tableau119[[#This Row],[Key(POD -PFI- Usine)]],'DATA Consignee'!A:N,14,FALSE)</f>
        <v>#N/A</v>
      </c>
      <c r="AS80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5" s="50">
        <f>Tableau119[[#This Row],[Transit time]]+Tableau119[[#This Row],[Time for security]]+Tableau119[[#This Row],[Time for security2 buffer]]</f>
        <v>0</v>
      </c>
      <c r="AV80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5" s="50" t="e">
        <f>Tableau119[[#This Row],[Leadtime SI2C]]+Tableau119[[#This Row],[First Receipt Days]]-Tableau119[[#This Row],[Day Customer Order]]+1</f>
        <v>#N/A</v>
      </c>
      <c r="AX805" s="119" t="e">
        <f>IF(Tableau119[[#This Row],[Name ILN]]&lt;&gt;"SFK Freight Forwarder",Tableau119[[#This Row],[Cust. Leadtime]],Tableau119[[#This Row],[Leadtime SI2C]])</f>
        <v>#N/A</v>
      </c>
      <c r="AY805" s="51" t="b">
        <f>_xlfn.XLOOKUP(Tableau119[[#This Row],[Key(ID-date)]],'DATA BTO'!S:S,'DATA BTO'!P:P,FALSE)</f>
        <v>0</v>
      </c>
      <c r="AZ805" s="338">
        <v>46142</v>
      </c>
      <c r="BA805" s="50"/>
    </row>
    <row r="806" spans="2:53">
      <c r="B806" s="66" t="str">
        <f>_xlfn.CONCAT(Tableau119[[#This Row],[Name ILN]],"-",Tableau119[[#This Row],[Name Shipper]],"-",Tableau119[[#This Row],[Name Site]])</f>
        <v>ILN Busan-ILN Busan-SEVILLA</v>
      </c>
      <c r="C806" s="66" t="str">
        <f>_xlfn.CONCAT(Tableau119[[#This Row],[Compte ILN]],"-",Tableau119[[#This Row],[Compte Shipper]],"-",Tableau119[[#This Row],[POL]],"-",Tableau119[[#This Row],[Compte Consignee]])</f>
        <v>95436-95436-FALSO-91017500</v>
      </c>
      <c r="D806" s="66" t="str">
        <f>_xlfn.CONCAT(Tableau119[[#This Row],[Compte ILN]],"-",Tableau119[[#This Row],[Compte Shipper]],"-",Tableau119[[#This Row],[POL]])</f>
        <v>95436-95436-FALSO</v>
      </c>
      <c r="E806" s="130" t="str">
        <f>_xlfn.CONCAT(Tableau119[[#This Row],[POL]],"-",Tableau119[[#This Row],[Carrier]],"-",Tableau119[[#This Row],[POD]])</f>
        <v>FALSO-FALSO-FALSO</v>
      </c>
      <c r="F806" s="66" t="str">
        <f>_xlfn.CONCAT(Tableau119[[#This Row],[ID]],"-","Actif")</f>
        <v>903-Actif</v>
      </c>
      <c r="G806" s="66" t="str">
        <f>_xlfn.CONCAT(Tableau119[[#This Row],[POD]],"-",Tableau119[[#This Row],[Code PFI]],"-",Tableau119[[#This Row],[Compte Consignee]])</f>
        <v>FALSO-91018400-91017500</v>
      </c>
      <c r="H8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BusanFALSOSEVILLA</v>
      </c>
      <c r="I806" s="434" t="str">
        <f>_xlfn.CONCAT(Tableau119[[#This Row],[ID]],"-",Tableau119[[#This Row],[Expiration Date]])</f>
        <v>903-46142</v>
      </c>
      <c r="J8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Busan-ILN Busan-903-FALSO-FALSO-FALSO-PFI VLL-46142</v>
      </c>
      <c r="K806" s="119" t="str">
        <f ca="1">IF(COUNTIF(J:J,Tableau119[[#This Row],[Plant-ILN-shipper-POL-Carrier-POD-PFI]])=1,"Non","Oui")</f>
        <v>Non</v>
      </c>
      <c r="L806" s="128" t="str">
        <f>VLOOKUP(Tableau119[[#This Row],[Name Site]],Plant_AILN!A:D,4,FALSE)</f>
        <v>SPAIN</v>
      </c>
      <c r="M806" s="10" t="s">
        <v>172</v>
      </c>
      <c r="N806" s="454">
        <f>VLOOKUP(Tableau119[[#This Row],[Name Site]],Plant_AILN!A:C,3,FALSE)</f>
        <v>91017500</v>
      </c>
      <c r="O806" s="55">
        <f>IF(Tableau119[[#This Row],[Name PFI/CDD]]="PFI VLL",2,VLOOKUP(Tableau119[[#This Row],[Compte Consignee]],Order!C:D,2,FALSE))</f>
        <v>2</v>
      </c>
      <c r="P806" s="124" t="s">
        <v>166</v>
      </c>
      <c r="Q806" s="365">
        <f>VLOOKUP(Tableau119[[#This Row],[Name ILN]],Plant_AILN!F:G,2,FALSE)</f>
        <v>95436</v>
      </c>
      <c r="R806" s="50">
        <f>VLOOKUP(Tableau119[[#This Row],[Compte ILN]],'DATA ILN'!D:I,6,FALSE)</f>
        <v>9</v>
      </c>
      <c r="S806" s="50" t="e">
        <f>IFERROR(VLOOKUP(Tableau119[[#This Row],[Key(Compte ILN - shipper - POL - plant)]],'DATA ILN'!A:J,10,FALSE),VLOOKUP(Tableau119[[#This Row],[Key(Compte ILN - shipper - POL)]],'DATA ILN'!B:J,9,FALSE))</f>
        <v>#N/A</v>
      </c>
      <c r="T806" s="50" t="e">
        <f>IFERROR(VLOOKUP(Tableau119[[#This Row],[Key(Compte ILN - shipper - POL - plant)]],'DATA ILN'!A:K,11,FALSE),VLOOKUP(Tableau119[[#This Row],[Key(Compte ILN - shipper - POL)]],'DATA ILN'!B:K,10,FALSE))</f>
        <v>#N/A</v>
      </c>
      <c r="U806" s="50" t="e">
        <f>IFERROR(VLOOKUP(Tableau119[[#This Row],[Key(Compte ILN - shipper - POL - plant)]],'DATA ILN'!A:L,12,FALSE),VLOOKUP(Tableau119[[#This Row],[Key(Compte ILN - shipper - POL)]],'DATA ILN'!B:L,11,FALSE))</f>
        <v>#N/A</v>
      </c>
      <c r="V806" s="50" t="e">
        <f>Tableau119[[#This Row],[Day ILN Order]]+Tableau119[[#This Row],[Delivery time to ILN/Shipper]]-1</f>
        <v>#N/A</v>
      </c>
      <c r="W806" s="50" t="e">
        <f>IFERROR(VLOOKUP(Tableau119[[#This Row],[Key(Compte ILN - shipper - POL - plant)]],'DATA ILN'!A:N,14,FALSE),VLOOKUP(Tableau119[[#This Row],[Key(Compte ILN - shipper - POL)]],'DATA ILN'!B:N,13,FALSE))</f>
        <v>#N/A</v>
      </c>
      <c r="X806" s="50" t="e">
        <f>IFERROR(VLOOKUP(Tableau119[[#This Row],[Key(Compte ILN - shipper - POL - plant)]],'DATA ILN'!A:P,16,FALSE),VLOOKUP(Tableau119[[#This Row],[Key(Compte ILN - shipper - POL)]],'DATA ILN'!B:P,15,FALSE))</f>
        <v>#N/A</v>
      </c>
      <c r="Y806" s="284" t="s">
        <v>166</v>
      </c>
      <c r="Z806" s="430">
        <f>IFERROR(VLOOKUP(Tableau119[[#This Row],[Name Shipper]],Plant_AILN!L:M,2,FALSE),0)</f>
        <v>95436</v>
      </c>
      <c r="AA806" s="406">
        <v>903</v>
      </c>
      <c r="AB806" s="396" t="b">
        <f>_xlfn.XLOOKUP(Tableau119[[#This Row],[Key(ID-date)]],'DATA BTO'!S:S,'DATA BTO'!E:E,FALSE)</f>
        <v>0</v>
      </c>
      <c r="AC806" s="3" t="b">
        <f>_xlfn.XLOOKUP(Tableau119[[#This Row],[Key(ID-date)]],'DATA BTO'!S:S,'DATA BTO'!F:F,FALSE)</f>
        <v>0</v>
      </c>
      <c r="AD806" s="50" t="b">
        <f>_xlfn.XLOOKUP(Tableau119[[#This Row],[Key(ID-date)]],'DATA BTO'!S:S,'DATA BTO'!G:G,FALSE)</f>
        <v>0</v>
      </c>
      <c r="AE806" s="50" t="b">
        <f>_xlfn.XLOOKUP(Tableau119[[#This Row],[Key(ID-date)]],'DATA BTO'!S:S,'DATA BTO'!H:H,FALSE)</f>
        <v>0</v>
      </c>
      <c r="AF806" s="447" t="e">
        <f>IF(Tableau119[[#This Row],[First Day to POL]]&lt;=Tableau119[[#This Row],[Day Cut Off]],Tableau119[[#This Row],[Day ETD]],Tableau119[[#This Row],[Day ETD]]+7)</f>
        <v>#N/A</v>
      </c>
      <c r="AG806" s="50" t="b">
        <f>_xlfn.XLOOKUP(Tableau119[[#This Row],[Key(ID-date)]],'DATA BTO'!S:S,'DATA BTO'!I:I,FALSE)</f>
        <v>0</v>
      </c>
      <c r="AH806" s="3" t="b">
        <f>_xlfn.XLOOKUP(Tableau119[[#This Row],[Key(ID-date)]],'DATA BTO'!S:S,'DATA BTO'!J:J,FALSE)</f>
        <v>0</v>
      </c>
      <c r="AI806" s="3" t="b">
        <f>_xlfn.XLOOKUP(Tableau119[[#This Row],[Key(ID-date)]],'DATA BTO'!S:S,'DATA BTO'!K:K,FALSE)</f>
        <v>0</v>
      </c>
      <c r="AJ806" s="50" t="b">
        <f>_xlfn.XLOOKUP(Tableau119[[#This Row],[Key(ID-date)]],'DATA BTO'!S:S,'DATA BTO'!L:L,FALSE)</f>
        <v>0</v>
      </c>
      <c r="AK806" s="53" t="b">
        <f>_xlfn.XLOOKUP(Tableau119[[#This Row],[Key(ID-date)]],'DATA BTO'!S:S,'DATA BTO'!N:N,FALSE)</f>
        <v>0</v>
      </c>
      <c r="AL806" s="54" t="e">
        <f>VLOOKUP(Tableau119[[#This Row],[Key(POD -PFI- Usine)]],'DATA Consignee'!A:F,6,FALSE)</f>
        <v>#N/A</v>
      </c>
      <c r="AM806" s="284" t="s">
        <v>171</v>
      </c>
      <c r="AN806" s="376">
        <f>IF(Tableau119[[#This Row],[Name PFI/CDD]]="","-",VLOOKUP(Tableau119[[#This Row],[Name PFI/CDD]],Plant_AILN!I:J,2,FALSE))</f>
        <v>91018400</v>
      </c>
      <c r="AO806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06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06" s="2" t="e">
        <f>VLOOKUP(Tableau119[[#This Row],[Key(POD -PFI- Usine)]],'DATA Consignee'!A:J,10,FALSE)</f>
        <v>#N/A</v>
      </c>
      <c r="AR806" s="50" t="e">
        <f>VLOOKUP(Tableau119[[#This Row],[Key(POD -PFI- Usine)]],'DATA Consignee'!A:N,14,FALSE)</f>
        <v>#N/A</v>
      </c>
      <c r="AS80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6" s="50">
        <f>Tableau119[[#This Row],[Transit time]]+Tableau119[[#This Row],[Time for security]]+Tableau119[[#This Row],[Time for security2 buffer]]</f>
        <v>0</v>
      </c>
      <c r="AV80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6" s="50" t="e">
        <f>Tableau119[[#This Row],[Leadtime SI2C]]+Tableau119[[#This Row],[First Receipt Days]]-Tableau119[[#This Row],[Day Customer Order]]+1</f>
        <v>#N/A</v>
      </c>
      <c r="AX806" s="119" t="e">
        <f>IF(Tableau119[[#This Row],[Name ILN]]&lt;&gt;"SFK Freight Forwarder",Tableau119[[#This Row],[Cust. Leadtime]],Tableau119[[#This Row],[Leadtime SI2C]])</f>
        <v>#N/A</v>
      </c>
      <c r="AY806" s="51" t="b">
        <f>_xlfn.XLOOKUP(Tableau119[[#This Row],[Key(ID-date)]],'DATA BTO'!S:S,'DATA BTO'!P:P,FALSE)</f>
        <v>0</v>
      </c>
      <c r="AZ806" s="338">
        <v>46142</v>
      </c>
      <c r="BA806" s="50"/>
    </row>
    <row r="807" spans="2:53">
      <c r="B807" s="446" t="str">
        <f>_xlfn.CONCAT(Tableau119[[#This Row],[Name ILN]],"-",Tableau119[[#This Row],[Name Shipper]],"-",Tableau119[[#This Row],[Name Site]])</f>
        <v>ILN Busan-ILN Busan-CACIA</v>
      </c>
      <c r="C807" s="66" t="str">
        <f>_xlfn.CONCAT(Tableau119[[#This Row],[Compte ILN]],"-",Tableau119[[#This Row],[Compte Shipper]],"-",Tableau119[[#This Row],[POL]],"-",Tableau119[[#This Row],[Compte Consignee]])</f>
        <v>95436-95436-FALSO-90016500</v>
      </c>
      <c r="D807" s="66" t="str">
        <f>_xlfn.CONCAT(Tableau119[[#This Row],[Compte ILN]],"-",Tableau119[[#This Row],[Compte Shipper]],"-",Tableau119[[#This Row],[POL]])</f>
        <v>95436-95436-FALSO</v>
      </c>
      <c r="E807" s="130" t="str">
        <f>_xlfn.CONCAT(Tableau119[[#This Row],[POL]],"-",Tableau119[[#This Row],[Carrier]],"-",Tableau119[[#This Row],[POD]])</f>
        <v>FALSO-FALSO-FALSO</v>
      </c>
      <c r="F807" s="66" t="str">
        <f>_xlfn.CONCAT(Tableau119[[#This Row],[ID]],"-","Actif")</f>
        <v>903-Actif</v>
      </c>
      <c r="G807" s="66" t="str">
        <f>_xlfn.CONCAT(Tableau119[[#This Row],[POD]],"-",Tableau119[[#This Row],[Code PFI]],"-",Tableau119[[#This Row],[Compte Consignee]])</f>
        <v>FALSO-91018400-90016500</v>
      </c>
      <c r="H8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BusanFALSOCACIA</v>
      </c>
      <c r="I807" s="434" t="str">
        <f>_xlfn.CONCAT(Tableau119[[#This Row],[ID]],"-",Tableau119[[#This Row],[Expiration Date]])</f>
        <v>903-45777</v>
      </c>
      <c r="J8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Busan-ILN Busan-903-FALSO-FALSO-FALSO-PFI VLL-45777</v>
      </c>
      <c r="K807" s="119" t="str">
        <f ca="1">IF(COUNTIF(J:J,Tableau119[[#This Row],[Plant-ILN-shipper-POL-Carrier-POD-PFI]])=1,"Non","Oui")</f>
        <v>Non</v>
      </c>
      <c r="L807" s="128" t="str">
        <f>VLOOKUP(Tableau119[[#This Row],[Name Site]],Plant_AILN!A:D,4,FALSE)</f>
        <v>PORTUGAL</v>
      </c>
      <c r="M807" s="415" t="s">
        <v>170</v>
      </c>
      <c r="N807" s="455">
        <f>VLOOKUP(Tableau119[[#This Row],[Name Site]],Plant_AILN!A:C,3,FALSE)</f>
        <v>90016500</v>
      </c>
      <c r="O807" s="104">
        <f>VLOOKUP(Tableau119[[#This Row],[Compte Consignee]],Order!C:D,2,FALSE)</f>
        <v>5</v>
      </c>
      <c r="P807" s="126" t="s">
        <v>166</v>
      </c>
      <c r="Q807" s="366">
        <f>VLOOKUP(Tableau119[[#This Row],[Name ILN]],Plant_AILN!F:G,2,FALSE)</f>
        <v>95436</v>
      </c>
      <c r="R807" s="81">
        <f>VLOOKUP(Tableau119[[#This Row],[Compte ILN]],'DATA ILN'!D:I,6,FALSE)</f>
        <v>9</v>
      </c>
      <c r="S807" s="81" t="e">
        <f>IFERROR(VLOOKUP(Tableau119[[#This Row],[Key(Compte ILN - shipper - POL - plant)]],'DATA ILN'!A:J,10,FALSE),VLOOKUP(Tableau119[[#This Row],[Key(Compte ILN - shipper - POL)]],'DATA ILN'!B:J,9,FALSE))</f>
        <v>#N/A</v>
      </c>
      <c r="T807" s="81" t="e">
        <f>IFERROR(VLOOKUP(Tableau119[[#This Row],[Key(Compte ILN - shipper - POL - plant)]],'DATA ILN'!A:K,11,FALSE),VLOOKUP(Tableau119[[#This Row],[Key(Compte ILN - shipper - POL)]],'DATA ILN'!B:K,10,FALSE))</f>
        <v>#N/A</v>
      </c>
      <c r="U807" s="81" t="e">
        <f>IFERROR(VLOOKUP(Tableau119[[#This Row],[Key(Compte ILN - shipper - POL - plant)]],'DATA ILN'!A:L,12,FALSE),VLOOKUP(Tableau119[[#This Row],[Key(Compte ILN - shipper - POL)]],'DATA ILN'!B:L,11,FALSE))</f>
        <v>#N/A</v>
      </c>
      <c r="V807" s="81" t="e">
        <f>Tableau119[[#This Row],[Day ILN Order]]+Tableau119[[#This Row],[Delivery time to ILN/Shipper]]-1</f>
        <v>#N/A</v>
      </c>
      <c r="W807" s="81" t="e">
        <f>IFERROR(VLOOKUP(Tableau119[[#This Row],[Key(Compte ILN - shipper - POL - plant)]],'DATA ILN'!A:N,14,FALSE),VLOOKUP(Tableau119[[#This Row],[Key(Compte ILN - shipper - POL)]],'DATA ILN'!B:N,13,FALSE))</f>
        <v>#N/A</v>
      </c>
      <c r="X807" s="81" t="e">
        <f>IFERROR(VLOOKUP(Tableau119[[#This Row],[Key(Compte ILN - shipper - POL - plant)]],'DATA ILN'!A:P,16,FALSE),VLOOKUP(Tableau119[[#This Row],[Key(Compte ILN - shipper - POL)]],'DATA ILN'!B:P,15,FALSE))</f>
        <v>#N/A</v>
      </c>
      <c r="Y807" s="102" t="s">
        <v>166</v>
      </c>
      <c r="Z807" s="417">
        <f>IFERROR(VLOOKUP(Tableau119[[#This Row],[Name Shipper]],Plant_AILN!L:M,2,FALSE),0)</f>
        <v>95436</v>
      </c>
      <c r="AA807" s="416">
        <v>903</v>
      </c>
      <c r="AB807" s="396" t="b">
        <f>_xlfn.XLOOKUP(Tableau119[[#This Row],[Key(ID-date)]],'DATA BTO'!S:S,'DATA BTO'!E:E,FALSE)</f>
        <v>0</v>
      </c>
      <c r="AC807" s="3" t="b">
        <f>_xlfn.XLOOKUP(Tableau119[[#This Row],[Key(ID-date)]],'DATA BTO'!S:S,'DATA BTO'!F:F,FALSE)</f>
        <v>0</v>
      </c>
      <c r="AD807" s="50" t="b">
        <f>_xlfn.XLOOKUP(Tableau119[[#This Row],[Key(ID-date)]],'DATA BTO'!S:S,'DATA BTO'!G:G,FALSE)</f>
        <v>0</v>
      </c>
      <c r="AE807" s="50" t="b">
        <f>_xlfn.XLOOKUP(Tableau119[[#This Row],[Key(ID-date)]],'DATA BTO'!S:S,'DATA BTO'!H:H,FALSE)</f>
        <v>0</v>
      </c>
      <c r="AF807" s="447" t="e">
        <f>IF(Tableau119[[#This Row],[First Day to POL]]&lt;=Tableau119[[#This Row],[Day Cut Off]],Tableau119[[#This Row],[Day ETD]],Tableau119[[#This Row],[Day ETD]]+7)</f>
        <v>#N/A</v>
      </c>
      <c r="AG807" s="50" t="b">
        <f>_xlfn.XLOOKUP(Tableau119[[#This Row],[Key(ID-date)]],'DATA BTO'!S:S,'DATA BTO'!I:I,FALSE)</f>
        <v>0</v>
      </c>
      <c r="AH807" s="3" t="b">
        <f>_xlfn.XLOOKUP(Tableau119[[#This Row],[Key(ID-date)]],'DATA BTO'!S:S,'DATA BTO'!J:J,FALSE)</f>
        <v>0</v>
      </c>
      <c r="AI807" s="3" t="b">
        <f>_xlfn.XLOOKUP(Tableau119[[#This Row],[Key(ID-date)]],'DATA BTO'!S:S,'DATA BTO'!K:K,FALSE)</f>
        <v>0</v>
      </c>
      <c r="AJ807" s="50" t="b">
        <f>_xlfn.XLOOKUP(Tableau119[[#This Row],[Key(ID-date)]],'DATA BTO'!S:S,'DATA BTO'!L:L,FALSE)</f>
        <v>0</v>
      </c>
      <c r="AK807" s="53" t="b">
        <f>_xlfn.XLOOKUP(Tableau119[[#This Row],[Key(ID-date)]],'DATA BTO'!S:S,'DATA BTO'!N:N,FALSE)</f>
        <v>0</v>
      </c>
      <c r="AL807" s="54" t="e">
        <f>VLOOKUP(Tableau119[[#This Row],[Key(POD -PFI- Usine)]],'DATA Consignee'!A:F,6,FALSE)</f>
        <v>#N/A</v>
      </c>
      <c r="AM807" s="102" t="s">
        <v>171</v>
      </c>
      <c r="AN807" s="375">
        <f>IF(Tableau119[[#This Row],[Name PFI/CDD]]="","-",VLOOKUP(Tableau119[[#This Row],[Name PFI/CDD]],Plant_AILN!I:J,2,FALSE))</f>
        <v>91018400</v>
      </c>
      <c r="AO807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07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07" s="110" t="e">
        <f>VLOOKUP(Tableau119[[#This Row],[Key(POD -PFI- Usine)]],'DATA Consignee'!A:J,10,FALSE)</f>
        <v>#N/A</v>
      </c>
      <c r="AR807" s="81" t="e">
        <f>VLOOKUP(Tableau119[[#This Row],[Key(POD -PFI- Usine)]],'DATA Consignee'!A:N,14,FALSE)</f>
        <v>#N/A</v>
      </c>
      <c r="AS80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7" s="81">
        <f>Tableau119[[#This Row],[Transit time]]+Tableau119[[#This Row],[Time for security]]+Tableau119[[#This Row],[Time for security2 buffer]]</f>
        <v>0</v>
      </c>
      <c r="AV80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7" s="50" t="e">
        <f>Tableau119[[#This Row],[Leadtime SI2C]]+Tableau119[[#This Row],[First Receipt Days]]-Tableau119[[#This Row],[Day Customer Order]]+1</f>
        <v>#N/A</v>
      </c>
      <c r="AX807" s="119" t="e">
        <f>IF(Tableau119[[#This Row],[Name ILN]]&lt;&gt;"SFK Freight Forwarder",Tableau119[[#This Row],[Cust. Leadtime]],Tableau119[[#This Row],[Leadtime SI2C]])</f>
        <v>#N/A</v>
      </c>
      <c r="AY807" s="51" t="b">
        <f>_xlfn.XLOOKUP(Tableau119[[#This Row],[Key(ID-date)]],'DATA BTO'!S:S,'DATA BTO'!P:P,FALSE)</f>
        <v>0</v>
      </c>
      <c r="AZ807" s="388">
        <v>45777</v>
      </c>
      <c r="BA807" s="81"/>
    </row>
    <row r="808" spans="2:53">
      <c r="B808" s="446" t="str">
        <f>_xlfn.CONCAT(Tableau119[[#This Row],[Name ILN]],"-",Tableau119[[#This Row],[Name Shipper]],"-",Tableau119[[#This Row],[Name Site]])</f>
        <v>ILN Busan-ILN Busan-SEVILLA</v>
      </c>
      <c r="C808" s="66" t="str">
        <f>_xlfn.CONCAT(Tableau119[[#This Row],[Compte ILN]],"-",Tableau119[[#This Row],[Compte Shipper]],"-",Tableau119[[#This Row],[POL]],"-",Tableau119[[#This Row],[Compte Consignee]])</f>
        <v>95436-95436-FALSO-91017500</v>
      </c>
      <c r="D808" s="66" t="str">
        <f>_xlfn.CONCAT(Tableau119[[#This Row],[Compte ILN]],"-",Tableau119[[#This Row],[Compte Shipper]],"-",Tableau119[[#This Row],[POL]])</f>
        <v>95436-95436-FALSO</v>
      </c>
      <c r="E808" s="130" t="str">
        <f>_xlfn.CONCAT(Tableau119[[#This Row],[POL]],"-",Tableau119[[#This Row],[Carrier]],"-",Tableau119[[#This Row],[POD]])</f>
        <v>FALSO-FALSO-FALSO</v>
      </c>
      <c r="F808" s="66" t="str">
        <f>_xlfn.CONCAT(Tableau119[[#This Row],[ID]],"-","Actif")</f>
        <v>903-Actif</v>
      </c>
      <c r="G808" s="66" t="str">
        <f>_xlfn.CONCAT(Tableau119[[#This Row],[POD]],"-",Tableau119[[#This Row],[Code PFI]],"-",Tableau119[[#This Row],[Compte Consignee]])</f>
        <v>FALSO-91018400-91017500</v>
      </c>
      <c r="H8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BusanFALSOSEVILLA</v>
      </c>
      <c r="I808" s="434" t="str">
        <f>_xlfn.CONCAT(Tableau119[[#This Row],[ID]],"-",Tableau119[[#This Row],[Expiration Date]])</f>
        <v>903-45777</v>
      </c>
      <c r="J8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Busan-ILN Busan-903-FALSO-FALSO-FALSO-PFI VLL-45777</v>
      </c>
      <c r="K808" s="119" t="str">
        <f ca="1">IF(COUNTIF(J:J,Tableau119[[#This Row],[Plant-ILN-shipper-POL-Carrier-POD-PFI]])=1,"Non","Oui")</f>
        <v>Non</v>
      </c>
      <c r="L808" s="128" t="str">
        <f>VLOOKUP(Tableau119[[#This Row],[Name Site]],Plant_AILN!A:D,4,FALSE)</f>
        <v>SPAIN</v>
      </c>
      <c r="M808" s="411" t="s">
        <v>172</v>
      </c>
      <c r="N808" s="454">
        <f>VLOOKUP(Tableau119[[#This Row],[Name Site]],Plant_AILN!A:C,3,FALSE)</f>
        <v>91017500</v>
      </c>
      <c r="O808" s="55">
        <f>VLOOKUP(Tableau119[[#This Row],[Compte Consignee]],Order!C:D,2,FALSE)</f>
        <v>7</v>
      </c>
      <c r="P808" s="124" t="s">
        <v>166</v>
      </c>
      <c r="Q808" s="365">
        <f>VLOOKUP(Tableau119[[#This Row],[Name ILN]],Plant_AILN!F:G,2,FALSE)</f>
        <v>95436</v>
      </c>
      <c r="R808" s="50">
        <f>VLOOKUP(Tableau119[[#This Row],[Compte ILN]],'DATA ILN'!D:I,6,FALSE)</f>
        <v>9</v>
      </c>
      <c r="S808" s="50" t="e">
        <f>IFERROR(VLOOKUP(Tableau119[[#This Row],[Key(Compte ILN - shipper - POL - plant)]],'DATA ILN'!A:J,10,FALSE),VLOOKUP(Tableau119[[#This Row],[Key(Compte ILN - shipper - POL)]],'DATA ILN'!B:J,9,FALSE))</f>
        <v>#N/A</v>
      </c>
      <c r="T808" s="50" t="e">
        <f>IFERROR(VLOOKUP(Tableau119[[#This Row],[Key(Compte ILN - shipper - POL - plant)]],'DATA ILN'!A:K,11,FALSE),VLOOKUP(Tableau119[[#This Row],[Key(Compte ILN - shipper - POL)]],'DATA ILN'!B:K,10,FALSE))</f>
        <v>#N/A</v>
      </c>
      <c r="U808" s="50" t="e">
        <f>IFERROR(VLOOKUP(Tableau119[[#This Row],[Key(Compte ILN - shipper - POL - plant)]],'DATA ILN'!A:L,12,FALSE),VLOOKUP(Tableau119[[#This Row],[Key(Compte ILN - shipper - POL)]],'DATA ILN'!B:L,11,FALSE))</f>
        <v>#N/A</v>
      </c>
      <c r="V808" s="50" t="e">
        <f>Tableau119[[#This Row],[Day ILN Order]]+Tableau119[[#This Row],[Delivery time to ILN/Shipper]]-1</f>
        <v>#N/A</v>
      </c>
      <c r="W808" s="50" t="e">
        <f>IFERROR(VLOOKUP(Tableau119[[#This Row],[Key(Compte ILN - shipper - POL - plant)]],'DATA ILN'!A:N,14,FALSE),VLOOKUP(Tableau119[[#This Row],[Key(Compte ILN - shipper - POL)]],'DATA ILN'!B:N,13,FALSE))</f>
        <v>#N/A</v>
      </c>
      <c r="X808" s="50" t="e">
        <f>IFERROR(VLOOKUP(Tableau119[[#This Row],[Key(Compte ILN - shipper - POL - plant)]],'DATA ILN'!A:P,16,FALSE),VLOOKUP(Tableau119[[#This Row],[Key(Compte ILN - shipper - POL)]],'DATA ILN'!B:P,15,FALSE))</f>
        <v>#N/A</v>
      </c>
      <c r="Y808" s="284" t="s">
        <v>166</v>
      </c>
      <c r="Z808" s="430">
        <f>IFERROR(VLOOKUP(Tableau119[[#This Row],[Name Shipper]],Plant_AILN!L:M,2,FALSE),0)</f>
        <v>95436</v>
      </c>
      <c r="AA808" s="406">
        <v>903</v>
      </c>
      <c r="AB808" s="396" t="b">
        <f>_xlfn.XLOOKUP(Tableau119[[#This Row],[Key(ID-date)]],'DATA BTO'!S:S,'DATA BTO'!E:E,FALSE)</f>
        <v>0</v>
      </c>
      <c r="AC808" s="3" t="b">
        <f>_xlfn.XLOOKUP(Tableau119[[#This Row],[Key(ID-date)]],'DATA BTO'!S:S,'DATA BTO'!F:F,FALSE)</f>
        <v>0</v>
      </c>
      <c r="AD808" s="50" t="b">
        <f>_xlfn.XLOOKUP(Tableau119[[#This Row],[Key(ID-date)]],'DATA BTO'!S:S,'DATA BTO'!G:G,FALSE)</f>
        <v>0</v>
      </c>
      <c r="AE808" s="50" t="b">
        <f>_xlfn.XLOOKUP(Tableau119[[#This Row],[Key(ID-date)]],'DATA BTO'!S:S,'DATA BTO'!H:H,FALSE)</f>
        <v>0</v>
      </c>
      <c r="AF808" s="447" t="e">
        <f>IF(Tableau119[[#This Row],[First Day to POL]]&lt;=Tableau119[[#This Row],[Day Cut Off]],Tableau119[[#This Row],[Day ETD]],Tableau119[[#This Row],[Day ETD]]+7)</f>
        <v>#N/A</v>
      </c>
      <c r="AG808" s="50" t="b">
        <f>_xlfn.XLOOKUP(Tableau119[[#This Row],[Key(ID-date)]],'DATA BTO'!S:S,'DATA BTO'!I:I,FALSE)</f>
        <v>0</v>
      </c>
      <c r="AH808" s="3" t="b">
        <f>_xlfn.XLOOKUP(Tableau119[[#This Row],[Key(ID-date)]],'DATA BTO'!S:S,'DATA BTO'!J:J,FALSE)</f>
        <v>0</v>
      </c>
      <c r="AI808" s="3" t="b">
        <f>_xlfn.XLOOKUP(Tableau119[[#This Row],[Key(ID-date)]],'DATA BTO'!S:S,'DATA BTO'!K:K,FALSE)</f>
        <v>0</v>
      </c>
      <c r="AJ808" s="50" t="b">
        <f>_xlfn.XLOOKUP(Tableau119[[#This Row],[Key(ID-date)]],'DATA BTO'!S:S,'DATA BTO'!L:L,FALSE)</f>
        <v>0</v>
      </c>
      <c r="AK808" s="53" t="b">
        <f>_xlfn.XLOOKUP(Tableau119[[#This Row],[Key(ID-date)]],'DATA BTO'!S:S,'DATA BTO'!N:N,FALSE)</f>
        <v>0</v>
      </c>
      <c r="AL808" s="54" t="e">
        <f>VLOOKUP(Tableau119[[#This Row],[Key(POD -PFI- Usine)]],'DATA Consignee'!A:F,6,FALSE)</f>
        <v>#N/A</v>
      </c>
      <c r="AM808" s="284" t="s">
        <v>171</v>
      </c>
      <c r="AN808" s="376">
        <f>IF(Tableau119[[#This Row],[Name PFI/CDD]]="","-",VLOOKUP(Tableau119[[#This Row],[Name PFI/CDD]],Plant_AILN!I:J,2,FALSE))</f>
        <v>91018400</v>
      </c>
      <c r="AO80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0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08" s="2" t="e">
        <f>VLOOKUP(Tableau119[[#This Row],[Key(POD -PFI- Usine)]],'DATA Consignee'!A:J,10,FALSE)</f>
        <v>#N/A</v>
      </c>
      <c r="AR808" s="50" t="e">
        <f>VLOOKUP(Tableau119[[#This Row],[Key(POD -PFI- Usine)]],'DATA Consignee'!A:N,14,FALSE)</f>
        <v>#N/A</v>
      </c>
      <c r="AS8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8" s="50">
        <f>Tableau119[[#This Row],[Transit time]]+Tableau119[[#This Row],[Time for security]]+Tableau119[[#This Row],[Time for security2 buffer]]</f>
        <v>0</v>
      </c>
      <c r="AV8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8" s="50" t="e">
        <f>Tableau119[[#This Row],[Leadtime SI2C]]+Tableau119[[#This Row],[First Receipt Days]]-Tableau119[[#This Row],[Day Customer Order]]+1</f>
        <v>#N/A</v>
      </c>
      <c r="AX808" s="119" t="e">
        <f>IF(Tableau119[[#This Row],[Name ILN]]&lt;&gt;"SFK Freight Forwarder",Tableau119[[#This Row],[Cust. Leadtime]],Tableau119[[#This Row],[Leadtime SI2C]])</f>
        <v>#N/A</v>
      </c>
      <c r="AY808" s="51" t="b">
        <f>_xlfn.XLOOKUP(Tableau119[[#This Row],[Key(ID-date)]],'DATA BTO'!S:S,'DATA BTO'!P:P,FALSE)</f>
        <v>0</v>
      </c>
      <c r="AZ808" s="338">
        <v>45777</v>
      </c>
      <c r="BA808" s="50"/>
    </row>
    <row r="809" spans="2:53">
      <c r="B809" s="446" t="str">
        <f>_xlfn.CONCAT(Tableau119[[#This Row],[Name ILN]],"-",Tableau119[[#This Row],[Name Shipper]],"-",Tableau119[[#This Row],[Name Site]])</f>
        <v>ILN Busan-ILN Busan-MOTORES</v>
      </c>
      <c r="C809" s="66" t="str">
        <f>_xlfn.CONCAT(Tableau119[[#This Row],[Compte ILN]],"-",Tableau119[[#This Row],[Compte Shipper]],"-",Tableau119[[#This Row],[POL]],"-",Tableau119[[#This Row],[Compte Consignee]])</f>
        <v>95436-95436-FALSO-91017700</v>
      </c>
      <c r="D809" s="66" t="str">
        <f>_xlfn.CONCAT(Tableau119[[#This Row],[Compte ILN]],"-",Tableau119[[#This Row],[Compte Shipper]],"-",Tableau119[[#This Row],[POL]])</f>
        <v>95436-95436-FALSO</v>
      </c>
      <c r="E809" s="130" t="str">
        <f>_xlfn.CONCAT(Tableau119[[#This Row],[POL]],"-",Tableau119[[#This Row],[Carrier]],"-",Tableau119[[#This Row],[POD]])</f>
        <v>FALSO-FALSO-FALSO</v>
      </c>
      <c r="F809" s="66" t="str">
        <f>_xlfn.CONCAT(Tableau119[[#This Row],[ID]],"-","Actif")</f>
        <v>903-Actif</v>
      </c>
      <c r="G809" s="66" t="str">
        <f>_xlfn.CONCAT(Tableau119[[#This Row],[POD]],"-",Tableau119[[#This Row],[Code PFI]],"-",Tableau119[[#This Row],[Compte Consignee]])</f>
        <v>FALSO---91017700</v>
      </c>
      <c r="H8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BusanFALSOMOTORES</v>
      </c>
      <c r="I809" s="434" t="str">
        <f>_xlfn.CONCAT(Tableau119[[#This Row],[ID]],"-",Tableau119[[#This Row],[Expiration Date]])</f>
        <v>903-45777</v>
      </c>
      <c r="J8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Busan-ILN Busan-903-FALSO-FALSO-FALSO--45777</v>
      </c>
      <c r="K809" s="119" t="str">
        <f ca="1">IF(COUNTIF(J:J,Tableau119[[#This Row],[Plant-ILN-shipper-POL-Carrier-POD-PFI]])=1,"Non","Oui")</f>
        <v>Non</v>
      </c>
      <c r="L809" s="128" t="str">
        <f>VLOOKUP(Tableau119[[#This Row],[Name Site]],Plant_AILN!A:D,4,FALSE)</f>
        <v>SPAIN</v>
      </c>
      <c r="M809" s="415" t="s">
        <v>63</v>
      </c>
      <c r="N809" s="455">
        <f>VLOOKUP(Tableau119[[#This Row],[Name Site]],Plant_AILN!A:C,3,FALSE)</f>
        <v>91017700</v>
      </c>
      <c r="O809" s="104">
        <f>VLOOKUP(Tableau119[[#This Row],[Compte Consignee]],Order!C:D,2,FALSE)</f>
        <v>7</v>
      </c>
      <c r="P809" s="126" t="s">
        <v>166</v>
      </c>
      <c r="Q809" s="366">
        <f>VLOOKUP(Tableau119[[#This Row],[Name ILN]],Plant_AILN!F:G,2,FALSE)</f>
        <v>95436</v>
      </c>
      <c r="R809" s="81">
        <f>VLOOKUP(Tableau119[[#This Row],[Compte ILN]],'DATA ILN'!D:I,6,FALSE)</f>
        <v>9</v>
      </c>
      <c r="S809" s="81" t="e">
        <f>IFERROR(VLOOKUP(Tableau119[[#This Row],[Key(Compte ILN - shipper - POL - plant)]],'DATA ILN'!A:J,10,FALSE),VLOOKUP(Tableau119[[#This Row],[Key(Compte ILN - shipper - POL)]],'DATA ILN'!B:J,9,FALSE))</f>
        <v>#N/A</v>
      </c>
      <c r="T809" s="81" t="e">
        <f>IFERROR(VLOOKUP(Tableau119[[#This Row],[Key(Compte ILN - shipper - POL - plant)]],'DATA ILN'!A:K,11,FALSE),VLOOKUP(Tableau119[[#This Row],[Key(Compte ILN - shipper - POL)]],'DATA ILN'!B:K,10,FALSE))</f>
        <v>#N/A</v>
      </c>
      <c r="U809" s="81" t="e">
        <f>IFERROR(VLOOKUP(Tableau119[[#This Row],[Key(Compte ILN - shipper - POL - plant)]],'DATA ILN'!A:L,12,FALSE),VLOOKUP(Tableau119[[#This Row],[Key(Compte ILN - shipper - POL)]],'DATA ILN'!B:L,11,FALSE))</f>
        <v>#N/A</v>
      </c>
      <c r="V809" s="81" t="e">
        <f>Tableau119[[#This Row],[Day ILN Order]]+Tableau119[[#This Row],[Delivery time to ILN/Shipper]]-1</f>
        <v>#N/A</v>
      </c>
      <c r="W809" s="81" t="e">
        <f>IFERROR(VLOOKUP(Tableau119[[#This Row],[Key(Compte ILN - shipper - POL - plant)]],'DATA ILN'!A:N,14,FALSE),VLOOKUP(Tableau119[[#This Row],[Key(Compte ILN - shipper - POL)]],'DATA ILN'!B:N,13,FALSE))</f>
        <v>#N/A</v>
      </c>
      <c r="X809" s="81" t="e">
        <f>IFERROR(VLOOKUP(Tableau119[[#This Row],[Key(Compte ILN - shipper - POL - plant)]],'DATA ILN'!A:P,16,FALSE),VLOOKUP(Tableau119[[#This Row],[Key(Compte ILN - shipper - POL)]],'DATA ILN'!B:P,15,FALSE))</f>
        <v>#N/A</v>
      </c>
      <c r="Y809" s="102" t="s">
        <v>166</v>
      </c>
      <c r="Z809" s="417">
        <f>IFERROR(VLOOKUP(Tableau119[[#This Row],[Name Shipper]],Plant_AILN!L:M,2,FALSE),0)</f>
        <v>95436</v>
      </c>
      <c r="AA809" s="416">
        <v>903</v>
      </c>
      <c r="AB809" s="396" t="b">
        <f>_xlfn.XLOOKUP(Tableau119[[#This Row],[Key(ID-date)]],'DATA BTO'!S:S,'DATA BTO'!E:E,FALSE)</f>
        <v>0</v>
      </c>
      <c r="AC809" s="3" t="b">
        <f>_xlfn.XLOOKUP(Tableau119[[#This Row],[Key(ID-date)]],'DATA BTO'!S:S,'DATA BTO'!F:F,FALSE)</f>
        <v>0</v>
      </c>
      <c r="AD809" s="50" t="b">
        <f>_xlfn.XLOOKUP(Tableau119[[#This Row],[Key(ID-date)]],'DATA BTO'!S:S,'DATA BTO'!G:G,FALSE)</f>
        <v>0</v>
      </c>
      <c r="AE809" s="50" t="b">
        <f>_xlfn.XLOOKUP(Tableau119[[#This Row],[Key(ID-date)]],'DATA BTO'!S:S,'DATA BTO'!H:H,FALSE)</f>
        <v>0</v>
      </c>
      <c r="AF809" s="447" t="e">
        <f>IF(Tableau119[[#This Row],[First Day to POL]]&lt;=Tableau119[[#This Row],[Day Cut Off]],Tableau119[[#This Row],[Day ETD]],Tableau119[[#This Row],[Day ETD]]+7)</f>
        <v>#N/A</v>
      </c>
      <c r="AG809" s="50" t="b">
        <f>_xlfn.XLOOKUP(Tableau119[[#This Row],[Key(ID-date)]],'DATA BTO'!S:S,'DATA BTO'!I:I,FALSE)</f>
        <v>0</v>
      </c>
      <c r="AH809" s="3" t="b">
        <f>_xlfn.XLOOKUP(Tableau119[[#This Row],[Key(ID-date)]],'DATA BTO'!S:S,'DATA BTO'!J:J,FALSE)</f>
        <v>0</v>
      </c>
      <c r="AI809" s="3" t="b">
        <f>_xlfn.XLOOKUP(Tableau119[[#This Row],[Key(ID-date)]],'DATA BTO'!S:S,'DATA BTO'!K:K,FALSE)</f>
        <v>0</v>
      </c>
      <c r="AJ809" s="50" t="b">
        <f>_xlfn.XLOOKUP(Tableau119[[#This Row],[Key(ID-date)]],'DATA BTO'!S:S,'DATA BTO'!L:L,FALSE)</f>
        <v>0</v>
      </c>
      <c r="AK809" s="53" t="b">
        <f>_xlfn.XLOOKUP(Tableau119[[#This Row],[Key(ID-date)]],'DATA BTO'!S:S,'DATA BTO'!N:N,FALSE)</f>
        <v>0</v>
      </c>
      <c r="AL809" s="54" t="e">
        <f>VLOOKUP(Tableau119[[#This Row],[Key(POD -PFI- Usine)]],'DATA Consignee'!A:F,6,FALSE)</f>
        <v>#N/A</v>
      </c>
      <c r="AM809" s="102"/>
      <c r="AN809" s="375" t="str">
        <f>IF(Tableau119[[#This Row],[Name PFI/CDD]]="","-",VLOOKUP(Tableau119[[#This Row],[Name PFI/CDD]],Plant_AILN!I:J,2,FALSE))</f>
        <v>-</v>
      </c>
      <c r="AO80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0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09" s="110" t="e">
        <f>VLOOKUP(Tableau119[[#This Row],[Key(POD -PFI- Usine)]],'DATA Consignee'!A:J,10,FALSE)</f>
        <v>#N/A</v>
      </c>
      <c r="AR809" s="81" t="e">
        <f>VLOOKUP(Tableau119[[#This Row],[Key(POD -PFI- Usine)]],'DATA Consignee'!A:N,14,FALSE)</f>
        <v>#N/A</v>
      </c>
      <c r="AS80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0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09" s="81">
        <f>Tableau119[[#This Row],[Transit time]]+Tableau119[[#This Row],[Time for security]]+Tableau119[[#This Row],[Time for security2 buffer]]</f>
        <v>0</v>
      </c>
      <c r="AV80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09" s="50" t="e">
        <f>Tableau119[[#This Row],[Leadtime SI2C]]+Tableau119[[#This Row],[First Receipt Days]]-Tableau119[[#This Row],[Day Customer Order]]+1</f>
        <v>#N/A</v>
      </c>
      <c r="AX809" s="119" t="e">
        <f>IF(Tableau119[[#This Row],[Name ILN]]&lt;&gt;"SFK Freight Forwarder",Tableau119[[#This Row],[Cust. Leadtime]],Tableau119[[#This Row],[Leadtime SI2C]])</f>
        <v>#N/A</v>
      </c>
      <c r="AY809" s="51" t="b">
        <f>_xlfn.XLOOKUP(Tableau119[[#This Row],[Key(ID-date)]],'DATA BTO'!S:S,'DATA BTO'!P:P,FALSE)</f>
        <v>0</v>
      </c>
      <c r="AZ809" s="388">
        <v>45777</v>
      </c>
      <c r="BA809" s="81"/>
    </row>
    <row r="810" spans="2:53">
      <c r="B810" s="446" t="str">
        <f>_xlfn.CONCAT(Tableau119[[#This Row],[Name ILN]],"-",Tableau119[[#This Row],[Name Shipper]],"-",Tableau119[[#This Row],[Name Site]])</f>
        <v>ILN Busan-ILN Busan-CACIA</v>
      </c>
      <c r="C810" s="66" t="str">
        <f>_xlfn.CONCAT(Tableau119[[#This Row],[Compte ILN]],"-",Tableau119[[#This Row],[Compte Shipper]],"-",Tableau119[[#This Row],[POL]],"-",Tableau119[[#This Row],[Compte Consignee]])</f>
        <v>95436-95436-FALSO-90016500</v>
      </c>
      <c r="D810" s="66" t="str">
        <f>_xlfn.CONCAT(Tableau119[[#This Row],[Compte ILN]],"-",Tableau119[[#This Row],[Compte Shipper]],"-",Tableau119[[#This Row],[POL]])</f>
        <v>95436-95436-FALSO</v>
      </c>
      <c r="E810" s="130" t="str">
        <f>_xlfn.CONCAT(Tableau119[[#This Row],[POL]],"-",Tableau119[[#This Row],[Carrier]],"-",Tableau119[[#This Row],[POD]])</f>
        <v>FALSO-FALSO-FALSO</v>
      </c>
      <c r="F810" s="66" t="str">
        <f>_xlfn.CONCAT(Tableau119[[#This Row],[ID]],"-","Actif")</f>
        <v>903-Actif</v>
      </c>
      <c r="G810" s="66" t="str">
        <f>_xlfn.CONCAT(Tableau119[[#This Row],[POD]],"-",Tableau119[[#This Row],[Code PFI]],"-",Tableau119[[#This Row],[Compte Consignee]])</f>
        <v>FALSO-91018400-90016500</v>
      </c>
      <c r="H8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BusanFALSOCACIA</v>
      </c>
      <c r="I810" s="434" t="str">
        <f>_xlfn.CONCAT(Tableau119[[#This Row],[ID]],"-",Tableau119[[#This Row],[Expiration Date]])</f>
        <v>903-45473</v>
      </c>
      <c r="J8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Busan-ILN Busan-903-FALSO-FALSO-FALSO-PFI VLL-45473</v>
      </c>
      <c r="K810" s="119" t="str">
        <f ca="1">IF(COUNTIF(J:J,Tableau119[[#This Row],[Plant-ILN-shipper-POL-Carrier-POD-PFI]])=1,"Non","Oui")</f>
        <v>Non</v>
      </c>
      <c r="L810" s="128" t="str">
        <f>VLOOKUP(Tableau119[[#This Row],[Name Site]],Plant_AILN!A:D,4,FALSE)</f>
        <v>PORTUGAL</v>
      </c>
      <c r="M810" s="411" t="s">
        <v>170</v>
      </c>
      <c r="N810" s="454">
        <f>VLOOKUP(Tableau119[[#This Row],[Name Site]],Plant_AILN!A:C,3,FALSE)</f>
        <v>90016500</v>
      </c>
      <c r="O810" s="55">
        <f>VLOOKUP(Tableau119[[#This Row],[Compte Consignee]],Order!C:D,2,FALSE)</f>
        <v>5</v>
      </c>
      <c r="P810" s="124" t="s">
        <v>166</v>
      </c>
      <c r="Q810" s="365">
        <f>VLOOKUP(Tableau119[[#This Row],[Name ILN]],Plant_AILN!F:G,2,FALSE)</f>
        <v>95436</v>
      </c>
      <c r="R810" s="50">
        <f>VLOOKUP(Tableau119[[#This Row],[Compte ILN]],'DATA ILN'!D:I,6,FALSE)</f>
        <v>9</v>
      </c>
      <c r="S810" s="50" t="e">
        <f>IFERROR(VLOOKUP(Tableau119[[#This Row],[Key(Compte ILN - shipper - POL - plant)]],'DATA ILN'!A:J,10,FALSE),VLOOKUP(Tableau119[[#This Row],[Key(Compte ILN - shipper - POL)]],'DATA ILN'!B:J,9,FALSE))</f>
        <v>#N/A</v>
      </c>
      <c r="T810" s="50" t="e">
        <f>IFERROR(VLOOKUP(Tableau119[[#This Row],[Key(Compte ILN - shipper - POL - plant)]],'DATA ILN'!A:K,11,FALSE),VLOOKUP(Tableau119[[#This Row],[Key(Compte ILN - shipper - POL)]],'DATA ILN'!B:K,10,FALSE))</f>
        <v>#N/A</v>
      </c>
      <c r="U810" s="50" t="e">
        <f>IFERROR(VLOOKUP(Tableau119[[#This Row],[Key(Compte ILN - shipper - POL - plant)]],'DATA ILN'!A:L,12,FALSE),VLOOKUP(Tableau119[[#This Row],[Key(Compte ILN - shipper - POL)]],'DATA ILN'!B:L,11,FALSE))</f>
        <v>#N/A</v>
      </c>
      <c r="V810" s="50" t="e">
        <f>Tableau119[[#This Row],[Day ILN Order]]+Tableau119[[#This Row],[Delivery time to ILN/Shipper]]-1</f>
        <v>#N/A</v>
      </c>
      <c r="W810" s="50" t="e">
        <f>IFERROR(VLOOKUP(Tableau119[[#This Row],[Key(Compte ILN - shipper - POL - plant)]],'DATA ILN'!A:N,14,FALSE),VLOOKUP(Tableau119[[#This Row],[Key(Compte ILN - shipper - POL)]],'DATA ILN'!B:N,13,FALSE))</f>
        <v>#N/A</v>
      </c>
      <c r="X810" s="50" t="e">
        <f>IFERROR(VLOOKUP(Tableau119[[#This Row],[Key(Compte ILN - shipper - POL - plant)]],'DATA ILN'!A:P,16,FALSE),VLOOKUP(Tableau119[[#This Row],[Key(Compte ILN - shipper - POL)]],'DATA ILN'!B:P,15,FALSE))</f>
        <v>#N/A</v>
      </c>
      <c r="Y810" s="284" t="s">
        <v>166</v>
      </c>
      <c r="Z810" s="430">
        <f>IFERROR(VLOOKUP(Tableau119[[#This Row],[Name Shipper]],Plant_AILN!L:M,2,FALSE),0)</f>
        <v>95436</v>
      </c>
      <c r="AA810" s="406">
        <v>903</v>
      </c>
      <c r="AB810" s="396" t="b">
        <f>_xlfn.XLOOKUP(Tableau119[[#This Row],[Key(ID-date)]],'DATA BTO'!S:S,'DATA BTO'!E:E,FALSE)</f>
        <v>0</v>
      </c>
      <c r="AC810" s="3" t="b">
        <f>_xlfn.XLOOKUP(Tableau119[[#This Row],[Key(ID-date)]],'DATA BTO'!S:S,'DATA BTO'!F:F,FALSE)</f>
        <v>0</v>
      </c>
      <c r="AD810" s="50" t="b">
        <f>_xlfn.XLOOKUP(Tableau119[[#This Row],[Key(ID-date)]],'DATA BTO'!S:S,'DATA BTO'!G:G,FALSE)</f>
        <v>0</v>
      </c>
      <c r="AE810" s="50" t="b">
        <f>_xlfn.XLOOKUP(Tableau119[[#This Row],[Key(ID-date)]],'DATA BTO'!S:S,'DATA BTO'!H:H,FALSE)</f>
        <v>0</v>
      </c>
      <c r="AF810" s="447" t="e">
        <f>IF(Tableau119[[#This Row],[First Day to POL]]&lt;=Tableau119[[#This Row],[Day Cut Off]],Tableau119[[#This Row],[Day ETD]],Tableau119[[#This Row],[Day ETD]]+7)</f>
        <v>#N/A</v>
      </c>
      <c r="AG810" s="50" t="b">
        <f>_xlfn.XLOOKUP(Tableau119[[#This Row],[Key(ID-date)]],'DATA BTO'!S:S,'DATA BTO'!I:I,FALSE)</f>
        <v>0</v>
      </c>
      <c r="AH810" s="3" t="b">
        <f>_xlfn.XLOOKUP(Tableau119[[#This Row],[Key(ID-date)]],'DATA BTO'!S:S,'DATA BTO'!J:J,FALSE)</f>
        <v>0</v>
      </c>
      <c r="AI810" s="3" t="b">
        <f>_xlfn.XLOOKUP(Tableau119[[#This Row],[Key(ID-date)]],'DATA BTO'!S:S,'DATA BTO'!K:K,FALSE)</f>
        <v>0</v>
      </c>
      <c r="AJ810" s="50" t="b">
        <f>_xlfn.XLOOKUP(Tableau119[[#This Row],[Key(ID-date)]],'DATA BTO'!S:S,'DATA BTO'!L:L,FALSE)</f>
        <v>0</v>
      </c>
      <c r="AK810" s="53" t="b">
        <f>_xlfn.XLOOKUP(Tableau119[[#This Row],[Key(ID-date)]],'DATA BTO'!S:S,'DATA BTO'!N:N,FALSE)</f>
        <v>0</v>
      </c>
      <c r="AL810" s="54" t="e">
        <f>VLOOKUP(Tableau119[[#This Row],[Key(POD -PFI- Usine)]],'DATA Consignee'!A:F,6,FALSE)</f>
        <v>#N/A</v>
      </c>
      <c r="AM810" s="284" t="s">
        <v>171</v>
      </c>
      <c r="AN810" s="376">
        <f>IF(Tableau119[[#This Row],[Name PFI/CDD]]="","-",VLOOKUP(Tableau119[[#This Row],[Name PFI/CDD]],Plant_AILN!I:J,2,FALSE))</f>
        <v>91018400</v>
      </c>
      <c r="AO810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10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10" s="2" t="e">
        <f>VLOOKUP(Tableau119[[#This Row],[Key(POD -PFI- Usine)]],'DATA Consignee'!A:J,10,FALSE)</f>
        <v>#N/A</v>
      </c>
      <c r="AR810" s="50" t="e">
        <f>VLOOKUP(Tableau119[[#This Row],[Key(POD -PFI- Usine)]],'DATA Consignee'!A:N,14,FALSE)</f>
        <v>#N/A</v>
      </c>
      <c r="AS8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10" s="50">
        <f>Tableau119[[#This Row],[Transit time]]+Tableau119[[#This Row],[Time for security]]+Tableau119[[#This Row],[Time for security2 buffer]]</f>
        <v>0</v>
      </c>
      <c r="AV8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10" s="50" t="e">
        <f>Tableau119[[#This Row],[Leadtime SI2C]]+Tableau119[[#This Row],[First Receipt Days]]-Tableau119[[#This Row],[Day Customer Order]]+1</f>
        <v>#N/A</v>
      </c>
      <c r="AX810" s="119" t="e">
        <f>IF(Tableau119[[#This Row],[Name ILN]]&lt;&gt;"SFK Freight Forwarder",Tableau119[[#This Row],[Cust. Leadtime]],Tableau119[[#This Row],[Leadtime SI2C]])</f>
        <v>#N/A</v>
      </c>
      <c r="AY810" s="51" t="b">
        <f>_xlfn.XLOOKUP(Tableau119[[#This Row],[Key(ID-date)]],'DATA BTO'!S:S,'DATA BTO'!P:P,FALSE)</f>
        <v>0</v>
      </c>
      <c r="AZ810" s="338">
        <v>45473</v>
      </c>
      <c r="BA810" s="50"/>
    </row>
    <row r="811" spans="2:53">
      <c r="B811" s="446" t="str">
        <f>_xlfn.CONCAT(Tableau119[[#This Row],[Name ILN]],"-",Tableau119[[#This Row],[Name Shipper]],"-",Tableau119[[#This Row],[Name Site]])</f>
        <v>ILN Busan-ILN Busan-SEVILLA</v>
      </c>
      <c r="C811" s="66" t="str">
        <f>_xlfn.CONCAT(Tableau119[[#This Row],[Compte ILN]],"-",Tableau119[[#This Row],[Compte Shipper]],"-",Tableau119[[#This Row],[POL]],"-",Tableau119[[#This Row],[Compte Consignee]])</f>
        <v>95436-95436-FALSO-91017500</v>
      </c>
      <c r="D811" s="66" t="str">
        <f>_xlfn.CONCAT(Tableau119[[#This Row],[Compte ILN]],"-",Tableau119[[#This Row],[Compte Shipper]],"-",Tableau119[[#This Row],[POL]])</f>
        <v>95436-95436-FALSO</v>
      </c>
      <c r="E811" s="130" t="str">
        <f>_xlfn.CONCAT(Tableau119[[#This Row],[POL]],"-",Tableau119[[#This Row],[Carrier]],"-",Tableau119[[#This Row],[POD]])</f>
        <v>FALSO-FALSO-FALSO</v>
      </c>
      <c r="F811" s="66" t="str">
        <f>_xlfn.CONCAT(Tableau119[[#This Row],[ID]],"-","Actif")</f>
        <v>903-Actif</v>
      </c>
      <c r="G811" s="66" t="str">
        <f>_xlfn.CONCAT(Tableau119[[#This Row],[POD]],"-",Tableau119[[#This Row],[Code PFI]],"-",Tableau119[[#This Row],[Compte Consignee]])</f>
        <v>FALSO-91018400-91017500</v>
      </c>
      <c r="H8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BusanFALSOSEVILLA</v>
      </c>
      <c r="I811" s="434" t="str">
        <f>_xlfn.CONCAT(Tableau119[[#This Row],[ID]],"-",Tableau119[[#This Row],[Expiration Date]])</f>
        <v>903-45473</v>
      </c>
      <c r="J8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Busan-ILN Busan-903-FALSO-FALSO-FALSO-PFI VLL-45473</v>
      </c>
      <c r="K811" s="119" t="str">
        <f ca="1">IF(COUNTIF(J:J,Tableau119[[#This Row],[Plant-ILN-shipper-POL-Carrier-POD-PFI]])=1,"Non","Oui")</f>
        <v>Non</v>
      </c>
      <c r="L811" s="128" t="str">
        <f>VLOOKUP(Tableau119[[#This Row],[Name Site]],Plant_AILN!A:D,4,FALSE)</f>
        <v>SPAIN</v>
      </c>
      <c r="M811" s="415" t="s">
        <v>172</v>
      </c>
      <c r="N811" s="455">
        <f>VLOOKUP(Tableau119[[#This Row],[Name Site]],Plant_AILN!A:C,3,FALSE)</f>
        <v>91017500</v>
      </c>
      <c r="O811" s="104">
        <f>VLOOKUP(Tableau119[[#This Row],[Compte Consignee]],Order!C:D,2,FALSE)</f>
        <v>7</v>
      </c>
      <c r="P811" s="126" t="s">
        <v>166</v>
      </c>
      <c r="Q811" s="366">
        <f>VLOOKUP(Tableau119[[#This Row],[Name ILN]],Plant_AILN!F:G,2,FALSE)</f>
        <v>95436</v>
      </c>
      <c r="R811" s="81">
        <f>VLOOKUP(Tableau119[[#This Row],[Compte ILN]],'DATA ILN'!D:I,6,FALSE)</f>
        <v>9</v>
      </c>
      <c r="S811" s="81" t="e">
        <f>IFERROR(VLOOKUP(Tableau119[[#This Row],[Key(Compte ILN - shipper - POL - plant)]],'DATA ILN'!A:J,10,FALSE),VLOOKUP(Tableau119[[#This Row],[Key(Compte ILN - shipper - POL)]],'DATA ILN'!B:J,9,FALSE))</f>
        <v>#N/A</v>
      </c>
      <c r="T811" s="81" t="e">
        <f>IFERROR(VLOOKUP(Tableau119[[#This Row],[Key(Compte ILN - shipper - POL - plant)]],'DATA ILN'!A:K,11,FALSE),VLOOKUP(Tableau119[[#This Row],[Key(Compte ILN - shipper - POL)]],'DATA ILN'!B:K,10,FALSE))</f>
        <v>#N/A</v>
      </c>
      <c r="U811" s="81" t="e">
        <f>IFERROR(VLOOKUP(Tableau119[[#This Row],[Key(Compte ILN - shipper - POL - plant)]],'DATA ILN'!A:L,12,FALSE),VLOOKUP(Tableau119[[#This Row],[Key(Compte ILN - shipper - POL)]],'DATA ILN'!B:L,11,FALSE))</f>
        <v>#N/A</v>
      </c>
      <c r="V811" s="81" t="e">
        <f>Tableau119[[#This Row],[Day ILN Order]]+Tableau119[[#This Row],[Delivery time to ILN/Shipper]]-1</f>
        <v>#N/A</v>
      </c>
      <c r="W811" s="81" t="e">
        <f>IFERROR(VLOOKUP(Tableau119[[#This Row],[Key(Compte ILN - shipper - POL - plant)]],'DATA ILN'!A:N,14,FALSE),VLOOKUP(Tableau119[[#This Row],[Key(Compte ILN - shipper - POL)]],'DATA ILN'!B:N,13,FALSE))</f>
        <v>#N/A</v>
      </c>
      <c r="X811" s="81" t="e">
        <f>IFERROR(VLOOKUP(Tableau119[[#This Row],[Key(Compte ILN - shipper - POL - plant)]],'DATA ILN'!A:P,16,FALSE),VLOOKUP(Tableau119[[#This Row],[Key(Compte ILN - shipper - POL)]],'DATA ILN'!B:P,15,FALSE))</f>
        <v>#N/A</v>
      </c>
      <c r="Y811" s="102" t="s">
        <v>166</v>
      </c>
      <c r="Z811" s="417">
        <f>IFERROR(VLOOKUP(Tableau119[[#This Row],[Name Shipper]],Plant_AILN!L:M,2,FALSE),0)</f>
        <v>95436</v>
      </c>
      <c r="AA811" s="416">
        <v>903</v>
      </c>
      <c r="AB811" s="396" t="b">
        <f>_xlfn.XLOOKUP(Tableau119[[#This Row],[Key(ID-date)]],'DATA BTO'!S:S,'DATA BTO'!E:E,FALSE)</f>
        <v>0</v>
      </c>
      <c r="AC811" s="3" t="b">
        <f>_xlfn.XLOOKUP(Tableau119[[#This Row],[Key(ID-date)]],'DATA BTO'!S:S,'DATA BTO'!F:F,FALSE)</f>
        <v>0</v>
      </c>
      <c r="AD811" s="50" t="b">
        <f>_xlfn.XLOOKUP(Tableau119[[#This Row],[Key(ID-date)]],'DATA BTO'!S:S,'DATA BTO'!G:G,FALSE)</f>
        <v>0</v>
      </c>
      <c r="AE811" s="50" t="b">
        <f>_xlfn.XLOOKUP(Tableau119[[#This Row],[Key(ID-date)]],'DATA BTO'!S:S,'DATA BTO'!H:H,FALSE)</f>
        <v>0</v>
      </c>
      <c r="AF811" s="447" t="e">
        <f>IF(Tableau119[[#This Row],[First Day to POL]]&lt;=Tableau119[[#This Row],[Day Cut Off]],Tableau119[[#This Row],[Day ETD]],Tableau119[[#This Row],[Day ETD]]+7)</f>
        <v>#N/A</v>
      </c>
      <c r="AG811" s="50" t="b">
        <f>_xlfn.XLOOKUP(Tableau119[[#This Row],[Key(ID-date)]],'DATA BTO'!S:S,'DATA BTO'!I:I,FALSE)</f>
        <v>0</v>
      </c>
      <c r="AH811" s="3" t="b">
        <f>_xlfn.XLOOKUP(Tableau119[[#This Row],[Key(ID-date)]],'DATA BTO'!S:S,'DATA BTO'!J:J,FALSE)</f>
        <v>0</v>
      </c>
      <c r="AI811" s="3" t="b">
        <f>_xlfn.XLOOKUP(Tableau119[[#This Row],[Key(ID-date)]],'DATA BTO'!S:S,'DATA BTO'!K:K,FALSE)</f>
        <v>0</v>
      </c>
      <c r="AJ811" s="50" t="b">
        <f>_xlfn.XLOOKUP(Tableau119[[#This Row],[Key(ID-date)]],'DATA BTO'!S:S,'DATA BTO'!L:L,FALSE)</f>
        <v>0</v>
      </c>
      <c r="AK811" s="53" t="b">
        <f>_xlfn.XLOOKUP(Tableau119[[#This Row],[Key(ID-date)]],'DATA BTO'!S:S,'DATA BTO'!N:N,FALSE)</f>
        <v>0</v>
      </c>
      <c r="AL811" s="54" t="e">
        <f>VLOOKUP(Tableau119[[#This Row],[Key(POD -PFI- Usine)]],'DATA Consignee'!A:F,6,FALSE)</f>
        <v>#N/A</v>
      </c>
      <c r="AM811" s="102" t="s">
        <v>171</v>
      </c>
      <c r="AN811" s="375">
        <f>IF(Tableau119[[#This Row],[Name PFI/CDD]]="","-",VLOOKUP(Tableau119[[#This Row],[Name PFI/CDD]],Plant_AILN!I:J,2,FALSE))</f>
        <v>91018400</v>
      </c>
      <c r="AO811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811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811" s="110" t="e">
        <f>VLOOKUP(Tableau119[[#This Row],[Key(POD -PFI- Usine)]],'DATA Consignee'!A:J,10,FALSE)</f>
        <v>#N/A</v>
      </c>
      <c r="AR811" s="81" t="e">
        <f>VLOOKUP(Tableau119[[#This Row],[Key(POD -PFI- Usine)]],'DATA Consignee'!A:N,14,FALSE)</f>
        <v>#N/A</v>
      </c>
      <c r="AS81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1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11" s="81">
        <f>Tableau119[[#This Row],[Transit time]]+Tableau119[[#This Row],[Time for security]]+Tableau119[[#This Row],[Time for security2 buffer]]</f>
        <v>0</v>
      </c>
      <c r="AV8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11" s="50" t="e">
        <f>Tableau119[[#This Row],[Leadtime SI2C]]+Tableau119[[#This Row],[First Receipt Days]]-Tableau119[[#This Row],[Day Customer Order]]+1</f>
        <v>#N/A</v>
      </c>
      <c r="AX811" s="119" t="e">
        <f>IF(Tableau119[[#This Row],[Name ILN]]&lt;&gt;"SFK Freight Forwarder",Tableau119[[#This Row],[Cust. Leadtime]],Tableau119[[#This Row],[Leadtime SI2C]])</f>
        <v>#N/A</v>
      </c>
      <c r="AY811" s="51" t="b">
        <f>_xlfn.XLOOKUP(Tableau119[[#This Row],[Key(ID-date)]],'DATA BTO'!S:S,'DATA BTO'!P:P,FALSE)</f>
        <v>0</v>
      </c>
      <c r="AZ811" s="388">
        <v>45473</v>
      </c>
      <c r="BA811" s="81"/>
    </row>
    <row r="812" spans="2:53">
      <c r="B812" s="446" t="str">
        <f>_xlfn.CONCAT(Tableau119[[#This Row],[Name ILN]],"-",Tableau119[[#This Row],[Name Shipper]],"-",Tableau119[[#This Row],[Name Site]])</f>
        <v>ILN Busan-ILN Busan-MOTORES</v>
      </c>
      <c r="C812" s="66" t="str">
        <f>_xlfn.CONCAT(Tableau119[[#This Row],[Compte ILN]],"-",Tableau119[[#This Row],[Compte Shipper]],"-",Tableau119[[#This Row],[POL]],"-",Tableau119[[#This Row],[Compte Consignee]])</f>
        <v>95436-95436-FALSO-91017700</v>
      </c>
      <c r="D812" s="66" t="str">
        <f>_xlfn.CONCAT(Tableau119[[#This Row],[Compte ILN]],"-",Tableau119[[#This Row],[Compte Shipper]],"-",Tableau119[[#This Row],[POL]])</f>
        <v>95436-95436-FALSO</v>
      </c>
      <c r="E812" s="130" t="str">
        <f>_xlfn.CONCAT(Tableau119[[#This Row],[POL]],"-",Tableau119[[#This Row],[Carrier]],"-",Tableau119[[#This Row],[POD]])</f>
        <v>FALSO-FALSO-FALSO</v>
      </c>
      <c r="F812" s="66" t="str">
        <f>_xlfn.CONCAT(Tableau119[[#This Row],[ID]],"-","Actif")</f>
        <v>903-Actif</v>
      </c>
      <c r="G812" s="66" t="str">
        <f>_xlfn.CONCAT(Tableau119[[#This Row],[POD]],"-",Tableau119[[#This Row],[Code PFI]],"-",Tableau119[[#This Row],[Compte Consignee]])</f>
        <v>FALSO---91017700</v>
      </c>
      <c r="H8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BusanFALSOMOTORES</v>
      </c>
      <c r="I812" s="434" t="str">
        <f>_xlfn.CONCAT(Tableau119[[#This Row],[ID]],"-",Tableau119[[#This Row],[Expiration Date]])</f>
        <v>903-45473</v>
      </c>
      <c r="J8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Busan-ILN Busan-903-FALSO-FALSO-FALSO--45473</v>
      </c>
      <c r="K812" s="119" t="str">
        <f ca="1">IF(COUNTIF(J:J,Tableau119[[#This Row],[Plant-ILN-shipper-POL-Carrier-POD-PFI]])=1,"Non","Oui")</f>
        <v>Non</v>
      </c>
      <c r="L812" s="128" t="str">
        <f>VLOOKUP(Tableau119[[#This Row],[Name Site]],Plant_AILN!A:D,4,FALSE)</f>
        <v>SPAIN</v>
      </c>
      <c r="M812" s="411" t="s">
        <v>63</v>
      </c>
      <c r="N812" s="454">
        <f>VLOOKUP(Tableau119[[#This Row],[Name Site]],Plant_AILN!A:C,3,FALSE)</f>
        <v>91017700</v>
      </c>
      <c r="O812" s="55">
        <f>VLOOKUP(Tableau119[[#This Row],[Compte Consignee]],Order!C:D,2,FALSE)</f>
        <v>7</v>
      </c>
      <c r="P812" s="124" t="s">
        <v>166</v>
      </c>
      <c r="Q812" s="365">
        <f>VLOOKUP(Tableau119[[#This Row],[Name ILN]],Plant_AILN!F:G,2,FALSE)</f>
        <v>95436</v>
      </c>
      <c r="R812" s="50">
        <f>VLOOKUP(Tableau119[[#This Row],[Compte ILN]],'DATA ILN'!D:I,6,FALSE)</f>
        <v>9</v>
      </c>
      <c r="S812" s="50" t="e">
        <f>IFERROR(VLOOKUP(Tableau119[[#This Row],[Key(Compte ILN - shipper - POL - plant)]],'DATA ILN'!A:J,10,FALSE),VLOOKUP(Tableau119[[#This Row],[Key(Compte ILN - shipper - POL)]],'DATA ILN'!B:J,9,FALSE))</f>
        <v>#N/A</v>
      </c>
      <c r="T812" s="50" t="e">
        <f>IFERROR(VLOOKUP(Tableau119[[#This Row],[Key(Compte ILN - shipper - POL - plant)]],'DATA ILN'!A:K,11,FALSE),VLOOKUP(Tableau119[[#This Row],[Key(Compte ILN - shipper - POL)]],'DATA ILN'!B:K,10,FALSE))</f>
        <v>#N/A</v>
      </c>
      <c r="U812" s="50" t="e">
        <f>IFERROR(VLOOKUP(Tableau119[[#This Row],[Key(Compte ILN - shipper - POL - plant)]],'DATA ILN'!A:L,12,FALSE),VLOOKUP(Tableau119[[#This Row],[Key(Compte ILN - shipper - POL)]],'DATA ILN'!B:L,11,FALSE))</f>
        <v>#N/A</v>
      </c>
      <c r="V812" s="50" t="e">
        <f>Tableau119[[#This Row],[Day ILN Order]]+Tableau119[[#This Row],[Delivery time to ILN/Shipper]]-1</f>
        <v>#N/A</v>
      </c>
      <c r="W812" s="50" t="e">
        <f>IFERROR(VLOOKUP(Tableau119[[#This Row],[Key(Compte ILN - shipper - POL - plant)]],'DATA ILN'!A:N,14,FALSE),VLOOKUP(Tableau119[[#This Row],[Key(Compte ILN - shipper - POL)]],'DATA ILN'!B:N,13,FALSE))</f>
        <v>#N/A</v>
      </c>
      <c r="X812" s="50" t="e">
        <f>IFERROR(VLOOKUP(Tableau119[[#This Row],[Key(Compte ILN - shipper - POL - plant)]],'DATA ILN'!A:P,16,FALSE),VLOOKUP(Tableau119[[#This Row],[Key(Compte ILN - shipper - POL)]],'DATA ILN'!B:P,15,FALSE))</f>
        <v>#N/A</v>
      </c>
      <c r="Y812" s="284" t="s">
        <v>166</v>
      </c>
      <c r="Z812" s="430">
        <f>IFERROR(VLOOKUP(Tableau119[[#This Row],[Name Shipper]],Plant_AILN!L:M,2,FALSE),0)</f>
        <v>95436</v>
      </c>
      <c r="AA812" s="406">
        <v>903</v>
      </c>
      <c r="AB812" s="396" t="b">
        <f>_xlfn.XLOOKUP(Tableau119[[#This Row],[Key(ID-date)]],'DATA BTO'!S:S,'DATA BTO'!E:E,FALSE)</f>
        <v>0</v>
      </c>
      <c r="AC812" s="3" t="b">
        <f>_xlfn.XLOOKUP(Tableau119[[#This Row],[Key(ID-date)]],'DATA BTO'!S:S,'DATA BTO'!F:F,FALSE)</f>
        <v>0</v>
      </c>
      <c r="AD812" s="50" t="b">
        <f>_xlfn.XLOOKUP(Tableau119[[#This Row],[Key(ID-date)]],'DATA BTO'!S:S,'DATA BTO'!G:G,FALSE)</f>
        <v>0</v>
      </c>
      <c r="AE812" s="50" t="b">
        <f>_xlfn.XLOOKUP(Tableau119[[#This Row],[Key(ID-date)]],'DATA BTO'!S:S,'DATA BTO'!H:H,FALSE)</f>
        <v>0</v>
      </c>
      <c r="AF812" s="447" t="e">
        <f>IF(Tableau119[[#This Row],[First Day to POL]]&lt;=Tableau119[[#This Row],[Day Cut Off]],Tableau119[[#This Row],[Day ETD]],Tableau119[[#This Row],[Day ETD]]+7)</f>
        <v>#N/A</v>
      </c>
      <c r="AG812" s="50" t="b">
        <f>_xlfn.XLOOKUP(Tableau119[[#This Row],[Key(ID-date)]],'DATA BTO'!S:S,'DATA BTO'!I:I,FALSE)</f>
        <v>0</v>
      </c>
      <c r="AH812" s="3" t="b">
        <f>_xlfn.XLOOKUP(Tableau119[[#This Row],[Key(ID-date)]],'DATA BTO'!S:S,'DATA BTO'!J:J,FALSE)</f>
        <v>0</v>
      </c>
      <c r="AI812" s="3" t="b">
        <f>_xlfn.XLOOKUP(Tableau119[[#This Row],[Key(ID-date)]],'DATA BTO'!S:S,'DATA BTO'!K:K,FALSE)</f>
        <v>0</v>
      </c>
      <c r="AJ812" s="50" t="b">
        <f>_xlfn.XLOOKUP(Tableau119[[#This Row],[Key(ID-date)]],'DATA BTO'!S:S,'DATA BTO'!L:L,FALSE)</f>
        <v>0</v>
      </c>
      <c r="AK812" s="53" t="b">
        <f>_xlfn.XLOOKUP(Tableau119[[#This Row],[Key(ID-date)]],'DATA BTO'!S:S,'DATA BTO'!N:N,FALSE)</f>
        <v>0</v>
      </c>
      <c r="AL812" s="54" t="e">
        <f>VLOOKUP(Tableau119[[#This Row],[Key(POD -PFI- Usine)]],'DATA Consignee'!A:F,6,FALSE)</f>
        <v>#N/A</v>
      </c>
      <c r="AM812" s="284"/>
      <c r="AN812" s="376" t="str">
        <f>IF(Tableau119[[#This Row],[Name PFI/CDD]]="","-",VLOOKUP(Tableau119[[#This Row],[Name PFI/CDD]],Plant_AILN!I:J,2,FALSE))</f>
        <v>-</v>
      </c>
      <c r="AO8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2" s="2" t="e">
        <f>VLOOKUP(Tableau119[[#This Row],[Key(POD -PFI- Usine)]],'DATA Consignee'!A:J,10,FALSE)</f>
        <v>#N/A</v>
      </c>
      <c r="AR812" s="50" t="e">
        <f>VLOOKUP(Tableau119[[#This Row],[Key(POD -PFI- Usine)]],'DATA Consignee'!A:N,14,FALSE)</f>
        <v>#N/A</v>
      </c>
      <c r="AS8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12" s="50">
        <f>Tableau119[[#This Row],[Transit time]]+Tableau119[[#This Row],[Time for security]]+Tableau119[[#This Row],[Time for security2 buffer]]</f>
        <v>0</v>
      </c>
      <c r="AV8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12" s="50" t="e">
        <f>Tableau119[[#This Row],[Leadtime SI2C]]+Tableau119[[#This Row],[First Receipt Days]]-Tableau119[[#This Row],[Day Customer Order]]+1</f>
        <v>#N/A</v>
      </c>
      <c r="AX812" s="119" t="e">
        <f>IF(Tableau119[[#This Row],[Name ILN]]&lt;&gt;"SFK Freight Forwarder",Tableau119[[#This Row],[Cust. Leadtime]],Tableau119[[#This Row],[Leadtime SI2C]])</f>
        <v>#N/A</v>
      </c>
      <c r="AY812" s="51" t="b">
        <f>_xlfn.XLOOKUP(Tableau119[[#This Row],[Key(ID-date)]],'DATA BTO'!S:S,'DATA BTO'!P:P,FALSE)</f>
        <v>0</v>
      </c>
      <c r="AZ812" s="338">
        <v>45473</v>
      </c>
      <c r="BA812" s="50"/>
    </row>
    <row r="813" spans="2:53">
      <c r="B813" s="66" t="str">
        <f>_xlfn.CONCAT(Tableau119[[#This Row],[Name ILN]],"-",Tableau119[[#This Row],[Name Shipper]],"-",Tableau119[[#This Row],[Name Site]])</f>
        <v>ILN Busan-ILN Busan-OYAK MEKA</v>
      </c>
      <c r="C813" s="66" t="str">
        <f>_xlfn.CONCAT(Tableau119[[#This Row],[Compte ILN]],"-",Tableau119[[#This Row],[Compte Shipper]],"-",Tableau119[[#This Row],[POL]],"-",Tableau119[[#This Row],[Compte Consignee]])</f>
        <v>95436-95436-KRPUS-90014400</v>
      </c>
      <c r="D813" s="66" t="str">
        <f>_xlfn.CONCAT(Tableau119[[#This Row],[Compte ILN]],"-",Tableau119[[#This Row],[Compte Shipper]],"-",Tableau119[[#This Row],[POL]])</f>
        <v>95436-95436-KRPUS</v>
      </c>
      <c r="E813" s="130" t="str">
        <f>_xlfn.CONCAT(Tableau119[[#This Row],[POL]],"-",Tableau119[[#This Row],[Carrier]],"-",Tableau119[[#This Row],[POD]])</f>
        <v>KRPUS-CMA-CGM-TRIZT</v>
      </c>
      <c r="F813" s="66" t="str">
        <f>_xlfn.CONCAT(Tableau119[[#This Row],[ID]],"-","Actif")</f>
        <v>904-Actif</v>
      </c>
      <c r="G813" s="66" t="str">
        <f>_xlfn.CONCAT(Tableau119[[#This Row],[POD]],"-",Tableau119[[#This Row],[Code PFI]],"-",Tableau119[[#This Row],[Compte Consignee]])</f>
        <v>TRIZT---90014400</v>
      </c>
      <c r="H8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BusanKRPUSOYAK MEKA</v>
      </c>
      <c r="I813" s="434" t="str">
        <f>_xlfn.CONCAT(Tableau119[[#This Row],[ID]],"-",Tableau119[[#This Row],[Expiration Date]])</f>
        <v>904-46142</v>
      </c>
      <c r="J8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Busan-ILN Busan-904-KRPUS-CMA-CGM-TRIZT--46142</v>
      </c>
      <c r="K813" s="119" t="str">
        <f ca="1">IF(COUNTIF(J:J,Tableau119[[#This Row],[Plant-ILN-shipper-POL-Carrier-POD-PFI]])=1,"Non","Oui")</f>
        <v>Non</v>
      </c>
      <c r="L813" s="128" t="str">
        <f>VLOOKUP(Tableau119[[#This Row],[Name Site]],Plant_AILN!A:D,4,FALSE)</f>
        <v>TURKEY</v>
      </c>
      <c r="M813" s="412" t="s">
        <v>165</v>
      </c>
      <c r="N813" s="454">
        <f>VLOOKUP(Tableau119[[#This Row],[Name Site]],Plant_AILN!A:C,3,FALSE)</f>
        <v>90014400</v>
      </c>
      <c r="O813" s="55">
        <f>IF(Tableau119[[#This Row],[Name PFI/CDD]]="PFI VLL",2,VLOOKUP(Tableau119[[#This Row],[Compte Consignee]],Order!C:D,2,FALSE))</f>
        <v>2</v>
      </c>
      <c r="P813" s="124" t="s">
        <v>166</v>
      </c>
      <c r="Q813" s="365">
        <f>VLOOKUP(Tableau119[[#This Row],[Name ILN]],Plant_AILN!F:G,2,FALSE)</f>
        <v>95436</v>
      </c>
      <c r="R813" s="50">
        <f>VLOOKUP(Tableau119[[#This Row],[Compte ILN]],'DATA ILN'!D:I,6,FALSE)</f>
        <v>9</v>
      </c>
      <c r="S813" s="50">
        <f>IFERROR(VLOOKUP(Tableau119[[#This Row],[Key(Compte ILN - shipper - POL - plant)]],'DATA ILN'!A:J,10,FALSE),VLOOKUP(Tableau119[[#This Row],[Key(Compte ILN - shipper - POL)]],'DATA ILN'!B:J,9,FALSE))</f>
        <v>14</v>
      </c>
      <c r="T813" s="50">
        <f>IFERROR(VLOOKUP(Tableau119[[#This Row],[Key(Compte ILN - shipper - POL - plant)]],'DATA ILN'!A:K,11,FALSE),VLOOKUP(Tableau119[[#This Row],[Key(Compte ILN - shipper - POL)]],'DATA ILN'!B:K,10,FALSE))</f>
        <v>5</v>
      </c>
      <c r="U813" s="50">
        <f>IFERROR(VLOOKUP(Tableau119[[#This Row],[Key(Compte ILN - shipper - POL - plant)]],'DATA ILN'!A:L,12,FALSE),VLOOKUP(Tableau119[[#This Row],[Key(Compte ILN - shipper - POL)]],'DATA ILN'!B:L,11,FALSE))</f>
        <v>7</v>
      </c>
      <c r="V813" s="50">
        <f>Tableau119[[#This Row],[Day ILN Order]]+Tableau119[[#This Row],[Delivery time to ILN/Shipper]]-1</f>
        <v>22</v>
      </c>
      <c r="W813" s="50">
        <f>IFERROR(VLOOKUP(Tableau119[[#This Row],[Key(Compte ILN - shipper - POL - plant)]],'DATA ILN'!A:N,14,FALSE),VLOOKUP(Tableau119[[#This Row],[Key(Compte ILN - shipper - POL)]],'DATA ILN'!B:N,13,FALSE))</f>
        <v>1</v>
      </c>
      <c r="X813" s="50">
        <f>IFERROR(VLOOKUP(Tableau119[[#This Row],[Key(Compte ILN - shipper - POL - plant)]],'DATA ILN'!A:P,16,FALSE),VLOOKUP(Tableau119[[#This Row],[Key(Compte ILN - shipper - POL)]],'DATA ILN'!B:P,15,FALSE))</f>
        <v>3</v>
      </c>
      <c r="Y813" s="284" t="s">
        <v>166</v>
      </c>
      <c r="Z813" s="430">
        <f>IFERROR(VLOOKUP(Tableau119[[#This Row],[Name Shipper]],Plant_AILN!L:M,2,FALSE),0)</f>
        <v>95436</v>
      </c>
      <c r="AA813" s="406">
        <v>904</v>
      </c>
      <c r="AB813" s="396" t="str">
        <f>_xlfn.XLOOKUP(Tableau119[[#This Row],[Key(ID-date)]],'DATA BTO'!S:S,'DATA BTO'!E:E,FALSE)</f>
        <v>KRPUS</v>
      </c>
      <c r="AC813" s="3" t="str">
        <f>_xlfn.XLOOKUP(Tableau119[[#This Row],[Key(ID-date)]],'DATA BTO'!S:S,'DATA BTO'!F:F,FALSE)</f>
        <v>CMA-CGM</v>
      </c>
      <c r="AD813" s="50">
        <f>_xlfn.XLOOKUP(Tableau119[[#This Row],[Key(ID-date)]],'DATA BTO'!S:S,'DATA BTO'!G:G,FALSE)</f>
        <v>5</v>
      </c>
      <c r="AE813" s="50">
        <f>_xlfn.XLOOKUP(Tableau119[[#This Row],[Key(ID-date)]],'DATA BTO'!S:S,'DATA BTO'!H:H,FALSE)</f>
        <v>7</v>
      </c>
      <c r="AF813" s="447">
        <f>IF(Tableau119[[#This Row],[First Day to POL]]&lt;=Tableau119[[#This Row],[Day Cut Off]],Tableau119[[#This Row],[Day ETD]],Tableau119[[#This Row],[Day ETD]]+7)</f>
        <v>7</v>
      </c>
      <c r="AG813" s="50">
        <f>_xlfn.XLOOKUP(Tableau119[[#This Row],[Key(ID-date)]],'DATA BTO'!S:S,'DATA BTO'!I:I,FALSE)</f>
        <v>53</v>
      </c>
      <c r="AH813" s="3" t="str">
        <f>_xlfn.XLOOKUP(Tableau119[[#This Row],[Key(ID-date)]],'DATA BTO'!S:S,'DATA BTO'!J:J,FALSE)</f>
        <v>TRIZT</v>
      </c>
      <c r="AI813" s="3">
        <f>_xlfn.XLOOKUP(Tableau119[[#This Row],[Key(ID-date)]],'DATA BTO'!S:S,'DATA BTO'!K:K,FALSE)</f>
        <v>3</v>
      </c>
      <c r="AJ813" s="50">
        <f>_xlfn.XLOOKUP(Tableau119[[#This Row],[Key(ID-date)]],'DATA BTO'!S:S,'DATA BTO'!L:L,FALSE)</f>
        <v>14</v>
      </c>
      <c r="AK813" s="53" t="str">
        <f>_xlfn.XLOOKUP(Tableau119[[#This Row],[Key(ID-date)]],'DATA BTO'!S:S,'DATA BTO'!N:N,FALSE)</f>
        <v>Marc-Aurele</v>
      </c>
      <c r="AL813" s="54">
        <f>VLOOKUP(Tableau119[[#This Row],[Key(POD -PFI- Usine)]],'DATA Consignee'!A:F,6,FALSE)</f>
        <v>4</v>
      </c>
      <c r="AM813" s="284"/>
      <c r="AN813" s="376" t="str">
        <f>IF(Tableau119[[#This Row],[Name PFI/CDD]]="","-",VLOOKUP(Tableau119[[#This Row],[Name PFI/CDD]],Plant_AILN!I:J,2,FALSE))</f>
        <v>-</v>
      </c>
      <c r="AO8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3" s="2">
        <f>VLOOKUP(Tableau119[[#This Row],[Key(POD -PFI- Usine)]],'DATA Consignee'!A:J,10,FALSE)</f>
        <v>0</v>
      </c>
      <c r="AR813" s="50">
        <f>VLOOKUP(Tableau119[[#This Row],[Key(POD -PFI- Usine)]],'DATA Consignee'!A:N,14,FALSE)</f>
        <v>3</v>
      </c>
      <c r="AS81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1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13" s="50">
        <f>Tableau119[[#This Row],[Transit time]]+Tableau119[[#This Row],[Time for security]]+Tableau119[[#This Row],[Time for security2 buffer]]</f>
        <v>70</v>
      </c>
      <c r="AV81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813" s="50">
        <f>Tableau119[[#This Row],[Leadtime SI2C]]+Tableau119[[#This Row],[First Receipt Days]]-Tableau119[[#This Row],[Day Customer Order]]+1</f>
        <v>111</v>
      </c>
      <c r="AX813" s="119">
        <f>IF(Tableau119[[#This Row],[Name ILN]]&lt;&gt;"SFK Freight Forwarder",Tableau119[[#This Row],[Cust. Leadtime]],Tableau119[[#This Row],[Leadtime SI2C]])</f>
        <v>111</v>
      </c>
      <c r="AY813" s="51" t="str">
        <f>_xlfn.XLOOKUP(Tableau119[[#This Row],[Key(ID-date)]],'DATA BTO'!S:S,'DATA BTO'!P:P,FALSE)</f>
        <v>Renault &gt; Horse BPH</v>
      </c>
      <c r="AZ813" s="338">
        <v>46142</v>
      </c>
      <c r="BA813" s="50"/>
    </row>
    <row r="814" spans="2:53">
      <c r="B814" s="446" t="str">
        <f>_xlfn.CONCAT(Tableau119[[#This Row],[Name ILN]],"-",Tableau119[[#This Row],[Name Shipper]],"-",Tableau119[[#This Row],[Name Site]])</f>
        <v>ILN Busan-ILN Busan-OYAK MEKA</v>
      </c>
      <c r="C814" s="66" t="str">
        <f>_xlfn.CONCAT(Tableau119[[#This Row],[Compte ILN]],"-",Tableau119[[#This Row],[Compte Shipper]],"-",Tableau119[[#This Row],[POL]],"-",Tableau119[[#This Row],[Compte Consignee]])</f>
        <v>95436-95436-KRPUS-90014400</v>
      </c>
      <c r="D814" s="66" t="str">
        <f>_xlfn.CONCAT(Tableau119[[#This Row],[Compte ILN]],"-",Tableau119[[#This Row],[Compte Shipper]],"-",Tableau119[[#This Row],[POL]])</f>
        <v>95436-95436-KRPUS</v>
      </c>
      <c r="E814" s="130" t="str">
        <f>_xlfn.CONCAT(Tableau119[[#This Row],[POL]],"-",Tableau119[[#This Row],[Carrier]],"-",Tableau119[[#This Row],[POD]])</f>
        <v>KRPUS-CMA-CGM-TRIZT</v>
      </c>
      <c r="F814" s="66" t="str">
        <f>_xlfn.CONCAT(Tableau119[[#This Row],[ID]],"-","Actif")</f>
        <v>904-Actif</v>
      </c>
      <c r="G814" s="66" t="str">
        <f>_xlfn.CONCAT(Tableau119[[#This Row],[POD]],"-",Tableau119[[#This Row],[Code PFI]],"-",Tableau119[[#This Row],[Compte Consignee]])</f>
        <v>TRIZT---90014400</v>
      </c>
      <c r="H8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BusanKRPUSOYAK MEKA</v>
      </c>
      <c r="I814" s="434" t="str">
        <f>_xlfn.CONCAT(Tableau119[[#This Row],[ID]],"-",Tableau119[[#This Row],[Expiration Date]])</f>
        <v>904-45961</v>
      </c>
      <c r="J8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Busan-ILN Busan-904-KRPUS-CMA-CGM-TRIZT--45961</v>
      </c>
      <c r="K814" s="119" t="str">
        <f ca="1">IF(COUNTIF(J:J,Tableau119[[#This Row],[Plant-ILN-shipper-POL-Carrier-POD-PFI]])=1,"Non","Oui")</f>
        <v>Non</v>
      </c>
      <c r="L814" s="128" t="str">
        <f>VLOOKUP(Tableau119[[#This Row],[Name Site]],Plant_AILN!A:D,4,FALSE)</f>
        <v>TURKEY</v>
      </c>
      <c r="M814" s="415" t="s">
        <v>165</v>
      </c>
      <c r="N814" s="455">
        <f>VLOOKUP(Tableau119[[#This Row],[Name Site]],Plant_AILN!A:C,3,FALSE)</f>
        <v>90014400</v>
      </c>
      <c r="O814" s="104">
        <f>VLOOKUP(Tableau119[[#This Row],[Compte Consignee]],Order!C:D,2,FALSE)</f>
        <v>2</v>
      </c>
      <c r="P814" s="126" t="s">
        <v>166</v>
      </c>
      <c r="Q814" s="366">
        <f>VLOOKUP(Tableau119[[#This Row],[Name ILN]],Plant_AILN!F:G,2,FALSE)</f>
        <v>95436</v>
      </c>
      <c r="R814" s="81">
        <f>VLOOKUP(Tableau119[[#This Row],[Compte ILN]],'DATA ILN'!D:I,6,FALSE)</f>
        <v>9</v>
      </c>
      <c r="S814" s="81">
        <f>IFERROR(VLOOKUP(Tableau119[[#This Row],[Key(Compte ILN - shipper - POL - plant)]],'DATA ILN'!A:J,10,FALSE),VLOOKUP(Tableau119[[#This Row],[Key(Compte ILN - shipper - POL)]],'DATA ILN'!B:J,9,FALSE))</f>
        <v>14</v>
      </c>
      <c r="T814" s="81">
        <f>IFERROR(VLOOKUP(Tableau119[[#This Row],[Key(Compte ILN - shipper - POL - plant)]],'DATA ILN'!A:K,11,FALSE),VLOOKUP(Tableau119[[#This Row],[Key(Compte ILN - shipper - POL)]],'DATA ILN'!B:K,10,FALSE))</f>
        <v>5</v>
      </c>
      <c r="U814" s="81">
        <f>IFERROR(VLOOKUP(Tableau119[[#This Row],[Key(Compte ILN - shipper - POL - plant)]],'DATA ILN'!A:L,12,FALSE),VLOOKUP(Tableau119[[#This Row],[Key(Compte ILN - shipper - POL)]],'DATA ILN'!B:L,11,FALSE))</f>
        <v>7</v>
      </c>
      <c r="V814" s="81">
        <f>Tableau119[[#This Row],[Day ILN Order]]+Tableau119[[#This Row],[Delivery time to ILN/Shipper]]-1</f>
        <v>22</v>
      </c>
      <c r="W814" s="81">
        <f>IFERROR(VLOOKUP(Tableau119[[#This Row],[Key(Compte ILN - shipper - POL - plant)]],'DATA ILN'!A:N,14,FALSE),VLOOKUP(Tableau119[[#This Row],[Key(Compte ILN - shipper - POL)]],'DATA ILN'!B:N,13,FALSE))</f>
        <v>1</v>
      </c>
      <c r="X814" s="81">
        <f>IFERROR(VLOOKUP(Tableau119[[#This Row],[Key(Compte ILN - shipper - POL - plant)]],'DATA ILN'!A:P,16,FALSE),VLOOKUP(Tableau119[[#This Row],[Key(Compte ILN - shipper - POL)]],'DATA ILN'!B:P,15,FALSE))</f>
        <v>3</v>
      </c>
      <c r="Y814" s="102" t="s">
        <v>166</v>
      </c>
      <c r="Z814" s="417">
        <f>IFERROR(VLOOKUP(Tableau119[[#This Row],[Name Shipper]],Plant_AILN!L:M,2,FALSE),0)</f>
        <v>95436</v>
      </c>
      <c r="AA814" s="416">
        <v>904</v>
      </c>
      <c r="AB814" s="396" t="str">
        <f>_xlfn.XLOOKUP(Tableau119[[#This Row],[Key(ID-date)]],'DATA BTO'!S:S,'DATA BTO'!E:E,FALSE)</f>
        <v>KRPUS</v>
      </c>
      <c r="AC814" s="3" t="str">
        <f>_xlfn.XLOOKUP(Tableau119[[#This Row],[Key(ID-date)]],'DATA BTO'!S:S,'DATA BTO'!F:F,FALSE)</f>
        <v>CMA-CGM</v>
      </c>
      <c r="AD814" s="50">
        <f>_xlfn.XLOOKUP(Tableau119[[#This Row],[Key(ID-date)]],'DATA BTO'!S:S,'DATA BTO'!G:G,FALSE)</f>
        <v>4</v>
      </c>
      <c r="AE814" s="50">
        <f>_xlfn.XLOOKUP(Tableau119[[#This Row],[Key(ID-date)]],'DATA BTO'!S:S,'DATA BTO'!H:H,FALSE)</f>
        <v>7</v>
      </c>
      <c r="AF814" s="447">
        <f>IF(Tableau119[[#This Row],[First Day to POL]]&lt;=Tableau119[[#This Row],[Day Cut Off]],Tableau119[[#This Row],[Day ETD]],Tableau119[[#This Row],[Day ETD]]+7)</f>
        <v>7</v>
      </c>
      <c r="AG814" s="50">
        <f>_xlfn.XLOOKUP(Tableau119[[#This Row],[Key(ID-date)]],'DATA BTO'!S:S,'DATA BTO'!I:I,FALSE)</f>
        <v>53</v>
      </c>
      <c r="AH814" s="3" t="str">
        <f>_xlfn.XLOOKUP(Tableau119[[#This Row],[Key(ID-date)]],'DATA BTO'!S:S,'DATA BTO'!J:J,FALSE)</f>
        <v>TRIZT</v>
      </c>
      <c r="AI814" s="3">
        <f>_xlfn.XLOOKUP(Tableau119[[#This Row],[Key(ID-date)]],'DATA BTO'!S:S,'DATA BTO'!K:K,FALSE)</f>
        <v>3</v>
      </c>
      <c r="AJ814" s="50">
        <f>_xlfn.XLOOKUP(Tableau119[[#This Row],[Key(ID-date)]],'DATA BTO'!S:S,'DATA BTO'!L:L,FALSE)</f>
        <v>0</v>
      </c>
      <c r="AK814" s="53" t="str">
        <f>_xlfn.XLOOKUP(Tableau119[[#This Row],[Key(ID-date)]],'DATA BTO'!S:S,'DATA BTO'!N:N,FALSE)</f>
        <v>Marc-Aurele</v>
      </c>
      <c r="AL814" s="54">
        <f>VLOOKUP(Tableau119[[#This Row],[Key(POD -PFI- Usine)]],'DATA Consignee'!A:F,6,FALSE)</f>
        <v>4</v>
      </c>
      <c r="AM814" s="102"/>
      <c r="AN814" s="375" t="str">
        <f>IF(Tableau119[[#This Row],[Name PFI/CDD]]="","-",VLOOKUP(Tableau119[[#This Row],[Name PFI/CDD]],Plant_AILN!I:J,2,FALSE))</f>
        <v>-</v>
      </c>
      <c r="AO81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4" s="110">
        <f>VLOOKUP(Tableau119[[#This Row],[Key(POD -PFI- Usine)]],'DATA Consignee'!A:J,10,FALSE)</f>
        <v>0</v>
      </c>
      <c r="AR814" s="81">
        <f>VLOOKUP(Tableau119[[#This Row],[Key(POD -PFI- Usine)]],'DATA Consignee'!A:N,14,FALSE)</f>
        <v>3</v>
      </c>
      <c r="AS81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1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14" s="81">
        <f>Tableau119[[#This Row],[Transit time]]+Tableau119[[#This Row],[Time for security]]+Tableau119[[#This Row],[Time for security2 buffer]]</f>
        <v>56</v>
      </c>
      <c r="AV81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14" s="50">
        <f>Tableau119[[#This Row],[Leadtime SI2C]]+Tableau119[[#This Row],[First Receipt Days]]-Tableau119[[#This Row],[Day Customer Order]]+1</f>
        <v>97</v>
      </c>
      <c r="AX814" s="119">
        <f>IF(Tableau119[[#This Row],[Name ILN]]&lt;&gt;"SFK Freight Forwarder",Tableau119[[#This Row],[Cust. Leadtime]],Tableau119[[#This Row],[Leadtime SI2C]])</f>
        <v>97</v>
      </c>
      <c r="AY814" s="51" t="str">
        <f>_xlfn.XLOOKUP(Tableau119[[#This Row],[Key(ID-date)]],'DATA BTO'!S:S,'DATA BTO'!P:P,FALSE)</f>
        <v>Renault &gt; Horse BPH</v>
      </c>
      <c r="AZ814" s="388">
        <v>45961</v>
      </c>
      <c r="BA814" s="81"/>
    </row>
    <row r="815" spans="2:53">
      <c r="B815" s="446" t="str">
        <f>_xlfn.CONCAT(Tableau119[[#This Row],[Name ILN]],"-",Tableau119[[#This Row],[Name Shipper]],"-",Tableau119[[#This Row],[Name Site]])</f>
        <v>ILN Busan-ILN Busan-OYAK MEKA</v>
      </c>
      <c r="C815" s="66" t="str">
        <f>_xlfn.CONCAT(Tableau119[[#This Row],[Compte ILN]],"-",Tableau119[[#This Row],[Compte Shipper]],"-",Tableau119[[#This Row],[POL]],"-",Tableau119[[#This Row],[Compte Consignee]])</f>
        <v>95436-95436-KRPUS-90014400</v>
      </c>
      <c r="D815" s="66" t="str">
        <f>_xlfn.CONCAT(Tableau119[[#This Row],[Compte ILN]],"-",Tableau119[[#This Row],[Compte Shipper]],"-",Tableau119[[#This Row],[POL]])</f>
        <v>95436-95436-KRPUS</v>
      </c>
      <c r="E815" s="130" t="str">
        <f>_xlfn.CONCAT(Tableau119[[#This Row],[POL]],"-",Tableau119[[#This Row],[Carrier]],"-",Tableau119[[#This Row],[POD]])</f>
        <v>KRPUS-CMA-CGM-TRIZT</v>
      </c>
      <c r="F815" s="66" t="str">
        <f>_xlfn.CONCAT(Tableau119[[#This Row],[ID]],"-","Actif")</f>
        <v>904-Actif</v>
      </c>
      <c r="G815" s="66" t="str">
        <f>_xlfn.CONCAT(Tableau119[[#This Row],[POD]],"-",Tableau119[[#This Row],[Code PFI]],"-",Tableau119[[#This Row],[Compte Consignee]])</f>
        <v>TRIZT---90014400</v>
      </c>
      <c r="H8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BusanKRPUSOYAK MEKA</v>
      </c>
      <c r="I815" s="434" t="str">
        <f>_xlfn.CONCAT(Tableau119[[#This Row],[ID]],"-",Tableau119[[#This Row],[Expiration Date]])</f>
        <v>904-45777</v>
      </c>
      <c r="J8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Busan-ILN Busan-904-KRPUS-CMA-CGM-TRIZT--45777</v>
      </c>
      <c r="K815" s="119" t="str">
        <f ca="1">IF(COUNTIF(J:J,Tableau119[[#This Row],[Plant-ILN-shipper-POL-Carrier-POD-PFI]])=1,"Non","Oui")</f>
        <v>Non</v>
      </c>
      <c r="L815" s="128" t="str">
        <f>VLOOKUP(Tableau119[[#This Row],[Name Site]],Plant_AILN!A:D,4,FALSE)</f>
        <v>TURKEY</v>
      </c>
      <c r="M815" s="411" t="s">
        <v>165</v>
      </c>
      <c r="N815" s="454">
        <f>VLOOKUP(Tableau119[[#This Row],[Name Site]],Plant_AILN!A:C,3,FALSE)</f>
        <v>90014400</v>
      </c>
      <c r="O815" s="55">
        <f>VLOOKUP(Tableau119[[#This Row],[Compte Consignee]],Order!C:D,2,FALSE)</f>
        <v>2</v>
      </c>
      <c r="P815" s="124" t="s">
        <v>166</v>
      </c>
      <c r="Q815" s="365">
        <f>VLOOKUP(Tableau119[[#This Row],[Name ILN]],Plant_AILN!F:G,2,FALSE)</f>
        <v>95436</v>
      </c>
      <c r="R815" s="50">
        <f>VLOOKUP(Tableau119[[#This Row],[Compte ILN]],'DATA ILN'!D:I,6,FALSE)</f>
        <v>9</v>
      </c>
      <c r="S815" s="50">
        <f>IFERROR(VLOOKUP(Tableau119[[#This Row],[Key(Compte ILN - shipper - POL - plant)]],'DATA ILN'!A:J,10,FALSE),VLOOKUP(Tableau119[[#This Row],[Key(Compte ILN - shipper - POL)]],'DATA ILN'!B:J,9,FALSE))</f>
        <v>14</v>
      </c>
      <c r="T815" s="50">
        <f>IFERROR(VLOOKUP(Tableau119[[#This Row],[Key(Compte ILN - shipper - POL - plant)]],'DATA ILN'!A:K,11,FALSE),VLOOKUP(Tableau119[[#This Row],[Key(Compte ILN - shipper - POL)]],'DATA ILN'!B:K,10,FALSE))</f>
        <v>5</v>
      </c>
      <c r="U815" s="50">
        <f>IFERROR(VLOOKUP(Tableau119[[#This Row],[Key(Compte ILN - shipper - POL - plant)]],'DATA ILN'!A:L,12,FALSE),VLOOKUP(Tableau119[[#This Row],[Key(Compte ILN - shipper - POL)]],'DATA ILN'!B:L,11,FALSE))</f>
        <v>7</v>
      </c>
      <c r="V815" s="50">
        <f>Tableau119[[#This Row],[Day ILN Order]]+Tableau119[[#This Row],[Delivery time to ILN/Shipper]]-1</f>
        <v>22</v>
      </c>
      <c r="W815" s="50">
        <f>IFERROR(VLOOKUP(Tableau119[[#This Row],[Key(Compte ILN - shipper - POL - plant)]],'DATA ILN'!A:N,14,FALSE),VLOOKUP(Tableau119[[#This Row],[Key(Compte ILN - shipper - POL)]],'DATA ILN'!B:N,13,FALSE))</f>
        <v>1</v>
      </c>
      <c r="X815" s="50">
        <f>IFERROR(VLOOKUP(Tableau119[[#This Row],[Key(Compte ILN - shipper - POL - plant)]],'DATA ILN'!A:P,16,FALSE),VLOOKUP(Tableau119[[#This Row],[Key(Compte ILN - shipper - POL)]],'DATA ILN'!B:P,15,FALSE))</f>
        <v>3</v>
      </c>
      <c r="Y815" s="284" t="s">
        <v>166</v>
      </c>
      <c r="Z815" s="430">
        <f>IFERROR(VLOOKUP(Tableau119[[#This Row],[Name Shipper]],Plant_AILN!L:M,2,FALSE),0)</f>
        <v>95436</v>
      </c>
      <c r="AA815" s="406">
        <v>904</v>
      </c>
      <c r="AB815" s="396" t="str">
        <f>_xlfn.XLOOKUP(Tableau119[[#This Row],[Key(ID-date)]],'DATA BTO'!S:S,'DATA BTO'!E:E,FALSE)</f>
        <v>KRPUS</v>
      </c>
      <c r="AC815" s="3" t="str">
        <f>_xlfn.XLOOKUP(Tableau119[[#This Row],[Key(ID-date)]],'DATA BTO'!S:S,'DATA BTO'!F:F,FALSE)</f>
        <v>CMA-CGM</v>
      </c>
      <c r="AD815" s="50">
        <f>_xlfn.XLOOKUP(Tableau119[[#This Row],[Key(ID-date)]],'DATA BTO'!S:S,'DATA BTO'!G:G,FALSE)</f>
        <v>4</v>
      </c>
      <c r="AE815" s="50">
        <f>_xlfn.XLOOKUP(Tableau119[[#This Row],[Key(ID-date)]],'DATA BTO'!S:S,'DATA BTO'!H:H,FALSE)</f>
        <v>7</v>
      </c>
      <c r="AF815" s="447">
        <f>IF(Tableau119[[#This Row],[First Day to POL]]&lt;=Tableau119[[#This Row],[Day Cut Off]],Tableau119[[#This Row],[Day ETD]],Tableau119[[#This Row],[Day ETD]]+7)</f>
        <v>7</v>
      </c>
      <c r="AG815" s="50">
        <f>_xlfn.XLOOKUP(Tableau119[[#This Row],[Key(ID-date)]],'DATA BTO'!S:S,'DATA BTO'!I:I,FALSE)</f>
        <v>53</v>
      </c>
      <c r="AH815" s="3" t="str">
        <f>_xlfn.XLOOKUP(Tableau119[[#This Row],[Key(ID-date)]],'DATA BTO'!S:S,'DATA BTO'!J:J,FALSE)</f>
        <v>TRIZT</v>
      </c>
      <c r="AI815" s="3">
        <f>_xlfn.XLOOKUP(Tableau119[[#This Row],[Key(ID-date)]],'DATA BTO'!S:S,'DATA BTO'!K:K,FALSE)</f>
        <v>3</v>
      </c>
      <c r="AJ815" s="50">
        <f>_xlfn.XLOOKUP(Tableau119[[#This Row],[Key(ID-date)]],'DATA BTO'!S:S,'DATA BTO'!L:L,FALSE)</f>
        <v>0</v>
      </c>
      <c r="AK815" s="53" t="str">
        <f>_xlfn.XLOOKUP(Tableau119[[#This Row],[Key(ID-date)]],'DATA BTO'!S:S,'DATA BTO'!N:N,FALSE)</f>
        <v>Anthony</v>
      </c>
      <c r="AL815" s="54">
        <f>VLOOKUP(Tableau119[[#This Row],[Key(POD -PFI- Usine)]],'DATA Consignee'!A:F,6,FALSE)</f>
        <v>4</v>
      </c>
      <c r="AM815" s="284"/>
      <c r="AN815" s="376" t="str">
        <f>IF(Tableau119[[#This Row],[Name PFI/CDD]]="","-",VLOOKUP(Tableau119[[#This Row],[Name PFI/CDD]],Plant_AILN!I:J,2,FALSE))</f>
        <v>-</v>
      </c>
      <c r="AO8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5" s="2">
        <f>VLOOKUP(Tableau119[[#This Row],[Key(POD -PFI- Usine)]],'DATA Consignee'!A:J,10,FALSE)</f>
        <v>0</v>
      </c>
      <c r="AR815" s="50">
        <f>VLOOKUP(Tableau119[[#This Row],[Key(POD -PFI- Usine)]],'DATA Consignee'!A:N,14,FALSE)</f>
        <v>3</v>
      </c>
      <c r="AS81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1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15" s="50">
        <f>Tableau119[[#This Row],[Transit time]]+Tableau119[[#This Row],[Time for security]]+Tableau119[[#This Row],[Time for security2 buffer]]</f>
        <v>56</v>
      </c>
      <c r="AV81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15" s="50">
        <f>Tableau119[[#This Row],[Leadtime SI2C]]+Tableau119[[#This Row],[First Receipt Days]]-Tableau119[[#This Row],[Day Customer Order]]+1</f>
        <v>97</v>
      </c>
      <c r="AX815" s="119">
        <f>IF(Tableau119[[#This Row],[Name ILN]]&lt;&gt;"SFK Freight Forwarder",Tableau119[[#This Row],[Cust. Leadtime]],Tableau119[[#This Row],[Leadtime SI2C]])</f>
        <v>97</v>
      </c>
      <c r="AY815" s="51" t="str">
        <f>_xlfn.XLOOKUP(Tableau119[[#This Row],[Key(ID-date)]],'DATA BTO'!S:S,'DATA BTO'!P:P,FALSE)</f>
        <v>Renault &gt; Horse BPH</v>
      </c>
      <c r="AZ815" s="338">
        <v>45777</v>
      </c>
      <c r="BA815" s="50"/>
    </row>
    <row r="816" spans="2:53">
      <c r="B816" s="446" t="str">
        <f>_xlfn.CONCAT(Tableau119[[#This Row],[Name ILN]],"-",Tableau119[[#This Row],[Name Shipper]],"-",Tableau119[[#This Row],[Name Site]])</f>
        <v>ILN Busan-ILN Busan-OYAK MEKA</v>
      </c>
      <c r="C816" s="66" t="str">
        <f>_xlfn.CONCAT(Tableau119[[#This Row],[Compte ILN]],"-",Tableau119[[#This Row],[Compte Shipper]],"-",Tableau119[[#This Row],[POL]],"-",Tableau119[[#This Row],[Compte Consignee]])</f>
        <v>95436-95436-KRPUS-90014400</v>
      </c>
      <c r="D816" s="66" t="str">
        <f>_xlfn.CONCAT(Tableau119[[#This Row],[Compte ILN]],"-",Tableau119[[#This Row],[Compte Shipper]],"-",Tableau119[[#This Row],[POL]])</f>
        <v>95436-95436-KRPUS</v>
      </c>
      <c r="E816" s="130" t="str">
        <f>_xlfn.CONCAT(Tableau119[[#This Row],[POL]],"-",Tableau119[[#This Row],[Carrier]],"-",Tableau119[[#This Row],[POD]])</f>
        <v>KRPUS-CMA-CGM-TRIZT</v>
      </c>
      <c r="F816" s="66" t="str">
        <f>_xlfn.CONCAT(Tableau119[[#This Row],[ID]],"-","Actif")</f>
        <v>904-Actif</v>
      </c>
      <c r="G816" s="66" t="str">
        <f>_xlfn.CONCAT(Tableau119[[#This Row],[POD]],"-",Tableau119[[#This Row],[Code PFI]],"-",Tableau119[[#This Row],[Compte Consignee]])</f>
        <v>TRIZT---90014400</v>
      </c>
      <c r="H8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BusanKRPUSOYAK MEKA</v>
      </c>
      <c r="I816" s="434" t="str">
        <f>_xlfn.CONCAT(Tableau119[[#This Row],[ID]],"-",Tableau119[[#This Row],[Expiration Date]])</f>
        <v>904-45473</v>
      </c>
      <c r="J8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Busan-ILN Busan-904-KRPUS-CMA-CGM-TRIZT--45473</v>
      </c>
      <c r="K816" s="119" t="str">
        <f ca="1">IF(COUNTIF(J:J,Tableau119[[#This Row],[Plant-ILN-shipper-POL-Carrier-POD-PFI]])=1,"Non","Oui")</f>
        <v>Non</v>
      </c>
      <c r="L816" s="128" t="str">
        <f>VLOOKUP(Tableau119[[#This Row],[Name Site]],Plant_AILN!A:D,4,FALSE)</f>
        <v>TURKEY</v>
      </c>
      <c r="M816" s="411" t="s">
        <v>165</v>
      </c>
      <c r="N816" s="454">
        <f>VLOOKUP(Tableau119[[#This Row],[Name Site]],Plant_AILN!A:C,3,FALSE)</f>
        <v>90014400</v>
      </c>
      <c r="O816" s="55">
        <f>VLOOKUP(Tableau119[[#This Row],[Compte Consignee]],Order!C:D,2,FALSE)</f>
        <v>2</v>
      </c>
      <c r="P816" s="124" t="s">
        <v>166</v>
      </c>
      <c r="Q816" s="365">
        <f>VLOOKUP(Tableau119[[#This Row],[Name ILN]],Plant_AILN!F:G,2,FALSE)</f>
        <v>95436</v>
      </c>
      <c r="R816" s="50">
        <f>VLOOKUP(Tableau119[[#This Row],[Compte ILN]],'DATA ILN'!D:I,6,FALSE)</f>
        <v>9</v>
      </c>
      <c r="S816" s="50">
        <f>IFERROR(VLOOKUP(Tableau119[[#This Row],[Key(Compte ILN - shipper - POL - plant)]],'DATA ILN'!A:J,10,FALSE),VLOOKUP(Tableau119[[#This Row],[Key(Compte ILN - shipper - POL)]],'DATA ILN'!B:J,9,FALSE))</f>
        <v>14</v>
      </c>
      <c r="T816" s="50">
        <f>IFERROR(VLOOKUP(Tableau119[[#This Row],[Key(Compte ILN - shipper - POL - plant)]],'DATA ILN'!A:K,11,FALSE),VLOOKUP(Tableau119[[#This Row],[Key(Compte ILN - shipper - POL)]],'DATA ILN'!B:K,10,FALSE))</f>
        <v>5</v>
      </c>
      <c r="U816" s="50">
        <f>IFERROR(VLOOKUP(Tableau119[[#This Row],[Key(Compte ILN - shipper - POL - plant)]],'DATA ILN'!A:L,12,FALSE),VLOOKUP(Tableau119[[#This Row],[Key(Compte ILN - shipper - POL)]],'DATA ILN'!B:L,11,FALSE))</f>
        <v>7</v>
      </c>
      <c r="V816" s="50">
        <f>Tableau119[[#This Row],[Day ILN Order]]+Tableau119[[#This Row],[Delivery time to ILN/Shipper]]-1</f>
        <v>22</v>
      </c>
      <c r="W816" s="50">
        <f>IFERROR(VLOOKUP(Tableau119[[#This Row],[Key(Compte ILN - shipper - POL - plant)]],'DATA ILN'!A:N,14,FALSE),VLOOKUP(Tableau119[[#This Row],[Key(Compte ILN - shipper - POL)]],'DATA ILN'!B:N,13,FALSE))</f>
        <v>1</v>
      </c>
      <c r="X816" s="50">
        <f>IFERROR(VLOOKUP(Tableau119[[#This Row],[Key(Compte ILN - shipper - POL - plant)]],'DATA ILN'!A:P,16,FALSE),VLOOKUP(Tableau119[[#This Row],[Key(Compte ILN - shipper - POL)]],'DATA ILN'!B:P,15,FALSE))</f>
        <v>3</v>
      </c>
      <c r="Y816" s="284" t="s">
        <v>166</v>
      </c>
      <c r="Z816" s="430">
        <f>IFERROR(VLOOKUP(Tableau119[[#This Row],[Name Shipper]],Plant_AILN!L:M,2,FALSE),0)</f>
        <v>95436</v>
      </c>
      <c r="AA816" s="406">
        <v>904</v>
      </c>
      <c r="AB816" s="396" t="str">
        <f>_xlfn.XLOOKUP(Tableau119[[#This Row],[Key(ID-date)]],'DATA BTO'!S:S,'DATA BTO'!E:E,FALSE)</f>
        <v>KRPUS</v>
      </c>
      <c r="AC816" s="3" t="str">
        <f>_xlfn.XLOOKUP(Tableau119[[#This Row],[Key(ID-date)]],'DATA BTO'!S:S,'DATA BTO'!F:F,FALSE)</f>
        <v>CMA-CGM</v>
      </c>
      <c r="AD816" s="50">
        <f>_xlfn.XLOOKUP(Tableau119[[#This Row],[Key(ID-date)]],'DATA BTO'!S:S,'DATA BTO'!G:G,FALSE)</f>
        <v>5</v>
      </c>
      <c r="AE816" s="50">
        <f>_xlfn.XLOOKUP(Tableau119[[#This Row],[Key(ID-date)]],'DATA BTO'!S:S,'DATA BTO'!H:H,FALSE)</f>
        <v>7</v>
      </c>
      <c r="AF816" s="447">
        <f>IF(Tableau119[[#This Row],[First Day to POL]]&lt;=Tableau119[[#This Row],[Day Cut Off]],Tableau119[[#This Row],[Day ETD]],Tableau119[[#This Row],[Day ETD]]+7)</f>
        <v>7</v>
      </c>
      <c r="AG816" s="50">
        <f>_xlfn.XLOOKUP(Tableau119[[#This Row],[Key(ID-date)]],'DATA BTO'!S:S,'DATA BTO'!I:I,FALSE)</f>
        <v>34</v>
      </c>
      <c r="AH816" s="3" t="str">
        <f>_xlfn.XLOOKUP(Tableau119[[#This Row],[Key(ID-date)]],'DATA BTO'!S:S,'DATA BTO'!J:J,FALSE)</f>
        <v>TRIZT</v>
      </c>
      <c r="AI816" s="3">
        <f>_xlfn.XLOOKUP(Tableau119[[#This Row],[Key(ID-date)]],'DATA BTO'!S:S,'DATA BTO'!K:K,FALSE)</f>
        <v>3</v>
      </c>
      <c r="AJ816" s="50">
        <f>_xlfn.XLOOKUP(Tableau119[[#This Row],[Key(ID-date)]],'DATA BTO'!S:S,'DATA BTO'!L:L,FALSE)</f>
        <v>7</v>
      </c>
      <c r="AK816" s="53" t="str">
        <f>_xlfn.XLOOKUP(Tableau119[[#This Row],[Key(ID-date)]],'DATA BTO'!S:S,'DATA BTO'!N:N,FALSE)</f>
        <v>Anthony</v>
      </c>
      <c r="AL816" s="54">
        <f>VLOOKUP(Tableau119[[#This Row],[Key(POD -PFI- Usine)]],'DATA Consignee'!A:F,6,FALSE)</f>
        <v>4</v>
      </c>
      <c r="AM816" s="284"/>
      <c r="AN816" s="376" t="str">
        <f>IF(Tableau119[[#This Row],[Name PFI/CDD]]="","-",VLOOKUP(Tableau119[[#This Row],[Name PFI/CDD]],Plant_AILN!I:J,2,FALSE))</f>
        <v>-</v>
      </c>
      <c r="AO8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6" s="2">
        <f>VLOOKUP(Tableau119[[#This Row],[Key(POD -PFI- Usine)]],'DATA Consignee'!A:J,10,FALSE)</f>
        <v>0</v>
      </c>
      <c r="AR816" s="50">
        <f>VLOOKUP(Tableau119[[#This Row],[Key(POD -PFI- Usine)]],'DATA Consignee'!A:N,14,FALSE)</f>
        <v>3</v>
      </c>
      <c r="AS81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1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16" s="50">
        <f>Tableau119[[#This Row],[Transit time]]+Tableau119[[#This Row],[Time for security]]+Tableau119[[#This Row],[Time for security2 buffer]]</f>
        <v>44</v>
      </c>
      <c r="AV81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16" s="50">
        <f>Tableau119[[#This Row],[Leadtime SI2C]]+Tableau119[[#This Row],[First Receipt Days]]-Tableau119[[#This Row],[Day Customer Order]]+1</f>
        <v>90</v>
      </c>
      <c r="AX816" s="119">
        <f>IF(Tableau119[[#This Row],[Name ILN]]&lt;&gt;"SFK Freight Forwarder",Tableau119[[#This Row],[Cust. Leadtime]],Tableau119[[#This Row],[Leadtime SI2C]])</f>
        <v>90</v>
      </c>
      <c r="AY816" s="51" t="str">
        <f>_xlfn.XLOOKUP(Tableau119[[#This Row],[Key(ID-date)]],'DATA BTO'!S:S,'DATA BTO'!P:P,FALSE)</f>
        <v>Renault &gt; Horse BPH</v>
      </c>
      <c r="AZ816" s="338">
        <v>45473</v>
      </c>
      <c r="BA816" s="50"/>
    </row>
    <row r="817" spans="2:53">
      <c r="B817" s="66" t="str">
        <f>_xlfn.CONCAT(Tableau119[[#This Row],[Name ILN]],"-",Tableau119[[#This Row],[Name Shipper]],"-",Tableau119[[#This Row],[Name Site]])</f>
        <v>ILN Busan-ILN Busan-Curitiba CMO</v>
      </c>
      <c r="C817" s="66" t="str">
        <f>_xlfn.CONCAT(Tableau119[[#This Row],[Compte ILN]],"-",Tableau119[[#This Row],[Compte Shipper]],"-",Tableau119[[#This Row],[POL]],"-",Tableau119[[#This Row],[Compte Consignee]])</f>
        <v>95436-95436-KRPUS-90018600</v>
      </c>
      <c r="D817" s="66" t="str">
        <f>_xlfn.CONCAT(Tableau119[[#This Row],[Compte ILN]],"-",Tableau119[[#This Row],[Compte Shipper]],"-",Tableau119[[#This Row],[POL]])</f>
        <v>95436-95436-KRPUS</v>
      </c>
      <c r="E817" s="130" t="str">
        <f>_xlfn.CONCAT(Tableau119[[#This Row],[POL]],"-",Tableau119[[#This Row],[Carrier]],"-",Tableau119[[#This Row],[POD]])</f>
        <v>KRPUS-CMA-CGM-BRPNG</v>
      </c>
      <c r="F817" s="66" t="str">
        <f>_xlfn.CONCAT(Tableau119[[#This Row],[ID]],"-","Actif")</f>
        <v>906-Actif</v>
      </c>
      <c r="G817" s="66" t="str">
        <f>_xlfn.CONCAT(Tableau119[[#This Row],[POD]],"-",Tableau119[[#This Row],[Code PFI]],"-",Tableau119[[#This Row],[Compte Consignee]])</f>
        <v>BRPNG---90018600</v>
      </c>
      <c r="H8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BusanKRPUSCuritiba CMO</v>
      </c>
      <c r="I817" s="434" t="str">
        <f>_xlfn.CONCAT(Tableau119[[#This Row],[ID]],"-",Tableau119[[#This Row],[Expiration Date]])</f>
        <v>906-46142</v>
      </c>
      <c r="J8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Busan-ILN Busan-906-KRPUS-CMA-CGM-BRPNG--46142</v>
      </c>
      <c r="K817" s="119" t="str">
        <f ca="1">IF(COUNTIF(J:J,Tableau119[[#This Row],[Plant-ILN-shipper-POL-Carrier-POD-PFI]])=1,"Non","Oui")</f>
        <v>Non</v>
      </c>
      <c r="L817" s="128" t="str">
        <f>VLOOKUP(Tableau119[[#This Row],[Name Site]],Plant_AILN!A:D,4,FALSE)</f>
        <v>BRAZIL</v>
      </c>
      <c r="M817" s="483" t="s">
        <v>160</v>
      </c>
      <c r="N817" s="455">
        <f>VLOOKUP(Tableau119[[#This Row],[Name Site]],Plant_AILN!A:C,3,FALSE)</f>
        <v>90018600</v>
      </c>
      <c r="O817" s="104">
        <f>IF(Tableau119[[#This Row],[Name PFI/CDD]]="PFI VLL",2,VLOOKUP(Tableau119[[#This Row],[Compte Consignee]],Order!C:D,2,FALSE))</f>
        <v>7</v>
      </c>
      <c r="P817" s="126" t="s">
        <v>166</v>
      </c>
      <c r="Q817" s="366">
        <f>VLOOKUP(Tableau119[[#This Row],[Name ILN]],Plant_AILN!F:G,2,FALSE)</f>
        <v>95436</v>
      </c>
      <c r="R817" s="81">
        <f>VLOOKUP(Tableau119[[#This Row],[Compte ILN]],'DATA ILN'!D:I,6,FALSE)</f>
        <v>9</v>
      </c>
      <c r="S817" s="81">
        <f>IFERROR(VLOOKUP(Tableau119[[#This Row],[Key(Compte ILN - shipper - POL - plant)]],'DATA ILN'!A:J,10,FALSE),VLOOKUP(Tableau119[[#This Row],[Key(Compte ILN - shipper - POL)]],'DATA ILN'!B:J,9,FALSE))</f>
        <v>14</v>
      </c>
      <c r="T817" s="81">
        <f>IFERROR(VLOOKUP(Tableau119[[#This Row],[Key(Compte ILN - shipper - POL - plant)]],'DATA ILN'!A:K,11,FALSE),VLOOKUP(Tableau119[[#This Row],[Key(Compte ILN - shipper - POL)]],'DATA ILN'!B:K,10,FALSE))</f>
        <v>5</v>
      </c>
      <c r="U817" s="81">
        <f>IFERROR(VLOOKUP(Tableau119[[#This Row],[Key(Compte ILN - shipper - POL - plant)]],'DATA ILN'!A:L,12,FALSE),VLOOKUP(Tableau119[[#This Row],[Key(Compte ILN - shipper - POL)]],'DATA ILN'!B:L,11,FALSE))</f>
        <v>7</v>
      </c>
      <c r="V817" s="81">
        <f>Tableau119[[#This Row],[Day ILN Order]]+Tableau119[[#This Row],[Delivery time to ILN/Shipper]]-1</f>
        <v>22</v>
      </c>
      <c r="W817" s="81">
        <f>IFERROR(VLOOKUP(Tableau119[[#This Row],[Key(Compte ILN - shipper - POL - plant)]],'DATA ILN'!A:N,14,FALSE),VLOOKUP(Tableau119[[#This Row],[Key(Compte ILN - shipper - POL)]],'DATA ILN'!B:N,13,FALSE))</f>
        <v>1</v>
      </c>
      <c r="X817" s="81">
        <f>IFERROR(VLOOKUP(Tableau119[[#This Row],[Key(Compte ILN - shipper - POL - plant)]],'DATA ILN'!A:P,16,FALSE),VLOOKUP(Tableau119[[#This Row],[Key(Compte ILN - shipper - POL)]],'DATA ILN'!B:P,15,FALSE))</f>
        <v>5</v>
      </c>
      <c r="Y817" s="102" t="s">
        <v>166</v>
      </c>
      <c r="Z817" s="417">
        <f>IFERROR(VLOOKUP(Tableau119[[#This Row],[Name Shipper]],Plant_AILN!L:M,2,FALSE),0)</f>
        <v>95436</v>
      </c>
      <c r="AA817" s="416">
        <v>906</v>
      </c>
      <c r="AB817" s="396" t="str">
        <f>_xlfn.XLOOKUP(Tableau119[[#This Row],[Key(ID-date)]],'DATA BTO'!S:S,'DATA BTO'!E:E,FALSE)</f>
        <v>KRPUS</v>
      </c>
      <c r="AC817" s="3" t="str">
        <f>_xlfn.XLOOKUP(Tableau119[[#This Row],[Key(ID-date)]],'DATA BTO'!S:S,'DATA BTO'!F:F,FALSE)</f>
        <v>CMA-CGM</v>
      </c>
      <c r="AD817" s="50">
        <f>_xlfn.XLOOKUP(Tableau119[[#This Row],[Key(ID-date)]],'DATA BTO'!S:S,'DATA BTO'!G:G,FALSE)</f>
        <v>5</v>
      </c>
      <c r="AE817" s="50">
        <f>_xlfn.XLOOKUP(Tableau119[[#This Row],[Key(ID-date)]],'DATA BTO'!S:S,'DATA BTO'!H:H,FALSE)</f>
        <v>7</v>
      </c>
      <c r="AF817" s="447">
        <f>IF(Tableau119[[#This Row],[First Day to POL]]&lt;=Tableau119[[#This Row],[Day Cut Off]],Tableau119[[#This Row],[Day ETD]],Tableau119[[#This Row],[Day ETD]]+7)</f>
        <v>7</v>
      </c>
      <c r="AG817" s="50">
        <f>_xlfn.XLOOKUP(Tableau119[[#This Row],[Key(ID-date)]],'DATA BTO'!S:S,'DATA BTO'!I:I,FALSE)</f>
        <v>43</v>
      </c>
      <c r="AH817" s="3" t="str">
        <f>_xlfn.XLOOKUP(Tableau119[[#This Row],[Key(ID-date)]],'DATA BTO'!S:S,'DATA BTO'!J:J,FALSE)</f>
        <v>BRPNG</v>
      </c>
      <c r="AI817" s="3">
        <f>_xlfn.XLOOKUP(Tableau119[[#This Row],[Key(ID-date)]],'DATA BTO'!S:S,'DATA BTO'!K:K,FALSE)</f>
        <v>3</v>
      </c>
      <c r="AJ817" s="50">
        <f>_xlfn.XLOOKUP(Tableau119[[#This Row],[Key(ID-date)]],'DATA BTO'!S:S,'DATA BTO'!L:L,FALSE)</f>
        <v>21</v>
      </c>
      <c r="AK817" s="53" t="str">
        <f>_xlfn.XLOOKUP(Tableau119[[#This Row],[Key(ID-date)]],'DATA BTO'!S:S,'DATA BTO'!N:N,FALSE)</f>
        <v>Marc-Aurele</v>
      </c>
      <c r="AL817" s="54">
        <f>VLOOKUP(Tableau119[[#This Row],[Key(POD -PFI- Usine)]],'DATA Consignee'!A:F,6,FALSE)</f>
        <v>2</v>
      </c>
      <c r="AM817" s="102"/>
      <c r="AN817" s="375" t="str">
        <f>IF(Tableau119[[#This Row],[Name PFI/CDD]]="","-",VLOOKUP(Tableau119[[#This Row],[Name PFI/CDD]],Plant_AILN!I:J,2,FALSE))</f>
        <v>-</v>
      </c>
      <c r="AO81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7" s="110">
        <f>VLOOKUP(Tableau119[[#This Row],[Key(POD -PFI- Usine)]],'DATA Consignee'!A:J,10,FALSE)</f>
        <v>0</v>
      </c>
      <c r="AR817" s="81">
        <f>VLOOKUP(Tableau119[[#This Row],[Key(POD -PFI- Usine)]],'DATA Consignee'!A:N,14,FALSE)</f>
        <v>2</v>
      </c>
      <c r="AS81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1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17" s="81">
        <f>Tableau119[[#This Row],[Transit time]]+Tableau119[[#This Row],[Time for security]]+Tableau119[[#This Row],[Time for security2 buffer]]</f>
        <v>67</v>
      </c>
      <c r="AV81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17" s="50">
        <f>Tableau119[[#This Row],[Leadtime SI2C]]+Tableau119[[#This Row],[First Receipt Days]]-Tableau119[[#This Row],[Day Customer Order]]+1</f>
        <v>99</v>
      </c>
      <c r="AX817" s="119">
        <f>IF(Tableau119[[#This Row],[Name ILN]]&lt;&gt;"SFK Freight Forwarder",Tableau119[[#This Row],[Cust. Leadtime]],Tableau119[[#This Row],[Leadtime SI2C]])</f>
        <v>99</v>
      </c>
      <c r="AY817" s="51" t="str">
        <f>_xlfn.XLOOKUP(Tableau119[[#This Row],[Key(ID-date)]],'DATA BTO'!S:S,'DATA BTO'!P:P,FALSE)</f>
        <v>Renault &gt; Horse BPH</v>
      </c>
      <c r="AZ817" s="388">
        <v>46142</v>
      </c>
      <c r="BA817" s="81"/>
    </row>
    <row r="818" spans="2:53">
      <c r="B818" s="446" t="str">
        <f>_xlfn.CONCAT(Tableau119[[#This Row],[Name ILN]],"-",Tableau119[[#This Row],[Name Shipper]],"-",Tableau119[[#This Row],[Name Site]])</f>
        <v>ILN Busan-ILN Busan-Curitiba CMO</v>
      </c>
      <c r="C818" s="66" t="str">
        <f>_xlfn.CONCAT(Tableau119[[#This Row],[Compte ILN]],"-",Tableau119[[#This Row],[Compte Shipper]],"-",Tableau119[[#This Row],[POL]],"-",Tableau119[[#This Row],[Compte Consignee]])</f>
        <v>95436-95436-KRPUS-90018600</v>
      </c>
      <c r="D818" s="66" t="str">
        <f>_xlfn.CONCAT(Tableau119[[#This Row],[Compte ILN]],"-",Tableau119[[#This Row],[Compte Shipper]],"-",Tableau119[[#This Row],[POL]])</f>
        <v>95436-95436-KRPUS</v>
      </c>
      <c r="E818" s="130" t="str">
        <f>_xlfn.CONCAT(Tableau119[[#This Row],[POL]],"-",Tableau119[[#This Row],[Carrier]],"-",Tableau119[[#This Row],[POD]])</f>
        <v>KRPUS-ONE-BRPNG</v>
      </c>
      <c r="F818" s="66" t="str">
        <f>_xlfn.CONCAT(Tableau119[[#This Row],[ID]],"-","Actif")</f>
        <v>906-Actif</v>
      </c>
      <c r="G818" s="66" t="str">
        <f>_xlfn.CONCAT(Tableau119[[#This Row],[POD]],"-",Tableau119[[#This Row],[Code PFI]],"-",Tableau119[[#This Row],[Compte Consignee]])</f>
        <v>BRPNG---90018600</v>
      </c>
      <c r="H8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BusanKRPUSCuritiba CMO</v>
      </c>
      <c r="I818" s="434" t="str">
        <f>_xlfn.CONCAT(Tableau119[[#This Row],[ID]],"-",Tableau119[[#This Row],[Expiration Date]])</f>
        <v>906-45777</v>
      </c>
      <c r="J8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Busan-ILN Busan-906-KRPUS-ONE-BRPNG--45777</v>
      </c>
      <c r="K818" s="119" t="str">
        <f ca="1">IF(COUNTIF(J:J,Tableau119[[#This Row],[Plant-ILN-shipper-POL-Carrier-POD-PFI]])=1,"Non","Oui")</f>
        <v>Non</v>
      </c>
      <c r="L818" s="128" t="str">
        <f>VLOOKUP(Tableau119[[#This Row],[Name Site]],Plant_AILN!A:D,4,FALSE)</f>
        <v>BRAZIL</v>
      </c>
      <c r="M818" s="411" t="s">
        <v>160</v>
      </c>
      <c r="N818" s="454">
        <f>VLOOKUP(Tableau119[[#This Row],[Name Site]],Plant_AILN!A:C,3,FALSE)</f>
        <v>90018600</v>
      </c>
      <c r="O818" s="55">
        <f>VLOOKUP(Tableau119[[#This Row],[Compte Consignee]],Order!C:D,2,FALSE)</f>
        <v>7</v>
      </c>
      <c r="P818" s="124" t="s">
        <v>166</v>
      </c>
      <c r="Q818" s="365">
        <f>VLOOKUP(Tableau119[[#This Row],[Name ILN]],Plant_AILN!F:G,2,FALSE)</f>
        <v>95436</v>
      </c>
      <c r="R818" s="50">
        <f>VLOOKUP(Tableau119[[#This Row],[Compte ILN]],'DATA ILN'!D:I,6,FALSE)</f>
        <v>9</v>
      </c>
      <c r="S818" s="50">
        <f>IFERROR(VLOOKUP(Tableau119[[#This Row],[Key(Compte ILN - shipper - POL - plant)]],'DATA ILN'!A:J,10,FALSE),VLOOKUP(Tableau119[[#This Row],[Key(Compte ILN - shipper - POL)]],'DATA ILN'!B:J,9,FALSE))</f>
        <v>14</v>
      </c>
      <c r="T818" s="50">
        <f>IFERROR(VLOOKUP(Tableau119[[#This Row],[Key(Compte ILN - shipper - POL - plant)]],'DATA ILN'!A:K,11,FALSE),VLOOKUP(Tableau119[[#This Row],[Key(Compte ILN - shipper - POL)]],'DATA ILN'!B:K,10,FALSE))</f>
        <v>5</v>
      </c>
      <c r="U818" s="50">
        <f>IFERROR(VLOOKUP(Tableau119[[#This Row],[Key(Compte ILN - shipper - POL - plant)]],'DATA ILN'!A:L,12,FALSE),VLOOKUP(Tableau119[[#This Row],[Key(Compte ILN - shipper - POL)]],'DATA ILN'!B:L,11,FALSE))</f>
        <v>7</v>
      </c>
      <c r="V818" s="50">
        <f>Tableau119[[#This Row],[Day ILN Order]]+Tableau119[[#This Row],[Delivery time to ILN/Shipper]]-1</f>
        <v>22</v>
      </c>
      <c r="W818" s="50">
        <f>IFERROR(VLOOKUP(Tableau119[[#This Row],[Key(Compte ILN - shipper - POL - plant)]],'DATA ILN'!A:N,14,FALSE),VLOOKUP(Tableau119[[#This Row],[Key(Compte ILN - shipper - POL)]],'DATA ILN'!B:N,13,FALSE))</f>
        <v>1</v>
      </c>
      <c r="X818" s="50">
        <f>IFERROR(VLOOKUP(Tableau119[[#This Row],[Key(Compte ILN - shipper - POL - plant)]],'DATA ILN'!A:P,16,FALSE),VLOOKUP(Tableau119[[#This Row],[Key(Compte ILN - shipper - POL)]],'DATA ILN'!B:P,15,FALSE))</f>
        <v>5</v>
      </c>
      <c r="Y818" s="284" t="s">
        <v>166</v>
      </c>
      <c r="Z818" s="430">
        <f>IFERROR(VLOOKUP(Tableau119[[#This Row],[Name Shipper]],Plant_AILN!L:M,2,FALSE),0)</f>
        <v>95436</v>
      </c>
      <c r="AA818" s="406">
        <v>906</v>
      </c>
      <c r="AB818" s="396" t="str">
        <f>_xlfn.XLOOKUP(Tableau119[[#This Row],[Key(ID-date)]],'DATA BTO'!S:S,'DATA BTO'!E:E,FALSE)</f>
        <v>KRPUS</v>
      </c>
      <c r="AC818" s="3" t="str">
        <f>_xlfn.XLOOKUP(Tableau119[[#This Row],[Key(ID-date)]],'DATA BTO'!S:S,'DATA BTO'!F:F,FALSE)</f>
        <v>ONE</v>
      </c>
      <c r="AD818" s="50">
        <f>_xlfn.XLOOKUP(Tableau119[[#This Row],[Key(ID-date)]],'DATA BTO'!S:S,'DATA BTO'!G:G,FALSE)</f>
        <v>4</v>
      </c>
      <c r="AE818" s="50">
        <f>_xlfn.XLOOKUP(Tableau119[[#This Row],[Key(ID-date)]],'DATA BTO'!S:S,'DATA BTO'!H:H,FALSE)</f>
        <v>6</v>
      </c>
      <c r="AF818" s="447">
        <f>IF(Tableau119[[#This Row],[First Day to POL]]&lt;=Tableau119[[#This Row],[Day Cut Off]],Tableau119[[#This Row],[Day ETD]],Tableau119[[#This Row],[Day ETD]]+7)</f>
        <v>13</v>
      </c>
      <c r="AG818" s="50">
        <f>_xlfn.XLOOKUP(Tableau119[[#This Row],[Key(ID-date)]],'DATA BTO'!S:S,'DATA BTO'!I:I,FALSE)</f>
        <v>40</v>
      </c>
      <c r="AH818" s="3" t="str">
        <f>_xlfn.XLOOKUP(Tableau119[[#This Row],[Key(ID-date)]],'DATA BTO'!S:S,'DATA BTO'!J:J,FALSE)</f>
        <v>BRPNG</v>
      </c>
      <c r="AI818" s="3">
        <f>_xlfn.XLOOKUP(Tableau119[[#This Row],[Key(ID-date)]],'DATA BTO'!S:S,'DATA BTO'!K:K,FALSE)</f>
        <v>3</v>
      </c>
      <c r="AJ818" s="50">
        <f>_xlfn.XLOOKUP(Tableau119[[#This Row],[Key(ID-date)]],'DATA BTO'!S:S,'DATA BTO'!L:L,FALSE)</f>
        <v>7</v>
      </c>
      <c r="AK818" s="53" t="str">
        <f>_xlfn.XLOOKUP(Tableau119[[#This Row],[Key(ID-date)]],'DATA BTO'!S:S,'DATA BTO'!N:N,FALSE)</f>
        <v>Anthony</v>
      </c>
      <c r="AL818" s="54">
        <f>VLOOKUP(Tableau119[[#This Row],[Key(POD -PFI- Usine)]],'DATA Consignee'!A:F,6,FALSE)</f>
        <v>2</v>
      </c>
      <c r="AM818" s="284"/>
      <c r="AN818" s="376" t="str">
        <f>IF(Tableau119[[#This Row],[Name PFI/CDD]]="","-",VLOOKUP(Tableau119[[#This Row],[Name PFI/CDD]],Plant_AILN!I:J,2,FALSE))</f>
        <v>-</v>
      </c>
      <c r="AO8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8" s="2">
        <f>VLOOKUP(Tableau119[[#This Row],[Key(POD -PFI- Usine)]],'DATA Consignee'!A:J,10,FALSE)</f>
        <v>0</v>
      </c>
      <c r="AR818" s="50">
        <f>VLOOKUP(Tableau119[[#This Row],[Key(POD -PFI- Usine)]],'DATA Consignee'!A:N,14,FALSE)</f>
        <v>2</v>
      </c>
      <c r="AS81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1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18" s="50">
        <f>Tableau119[[#This Row],[Transit time]]+Tableau119[[#This Row],[Time for security]]+Tableau119[[#This Row],[Time for security2 buffer]]</f>
        <v>50</v>
      </c>
      <c r="AV81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18" s="50">
        <f>Tableau119[[#This Row],[Leadtime SI2C]]+Tableau119[[#This Row],[First Receipt Days]]-Tableau119[[#This Row],[Day Customer Order]]+1</f>
        <v>92</v>
      </c>
      <c r="AX818" s="119">
        <f>IF(Tableau119[[#This Row],[Name ILN]]&lt;&gt;"SFK Freight Forwarder",Tableau119[[#This Row],[Cust. Leadtime]],Tableau119[[#This Row],[Leadtime SI2C]])</f>
        <v>92</v>
      </c>
      <c r="AY818" s="51" t="str">
        <f>_xlfn.XLOOKUP(Tableau119[[#This Row],[Key(ID-date)]],'DATA BTO'!S:S,'DATA BTO'!P:P,FALSE)</f>
        <v>Renault &gt; Horse BPH</v>
      </c>
      <c r="AZ818" s="338">
        <v>45777</v>
      </c>
      <c r="BA818" s="50"/>
    </row>
    <row r="819" spans="2:53">
      <c r="B819" s="446" t="str">
        <f>_xlfn.CONCAT(Tableau119[[#This Row],[Name ILN]],"-",Tableau119[[#This Row],[Name Shipper]],"-",Tableau119[[#This Row],[Name Site]])</f>
        <v>ILN Busan-ILN Busan-Curitiba CMO</v>
      </c>
      <c r="C819" s="66" t="str">
        <f>_xlfn.CONCAT(Tableau119[[#This Row],[Compte ILN]],"-",Tableau119[[#This Row],[Compte Shipper]],"-",Tableau119[[#This Row],[POL]],"-",Tableau119[[#This Row],[Compte Consignee]])</f>
        <v>95436-95436-KRPUS-90018600</v>
      </c>
      <c r="D819" s="66" t="str">
        <f>_xlfn.CONCAT(Tableau119[[#This Row],[Compte ILN]],"-",Tableau119[[#This Row],[Compte Shipper]],"-",Tableau119[[#This Row],[POL]])</f>
        <v>95436-95436-KRPUS</v>
      </c>
      <c r="E819" s="130" t="str">
        <f>_xlfn.CONCAT(Tableau119[[#This Row],[POL]],"-",Tableau119[[#This Row],[Carrier]],"-",Tableau119[[#This Row],[POD]])</f>
        <v>KRPUS-ONE-BRPNG</v>
      </c>
      <c r="F819" s="66" t="str">
        <f>_xlfn.CONCAT(Tableau119[[#This Row],[ID]],"-","Actif")</f>
        <v>906-Actif</v>
      </c>
      <c r="G819" s="66" t="str">
        <f>_xlfn.CONCAT(Tableau119[[#This Row],[POD]],"-",Tableau119[[#This Row],[Code PFI]],"-",Tableau119[[#This Row],[Compte Consignee]])</f>
        <v>BRPNG---90018600</v>
      </c>
      <c r="H8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BusanKRPUSCuritiba CMO</v>
      </c>
      <c r="I819" s="434" t="str">
        <f>_xlfn.CONCAT(Tableau119[[#This Row],[ID]],"-",Tableau119[[#This Row],[Expiration Date]])</f>
        <v>906-45473</v>
      </c>
      <c r="J8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Busan-ILN Busan-906-KRPUS-ONE-BRPNG--45473</v>
      </c>
      <c r="K819" s="119" t="str">
        <f ca="1">IF(COUNTIF(J:J,Tableau119[[#This Row],[Plant-ILN-shipper-POL-Carrier-POD-PFI]])=1,"Non","Oui")</f>
        <v>Non</v>
      </c>
      <c r="L819" s="128" t="str">
        <f>VLOOKUP(Tableau119[[#This Row],[Name Site]],Plant_AILN!A:D,4,FALSE)</f>
        <v>BRAZIL</v>
      </c>
      <c r="M819" s="411" t="s">
        <v>160</v>
      </c>
      <c r="N819" s="454">
        <f>VLOOKUP(Tableau119[[#This Row],[Name Site]],Plant_AILN!A:C,3,FALSE)</f>
        <v>90018600</v>
      </c>
      <c r="O819" s="55">
        <f>VLOOKUP(Tableau119[[#This Row],[Compte Consignee]],Order!C:D,2,FALSE)</f>
        <v>7</v>
      </c>
      <c r="P819" s="124" t="s">
        <v>166</v>
      </c>
      <c r="Q819" s="365">
        <f>VLOOKUP(Tableau119[[#This Row],[Name ILN]],Plant_AILN!F:G,2,FALSE)</f>
        <v>95436</v>
      </c>
      <c r="R819" s="50">
        <f>VLOOKUP(Tableau119[[#This Row],[Compte ILN]],'DATA ILN'!D:I,6,FALSE)</f>
        <v>9</v>
      </c>
      <c r="S819" s="50">
        <f>IFERROR(VLOOKUP(Tableau119[[#This Row],[Key(Compte ILN - shipper - POL - plant)]],'DATA ILN'!A:J,10,FALSE),VLOOKUP(Tableau119[[#This Row],[Key(Compte ILN - shipper - POL)]],'DATA ILN'!B:J,9,FALSE))</f>
        <v>14</v>
      </c>
      <c r="T819" s="50">
        <f>IFERROR(VLOOKUP(Tableau119[[#This Row],[Key(Compte ILN - shipper - POL - plant)]],'DATA ILN'!A:K,11,FALSE),VLOOKUP(Tableau119[[#This Row],[Key(Compte ILN - shipper - POL)]],'DATA ILN'!B:K,10,FALSE))</f>
        <v>5</v>
      </c>
      <c r="U819" s="50">
        <f>IFERROR(VLOOKUP(Tableau119[[#This Row],[Key(Compte ILN - shipper - POL - plant)]],'DATA ILN'!A:L,12,FALSE),VLOOKUP(Tableau119[[#This Row],[Key(Compte ILN - shipper - POL)]],'DATA ILN'!B:L,11,FALSE))</f>
        <v>7</v>
      </c>
      <c r="V819" s="50">
        <f>Tableau119[[#This Row],[Day ILN Order]]+Tableau119[[#This Row],[Delivery time to ILN/Shipper]]-1</f>
        <v>22</v>
      </c>
      <c r="W819" s="50">
        <f>IFERROR(VLOOKUP(Tableau119[[#This Row],[Key(Compte ILN - shipper - POL - plant)]],'DATA ILN'!A:N,14,FALSE),VLOOKUP(Tableau119[[#This Row],[Key(Compte ILN - shipper - POL)]],'DATA ILN'!B:N,13,FALSE))</f>
        <v>1</v>
      </c>
      <c r="X819" s="50">
        <f>IFERROR(VLOOKUP(Tableau119[[#This Row],[Key(Compte ILN - shipper - POL - plant)]],'DATA ILN'!A:P,16,FALSE),VLOOKUP(Tableau119[[#This Row],[Key(Compte ILN - shipper - POL)]],'DATA ILN'!B:P,15,FALSE))</f>
        <v>5</v>
      </c>
      <c r="Y819" s="284" t="s">
        <v>166</v>
      </c>
      <c r="Z819" s="430">
        <f>IFERROR(VLOOKUP(Tableau119[[#This Row],[Name Shipper]],Plant_AILN!L:M,2,FALSE),0)</f>
        <v>95436</v>
      </c>
      <c r="AA819" s="406">
        <v>906</v>
      </c>
      <c r="AB819" s="396" t="str">
        <f>_xlfn.XLOOKUP(Tableau119[[#This Row],[Key(ID-date)]],'DATA BTO'!S:S,'DATA BTO'!E:E,FALSE)</f>
        <v>KRPUS</v>
      </c>
      <c r="AC819" s="3" t="str">
        <f>_xlfn.XLOOKUP(Tableau119[[#This Row],[Key(ID-date)]],'DATA BTO'!S:S,'DATA BTO'!F:F,FALSE)</f>
        <v>ONE</v>
      </c>
      <c r="AD819" s="50">
        <f>_xlfn.XLOOKUP(Tableau119[[#This Row],[Key(ID-date)]],'DATA BTO'!S:S,'DATA BTO'!G:G,FALSE)</f>
        <v>4</v>
      </c>
      <c r="AE819" s="50">
        <f>_xlfn.XLOOKUP(Tableau119[[#This Row],[Key(ID-date)]],'DATA BTO'!S:S,'DATA BTO'!H:H,FALSE)</f>
        <v>6</v>
      </c>
      <c r="AF819" s="447">
        <f>IF(Tableau119[[#This Row],[First Day to POL]]&lt;=Tableau119[[#This Row],[Day Cut Off]],Tableau119[[#This Row],[Day ETD]],Tableau119[[#This Row],[Day ETD]]+7)</f>
        <v>13</v>
      </c>
      <c r="AG819" s="50">
        <f>_xlfn.XLOOKUP(Tableau119[[#This Row],[Key(ID-date)]],'DATA BTO'!S:S,'DATA BTO'!I:I,FALSE)</f>
        <v>40</v>
      </c>
      <c r="AH819" s="3" t="str">
        <f>_xlfn.XLOOKUP(Tableau119[[#This Row],[Key(ID-date)]],'DATA BTO'!S:S,'DATA BTO'!J:J,FALSE)</f>
        <v>BRPNG</v>
      </c>
      <c r="AI819" s="3">
        <f>_xlfn.XLOOKUP(Tableau119[[#This Row],[Key(ID-date)]],'DATA BTO'!S:S,'DATA BTO'!K:K,FALSE)</f>
        <v>3</v>
      </c>
      <c r="AJ819" s="50">
        <f>_xlfn.XLOOKUP(Tableau119[[#This Row],[Key(ID-date)]],'DATA BTO'!S:S,'DATA BTO'!L:L,FALSE)</f>
        <v>7</v>
      </c>
      <c r="AK819" s="53" t="str">
        <f>_xlfn.XLOOKUP(Tableau119[[#This Row],[Key(ID-date)]],'DATA BTO'!S:S,'DATA BTO'!N:N,FALSE)</f>
        <v>Anthony</v>
      </c>
      <c r="AL819" s="54">
        <f>VLOOKUP(Tableau119[[#This Row],[Key(POD -PFI- Usine)]],'DATA Consignee'!A:F,6,FALSE)</f>
        <v>2</v>
      </c>
      <c r="AM819" s="284"/>
      <c r="AN819" s="376" t="str">
        <f>IF(Tableau119[[#This Row],[Name PFI/CDD]]="","-",VLOOKUP(Tableau119[[#This Row],[Name PFI/CDD]],Plant_AILN!I:J,2,FALSE))</f>
        <v>-</v>
      </c>
      <c r="AO8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19" s="2">
        <f>VLOOKUP(Tableau119[[#This Row],[Key(POD -PFI- Usine)]],'DATA Consignee'!A:J,10,FALSE)</f>
        <v>0</v>
      </c>
      <c r="AR819" s="50">
        <f>VLOOKUP(Tableau119[[#This Row],[Key(POD -PFI- Usine)]],'DATA Consignee'!A:N,14,FALSE)</f>
        <v>2</v>
      </c>
      <c r="AS81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1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19" s="50">
        <f>Tableau119[[#This Row],[Transit time]]+Tableau119[[#This Row],[Time for security]]+Tableau119[[#This Row],[Time for security2 buffer]]</f>
        <v>50</v>
      </c>
      <c r="AV81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19" s="50">
        <f>Tableau119[[#This Row],[Leadtime SI2C]]+Tableau119[[#This Row],[First Receipt Days]]-Tableau119[[#This Row],[Day Customer Order]]+1</f>
        <v>92</v>
      </c>
      <c r="AX819" s="119">
        <f>IF(Tableau119[[#This Row],[Name ILN]]&lt;&gt;"SFK Freight Forwarder",Tableau119[[#This Row],[Cust. Leadtime]],Tableau119[[#This Row],[Leadtime SI2C]])</f>
        <v>92</v>
      </c>
      <c r="AY819" s="51" t="str">
        <f>_xlfn.XLOOKUP(Tableau119[[#This Row],[Key(ID-date)]],'DATA BTO'!S:S,'DATA BTO'!P:P,FALSE)</f>
        <v>Renault &gt; Horse BPH</v>
      </c>
      <c r="AZ819" s="338">
        <v>45473</v>
      </c>
      <c r="BA819" s="50"/>
    </row>
    <row r="820" spans="2:53">
      <c r="B820" s="446" t="str">
        <f>_xlfn.CONCAT(Tableau119[[#This Row],[Name ILN]],"-",Tableau119[[#This Row],[Name Shipper]],"-",Tableau119[[#This Row],[Name Site]])</f>
        <v>ILN Busan-ILN Busan-Curitiba CMO</v>
      </c>
      <c r="C820" s="66" t="str">
        <f>_xlfn.CONCAT(Tableau119[[#This Row],[Compte ILN]],"-",Tableau119[[#This Row],[Compte Shipper]],"-",Tableau119[[#This Row],[POL]],"-",Tableau119[[#This Row],[Compte Consignee]])</f>
        <v>95436-95436-KRPUS-90018600</v>
      </c>
      <c r="D820" s="66" t="str">
        <f>_xlfn.CONCAT(Tableau119[[#This Row],[Compte ILN]],"-",Tableau119[[#This Row],[Compte Shipper]],"-",Tableau119[[#This Row],[POL]])</f>
        <v>95436-95436-KRPUS</v>
      </c>
      <c r="E820" s="130" t="str">
        <f>_xlfn.CONCAT(Tableau119[[#This Row],[POL]],"-",Tableau119[[#This Row],[Carrier]],"-",Tableau119[[#This Row],[POD]])</f>
        <v>KRPUS-CMA-CGM-BRPNG</v>
      </c>
      <c r="F820" s="66" t="str">
        <f>_xlfn.CONCAT(Tableau119[[#This Row],[ID]],"-","Actif")</f>
        <v>906-Actif</v>
      </c>
      <c r="G820" s="66" t="str">
        <f>_xlfn.CONCAT(Tableau119[[#This Row],[POD]],"-",Tableau119[[#This Row],[Code PFI]],"-",Tableau119[[#This Row],[Compte Consignee]])</f>
        <v>BRPNG---90018600</v>
      </c>
      <c r="H8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BusanKRPUSCuritiba CMO</v>
      </c>
      <c r="I820" s="434" t="str">
        <f>_xlfn.CONCAT(Tableau119[[#This Row],[ID]],"-",Tableau119[[#This Row],[Expiration Date]])</f>
        <v>906-45412</v>
      </c>
      <c r="J8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Busan-ILN Busan-906-KRPUS-CMA-CGM-BRPNG--45412</v>
      </c>
      <c r="K820" s="119" t="str">
        <f ca="1">IF(COUNTIF(J:J,Tableau119[[#This Row],[Plant-ILN-shipper-POL-Carrier-POD-PFI]])=1,"Non","Oui")</f>
        <v>Non</v>
      </c>
      <c r="L820" s="128" t="str">
        <f>VLOOKUP(Tableau119[[#This Row],[Name Site]],Plant_AILN!A:D,4,FALSE)</f>
        <v>BRAZIL</v>
      </c>
      <c r="M820" s="415" t="s">
        <v>160</v>
      </c>
      <c r="N820" s="455">
        <f>VLOOKUP(Tableau119[[#This Row],[Name Site]],Plant_AILN!A:C,3,FALSE)</f>
        <v>90018600</v>
      </c>
      <c r="O820" s="104">
        <f>VLOOKUP(Tableau119[[#This Row],[Compte Consignee]],Order!C:D,2,FALSE)</f>
        <v>7</v>
      </c>
      <c r="P820" s="126" t="s">
        <v>166</v>
      </c>
      <c r="Q820" s="366">
        <f>VLOOKUP(Tableau119[[#This Row],[Name ILN]],Plant_AILN!F:G,2,FALSE)</f>
        <v>95436</v>
      </c>
      <c r="R820" s="81">
        <f>VLOOKUP(Tableau119[[#This Row],[Compte ILN]],'DATA ILN'!D:I,6,FALSE)</f>
        <v>9</v>
      </c>
      <c r="S820" s="81">
        <f>IFERROR(VLOOKUP(Tableau119[[#This Row],[Key(Compte ILN - shipper - POL - plant)]],'DATA ILN'!A:J,10,FALSE),VLOOKUP(Tableau119[[#This Row],[Key(Compte ILN - shipper - POL)]],'DATA ILN'!B:J,9,FALSE))</f>
        <v>14</v>
      </c>
      <c r="T820" s="81">
        <f>IFERROR(VLOOKUP(Tableau119[[#This Row],[Key(Compte ILN - shipper - POL - plant)]],'DATA ILN'!A:K,11,FALSE),VLOOKUP(Tableau119[[#This Row],[Key(Compte ILN - shipper - POL)]],'DATA ILN'!B:K,10,FALSE))</f>
        <v>5</v>
      </c>
      <c r="U820" s="81">
        <f>IFERROR(VLOOKUP(Tableau119[[#This Row],[Key(Compte ILN - shipper - POL - plant)]],'DATA ILN'!A:L,12,FALSE),VLOOKUP(Tableau119[[#This Row],[Key(Compte ILN - shipper - POL)]],'DATA ILN'!B:L,11,FALSE))</f>
        <v>7</v>
      </c>
      <c r="V820" s="81">
        <f>Tableau119[[#This Row],[Day ILN Order]]+Tableau119[[#This Row],[Delivery time to ILN/Shipper]]-1</f>
        <v>22</v>
      </c>
      <c r="W820" s="81">
        <f>IFERROR(VLOOKUP(Tableau119[[#This Row],[Key(Compte ILN - shipper - POL - plant)]],'DATA ILN'!A:N,14,FALSE),VLOOKUP(Tableau119[[#This Row],[Key(Compte ILN - shipper - POL)]],'DATA ILN'!B:N,13,FALSE))</f>
        <v>1</v>
      </c>
      <c r="X820" s="81">
        <f>IFERROR(VLOOKUP(Tableau119[[#This Row],[Key(Compte ILN - shipper - POL - plant)]],'DATA ILN'!A:P,16,FALSE),VLOOKUP(Tableau119[[#This Row],[Key(Compte ILN - shipper - POL)]],'DATA ILN'!B:P,15,FALSE))</f>
        <v>5</v>
      </c>
      <c r="Y820" s="102" t="s">
        <v>166</v>
      </c>
      <c r="Z820" s="417">
        <f>IFERROR(VLOOKUP(Tableau119[[#This Row],[Name Shipper]],Plant_AILN!L:M,2,FALSE),0)</f>
        <v>95436</v>
      </c>
      <c r="AA820" s="416">
        <v>906</v>
      </c>
      <c r="AB820" s="396" t="str">
        <f>_xlfn.XLOOKUP(Tableau119[[#This Row],[Key(ID-date)]],'DATA BTO'!S:S,'DATA BTO'!E:E,FALSE)</f>
        <v>KRPUS</v>
      </c>
      <c r="AC820" s="3" t="str">
        <f>_xlfn.XLOOKUP(Tableau119[[#This Row],[Key(ID-date)]],'DATA BTO'!S:S,'DATA BTO'!F:F,FALSE)</f>
        <v>CMA-CGM</v>
      </c>
      <c r="AD820" s="50">
        <f>_xlfn.XLOOKUP(Tableau119[[#This Row],[Key(ID-date)]],'DATA BTO'!S:S,'DATA BTO'!G:G,FALSE)</f>
        <v>6</v>
      </c>
      <c r="AE820" s="50">
        <f>_xlfn.XLOOKUP(Tableau119[[#This Row],[Key(ID-date)]],'DATA BTO'!S:S,'DATA BTO'!H:H,FALSE)</f>
        <v>8</v>
      </c>
      <c r="AF820" s="447">
        <f>IF(Tableau119[[#This Row],[First Day to POL]]&lt;=Tableau119[[#This Row],[Day Cut Off]],Tableau119[[#This Row],[Day ETD]],Tableau119[[#This Row],[Day ETD]]+7)</f>
        <v>8</v>
      </c>
      <c r="AG820" s="50">
        <f>_xlfn.XLOOKUP(Tableau119[[#This Row],[Key(ID-date)]],'DATA BTO'!S:S,'DATA BTO'!I:I,FALSE)</f>
        <v>41</v>
      </c>
      <c r="AH820" s="3" t="str">
        <f>_xlfn.XLOOKUP(Tableau119[[#This Row],[Key(ID-date)]],'DATA BTO'!S:S,'DATA BTO'!J:J,FALSE)</f>
        <v>BRPNG</v>
      </c>
      <c r="AI820" s="3">
        <f>_xlfn.XLOOKUP(Tableau119[[#This Row],[Key(ID-date)]],'DATA BTO'!S:S,'DATA BTO'!K:K,FALSE)</f>
        <v>3</v>
      </c>
      <c r="AJ820" s="50">
        <f>_xlfn.XLOOKUP(Tableau119[[#This Row],[Key(ID-date)]],'DATA BTO'!S:S,'DATA BTO'!L:L,FALSE)</f>
        <v>7</v>
      </c>
      <c r="AK820" s="53" t="str">
        <f>_xlfn.XLOOKUP(Tableau119[[#This Row],[Key(ID-date)]],'DATA BTO'!S:S,'DATA BTO'!N:N,FALSE)</f>
        <v>Anthony</v>
      </c>
      <c r="AL820" s="54">
        <f>VLOOKUP(Tableau119[[#This Row],[Key(POD -PFI- Usine)]],'DATA Consignee'!A:F,6,FALSE)</f>
        <v>2</v>
      </c>
      <c r="AM820" s="102"/>
      <c r="AN820" s="375" t="str">
        <f>IF(Tableau119[[#This Row],[Name PFI/CDD]]="","-",VLOOKUP(Tableau119[[#This Row],[Name PFI/CDD]],Plant_AILN!I:J,2,FALSE))</f>
        <v>-</v>
      </c>
      <c r="AO82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0" s="110">
        <f>VLOOKUP(Tableau119[[#This Row],[Key(POD -PFI- Usine)]],'DATA Consignee'!A:J,10,FALSE)</f>
        <v>0</v>
      </c>
      <c r="AR820" s="81">
        <f>VLOOKUP(Tableau119[[#This Row],[Key(POD -PFI- Usine)]],'DATA Consignee'!A:N,14,FALSE)</f>
        <v>2</v>
      </c>
      <c r="AS82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2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20" s="81">
        <f>Tableau119[[#This Row],[Transit time]]+Tableau119[[#This Row],[Time for security]]+Tableau119[[#This Row],[Time for security2 buffer]]</f>
        <v>51</v>
      </c>
      <c r="AV82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20" s="50">
        <f>Tableau119[[#This Row],[Leadtime SI2C]]+Tableau119[[#This Row],[First Receipt Days]]-Tableau119[[#This Row],[Day Customer Order]]+1</f>
        <v>85</v>
      </c>
      <c r="AX820" s="119">
        <f>IF(Tableau119[[#This Row],[Name ILN]]&lt;&gt;"SFK Freight Forwarder",Tableau119[[#This Row],[Cust. Leadtime]],Tableau119[[#This Row],[Leadtime SI2C]])</f>
        <v>85</v>
      </c>
      <c r="AY820" s="51" t="str">
        <f>_xlfn.XLOOKUP(Tableau119[[#This Row],[Key(ID-date)]],'DATA BTO'!S:S,'DATA BTO'!P:P,FALSE)</f>
        <v>Renault &gt; Horse BPH</v>
      </c>
      <c r="AZ820" s="388">
        <v>45412</v>
      </c>
      <c r="BA820" s="81"/>
    </row>
    <row r="821" spans="2:53">
      <c r="B821" s="66" t="str">
        <f>_xlfn.CONCAT(Tableau119[[#This Row],[Name ILN]],"-",Tableau119[[#This Row],[Name Shipper]],"-",Tableau119[[#This Row],[Name Site]])</f>
        <v>ILN Bursa-ILN Bursa-Curitiba CMO</v>
      </c>
      <c r="C821" s="66" t="str">
        <f>_xlfn.CONCAT(Tableau119[[#This Row],[Compte ILN]],"-",Tableau119[[#This Row],[Compte Shipper]],"-",Tableau119[[#This Row],[POL]],"-",Tableau119[[#This Row],[Compte Consignee]])</f>
        <v>95112-95112-TRGEM-90018600</v>
      </c>
      <c r="D821" s="66" t="str">
        <f>_xlfn.CONCAT(Tableau119[[#This Row],[Compte ILN]],"-",Tableau119[[#This Row],[Compte Shipper]],"-",Tableau119[[#This Row],[POL]])</f>
        <v>95112-95112-TRGEM</v>
      </c>
      <c r="E821" s="130" t="str">
        <f>_xlfn.CONCAT(Tableau119[[#This Row],[POL]],"-",Tableau119[[#This Row],[Carrier]],"-",Tableau119[[#This Row],[POD]])</f>
        <v>TRGEM-CMA-CGM-BRPNG</v>
      </c>
      <c r="F821" s="66" t="str">
        <f>_xlfn.CONCAT(Tableau119[[#This Row],[ID]],"-","Actif")</f>
        <v>907-Actif</v>
      </c>
      <c r="G821" s="66" t="str">
        <f>_xlfn.CONCAT(Tableau119[[#This Row],[POD]],"-",Tableau119[[#This Row],[Code PFI]],"-",Tableau119[[#This Row],[Compte Consignee]])</f>
        <v>BRPNG---90018600</v>
      </c>
      <c r="H8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BursaTRGEMCuritiba CMO</v>
      </c>
      <c r="I821" s="434" t="str">
        <f>_xlfn.CONCAT(Tableau119[[#This Row],[ID]],"-",Tableau119[[#This Row],[Expiration Date]])</f>
        <v>907-46142</v>
      </c>
      <c r="J8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Bursa-ILN Bursa-907-TRGEM-CMA-CGM-BRPNG--46142</v>
      </c>
      <c r="K821" s="119" t="str">
        <f ca="1">IF(COUNTIF(J:J,Tableau119[[#This Row],[Plant-ILN-shipper-POL-Carrier-POD-PFI]])=1,"Non","Oui")</f>
        <v>Non</v>
      </c>
      <c r="L821" s="440" t="str">
        <f>VLOOKUP(Tableau119[[#This Row],[Name Site]],Plant_AILN!A:D,4,FALSE)</f>
        <v>BRAZIL</v>
      </c>
      <c r="M821" s="10" t="s">
        <v>160</v>
      </c>
      <c r="N821" s="454">
        <f>VLOOKUP(Tableau119[[#This Row],[Name Site]],Plant_AILN!A:C,3,FALSE)</f>
        <v>90018600</v>
      </c>
      <c r="O821" s="55">
        <f>IF(Tableau119[[#This Row],[Name PFI/CDD]]="PFI VLL",2,VLOOKUP(Tableau119[[#This Row],[Compte Consignee]],Order!C:D,2,FALSE))</f>
        <v>7</v>
      </c>
      <c r="P821" s="124" t="s">
        <v>167</v>
      </c>
      <c r="Q821" s="365">
        <f>VLOOKUP(Tableau119[[#This Row],[Name ILN]],Plant_AILN!F:G,2,FALSE)</f>
        <v>95112</v>
      </c>
      <c r="R821" s="50">
        <f>VLOOKUP(Tableau119[[#This Row],[Compte ILN]],'DATA ILN'!D:I,6,FALSE)</f>
        <v>9</v>
      </c>
      <c r="S821" s="50">
        <f>IFERROR(VLOOKUP(Tableau119[[#This Row],[Key(Compte ILN - shipper - POL - plant)]],'DATA ILN'!A:J,10,FALSE),VLOOKUP(Tableau119[[#This Row],[Key(Compte ILN - shipper - POL)]],'DATA ILN'!B:J,9,FALSE))</f>
        <v>14</v>
      </c>
      <c r="T821" s="50">
        <f>IFERROR(VLOOKUP(Tableau119[[#This Row],[Key(Compte ILN - shipper - POL - plant)]],'DATA ILN'!A:K,11,FALSE),VLOOKUP(Tableau119[[#This Row],[Key(Compte ILN - shipper - POL)]],'DATA ILN'!B:K,10,FALSE))</f>
        <v>5</v>
      </c>
      <c r="U821" s="50">
        <f>IFERROR(VLOOKUP(Tableau119[[#This Row],[Key(Compte ILN - shipper - POL - plant)]],'DATA ILN'!A:L,12,FALSE),VLOOKUP(Tableau119[[#This Row],[Key(Compte ILN - shipper - POL)]],'DATA ILN'!B:L,11,FALSE))</f>
        <v>7</v>
      </c>
      <c r="V821" s="50">
        <f>Tableau119[[#This Row],[Day ILN Order]]+Tableau119[[#This Row],[Delivery time to ILN/Shipper]]-1</f>
        <v>22</v>
      </c>
      <c r="W821" s="50">
        <f>IFERROR(VLOOKUP(Tableau119[[#This Row],[Key(Compte ILN - shipper - POL - plant)]],'DATA ILN'!A:N,14,FALSE),VLOOKUP(Tableau119[[#This Row],[Key(Compte ILN - shipper - POL)]],'DATA ILN'!B:N,13,FALSE))</f>
        <v>1</v>
      </c>
      <c r="X821" s="50">
        <f>IFERROR(VLOOKUP(Tableau119[[#This Row],[Key(Compte ILN - shipper - POL - plant)]],'DATA ILN'!A:P,16,FALSE),VLOOKUP(Tableau119[[#This Row],[Key(Compte ILN - shipper - POL)]],'DATA ILN'!B:P,15,FALSE))</f>
        <v>2</v>
      </c>
      <c r="Y821" s="284" t="s">
        <v>167</v>
      </c>
      <c r="Z821" s="430">
        <f>IFERROR(VLOOKUP(Tableau119[[#This Row],[Name Shipper]],Plant_AILN!L:M,2,FALSE),0)</f>
        <v>95112</v>
      </c>
      <c r="AA821" s="406">
        <v>907</v>
      </c>
      <c r="AB821" s="396" t="str">
        <f>_xlfn.XLOOKUP(Tableau119[[#This Row],[Key(ID-date)]],'DATA BTO'!S:S,'DATA BTO'!E:E,FALSE)</f>
        <v>TRGEM</v>
      </c>
      <c r="AC821" s="3" t="str">
        <f>_xlfn.XLOOKUP(Tableau119[[#This Row],[Key(ID-date)]],'DATA BTO'!S:S,'DATA BTO'!F:F,FALSE)</f>
        <v>CMA-CGM</v>
      </c>
      <c r="AD821" s="50">
        <f>_xlfn.XLOOKUP(Tableau119[[#This Row],[Key(ID-date)]],'DATA BTO'!S:S,'DATA BTO'!G:G,FALSE)</f>
        <v>3</v>
      </c>
      <c r="AE821" s="50">
        <f>_xlfn.XLOOKUP(Tableau119[[#This Row],[Key(ID-date)]],'DATA BTO'!S:S,'DATA BTO'!H:H,FALSE)</f>
        <v>5</v>
      </c>
      <c r="AF821" s="447">
        <f>IF(Tableau119[[#This Row],[First Day to POL]]&lt;=Tableau119[[#This Row],[Day Cut Off]],Tableau119[[#This Row],[Day ETD]],Tableau119[[#This Row],[Day ETD]]+7)</f>
        <v>5</v>
      </c>
      <c r="AG821" s="50">
        <f>_xlfn.XLOOKUP(Tableau119[[#This Row],[Key(ID-date)]],'DATA BTO'!S:S,'DATA BTO'!I:I,FALSE)</f>
        <v>32</v>
      </c>
      <c r="AH821" s="3" t="str">
        <f>_xlfn.XLOOKUP(Tableau119[[#This Row],[Key(ID-date)]],'DATA BTO'!S:S,'DATA BTO'!J:J,FALSE)</f>
        <v>BRPNG</v>
      </c>
      <c r="AI821" s="3">
        <f>_xlfn.XLOOKUP(Tableau119[[#This Row],[Key(ID-date)]],'DATA BTO'!S:S,'DATA BTO'!K:K,FALSE)</f>
        <v>3</v>
      </c>
      <c r="AJ821" s="50">
        <f>_xlfn.XLOOKUP(Tableau119[[#This Row],[Key(ID-date)]],'DATA BTO'!S:S,'DATA BTO'!L:L,FALSE)</f>
        <v>0</v>
      </c>
      <c r="AK821" s="53" t="str">
        <f>_xlfn.XLOOKUP(Tableau119[[#This Row],[Key(ID-date)]],'DATA BTO'!S:S,'DATA BTO'!N:N,FALSE)</f>
        <v>Max</v>
      </c>
      <c r="AL821" s="54">
        <f>VLOOKUP(Tableau119[[#This Row],[Key(POD -PFI- Usine)]],'DATA Consignee'!A:F,6,FALSE)</f>
        <v>2</v>
      </c>
      <c r="AM821" s="284"/>
      <c r="AN821" s="376" t="str">
        <f>IF(Tableau119[[#This Row],[Name PFI/CDD]]="","-",VLOOKUP(Tableau119[[#This Row],[Name PFI/CDD]],Plant_AILN!I:J,2,FALSE))</f>
        <v>-</v>
      </c>
      <c r="AO8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1" s="2">
        <f>VLOOKUP(Tableau119[[#This Row],[Key(POD -PFI- Usine)]],'DATA Consignee'!A:J,10,FALSE)</f>
        <v>0</v>
      </c>
      <c r="AR821" s="50">
        <f>VLOOKUP(Tableau119[[#This Row],[Key(POD -PFI- Usine)]],'DATA Consignee'!A:N,14,FALSE)</f>
        <v>2</v>
      </c>
      <c r="AS82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2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821" s="50">
        <f>Tableau119[[#This Row],[Transit time]]+Tableau119[[#This Row],[Time for security]]+Tableau119[[#This Row],[Time for security2 buffer]]</f>
        <v>35</v>
      </c>
      <c r="AV82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21" s="50">
        <f>Tableau119[[#This Row],[Leadtime SI2C]]+Tableau119[[#This Row],[First Receipt Days]]-Tableau119[[#This Row],[Day Customer Order]]+1</f>
        <v>71</v>
      </c>
      <c r="AX821" s="119">
        <f>IF(Tableau119[[#This Row],[Name ILN]]&lt;&gt;"SFK Freight Forwarder",Tableau119[[#This Row],[Cust. Leadtime]],Tableau119[[#This Row],[Leadtime SI2C]])</f>
        <v>71</v>
      </c>
      <c r="AY821" s="51" t="str">
        <f>_xlfn.XLOOKUP(Tableau119[[#This Row],[Key(ID-date)]],'DATA BTO'!S:S,'DATA BTO'!P:P,FALSE)</f>
        <v>Renault &gt; Horse BPH</v>
      </c>
      <c r="AZ821" s="338">
        <v>46142</v>
      </c>
      <c r="BA821" s="50"/>
    </row>
    <row r="822" spans="2:53">
      <c r="B822" s="446" t="str">
        <f>_xlfn.CONCAT(Tableau119[[#This Row],[Name ILN]],"-",Tableau119[[#This Row],[Name Shipper]],"-",Tableau119[[#This Row],[Name Site]])</f>
        <v>ILN Bursa-ILN Bursa-Curitiba CMO</v>
      </c>
      <c r="C822" s="66" t="str">
        <f>_xlfn.CONCAT(Tableau119[[#This Row],[Compte ILN]],"-",Tableau119[[#This Row],[Compte Shipper]],"-",Tableau119[[#This Row],[POL]],"-",Tableau119[[#This Row],[Compte Consignee]])</f>
        <v>95112-95112-TRGEM-90018600</v>
      </c>
      <c r="D822" s="66" t="str">
        <f>_xlfn.CONCAT(Tableau119[[#This Row],[Compte ILN]],"-",Tableau119[[#This Row],[Compte Shipper]],"-",Tableau119[[#This Row],[POL]])</f>
        <v>95112-95112-TRGEM</v>
      </c>
      <c r="E822" s="130" t="str">
        <f>_xlfn.CONCAT(Tableau119[[#This Row],[POL]],"-",Tableau119[[#This Row],[Carrier]],"-",Tableau119[[#This Row],[POD]])</f>
        <v>TRGEM-CMA-CGM-BRPNG</v>
      </c>
      <c r="F822" s="66" t="str">
        <f>_xlfn.CONCAT(Tableau119[[#This Row],[ID]],"-","Actif")</f>
        <v>907-Actif</v>
      </c>
      <c r="G822" s="66" t="str">
        <f>_xlfn.CONCAT(Tableau119[[#This Row],[POD]],"-",Tableau119[[#This Row],[Code PFI]],"-",Tableau119[[#This Row],[Compte Consignee]])</f>
        <v>BRPNG---90018600</v>
      </c>
      <c r="H8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BursaTRGEMCuritiba CMO</v>
      </c>
      <c r="I822" s="434" t="str">
        <f>_xlfn.CONCAT(Tableau119[[#This Row],[ID]],"-",Tableau119[[#This Row],[Expiration Date]])</f>
        <v>907-45777</v>
      </c>
      <c r="J8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Bursa-ILN Bursa-907-TRGEM-CMA-CGM-BRPNG--45777</v>
      </c>
      <c r="K822" s="119" t="str">
        <f ca="1">IF(COUNTIF(J:J,Tableau119[[#This Row],[Plant-ILN-shipper-POL-Carrier-POD-PFI]])=1,"Non","Oui")</f>
        <v>Non</v>
      </c>
      <c r="L822" s="128" t="str">
        <f>VLOOKUP(Tableau119[[#This Row],[Name Site]],Plant_AILN!A:D,4,FALSE)</f>
        <v>BRAZIL</v>
      </c>
      <c r="M822" s="415" t="s">
        <v>160</v>
      </c>
      <c r="N822" s="455">
        <f>VLOOKUP(Tableau119[[#This Row],[Name Site]],Plant_AILN!A:C,3,FALSE)</f>
        <v>90018600</v>
      </c>
      <c r="O822" s="104">
        <f>VLOOKUP(Tableau119[[#This Row],[Compte Consignee]],Order!C:D,2,FALSE)</f>
        <v>7</v>
      </c>
      <c r="P822" s="126" t="s">
        <v>167</v>
      </c>
      <c r="Q822" s="366">
        <f>VLOOKUP(Tableau119[[#This Row],[Name ILN]],Plant_AILN!F:G,2,FALSE)</f>
        <v>95112</v>
      </c>
      <c r="R822" s="81">
        <f>VLOOKUP(Tableau119[[#This Row],[Compte ILN]],'DATA ILN'!D:I,6,FALSE)</f>
        <v>9</v>
      </c>
      <c r="S822" s="81">
        <f>IFERROR(VLOOKUP(Tableau119[[#This Row],[Key(Compte ILN - shipper - POL - plant)]],'DATA ILN'!A:J,10,FALSE),VLOOKUP(Tableau119[[#This Row],[Key(Compte ILN - shipper - POL)]],'DATA ILN'!B:J,9,FALSE))</f>
        <v>14</v>
      </c>
      <c r="T822" s="81">
        <f>IFERROR(VLOOKUP(Tableau119[[#This Row],[Key(Compte ILN - shipper - POL - plant)]],'DATA ILN'!A:K,11,FALSE),VLOOKUP(Tableau119[[#This Row],[Key(Compte ILN - shipper - POL)]],'DATA ILN'!B:K,10,FALSE))</f>
        <v>5</v>
      </c>
      <c r="U822" s="81">
        <f>IFERROR(VLOOKUP(Tableau119[[#This Row],[Key(Compte ILN - shipper - POL - plant)]],'DATA ILN'!A:L,12,FALSE),VLOOKUP(Tableau119[[#This Row],[Key(Compte ILN - shipper - POL)]],'DATA ILN'!B:L,11,FALSE))</f>
        <v>7</v>
      </c>
      <c r="V822" s="81">
        <f>Tableau119[[#This Row],[Day ILN Order]]+Tableau119[[#This Row],[Delivery time to ILN/Shipper]]-1</f>
        <v>22</v>
      </c>
      <c r="W822" s="81">
        <f>IFERROR(VLOOKUP(Tableau119[[#This Row],[Key(Compte ILN - shipper - POL - plant)]],'DATA ILN'!A:N,14,FALSE),VLOOKUP(Tableau119[[#This Row],[Key(Compte ILN - shipper - POL)]],'DATA ILN'!B:N,13,FALSE))</f>
        <v>1</v>
      </c>
      <c r="X822" s="81">
        <f>IFERROR(VLOOKUP(Tableau119[[#This Row],[Key(Compte ILN - shipper - POL - plant)]],'DATA ILN'!A:P,16,FALSE),VLOOKUP(Tableau119[[#This Row],[Key(Compte ILN - shipper - POL)]],'DATA ILN'!B:P,15,FALSE))</f>
        <v>2</v>
      </c>
      <c r="Y822" s="102" t="s">
        <v>167</v>
      </c>
      <c r="Z822" s="417">
        <f>IFERROR(VLOOKUP(Tableau119[[#This Row],[Name Shipper]],Plant_AILN!L:M,2,FALSE),0)</f>
        <v>95112</v>
      </c>
      <c r="AA822" s="416">
        <v>907</v>
      </c>
      <c r="AB822" s="396" t="str">
        <f>_xlfn.XLOOKUP(Tableau119[[#This Row],[Key(ID-date)]],'DATA BTO'!S:S,'DATA BTO'!E:E,FALSE)</f>
        <v>TRGEM</v>
      </c>
      <c r="AC822" s="3" t="str">
        <f>_xlfn.XLOOKUP(Tableau119[[#This Row],[Key(ID-date)]],'DATA BTO'!S:S,'DATA BTO'!F:F,FALSE)</f>
        <v>CMA-CGM</v>
      </c>
      <c r="AD822" s="50">
        <f>_xlfn.XLOOKUP(Tableau119[[#This Row],[Key(ID-date)]],'DATA BTO'!S:S,'DATA BTO'!G:G,FALSE)</f>
        <v>4</v>
      </c>
      <c r="AE822" s="50">
        <f>_xlfn.XLOOKUP(Tableau119[[#This Row],[Key(ID-date)]],'DATA BTO'!S:S,'DATA BTO'!H:H,FALSE)</f>
        <v>6</v>
      </c>
      <c r="AF822" s="447">
        <f>IF(Tableau119[[#This Row],[First Day to POL]]&lt;=Tableau119[[#This Row],[Day Cut Off]],Tableau119[[#This Row],[Day ETD]],Tableau119[[#This Row],[Day ETD]]+7)</f>
        <v>6</v>
      </c>
      <c r="AG822" s="50">
        <f>_xlfn.XLOOKUP(Tableau119[[#This Row],[Key(ID-date)]],'DATA BTO'!S:S,'DATA BTO'!I:I,FALSE)</f>
        <v>34</v>
      </c>
      <c r="AH822" s="3" t="str">
        <f>_xlfn.XLOOKUP(Tableau119[[#This Row],[Key(ID-date)]],'DATA BTO'!S:S,'DATA BTO'!J:J,FALSE)</f>
        <v>BRPNG</v>
      </c>
      <c r="AI822" s="3">
        <f>_xlfn.XLOOKUP(Tableau119[[#This Row],[Key(ID-date)]],'DATA BTO'!S:S,'DATA BTO'!K:K,FALSE)</f>
        <v>3</v>
      </c>
      <c r="AJ822" s="50">
        <f>_xlfn.XLOOKUP(Tableau119[[#This Row],[Key(ID-date)]],'DATA BTO'!S:S,'DATA BTO'!L:L,FALSE)</f>
        <v>0</v>
      </c>
      <c r="AK822" s="53" t="str">
        <f>_xlfn.XLOOKUP(Tableau119[[#This Row],[Key(ID-date)]],'DATA BTO'!S:S,'DATA BTO'!N:N,FALSE)</f>
        <v>Max</v>
      </c>
      <c r="AL822" s="54">
        <f>VLOOKUP(Tableau119[[#This Row],[Key(POD -PFI- Usine)]],'DATA Consignee'!A:F,6,FALSE)</f>
        <v>2</v>
      </c>
      <c r="AM822" s="102"/>
      <c r="AN822" s="375" t="str">
        <f>IF(Tableau119[[#This Row],[Name PFI/CDD]]="","-",VLOOKUP(Tableau119[[#This Row],[Name PFI/CDD]],Plant_AILN!I:J,2,FALSE))</f>
        <v>-</v>
      </c>
      <c r="AO82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2" s="110">
        <f>VLOOKUP(Tableau119[[#This Row],[Key(POD -PFI- Usine)]],'DATA Consignee'!A:J,10,FALSE)</f>
        <v>0</v>
      </c>
      <c r="AR822" s="81">
        <f>VLOOKUP(Tableau119[[#This Row],[Key(POD -PFI- Usine)]],'DATA Consignee'!A:N,14,FALSE)</f>
        <v>2</v>
      </c>
      <c r="AS822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22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822" s="81">
        <f>Tableau119[[#This Row],[Transit time]]+Tableau119[[#This Row],[Time for security]]+Tableau119[[#This Row],[Time for security2 buffer]]</f>
        <v>37</v>
      </c>
      <c r="AV82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22" s="50">
        <f>Tableau119[[#This Row],[Leadtime SI2C]]+Tableau119[[#This Row],[First Receipt Days]]-Tableau119[[#This Row],[Day Customer Order]]+1</f>
        <v>71</v>
      </c>
      <c r="AX822" s="119">
        <f>IF(Tableau119[[#This Row],[Name ILN]]&lt;&gt;"SFK Freight Forwarder",Tableau119[[#This Row],[Cust. Leadtime]],Tableau119[[#This Row],[Leadtime SI2C]])</f>
        <v>71</v>
      </c>
      <c r="AY822" s="51" t="str">
        <f>_xlfn.XLOOKUP(Tableau119[[#This Row],[Key(ID-date)]],'DATA BTO'!S:S,'DATA BTO'!P:P,FALSE)</f>
        <v>Renault &gt; Horse BPH</v>
      </c>
      <c r="AZ822" s="388">
        <v>45777</v>
      </c>
      <c r="BA822" s="81"/>
    </row>
    <row r="823" spans="2:53">
      <c r="B823" s="446" t="str">
        <f>_xlfn.CONCAT(Tableau119[[#This Row],[Name ILN]],"-",Tableau119[[#This Row],[Name Shipper]],"-",Tableau119[[#This Row],[Name Site]])</f>
        <v>ILN Bursa-ILN Bursa-Curitiba CMO</v>
      </c>
      <c r="C823" s="66" t="str">
        <f>_xlfn.CONCAT(Tableau119[[#This Row],[Compte ILN]],"-",Tableau119[[#This Row],[Compte Shipper]],"-",Tableau119[[#This Row],[POL]],"-",Tableau119[[#This Row],[Compte Consignee]])</f>
        <v>95112-95112-TRGEM-90018600</v>
      </c>
      <c r="D823" s="66" t="str">
        <f>_xlfn.CONCAT(Tableau119[[#This Row],[Compte ILN]],"-",Tableau119[[#This Row],[Compte Shipper]],"-",Tableau119[[#This Row],[POL]])</f>
        <v>95112-95112-TRGEM</v>
      </c>
      <c r="E823" s="130" t="str">
        <f>_xlfn.CONCAT(Tableau119[[#This Row],[POL]],"-",Tableau119[[#This Row],[Carrier]],"-",Tableau119[[#This Row],[POD]])</f>
        <v>TRGEM-CMA-CGM-BRPNG</v>
      </c>
      <c r="F823" s="66" t="str">
        <f>_xlfn.CONCAT(Tableau119[[#This Row],[ID]],"-","Actif")</f>
        <v>907-Actif</v>
      </c>
      <c r="G823" s="66" t="str">
        <f>_xlfn.CONCAT(Tableau119[[#This Row],[POD]],"-",Tableau119[[#This Row],[Code PFI]],"-",Tableau119[[#This Row],[Compte Consignee]])</f>
        <v>BRPNG---90018600</v>
      </c>
      <c r="H8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BursaTRGEMCuritiba CMO</v>
      </c>
      <c r="I823" s="434" t="str">
        <f>_xlfn.CONCAT(Tableau119[[#This Row],[ID]],"-",Tableau119[[#This Row],[Expiration Date]])</f>
        <v>907-45535</v>
      </c>
      <c r="J8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Bursa-ILN Bursa-907-TRGEM-CMA-CGM-BRPNG--45535</v>
      </c>
      <c r="K823" s="119" t="str">
        <f ca="1">IF(COUNTIF(J:J,Tableau119[[#This Row],[Plant-ILN-shipper-POL-Carrier-POD-PFI]])=1,"Non","Oui")</f>
        <v>Non</v>
      </c>
      <c r="L823" s="128" t="str">
        <f>VLOOKUP(Tableau119[[#This Row],[Name Site]],Plant_AILN!A:D,4,FALSE)</f>
        <v>BRAZIL</v>
      </c>
      <c r="M823" s="411" t="s">
        <v>160</v>
      </c>
      <c r="N823" s="454">
        <f>VLOOKUP(Tableau119[[#This Row],[Name Site]],Plant_AILN!A:C,3,FALSE)</f>
        <v>90018600</v>
      </c>
      <c r="O823" s="55">
        <f>VLOOKUP(Tableau119[[#This Row],[Compte Consignee]],Order!C:D,2,FALSE)</f>
        <v>7</v>
      </c>
      <c r="P823" s="124" t="s">
        <v>167</v>
      </c>
      <c r="Q823" s="365">
        <f>VLOOKUP(Tableau119[[#This Row],[Name ILN]],Plant_AILN!F:G,2,FALSE)</f>
        <v>95112</v>
      </c>
      <c r="R823" s="50">
        <f>VLOOKUP(Tableau119[[#This Row],[Compte ILN]],'DATA ILN'!D:I,6,FALSE)</f>
        <v>9</v>
      </c>
      <c r="S823" s="50">
        <f>IFERROR(VLOOKUP(Tableau119[[#This Row],[Key(Compte ILN - shipper - POL - plant)]],'DATA ILN'!A:J,10,FALSE),VLOOKUP(Tableau119[[#This Row],[Key(Compte ILN - shipper - POL)]],'DATA ILN'!B:J,9,FALSE))</f>
        <v>14</v>
      </c>
      <c r="T823" s="50">
        <f>IFERROR(VLOOKUP(Tableau119[[#This Row],[Key(Compte ILN - shipper - POL - plant)]],'DATA ILN'!A:K,11,FALSE),VLOOKUP(Tableau119[[#This Row],[Key(Compte ILN - shipper - POL)]],'DATA ILN'!B:K,10,FALSE))</f>
        <v>5</v>
      </c>
      <c r="U823" s="50">
        <f>IFERROR(VLOOKUP(Tableau119[[#This Row],[Key(Compte ILN - shipper - POL - plant)]],'DATA ILN'!A:L,12,FALSE),VLOOKUP(Tableau119[[#This Row],[Key(Compte ILN - shipper - POL)]],'DATA ILN'!B:L,11,FALSE))</f>
        <v>7</v>
      </c>
      <c r="V823" s="50">
        <f>Tableau119[[#This Row],[Day ILN Order]]+Tableau119[[#This Row],[Delivery time to ILN/Shipper]]-1</f>
        <v>22</v>
      </c>
      <c r="W823" s="50">
        <f>IFERROR(VLOOKUP(Tableau119[[#This Row],[Key(Compte ILN - shipper - POL - plant)]],'DATA ILN'!A:N,14,FALSE),VLOOKUP(Tableau119[[#This Row],[Key(Compte ILN - shipper - POL)]],'DATA ILN'!B:N,13,FALSE))</f>
        <v>1</v>
      </c>
      <c r="X823" s="50">
        <f>IFERROR(VLOOKUP(Tableau119[[#This Row],[Key(Compte ILN - shipper - POL - plant)]],'DATA ILN'!A:P,16,FALSE),VLOOKUP(Tableau119[[#This Row],[Key(Compte ILN - shipper - POL)]],'DATA ILN'!B:P,15,FALSE))</f>
        <v>2</v>
      </c>
      <c r="Y823" s="284" t="s">
        <v>167</v>
      </c>
      <c r="Z823" s="430">
        <f>IFERROR(VLOOKUP(Tableau119[[#This Row],[Name Shipper]],Plant_AILN!L:M,2,FALSE),0)</f>
        <v>95112</v>
      </c>
      <c r="AA823" s="406">
        <v>907</v>
      </c>
      <c r="AB823" s="396" t="str">
        <f>_xlfn.XLOOKUP(Tableau119[[#This Row],[Key(ID-date)]],'DATA BTO'!S:S,'DATA BTO'!E:E,FALSE)</f>
        <v>TRGEM</v>
      </c>
      <c r="AC823" s="3" t="str">
        <f>_xlfn.XLOOKUP(Tableau119[[#This Row],[Key(ID-date)]],'DATA BTO'!S:S,'DATA BTO'!F:F,FALSE)</f>
        <v>CMA-CGM</v>
      </c>
      <c r="AD823" s="50">
        <f>_xlfn.XLOOKUP(Tableau119[[#This Row],[Key(ID-date)]],'DATA BTO'!S:S,'DATA BTO'!G:G,FALSE)</f>
        <v>6</v>
      </c>
      <c r="AE823" s="50">
        <f>_xlfn.XLOOKUP(Tableau119[[#This Row],[Key(ID-date)]],'DATA BTO'!S:S,'DATA BTO'!H:H,FALSE)</f>
        <v>12</v>
      </c>
      <c r="AF823" s="447">
        <f>IF(Tableau119[[#This Row],[First Day to POL]]&lt;=Tableau119[[#This Row],[Day Cut Off]],Tableau119[[#This Row],[Day ETD]],Tableau119[[#This Row],[Day ETD]]+7)</f>
        <v>12</v>
      </c>
      <c r="AG823" s="50">
        <f>_xlfn.XLOOKUP(Tableau119[[#This Row],[Key(ID-date)]],'DATA BTO'!S:S,'DATA BTO'!I:I,FALSE)</f>
        <v>34</v>
      </c>
      <c r="AH823" s="3" t="str">
        <f>_xlfn.XLOOKUP(Tableau119[[#This Row],[Key(ID-date)]],'DATA BTO'!S:S,'DATA BTO'!J:J,FALSE)</f>
        <v>BRPNG</v>
      </c>
      <c r="AI823" s="3">
        <f>_xlfn.XLOOKUP(Tableau119[[#This Row],[Key(ID-date)]],'DATA BTO'!S:S,'DATA BTO'!K:K,FALSE)</f>
        <v>3</v>
      </c>
      <c r="AJ823" s="50">
        <f>_xlfn.XLOOKUP(Tableau119[[#This Row],[Key(ID-date)]],'DATA BTO'!S:S,'DATA BTO'!L:L,FALSE)</f>
        <v>0</v>
      </c>
      <c r="AK823" s="53" t="str">
        <f>_xlfn.XLOOKUP(Tableau119[[#This Row],[Key(ID-date)]],'DATA BTO'!S:S,'DATA BTO'!N:N,FALSE)</f>
        <v>Max</v>
      </c>
      <c r="AL823" s="54">
        <f>VLOOKUP(Tableau119[[#This Row],[Key(POD -PFI- Usine)]],'DATA Consignee'!A:F,6,FALSE)</f>
        <v>2</v>
      </c>
      <c r="AM823" s="284"/>
      <c r="AN823" s="376" t="str">
        <f>IF(Tableau119[[#This Row],[Name PFI/CDD]]="","-",VLOOKUP(Tableau119[[#This Row],[Name PFI/CDD]],Plant_AILN!I:J,2,FALSE))</f>
        <v>-</v>
      </c>
      <c r="AO8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3" s="2">
        <f>VLOOKUP(Tableau119[[#This Row],[Key(POD -PFI- Usine)]],'DATA Consignee'!A:J,10,FALSE)</f>
        <v>0</v>
      </c>
      <c r="AR823" s="50">
        <f>VLOOKUP(Tableau119[[#This Row],[Key(POD -PFI- Usine)]],'DATA Consignee'!A:N,14,FALSE)</f>
        <v>2</v>
      </c>
      <c r="AS82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2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823" s="50">
        <f>Tableau119[[#This Row],[Transit time]]+Tableau119[[#This Row],[Time for security]]+Tableau119[[#This Row],[Time for security2 buffer]]</f>
        <v>37</v>
      </c>
      <c r="AV82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23" s="50">
        <f>Tableau119[[#This Row],[Leadtime SI2C]]+Tableau119[[#This Row],[First Receipt Days]]-Tableau119[[#This Row],[Day Customer Order]]+1</f>
        <v>78</v>
      </c>
      <c r="AX823" s="119">
        <f>IF(Tableau119[[#This Row],[Name ILN]]&lt;&gt;"SFK Freight Forwarder",Tableau119[[#This Row],[Cust. Leadtime]],Tableau119[[#This Row],[Leadtime SI2C]])</f>
        <v>78</v>
      </c>
      <c r="AY823" s="51" t="str">
        <f>_xlfn.XLOOKUP(Tableau119[[#This Row],[Key(ID-date)]],'DATA BTO'!S:S,'DATA BTO'!P:P,FALSE)</f>
        <v>Renault &gt; Horse BPH</v>
      </c>
      <c r="AZ823" s="338">
        <v>45535</v>
      </c>
      <c r="BA823" s="50"/>
    </row>
    <row r="824" spans="2:53">
      <c r="B824" s="446" t="str">
        <f>_xlfn.CONCAT(Tableau119[[#This Row],[Name ILN]],"-",Tableau119[[#This Row],[Name Shipper]],"-",Tableau119[[#This Row],[Name Site]])</f>
        <v>ILN Bursa-ILN Bursa-Curitiba CMO</v>
      </c>
      <c r="C824" s="66" t="str">
        <f>_xlfn.CONCAT(Tableau119[[#This Row],[Compte ILN]],"-",Tableau119[[#This Row],[Compte Shipper]],"-",Tableau119[[#This Row],[POL]],"-",Tableau119[[#This Row],[Compte Consignee]])</f>
        <v>95112-95112-TRGEM-90018600</v>
      </c>
      <c r="D824" s="66" t="str">
        <f>_xlfn.CONCAT(Tableau119[[#This Row],[Compte ILN]],"-",Tableau119[[#This Row],[Compte Shipper]],"-",Tableau119[[#This Row],[POL]])</f>
        <v>95112-95112-TRGEM</v>
      </c>
      <c r="E824" s="130" t="str">
        <f>_xlfn.CONCAT(Tableau119[[#This Row],[POL]],"-",Tableau119[[#This Row],[Carrier]],"-",Tableau119[[#This Row],[POD]])</f>
        <v>TRGEM-CMA-CGM-BRPNG</v>
      </c>
      <c r="F824" s="66" t="str">
        <f>_xlfn.CONCAT(Tableau119[[#This Row],[ID]],"-","Actif")</f>
        <v>907-Actif</v>
      </c>
      <c r="G824" s="66" t="str">
        <f>_xlfn.CONCAT(Tableau119[[#This Row],[POD]],"-",Tableau119[[#This Row],[Code PFI]],"-",Tableau119[[#This Row],[Compte Consignee]])</f>
        <v>BRPNG---90018600</v>
      </c>
      <c r="H8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BursaTRGEMCuritiba CMO</v>
      </c>
      <c r="I824" s="434" t="str">
        <f>_xlfn.CONCAT(Tableau119[[#This Row],[ID]],"-",Tableau119[[#This Row],[Expiration Date]])</f>
        <v>907-45473</v>
      </c>
      <c r="J8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Bursa-ILN Bursa-907-TRGEM-CMA-CGM-BRPNG--45473</v>
      </c>
      <c r="K824" s="119" t="str">
        <f ca="1">IF(COUNTIF(J:J,Tableau119[[#This Row],[Plant-ILN-shipper-POL-Carrier-POD-PFI]])=1,"Non","Oui")</f>
        <v>Non</v>
      </c>
      <c r="L824" s="128" t="str">
        <f>VLOOKUP(Tableau119[[#This Row],[Name Site]],Plant_AILN!A:D,4,FALSE)</f>
        <v>BRAZIL</v>
      </c>
      <c r="M824" s="415" t="s">
        <v>160</v>
      </c>
      <c r="N824" s="455">
        <f>VLOOKUP(Tableau119[[#This Row],[Name Site]],Plant_AILN!A:C,3,FALSE)</f>
        <v>90018600</v>
      </c>
      <c r="O824" s="104">
        <f>VLOOKUP(Tableau119[[#This Row],[Compte Consignee]],Order!C:D,2,FALSE)</f>
        <v>7</v>
      </c>
      <c r="P824" s="126" t="s">
        <v>167</v>
      </c>
      <c r="Q824" s="366">
        <f>VLOOKUP(Tableau119[[#This Row],[Name ILN]],Plant_AILN!F:G,2,FALSE)</f>
        <v>95112</v>
      </c>
      <c r="R824" s="81">
        <f>VLOOKUP(Tableau119[[#This Row],[Compte ILN]],'DATA ILN'!D:I,6,FALSE)</f>
        <v>9</v>
      </c>
      <c r="S824" s="81">
        <f>IFERROR(VLOOKUP(Tableau119[[#This Row],[Key(Compte ILN - shipper - POL - plant)]],'DATA ILN'!A:J,10,FALSE),VLOOKUP(Tableau119[[#This Row],[Key(Compte ILN - shipper - POL)]],'DATA ILN'!B:J,9,FALSE))</f>
        <v>14</v>
      </c>
      <c r="T824" s="81">
        <f>IFERROR(VLOOKUP(Tableau119[[#This Row],[Key(Compte ILN - shipper - POL - plant)]],'DATA ILN'!A:K,11,FALSE),VLOOKUP(Tableau119[[#This Row],[Key(Compte ILN - shipper - POL)]],'DATA ILN'!B:K,10,FALSE))</f>
        <v>5</v>
      </c>
      <c r="U824" s="81">
        <f>IFERROR(VLOOKUP(Tableau119[[#This Row],[Key(Compte ILN - shipper - POL - plant)]],'DATA ILN'!A:L,12,FALSE),VLOOKUP(Tableau119[[#This Row],[Key(Compte ILN - shipper - POL)]],'DATA ILN'!B:L,11,FALSE))</f>
        <v>7</v>
      </c>
      <c r="V824" s="81">
        <f>Tableau119[[#This Row],[Day ILN Order]]+Tableau119[[#This Row],[Delivery time to ILN/Shipper]]-1</f>
        <v>22</v>
      </c>
      <c r="W824" s="81">
        <f>IFERROR(VLOOKUP(Tableau119[[#This Row],[Key(Compte ILN - shipper - POL - plant)]],'DATA ILN'!A:N,14,FALSE),VLOOKUP(Tableau119[[#This Row],[Key(Compte ILN - shipper - POL)]],'DATA ILN'!B:N,13,FALSE))</f>
        <v>1</v>
      </c>
      <c r="X824" s="81">
        <f>IFERROR(VLOOKUP(Tableau119[[#This Row],[Key(Compte ILN - shipper - POL - plant)]],'DATA ILN'!A:P,16,FALSE),VLOOKUP(Tableau119[[#This Row],[Key(Compte ILN - shipper - POL)]],'DATA ILN'!B:P,15,FALSE))</f>
        <v>2</v>
      </c>
      <c r="Y824" s="102" t="s">
        <v>167</v>
      </c>
      <c r="Z824" s="417">
        <f>IFERROR(VLOOKUP(Tableau119[[#This Row],[Name Shipper]],Plant_AILN!L:M,2,FALSE),0)</f>
        <v>95112</v>
      </c>
      <c r="AA824" s="416">
        <v>907</v>
      </c>
      <c r="AB824" s="396" t="str">
        <f>_xlfn.XLOOKUP(Tableau119[[#This Row],[Key(ID-date)]],'DATA BTO'!S:S,'DATA BTO'!E:E,FALSE)</f>
        <v>TRGEM</v>
      </c>
      <c r="AC824" s="3" t="str">
        <f>_xlfn.XLOOKUP(Tableau119[[#This Row],[Key(ID-date)]],'DATA BTO'!S:S,'DATA BTO'!F:F,FALSE)</f>
        <v>CMA-CGM</v>
      </c>
      <c r="AD824" s="50">
        <f>_xlfn.XLOOKUP(Tableau119[[#This Row],[Key(ID-date)]],'DATA BTO'!S:S,'DATA BTO'!G:G,FALSE)</f>
        <v>5</v>
      </c>
      <c r="AE824" s="50">
        <f>_xlfn.XLOOKUP(Tableau119[[#This Row],[Key(ID-date)]],'DATA BTO'!S:S,'DATA BTO'!H:H,FALSE)</f>
        <v>8</v>
      </c>
      <c r="AF824" s="447">
        <f>IF(Tableau119[[#This Row],[First Day to POL]]&lt;=Tableau119[[#This Row],[Day Cut Off]],Tableau119[[#This Row],[Day ETD]],Tableau119[[#This Row],[Day ETD]]+7)</f>
        <v>8</v>
      </c>
      <c r="AG824" s="50">
        <f>_xlfn.XLOOKUP(Tableau119[[#This Row],[Key(ID-date)]],'DATA BTO'!S:S,'DATA BTO'!I:I,FALSE)</f>
        <v>31</v>
      </c>
      <c r="AH824" s="3" t="str">
        <f>_xlfn.XLOOKUP(Tableau119[[#This Row],[Key(ID-date)]],'DATA BTO'!S:S,'DATA BTO'!J:J,FALSE)</f>
        <v>BRPNG</v>
      </c>
      <c r="AI824" s="3">
        <f>_xlfn.XLOOKUP(Tableau119[[#This Row],[Key(ID-date)]],'DATA BTO'!S:S,'DATA BTO'!K:K,FALSE)</f>
        <v>3</v>
      </c>
      <c r="AJ824" s="50">
        <f>_xlfn.XLOOKUP(Tableau119[[#This Row],[Key(ID-date)]],'DATA BTO'!S:S,'DATA BTO'!L:L,FALSE)</f>
        <v>0</v>
      </c>
      <c r="AK824" s="53" t="str">
        <f>_xlfn.XLOOKUP(Tableau119[[#This Row],[Key(ID-date)]],'DATA BTO'!S:S,'DATA BTO'!N:N,FALSE)</f>
        <v>Max</v>
      </c>
      <c r="AL824" s="54">
        <f>VLOOKUP(Tableau119[[#This Row],[Key(POD -PFI- Usine)]],'DATA Consignee'!A:F,6,FALSE)</f>
        <v>2</v>
      </c>
      <c r="AM824" s="102"/>
      <c r="AN824" s="375" t="str">
        <f>IF(Tableau119[[#This Row],[Name PFI/CDD]]="","-",VLOOKUP(Tableau119[[#This Row],[Name PFI/CDD]],Plant_AILN!I:J,2,FALSE))</f>
        <v>-</v>
      </c>
      <c r="AO82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4" s="110">
        <f>VLOOKUP(Tableau119[[#This Row],[Key(POD -PFI- Usine)]],'DATA Consignee'!A:J,10,FALSE)</f>
        <v>0</v>
      </c>
      <c r="AR824" s="81">
        <f>VLOOKUP(Tableau119[[#This Row],[Key(POD -PFI- Usine)]],'DATA Consignee'!A:N,14,FALSE)</f>
        <v>2</v>
      </c>
      <c r="AS82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2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24" s="81">
        <f>Tableau119[[#This Row],[Transit time]]+Tableau119[[#This Row],[Time for security]]+Tableau119[[#This Row],[Time for security2 buffer]]</f>
        <v>34</v>
      </c>
      <c r="AV82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24" s="50">
        <f>Tableau119[[#This Row],[Leadtime SI2C]]+Tableau119[[#This Row],[First Receipt Days]]-Tableau119[[#This Row],[Day Customer Order]]+1</f>
        <v>71</v>
      </c>
      <c r="AX824" s="119">
        <f>IF(Tableau119[[#This Row],[Name ILN]]&lt;&gt;"SFK Freight Forwarder",Tableau119[[#This Row],[Cust. Leadtime]],Tableau119[[#This Row],[Leadtime SI2C]])</f>
        <v>71</v>
      </c>
      <c r="AY824" s="51" t="str">
        <f>_xlfn.XLOOKUP(Tableau119[[#This Row],[Key(ID-date)]],'DATA BTO'!S:S,'DATA BTO'!P:P,FALSE)</f>
        <v>Renault &gt; Horse BPH</v>
      </c>
      <c r="AZ824" s="388">
        <v>45473</v>
      </c>
      <c r="BA824" s="81"/>
    </row>
    <row r="825" spans="2:53">
      <c r="B825" s="66" t="str">
        <f>_xlfn.CONCAT(Tableau119[[#This Row],[Name ILN]],"-",Tableau119[[#This Row],[Name Shipper]],"-",Tableau119[[#This Row],[Name Site]])</f>
        <v>ILN Mioveni-ILN Mioveni-Curitiba CMO</v>
      </c>
      <c r="C825" s="66" t="str">
        <f>_xlfn.CONCAT(Tableau119[[#This Row],[Compte ILN]],"-",Tableau119[[#This Row],[Compte Shipper]],"-",Tableau119[[#This Row],[POL]],"-",Tableau119[[#This Row],[Compte Consignee]])</f>
        <v>28390-28390-ROCND-90018600</v>
      </c>
      <c r="D825" s="66" t="str">
        <f>_xlfn.CONCAT(Tableau119[[#This Row],[Compte ILN]],"-",Tableau119[[#This Row],[Compte Shipper]],"-",Tableau119[[#This Row],[POL]])</f>
        <v>28390-28390-ROCND</v>
      </c>
      <c r="E825" s="130" t="str">
        <f>_xlfn.CONCAT(Tableau119[[#This Row],[POL]],"-",Tableau119[[#This Row],[Carrier]],"-",Tableau119[[#This Row],[POD]])</f>
        <v>ROCND-Maersk-BRPNG</v>
      </c>
      <c r="F825" s="66" t="str">
        <f>_xlfn.CONCAT(Tableau119[[#This Row],[ID]],"-","Actif")</f>
        <v>908-Actif</v>
      </c>
      <c r="G825" s="66" t="str">
        <f>_xlfn.CONCAT(Tableau119[[#This Row],[POD]],"-",Tableau119[[#This Row],[Code PFI]],"-",Tableau119[[#This Row],[Compte Consignee]])</f>
        <v>BRPNG---90018600</v>
      </c>
      <c r="H8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MioveniROCNDCuritiba CMO</v>
      </c>
      <c r="I825" s="434" t="str">
        <f>_xlfn.CONCAT(Tableau119[[#This Row],[ID]],"-",Tableau119[[#This Row],[Expiration Date]])</f>
        <v>908-46142</v>
      </c>
      <c r="J8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Mioveni-ILN Mioveni-908-ROCND-Maersk-BRPNG--46142</v>
      </c>
      <c r="K825" s="119" t="str">
        <f ca="1">IF(COUNTIF(J:J,Tableau119[[#This Row],[Plant-ILN-shipper-POL-Carrier-POD-PFI]])=1,"Non","Oui")</f>
        <v>Non</v>
      </c>
      <c r="L825" s="440" t="str">
        <f>VLOOKUP(Tableau119[[#This Row],[Name Site]],Plant_AILN!A:D,4,FALSE)</f>
        <v>BRAZIL</v>
      </c>
      <c r="M825" s="10" t="s">
        <v>160</v>
      </c>
      <c r="N825" s="454">
        <f>VLOOKUP(Tableau119[[#This Row],[Name Site]],Plant_AILN!A:C,3,FALSE)</f>
        <v>90018600</v>
      </c>
      <c r="O825" s="55">
        <f>IF(Tableau119[[#This Row],[Name PFI/CDD]]="PFI VLL",2,VLOOKUP(Tableau119[[#This Row],[Compte Consignee]],Order!C:D,2,FALSE))</f>
        <v>7</v>
      </c>
      <c r="P825" s="124" t="s">
        <v>168</v>
      </c>
      <c r="Q825" s="365">
        <f>VLOOKUP(Tableau119[[#This Row],[Name ILN]],Plant_AILN!F:G,2,FALSE)</f>
        <v>28390</v>
      </c>
      <c r="R825" s="50">
        <f>VLOOKUP(Tableau119[[#This Row],[Compte ILN]],'DATA ILN'!D:I,6,FALSE)</f>
        <v>9</v>
      </c>
      <c r="S825" s="50">
        <f>IFERROR(VLOOKUP(Tableau119[[#This Row],[Key(Compte ILN - shipper - POL - plant)]],'DATA ILN'!A:J,10,FALSE),VLOOKUP(Tableau119[[#This Row],[Key(Compte ILN - shipper - POL)]],'DATA ILN'!B:J,9,FALSE))</f>
        <v>14</v>
      </c>
      <c r="T825" s="50">
        <f>IFERROR(VLOOKUP(Tableau119[[#This Row],[Key(Compte ILN - shipper - POL - plant)]],'DATA ILN'!A:K,11,FALSE),VLOOKUP(Tableau119[[#This Row],[Key(Compte ILN - shipper - POL)]],'DATA ILN'!B:K,10,FALSE))</f>
        <v>5</v>
      </c>
      <c r="U825" s="50">
        <f>IFERROR(VLOOKUP(Tableau119[[#This Row],[Key(Compte ILN - shipper - POL - plant)]],'DATA ILN'!A:L,12,FALSE),VLOOKUP(Tableau119[[#This Row],[Key(Compte ILN - shipper - POL)]],'DATA ILN'!B:L,11,FALSE))</f>
        <v>7</v>
      </c>
      <c r="V825" s="50">
        <f>Tableau119[[#This Row],[Day ILN Order]]+Tableau119[[#This Row],[Delivery time to ILN/Shipper]]-1</f>
        <v>22</v>
      </c>
      <c r="W825" s="50">
        <f>IFERROR(VLOOKUP(Tableau119[[#This Row],[Key(Compte ILN - shipper - POL - plant)]],'DATA ILN'!A:N,14,FALSE),VLOOKUP(Tableau119[[#This Row],[Key(Compte ILN - shipper - POL)]],'DATA ILN'!B:N,13,FALSE))</f>
        <v>4</v>
      </c>
      <c r="X825" s="50">
        <f>IFERROR(VLOOKUP(Tableau119[[#This Row],[Key(Compte ILN - shipper - POL - plant)]],'DATA ILN'!A:P,16,FALSE),VLOOKUP(Tableau119[[#This Row],[Key(Compte ILN - shipper - POL)]],'DATA ILN'!B:P,15,FALSE))</f>
        <v>5</v>
      </c>
      <c r="Y825" s="284" t="s">
        <v>168</v>
      </c>
      <c r="Z825" s="430">
        <f>IFERROR(VLOOKUP(Tableau119[[#This Row],[Name Shipper]],Plant_AILN!L:M,2,FALSE),0)</f>
        <v>28390</v>
      </c>
      <c r="AA825" s="406">
        <v>908</v>
      </c>
      <c r="AB825" s="396" t="str">
        <f>_xlfn.XLOOKUP(Tableau119[[#This Row],[Key(ID-date)]],'DATA BTO'!S:S,'DATA BTO'!E:E,FALSE)</f>
        <v>ROCND</v>
      </c>
      <c r="AC825" s="3" t="str">
        <f>_xlfn.XLOOKUP(Tableau119[[#This Row],[Key(ID-date)]],'DATA BTO'!S:S,'DATA BTO'!F:F,FALSE)</f>
        <v>Maersk</v>
      </c>
      <c r="AD825" s="50">
        <f>_xlfn.XLOOKUP(Tableau119[[#This Row],[Key(ID-date)]],'DATA BTO'!S:S,'DATA BTO'!G:G,FALSE)</f>
        <v>5</v>
      </c>
      <c r="AE825" s="50">
        <f>_xlfn.XLOOKUP(Tableau119[[#This Row],[Key(ID-date)]],'DATA BTO'!S:S,'DATA BTO'!H:H,FALSE)</f>
        <v>9</v>
      </c>
      <c r="AF825" s="447">
        <f>IF(Tableau119[[#This Row],[First Day to POL]]&lt;=Tableau119[[#This Row],[Day Cut Off]],Tableau119[[#This Row],[Day ETD]],Tableau119[[#This Row],[Day ETD]]+7)</f>
        <v>9</v>
      </c>
      <c r="AG825" s="50">
        <f>_xlfn.XLOOKUP(Tableau119[[#This Row],[Key(ID-date)]],'DATA BTO'!S:S,'DATA BTO'!I:I,FALSE)</f>
        <v>41</v>
      </c>
      <c r="AH825" s="3" t="str">
        <f>_xlfn.XLOOKUP(Tableau119[[#This Row],[Key(ID-date)]],'DATA BTO'!S:S,'DATA BTO'!J:J,FALSE)</f>
        <v>BRPNG</v>
      </c>
      <c r="AI825" s="3">
        <f>_xlfn.XLOOKUP(Tableau119[[#This Row],[Key(ID-date)]],'DATA BTO'!S:S,'DATA BTO'!K:K,FALSE)</f>
        <v>3</v>
      </c>
      <c r="AJ825" s="50">
        <f>_xlfn.XLOOKUP(Tableau119[[#This Row],[Key(ID-date)]],'DATA BTO'!S:S,'DATA BTO'!L:L,FALSE)</f>
        <v>7</v>
      </c>
      <c r="AK825" s="53" t="str">
        <f>_xlfn.XLOOKUP(Tableau119[[#This Row],[Key(ID-date)]],'DATA BTO'!S:S,'DATA BTO'!N:N,FALSE)</f>
        <v>Véronique</v>
      </c>
      <c r="AL825" s="54">
        <f>VLOOKUP(Tableau119[[#This Row],[Key(POD -PFI- Usine)]],'DATA Consignee'!A:F,6,FALSE)</f>
        <v>2</v>
      </c>
      <c r="AM825" s="284"/>
      <c r="AN825" s="376" t="str">
        <f>IF(Tableau119[[#This Row],[Name PFI/CDD]]="","-",VLOOKUP(Tableau119[[#This Row],[Name PFI/CDD]],Plant_AILN!I:J,2,FALSE))</f>
        <v>-</v>
      </c>
      <c r="AO8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5" s="2">
        <f>VLOOKUP(Tableau119[[#This Row],[Key(POD -PFI- Usine)]],'DATA Consignee'!A:J,10,FALSE)</f>
        <v>0</v>
      </c>
      <c r="AR825" s="50">
        <f>VLOOKUP(Tableau119[[#This Row],[Key(POD -PFI- Usine)]],'DATA Consignee'!A:N,14,FALSE)</f>
        <v>2</v>
      </c>
      <c r="AS82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2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25" s="50">
        <f>Tableau119[[#This Row],[Transit time]]+Tableau119[[#This Row],[Time for security]]+Tableau119[[#This Row],[Time for security2 buffer]]</f>
        <v>51</v>
      </c>
      <c r="AV82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25" s="50">
        <f>Tableau119[[#This Row],[Leadtime SI2C]]+Tableau119[[#This Row],[First Receipt Days]]-Tableau119[[#This Row],[Day Customer Order]]+1</f>
        <v>85</v>
      </c>
      <c r="AX825" s="119">
        <f>IF(Tableau119[[#This Row],[Name ILN]]&lt;&gt;"SFK Freight Forwarder",Tableau119[[#This Row],[Cust. Leadtime]],Tableau119[[#This Row],[Leadtime SI2C]])</f>
        <v>85</v>
      </c>
      <c r="AY825" s="51" t="str">
        <f>_xlfn.XLOOKUP(Tableau119[[#This Row],[Key(ID-date)]],'DATA BTO'!S:S,'DATA BTO'!P:P,FALSE)</f>
        <v>Renault &gt; Horse BPH</v>
      </c>
      <c r="AZ825" s="338">
        <v>46142</v>
      </c>
      <c r="BA825" s="50"/>
    </row>
    <row r="826" spans="2:53">
      <c r="B826" s="446" t="str">
        <f>_xlfn.CONCAT(Tableau119[[#This Row],[Name ILN]],"-",Tableau119[[#This Row],[Name Shipper]],"-",Tableau119[[#This Row],[Name Site]])</f>
        <v>ILN Mioveni-ILN Mioveni-Curitiba CMO</v>
      </c>
      <c r="C826" s="66" t="str">
        <f>_xlfn.CONCAT(Tableau119[[#This Row],[Compte ILN]],"-",Tableau119[[#This Row],[Compte Shipper]],"-",Tableau119[[#This Row],[POL]],"-",Tableau119[[#This Row],[Compte Consignee]])</f>
        <v>28390-28390-FALSO-90018600</v>
      </c>
      <c r="D826" s="66" t="str">
        <f>_xlfn.CONCAT(Tableau119[[#This Row],[Compte ILN]],"-",Tableau119[[#This Row],[Compte Shipper]],"-",Tableau119[[#This Row],[POL]])</f>
        <v>28390-28390-FALSO</v>
      </c>
      <c r="E826" s="130" t="str">
        <f>_xlfn.CONCAT(Tableau119[[#This Row],[POL]],"-",Tableau119[[#This Row],[Carrier]],"-",Tableau119[[#This Row],[POD]])</f>
        <v>FALSO-FALSO-FALSO</v>
      </c>
      <c r="F826" s="66" t="str">
        <f>_xlfn.CONCAT(Tableau119[[#This Row],[ID]],"-","Actif")</f>
        <v>908-Actif</v>
      </c>
      <c r="G826" s="66" t="str">
        <f>_xlfn.CONCAT(Tableau119[[#This Row],[POD]],"-",Tableau119[[#This Row],[Code PFI]],"-",Tableau119[[#This Row],[Compte Consignee]])</f>
        <v>FALSO---90018600</v>
      </c>
      <c r="H8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MioveniFALSOCuritiba CMO</v>
      </c>
      <c r="I826" s="434" t="str">
        <f>_xlfn.CONCAT(Tableau119[[#This Row],[ID]],"-",Tableau119[[#This Row],[Expiration Date]])</f>
        <v>908-46011</v>
      </c>
      <c r="J8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Mioveni-ILN Mioveni-908-FALSO-FALSO-FALSO--46011</v>
      </c>
      <c r="K826" s="119" t="str">
        <f ca="1">IF(COUNTIF(J:J,Tableau119[[#This Row],[Plant-ILN-shipper-POL-Carrier-POD-PFI]])=1,"Non","Oui")</f>
        <v>Non</v>
      </c>
      <c r="L826" s="128" t="str">
        <f>VLOOKUP(Tableau119[[#This Row],[Name Site]],Plant_AILN!A:D,4,FALSE)</f>
        <v>BRAZIL</v>
      </c>
      <c r="M826" s="415" t="s">
        <v>160</v>
      </c>
      <c r="N826" s="455">
        <f>VLOOKUP(Tableau119[[#This Row],[Name Site]],Plant_AILN!A:C,3,FALSE)</f>
        <v>90018600</v>
      </c>
      <c r="O826" s="104">
        <f>VLOOKUP(Tableau119[[#This Row],[Compte Consignee]],Order!C:D,2,FALSE)</f>
        <v>7</v>
      </c>
      <c r="P826" s="126" t="s">
        <v>168</v>
      </c>
      <c r="Q826" s="366">
        <f>VLOOKUP(Tableau119[[#This Row],[Name ILN]],Plant_AILN!F:G,2,FALSE)</f>
        <v>28390</v>
      </c>
      <c r="R826" s="81">
        <f>VLOOKUP(Tableau119[[#This Row],[Compte ILN]],'DATA ILN'!D:I,6,FALSE)</f>
        <v>9</v>
      </c>
      <c r="S826" s="81" t="e">
        <f>IFERROR(VLOOKUP(Tableau119[[#This Row],[Key(Compte ILN - shipper - POL - plant)]],'DATA ILN'!A:J,10,FALSE),VLOOKUP(Tableau119[[#This Row],[Key(Compte ILN - shipper - POL)]],'DATA ILN'!B:J,9,FALSE))</f>
        <v>#N/A</v>
      </c>
      <c r="T826" s="81" t="e">
        <f>IFERROR(VLOOKUP(Tableau119[[#This Row],[Key(Compte ILN - shipper - POL - plant)]],'DATA ILN'!A:K,11,FALSE),VLOOKUP(Tableau119[[#This Row],[Key(Compte ILN - shipper - POL)]],'DATA ILN'!B:K,10,FALSE))</f>
        <v>#N/A</v>
      </c>
      <c r="U826" s="81" t="e">
        <f>IFERROR(VLOOKUP(Tableau119[[#This Row],[Key(Compte ILN - shipper - POL - plant)]],'DATA ILN'!A:L,12,FALSE),VLOOKUP(Tableau119[[#This Row],[Key(Compte ILN - shipper - POL)]],'DATA ILN'!B:L,11,FALSE))</f>
        <v>#N/A</v>
      </c>
      <c r="V826" s="81" t="e">
        <f>Tableau119[[#This Row],[Day ILN Order]]+Tableau119[[#This Row],[Delivery time to ILN/Shipper]]-1</f>
        <v>#N/A</v>
      </c>
      <c r="W826" s="81" t="e">
        <f>IFERROR(VLOOKUP(Tableau119[[#This Row],[Key(Compte ILN - shipper - POL - plant)]],'DATA ILN'!A:N,14,FALSE),VLOOKUP(Tableau119[[#This Row],[Key(Compte ILN - shipper - POL)]],'DATA ILN'!B:N,13,FALSE))</f>
        <v>#N/A</v>
      </c>
      <c r="X826" s="81" t="e">
        <f>IFERROR(VLOOKUP(Tableau119[[#This Row],[Key(Compte ILN - shipper - POL - plant)]],'DATA ILN'!A:P,16,FALSE),VLOOKUP(Tableau119[[#This Row],[Key(Compte ILN - shipper - POL)]],'DATA ILN'!B:P,15,FALSE))</f>
        <v>#N/A</v>
      </c>
      <c r="Y826" s="102" t="s">
        <v>168</v>
      </c>
      <c r="Z826" s="417">
        <f>IFERROR(VLOOKUP(Tableau119[[#This Row],[Name Shipper]],Plant_AILN!L:M,2,FALSE),0)</f>
        <v>28390</v>
      </c>
      <c r="AA826" s="416">
        <v>908</v>
      </c>
      <c r="AB826" s="396" t="b">
        <f>_xlfn.XLOOKUP(Tableau119[[#This Row],[Key(ID-date)]],'DATA BTO'!S:S,'DATA BTO'!E:E,FALSE)</f>
        <v>0</v>
      </c>
      <c r="AC826" s="3" t="b">
        <f>_xlfn.XLOOKUP(Tableau119[[#This Row],[Key(ID-date)]],'DATA BTO'!S:S,'DATA BTO'!F:F,FALSE)</f>
        <v>0</v>
      </c>
      <c r="AD826" s="50" t="b">
        <f>_xlfn.XLOOKUP(Tableau119[[#This Row],[Key(ID-date)]],'DATA BTO'!S:S,'DATA BTO'!G:G,FALSE)</f>
        <v>0</v>
      </c>
      <c r="AE826" s="50" t="b">
        <f>_xlfn.XLOOKUP(Tableau119[[#This Row],[Key(ID-date)]],'DATA BTO'!S:S,'DATA BTO'!H:H,FALSE)</f>
        <v>0</v>
      </c>
      <c r="AF826" s="447" t="e">
        <f>IF(Tableau119[[#This Row],[First Day to POL]]&lt;=Tableau119[[#This Row],[Day Cut Off]],Tableau119[[#This Row],[Day ETD]],Tableau119[[#This Row],[Day ETD]]+7)</f>
        <v>#N/A</v>
      </c>
      <c r="AG826" s="50" t="b">
        <f>_xlfn.XLOOKUP(Tableau119[[#This Row],[Key(ID-date)]],'DATA BTO'!S:S,'DATA BTO'!I:I,FALSE)</f>
        <v>0</v>
      </c>
      <c r="AH826" s="3" t="b">
        <f>_xlfn.XLOOKUP(Tableau119[[#This Row],[Key(ID-date)]],'DATA BTO'!S:S,'DATA BTO'!J:J,FALSE)</f>
        <v>0</v>
      </c>
      <c r="AI826" s="3" t="b">
        <f>_xlfn.XLOOKUP(Tableau119[[#This Row],[Key(ID-date)]],'DATA BTO'!S:S,'DATA BTO'!K:K,FALSE)</f>
        <v>0</v>
      </c>
      <c r="AJ826" s="50" t="b">
        <f>_xlfn.XLOOKUP(Tableau119[[#This Row],[Key(ID-date)]],'DATA BTO'!S:S,'DATA BTO'!L:L,FALSE)</f>
        <v>0</v>
      </c>
      <c r="AK826" s="53" t="b">
        <f>_xlfn.XLOOKUP(Tableau119[[#This Row],[Key(ID-date)]],'DATA BTO'!S:S,'DATA BTO'!N:N,FALSE)</f>
        <v>0</v>
      </c>
      <c r="AL826" s="54" t="e">
        <f>VLOOKUP(Tableau119[[#This Row],[Key(POD -PFI- Usine)]],'DATA Consignee'!A:F,6,FALSE)</f>
        <v>#N/A</v>
      </c>
      <c r="AM826" s="102"/>
      <c r="AN826" s="375" t="str">
        <f>IF(Tableau119[[#This Row],[Name PFI/CDD]]="","-",VLOOKUP(Tableau119[[#This Row],[Name PFI/CDD]],Plant_AILN!I:J,2,FALSE))</f>
        <v>-</v>
      </c>
      <c r="AO82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6" s="110" t="e">
        <f>VLOOKUP(Tableau119[[#This Row],[Key(POD -PFI- Usine)]],'DATA Consignee'!A:J,10,FALSE)</f>
        <v>#N/A</v>
      </c>
      <c r="AR826" s="81" t="e">
        <f>VLOOKUP(Tableau119[[#This Row],[Key(POD -PFI- Usine)]],'DATA Consignee'!A:N,14,FALSE)</f>
        <v>#N/A</v>
      </c>
      <c r="AS82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2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26" s="81">
        <f>Tableau119[[#This Row],[Transit time]]+Tableau119[[#This Row],[Time for security]]+Tableau119[[#This Row],[Time for security2 buffer]]</f>
        <v>0</v>
      </c>
      <c r="AV82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26" s="50" t="e">
        <f>Tableau119[[#This Row],[Leadtime SI2C]]+Tableau119[[#This Row],[First Receipt Days]]-Tableau119[[#This Row],[Day Customer Order]]+1</f>
        <v>#N/A</v>
      </c>
      <c r="AX826" s="119" t="e">
        <f>IF(Tableau119[[#This Row],[Name ILN]]&lt;&gt;"SFK Freight Forwarder",Tableau119[[#This Row],[Cust. Leadtime]],Tableau119[[#This Row],[Leadtime SI2C]])</f>
        <v>#N/A</v>
      </c>
      <c r="AY826" s="51" t="b">
        <f>_xlfn.XLOOKUP(Tableau119[[#This Row],[Key(ID-date)]],'DATA BTO'!S:S,'DATA BTO'!P:P,FALSE)</f>
        <v>0</v>
      </c>
      <c r="AZ826" s="388">
        <v>46011</v>
      </c>
      <c r="BA826" s="81"/>
    </row>
    <row r="827" spans="2:53">
      <c r="B827" s="446" t="str">
        <f>_xlfn.CONCAT(Tableau119[[#This Row],[Name ILN]],"-",Tableau119[[#This Row],[Name Shipper]],"-",Tableau119[[#This Row],[Name Site]])</f>
        <v>ILN Mioveni-ILN Mioveni-Curitiba CMO</v>
      </c>
      <c r="C827" s="66" t="str">
        <f>_xlfn.CONCAT(Tableau119[[#This Row],[Compte ILN]],"-",Tableau119[[#This Row],[Compte Shipper]],"-",Tableau119[[#This Row],[POL]],"-",Tableau119[[#This Row],[Compte Consignee]])</f>
        <v>28390-28390-ROCND-90018600</v>
      </c>
      <c r="D827" s="66" t="str">
        <f>_xlfn.CONCAT(Tableau119[[#This Row],[Compte ILN]],"-",Tableau119[[#This Row],[Compte Shipper]],"-",Tableau119[[#This Row],[POL]])</f>
        <v>28390-28390-ROCND</v>
      </c>
      <c r="E827" s="130" t="str">
        <f>_xlfn.CONCAT(Tableau119[[#This Row],[POL]],"-",Tableau119[[#This Row],[Carrier]],"-",Tableau119[[#This Row],[POD]])</f>
        <v>ROCND-CMA-CGM-BRPNG</v>
      </c>
      <c r="F827" s="66" t="str">
        <f>_xlfn.CONCAT(Tableau119[[#This Row],[ID]],"-","Actif")</f>
        <v>908-Actif</v>
      </c>
      <c r="G827" s="66" t="str">
        <f>_xlfn.CONCAT(Tableau119[[#This Row],[POD]],"-",Tableau119[[#This Row],[Code PFI]],"-",Tableau119[[#This Row],[Compte Consignee]])</f>
        <v>BRPNG---90018600</v>
      </c>
      <c r="H8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MioveniROCNDCuritiba CMO</v>
      </c>
      <c r="I827" s="434" t="str">
        <f>_xlfn.CONCAT(Tableau119[[#This Row],[ID]],"-",Tableau119[[#This Row],[Expiration Date]])</f>
        <v>908-45777</v>
      </c>
      <c r="J8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Mioveni-ILN Mioveni-908-ROCND-CMA-CGM-BRPNG--45777</v>
      </c>
      <c r="K827" s="119" t="str">
        <f ca="1">IF(COUNTIF(J:J,Tableau119[[#This Row],[Plant-ILN-shipper-POL-Carrier-POD-PFI]])=1,"Non","Oui")</f>
        <v>Non</v>
      </c>
      <c r="L827" s="128" t="str">
        <f>VLOOKUP(Tableau119[[#This Row],[Name Site]],Plant_AILN!A:D,4,FALSE)</f>
        <v>BRAZIL</v>
      </c>
      <c r="M827" s="411" t="s">
        <v>160</v>
      </c>
      <c r="N827" s="454">
        <f>VLOOKUP(Tableau119[[#This Row],[Name Site]],Plant_AILN!A:C,3,FALSE)</f>
        <v>90018600</v>
      </c>
      <c r="O827" s="55">
        <f>VLOOKUP(Tableau119[[#This Row],[Compte Consignee]],Order!C:D,2,FALSE)</f>
        <v>7</v>
      </c>
      <c r="P827" s="124" t="s">
        <v>168</v>
      </c>
      <c r="Q827" s="365">
        <f>VLOOKUP(Tableau119[[#This Row],[Name ILN]],Plant_AILN!F:G,2,FALSE)</f>
        <v>28390</v>
      </c>
      <c r="R827" s="50">
        <f>VLOOKUP(Tableau119[[#This Row],[Compte ILN]],'DATA ILN'!D:I,6,FALSE)</f>
        <v>9</v>
      </c>
      <c r="S827" s="50">
        <f>IFERROR(VLOOKUP(Tableau119[[#This Row],[Key(Compte ILN - shipper - POL - plant)]],'DATA ILN'!A:J,10,FALSE),VLOOKUP(Tableau119[[#This Row],[Key(Compte ILN - shipper - POL)]],'DATA ILN'!B:J,9,FALSE))</f>
        <v>14</v>
      </c>
      <c r="T827" s="50">
        <f>IFERROR(VLOOKUP(Tableau119[[#This Row],[Key(Compte ILN - shipper - POL - plant)]],'DATA ILN'!A:K,11,FALSE),VLOOKUP(Tableau119[[#This Row],[Key(Compte ILN - shipper - POL)]],'DATA ILN'!B:K,10,FALSE))</f>
        <v>5</v>
      </c>
      <c r="U827" s="50">
        <f>IFERROR(VLOOKUP(Tableau119[[#This Row],[Key(Compte ILN - shipper - POL - plant)]],'DATA ILN'!A:L,12,FALSE),VLOOKUP(Tableau119[[#This Row],[Key(Compte ILN - shipper - POL)]],'DATA ILN'!B:L,11,FALSE))</f>
        <v>7</v>
      </c>
      <c r="V827" s="50">
        <f>Tableau119[[#This Row],[Day ILN Order]]+Tableau119[[#This Row],[Delivery time to ILN/Shipper]]-1</f>
        <v>22</v>
      </c>
      <c r="W827" s="50">
        <f>IFERROR(VLOOKUP(Tableau119[[#This Row],[Key(Compte ILN - shipper - POL - plant)]],'DATA ILN'!A:N,14,FALSE),VLOOKUP(Tableau119[[#This Row],[Key(Compte ILN - shipper - POL)]],'DATA ILN'!B:N,13,FALSE))</f>
        <v>4</v>
      </c>
      <c r="X827" s="50">
        <f>IFERROR(VLOOKUP(Tableau119[[#This Row],[Key(Compte ILN - shipper - POL - plant)]],'DATA ILN'!A:P,16,FALSE),VLOOKUP(Tableau119[[#This Row],[Key(Compte ILN - shipper - POL)]],'DATA ILN'!B:P,15,FALSE))</f>
        <v>5</v>
      </c>
      <c r="Y827" s="284" t="s">
        <v>168</v>
      </c>
      <c r="Z827" s="430">
        <f>IFERROR(VLOOKUP(Tableau119[[#This Row],[Name Shipper]],Plant_AILN!L:M,2,FALSE),0)</f>
        <v>28390</v>
      </c>
      <c r="AA827" s="406">
        <v>908</v>
      </c>
      <c r="AB827" s="396" t="str">
        <f>_xlfn.XLOOKUP(Tableau119[[#This Row],[Key(ID-date)]],'DATA BTO'!S:S,'DATA BTO'!E:E,FALSE)</f>
        <v>ROCND</v>
      </c>
      <c r="AC827" s="3" t="str">
        <f>_xlfn.XLOOKUP(Tableau119[[#This Row],[Key(ID-date)]],'DATA BTO'!S:S,'DATA BTO'!F:F,FALSE)</f>
        <v>CMA-CGM</v>
      </c>
      <c r="AD827" s="50">
        <f>_xlfn.XLOOKUP(Tableau119[[#This Row],[Key(ID-date)]],'DATA BTO'!S:S,'DATA BTO'!G:G,FALSE)</f>
        <v>5</v>
      </c>
      <c r="AE827" s="50">
        <f>_xlfn.XLOOKUP(Tableau119[[#This Row],[Key(ID-date)]],'DATA BTO'!S:S,'DATA BTO'!H:H,FALSE)</f>
        <v>9</v>
      </c>
      <c r="AF827" s="447">
        <f>IF(Tableau119[[#This Row],[First Day to POL]]&lt;=Tableau119[[#This Row],[Day Cut Off]],Tableau119[[#This Row],[Day ETD]],Tableau119[[#This Row],[Day ETD]]+7)</f>
        <v>9</v>
      </c>
      <c r="AG827" s="50">
        <f>_xlfn.XLOOKUP(Tableau119[[#This Row],[Key(ID-date)]],'DATA BTO'!S:S,'DATA BTO'!I:I,FALSE)</f>
        <v>43</v>
      </c>
      <c r="AH827" s="3" t="str">
        <f>_xlfn.XLOOKUP(Tableau119[[#This Row],[Key(ID-date)]],'DATA BTO'!S:S,'DATA BTO'!J:J,FALSE)</f>
        <v>BRPNG</v>
      </c>
      <c r="AI827" s="3">
        <f>_xlfn.XLOOKUP(Tableau119[[#This Row],[Key(ID-date)]],'DATA BTO'!S:S,'DATA BTO'!K:K,FALSE)</f>
        <v>3</v>
      </c>
      <c r="AJ827" s="50">
        <f>_xlfn.XLOOKUP(Tableau119[[#This Row],[Key(ID-date)]],'DATA BTO'!S:S,'DATA BTO'!L:L,FALSE)</f>
        <v>0</v>
      </c>
      <c r="AK827" s="53" t="str">
        <f>_xlfn.XLOOKUP(Tableau119[[#This Row],[Key(ID-date)]],'DATA BTO'!S:S,'DATA BTO'!N:N,FALSE)</f>
        <v>Julien</v>
      </c>
      <c r="AL827" s="54">
        <f>VLOOKUP(Tableau119[[#This Row],[Key(POD -PFI- Usine)]],'DATA Consignee'!A:F,6,FALSE)</f>
        <v>2</v>
      </c>
      <c r="AM827" s="284"/>
      <c r="AN827" s="376" t="str">
        <f>IF(Tableau119[[#This Row],[Name PFI/CDD]]="","-",VLOOKUP(Tableau119[[#This Row],[Name PFI/CDD]],Plant_AILN!I:J,2,FALSE))</f>
        <v>-</v>
      </c>
      <c r="AO82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7" s="2">
        <f>VLOOKUP(Tableau119[[#This Row],[Key(POD -PFI- Usine)]],'DATA Consignee'!A:J,10,FALSE)</f>
        <v>0</v>
      </c>
      <c r="AR827" s="50">
        <f>VLOOKUP(Tableau119[[#This Row],[Key(POD -PFI- Usine)]],'DATA Consignee'!A:N,14,FALSE)</f>
        <v>2</v>
      </c>
      <c r="AS82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2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27" s="50">
        <f>Tableau119[[#This Row],[Transit time]]+Tableau119[[#This Row],[Time for security]]+Tableau119[[#This Row],[Time for security2 buffer]]</f>
        <v>46</v>
      </c>
      <c r="AV82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27" s="50">
        <f>Tableau119[[#This Row],[Leadtime SI2C]]+Tableau119[[#This Row],[First Receipt Days]]-Tableau119[[#This Row],[Day Customer Order]]+1</f>
        <v>85</v>
      </c>
      <c r="AX827" s="119">
        <f>IF(Tableau119[[#This Row],[Name ILN]]&lt;&gt;"SFK Freight Forwarder",Tableau119[[#This Row],[Cust. Leadtime]],Tableau119[[#This Row],[Leadtime SI2C]])</f>
        <v>85</v>
      </c>
      <c r="AY827" s="51" t="str">
        <f>_xlfn.XLOOKUP(Tableau119[[#This Row],[Key(ID-date)]],'DATA BTO'!S:S,'DATA BTO'!P:P,FALSE)</f>
        <v>Renault &gt; Horse BPH</v>
      </c>
      <c r="AZ827" s="338">
        <v>45777</v>
      </c>
      <c r="BA827" s="50"/>
    </row>
    <row r="828" spans="2:53">
      <c r="B828" s="446" t="str">
        <f>_xlfn.CONCAT(Tableau119[[#This Row],[Name ILN]],"-",Tableau119[[#This Row],[Name Shipper]],"-",Tableau119[[#This Row],[Name Site]])</f>
        <v>ILN Mioveni-ILN Mioveni-Curitiba CMO</v>
      </c>
      <c r="C828" s="66" t="str">
        <f>_xlfn.CONCAT(Tableau119[[#This Row],[Compte ILN]],"-",Tableau119[[#This Row],[Compte Shipper]],"-",Tableau119[[#This Row],[POL]],"-",Tableau119[[#This Row],[Compte Consignee]])</f>
        <v>28390-28390-ROCND-90018600</v>
      </c>
      <c r="D828" s="66" t="str">
        <f>_xlfn.CONCAT(Tableau119[[#This Row],[Compte ILN]],"-",Tableau119[[#This Row],[Compte Shipper]],"-",Tableau119[[#This Row],[POL]])</f>
        <v>28390-28390-ROCND</v>
      </c>
      <c r="E828" s="130" t="str">
        <f>_xlfn.CONCAT(Tableau119[[#This Row],[POL]],"-",Tableau119[[#This Row],[Carrier]],"-",Tableau119[[#This Row],[POD]])</f>
        <v>ROCND-CMA-CGM-BRPNG</v>
      </c>
      <c r="F828" s="66" t="str">
        <f>_xlfn.CONCAT(Tableau119[[#This Row],[ID]],"-","Actif")</f>
        <v>908-Actif</v>
      </c>
      <c r="G828" s="66" t="str">
        <f>_xlfn.CONCAT(Tableau119[[#This Row],[POD]],"-",Tableau119[[#This Row],[Code PFI]],"-",Tableau119[[#This Row],[Compte Consignee]])</f>
        <v>BRPNG---90018600</v>
      </c>
      <c r="H8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MioveniROCNDCuritiba CMO</v>
      </c>
      <c r="I828" s="434" t="str">
        <f>_xlfn.CONCAT(Tableau119[[#This Row],[ID]],"-",Tableau119[[#This Row],[Expiration Date]])</f>
        <v>908-45473</v>
      </c>
      <c r="J8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Mioveni-ILN Mioveni-908-ROCND-CMA-CGM-BRPNG--45473</v>
      </c>
      <c r="K828" s="119" t="str">
        <f ca="1">IF(COUNTIF(J:J,Tableau119[[#This Row],[Plant-ILN-shipper-POL-Carrier-POD-PFI]])=1,"Non","Oui")</f>
        <v>Non</v>
      </c>
      <c r="L828" s="128" t="str">
        <f>VLOOKUP(Tableau119[[#This Row],[Name Site]],Plant_AILN!A:D,4,FALSE)</f>
        <v>BRAZIL</v>
      </c>
      <c r="M828" s="415" t="s">
        <v>160</v>
      </c>
      <c r="N828" s="455">
        <f>VLOOKUP(Tableau119[[#This Row],[Name Site]],Plant_AILN!A:C,3,FALSE)</f>
        <v>90018600</v>
      </c>
      <c r="O828" s="104">
        <f>VLOOKUP(Tableau119[[#This Row],[Compte Consignee]],Order!C:D,2,FALSE)</f>
        <v>7</v>
      </c>
      <c r="P828" s="126" t="s">
        <v>168</v>
      </c>
      <c r="Q828" s="366">
        <f>VLOOKUP(Tableau119[[#This Row],[Name ILN]],Plant_AILN!F:G,2,FALSE)</f>
        <v>28390</v>
      </c>
      <c r="R828" s="81">
        <f>VLOOKUP(Tableau119[[#This Row],[Compte ILN]],'DATA ILN'!D:I,6,FALSE)</f>
        <v>9</v>
      </c>
      <c r="S828" s="81">
        <f>IFERROR(VLOOKUP(Tableau119[[#This Row],[Key(Compte ILN - shipper - POL - plant)]],'DATA ILN'!A:J,10,FALSE),VLOOKUP(Tableau119[[#This Row],[Key(Compte ILN - shipper - POL)]],'DATA ILN'!B:J,9,FALSE))</f>
        <v>14</v>
      </c>
      <c r="T828" s="81">
        <f>IFERROR(VLOOKUP(Tableau119[[#This Row],[Key(Compte ILN - shipper - POL - plant)]],'DATA ILN'!A:K,11,FALSE),VLOOKUP(Tableau119[[#This Row],[Key(Compte ILN - shipper - POL)]],'DATA ILN'!B:K,10,FALSE))</f>
        <v>5</v>
      </c>
      <c r="U828" s="81">
        <f>IFERROR(VLOOKUP(Tableau119[[#This Row],[Key(Compte ILN - shipper - POL - plant)]],'DATA ILN'!A:L,12,FALSE),VLOOKUP(Tableau119[[#This Row],[Key(Compte ILN - shipper - POL)]],'DATA ILN'!B:L,11,FALSE))</f>
        <v>7</v>
      </c>
      <c r="V828" s="81">
        <f>Tableau119[[#This Row],[Day ILN Order]]+Tableau119[[#This Row],[Delivery time to ILN/Shipper]]-1</f>
        <v>22</v>
      </c>
      <c r="W828" s="81">
        <f>IFERROR(VLOOKUP(Tableau119[[#This Row],[Key(Compte ILN - shipper - POL - plant)]],'DATA ILN'!A:N,14,FALSE),VLOOKUP(Tableau119[[#This Row],[Key(Compte ILN - shipper - POL)]],'DATA ILN'!B:N,13,FALSE))</f>
        <v>4</v>
      </c>
      <c r="X828" s="81">
        <f>IFERROR(VLOOKUP(Tableau119[[#This Row],[Key(Compte ILN - shipper - POL - plant)]],'DATA ILN'!A:P,16,FALSE),VLOOKUP(Tableau119[[#This Row],[Key(Compte ILN - shipper - POL)]],'DATA ILN'!B:P,15,FALSE))</f>
        <v>5</v>
      </c>
      <c r="Y828" s="102" t="s">
        <v>168</v>
      </c>
      <c r="Z828" s="417">
        <f>IFERROR(VLOOKUP(Tableau119[[#This Row],[Name Shipper]],Plant_AILN!L:M,2,FALSE),0)</f>
        <v>28390</v>
      </c>
      <c r="AA828" s="416">
        <v>908</v>
      </c>
      <c r="AB828" s="396" t="str">
        <f>_xlfn.XLOOKUP(Tableau119[[#This Row],[Key(ID-date)]],'DATA BTO'!S:S,'DATA BTO'!E:E,FALSE)</f>
        <v>ROCND</v>
      </c>
      <c r="AC828" s="3" t="str">
        <f>_xlfn.XLOOKUP(Tableau119[[#This Row],[Key(ID-date)]],'DATA BTO'!S:S,'DATA BTO'!F:F,FALSE)</f>
        <v>CMA-CGM</v>
      </c>
      <c r="AD828" s="50">
        <f>_xlfn.XLOOKUP(Tableau119[[#This Row],[Key(ID-date)]],'DATA BTO'!S:S,'DATA BTO'!G:G,FALSE)</f>
        <v>5</v>
      </c>
      <c r="AE828" s="50">
        <f>_xlfn.XLOOKUP(Tableau119[[#This Row],[Key(ID-date)]],'DATA BTO'!S:S,'DATA BTO'!H:H,FALSE)</f>
        <v>9</v>
      </c>
      <c r="AF828" s="447">
        <f>IF(Tableau119[[#This Row],[First Day to POL]]&lt;=Tableau119[[#This Row],[Day Cut Off]],Tableau119[[#This Row],[Day ETD]],Tableau119[[#This Row],[Day ETD]]+7)</f>
        <v>9</v>
      </c>
      <c r="AG828" s="50">
        <f>_xlfn.XLOOKUP(Tableau119[[#This Row],[Key(ID-date)]],'DATA BTO'!S:S,'DATA BTO'!I:I,FALSE)</f>
        <v>43</v>
      </c>
      <c r="AH828" s="3" t="str">
        <f>_xlfn.XLOOKUP(Tableau119[[#This Row],[Key(ID-date)]],'DATA BTO'!S:S,'DATA BTO'!J:J,FALSE)</f>
        <v>BRPNG</v>
      </c>
      <c r="AI828" s="3">
        <f>_xlfn.XLOOKUP(Tableau119[[#This Row],[Key(ID-date)]],'DATA BTO'!S:S,'DATA BTO'!K:K,FALSE)</f>
        <v>3</v>
      </c>
      <c r="AJ828" s="50">
        <f>_xlfn.XLOOKUP(Tableau119[[#This Row],[Key(ID-date)]],'DATA BTO'!S:S,'DATA BTO'!L:L,FALSE)</f>
        <v>0</v>
      </c>
      <c r="AK828" s="53" t="str">
        <f>_xlfn.XLOOKUP(Tableau119[[#This Row],[Key(ID-date)]],'DATA BTO'!S:S,'DATA BTO'!N:N,FALSE)</f>
        <v>Julien</v>
      </c>
      <c r="AL828" s="54">
        <f>VLOOKUP(Tableau119[[#This Row],[Key(POD -PFI- Usine)]],'DATA Consignee'!A:F,6,FALSE)</f>
        <v>2</v>
      </c>
      <c r="AM828" s="102"/>
      <c r="AN828" s="375" t="str">
        <f>IF(Tableau119[[#This Row],[Name PFI/CDD]]="","-",VLOOKUP(Tableau119[[#This Row],[Name PFI/CDD]],Plant_AILN!I:J,2,FALSE))</f>
        <v>-</v>
      </c>
      <c r="AO82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8" s="110">
        <f>VLOOKUP(Tableau119[[#This Row],[Key(POD -PFI- Usine)]],'DATA Consignee'!A:J,10,FALSE)</f>
        <v>0</v>
      </c>
      <c r="AR828" s="81">
        <f>VLOOKUP(Tableau119[[#This Row],[Key(POD -PFI- Usine)]],'DATA Consignee'!A:N,14,FALSE)</f>
        <v>2</v>
      </c>
      <c r="AS82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2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28" s="81">
        <f>Tableau119[[#This Row],[Transit time]]+Tableau119[[#This Row],[Time for security]]+Tableau119[[#This Row],[Time for security2 buffer]]</f>
        <v>46</v>
      </c>
      <c r="AV82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28" s="50">
        <f>Tableau119[[#This Row],[Leadtime SI2C]]+Tableau119[[#This Row],[First Receipt Days]]-Tableau119[[#This Row],[Day Customer Order]]+1</f>
        <v>85</v>
      </c>
      <c r="AX828" s="119">
        <f>IF(Tableau119[[#This Row],[Name ILN]]&lt;&gt;"SFK Freight Forwarder",Tableau119[[#This Row],[Cust. Leadtime]],Tableau119[[#This Row],[Leadtime SI2C]])</f>
        <v>85</v>
      </c>
      <c r="AY828" s="51" t="str">
        <f>_xlfn.XLOOKUP(Tableau119[[#This Row],[Key(ID-date)]],'DATA BTO'!S:S,'DATA BTO'!P:P,FALSE)</f>
        <v>Renault &gt; Horse BPH</v>
      </c>
      <c r="AZ828" s="388">
        <v>45473</v>
      </c>
      <c r="BA828" s="81"/>
    </row>
    <row r="829" spans="2:53">
      <c r="B829" s="446" t="str">
        <f>_xlfn.CONCAT(Tableau119[[#This Row],[Name ILN]],"-",Tableau119[[#This Row],[Name Shipper]],"-",Tableau119[[#This Row],[Name Site]])</f>
        <v>ILN Mioveni-ILN Mioveni-Curitiba CMO</v>
      </c>
      <c r="C829" s="66" t="str">
        <f>_xlfn.CONCAT(Tableau119[[#This Row],[Compte ILN]],"-",Tableau119[[#This Row],[Compte Shipper]],"-",Tableau119[[#This Row],[POL]],"-",Tableau119[[#This Row],[Compte Consignee]])</f>
        <v>28390-28390-ROCND-90018600</v>
      </c>
      <c r="D829" s="66" t="str">
        <f>_xlfn.CONCAT(Tableau119[[#This Row],[Compte ILN]],"-",Tableau119[[#This Row],[Compte Shipper]],"-",Tableau119[[#This Row],[POL]])</f>
        <v>28390-28390-ROCND</v>
      </c>
      <c r="E829" s="130" t="str">
        <f>_xlfn.CONCAT(Tableau119[[#This Row],[POL]],"-",Tableau119[[#This Row],[Carrier]],"-",Tableau119[[#This Row],[POD]])</f>
        <v>ROCND-CMA-CGM-BRPNG</v>
      </c>
      <c r="F829" s="66" t="str">
        <f>_xlfn.CONCAT(Tableau119[[#This Row],[ID]],"-","Actif")</f>
        <v>908-Actif</v>
      </c>
      <c r="G829" s="66" t="str">
        <f>_xlfn.CONCAT(Tableau119[[#This Row],[POD]],"-",Tableau119[[#This Row],[Code PFI]],"-",Tableau119[[#This Row],[Compte Consignee]])</f>
        <v>BRPNG---90018600</v>
      </c>
      <c r="H8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MioveniROCNDCuritiba CMO</v>
      </c>
      <c r="I829" s="434" t="str">
        <f>_xlfn.CONCAT(Tableau119[[#This Row],[ID]],"-",Tableau119[[#This Row],[Expiration Date]])</f>
        <v>908-45392</v>
      </c>
      <c r="J8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Mioveni-ILN Mioveni-908-ROCND-CMA-CGM-BRPNG--45392</v>
      </c>
      <c r="K829" s="119" t="str">
        <f ca="1">IF(COUNTIF(J:J,Tableau119[[#This Row],[Plant-ILN-shipper-POL-Carrier-POD-PFI]])=1,"Non","Oui")</f>
        <v>Non</v>
      </c>
      <c r="L829" s="128" t="str">
        <f>VLOOKUP(Tableau119[[#This Row],[Name Site]],Plant_AILN!A:D,4,FALSE)</f>
        <v>BRAZIL</v>
      </c>
      <c r="M829" s="411" t="s">
        <v>160</v>
      </c>
      <c r="N829" s="454">
        <f>VLOOKUP(Tableau119[[#This Row],[Name Site]],Plant_AILN!A:C,3,FALSE)</f>
        <v>90018600</v>
      </c>
      <c r="O829" s="55">
        <f>VLOOKUP(Tableau119[[#This Row],[Compte Consignee]],Order!C:D,2,FALSE)</f>
        <v>7</v>
      </c>
      <c r="P829" s="124" t="s">
        <v>168</v>
      </c>
      <c r="Q829" s="365">
        <f>VLOOKUP(Tableau119[[#This Row],[Name ILN]],Plant_AILN!F:G,2,FALSE)</f>
        <v>28390</v>
      </c>
      <c r="R829" s="50">
        <f>VLOOKUP(Tableau119[[#This Row],[Compte ILN]],'DATA ILN'!D:I,6,FALSE)</f>
        <v>9</v>
      </c>
      <c r="S829" s="50">
        <f>IFERROR(VLOOKUP(Tableau119[[#This Row],[Key(Compte ILN - shipper - POL - plant)]],'DATA ILN'!A:J,10,FALSE),VLOOKUP(Tableau119[[#This Row],[Key(Compte ILN - shipper - POL)]],'DATA ILN'!B:J,9,FALSE))</f>
        <v>14</v>
      </c>
      <c r="T829" s="50">
        <f>IFERROR(VLOOKUP(Tableau119[[#This Row],[Key(Compte ILN - shipper - POL - plant)]],'DATA ILN'!A:K,11,FALSE),VLOOKUP(Tableau119[[#This Row],[Key(Compte ILN - shipper - POL)]],'DATA ILN'!B:K,10,FALSE))</f>
        <v>5</v>
      </c>
      <c r="U829" s="50">
        <f>IFERROR(VLOOKUP(Tableau119[[#This Row],[Key(Compte ILN - shipper - POL - plant)]],'DATA ILN'!A:L,12,FALSE),VLOOKUP(Tableau119[[#This Row],[Key(Compte ILN - shipper - POL)]],'DATA ILN'!B:L,11,FALSE))</f>
        <v>7</v>
      </c>
      <c r="V829" s="50">
        <f>Tableau119[[#This Row],[Day ILN Order]]+Tableau119[[#This Row],[Delivery time to ILN/Shipper]]-1</f>
        <v>22</v>
      </c>
      <c r="W829" s="50">
        <f>IFERROR(VLOOKUP(Tableau119[[#This Row],[Key(Compte ILN - shipper - POL - plant)]],'DATA ILN'!A:N,14,FALSE),VLOOKUP(Tableau119[[#This Row],[Key(Compte ILN - shipper - POL)]],'DATA ILN'!B:N,13,FALSE))</f>
        <v>4</v>
      </c>
      <c r="X829" s="50">
        <f>IFERROR(VLOOKUP(Tableau119[[#This Row],[Key(Compte ILN - shipper - POL - plant)]],'DATA ILN'!A:P,16,FALSE),VLOOKUP(Tableau119[[#This Row],[Key(Compte ILN - shipper - POL)]],'DATA ILN'!B:P,15,FALSE))</f>
        <v>5</v>
      </c>
      <c r="Y829" s="284" t="s">
        <v>168</v>
      </c>
      <c r="Z829" s="430">
        <f>IFERROR(VLOOKUP(Tableau119[[#This Row],[Name Shipper]],Plant_AILN!L:M,2,FALSE),0)</f>
        <v>28390</v>
      </c>
      <c r="AA829" s="406">
        <v>908</v>
      </c>
      <c r="AB829" s="396" t="str">
        <f>_xlfn.XLOOKUP(Tableau119[[#This Row],[Key(ID-date)]],'DATA BTO'!S:S,'DATA BTO'!E:E,FALSE)</f>
        <v>ROCND</v>
      </c>
      <c r="AC829" s="3" t="str">
        <f>_xlfn.XLOOKUP(Tableau119[[#This Row],[Key(ID-date)]],'DATA BTO'!S:S,'DATA BTO'!F:F,FALSE)</f>
        <v>CMA-CGM</v>
      </c>
      <c r="AD829" s="50">
        <f>_xlfn.XLOOKUP(Tableau119[[#This Row],[Key(ID-date)]],'DATA BTO'!S:S,'DATA BTO'!G:G,FALSE)</f>
        <v>1</v>
      </c>
      <c r="AE829" s="50">
        <f>_xlfn.XLOOKUP(Tableau119[[#This Row],[Key(ID-date)]],'DATA BTO'!S:S,'DATA BTO'!H:H,FALSE)</f>
        <v>3</v>
      </c>
      <c r="AF829" s="447">
        <f>IF(Tableau119[[#This Row],[First Day to POL]]&lt;=Tableau119[[#This Row],[Day Cut Off]],Tableau119[[#This Row],[Day ETD]],Tableau119[[#This Row],[Day ETD]]+7)</f>
        <v>10</v>
      </c>
      <c r="AG829" s="50">
        <f>_xlfn.XLOOKUP(Tableau119[[#This Row],[Key(ID-date)]],'DATA BTO'!S:S,'DATA BTO'!I:I,FALSE)</f>
        <v>36</v>
      </c>
      <c r="AH829" s="3" t="str">
        <f>_xlfn.XLOOKUP(Tableau119[[#This Row],[Key(ID-date)]],'DATA BTO'!S:S,'DATA BTO'!J:J,FALSE)</f>
        <v>BRPNG</v>
      </c>
      <c r="AI829" s="3">
        <f>_xlfn.XLOOKUP(Tableau119[[#This Row],[Key(ID-date)]],'DATA BTO'!S:S,'DATA BTO'!K:K,FALSE)</f>
        <v>3</v>
      </c>
      <c r="AJ829" s="50">
        <f>_xlfn.XLOOKUP(Tableau119[[#This Row],[Key(ID-date)]],'DATA BTO'!S:S,'DATA BTO'!L:L,FALSE)</f>
        <v>0</v>
      </c>
      <c r="AK829" s="53" t="str">
        <f>_xlfn.XLOOKUP(Tableau119[[#This Row],[Key(ID-date)]],'DATA BTO'!S:S,'DATA BTO'!N:N,FALSE)</f>
        <v>Julien</v>
      </c>
      <c r="AL829" s="54">
        <f>VLOOKUP(Tableau119[[#This Row],[Key(POD -PFI- Usine)]],'DATA Consignee'!A:F,6,FALSE)</f>
        <v>2</v>
      </c>
      <c r="AM829" s="284"/>
      <c r="AN829" s="376" t="str">
        <f>IF(Tableau119[[#This Row],[Name PFI/CDD]]="","-",VLOOKUP(Tableau119[[#This Row],[Name PFI/CDD]],Plant_AILN!I:J,2,FALSE))</f>
        <v>-</v>
      </c>
      <c r="AO8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29" s="2">
        <f>VLOOKUP(Tableau119[[#This Row],[Key(POD -PFI- Usine)]],'DATA Consignee'!A:J,10,FALSE)</f>
        <v>0</v>
      </c>
      <c r="AR829" s="50">
        <f>VLOOKUP(Tableau119[[#This Row],[Key(POD -PFI- Usine)]],'DATA Consignee'!A:N,14,FALSE)</f>
        <v>2</v>
      </c>
      <c r="AS82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2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29" s="50">
        <f>Tableau119[[#This Row],[Transit time]]+Tableau119[[#This Row],[Time for security]]+Tableau119[[#This Row],[Time for security2 buffer]]</f>
        <v>39</v>
      </c>
      <c r="AV82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29" s="50">
        <f>Tableau119[[#This Row],[Leadtime SI2C]]+Tableau119[[#This Row],[First Receipt Days]]-Tableau119[[#This Row],[Day Customer Order]]+1</f>
        <v>78</v>
      </c>
      <c r="AX829" s="119">
        <f>IF(Tableau119[[#This Row],[Name ILN]]&lt;&gt;"SFK Freight Forwarder",Tableau119[[#This Row],[Cust. Leadtime]],Tableau119[[#This Row],[Leadtime SI2C]])</f>
        <v>78</v>
      </c>
      <c r="AY829" s="51" t="str">
        <f>_xlfn.XLOOKUP(Tableau119[[#This Row],[Key(ID-date)]],'DATA BTO'!S:S,'DATA BTO'!P:P,FALSE)</f>
        <v>Renault &gt; Horse BPH</v>
      </c>
      <c r="AZ829" s="338">
        <v>45392</v>
      </c>
      <c r="BA829" s="50"/>
    </row>
    <row r="830" spans="2:53">
      <c r="B830" s="66" t="str">
        <f>_xlfn.CONCAT(Tableau119[[#This Row],[Name ILN]],"-",Tableau119[[#This Row],[Name Shipper]],"-",Tableau119[[#This Row],[Name Site]])</f>
        <v>ILN FR-ILN FR-Curitiba CMO</v>
      </c>
      <c r="C830" s="66" t="str">
        <f>_xlfn.CONCAT(Tableau119[[#This Row],[Compte ILN]],"-",Tableau119[[#This Row],[Compte Shipper]],"-",Tableau119[[#This Row],[POL]],"-",Tableau119[[#This Row],[Compte Consignee]])</f>
        <v>92000100-92000100-FRLEH-90018600</v>
      </c>
      <c r="D830" s="66" t="str">
        <f>_xlfn.CONCAT(Tableau119[[#This Row],[Compte ILN]],"-",Tableau119[[#This Row],[Compte Shipper]],"-",Tableau119[[#This Row],[POL]])</f>
        <v>92000100-92000100-FRLEH</v>
      </c>
      <c r="E830" s="130" t="str">
        <f>_xlfn.CONCAT(Tableau119[[#This Row],[POL]],"-",Tableau119[[#This Row],[Carrier]],"-",Tableau119[[#This Row],[POD]])</f>
        <v>FRLEH-CMA-CGM-BRPNG</v>
      </c>
      <c r="F830" s="66" t="str">
        <f>_xlfn.CONCAT(Tableau119[[#This Row],[ID]],"-","Actif")</f>
        <v>910-Actif</v>
      </c>
      <c r="G830" s="66" t="str">
        <f>_xlfn.CONCAT(Tableau119[[#This Row],[POD]],"-",Tableau119[[#This Row],[Code PFI]],"-",Tableau119[[#This Row],[Compte Consignee]])</f>
        <v>BRPNG---90018600</v>
      </c>
      <c r="H8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FRFRLEHCuritiba CMO</v>
      </c>
      <c r="I830" s="434" t="str">
        <f>_xlfn.CONCAT(Tableau119[[#This Row],[ID]],"-",Tableau119[[#This Row],[Expiration Date]])</f>
        <v>910-46142</v>
      </c>
      <c r="J8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FR-ILN FR-910-FRLEH-CMA-CGM-BRPNG--46142</v>
      </c>
      <c r="K830" s="119" t="str">
        <f ca="1">IF(COUNTIF(J:J,Tableau119[[#This Row],[Plant-ILN-shipper-POL-Carrier-POD-PFI]])=1,"Non","Oui")</f>
        <v>Non</v>
      </c>
      <c r="L830" s="440" t="str">
        <f>VLOOKUP(Tableau119[[#This Row],[Name Site]],Plant_AILN!A:D,4,FALSE)</f>
        <v>BRAZIL</v>
      </c>
      <c r="M830" s="483" t="s">
        <v>160</v>
      </c>
      <c r="N830" s="455">
        <f>VLOOKUP(Tableau119[[#This Row],[Name Site]],Plant_AILN!A:C,3,FALSE)</f>
        <v>90018600</v>
      </c>
      <c r="O830" s="104">
        <f>IF(Tableau119[[#This Row],[Name PFI/CDD]]="PFI VLL",2,VLOOKUP(Tableau119[[#This Row],[Compte Consignee]],Order!C:D,2,FALSE))</f>
        <v>7</v>
      </c>
      <c r="P830" s="126" t="s">
        <v>143</v>
      </c>
      <c r="Q830" s="366">
        <f>VLOOKUP(Tableau119[[#This Row],[Name ILN]],Plant_AILN!F:G,2,FALSE)</f>
        <v>92000100</v>
      </c>
      <c r="R830" s="81">
        <f>VLOOKUP(Tableau119[[#This Row],[Compte ILN]],'DATA ILN'!D:I,6,FALSE)</f>
        <v>9</v>
      </c>
      <c r="S830" s="81">
        <f>IFERROR(VLOOKUP(Tableau119[[#This Row],[Key(Compte ILN - shipper - POL - plant)]],'DATA ILN'!A:J,10,FALSE),VLOOKUP(Tableau119[[#This Row],[Key(Compte ILN - shipper - POL)]],'DATA ILN'!B:J,9,FALSE))</f>
        <v>14</v>
      </c>
      <c r="T830" s="81">
        <f>IFERROR(VLOOKUP(Tableau119[[#This Row],[Key(Compte ILN - shipper - POL - plant)]],'DATA ILN'!A:K,11,FALSE),VLOOKUP(Tableau119[[#This Row],[Key(Compte ILN - shipper - POL)]],'DATA ILN'!B:K,10,FALSE))</f>
        <v>5</v>
      </c>
      <c r="U830" s="81">
        <f>IFERROR(VLOOKUP(Tableau119[[#This Row],[Key(Compte ILN - shipper - POL - plant)]],'DATA ILN'!A:L,12,FALSE),VLOOKUP(Tableau119[[#This Row],[Key(Compte ILN - shipper - POL)]],'DATA ILN'!B:L,11,FALSE))</f>
        <v>7</v>
      </c>
      <c r="V830" s="81">
        <f>Tableau119[[#This Row],[Day ILN Order]]+Tableau119[[#This Row],[Delivery time to ILN/Shipper]]-1</f>
        <v>22</v>
      </c>
      <c r="W830" s="81">
        <f>IFERROR(VLOOKUP(Tableau119[[#This Row],[Key(Compte ILN - shipper - POL - plant)]],'DATA ILN'!A:N,14,FALSE),VLOOKUP(Tableau119[[#This Row],[Key(Compte ILN - shipper - POL)]],'DATA ILN'!B:N,13,FALSE))</f>
        <v>1</v>
      </c>
      <c r="X830" s="81">
        <f>IFERROR(VLOOKUP(Tableau119[[#This Row],[Key(Compte ILN - shipper - POL - plant)]],'DATA ILN'!A:P,16,FALSE),VLOOKUP(Tableau119[[#This Row],[Key(Compte ILN - shipper - POL)]],'DATA ILN'!B:P,15,FALSE))</f>
        <v>8</v>
      </c>
      <c r="Y830" s="102" t="s">
        <v>143</v>
      </c>
      <c r="Z830" s="417">
        <f>IFERROR(VLOOKUP(Tableau119[[#This Row],[Name Shipper]],Plant_AILN!L:M,2,FALSE),0)</f>
        <v>92000100</v>
      </c>
      <c r="AA830" s="416">
        <v>910</v>
      </c>
      <c r="AB830" s="396" t="str">
        <f>_xlfn.XLOOKUP(Tableau119[[#This Row],[Key(ID-date)]],'DATA BTO'!S:S,'DATA BTO'!E:E,FALSE)</f>
        <v>FRLEH</v>
      </c>
      <c r="AC830" s="3" t="str">
        <f>_xlfn.XLOOKUP(Tableau119[[#This Row],[Key(ID-date)]],'DATA BTO'!S:S,'DATA BTO'!F:F,FALSE)</f>
        <v>CMA-CGM</v>
      </c>
      <c r="AD830" s="50">
        <f>_xlfn.XLOOKUP(Tableau119[[#This Row],[Key(ID-date)]],'DATA BTO'!S:S,'DATA BTO'!G:G,FALSE)</f>
        <v>5</v>
      </c>
      <c r="AE830" s="50">
        <f>_xlfn.XLOOKUP(Tableau119[[#This Row],[Key(ID-date)]],'DATA BTO'!S:S,'DATA BTO'!H:H,FALSE)</f>
        <v>8</v>
      </c>
      <c r="AF830" s="447">
        <f>IF(Tableau119[[#This Row],[First Day to POL]]&lt;=Tableau119[[#This Row],[Day Cut Off]],Tableau119[[#This Row],[Day ETD]],Tableau119[[#This Row],[Day ETD]]+7)</f>
        <v>15</v>
      </c>
      <c r="AG830" s="50">
        <f>_xlfn.XLOOKUP(Tableau119[[#This Row],[Key(ID-date)]],'DATA BTO'!S:S,'DATA BTO'!I:I,FALSE)</f>
        <v>35</v>
      </c>
      <c r="AH830" s="3" t="str">
        <f>_xlfn.XLOOKUP(Tableau119[[#This Row],[Key(ID-date)]],'DATA BTO'!S:S,'DATA BTO'!J:J,FALSE)</f>
        <v>BRPNG</v>
      </c>
      <c r="AI830" s="3">
        <f>_xlfn.XLOOKUP(Tableau119[[#This Row],[Key(ID-date)]],'DATA BTO'!S:S,'DATA BTO'!K:K,FALSE)</f>
        <v>3</v>
      </c>
      <c r="AJ830" s="50">
        <f>_xlfn.XLOOKUP(Tableau119[[#This Row],[Key(ID-date)]],'DATA BTO'!S:S,'DATA BTO'!L:L,FALSE)</f>
        <v>0</v>
      </c>
      <c r="AK830" s="53" t="str">
        <f>_xlfn.XLOOKUP(Tableau119[[#This Row],[Key(ID-date)]],'DATA BTO'!S:S,'DATA BTO'!N:N,FALSE)</f>
        <v>Max</v>
      </c>
      <c r="AL830" s="54">
        <f>VLOOKUP(Tableau119[[#This Row],[Key(POD -PFI- Usine)]],'DATA Consignee'!A:F,6,FALSE)</f>
        <v>2</v>
      </c>
      <c r="AM830" s="102"/>
      <c r="AN830" s="375" t="str">
        <f>IF(Tableau119[[#This Row],[Name PFI/CDD]]="","-",VLOOKUP(Tableau119[[#This Row],[Name PFI/CDD]],Plant_AILN!I:J,2,FALSE))</f>
        <v>-</v>
      </c>
      <c r="AO83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0" s="110">
        <f>VLOOKUP(Tableau119[[#This Row],[Key(POD -PFI- Usine)]],'DATA Consignee'!A:J,10,FALSE)</f>
        <v>0</v>
      </c>
      <c r="AR830" s="81">
        <f>VLOOKUP(Tableau119[[#This Row],[Key(POD -PFI- Usine)]],'DATA Consignee'!A:N,14,FALSE)</f>
        <v>2</v>
      </c>
      <c r="AS83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3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20</v>
      </c>
      <c r="AU830" s="81">
        <f>Tableau119[[#This Row],[Transit time]]+Tableau119[[#This Row],[Time for security]]+Tableau119[[#This Row],[Time for security2 buffer]]</f>
        <v>38</v>
      </c>
      <c r="AV83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30" s="50">
        <f>Tableau119[[#This Row],[Leadtime SI2C]]+Tableau119[[#This Row],[First Receipt Days]]-Tableau119[[#This Row],[Day Customer Order]]+1</f>
        <v>78</v>
      </c>
      <c r="AX830" s="119">
        <f>IF(Tableau119[[#This Row],[Name ILN]]&lt;&gt;"SFK Freight Forwarder",Tableau119[[#This Row],[Cust. Leadtime]],Tableau119[[#This Row],[Leadtime SI2C]])</f>
        <v>78</v>
      </c>
      <c r="AY830" s="51" t="str">
        <f>_xlfn.XLOOKUP(Tableau119[[#This Row],[Key(ID-date)]],'DATA BTO'!S:S,'DATA BTO'!P:P,FALSE)</f>
        <v>Renault &gt; Horse BPH</v>
      </c>
      <c r="AZ830" s="388">
        <v>46142</v>
      </c>
      <c r="BA830" s="81"/>
    </row>
    <row r="831" spans="2:53">
      <c r="B831" s="446" t="str">
        <f>_xlfn.CONCAT(Tableau119[[#This Row],[Name ILN]],"-",Tableau119[[#This Row],[Name Shipper]],"-",Tableau119[[#This Row],[Name Site]])</f>
        <v>ILN FR-ILN FR-Curitiba CMO</v>
      </c>
      <c r="C831" s="66" t="str">
        <f>_xlfn.CONCAT(Tableau119[[#This Row],[Compte ILN]],"-",Tableau119[[#This Row],[Compte Shipper]],"-",Tableau119[[#This Row],[POL]],"-",Tableau119[[#This Row],[Compte Consignee]])</f>
        <v>92000100-92000100-FRLEH-90018600</v>
      </c>
      <c r="D831" s="66" t="str">
        <f>_xlfn.CONCAT(Tableau119[[#This Row],[Compte ILN]],"-",Tableau119[[#This Row],[Compte Shipper]],"-",Tableau119[[#This Row],[POL]])</f>
        <v>92000100-92000100-FRLEH</v>
      </c>
      <c r="E831" s="130" t="str">
        <f>_xlfn.CONCAT(Tableau119[[#This Row],[POL]],"-",Tableau119[[#This Row],[Carrier]],"-",Tableau119[[#This Row],[POD]])</f>
        <v>FRLEH-CMA-CGM-BRPNG</v>
      </c>
      <c r="F831" s="66" t="str">
        <f>_xlfn.CONCAT(Tableau119[[#This Row],[ID]],"-","Actif")</f>
        <v>910-Actif</v>
      </c>
      <c r="G831" s="66" t="str">
        <f>_xlfn.CONCAT(Tableau119[[#This Row],[POD]],"-",Tableau119[[#This Row],[Code PFI]],"-",Tableau119[[#This Row],[Compte Consignee]])</f>
        <v>BRPNG---90018600</v>
      </c>
      <c r="H8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FRFRLEHCuritiba CMO</v>
      </c>
      <c r="I831" s="434" t="str">
        <f>_xlfn.CONCAT(Tableau119[[#This Row],[ID]],"-",Tableau119[[#This Row],[Expiration Date]])</f>
        <v>910-45777</v>
      </c>
      <c r="J8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FR-ILN FR-910-FRLEH-CMA-CGM-BRPNG--45777</v>
      </c>
      <c r="K831" s="119" t="str">
        <f ca="1">IF(COUNTIF(J:J,Tableau119[[#This Row],[Plant-ILN-shipper-POL-Carrier-POD-PFI]])=1,"Non","Oui")</f>
        <v>Non</v>
      </c>
      <c r="L831" s="128" t="str">
        <f>VLOOKUP(Tableau119[[#This Row],[Name Site]],Plant_AILN!A:D,4,FALSE)</f>
        <v>BRAZIL</v>
      </c>
      <c r="M831" s="411" t="s">
        <v>160</v>
      </c>
      <c r="N831" s="454">
        <f>VLOOKUP(Tableau119[[#This Row],[Name Site]],Plant_AILN!A:C,3,FALSE)</f>
        <v>90018600</v>
      </c>
      <c r="O831" s="55">
        <f>VLOOKUP(Tableau119[[#This Row],[Compte Consignee]],Order!C:D,2,FALSE)</f>
        <v>7</v>
      </c>
      <c r="P831" s="124" t="s">
        <v>143</v>
      </c>
      <c r="Q831" s="365">
        <f>VLOOKUP(Tableau119[[#This Row],[Name ILN]],Plant_AILN!F:G,2,FALSE)</f>
        <v>92000100</v>
      </c>
      <c r="R831" s="50">
        <f>VLOOKUP(Tableau119[[#This Row],[Compte ILN]],'DATA ILN'!D:I,6,FALSE)</f>
        <v>9</v>
      </c>
      <c r="S831" s="50">
        <f>IFERROR(VLOOKUP(Tableau119[[#This Row],[Key(Compte ILN - shipper - POL - plant)]],'DATA ILN'!A:J,10,FALSE),VLOOKUP(Tableau119[[#This Row],[Key(Compte ILN - shipper - POL)]],'DATA ILN'!B:J,9,FALSE))</f>
        <v>14</v>
      </c>
      <c r="T831" s="50">
        <f>IFERROR(VLOOKUP(Tableau119[[#This Row],[Key(Compte ILN - shipper - POL - plant)]],'DATA ILN'!A:K,11,FALSE),VLOOKUP(Tableau119[[#This Row],[Key(Compte ILN - shipper - POL)]],'DATA ILN'!B:K,10,FALSE))</f>
        <v>5</v>
      </c>
      <c r="U831" s="50">
        <f>IFERROR(VLOOKUP(Tableau119[[#This Row],[Key(Compte ILN - shipper - POL - plant)]],'DATA ILN'!A:L,12,FALSE),VLOOKUP(Tableau119[[#This Row],[Key(Compte ILN - shipper - POL)]],'DATA ILN'!B:L,11,FALSE))</f>
        <v>7</v>
      </c>
      <c r="V831" s="50">
        <f>Tableau119[[#This Row],[Day ILN Order]]+Tableau119[[#This Row],[Delivery time to ILN/Shipper]]-1</f>
        <v>22</v>
      </c>
      <c r="W831" s="50">
        <f>IFERROR(VLOOKUP(Tableau119[[#This Row],[Key(Compte ILN - shipper - POL - plant)]],'DATA ILN'!A:N,14,FALSE),VLOOKUP(Tableau119[[#This Row],[Key(Compte ILN - shipper - POL)]],'DATA ILN'!B:N,13,FALSE))</f>
        <v>1</v>
      </c>
      <c r="X831" s="50">
        <f>IFERROR(VLOOKUP(Tableau119[[#This Row],[Key(Compte ILN - shipper - POL - plant)]],'DATA ILN'!A:P,16,FALSE),VLOOKUP(Tableau119[[#This Row],[Key(Compte ILN - shipper - POL)]],'DATA ILN'!B:P,15,FALSE))</f>
        <v>8</v>
      </c>
      <c r="Y831" s="284" t="s">
        <v>143</v>
      </c>
      <c r="Z831" s="430">
        <f>IFERROR(VLOOKUP(Tableau119[[#This Row],[Name Shipper]],Plant_AILN!L:M,2,FALSE),0)</f>
        <v>92000100</v>
      </c>
      <c r="AA831" s="406">
        <v>910</v>
      </c>
      <c r="AB831" s="396" t="str">
        <f>_xlfn.XLOOKUP(Tableau119[[#This Row],[Key(ID-date)]],'DATA BTO'!S:S,'DATA BTO'!E:E,FALSE)</f>
        <v>FRLEH</v>
      </c>
      <c r="AC831" s="3" t="str">
        <f>_xlfn.XLOOKUP(Tableau119[[#This Row],[Key(ID-date)]],'DATA BTO'!S:S,'DATA BTO'!F:F,FALSE)</f>
        <v>CMA-CGM</v>
      </c>
      <c r="AD831" s="50">
        <f>_xlfn.XLOOKUP(Tableau119[[#This Row],[Key(ID-date)]],'DATA BTO'!S:S,'DATA BTO'!G:G,FALSE)</f>
        <v>4</v>
      </c>
      <c r="AE831" s="50">
        <f>_xlfn.XLOOKUP(Tableau119[[#This Row],[Key(ID-date)]],'DATA BTO'!S:S,'DATA BTO'!H:H,FALSE)</f>
        <v>6</v>
      </c>
      <c r="AF831" s="447">
        <f>IF(Tableau119[[#This Row],[First Day to POL]]&lt;=Tableau119[[#This Row],[Day Cut Off]],Tableau119[[#This Row],[Day ETD]],Tableau119[[#This Row],[Day ETD]]+7)</f>
        <v>13</v>
      </c>
      <c r="AG831" s="50">
        <f>_xlfn.XLOOKUP(Tableau119[[#This Row],[Key(ID-date)]],'DATA BTO'!S:S,'DATA BTO'!I:I,FALSE)</f>
        <v>35</v>
      </c>
      <c r="AH831" s="3" t="str">
        <f>_xlfn.XLOOKUP(Tableau119[[#This Row],[Key(ID-date)]],'DATA BTO'!S:S,'DATA BTO'!J:J,FALSE)</f>
        <v>BRPNG</v>
      </c>
      <c r="AI831" s="3">
        <f>_xlfn.XLOOKUP(Tableau119[[#This Row],[Key(ID-date)]],'DATA BTO'!S:S,'DATA BTO'!K:K,FALSE)</f>
        <v>3</v>
      </c>
      <c r="AJ831" s="50">
        <f>_xlfn.XLOOKUP(Tableau119[[#This Row],[Key(ID-date)]],'DATA BTO'!S:S,'DATA BTO'!L:L,FALSE)</f>
        <v>0</v>
      </c>
      <c r="AK831" s="53" t="str">
        <f>_xlfn.XLOOKUP(Tableau119[[#This Row],[Key(ID-date)]],'DATA BTO'!S:S,'DATA BTO'!N:N,FALSE)</f>
        <v>Max</v>
      </c>
      <c r="AL831" s="54">
        <f>VLOOKUP(Tableau119[[#This Row],[Key(POD -PFI- Usine)]],'DATA Consignee'!A:F,6,FALSE)</f>
        <v>2</v>
      </c>
      <c r="AM831" s="284"/>
      <c r="AN831" s="376" t="str">
        <f>IF(Tableau119[[#This Row],[Name PFI/CDD]]="","-",VLOOKUP(Tableau119[[#This Row],[Name PFI/CDD]],Plant_AILN!I:J,2,FALSE))</f>
        <v>-</v>
      </c>
      <c r="AO8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1" s="2">
        <f>VLOOKUP(Tableau119[[#This Row],[Key(POD -PFI- Usine)]],'DATA Consignee'!A:J,10,FALSE)</f>
        <v>0</v>
      </c>
      <c r="AR831" s="50">
        <f>VLOOKUP(Tableau119[[#This Row],[Key(POD -PFI- Usine)]],'DATA Consignee'!A:N,14,FALSE)</f>
        <v>2</v>
      </c>
      <c r="AS83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3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31" s="50">
        <f>Tableau119[[#This Row],[Transit time]]+Tableau119[[#This Row],[Time for security]]+Tableau119[[#This Row],[Time for security2 buffer]]</f>
        <v>38</v>
      </c>
      <c r="AV83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31" s="50">
        <f>Tableau119[[#This Row],[Leadtime SI2C]]+Tableau119[[#This Row],[First Receipt Days]]-Tableau119[[#This Row],[Day Customer Order]]+1</f>
        <v>78</v>
      </c>
      <c r="AX831" s="119">
        <f>IF(Tableau119[[#This Row],[Name ILN]]&lt;&gt;"SFK Freight Forwarder",Tableau119[[#This Row],[Cust. Leadtime]],Tableau119[[#This Row],[Leadtime SI2C]])</f>
        <v>78</v>
      </c>
      <c r="AY831" s="51" t="str">
        <f>_xlfn.XLOOKUP(Tableau119[[#This Row],[Key(ID-date)]],'DATA BTO'!S:S,'DATA BTO'!P:P,FALSE)</f>
        <v>Renault &gt; Horse BPH</v>
      </c>
      <c r="AZ831" s="338">
        <v>45777</v>
      </c>
      <c r="BA831" s="50"/>
    </row>
    <row r="832" spans="2:53">
      <c r="B832" s="446" t="str">
        <f>_xlfn.CONCAT(Tableau119[[#This Row],[Name ILN]],"-",Tableau119[[#This Row],[Name Shipper]],"-",Tableau119[[#This Row],[Name Site]])</f>
        <v>ILN FR-ILN FR-Curitiba CMO</v>
      </c>
      <c r="C832" s="66" t="str">
        <f>_xlfn.CONCAT(Tableau119[[#This Row],[Compte ILN]],"-",Tableau119[[#This Row],[Compte Shipper]],"-",Tableau119[[#This Row],[POL]],"-",Tableau119[[#This Row],[Compte Consignee]])</f>
        <v>92000100-92000100-FRLEH-90018600</v>
      </c>
      <c r="D832" s="66" t="str">
        <f>_xlfn.CONCAT(Tableau119[[#This Row],[Compte ILN]],"-",Tableau119[[#This Row],[Compte Shipper]],"-",Tableau119[[#This Row],[POL]])</f>
        <v>92000100-92000100-FRLEH</v>
      </c>
      <c r="E832" s="130" t="str">
        <f>_xlfn.CONCAT(Tableau119[[#This Row],[POL]],"-",Tableau119[[#This Row],[Carrier]],"-",Tableau119[[#This Row],[POD]])</f>
        <v>FRLEH-CMA-CGM-BRPNG</v>
      </c>
      <c r="F832" s="66" t="str">
        <f>_xlfn.CONCAT(Tableau119[[#This Row],[ID]],"-","Actif")</f>
        <v>910-Actif</v>
      </c>
      <c r="G832" s="66" t="str">
        <f>_xlfn.CONCAT(Tableau119[[#This Row],[POD]],"-",Tableau119[[#This Row],[Code PFI]],"-",Tableau119[[#This Row],[Compte Consignee]])</f>
        <v>BRPNG---90018600</v>
      </c>
      <c r="H8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FRFRLEHCuritiba CMO</v>
      </c>
      <c r="I832" s="434" t="str">
        <f>_xlfn.CONCAT(Tableau119[[#This Row],[ID]],"-",Tableau119[[#This Row],[Expiration Date]])</f>
        <v>910-45580</v>
      </c>
      <c r="J8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FR-ILN FR-910-FRLEH-CMA-CGM-BRPNG--45580</v>
      </c>
      <c r="K832" s="119" t="str">
        <f ca="1">IF(COUNTIF(J:J,Tableau119[[#This Row],[Plant-ILN-shipper-POL-Carrier-POD-PFI]])=1,"Non","Oui")</f>
        <v>Non</v>
      </c>
      <c r="L832" s="128" t="str">
        <f>VLOOKUP(Tableau119[[#This Row],[Name Site]],Plant_AILN!A:D,4,FALSE)</f>
        <v>BRAZIL</v>
      </c>
      <c r="M832" s="411" t="s">
        <v>160</v>
      </c>
      <c r="N832" s="454">
        <f>VLOOKUP(Tableau119[[#This Row],[Name Site]],Plant_AILN!A:C,3,FALSE)</f>
        <v>90018600</v>
      </c>
      <c r="O832" s="55">
        <f>VLOOKUP(Tableau119[[#This Row],[Compte Consignee]],Order!C:D,2,FALSE)</f>
        <v>7</v>
      </c>
      <c r="P832" s="124" t="s">
        <v>143</v>
      </c>
      <c r="Q832" s="365">
        <f>VLOOKUP(Tableau119[[#This Row],[Name ILN]],Plant_AILN!F:G,2,FALSE)</f>
        <v>92000100</v>
      </c>
      <c r="R832" s="50">
        <f>VLOOKUP(Tableau119[[#This Row],[Compte ILN]],'DATA ILN'!D:I,6,FALSE)</f>
        <v>9</v>
      </c>
      <c r="S832" s="50">
        <f>IFERROR(VLOOKUP(Tableau119[[#This Row],[Key(Compte ILN - shipper - POL - plant)]],'DATA ILN'!A:J,10,FALSE),VLOOKUP(Tableau119[[#This Row],[Key(Compte ILN - shipper - POL)]],'DATA ILN'!B:J,9,FALSE))</f>
        <v>14</v>
      </c>
      <c r="T832" s="50">
        <f>IFERROR(VLOOKUP(Tableau119[[#This Row],[Key(Compte ILN - shipper - POL - plant)]],'DATA ILN'!A:K,11,FALSE),VLOOKUP(Tableau119[[#This Row],[Key(Compte ILN - shipper - POL)]],'DATA ILN'!B:K,10,FALSE))</f>
        <v>5</v>
      </c>
      <c r="U832" s="50">
        <f>IFERROR(VLOOKUP(Tableau119[[#This Row],[Key(Compte ILN - shipper - POL - plant)]],'DATA ILN'!A:L,12,FALSE),VLOOKUP(Tableau119[[#This Row],[Key(Compte ILN - shipper - POL)]],'DATA ILN'!B:L,11,FALSE))</f>
        <v>7</v>
      </c>
      <c r="V832" s="50">
        <f>Tableau119[[#This Row],[Day ILN Order]]+Tableau119[[#This Row],[Delivery time to ILN/Shipper]]-1</f>
        <v>22</v>
      </c>
      <c r="W832" s="50">
        <f>IFERROR(VLOOKUP(Tableau119[[#This Row],[Key(Compte ILN - shipper - POL - plant)]],'DATA ILN'!A:N,14,FALSE),VLOOKUP(Tableau119[[#This Row],[Key(Compte ILN - shipper - POL)]],'DATA ILN'!B:N,13,FALSE))</f>
        <v>1</v>
      </c>
      <c r="X832" s="50">
        <f>IFERROR(VLOOKUP(Tableau119[[#This Row],[Key(Compte ILN - shipper - POL - plant)]],'DATA ILN'!A:P,16,FALSE),VLOOKUP(Tableau119[[#This Row],[Key(Compte ILN - shipper - POL)]],'DATA ILN'!B:P,15,FALSE))</f>
        <v>8</v>
      </c>
      <c r="Y832" s="284" t="s">
        <v>143</v>
      </c>
      <c r="Z832" s="430">
        <f>IFERROR(VLOOKUP(Tableau119[[#This Row],[Name Shipper]],Plant_AILN!L:M,2,FALSE),0)</f>
        <v>92000100</v>
      </c>
      <c r="AA832" s="406">
        <v>910</v>
      </c>
      <c r="AB832" s="396" t="str">
        <f>_xlfn.XLOOKUP(Tableau119[[#This Row],[Key(ID-date)]],'DATA BTO'!S:S,'DATA BTO'!E:E,FALSE)</f>
        <v>FRLEH</v>
      </c>
      <c r="AC832" s="3" t="str">
        <f>_xlfn.XLOOKUP(Tableau119[[#This Row],[Key(ID-date)]],'DATA BTO'!S:S,'DATA BTO'!F:F,FALSE)</f>
        <v>CMA-CGM</v>
      </c>
      <c r="AD832" s="50">
        <f>_xlfn.XLOOKUP(Tableau119[[#This Row],[Key(ID-date)]],'DATA BTO'!S:S,'DATA BTO'!G:G,FALSE)</f>
        <v>1</v>
      </c>
      <c r="AE832" s="50">
        <f>_xlfn.XLOOKUP(Tableau119[[#This Row],[Key(ID-date)]],'DATA BTO'!S:S,'DATA BTO'!H:H,FALSE)</f>
        <v>3</v>
      </c>
      <c r="AF832" s="447">
        <f>IF(Tableau119[[#This Row],[First Day to POL]]&lt;=Tableau119[[#This Row],[Day Cut Off]],Tableau119[[#This Row],[Day ETD]],Tableau119[[#This Row],[Day ETD]]+7)</f>
        <v>10</v>
      </c>
      <c r="AG832" s="50">
        <f>_xlfn.XLOOKUP(Tableau119[[#This Row],[Key(ID-date)]],'DATA BTO'!S:S,'DATA BTO'!I:I,FALSE)</f>
        <v>31</v>
      </c>
      <c r="AH832" s="3" t="str">
        <f>_xlfn.XLOOKUP(Tableau119[[#This Row],[Key(ID-date)]],'DATA BTO'!S:S,'DATA BTO'!J:J,FALSE)</f>
        <v>BRPNG</v>
      </c>
      <c r="AI832" s="3">
        <f>_xlfn.XLOOKUP(Tableau119[[#This Row],[Key(ID-date)]],'DATA BTO'!S:S,'DATA BTO'!K:K,FALSE)</f>
        <v>3</v>
      </c>
      <c r="AJ832" s="50">
        <f>_xlfn.XLOOKUP(Tableau119[[#This Row],[Key(ID-date)]],'DATA BTO'!S:S,'DATA BTO'!L:L,FALSE)</f>
        <v>0</v>
      </c>
      <c r="AK832" s="53" t="str">
        <f>_xlfn.XLOOKUP(Tableau119[[#This Row],[Key(ID-date)]],'DATA BTO'!S:S,'DATA BTO'!N:N,FALSE)</f>
        <v>Max</v>
      </c>
      <c r="AL832" s="54">
        <f>VLOOKUP(Tableau119[[#This Row],[Key(POD -PFI- Usine)]],'DATA Consignee'!A:F,6,FALSE)</f>
        <v>2</v>
      </c>
      <c r="AM832" s="284"/>
      <c r="AN832" s="376" t="str">
        <f>IF(Tableau119[[#This Row],[Name PFI/CDD]]="","-",VLOOKUP(Tableau119[[#This Row],[Name PFI/CDD]],Plant_AILN!I:J,2,FALSE))</f>
        <v>-</v>
      </c>
      <c r="AO8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2" s="2">
        <f>VLOOKUP(Tableau119[[#This Row],[Key(POD -PFI- Usine)]],'DATA Consignee'!A:J,10,FALSE)</f>
        <v>0</v>
      </c>
      <c r="AR832" s="50">
        <f>VLOOKUP(Tableau119[[#This Row],[Key(POD -PFI- Usine)]],'DATA Consignee'!A:N,14,FALSE)</f>
        <v>2</v>
      </c>
      <c r="AS83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3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22</v>
      </c>
      <c r="AU832" s="50">
        <f>Tableau119[[#This Row],[Transit time]]+Tableau119[[#This Row],[Time for security]]+Tableau119[[#This Row],[Time for security2 buffer]]</f>
        <v>34</v>
      </c>
      <c r="AV83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32" s="50">
        <f>Tableau119[[#This Row],[Leadtime SI2C]]+Tableau119[[#This Row],[First Receipt Days]]-Tableau119[[#This Row],[Day Customer Order]]+1</f>
        <v>78</v>
      </c>
      <c r="AX832" s="119">
        <f>IF(Tableau119[[#This Row],[Name ILN]]&lt;&gt;"SFK Freight Forwarder",Tableau119[[#This Row],[Cust. Leadtime]],Tableau119[[#This Row],[Leadtime SI2C]])</f>
        <v>78</v>
      </c>
      <c r="AY832" s="51" t="str">
        <f>_xlfn.XLOOKUP(Tableau119[[#This Row],[Key(ID-date)]],'DATA BTO'!S:S,'DATA BTO'!P:P,FALSE)</f>
        <v>Renault &gt; Horse BPH</v>
      </c>
      <c r="AZ832" s="338">
        <v>45580</v>
      </c>
      <c r="BA832" s="50"/>
    </row>
    <row r="833" spans="2:53">
      <c r="B833" s="446" t="str">
        <f>_xlfn.CONCAT(Tableau119[[#This Row],[Name ILN]],"-",Tableau119[[#This Row],[Name Shipper]],"-",Tableau119[[#This Row],[Name Site]])</f>
        <v>ILN FR-ILN FR-Curitiba CMO</v>
      </c>
      <c r="C833" s="66" t="str">
        <f>_xlfn.CONCAT(Tableau119[[#This Row],[Compte ILN]],"-",Tableau119[[#This Row],[Compte Shipper]],"-",Tableau119[[#This Row],[POL]],"-",Tableau119[[#This Row],[Compte Consignee]])</f>
        <v>92000100-92000100-FRLEH-90018600</v>
      </c>
      <c r="D833" s="66" t="str">
        <f>_xlfn.CONCAT(Tableau119[[#This Row],[Compte ILN]],"-",Tableau119[[#This Row],[Compte Shipper]],"-",Tableau119[[#This Row],[POL]])</f>
        <v>92000100-92000100-FRLEH</v>
      </c>
      <c r="E833" s="130" t="str">
        <f>_xlfn.CONCAT(Tableau119[[#This Row],[POL]],"-",Tableau119[[#This Row],[Carrier]],"-",Tableau119[[#This Row],[POD]])</f>
        <v>FRLEH-CMA-CGM-BRPNG</v>
      </c>
      <c r="F833" s="66" t="str">
        <f>_xlfn.CONCAT(Tableau119[[#This Row],[ID]],"-","Actif")</f>
        <v>910-Actif</v>
      </c>
      <c r="G833" s="66" t="str">
        <f>_xlfn.CONCAT(Tableau119[[#This Row],[POD]],"-",Tableau119[[#This Row],[Code PFI]],"-",Tableau119[[#This Row],[Compte Consignee]])</f>
        <v>BRPNG---90018600</v>
      </c>
      <c r="H8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FRFRLEHCuritiba CMO</v>
      </c>
      <c r="I833" s="434" t="str">
        <f>_xlfn.CONCAT(Tableau119[[#This Row],[ID]],"-",Tableau119[[#This Row],[Expiration Date]])</f>
        <v>910-45473</v>
      </c>
      <c r="J8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FR-ILN FR-910-FRLEH-CMA-CGM-BRPNG--45473</v>
      </c>
      <c r="K833" s="119" t="str">
        <f ca="1">IF(COUNTIF(J:J,Tableau119[[#This Row],[Plant-ILN-shipper-POL-Carrier-POD-PFI]])=1,"Non","Oui")</f>
        <v>Non</v>
      </c>
      <c r="L833" s="128" t="str">
        <f>VLOOKUP(Tableau119[[#This Row],[Name Site]],Plant_AILN!A:D,4,FALSE)</f>
        <v>BRAZIL</v>
      </c>
      <c r="M833" s="411" t="s">
        <v>160</v>
      </c>
      <c r="N833" s="454">
        <f>VLOOKUP(Tableau119[[#This Row],[Name Site]],Plant_AILN!A:C,3,FALSE)</f>
        <v>90018600</v>
      </c>
      <c r="O833" s="55">
        <f>VLOOKUP(Tableau119[[#This Row],[Compte Consignee]],Order!C:D,2,FALSE)</f>
        <v>7</v>
      </c>
      <c r="P833" s="124" t="s">
        <v>143</v>
      </c>
      <c r="Q833" s="365">
        <f>VLOOKUP(Tableau119[[#This Row],[Name ILN]],Plant_AILN!F:G,2,FALSE)</f>
        <v>92000100</v>
      </c>
      <c r="R833" s="50">
        <f>VLOOKUP(Tableau119[[#This Row],[Compte ILN]],'DATA ILN'!D:I,6,FALSE)</f>
        <v>9</v>
      </c>
      <c r="S833" s="50">
        <f>IFERROR(VLOOKUP(Tableau119[[#This Row],[Key(Compte ILN - shipper - POL - plant)]],'DATA ILN'!A:J,10,FALSE),VLOOKUP(Tableau119[[#This Row],[Key(Compte ILN - shipper - POL)]],'DATA ILN'!B:J,9,FALSE))</f>
        <v>14</v>
      </c>
      <c r="T833" s="50">
        <f>IFERROR(VLOOKUP(Tableau119[[#This Row],[Key(Compte ILN - shipper - POL - plant)]],'DATA ILN'!A:K,11,FALSE),VLOOKUP(Tableau119[[#This Row],[Key(Compte ILN - shipper - POL)]],'DATA ILN'!B:K,10,FALSE))</f>
        <v>5</v>
      </c>
      <c r="U833" s="50">
        <f>IFERROR(VLOOKUP(Tableau119[[#This Row],[Key(Compte ILN - shipper - POL - plant)]],'DATA ILN'!A:L,12,FALSE),VLOOKUP(Tableau119[[#This Row],[Key(Compte ILN - shipper - POL)]],'DATA ILN'!B:L,11,FALSE))</f>
        <v>7</v>
      </c>
      <c r="V833" s="50">
        <f>Tableau119[[#This Row],[Day ILN Order]]+Tableau119[[#This Row],[Delivery time to ILN/Shipper]]-1</f>
        <v>22</v>
      </c>
      <c r="W833" s="50">
        <f>IFERROR(VLOOKUP(Tableau119[[#This Row],[Key(Compte ILN - shipper - POL - plant)]],'DATA ILN'!A:N,14,FALSE),VLOOKUP(Tableau119[[#This Row],[Key(Compte ILN - shipper - POL)]],'DATA ILN'!B:N,13,FALSE))</f>
        <v>1</v>
      </c>
      <c r="X833" s="50">
        <f>IFERROR(VLOOKUP(Tableau119[[#This Row],[Key(Compte ILN - shipper - POL - plant)]],'DATA ILN'!A:P,16,FALSE),VLOOKUP(Tableau119[[#This Row],[Key(Compte ILN - shipper - POL)]],'DATA ILN'!B:P,15,FALSE))</f>
        <v>8</v>
      </c>
      <c r="Y833" s="284" t="s">
        <v>143</v>
      </c>
      <c r="Z833" s="430">
        <f>IFERROR(VLOOKUP(Tableau119[[#This Row],[Name Shipper]],Plant_AILN!L:M,2,FALSE),0)</f>
        <v>92000100</v>
      </c>
      <c r="AA833" s="406">
        <v>910</v>
      </c>
      <c r="AB833" s="396" t="str">
        <f>_xlfn.XLOOKUP(Tableau119[[#This Row],[Key(ID-date)]],'DATA BTO'!S:S,'DATA BTO'!E:E,FALSE)</f>
        <v>FRLEH</v>
      </c>
      <c r="AC833" s="3" t="str">
        <f>_xlfn.XLOOKUP(Tableau119[[#This Row],[Key(ID-date)]],'DATA BTO'!S:S,'DATA BTO'!F:F,FALSE)</f>
        <v>CMA-CGM</v>
      </c>
      <c r="AD833" s="50">
        <f>_xlfn.XLOOKUP(Tableau119[[#This Row],[Key(ID-date)]],'DATA BTO'!S:S,'DATA BTO'!G:G,FALSE)</f>
        <v>1</v>
      </c>
      <c r="AE833" s="50">
        <f>_xlfn.XLOOKUP(Tableau119[[#This Row],[Key(ID-date)]],'DATA BTO'!S:S,'DATA BTO'!H:H,FALSE)</f>
        <v>3</v>
      </c>
      <c r="AF833" s="447">
        <f>IF(Tableau119[[#This Row],[First Day to POL]]&lt;=Tableau119[[#This Row],[Day Cut Off]],Tableau119[[#This Row],[Day ETD]],Tableau119[[#This Row],[Day ETD]]+7)</f>
        <v>10</v>
      </c>
      <c r="AG833" s="50">
        <f>_xlfn.XLOOKUP(Tableau119[[#This Row],[Key(ID-date)]],'DATA BTO'!S:S,'DATA BTO'!I:I,FALSE)</f>
        <v>31</v>
      </c>
      <c r="AH833" s="3" t="str">
        <f>_xlfn.XLOOKUP(Tableau119[[#This Row],[Key(ID-date)]],'DATA BTO'!S:S,'DATA BTO'!J:J,FALSE)</f>
        <v>BRPNG</v>
      </c>
      <c r="AI833" s="3">
        <f>_xlfn.XLOOKUP(Tableau119[[#This Row],[Key(ID-date)]],'DATA BTO'!S:S,'DATA BTO'!K:K,FALSE)</f>
        <v>3</v>
      </c>
      <c r="AJ833" s="50">
        <f>_xlfn.XLOOKUP(Tableau119[[#This Row],[Key(ID-date)]],'DATA BTO'!S:S,'DATA BTO'!L:L,FALSE)</f>
        <v>0</v>
      </c>
      <c r="AK833" s="53" t="str">
        <f>_xlfn.XLOOKUP(Tableau119[[#This Row],[Key(ID-date)]],'DATA BTO'!S:S,'DATA BTO'!N:N,FALSE)</f>
        <v>Max</v>
      </c>
      <c r="AL833" s="54">
        <f>VLOOKUP(Tableau119[[#This Row],[Key(POD -PFI- Usine)]],'DATA Consignee'!A:F,6,FALSE)</f>
        <v>2</v>
      </c>
      <c r="AM833" s="284"/>
      <c r="AN833" s="376" t="str">
        <f>IF(Tableau119[[#This Row],[Name PFI/CDD]]="","-",VLOOKUP(Tableau119[[#This Row],[Name PFI/CDD]],Plant_AILN!I:J,2,FALSE))</f>
        <v>-</v>
      </c>
      <c r="AO8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3" s="2">
        <f>VLOOKUP(Tableau119[[#This Row],[Key(POD -PFI- Usine)]],'DATA Consignee'!A:J,10,FALSE)</f>
        <v>0</v>
      </c>
      <c r="AR833" s="50">
        <f>VLOOKUP(Tableau119[[#This Row],[Key(POD -PFI- Usine)]],'DATA Consignee'!A:N,14,FALSE)</f>
        <v>2</v>
      </c>
      <c r="AS83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3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22</v>
      </c>
      <c r="AU833" s="50">
        <f>Tableau119[[#This Row],[Transit time]]+Tableau119[[#This Row],[Time for security]]+Tableau119[[#This Row],[Time for security2 buffer]]</f>
        <v>34</v>
      </c>
      <c r="AV83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33" s="50">
        <f>Tableau119[[#This Row],[Leadtime SI2C]]+Tableau119[[#This Row],[First Receipt Days]]-Tableau119[[#This Row],[Day Customer Order]]+1</f>
        <v>78</v>
      </c>
      <c r="AX833" s="119">
        <f>IF(Tableau119[[#This Row],[Name ILN]]&lt;&gt;"SFK Freight Forwarder",Tableau119[[#This Row],[Cust. Leadtime]],Tableau119[[#This Row],[Leadtime SI2C]])</f>
        <v>78</v>
      </c>
      <c r="AY833" s="51" t="str">
        <f>_xlfn.XLOOKUP(Tableau119[[#This Row],[Key(ID-date)]],'DATA BTO'!S:S,'DATA BTO'!P:P,FALSE)</f>
        <v>Renault &gt; Horse BPH</v>
      </c>
      <c r="AZ833" s="338">
        <v>45473</v>
      </c>
      <c r="BA833" s="50"/>
    </row>
    <row r="834" spans="2:53">
      <c r="B834" s="66" t="str">
        <f>_xlfn.CONCAT(Tableau119[[#This Row],[Name ILN]],"-",Tableau119[[#This Row],[Name Shipper]],"-",Tableau119[[#This Row],[Name Site]])</f>
        <v>ILN Pune-ILN Pune-Curitiba CMO</v>
      </c>
      <c r="C834" s="66" t="str">
        <f>_xlfn.CONCAT(Tableau119[[#This Row],[Compte ILN]],"-",Tableau119[[#This Row],[Compte Shipper]],"-",Tableau119[[#This Row],[POL]],"-",Tableau119[[#This Row],[Compte Consignee]])</f>
        <v>2533780535-2533780535-INNSA-90018600</v>
      </c>
      <c r="D834" s="66" t="str">
        <f>_xlfn.CONCAT(Tableau119[[#This Row],[Compte ILN]],"-",Tableau119[[#This Row],[Compte Shipper]],"-",Tableau119[[#This Row],[POL]])</f>
        <v>2533780535-2533780535-INNSA</v>
      </c>
      <c r="E834" s="130" t="str">
        <f>_xlfn.CONCAT(Tableau119[[#This Row],[POL]],"-",Tableau119[[#This Row],[Carrier]],"-",Tableau119[[#This Row],[POD]])</f>
        <v>INNSA-MSC-BRPNG</v>
      </c>
      <c r="F834" s="66" t="str">
        <f>_xlfn.CONCAT(Tableau119[[#This Row],[ID]],"-","Actif")</f>
        <v>912-Actif</v>
      </c>
      <c r="G834" s="66" t="str">
        <f>_xlfn.CONCAT(Tableau119[[#This Row],[POD]],"-",Tableau119[[#This Row],[Code PFI]],"-",Tableau119[[#This Row],[Compte Consignee]])</f>
        <v>BRPNG---90018600</v>
      </c>
      <c r="H8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PuneINNSACuritiba CMO</v>
      </c>
      <c r="I834" s="434" t="str">
        <f>_xlfn.CONCAT(Tableau119[[#This Row],[ID]],"-",Tableau119[[#This Row],[Expiration Date]])</f>
        <v>912-46142</v>
      </c>
      <c r="J8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Pune-ILN Pune-912-INNSA-MSC-BRPNG--46142</v>
      </c>
      <c r="K834" s="119" t="str">
        <f ca="1">IF(COUNTIF(J:J,Tableau119[[#This Row],[Plant-ILN-shipper-POL-Carrier-POD-PFI]])=1,"Non","Oui")</f>
        <v>Non</v>
      </c>
      <c r="L834" s="436" t="str">
        <f>VLOOKUP(Tableau119[[#This Row],[Name Site]],Plant_AILN!A:D,4,FALSE)</f>
        <v>BRAZIL</v>
      </c>
      <c r="M834" s="285" t="s">
        <v>160</v>
      </c>
      <c r="N834" s="454">
        <f>VLOOKUP(Tableau119[[#This Row],[Name Site]],Plant_AILN!A:C,3,FALSE)</f>
        <v>90018600</v>
      </c>
      <c r="O834" s="55">
        <f>IF(Tableau119[[#This Row],[Name PFI/CDD]]="PFI VLL",2,VLOOKUP(Tableau119[[#This Row],[Compte Consignee]],Order!C:D,2,FALSE))</f>
        <v>7</v>
      </c>
      <c r="P834" s="124" t="s">
        <v>150</v>
      </c>
      <c r="Q834" s="365">
        <f>VLOOKUP(Tableau119[[#This Row],[Name ILN]],Plant_AILN!F:G,2,FALSE)</f>
        <v>2533780535</v>
      </c>
      <c r="R834" s="50">
        <f>VLOOKUP(Tableau119[[#This Row],[Compte ILN]],'DATA ILN'!D:I,6,FALSE)</f>
        <v>9</v>
      </c>
      <c r="S834" s="50">
        <f>IFERROR(VLOOKUP(Tableau119[[#This Row],[Key(Compte ILN - shipper - POL - plant)]],'DATA ILN'!A:J,10,FALSE),VLOOKUP(Tableau119[[#This Row],[Key(Compte ILN - shipper - POL)]],'DATA ILN'!B:J,9,FALSE))</f>
        <v>14</v>
      </c>
      <c r="T834" s="50">
        <f>IFERROR(VLOOKUP(Tableau119[[#This Row],[Key(Compte ILN - shipper - POL - plant)]],'DATA ILN'!A:K,11,FALSE),VLOOKUP(Tableau119[[#This Row],[Key(Compte ILN - shipper - POL)]],'DATA ILN'!B:K,10,FALSE))</f>
        <v>5</v>
      </c>
      <c r="U834" s="50">
        <f>IFERROR(VLOOKUP(Tableau119[[#This Row],[Key(Compte ILN - shipper - POL - plant)]],'DATA ILN'!A:L,12,FALSE),VLOOKUP(Tableau119[[#This Row],[Key(Compte ILN - shipper - POL)]],'DATA ILN'!B:L,11,FALSE))</f>
        <v>7</v>
      </c>
      <c r="V834" s="50">
        <f>Tableau119[[#This Row],[Day ILN Order]]+Tableau119[[#This Row],[Delivery time to ILN/Shipper]]-1</f>
        <v>22</v>
      </c>
      <c r="W834" s="50">
        <f>IFERROR(VLOOKUP(Tableau119[[#This Row],[Key(Compte ILN - shipper - POL - plant)]],'DATA ILN'!A:N,14,FALSE),VLOOKUP(Tableau119[[#This Row],[Key(Compte ILN - shipper - POL)]],'DATA ILN'!B:N,13,FALSE))</f>
        <v>4</v>
      </c>
      <c r="X834" s="50">
        <f>IFERROR(VLOOKUP(Tableau119[[#This Row],[Key(Compte ILN - shipper - POL - plant)]],'DATA ILN'!A:P,16,FALSE),VLOOKUP(Tableau119[[#This Row],[Key(Compte ILN - shipper - POL)]],'DATA ILN'!B:P,15,FALSE))</f>
        <v>5</v>
      </c>
      <c r="Y834" s="284" t="s">
        <v>150</v>
      </c>
      <c r="Z834" s="430">
        <f>IFERROR(VLOOKUP(Tableau119[[#This Row],[Name Shipper]],Plant_AILN!L:M,2,FALSE),0)</f>
        <v>2533780535</v>
      </c>
      <c r="AA834" s="406">
        <v>912</v>
      </c>
      <c r="AB834" s="396" t="str">
        <f>_xlfn.XLOOKUP(Tableau119[[#This Row],[Key(ID-date)]],'DATA BTO'!S:S,'DATA BTO'!E:E,FALSE)</f>
        <v>INNSA</v>
      </c>
      <c r="AC834" s="3" t="str">
        <f>_xlfn.XLOOKUP(Tableau119[[#This Row],[Key(ID-date)]],'DATA BTO'!S:S,'DATA BTO'!F:F,FALSE)</f>
        <v>MSC</v>
      </c>
      <c r="AD834" s="50">
        <f>_xlfn.XLOOKUP(Tableau119[[#This Row],[Key(ID-date)]],'DATA BTO'!S:S,'DATA BTO'!G:G,FALSE)</f>
        <v>2</v>
      </c>
      <c r="AE834" s="50">
        <f>_xlfn.XLOOKUP(Tableau119[[#This Row],[Key(ID-date)]],'DATA BTO'!S:S,'DATA BTO'!H:H,FALSE)</f>
        <v>4</v>
      </c>
      <c r="AF834" s="447">
        <f>IF(Tableau119[[#This Row],[First Day to POL]]&lt;=Tableau119[[#This Row],[Day Cut Off]],Tableau119[[#This Row],[Day ETD]],Tableau119[[#This Row],[Day ETD]]+7)</f>
        <v>11</v>
      </c>
      <c r="AG834" s="50">
        <f>_xlfn.XLOOKUP(Tableau119[[#This Row],[Key(ID-date)]],'DATA BTO'!S:S,'DATA BTO'!I:I,FALSE)</f>
        <v>45</v>
      </c>
      <c r="AH834" s="3" t="str">
        <f>_xlfn.XLOOKUP(Tableau119[[#This Row],[Key(ID-date)]],'DATA BTO'!S:S,'DATA BTO'!J:J,FALSE)</f>
        <v>BRPNG</v>
      </c>
      <c r="AI834" s="3">
        <f>_xlfn.XLOOKUP(Tableau119[[#This Row],[Key(ID-date)]],'DATA BTO'!S:S,'DATA BTO'!K:K,FALSE)</f>
        <v>3</v>
      </c>
      <c r="AJ834" s="50">
        <f>_xlfn.XLOOKUP(Tableau119[[#This Row],[Key(ID-date)]],'DATA BTO'!S:S,'DATA BTO'!L:L,FALSE)</f>
        <v>7</v>
      </c>
      <c r="AK834" s="53" t="str">
        <f>_xlfn.XLOOKUP(Tableau119[[#This Row],[Key(ID-date)]],'DATA BTO'!S:S,'DATA BTO'!N:N,FALSE)</f>
        <v>Marc-Aurele</v>
      </c>
      <c r="AL834" s="54">
        <f>VLOOKUP(Tableau119[[#This Row],[Key(POD -PFI- Usine)]],'DATA Consignee'!A:F,6,FALSE)</f>
        <v>2</v>
      </c>
      <c r="AM834" s="284"/>
      <c r="AN834" s="376" t="str">
        <f>IF(Tableau119[[#This Row],[Name PFI/CDD]]="","-",VLOOKUP(Tableau119[[#This Row],[Name PFI/CDD]],Plant_AILN!I:J,2,FALSE))</f>
        <v>-</v>
      </c>
      <c r="AO8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4" s="2">
        <f>VLOOKUP(Tableau119[[#This Row],[Key(POD -PFI- Usine)]],'DATA Consignee'!A:J,10,FALSE)</f>
        <v>0</v>
      </c>
      <c r="AR834" s="50">
        <f>VLOOKUP(Tableau119[[#This Row],[Key(POD -PFI- Usine)]],'DATA Consignee'!A:N,14,FALSE)</f>
        <v>2</v>
      </c>
      <c r="AS83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3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34" s="50">
        <f>Tableau119[[#This Row],[Transit time]]+Tableau119[[#This Row],[Time for security]]+Tableau119[[#This Row],[Time for security2 buffer]]</f>
        <v>55</v>
      </c>
      <c r="AV83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34" s="50">
        <f>Tableau119[[#This Row],[Leadtime SI2C]]+Tableau119[[#This Row],[First Receipt Days]]-Tableau119[[#This Row],[Day Customer Order]]+1</f>
        <v>92</v>
      </c>
      <c r="AX834" s="119">
        <f>IF(Tableau119[[#This Row],[Name ILN]]&lt;&gt;"SFK Freight Forwarder",Tableau119[[#This Row],[Cust. Leadtime]],Tableau119[[#This Row],[Leadtime SI2C]])</f>
        <v>92</v>
      </c>
      <c r="AY834" s="51" t="str">
        <f>_xlfn.XLOOKUP(Tableau119[[#This Row],[Key(ID-date)]],'DATA BTO'!S:S,'DATA BTO'!P:P,FALSE)</f>
        <v>Renault &gt; Horse BPH</v>
      </c>
      <c r="AZ834" s="338">
        <v>46142</v>
      </c>
      <c r="BA834" s="50"/>
    </row>
    <row r="835" spans="2:53">
      <c r="B835" s="446" t="str">
        <f>_xlfn.CONCAT(Tableau119[[#This Row],[Name ILN]],"-",Tableau119[[#This Row],[Name Shipper]],"-",Tableau119[[#This Row],[Name Site]])</f>
        <v>ILN Pune-ILN Pune-Curitiba CMO</v>
      </c>
      <c r="C835" s="66" t="str">
        <f>_xlfn.CONCAT(Tableau119[[#This Row],[Compte ILN]],"-",Tableau119[[#This Row],[Compte Shipper]],"-",Tableau119[[#This Row],[POL]],"-",Tableau119[[#This Row],[Compte Consignee]])</f>
        <v>2533780535-2533780535-INNSA-90018600</v>
      </c>
      <c r="D835" s="66" t="str">
        <f>_xlfn.CONCAT(Tableau119[[#This Row],[Compte ILN]],"-",Tableau119[[#This Row],[Compte Shipper]],"-",Tableau119[[#This Row],[POL]])</f>
        <v>2533780535-2533780535-INNSA</v>
      </c>
      <c r="E835" s="130" t="str">
        <f>_xlfn.CONCAT(Tableau119[[#This Row],[POL]],"-",Tableau119[[#This Row],[Carrier]],"-",Tableau119[[#This Row],[POD]])</f>
        <v>INNSA-MSC-BRPNG</v>
      </c>
      <c r="F835" s="66" t="str">
        <f>_xlfn.CONCAT(Tableau119[[#This Row],[ID]],"-","Actif")</f>
        <v>912-Actif</v>
      </c>
      <c r="G835" s="66" t="str">
        <f>_xlfn.CONCAT(Tableau119[[#This Row],[POD]],"-",Tableau119[[#This Row],[Code PFI]],"-",Tableau119[[#This Row],[Compte Consignee]])</f>
        <v>BRPNG---90018600</v>
      </c>
      <c r="H8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PuneINNSACuritiba CMO</v>
      </c>
      <c r="I835" s="434" t="str">
        <f>_xlfn.CONCAT(Tableau119[[#This Row],[ID]],"-",Tableau119[[#This Row],[Expiration Date]])</f>
        <v>912-45991</v>
      </c>
      <c r="J8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Pune-ILN Pune-912-INNSA-MSC-BRPNG--45991</v>
      </c>
      <c r="K835" s="119" t="str">
        <f ca="1">IF(COUNTIF(J:J,Tableau119[[#This Row],[Plant-ILN-shipper-POL-Carrier-POD-PFI]])=1,"Non","Oui")</f>
        <v>Non</v>
      </c>
      <c r="L835" s="128" t="str">
        <f>VLOOKUP(Tableau119[[#This Row],[Name Site]],Plant_AILN!A:D,4,FALSE)</f>
        <v>BRAZIL</v>
      </c>
      <c r="M835" s="411" t="s">
        <v>160</v>
      </c>
      <c r="N835" s="454">
        <f>VLOOKUP(Tableau119[[#This Row],[Name Site]],Plant_AILN!A:C,3,FALSE)</f>
        <v>90018600</v>
      </c>
      <c r="O835" s="55">
        <f>VLOOKUP(Tableau119[[#This Row],[Compte Consignee]],Order!C:D,2,FALSE)</f>
        <v>7</v>
      </c>
      <c r="P835" s="124" t="s">
        <v>150</v>
      </c>
      <c r="Q835" s="365">
        <f>VLOOKUP(Tableau119[[#This Row],[Name ILN]],Plant_AILN!F:G,2,FALSE)</f>
        <v>2533780535</v>
      </c>
      <c r="R835" s="50">
        <f>VLOOKUP(Tableau119[[#This Row],[Compte ILN]],'DATA ILN'!D:I,6,FALSE)</f>
        <v>9</v>
      </c>
      <c r="S835" s="50">
        <f>IFERROR(VLOOKUP(Tableau119[[#This Row],[Key(Compte ILN - shipper - POL - plant)]],'DATA ILN'!A:J,10,FALSE),VLOOKUP(Tableau119[[#This Row],[Key(Compte ILN - shipper - POL)]],'DATA ILN'!B:J,9,FALSE))</f>
        <v>14</v>
      </c>
      <c r="T835" s="50">
        <f>IFERROR(VLOOKUP(Tableau119[[#This Row],[Key(Compte ILN - shipper - POL - plant)]],'DATA ILN'!A:K,11,FALSE),VLOOKUP(Tableau119[[#This Row],[Key(Compte ILN - shipper - POL)]],'DATA ILN'!B:K,10,FALSE))</f>
        <v>5</v>
      </c>
      <c r="U835" s="50">
        <f>IFERROR(VLOOKUP(Tableau119[[#This Row],[Key(Compte ILN - shipper - POL - plant)]],'DATA ILN'!A:L,12,FALSE),VLOOKUP(Tableau119[[#This Row],[Key(Compte ILN - shipper - POL)]],'DATA ILN'!B:L,11,FALSE))</f>
        <v>7</v>
      </c>
      <c r="V835" s="50">
        <f>Tableau119[[#This Row],[Day ILN Order]]+Tableau119[[#This Row],[Delivery time to ILN/Shipper]]-1</f>
        <v>22</v>
      </c>
      <c r="W835" s="50">
        <f>IFERROR(VLOOKUP(Tableau119[[#This Row],[Key(Compte ILN - shipper - POL - plant)]],'DATA ILN'!A:N,14,FALSE),VLOOKUP(Tableau119[[#This Row],[Key(Compte ILN - shipper - POL)]],'DATA ILN'!B:N,13,FALSE))</f>
        <v>4</v>
      </c>
      <c r="X835" s="50">
        <f>IFERROR(VLOOKUP(Tableau119[[#This Row],[Key(Compte ILN - shipper - POL - plant)]],'DATA ILN'!A:P,16,FALSE),VLOOKUP(Tableau119[[#This Row],[Key(Compte ILN - shipper - POL)]],'DATA ILN'!B:P,15,FALSE))</f>
        <v>5</v>
      </c>
      <c r="Y835" s="284" t="s">
        <v>150</v>
      </c>
      <c r="Z835" s="430">
        <f>IFERROR(VLOOKUP(Tableau119[[#This Row],[Name Shipper]],Plant_AILN!L:M,2,FALSE),0)</f>
        <v>2533780535</v>
      </c>
      <c r="AA835" s="406">
        <v>912</v>
      </c>
      <c r="AB835" s="396" t="str">
        <f>_xlfn.XLOOKUP(Tableau119[[#This Row],[Key(ID-date)]],'DATA BTO'!S:S,'DATA BTO'!E:E,FALSE)</f>
        <v>INNSA</v>
      </c>
      <c r="AC835" s="3" t="str">
        <f>_xlfn.XLOOKUP(Tableau119[[#This Row],[Key(ID-date)]],'DATA BTO'!S:S,'DATA BTO'!F:F,FALSE)</f>
        <v>MSC</v>
      </c>
      <c r="AD835" s="50">
        <f>_xlfn.XLOOKUP(Tableau119[[#This Row],[Key(ID-date)]],'DATA BTO'!S:S,'DATA BTO'!G:G,FALSE)</f>
        <v>2</v>
      </c>
      <c r="AE835" s="50">
        <f>_xlfn.XLOOKUP(Tableau119[[#This Row],[Key(ID-date)]],'DATA BTO'!S:S,'DATA BTO'!H:H,FALSE)</f>
        <v>4</v>
      </c>
      <c r="AF835" s="447">
        <f>IF(Tableau119[[#This Row],[First Day to POL]]&lt;=Tableau119[[#This Row],[Day Cut Off]],Tableau119[[#This Row],[Day ETD]],Tableau119[[#This Row],[Day ETD]]+7)</f>
        <v>11</v>
      </c>
      <c r="AG835" s="50">
        <f>_xlfn.XLOOKUP(Tableau119[[#This Row],[Key(ID-date)]],'DATA BTO'!S:S,'DATA BTO'!I:I,FALSE)</f>
        <v>36</v>
      </c>
      <c r="AH835" s="3" t="str">
        <f>_xlfn.XLOOKUP(Tableau119[[#This Row],[Key(ID-date)]],'DATA BTO'!S:S,'DATA BTO'!J:J,FALSE)</f>
        <v>BRPNG</v>
      </c>
      <c r="AI835" s="3">
        <f>_xlfn.XLOOKUP(Tableau119[[#This Row],[Key(ID-date)]],'DATA BTO'!S:S,'DATA BTO'!K:K,FALSE)</f>
        <v>3</v>
      </c>
      <c r="AJ835" s="50">
        <f>_xlfn.XLOOKUP(Tableau119[[#This Row],[Key(ID-date)]],'DATA BTO'!S:S,'DATA BTO'!L:L,FALSE)</f>
        <v>14</v>
      </c>
      <c r="AK835" s="53" t="str">
        <f>_xlfn.XLOOKUP(Tableau119[[#This Row],[Key(ID-date)]],'DATA BTO'!S:S,'DATA BTO'!N:N,FALSE)</f>
        <v>Marc-Aurele</v>
      </c>
      <c r="AL835" s="54">
        <f>VLOOKUP(Tableau119[[#This Row],[Key(POD -PFI- Usine)]],'DATA Consignee'!A:F,6,FALSE)</f>
        <v>2</v>
      </c>
      <c r="AM835" s="284"/>
      <c r="AN835" s="376" t="str">
        <f>IF(Tableau119[[#This Row],[Name PFI/CDD]]="","-",VLOOKUP(Tableau119[[#This Row],[Name PFI/CDD]],Plant_AILN!I:J,2,FALSE))</f>
        <v>-</v>
      </c>
      <c r="AO83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5" s="2">
        <f>VLOOKUP(Tableau119[[#This Row],[Key(POD -PFI- Usine)]],'DATA Consignee'!A:J,10,FALSE)</f>
        <v>0</v>
      </c>
      <c r="AR835" s="50">
        <f>VLOOKUP(Tableau119[[#This Row],[Key(POD -PFI- Usine)]],'DATA Consignee'!A:N,14,FALSE)</f>
        <v>2</v>
      </c>
      <c r="AS83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3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35" s="50">
        <f>Tableau119[[#This Row],[Transit time]]+Tableau119[[#This Row],[Time for security]]+Tableau119[[#This Row],[Time for security2 buffer]]</f>
        <v>53</v>
      </c>
      <c r="AV83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35" s="50">
        <f>Tableau119[[#This Row],[Leadtime SI2C]]+Tableau119[[#This Row],[First Receipt Days]]-Tableau119[[#This Row],[Day Customer Order]]+1</f>
        <v>92</v>
      </c>
      <c r="AX835" s="119">
        <f>IF(Tableau119[[#This Row],[Name ILN]]&lt;&gt;"SFK Freight Forwarder",Tableau119[[#This Row],[Cust. Leadtime]],Tableau119[[#This Row],[Leadtime SI2C]])</f>
        <v>92</v>
      </c>
      <c r="AY835" s="51" t="str">
        <f>_xlfn.XLOOKUP(Tableau119[[#This Row],[Key(ID-date)]],'DATA BTO'!S:S,'DATA BTO'!P:P,FALSE)</f>
        <v>Renault &gt; Horse BPH</v>
      </c>
      <c r="AZ835" s="338">
        <v>45991</v>
      </c>
      <c r="BA835" s="50"/>
    </row>
    <row r="836" spans="2:53">
      <c r="B836" s="446" t="str">
        <f>_xlfn.CONCAT(Tableau119[[#This Row],[Name ILN]],"-",Tableau119[[#This Row],[Name Shipper]],"-",Tableau119[[#This Row],[Name Site]])</f>
        <v>ILN Pune-ILN Pune-Curitiba CMO</v>
      </c>
      <c r="C836" s="66" t="str">
        <f>_xlfn.CONCAT(Tableau119[[#This Row],[Compte ILN]],"-",Tableau119[[#This Row],[Compte Shipper]],"-",Tableau119[[#This Row],[POL]],"-",Tableau119[[#This Row],[Compte Consignee]])</f>
        <v>2533780535-2533780535-INNSA-90018600</v>
      </c>
      <c r="D836" s="66" t="str">
        <f>_xlfn.CONCAT(Tableau119[[#This Row],[Compte ILN]],"-",Tableau119[[#This Row],[Compte Shipper]],"-",Tableau119[[#This Row],[POL]])</f>
        <v>2533780535-2533780535-INNSA</v>
      </c>
      <c r="E836" s="130" t="str">
        <f>_xlfn.CONCAT(Tableau119[[#This Row],[POL]],"-",Tableau119[[#This Row],[Carrier]],"-",Tableau119[[#This Row],[POD]])</f>
        <v>INNSA-CMA-CGM-BRPNG</v>
      </c>
      <c r="F836" s="66" t="str">
        <f>_xlfn.CONCAT(Tableau119[[#This Row],[ID]],"-","Actif")</f>
        <v>912-Actif</v>
      </c>
      <c r="G836" s="66" t="str">
        <f>_xlfn.CONCAT(Tableau119[[#This Row],[POD]],"-",Tableau119[[#This Row],[Code PFI]],"-",Tableau119[[#This Row],[Compte Consignee]])</f>
        <v>BRPNG---90018600</v>
      </c>
      <c r="H8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PuneINNSACuritiba CMO</v>
      </c>
      <c r="I836" s="434" t="str">
        <f>_xlfn.CONCAT(Tableau119[[#This Row],[ID]],"-",Tableau119[[#This Row],[Expiration Date]])</f>
        <v>912-45777</v>
      </c>
      <c r="J8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Pune-ILN Pune-912-INNSA-CMA-CGM-BRPNG--45777</v>
      </c>
      <c r="K836" s="119" t="str">
        <f ca="1">IF(COUNTIF(J:J,Tableau119[[#This Row],[Plant-ILN-shipper-POL-Carrier-POD-PFI]])=1,"Non","Oui")</f>
        <v>Non</v>
      </c>
      <c r="L836" s="128" t="str">
        <f>VLOOKUP(Tableau119[[#This Row],[Name Site]],Plant_AILN!A:D,4,FALSE)</f>
        <v>BRAZIL</v>
      </c>
      <c r="M836" s="415" t="s">
        <v>160</v>
      </c>
      <c r="N836" s="455">
        <f>VLOOKUP(Tableau119[[#This Row],[Name Site]],Plant_AILN!A:C,3,FALSE)</f>
        <v>90018600</v>
      </c>
      <c r="O836" s="104">
        <f>VLOOKUP(Tableau119[[#This Row],[Compte Consignee]],Order!C:D,2,FALSE)</f>
        <v>7</v>
      </c>
      <c r="P836" s="126" t="s">
        <v>150</v>
      </c>
      <c r="Q836" s="366">
        <f>VLOOKUP(Tableau119[[#This Row],[Name ILN]],Plant_AILN!F:G,2,FALSE)</f>
        <v>2533780535</v>
      </c>
      <c r="R836" s="81">
        <f>VLOOKUP(Tableau119[[#This Row],[Compte ILN]],'DATA ILN'!D:I,6,FALSE)</f>
        <v>9</v>
      </c>
      <c r="S836" s="81">
        <f>IFERROR(VLOOKUP(Tableau119[[#This Row],[Key(Compte ILN - shipper - POL - plant)]],'DATA ILN'!A:J,10,FALSE),VLOOKUP(Tableau119[[#This Row],[Key(Compte ILN - shipper - POL)]],'DATA ILN'!B:J,9,FALSE))</f>
        <v>14</v>
      </c>
      <c r="T836" s="81">
        <f>IFERROR(VLOOKUP(Tableau119[[#This Row],[Key(Compte ILN - shipper - POL - plant)]],'DATA ILN'!A:K,11,FALSE),VLOOKUP(Tableau119[[#This Row],[Key(Compte ILN - shipper - POL)]],'DATA ILN'!B:K,10,FALSE))</f>
        <v>5</v>
      </c>
      <c r="U836" s="81">
        <f>IFERROR(VLOOKUP(Tableau119[[#This Row],[Key(Compte ILN - shipper - POL - plant)]],'DATA ILN'!A:L,12,FALSE),VLOOKUP(Tableau119[[#This Row],[Key(Compte ILN - shipper - POL)]],'DATA ILN'!B:L,11,FALSE))</f>
        <v>7</v>
      </c>
      <c r="V836" s="81">
        <f>Tableau119[[#This Row],[Day ILN Order]]+Tableau119[[#This Row],[Delivery time to ILN/Shipper]]-1</f>
        <v>22</v>
      </c>
      <c r="W836" s="81">
        <f>IFERROR(VLOOKUP(Tableau119[[#This Row],[Key(Compte ILN - shipper - POL - plant)]],'DATA ILN'!A:N,14,FALSE),VLOOKUP(Tableau119[[#This Row],[Key(Compte ILN - shipper - POL)]],'DATA ILN'!B:N,13,FALSE))</f>
        <v>4</v>
      </c>
      <c r="X836" s="81">
        <f>IFERROR(VLOOKUP(Tableau119[[#This Row],[Key(Compte ILN - shipper - POL - plant)]],'DATA ILN'!A:P,16,FALSE),VLOOKUP(Tableau119[[#This Row],[Key(Compte ILN - shipper - POL)]],'DATA ILN'!B:P,15,FALSE))</f>
        <v>5</v>
      </c>
      <c r="Y836" s="102" t="s">
        <v>150</v>
      </c>
      <c r="Z836" s="417">
        <f>IFERROR(VLOOKUP(Tableau119[[#This Row],[Name Shipper]],Plant_AILN!L:M,2,FALSE),0)</f>
        <v>2533780535</v>
      </c>
      <c r="AA836" s="416">
        <v>912</v>
      </c>
      <c r="AB836" s="396" t="str">
        <f>_xlfn.XLOOKUP(Tableau119[[#This Row],[Key(ID-date)]],'DATA BTO'!S:S,'DATA BTO'!E:E,FALSE)</f>
        <v>INNSA</v>
      </c>
      <c r="AC836" s="3" t="str">
        <f>_xlfn.XLOOKUP(Tableau119[[#This Row],[Key(ID-date)]],'DATA BTO'!S:S,'DATA BTO'!F:F,FALSE)</f>
        <v>CMA-CGM</v>
      </c>
      <c r="AD836" s="50">
        <f>_xlfn.XLOOKUP(Tableau119[[#This Row],[Key(ID-date)]],'DATA BTO'!S:S,'DATA BTO'!G:G,FALSE)</f>
        <v>2</v>
      </c>
      <c r="AE836" s="50">
        <f>_xlfn.XLOOKUP(Tableau119[[#This Row],[Key(ID-date)]],'DATA BTO'!S:S,'DATA BTO'!H:H,FALSE)</f>
        <v>10</v>
      </c>
      <c r="AF836" s="447">
        <f>IF(Tableau119[[#This Row],[First Day to POL]]&lt;=Tableau119[[#This Row],[Day Cut Off]],Tableau119[[#This Row],[Day ETD]],Tableau119[[#This Row],[Day ETD]]+7)</f>
        <v>17</v>
      </c>
      <c r="AG836" s="50">
        <f>_xlfn.XLOOKUP(Tableau119[[#This Row],[Key(ID-date)]],'DATA BTO'!S:S,'DATA BTO'!I:I,FALSE)</f>
        <v>50</v>
      </c>
      <c r="AH836" s="3" t="str">
        <f>_xlfn.XLOOKUP(Tableau119[[#This Row],[Key(ID-date)]],'DATA BTO'!S:S,'DATA BTO'!J:J,FALSE)</f>
        <v>BRPNG</v>
      </c>
      <c r="AI836" s="3">
        <f>_xlfn.XLOOKUP(Tableau119[[#This Row],[Key(ID-date)]],'DATA BTO'!S:S,'DATA BTO'!K:K,FALSE)</f>
        <v>3</v>
      </c>
      <c r="AJ836" s="50">
        <f>_xlfn.XLOOKUP(Tableau119[[#This Row],[Key(ID-date)]],'DATA BTO'!S:S,'DATA BTO'!L:L,FALSE)</f>
        <v>0</v>
      </c>
      <c r="AK836" s="53" t="str">
        <f>_xlfn.XLOOKUP(Tableau119[[#This Row],[Key(ID-date)]],'DATA BTO'!S:S,'DATA BTO'!N:N,FALSE)</f>
        <v>Anthony</v>
      </c>
      <c r="AL836" s="54">
        <f>VLOOKUP(Tableau119[[#This Row],[Key(POD -PFI- Usine)]],'DATA Consignee'!A:F,6,FALSE)</f>
        <v>2</v>
      </c>
      <c r="AM836" s="102"/>
      <c r="AN836" s="375" t="str">
        <f>IF(Tableau119[[#This Row],[Name PFI/CDD]]="","-",VLOOKUP(Tableau119[[#This Row],[Name PFI/CDD]],Plant_AILN!I:J,2,FALSE))</f>
        <v>-</v>
      </c>
      <c r="AO83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6" s="110">
        <f>VLOOKUP(Tableau119[[#This Row],[Key(POD -PFI- Usine)]],'DATA Consignee'!A:J,10,FALSE)</f>
        <v>0</v>
      </c>
      <c r="AR836" s="81">
        <f>VLOOKUP(Tableau119[[#This Row],[Key(POD -PFI- Usine)]],'DATA Consignee'!A:N,14,FALSE)</f>
        <v>2</v>
      </c>
      <c r="AS83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3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22</v>
      </c>
      <c r="AU836" s="81">
        <f>Tableau119[[#This Row],[Transit time]]+Tableau119[[#This Row],[Time for security]]+Tableau119[[#This Row],[Time for security2 buffer]]</f>
        <v>53</v>
      </c>
      <c r="AV83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36" s="50">
        <f>Tableau119[[#This Row],[Leadtime SI2C]]+Tableau119[[#This Row],[First Receipt Days]]-Tableau119[[#This Row],[Day Customer Order]]+1</f>
        <v>99</v>
      </c>
      <c r="AX836" s="119">
        <f>IF(Tableau119[[#This Row],[Name ILN]]&lt;&gt;"SFK Freight Forwarder",Tableau119[[#This Row],[Cust. Leadtime]],Tableau119[[#This Row],[Leadtime SI2C]])</f>
        <v>99</v>
      </c>
      <c r="AY836" s="51" t="str">
        <f>_xlfn.XLOOKUP(Tableau119[[#This Row],[Key(ID-date)]],'DATA BTO'!S:S,'DATA BTO'!P:P,FALSE)</f>
        <v>Renault &gt; Horse BPH</v>
      </c>
      <c r="AZ836" s="388">
        <v>45777</v>
      </c>
      <c r="BA836" s="81"/>
    </row>
    <row r="837" spans="2:53">
      <c r="B837" s="446" t="str">
        <f>_xlfn.CONCAT(Tableau119[[#This Row],[Name ILN]],"-",Tableau119[[#This Row],[Name Shipper]],"-",Tableau119[[#This Row],[Name Site]])</f>
        <v>ILN Pune-ILN Pune-Curitiba CMO</v>
      </c>
      <c r="C837" s="66" t="str">
        <f>_xlfn.CONCAT(Tableau119[[#This Row],[Compte ILN]],"-",Tableau119[[#This Row],[Compte Shipper]],"-",Tableau119[[#This Row],[POL]],"-",Tableau119[[#This Row],[Compte Consignee]])</f>
        <v>2533780535-2533780535-INNSA-90018600</v>
      </c>
      <c r="D837" s="66" t="str">
        <f>_xlfn.CONCAT(Tableau119[[#This Row],[Compte ILN]],"-",Tableau119[[#This Row],[Compte Shipper]],"-",Tableau119[[#This Row],[POL]])</f>
        <v>2533780535-2533780535-INNSA</v>
      </c>
      <c r="E837" s="130" t="str">
        <f>_xlfn.CONCAT(Tableau119[[#This Row],[POL]],"-",Tableau119[[#This Row],[Carrier]],"-",Tableau119[[#This Row],[POD]])</f>
        <v>INNSA-CMA-CGM-BRPNG</v>
      </c>
      <c r="F837" s="66" t="str">
        <f>_xlfn.CONCAT(Tableau119[[#This Row],[ID]],"-","Actif")</f>
        <v>912-Actif</v>
      </c>
      <c r="G837" s="66" t="str">
        <f>_xlfn.CONCAT(Tableau119[[#This Row],[POD]],"-",Tableau119[[#This Row],[Code PFI]],"-",Tableau119[[#This Row],[Compte Consignee]])</f>
        <v>BRPNG---90018600</v>
      </c>
      <c r="H8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PuneINNSACuritiba CMO</v>
      </c>
      <c r="I837" s="434" t="str">
        <f>_xlfn.CONCAT(Tableau119[[#This Row],[ID]],"-",Tableau119[[#This Row],[Expiration Date]])</f>
        <v>912-45473</v>
      </c>
      <c r="J8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Pune-ILN Pune-912-INNSA-CMA-CGM-BRPNG--45473</v>
      </c>
      <c r="K837" s="119" t="str">
        <f ca="1">IF(COUNTIF(J:J,Tableau119[[#This Row],[Plant-ILN-shipper-POL-Carrier-POD-PFI]])=1,"Non","Oui")</f>
        <v>Non</v>
      </c>
      <c r="L837" s="128" t="str">
        <f>VLOOKUP(Tableau119[[#This Row],[Name Site]],Plant_AILN!A:D,4,FALSE)</f>
        <v>BRAZIL</v>
      </c>
      <c r="M837" s="411" t="s">
        <v>160</v>
      </c>
      <c r="N837" s="454">
        <f>VLOOKUP(Tableau119[[#This Row],[Name Site]],Plant_AILN!A:C,3,FALSE)</f>
        <v>90018600</v>
      </c>
      <c r="O837" s="55">
        <f>VLOOKUP(Tableau119[[#This Row],[Compte Consignee]],Order!C:D,2,FALSE)</f>
        <v>7</v>
      </c>
      <c r="P837" s="124" t="s">
        <v>150</v>
      </c>
      <c r="Q837" s="365">
        <f>VLOOKUP(Tableau119[[#This Row],[Name ILN]],Plant_AILN!F:G,2,FALSE)</f>
        <v>2533780535</v>
      </c>
      <c r="R837" s="50">
        <f>VLOOKUP(Tableau119[[#This Row],[Compte ILN]],'DATA ILN'!D:I,6,FALSE)</f>
        <v>9</v>
      </c>
      <c r="S837" s="50">
        <f>IFERROR(VLOOKUP(Tableau119[[#This Row],[Key(Compte ILN - shipper - POL - plant)]],'DATA ILN'!A:J,10,FALSE),VLOOKUP(Tableau119[[#This Row],[Key(Compte ILN - shipper - POL)]],'DATA ILN'!B:J,9,FALSE))</f>
        <v>14</v>
      </c>
      <c r="T837" s="50">
        <f>IFERROR(VLOOKUP(Tableau119[[#This Row],[Key(Compte ILN - shipper - POL - plant)]],'DATA ILN'!A:K,11,FALSE),VLOOKUP(Tableau119[[#This Row],[Key(Compte ILN - shipper - POL)]],'DATA ILN'!B:K,10,FALSE))</f>
        <v>5</v>
      </c>
      <c r="U837" s="50">
        <f>IFERROR(VLOOKUP(Tableau119[[#This Row],[Key(Compte ILN - shipper - POL - plant)]],'DATA ILN'!A:L,12,FALSE),VLOOKUP(Tableau119[[#This Row],[Key(Compte ILN - shipper - POL)]],'DATA ILN'!B:L,11,FALSE))</f>
        <v>7</v>
      </c>
      <c r="V837" s="50">
        <f>Tableau119[[#This Row],[Day ILN Order]]+Tableau119[[#This Row],[Delivery time to ILN/Shipper]]-1</f>
        <v>22</v>
      </c>
      <c r="W837" s="50">
        <f>IFERROR(VLOOKUP(Tableau119[[#This Row],[Key(Compte ILN - shipper - POL - plant)]],'DATA ILN'!A:N,14,FALSE),VLOOKUP(Tableau119[[#This Row],[Key(Compte ILN - shipper - POL)]],'DATA ILN'!B:N,13,FALSE))</f>
        <v>4</v>
      </c>
      <c r="X837" s="50">
        <f>IFERROR(VLOOKUP(Tableau119[[#This Row],[Key(Compte ILN - shipper - POL - plant)]],'DATA ILN'!A:P,16,FALSE),VLOOKUP(Tableau119[[#This Row],[Key(Compte ILN - shipper - POL)]],'DATA ILN'!B:P,15,FALSE))</f>
        <v>5</v>
      </c>
      <c r="Y837" s="284" t="s">
        <v>150</v>
      </c>
      <c r="Z837" s="430">
        <f>IFERROR(VLOOKUP(Tableau119[[#This Row],[Name Shipper]],Plant_AILN!L:M,2,FALSE),0)</f>
        <v>2533780535</v>
      </c>
      <c r="AA837" s="406">
        <v>912</v>
      </c>
      <c r="AB837" s="396" t="str">
        <f>_xlfn.XLOOKUP(Tableau119[[#This Row],[Key(ID-date)]],'DATA BTO'!S:S,'DATA BTO'!E:E,FALSE)</f>
        <v>INNSA</v>
      </c>
      <c r="AC837" s="3" t="str">
        <f>_xlfn.XLOOKUP(Tableau119[[#This Row],[Key(ID-date)]],'DATA BTO'!S:S,'DATA BTO'!F:F,FALSE)</f>
        <v>CMA-CGM</v>
      </c>
      <c r="AD837" s="50">
        <f>_xlfn.XLOOKUP(Tableau119[[#This Row],[Key(ID-date)]],'DATA BTO'!S:S,'DATA BTO'!G:G,FALSE)</f>
        <v>2</v>
      </c>
      <c r="AE837" s="50">
        <f>_xlfn.XLOOKUP(Tableau119[[#This Row],[Key(ID-date)]],'DATA BTO'!S:S,'DATA BTO'!H:H,FALSE)</f>
        <v>4</v>
      </c>
      <c r="AF837" s="447">
        <f>IF(Tableau119[[#This Row],[First Day to POL]]&lt;=Tableau119[[#This Row],[Day Cut Off]],Tableau119[[#This Row],[Day ETD]],Tableau119[[#This Row],[Day ETD]]+7)</f>
        <v>11</v>
      </c>
      <c r="AG837" s="50">
        <f>_xlfn.XLOOKUP(Tableau119[[#This Row],[Key(ID-date)]],'DATA BTO'!S:S,'DATA BTO'!I:I,FALSE)</f>
        <v>42</v>
      </c>
      <c r="AH837" s="3" t="str">
        <f>_xlfn.XLOOKUP(Tableau119[[#This Row],[Key(ID-date)]],'DATA BTO'!S:S,'DATA BTO'!J:J,FALSE)</f>
        <v>BRPNG</v>
      </c>
      <c r="AI837" s="3">
        <f>_xlfn.XLOOKUP(Tableau119[[#This Row],[Key(ID-date)]],'DATA BTO'!S:S,'DATA BTO'!K:K,FALSE)</f>
        <v>3</v>
      </c>
      <c r="AJ837" s="50">
        <f>_xlfn.XLOOKUP(Tableau119[[#This Row],[Key(ID-date)]],'DATA BTO'!S:S,'DATA BTO'!L:L,FALSE)</f>
        <v>0</v>
      </c>
      <c r="AK837" s="53" t="str">
        <f>_xlfn.XLOOKUP(Tableau119[[#This Row],[Key(ID-date)]],'DATA BTO'!S:S,'DATA BTO'!N:N,FALSE)</f>
        <v>Anthony</v>
      </c>
      <c r="AL837" s="54">
        <f>VLOOKUP(Tableau119[[#This Row],[Key(POD -PFI- Usine)]],'DATA Consignee'!A:F,6,FALSE)</f>
        <v>2</v>
      </c>
      <c r="AM837" s="284"/>
      <c r="AN837" s="376" t="str">
        <f>IF(Tableau119[[#This Row],[Name PFI/CDD]]="","-",VLOOKUP(Tableau119[[#This Row],[Name PFI/CDD]],Plant_AILN!I:J,2,FALSE))</f>
        <v>-</v>
      </c>
      <c r="AO83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7" s="2">
        <f>VLOOKUP(Tableau119[[#This Row],[Key(POD -PFI- Usine)]],'DATA Consignee'!A:J,10,FALSE)</f>
        <v>0</v>
      </c>
      <c r="AR837" s="50">
        <f>VLOOKUP(Tableau119[[#This Row],[Key(POD -PFI- Usine)]],'DATA Consignee'!A:N,14,FALSE)</f>
        <v>2</v>
      </c>
      <c r="AS83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3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37" s="50">
        <f>Tableau119[[#This Row],[Transit time]]+Tableau119[[#This Row],[Time for security]]+Tableau119[[#This Row],[Time for security2 buffer]]</f>
        <v>45</v>
      </c>
      <c r="AV83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37" s="50">
        <f>Tableau119[[#This Row],[Leadtime SI2C]]+Tableau119[[#This Row],[First Receipt Days]]-Tableau119[[#This Row],[Day Customer Order]]+1</f>
        <v>85</v>
      </c>
      <c r="AX837" s="119">
        <f>IF(Tableau119[[#This Row],[Name ILN]]&lt;&gt;"SFK Freight Forwarder",Tableau119[[#This Row],[Cust. Leadtime]],Tableau119[[#This Row],[Leadtime SI2C]])</f>
        <v>85</v>
      </c>
      <c r="AY837" s="51" t="str">
        <f>_xlfn.XLOOKUP(Tableau119[[#This Row],[Key(ID-date)]],'DATA BTO'!S:S,'DATA BTO'!P:P,FALSE)</f>
        <v>Renault &gt; Horse BPH</v>
      </c>
      <c r="AZ837" s="338">
        <v>45473</v>
      </c>
      <c r="BA837" s="50"/>
    </row>
    <row r="838" spans="2:53">
      <c r="B838" s="66" t="str">
        <f>_xlfn.CONCAT(Tableau119[[#This Row],[Name ILN]],"-",Tableau119[[#This Row],[Name Shipper]],"-",Tableau119[[#This Row],[Name Site]])</f>
        <v>ILN Chennai-ILN Chennai-DACIA MECA</v>
      </c>
      <c r="C838" s="66" t="str">
        <f>_xlfn.CONCAT(Tableau119[[#This Row],[Compte ILN]],"-",Tableau119[[#This Row],[Compte Shipper]],"-",Tableau119[[#This Row],[POL]],"-",Tableau119[[#This Row],[Compte Consignee]])</f>
        <v>2533780546-2533780546-INKAT-90012500</v>
      </c>
      <c r="D838" s="66" t="str">
        <f>_xlfn.CONCAT(Tableau119[[#This Row],[Compte ILN]],"-",Tableau119[[#This Row],[Compte Shipper]],"-",Tableau119[[#This Row],[POL]])</f>
        <v>2533780546-2533780546-INKAT</v>
      </c>
      <c r="E838" s="130" t="str">
        <f>_xlfn.CONCAT(Tableau119[[#This Row],[POL]],"-",Tableau119[[#This Row],[Carrier]],"-",Tableau119[[#This Row],[POD]])</f>
        <v>INKAT-MSC-ROCND</v>
      </c>
      <c r="F838" s="66" t="str">
        <f>_xlfn.CONCAT(Tableau119[[#This Row],[ID]],"-","Actif")</f>
        <v>915-Actif</v>
      </c>
      <c r="G838" s="66" t="str">
        <f>_xlfn.CONCAT(Tableau119[[#This Row],[POD]],"-",Tableau119[[#This Row],[Code PFI]],"-",Tableau119[[#This Row],[Compte Consignee]])</f>
        <v>ROCND-2839004-90012500</v>
      </c>
      <c r="H8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ChennaiINKATDACIA MECA</v>
      </c>
      <c r="I838" s="434" t="str">
        <f>_xlfn.CONCAT(Tableau119[[#This Row],[ID]],"-",Tableau119[[#This Row],[Expiration Date]])</f>
        <v>915-46142</v>
      </c>
      <c r="J8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Chennai-915-INKAT-MSC-ROCND-Magasin Dacia-46142</v>
      </c>
      <c r="K838" s="119" t="str">
        <f ca="1">IF(COUNTIF(J:J,Tableau119[[#This Row],[Plant-ILN-shipper-POL-Carrier-POD-PFI]])=1,"Non","Oui")</f>
        <v>Non</v>
      </c>
      <c r="L838" s="436" t="str">
        <f>VLOOKUP(Tableau119[[#This Row],[Name Site]],Plant_AILN!A:D,4,FALSE)</f>
        <v>ROMANIA</v>
      </c>
      <c r="M838" s="411" t="s">
        <v>162</v>
      </c>
      <c r="N838" s="454">
        <f>VLOOKUP(Tableau119[[#This Row],[Name Site]],Plant_AILN!A:C,3,FALSE)</f>
        <v>90012500</v>
      </c>
      <c r="O838" s="55">
        <f>IF(Tableau119[[#This Row],[Name PFI/CDD]]="PFI VLL",2,VLOOKUP(Tableau119[[#This Row],[Compte Consignee]],Order!C:D,2,FALSE))</f>
        <v>7</v>
      </c>
      <c r="P838" s="124" t="s">
        <v>149</v>
      </c>
      <c r="Q838" s="365">
        <f>VLOOKUP(Tableau119[[#This Row],[Name ILN]],Plant_AILN!F:G,2,FALSE)</f>
        <v>2533780546</v>
      </c>
      <c r="R838" s="50">
        <f>VLOOKUP(Tableau119[[#This Row],[Compte ILN]],'DATA ILN'!D:I,6,FALSE)</f>
        <v>9</v>
      </c>
      <c r="S838" s="50">
        <f>IFERROR(VLOOKUP(Tableau119[[#This Row],[Key(Compte ILN - shipper - POL - plant)]],'DATA ILN'!A:J,10,FALSE),VLOOKUP(Tableau119[[#This Row],[Key(Compte ILN - shipper - POL)]],'DATA ILN'!B:J,9,FALSE))</f>
        <v>14</v>
      </c>
      <c r="T838" s="50">
        <f>IFERROR(VLOOKUP(Tableau119[[#This Row],[Key(Compte ILN - shipper - POL - plant)]],'DATA ILN'!A:K,11,FALSE),VLOOKUP(Tableau119[[#This Row],[Key(Compte ILN - shipper - POL)]],'DATA ILN'!B:K,10,FALSE))</f>
        <v>5</v>
      </c>
      <c r="U838" s="50">
        <f>IFERROR(VLOOKUP(Tableau119[[#This Row],[Key(Compte ILN - shipper - POL - plant)]],'DATA ILN'!A:L,12,FALSE),VLOOKUP(Tableau119[[#This Row],[Key(Compte ILN - shipper - POL)]],'DATA ILN'!B:L,11,FALSE))</f>
        <v>7</v>
      </c>
      <c r="V838" s="50">
        <f>Tableau119[[#This Row],[Day ILN Order]]+Tableau119[[#This Row],[Delivery time to ILN/Shipper]]-1</f>
        <v>22</v>
      </c>
      <c r="W838" s="50">
        <f>IFERROR(VLOOKUP(Tableau119[[#This Row],[Key(Compte ILN - shipper - POL - plant)]],'DATA ILN'!A:N,14,FALSE),VLOOKUP(Tableau119[[#This Row],[Key(Compte ILN - shipper - POL)]],'DATA ILN'!B:N,13,FALSE))</f>
        <v>2</v>
      </c>
      <c r="X838" s="50">
        <f>IFERROR(VLOOKUP(Tableau119[[#This Row],[Key(Compte ILN - shipper - POL - plant)]],'DATA ILN'!A:P,16,FALSE),VLOOKUP(Tableau119[[#This Row],[Key(Compte ILN - shipper - POL)]],'DATA ILN'!B:P,15,FALSE))</f>
        <v>4</v>
      </c>
      <c r="Y838" s="284" t="s">
        <v>149</v>
      </c>
      <c r="Z838" s="430">
        <f>IFERROR(VLOOKUP(Tableau119[[#This Row],[Name Shipper]],Plant_AILN!L:M,2,FALSE),0)</f>
        <v>2533780546</v>
      </c>
      <c r="AA838" s="406">
        <v>915</v>
      </c>
      <c r="AB838" s="396" t="str">
        <f>_xlfn.XLOOKUP(Tableau119[[#This Row],[Key(ID-date)]],'DATA BTO'!S:S,'DATA BTO'!E:E,FALSE)</f>
        <v>INKAT</v>
      </c>
      <c r="AC838" s="3" t="str">
        <f>_xlfn.XLOOKUP(Tableau119[[#This Row],[Key(ID-date)]],'DATA BTO'!S:S,'DATA BTO'!F:F,FALSE)</f>
        <v>MSC</v>
      </c>
      <c r="AD838" s="50">
        <f>_xlfn.XLOOKUP(Tableau119[[#This Row],[Key(ID-date)]],'DATA BTO'!S:S,'DATA BTO'!G:G,FALSE)</f>
        <v>2</v>
      </c>
      <c r="AE838" s="50">
        <f>_xlfn.XLOOKUP(Tableau119[[#This Row],[Key(ID-date)]],'DATA BTO'!S:S,'DATA BTO'!H:H,FALSE)</f>
        <v>4</v>
      </c>
      <c r="AF838" s="447">
        <f>IF(Tableau119[[#This Row],[First Day to POL]]&lt;=Tableau119[[#This Row],[Day Cut Off]],Tableau119[[#This Row],[Day ETD]],Tableau119[[#This Row],[Day ETD]]+7)</f>
        <v>11</v>
      </c>
      <c r="AG838" s="50">
        <f>_xlfn.XLOOKUP(Tableau119[[#This Row],[Key(ID-date)]],'DATA BTO'!S:S,'DATA BTO'!I:I,FALSE)</f>
        <v>49</v>
      </c>
      <c r="AH838" s="3" t="str">
        <f>_xlfn.XLOOKUP(Tableau119[[#This Row],[Key(ID-date)]],'DATA BTO'!S:S,'DATA BTO'!J:J,FALSE)</f>
        <v>ROCND</v>
      </c>
      <c r="AI838" s="3">
        <f>_xlfn.XLOOKUP(Tableau119[[#This Row],[Key(ID-date)]],'DATA BTO'!S:S,'DATA BTO'!K:K,FALSE)</f>
        <v>3</v>
      </c>
      <c r="AJ838" s="50">
        <f>_xlfn.XLOOKUP(Tableau119[[#This Row],[Key(ID-date)]],'DATA BTO'!S:S,'DATA BTO'!L:L,FALSE)</f>
        <v>14</v>
      </c>
      <c r="AK838" s="53" t="str">
        <f>_xlfn.XLOOKUP(Tableau119[[#This Row],[Key(ID-date)]],'DATA BTO'!S:S,'DATA BTO'!N:N,FALSE)</f>
        <v>Marc-Aurele</v>
      </c>
      <c r="AL838" s="54">
        <f>VLOOKUP(Tableau119[[#This Row],[Key(POD -PFI- Usine)]],'DATA Consignee'!A:F,6,FALSE)</f>
        <v>1</v>
      </c>
      <c r="AM838" s="284" t="s">
        <v>164</v>
      </c>
      <c r="AN838" s="376">
        <f>IF(Tableau119[[#This Row],[Name PFI/CDD]]="","-",VLOOKUP(Tableau119[[#This Row],[Name PFI/CDD]],Plant_AILN!I:J,2,FALSE))</f>
        <v>2839004</v>
      </c>
      <c r="AO83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8" s="2">
        <f>VLOOKUP(Tableau119[[#This Row],[Key(POD -PFI- Usine)]],'DATA Consignee'!A:J,10,FALSE)</f>
        <v>7</v>
      </c>
      <c r="AR838" s="50">
        <f>VLOOKUP(Tableau119[[#This Row],[Key(POD -PFI- Usine)]],'DATA Consignee'!A:N,14,FALSE)</f>
        <v>1</v>
      </c>
      <c r="AS83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3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38" s="50">
        <f>Tableau119[[#This Row],[Transit time]]+Tableau119[[#This Row],[Time for security]]+Tableau119[[#This Row],[Time for security2 buffer]]</f>
        <v>66</v>
      </c>
      <c r="AV83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838" s="50">
        <f>Tableau119[[#This Row],[Leadtime SI2C]]+Tableau119[[#This Row],[First Receipt Days]]-Tableau119[[#This Row],[Day Customer Order]]+1</f>
        <v>113</v>
      </c>
      <c r="AX838" s="119">
        <f>IF(Tableau119[[#This Row],[Name ILN]]&lt;&gt;"SFK Freight Forwarder",Tableau119[[#This Row],[Cust. Leadtime]],Tableau119[[#This Row],[Leadtime SI2C]])</f>
        <v>113</v>
      </c>
      <c r="AY838" s="51" t="str">
        <f>_xlfn.XLOOKUP(Tableau119[[#This Row],[Key(ID-date)]],'DATA BTO'!S:S,'DATA BTO'!P:P,FALSE)</f>
        <v>Renault &gt; Horse BPH</v>
      </c>
      <c r="AZ838" s="338">
        <v>46142</v>
      </c>
      <c r="BA838" s="50"/>
    </row>
    <row r="839" spans="2:53">
      <c r="B839" s="446" t="str">
        <f>_xlfn.CONCAT(Tableau119[[#This Row],[Name ILN]],"-",Tableau119[[#This Row],[Name Shipper]],"-",Tableau119[[#This Row],[Name Site]])</f>
        <v>ILN Chennai-ILN Chennai-DACIA MECA</v>
      </c>
      <c r="C839" s="66" t="str">
        <f>_xlfn.CONCAT(Tableau119[[#This Row],[Compte ILN]],"-",Tableau119[[#This Row],[Compte Shipper]],"-",Tableau119[[#This Row],[POL]],"-",Tableau119[[#This Row],[Compte Consignee]])</f>
        <v>2533780546-2533780546-INKAT-90012500</v>
      </c>
      <c r="D839" s="66" t="str">
        <f>_xlfn.CONCAT(Tableau119[[#This Row],[Compte ILN]],"-",Tableau119[[#This Row],[Compte Shipper]],"-",Tableau119[[#This Row],[POL]])</f>
        <v>2533780546-2533780546-INKAT</v>
      </c>
      <c r="E839" s="130" t="str">
        <f>_xlfn.CONCAT(Tableau119[[#This Row],[POL]],"-",Tableau119[[#This Row],[Carrier]],"-",Tableau119[[#This Row],[POD]])</f>
        <v>INKAT-MSC-ROCND</v>
      </c>
      <c r="F839" s="66" t="str">
        <f>_xlfn.CONCAT(Tableau119[[#This Row],[ID]],"-","Actif")</f>
        <v>915-Actif</v>
      </c>
      <c r="G839" s="66" t="str">
        <f>_xlfn.CONCAT(Tableau119[[#This Row],[POD]],"-",Tableau119[[#This Row],[Code PFI]],"-",Tableau119[[#This Row],[Compte Consignee]])</f>
        <v>ROCND---90012500</v>
      </c>
      <c r="H8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ChennaiINKATDACIA MECA</v>
      </c>
      <c r="I839" s="434" t="str">
        <f>_xlfn.CONCAT(Tableau119[[#This Row],[ID]],"-",Tableau119[[#This Row],[Expiration Date]])</f>
        <v>915-45991</v>
      </c>
      <c r="J8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Chennai-915-INKAT-MSC-ROCND--45991</v>
      </c>
      <c r="K839" s="119" t="str">
        <f ca="1">IF(COUNTIF(J:J,Tableau119[[#This Row],[Plant-ILN-shipper-POL-Carrier-POD-PFI]])=1,"Non","Oui")</f>
        <v>Non</v>
      </c>
      <c r="L839" s="128" t="str">
        <f>VLOOKUP(Tableau119[[#This Row],[Name Site]],Plant_AILN!A:D,4,FALSE)</f>
        <v>ROMANIA</v>
      </c>
      <c r="M839" s="411" t="s">
        <v>162</v>
      </c>
      <c r="N839" s="454">
        <f>VLOOKUP(Tableau119[[#This Row],[Name Site]],Plant_AILN!A:C,3,FALSE)</f>
        <v>90012500</v>
      </c>
      <c r="O839" s="55">
        <f>VLOOKUP(Tableau119[[#This Row],[Compte Consignee]],Order!C:D,2,FALSE)</f>
        <v>7</v>
      </c>
      <c r="P839" s="124" t="s">
        <v>149</v>
      </c>
      <c r="Q839" s="365">
        <f>VLOOKUP(Tableau119[[#This Row],[Name ILN]],Plant_AILN!F:G,2,FALSE)</f>
        <v>2533780546</v>
      </c>
      <c r="R839" s="50">
        <f>VLOOKUP(Tableau119[[#This Row],[Compte ILN]],'DATA ILN'!D:I,6,FALSE)</f>
        <v>9</v>
      </c>
      <c r="S839" s="50">
        <f>IFERROR(VLOOKUP(Tableau119[[#This Row],[Key(Compte ILN - shipper - POL - plant)]],'DATA ILN'!A:J,10,FALSE),VLOOKUP(Tableau119[[#This Row],[Key(Compte ILN - shipper - POL)]],'DATA ILN'!B:J,9,FALSE))</f>
        <v>14</v>
      </c>
      <c r="T839" s="50">
        <f>IFERROR(VLOOKUP(Tableau119[[#This Row],[Key(Compte ILN - shipper - POL - plant)]],'DATA ILN'!A:K,11,FALSE),VLOOKUP(Tableau119[[#This Row],[Key(Compte ILN - shipper - POL)]],'DATA ILN'!B:K,10,FALSE))</f>
        <v>5</v>
      </c>
      <c r="U839" s="50">
        <f>IFERROR(VLOOKUP(Tableau119[[#This Row],[Key(Compte ILN - shipper - POL - plant)]],'DATA ILN'!A:L,12,FALSE),VLOOKUP(Tableau119[[#This Row],[Key(Compte ILN - shipper - POL)]],'DATA ILN'!B:L,11,FALSE))</f>
        <v>7</v>
      </c>
      <c r="V839" s="50">
        <f>Tableau119[[#This Row],[Day ILN Order]]+Tableau119[[#This Row],[Delivery time to ILN/Shipper]]-1</f>
        <v>22</v>
      </c>
      <c r="W839" s="50">
        <f>IFERROR(VLOOKUP(Tableau119[[#This Row],[Key(Compte ILN - shipper - POL - plant)]],'DATA ILN'!A:N,14,FALSE),VLOOKUP(Tableau119[[#This Row],[Key(Compte ILN - shipper - POL)]],'DATA ILN'!B:N,13,FALSE))</f>
        <v>2</v>
      </c>
      <c r="X839" s="50">
        <f>IFERROR(VLOOKUP(Tableau119[[#This Row],[Key(Compte ILN - shipper - POL - plant)]],'DATA ILN'!A:P,16,FALSE),VLOOKUP(Tableau119[[#This Row],[Key(Compte ILN - shipper - POL)]],'DATA ILN'!B:P,15,FALSE))</f>
        <v>4</v>
      </c>
      <c r="Y839" s="284" t="s">
        <v>149</v>
      </c>
      <c r="Z839" s="430">
        <f>IFERROR(VLOOKUP(Tableau119[[#This Row],[Name Shipper]],Plant_AILN!L:M,2,FALSE),0)</f>
        <v>2533780546</v>
      </c>
      <c r="AA839" s="406">
        <v>915</v>
      </c>
      <c r="AB839" s="396" t="str">
        <f>_xlfn.XLOOKUP(Tableau119[[#This Row],[Key(ID-date)]],'DATA BTO'!S:S,'DATA BTO'!E:E,FALSE)</f>
        <v>INKAT</v>
      </c>
      <c r="AC839" s="3" t="str">
        <f>_xlfn.XLOOKUP(Tableau119[[#This Row],[Key(ID-date)]],'DATA BTO'!S:S,'DATA BTO'!F:F,FALSE)</f>
        <v>MSC</v>
      </c>
      <c r="AD839" s="50">
        <f>_xlfn.XLOOKUP(Tableau119[[#This Row],[Key(ID-date)]],'DATA BTO'!S:S,'DATA BTO'!G:G,FALSE)</f>
        <v>2</v>
      </c>
      <c r="AE839" s="50">
        <f>_xlfn.XLOOKUP(Tableau119[[#This Row],[Key(ID-date)]],'DATA BTO'!S:S,'DATA BTO'!H:H,FALSE)</f>
        <v>4</v>
      </c>
      <c r="AF839" s="447">
        <f>IF(Tableau119[[#This Row],[First Day to POL]]&lt;=Tableau119[[#This Row],[Day Cut Off]],Tableau119[[#This Row],[Day ETD]],Tableau119[[#This Row],[Day ETD]]+7)</f>
        <v>11</v>
      </c>
      <c r="AG839" s="50">
        <f>_xlfn.XLOOKUP(Tableau119[[#This Row],[Key(ID-date)]],'DATA BTO'!S:S,'DATA BTO'!I:I,FALSE)</f>
        <v>49</v>
      </c>
      <c r="AH839" s="3" t="str">
        <f>_xlfn.XLOOKUP(Tableau119[[#This Row],[Key(ID-date)]],'DATA BTO'!S:S,'DATA BTO'!J:J,FALSE)</f>
        <v>ROCND</v>
      </c>
      <c r="AI839" s="3">
        <f>_xlfn.XLOOKUP(Tableau119[[#This Row],[Key(ID-date)]],'DATA BTO'!S:S,'DATA BTO'!K:K,FALSE)</f>
        <v>3</v>
      </c>
      <c r="AJ839" s="50">
        <f>_xlfn.XLOOKUP(Tableau119[[#This Row],[Key(ID-date)]],'DATA BTO'!S:S,'DATA BTO'!L:L,FALSE)</f>
        <v>7</v>
      </c>
      <c r="AK839" s="53" t="str">
        <f>_xlfn.XLOOKUP(Tableau119[[#This Row],[Key(ID-date)]],'DATA BTO'!S:S,'DATA BTO'!N:N,FALSE)</f>
        <v>Marc-Aurele</v>
      </c>
      <c r="AL839" s="54">
        <f>VLOOKUP(Tableau119[[#This Row],[Key(POD -PFI- Usine)]],'DATA Consignee'!A:F,6,FALSE)</f>
        <v>2</v>
      </c>
      <c r="AM839" s="284"/>
      <c r="AN839" s="376" t="str">
        <f>IF(Tableau119[[#This Row],[Name PFI/CDD]]="","-",VLOOKUP(Tableau119[[#This Row],[Name PFI/CDD]],Plant_AILN!I:J,2,FALSE))</f>
        <v>-</v>
      </c>
      <c r="AO83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3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39" s="2">
        <f>VLOOKUP(Tableau119[[#This Row],[Key(POD -PFI- Usine)]],'DATA Consignee'!A:J,10,FALSE)</f>
        <v>0</v>
      </c>
      <c r="AR839" s="50">
        <f>VLOOKUP(Tableau119[[#This Row],[Key(POD -PFI- Usine)]],'DATA Consignee'!A:N,14,FALSE)</f>
        <v>7</v>
      </c>
      <c r="AS83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3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39" s="50">
        <f>Tableau119[[#This Row],[Transit time]]+Tableau119[[#This Row],[Time for security]]+Tableau119[[#This Row],[Time for security2 buffer]]</f>
        <v>59</v>
      </c>
      <c r="AV83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839" s="50">
        <f>Tableau119[[#This Row],[Leadtime SI2C]]+Tableau119[[#This Row],[First Receipt Days]]-Tableau119[[#This Row],[Day Customer Order]]+1</f>
        <v>106</v>
      </c>
      <c r="AX839" s="119">
        <f>IF(Tableau119[[#This Row],[Name ILN]]&lt;&gt;"SFK Freight Forwarder",Tableau119[[#This Row],[Cust. Leadtime]],Tableau119[[#This Row],[Leadtime SI2C]])</f>
        <v>106</v>
      </c>
      <c r="AY839" s="51" t="str">
        <f>_xlfn.XLOOKUP(Tableau119[[#This Row],[Key(ID-date)]],'DATA BTO'!S:S,'DATA BTO'!P:P,FALSE)</f>
        <v>Renault &gt; Horse BPH</v>
      </c>
      <c r="AZ839" s="338">
        <v>45991</v>
      </c>
      <c r="BA839" s="50"/>
    </row>
    <row r="840" spans="2:53">
      <c r="B840" s="446" t="str">
        <f>_xlfn.CONCAT(Tableau119[[#This Row],[Name ILN]],"-",Tableau119[[#This Row],[Name Shipper]],"-",Tableau119[[#This Row],[Name Site]])</f>
        <v>ILN Chennai-ILN Chennai-DACIA MECA</v>
      </c>
      <c r="C840" s="66" t="str">
        <f>_xlfn.CONCAT(Tableau119[[#This Row],[Compte ILN]],"-",Tableau119[[#This Row],[Compte Shipper]],"-",Tableau119[[#This Row],[POL]],"-",Tableau119[[#This Row],[Compte Consignee]])</f>
        <v>2533780546-2533780546-INENR-90012500</v>
      </c>
      <c r="D840" s="66" t="str">
        <f>_xlfn.CONCAT(Tableau119[[#This Row],[Compte ILN]],"-",Tableau119[[#This Row],[Compte Shipper]],"-",Tableau119[[#This Row],[POL]])</f>
        <v>2533780546-2533780546-INENR</v>
      </c>
      <c r="E840" s="130" t="str">
        <f>_xlfn.CONCAT(Tableau119[[#This Row],[POL]],"-",Tableau119[[#This Row],[Carrier]],"-",Tableau119[[#This Row],[POD]])</f>
        <v>INENR-MSC-ROCND</v>
      </c>
      <c r="F840" s="66" t="str">
        <f>_xlfn.CONCAT(Tableau119[[#This Row],[ID]],"-","Actif")</f>
        <v>915-Actif</v>
      </c>
      <c r="G840" s="66" t="str">
        <f>_xlfn.CONCAT(Tableau119[[#This Row],[POD]],"-",Tableau119[[#This Row],[Code PFI]],"-",Tableau119[[#This Row],[Compte Consignee]])</f>
        <v>ROCND---90012500</v>
      </c>
      <c r="H8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ChennaiINENRDACIA MECA</v>
      </c>
      <c r="I840" s="434" t="str">
        <f>_xlfn.CONCAT(Tableau119[[#This Row],[ID]],"-",Tableau119[[#This Row],[Expiration Date]])</f>
        <v>915-45950</v>
      </c>
      <c r="J8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Chennai-915-INENR-MSC-ROCND--45950</v>
      </c>
      <c r="K840" s="119" t="str">
        <f ca="1">IF(COUNTIF(J:J,Tableau119[[#This Row],[Plant-ILN-shipper-POL-Carrier-POD-PFI]])=1,"Non","Oui")</f>
        <v>Non</v>
      </c>
      <c r="L840" s="128" t="str">
        <f>VLOOKUP(Tableau119[[#This Row],[Name Site]],Plant_AILN!A:D,4,FALSE)</f>
        <v>ROMANIA</v>
      </c>
      <c r="M840" s="411" t="s">
        <v>162</v>
      </c>
      <c r="N840" s="454">
        <f>VLOOKUP(Tableau119[[#This Row],[Name Site]],Plant_AILN!A:C,3,FALSE)</f>
        <v>90012500</v>
      </c>
      <c r="O840" s="55">
        <f>VLOOKUP(Tableau119[[#This Row],[Compte Consignee]],Order!C:D,2,FALSE)</f>
        <v>7</v>
      </c>
      <c r="P840" s="124" t="s">
        <v>149</v>
      </c>
      <c r="Q840" s="365">
        <f>VLOOKUP(Tableau119[[#This Row],[Name ILN]],Plant_AILN!F:G,2,FALSE)</f>
        <v>2533780546</v>
      </c>
      <c r="R840" s="50">
        <f>VLOOKUP(Tableau119[[#This Row],[Compte ILN]],'DATA ILN'!D:I,6,FALSE)</f>
        <v>9</v>
      </c>
      <c r="S840" s="50">
        <f>IFERROR(VLOOKUP(Tableau119[[#This Row],[Key(Compte ILN - shipper - POL - plant)]],'DATA ILN'!A:J,10,FALSE),VLOOKUP(Tableau119[[#This Row],[Key(Compte ILN - shipper - POL)]],'DATA ILN'!B:J,9,FALSE))</f>
        <v>14</v>
      </c>
      <c r="T840" s="50">
        <f>IFERROR(VLOOKUP(Tableau119[[#This Row],[Key(Compte ILN - shipper - POL - plant)]],'DATA ILN'!A:K,11,FALSE),VLOOKUP(Tableau119[[#This Row],[Key(Compte ILN - shipper - POL)]],'DATA ILN'!B:K,10,FALSE))</f>
        <v>5</v>
      </c>
      <c r="U840" s="50">
        <f>IFERROR(VLOOKUP(Tableau119[[#This Row],[Key(Compte ILN - shipper - POL - plant)]],'DATA ILN'!A:L,12,FALSE),VLOOKUP(Tableau119[[#This Row],[Key(Compte ILN - shipper - POL)]],'DATA ILN'!B:L,11,FALSE))</f>
        <v>7</v>
      </c>
      <c r="V840" s="50">
        <f>Tableau119[[#This Row],[Day ILN Order]]+Tableau119[[#This Row],[Delivery time to ILN/Shipper]]-1</f>
        <v>22</v>
      </c>
      <c r="W840" s="50">
        <f>IFERROR(VLOOKUP(Tableau119[[#This Row],[Key(Compte ILN - shipper - POL - plant)]],'DATA ILN'!A:N,14,FALSE),VLOOKUP(Tableau119[[#This Row],[Key(Compte ILN - shipper - POL)]],'DATA ILN'!B:N,13,FALSE))</f>
        <v>2</v>
      </c>
      <c r="X840" s="50">
        <f>IFERROR(VLOOKUP(Tableau119[[#This Row],[Key(Compte ILN - shipper - POL - plant)]],'DATA ILN'!A:P,16,FALSE),VLOOKUP(Tableau119[[#This Row],[Key(Compte ILN - shipper - POL)]],'DATA ILN'!B:P,15,FALSE))</f>
        <v>5</v>
      </c>
      <c r="Y840" s="284" t="s">
        <v>149</v>
      </c>
      <c r="Z840" s="430">
        <f>IFERROR(VLOOKUP(Tableau119[[#This Row],[Name Shipper]],Plant_AILN!L:M,2,FALSE),0)</f>
        <v>2533780546</v>
      </c>
      <c r="AA840" s="406">
        <v>915</v>
      </c>
      <c r="AB840" s="396" t="str">
        <f>_xlfn.XLOOKUP(Tableau119[[#This Row],[Key(ID-date)]],'DATA BTO'!S:S,'DATA BTO'!E:E,FALSE)</f>
        <v>INENR</v>
      </c>
      <c r="AC840" s="3" t="str">
        <f>_xlfn.XLOOKUP(Tableau119[[#This Row],[Key(ID-date)]],'DATA BTO'!S:S,'DATA BTO'!F:F,FALSE)</f>
        <v>MSC</v>
      </c>
      <c r="AD840" s="50">
        <f>_xlfn.XLOOKUP(Tableau119[[#This Row],[Key(ID-date)]],'DATA BTO'!S:S,'DATA BTO'!G:G,FALSE)</f>
        <v>2</v>
      </c>
      <c r="AE840" s="50">
        <f>_xlfn.XLOOKUP(Tableau119[[#This Row],[Key(ID-date)]],'DATA BTO'!S:S,'DATA BTO'!H:H,FALSE)</f>
        <v>4</v>
      </c>
      <c r="AF840" s="447">
        <f>IF(Tableau119[[#This Row],[First Day to POL]]&lt;=Tableau119[[#This Row],[Day Cut Off]],Tableau119[[#This Row],[Day ETD]],Tableau119[[#This Row],[Day ETD]]+7)</f>
        <v>11</v>
      </c>
      <c r="AG840" s="50">
        <f>_xlfn.XLOOKUP(Tableau119[[#This Row],[Key(ID-date)]],'DATA BTO'!S:S,'DATA BTO'!I:I,FALSE)</f>
        <v>49</v>
      </c>
      <c r="AH840" s="3" t="str">
        <f>_xlfn.XLOOKUP(Tableau119[[#This Row],[Key(ID-date)]],'DATA BTO'!S:S,'DATA BTO'!J:J,FALSE)</f>
        <v>ROCND</v>
      </c>
      <c r="AI840" s="3">
        <f>_xlfn.XLOOKUP(Tableau119[[#This Row],[Key(ID-date)]],'DATA BTO'!S:S,'DATA BTO'!K:K,FALSE)</f>
        <v>3</v>
      </c>
      <c r="AJ840" s="50">
        <f>_xlfn.XLOOKUP(Tableau119[[#This Row],[Key(ID-date)]],'DATA BTO'!S:S,'DATA BTO'!L:L,FALSE)</f>
        <v>7</v>
      </c>
      <c r="AK840" s="53" t="str">
        <f>_xlfn.XLOOKUP(Tableau119[[#This Row],[Key(ID-date)]],'DATA BTO'!S:S,'DATA BTO'!N:N,FALSE)</f>
        <v>Marc-Aurele</v>
      </c>
      <c r="AL840" s="54">
        <f>VLOOKUP(Tableau119[[#This Row],[Key(POD -PFI- Usine)]],'DATA Consignee'!A:F,6,FALSE)</f>
        <v>2</v>
      </c>
      <c r="AM840" s="284"/>
      <c r="AN840" s="376" t="str">
        <f>IF(Tableau119[[#This Row],[Name PFI/CDD]]="","-",VLOOKUP(Tableau119[[#This Row],[Name PFI/CDD]],Plant_AILN!I:J,2,FALSE))</f>
        <v>-</v>
      </c>
      <c r="AO8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0" s="2">
        <f>VLOOKUP(Tableau119[[#This Row],[Key(POD -PFI- Usine)]],'DATA Consignee'!A:J,10,FALSE)</f>
        <v>0</v>
      </c>
      <c r="AR840" s="50">
        <f>VLOOKUP(Tableau119[[#This Row],[Key(POD -PFI- Usine)]],'DATA Consignee'!A:N,14,FALSE)</f>
        <v>7</v>
      </c>
      <c r="AS84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4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40" s="50">
        <f>Tableau119[[#This Row],[Transit time]]+Tableau119[[#This Row],[Time for security]]+Tableau119[[#This Row],[Time for security2 buffer]]</f>
        <v>59</v>
      </c>
      <c r="AV84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840" s="50">
        <f>Tableau119[[#This Row],[Leadtime SI2C]]+Tableau119[[#This Row],[First Receipt Days]]-Tableau119[[#This Row],[Day Customer Order]]+1</f>
        <v>106</v>
      </c>
      <c r="AX840" s="119">
        <f>IF(Tableau119[[#This Row],[Name ILN]]&lt;&gt;"SFK Freight Forwarder",Tableau119[[#This Row],[Cust. Leadtime]],Tableau119[[#This Row],[Leadtime SI2C]])</f>
        <v>106</v>
      </c>
      <c r="AY840" s="51" t="str">
        <f>_xlfn.XLOOKUP(Tableau119[[#This Row],[Key(ID-date)]],'DATA BTO'!S:S,'DATA BTO'!P:P,FALSE)</f>
        <v>Renault &gt; Horse BPH</v>
      </c>
      <c r="AZ840" s="338">
        <v>45950</v>
      </c>
      <c r="BA840" s="50"/>
    </row>
    <row r="841" spans="2:53">
      <c r="B841" s="446" t="str">
        <f>_xlfn.CONCAT(Tableau119[[#This Row],[Name ILN]],"-",Tableau119[[#This Row],[Name Shipper]],"-",Tableau119[[#This Row],[Name Site]])</f>
        <v>ILN Chennai-ILN Chennai-DACIA MECA</v>
      </c>
      <c r="C841" s="66" t="str">
        <f>_xlfn.CONCAT(Tableau119[[#This Row],[Compte ILN]],"-",Tableau119[[#This Row],[Compte Shipper]],"-",Tableau119[[#This Row],[POL]],"-",Tableau119[[#This Row],[Compte Consignee]])</f>
        <v>2533780546-2533780546-INMAA-90012500</v>
      </c>
      <c r="D841" s="66" t="str">
        <f>_xlfn.CONCAT(Tableau119[[#This Row],[Compte ILN]],"-",Tableau119[[#This Row],[Compte Shipper]],"-",Tableau119[[#This Row],[POL]])</f>
        <v>2533780546-2533780546-INMAA</v>
      </c>
      <c r="E841" s="130" t="str">
        <f>_xlfn.CONCAT(Tableau119[[#This Row],[POL]],"-",Tableau119[[#This Row],[Carrier]],"-",Tableau119[[#This Row],[POD]])</f>
        <v>INMAA-CMA-ROCND</v>
      </c>
      <c r="F841" s="66" t="str">
        <f>_xlfn.CONCAT(Tableau119[[#This Row],[ID]],"-","Actif")</f>
        <v>915-Actif</v>
      </c>
      <c r="G841" s="66" t="str">
        <f>_xlfn.CONCAT(Tableau119[[#This Row],[POD]],"-",Tableau119[[#This Row],[Code PFI]],"-",Tableau119[[#This Row],[Compte Consignee]])</f>
        <v>ROCND---90012500</v>
      </c>
      <c r="H8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ChennaiINMAADACIA MECA</v>
      </c>
      <c r="I841" s="434" t="str">
        <f>_xlfn.CONCAT(Tableau119[[#This Row],[ID]],"-",Tableau119[[#This Row],[Expiration Date]])</f>
        <v>915-45777</v>
      </c>
      <c r="J8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Chennai-915-INMAA-CMA-ROCND--45777</v>
      </c>
      <c r="K841" s="119" t="str">
        <f ca="1">IF(COUNTIF(J:J,Tableau119[[#This Row],[Plant-ILN-shipper-POL-Carrier-POD-PFI]])=1,"Non","Oui")</f>
        <v>Non</v>
      </c>
      <c r="L841" s="128" t="str">
        <f>VLOOKUP(Tableau119[[#This Row],[Name Site]],Plant_AILN!A:D,4,FALSE)</f>
        <v>ROMANIA</v>
      </c>
      <c r="M841" s="411" t="s">
        <v>162</v>
      </c>
      <c r="N841" s="454">
        <f>VLOOKUP(Tableau119[[#This Row],[Name Site]],Plant_AILN!A:C,3,FALSE)</f>
        <v>90012500</v>
      </c>
      <c r="O841" s="55">
        <f>VLOOKUP(Tableau119[[#This Row],[Compte Consignee]],Order!C:D,2,FALSE)</f>
        <v>7</v>
      </c>
      <c r="P841" s="124" t="s">
        <v>149</v>
      </c>
      <c r="Q841" s="365">
        <f>VLOOKUP(Tableau119[[#This Row],[Name ILN]],Plant_AILN!F:G,2,FALSE)</f>
        <v>2533780546</v>
      </c>
      <c r="R841" s="50">
        <f>VLOOKUP(Tableau119[[#This Row],[Compte ILN]],'DATA ILN'!D:I,6,FALSE)</f>
        <v>9</v>
      </c>
      <c r="S841" s="50">
        <f>IFERROR(VLOOKUP(Tableau119[[#This Row],[Key(Compte ILN - shipper - POL - plant)]],'DATA ILN'!A:J,10,FALSE),VLOOKUP(Tableau119[[#This Row],[Key(Compte ILN - shipper - POL)]],'DATA ILN'!B:J,9,FALSE))</f>
        <v>14</v>
      </c>
      <c r="T841" s="50">
        <f>IFERROR(VLOOKUP(Tableau119[[#This Row],[Key(Compte ILN - shipper - POL - plant)]],'DATA ILN'!A:K,11,FALSE),VLOOKUP(Tableau119[[#This Row],[Key(Compte ILN - shipper - POL)]],'DATA ILN'!B:K,10,FALSE))</f>
        <v>5</v>
      </c>
      <c r="U841" s="50">
        <f>IFERROR(VLOOKUP(Tableau119[[#This Row],[Key(Compte ILN - shipper - POL - plant)]],'DATA ILN'!A:L,12,FALSE),VLOOKUP(Tableau119[[#This Row],[Key(Compte ILN - shipper - POL)]],'DATA ILN'!B:L,11,FALSE))</f>
        <v>7</v>
      </c>
      <c r="V841" s="50">
        <f>Tableau119[[#This Row],[Day ILN Order]]+Tableau119[[#This Row],[Delivery time to ILN/Shipper]]-1</f>
        <v>22</v>
      </c>
      <c r="W841" s="50">
        <f>IFERROR(VLOOKUP(Tableau119[[#This Row],[Key(Compte ILN - shipper - POL - plant)]],'DATA ILN'!A:N,14,FALSE),VLOOKUP(Tableau119[[#This Row],[Key(Compte ILN - shipper - POL)]],'DATA ILN'!B:N,13,FALSE))</f>
        <v>2</v>
      </c>
      <c r="X841" s="50">
        <f>IFERROR(VLOOKUP(Tableau119[[#This Row],[Key(Compte ILN - shipper - POL - plant)]],'DATA ILN'!A:P,16,FALSE),VLOOKUP(Tableau119[[#This Row],[Key(Compte ILN - shipper - POL)]],'DATA ILN'!B:P,15,FALSE))</f>
        <v>3</v>
      </c>
      <c r="Y841" s="284" t="s">
        <v>149</v>
      </c>
      <c r="Z841" s="430">
        <f>IFERROR(VLOOKUP(Tableau119[[#This Row],[Name Shipper]],Plant_AILN!L:M,2,FALSE),0)</f>
        <v>2533780546</v>
      </c>
      <c r="AA841" s="406">
        <v>915</v>
      </c>
      <c r="AB841" s="396" t="str">
        <f>_xlfn.XLOOKUP(Tableau119[[#This Row],[Key(ID-date)]],'DATA BTO'!S:S,'DATA BTO'!E:E,FALSE)</f>
        <v>INMAA</v>
      </c>
      <c r="AC841" s="3" t="str">
        <f>_xlfn.XLOOKUP(Tableau119[[#This Row],[Key(ID-date)]],'DATA BTO'!S:S,'DATA BTO'!F:F,FALSE)</f>
        <v>CMA</v>
      </c>
      <c r="AD841" s="50">
        <f>_xlfn.XLOOKUP(Tableau119[[#This Row],[Key(ID-date)]],'DATA BTO'!S:S,'DATA BTO'!G:G,FALSE)</f>
        <v>7</v>
      </c>
      <c r="AE841" s="50">
        <f>_xlfn.XLOOKUP(Tableau119[[#This Row],[Key(ID-date)]],'DATA BTO'!S:S,'DATA BTO'!H:H,FALSE)</f>
        <v>9</v>
      </c>
      <c r="AF841" s="447">
        <f>IF(Tableau119[[#This Row],[First Day to POL]]&lt;=Tableau119[[#This Row],[Day Cut Off]],Tableau119[[#This Row],[Day ETD]],Tableau119[[#This Row],[Day ETD]]+7)</f>
        <v>9</v>
      </c>
      <c r="AG841" s="50">
        <f>_xlfn.XLOOKUP(Tableau119[[#This Row],[Key(ID-date)]],'DATA BTO'!S:S,'DATA BTO'!I:I,FALSE)</f>
        <v>54</v>
      </c>
      <c r="AH841" s="3" t="str">
        <f>_xlfn.XLOOKUP(Tableau119[[#This Row],[Key(ID-date)]],'DATA BTO'!S:S,'DATA BTO'!J:J,FALSE)</f>
        <v>ROCND</v>
      </c>
      <c r="AI841" s="3">
        <f>_xlfn.XLOOKUP(Tableau119[[#This Row],[Key(ID-date)]],'DATA BTO'!S:S,'DATA BTO'!K:K,FALSE)</f>
        <v>3</v>
      </c>
      <c r="AJ841" s="50">
        <f>_xlfn.XLOOKUP(Tableau119[[#This Row],[Key(ID-date)]],'DATA BTO'!S:S,'DATA BTO'!L:L,FALSE)</f>
        <v>7</v>
      </c>
      <c r="AK841" s="53" t="str">
        <f>_xlfn.XLOOKUP(Tableau119[[#This Row],[Key(ID-date)]],'DATA BTO'!S:S,'DATA BTO'!N:N,FALSE)</f>
        <v>Anthony</v>
      </c>
      <c r="AL841" s="54">
        <f>VLOOKUP(Tableau119[[#This Row],[Key(POD -PFI- Usine)]],'DATA Consignee'!A:F,6,FALSE)</f>
        <v>2</v>
      </c>
      <c r="AM841" s="284"/>
      <c r="AN841" s="376" t="str">
        <f>IF(Tableau119[[#This Row],[Name PFI/CDD]]="","-",VLOOKUP(Tableau119[[#This Row],[Name PFI/CDD]],Plant_AILN!I:J,2,FALSE))</f>
        <v>-</v>
      </c>
      <c r="AO84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1" s="2">
        <f>VLOOKUP(Tableau119[[#This Row],[Key(POD -PFI- Usine)]],'DATA Consignee'!A:J,10,FALSE)</f>
        <v>0</v>
      </c>
      <c r="AR841" s="50">
        <f>VLOOKUP(Tableau119[[#This Row],[Key(POD -PFI- Usine)]],'DATA Consignee'!A:N,14,FALSE)</f>
        <v>7</v>
      </c>
      <c r="AS84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4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41" s="50">
        <f>Tableau119[[#This Row],[Transit time]]+Tableau119[[#This Row],[Time for security]]+Tableau119[[#This Row],[Time for security2 buffer]]</f>
        <v>64</v>
      </c>
      <c r="AV84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841" s="50">
        <f>Tableau119[[#This Row],[Leadtime SI2C]]+Tableau119[[#This Row],[First Receipt Days]]-Tableau119[[#This Row],[Day Customer Order]]+1</f>
        <v>106</v>
      </c>
      <c r="AX841" s="119">
        <f>IF(Tableau119[[#This Row],[Name ILN]]&lt;&gt;"SFK Freight Forwarder",Tableau119[[#This Row],[Cust. Leadtime]],Tableau119[[#This Row],[Leadtime SI2C]])</f>
        <v>106</v>
      </c>
      <c r="AY841" s="51" t="str">
        <f>_xlfn.XLOOKUP(Tableau119[[#This Row],[Key(ID-date)]],'DATA BTO'!S:S,'DATA BTO'!P:P,FALSE)</f>
        <v>Renault &gt; Horse BPH</v>
      </c>
      <c r="AZ841" s="338">
        <v>45777</v>
      </c>
      <c r="BA841" s="50"/>
    </row>
    <row r="842" spans="2:53">
      <c r="B842" s="446" t="str">
        <f>_xlfn.CONCAT(Tableau119[[#This Row],[Name ILN]],"-",Tableau119[[#This Row],[Name Shipper]],"-",Tableau119[[#This Row],[Name Site]])</f>
        <v>ILN Chennai-ILN Chennai-DACIA MECA</v>
      </c>
      <c r="C842" s="66" t="str">
        <f>_xlfn.CONCAT(Tableau119[[#This Row],[Compte ILN]],"-",Tableau119[[#This Row],[Compte Shipper]],"-",Tableau119[[#This Row],[POL]],"-",Tableau119[[#This Row],[Compte Consignee]])</f>
        <v>2533780546-2533780546-INKAT-90012500</v>
      </c>
      <c r="D842" s="66" t="str">
        <f>_xlfn.CONCAT(Tableau119[[#This Row],[Compte ILN]],"-",Tableau119[[#This Row],[Compte Shipper]],"-",Tableau119[[#This Row],[POL]])</f>
        <v>2533780546-2533780546-INKAT</v>
      </c>
      <c r="E842" s="130" t="str">
        <f>_xlfn.CONCAT(Tableau119[[#This Row],[POL]],"-",Tableau119[[#This Row],[Carrier]],"-",Tableau119[[#This Row],[POD]])</f>
        <v>INKAT-Hapag Lloyd-ROCND</v>
      </c>
      <c r="F842" s="66" t="str">
        <f>_xlfn.CONCAT(Tableau119[[#This Row],[ID]],"-","Actif")</f>
        <v>915-Actif</v>
      </c>
      <c r="G842" s="66" t="str">
        <f>_xlfn.CONCAT(Tableau119[[#This Row],[POD]],"-",Tableau119[[#This Row],[Code PFI]],"-",Tableau119[[#This Row],[Compte Consignee]])</f>
        <v>ROCND---90012500</v>
      </c>
      <c r="H8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ChennaiINKATDACIA MECA</v>
      </c>
      <c r="I842" s="434" t="str">
        <f>_xlfn.CONCAT(Tableau119[[#This Row],[ID]],"-",Tableau119[[#This Row],[Expiration Date]])</f>
        <v>915-45582</v>
      </c>
      <c r="J8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Chennai-915-INKAT-Hapag Lloyd-ROCND--45582</v>
      </c>
      <c r="K842" s="119" t="str">
        <f ca="1">IF(COUNTIF(J:J,Tableau119[[#This Row],[Plant-ILN-shipper-POL-Carrier-POD-PFI]])=1,"Non","Oui")</f>
        <v>Non</v>
      </c>
      <c r="L842" s="128" t="str">
        <f>VLOOKUP(Tableau119[[#This Row],[Name Site]],Plant_AILN!A:D,4,FALSE)</f>
        <v>ROMANIA</v>
      </c>
      <c r="M842" s="415" t="s">
        <v>162</v>
      </c>
      <c r="N842" s="455">
        <f>VLOOKUP(Tableau119[[#This Row],[Name Site]],Plant_AILN!A:C,3,FALSE)</f>
        <v>90012500</v>
      </c>
      <c r="O842" s="104">
        <f>VLOOKUP(Tableau119[[#This Row],[Compte Consignee]],Order!C:D,2,FALSE)</f>
        <v>7</v>
      </c>
      <c r="P842" s="126" t="s">
        <v>149</v>
      </c>
      <c r="Q842" s="366">
        <f>VLOOKUP(Tableau119[[#This Row],[Name ILN]],Plant_AILN!F:G,2,FALSE)</f>
        <v>2533780546</v>
      </c>
      <c r="R842" s="81">
        <f>VLOOKUP(Tableau119[[#This Row],[Compte ILN]],'DATA ILN'!D:I,6,FALSE)</f>
        <v>9</v>
      </c>
      <c r="S842" s="81">
        <f>IFERROR(VLOOKUP(Tableau119[[#This Row],[Key(Compte ILN - shipper - POL - plant)]],'DATA ILN'!A:J,10,FALSE),VLOOKUP(Tableau119[[#This Row],[Key(Compte ILN - shipper - POL)]],'DATA ILN'!B:J,9,FALSE))</f>
        <v>14</v>
      </c>
      <c r="T842" s="81">
        <f>IFERROR(VLOOKUP(Tableau119[[#This Row],[Key(Compte ILN - shipper - POL - plant)]],'DATA ILN'!A:K,11,FALSE),VLOOKUP(Tableau119[[#This Row],[Key(Compte ILN - shipper - POL)]],'DATA ILN'!B:K,10,FALSE))</f>
        <v>5</v>
      </c>
      <c r="U842" s="81">
        <f>IFERROR(VLOOKUP(Tableau119[[#This Row],[Key(Compte ILN - shipper - POL - plant)]],'DATA ILN'!A:L,12,FALSE),VLOOKUP(Tableau119[[#This Row],[Key(Compte ILN - shipper - POL)]],'DATA ILN'!B:L,11,FALSE))</f>
        <v>7</v>
      </c>
      <c r="V842" s="81">
        <f>Tableau119[[#This Row],[Day ILN Order]]+Tableau119[[#This Row],[Delivery time to ILN/Shipper]]-1</f>
        <v>22</v>
      </c>
      <c r="W842" s="81">
        <f>IFERROR(VLOOKUP(Tableau119[[#This Row],[Key(Compte ILN - shipper - POL - plant)]],'DATA ILN'!A:N,14,FALSE),VLOOKUP(Tableau119[[#This Row],[Key(Compte ILN - shipper - POL)]],'DATA ILN'!B:N,13,FALSE))</f>
        <v>2</v>
      </c>
      <c r="X842" s="81">
        <f>IFERROR(VLOOKUP(Tableau119[[#This Row],[Key(Compte ILN - shipper - POL - plant)]],'DATA ILN'!A:P,16,FALSE),VLOOKUP(Tableau119[[#This Row],[Key(Compte ILN - shipper - POL)]],'DATA ILN'!B:P,15,FALSE))</f>
        <v>4</v>
      </c>
      <c r="Y842" s="102" t="s">
        <v>149</v>
      </c>
      <c r="Z842" s="417">
        <f>IFERROR(VLOOKUP(Tableau119[[#This Row],[Name Shipper]],Plant_AILN!L:M,2,FALSE),0)</f>
        <v>2533780546</v>
      </c>
      <c r="AA842" s="416">
        <v>915</v>
      </c>
      <c r="AB842" s="396" t="str">
        <f>_xlfn.XLOOKUP(Tableau119[[#This Row],[Key(ID-date)]],'DATA BTO'!S:S,'DATA BTO'!E:E,FALSE)</f>
        <v>INKAT</v>
      </c>
      <c r="AC842" s="3" t="str">
        <f>_xlfn.XLOOKUP(Tableau119[[#This Row],[Key(ID-date)]],'DATA BTO'!S:S,'DATA BTO'!F:F,FALSE)</f>
        <v>Hapag Lloyd</v>
      </c>
      <c r="AD842" s="50">
        <f>_xlfn.XLOOKUP(Tableau119[[#This Row],[Key(ID-date)]],'DATA BTO'!S:S,'DATA BTO'!G:G,FALSE)</f>
        <v>7</v>
      </c>
      <c r="AE842" s="50">
        <f>_xlfn.XLOOKUP(Tableau119[[#This Row],[Key(ID-date)]],'DATA BTO'!S:S,'DATA BTO'!H:H,FALSE)</f>
        <v>9</v>
      </c>
      <c r="AF842" s="447">
        <f>IF(Tableau119[[#This Row],[First Day to POL]]&lt;=Tableau119[[#This Row],[Day Cut Off]],Tableau119[[#This Row],[Day ETD]],Tableau119[[#This Row],[Day ETD]]+7)</f>
        <v>9</v>
      </c>
      <c r="AG842" s="50">
        <f>_xlfn.XLOOKUP(Tableau119[[#This Row],[Key(ID-date)]],'DATA BTO'!S:S,'DATA BTO'!I:I,FALSE)</f>
        <v>54</v>
      </c>
      <c r="AH842" s="3" t="str">
        <f>_xlfn.XLOOKUP(Tableau119[[#This Row],[Key(ID-date)]],'DATA BTO'!S:S,'DATA BTO'!J:J,FALSE)</f>
        <v>ROCND</v>
      </c>
      <c r="AI842" s="3">
        <f>_xlfn.XLOOKUP(Tableau119[[#This Row],[Key(ID-date)]],'DATA BTO'!S:S,'DATA BTO'!K:K,FALSE)</f>
        <v>3</v>
      </c>
      <c r="AJ842" s="50">
        <f>_xlfn.XLOOKUP(Tableau119[[#This Row],[Key(ID-date)]],'DATA BTO'!S:S,'DATA BTO'!L:L,FALSE)</f>
        <v>0</v>
      </c>
      <c r="AK842" s="53" t="str">
        <f>_xlfn.XLOOKUP(Tableau119[[#This Row],[Key(ID-date)]],'DATA BTO'!S:S,'DATA BTO'!N:N,FALSE)</f>
        <v>Anthony</v>
      </c>
      <c r="AL842" s="54">
        <f>VLOOKUP(Tableau119[[#This Row],[Key(POD -PFI- Usine)]],'DATA Consignee'!A:F,6,FALSE)</f>
        <v>2</v>
      </c>
      <c r="AM842" s="102"/>
      <c r="AN842" s="375" t="str">
        <f>IF(Tableau119[[#This Row],[Name PFI/CDD]]="","-",VLOOKUP(Tableau119[[#This Row],[Name PFI/CDD]],Plant_AILN!I:J,2,FALSE))</f>
        <v>-</v>
      </c>
      <c r="AO84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2" s="110">
        <f>VLOOKUP(Tableau119[[#This Row],[Key(POD -PFI- Usine)]],'DATA Consignee'!A:J,10,FALSE)</f>
        <v>0</v>
      </c>
      <c r="AR842" s="81">
        <f>VLOOKUP(Tableau119[[#This Row],[Key(POD -PFI- Usine)]],'DATA Consignee'!A:N,14,FALSE)</f>
        <v>7</v>
      </c>
      <c r="AS842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42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42" s="81">
        <f>Tableau119[[#This Row],[Transit time]]+Tableau119[[#This Row],[Time for security]]+Tableau119[[#This Row],[Time for security2 buffer]]</f>
        <v>57</v>
      </c>
      <c r="AV84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42" s="50">
        <f>Tableau119[[#This Row],[Leadtime SI2C]]+Tableau119[[#This Row],[First Receipt Days]]-Tableau119[[#This Row],[Day Customer Order]]+1</f>
        <v>99</v>
      </c>
      <c r="AX842" s="119">
        <f>IF(Tableau119[[#This Row],[Name ILN]]&lt;&gt;"SFK Freight Forwarder",Tableau119[[#This Row],[Cust. Leadtime]],Tableau119[[#This Row],[Leadtime SI2C]])</f>
        <v>99</v>
      </c>
      <c r="AY842" s="51" t="str">
        <f>_xlfn.XLOOKUP(Tableau119[[#This Row],[Key(ID-date)]],'DATA BTO'!S:S,'DATA BTO'!P:P,FALSE)</f>
        <v>Renault &gt; Horse BPH</v>
      </c>
      <c r="AZ842" s="388">
        <v>45582</v>
      </c>
      <c r="BA842" s="81"/>
    </row>
    <row r="843" spans="2:53">
      <c r="B843" s="446" t="str">
        <f>_xlfn.CONCAT(Tableau119[[#This Row],[Name ILN]],"-",Tableau119[[#This Row],[Name Shipper]],"-",Tableau119[[#This Row],[Name Site]])</f>
        <v>ILN Chennai-ILN Chennai-DACIA MECA</v>
      </c>
      <c r="C843" s="66" t="str">
        <f>_xlfn.CONCAT(Tableau119[[#This Row],[Compte ILN]],"-",Tableau119[[#This Row],[Compte Shipper]],"-",Tableau119[[#This Row],[POL]],"-",Tableau119[[#This Row],[Compte Consignee]])</f>
        <v>2533780546-2533780546-INKAT-90012500</v>
      </c>
      <c r="D843" s="66" t="str">
        <f>_xlfn.CONCAT(Tableau119[[#This Row],[Compte ILN]],"-",Tableau119[[#This Row],[Compte Shipper]],"-",Tableau119[[#This Row],[POL]])</f>
        <v>2533780546-2533780546-INKAT</v>
      </c>
      <c r="E843" s="130" t="str">
        <f>_xlfn.CONCAT(Tableau119[[#This Row],[POL]],"-",Tableau119[[#This Row],[Carrier]],"-",Tableau119[[#This Row],[POD]])</f>
        <v>INKAT-Hapag Lloyd-ROCND</v>
      </c>
      <c r="F843" s="66" t="str">
        <f>_xlfn.CONCAT(Tableau119[[#This Row],[ID]],"-","Actif")</f>
        <v>915-Actif</v>
      </c>
      <c r="G843" s="66" t="str">
        <f>_xlfn.CONCAT(Tableau119[[#This Row],[POD]],"-",Tableau119[[#This Row],[Code PFI]],"-",Tableau119[[#This Row],[Compte Consignee]])</f>
        <v>ROCND---90012500</v>
      </c>
      <c r="H8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ChennaiINKATDACIA MECA</v>
      </c>
      <c r="I843" s="434" t="str">
        <f>_xlfn.CONCAT(Tableau119[[#This Row],[ID]],"-",Tableau119[[#This Row],[Expiration Date]])</f>
        <v>915-45473</v>
      </c>
      <c r="J8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Chennai-915-INKAT-Hapag Lloyd-ROCND--45473</v>
      </c>
      <c r="K843" s="119" t="str">
        <f ca="1">IF(COUNTIF(J:J,Tableau119[[#This Row],[Plant-ILN-shipper-POL-Carrier-POD-PFI]])=1,"Non","Oui")</f>
        <v>Non</v>
      </c>
      <c r="L843" s="128" t="str">
        <f>VLOOKUP(Tableau119[[#This Row],[Name Site]],Plant_AILN!A:D,4,FALSE)</f>
        <v>ROMANIA</v>
      </c>
      <c r="M843" s="415" t="s">
        <v>162</v>
      </c>
      <c r="N843" s="455">
        <f>VLOOKUP(Tableau119[[#This Row],[Name Site]],Plant_AILN!A:C,3,FALSE)</f>
        <v>90012500</v>
      </c>
      <c r="O843" s="104">
        <f>VLOOKUP(Tableau119[[#This Row],[Compte Consignee]],Order!C:D,2,FALSE)</f>
        <v>7</v>
      </c>
      <c r="P843" s="126" t="s">
        <v>149</v>
      </c>
      <c r="Q843" s="366">
        <f>VLOOKUP(Tableau119[[#This Row],[Name ILN]],Plant_AILN!F:G,2,FALSE)</f>
        <v>2533780546</v>
      </c>
      <c r="R843" s="81">
        <f>VLOOKUP(Tableau119[[#This Row],[Compte ILN]],'DATA ILN'!D:I,6,FALSE)</f>
        <v>9</v>
      </c>
      <c r="S843" s="81">
        <f>IFERROR(VLOOKUP(Tableau119[[#This Row],[Key(Compte ILN - shipper - POL - plant)]],'DATA ILN'!A:J,10,FALSE),VLOOKUP(Tableau119[[#This Row],[Key(Compte ILN - shipper - POL)]],'DATA ILN'!B:J,9,FALSE))</f>
        <v>14</v>
      </c>
      <c r="T843" s="81">
        <f>IFERROR(VLOOKUP(Tableau119[[#This Row],[Key(Compte ILN - shipper - POL - plant)]],'DATA ILN'!A:K,11,FALSE),VLOOKUP(Tableau119[[#This Row],[Key(Compte ILN - shipper - POL)]],'DATA ILN'!B:K,10,FALSE))</f>
        <v>5</v>
      </c>
      <c r="U843" s="81">
        <f>IFERROR(VLOOKUP(Tableau119[[#This Row],[Key(Compte ILN - shipper - POL - plant)]],'DATA ILN'!A:L,12,FALSE),VLOOKUP(Tableau119[[#This Row],[Key(Compte ILN - shipper - POL)]],'DATA ILN'!B:L,11,FALSE))</f>
        <v>7</v>
      </c>
      <c r="V843" s="81">
        <f>Tableau119[[#This Row],[Day ILN Order]]+Tableau119[[#This Row],[Delivery time to ILN/Shipper]]-1</f>
        <v>22</v>
      </c>
      <c r="W843" s="81">
        <f>IFERROR(VLOOKUP(Tableau119[[#This Row],[Key(Compte ILN - shipper - POL - plant)]],'DATA ILN'!A:N,14,FALSE),VLOOKUP(Tableau119[[#This Row],[Key(Compte ILN - shipper - POL)]],'DATA ILN'!B:N,13,FALSE))</f>
        <v>2</v>
      </c>
      <c r="X843" s="81">
        <f>IFERROR(VLOOKUP(Tableau119[[#This Row],[Key(Compte ILN - shipper - POL - plant)]],'DATA ILN'!A:P,16,FALSE),VLOOKUP(Tableau119[[#This Row],[Key(Compte ILN - shipper - POL)]],'DATA ILN'!B:P,15,FALSE))</f>
        <v>4</v>
      </c>
      <c r="Y843" s="102" t="s">
        <v>149</v>
      </c>
      <c r="Z843" s="417">
        <f>IFERROR(VLOOKUP(Tableau119[[#This Row],[Name Shipper]],Plant_AILN!L:M,2,FALSE),0)</f>
        <v>2533780546</v>
      </c>
      <c r="AA843" s="416">
        <v>915</v>
      </c>
      <c r="AB843" s="396" t="str">
        <f>_xlfn.XLOOKUP(Tableau119[[#This Row],[Key(ID-date)]],'DATA BTO'!S:S,'DATA BTO'!E:E,FALSE)</f>
        <v>INKAT</v>
      </c>
      <c r="AC843" s="3" t="str">
        <f>_xlfn.XLOOKUP(Tableau119[[#This Row],[Key(ID-date)]],'DATA BTO'!S:S,'DATA BTO'!F:F,FALSE)</f>
        <v>Hapag Lloyd</v>
      </c>
      <c r="AD843" s="50">
        <f>_xlfn.XLOOKUP(Tableau119[[#This Row],[Key(ID-date)]],'DATA BTO'!S:S,'DATA BTO'!G:G,FALSE)</f>
        <v>7</v>
      </c>
      <c r="AE843" s="50">
        <f>_xlfn.XLOOKUP(Tableau119[[#This Row],[Key(ID-date)]],'DATA BTO'!S:S,'DATA BTO'!H:H,FALSE)</f>
        <v>9</v>
      </c>
      <c r="AF843" s="447">
        <f>IF(Tableau119[[#This Row],[First Day to POL]]&lt;=Tableau119[[#This Row],[Day Cut Off]],Tableau119[[#This Row],[Day ETD]],Tableau119[[#This Row],[Day ETD]]+7)</f>
        <v>9</v>
      </c>
      <c r="AG843" s="50">
        <f>_xlfn.XLOOKUP(Tableau119[[#This Row],[Key(ID-date)]],'DATA BTO'!S:S,'DATA BTO'!I:I,FALSE)</f>
        <v>32</v>
      </c>
      <c r="AH843" s="3" t="str">
        <f>_xlfn.XLOOKUP(Tableau119[[#This Row],[Key(ID-date)]],'DATA BTO'!S:S,'DATA BTO'!J:J,FALSE)</f>
        <v>ROCND</v>
      </c>
      <c r="AI843" s="3">
        <f>_xlfn.XLOOKUP(Tableau119[[#This Row],[Key(ID-date)]],'DATA BTO'!S:S,'DATA BTO'!K:K,FALSE)</f>
        <v>3</v>
      </c>
      <c r="AJ843" s="50">
        <f>_xlfn.XLOOKUP(Tableau119[[#This Row],[Key(ID-date)]],'DATA BTO'!S:S,'DATA BTO'!L:L,FALSE)</f>
        <v>0</v>
      </c>
      <c r="AK843" s="53" t="str">
        <f>_xlfn.XLOOKUP(Tableau119[[#This Row],[Key(ID-date)]],'DATA BTO'!S:S,'DATA BTO'!N:N,FALSE)</f>
        <v>Anthony</v>
      </c>
      <c r="AL843" s="54">
        <f>VLOOKUP(Tableau119[[#This Row],[Key(POD -PFI- Usine)]],'DATA Consignee'!A:F,6,FALSE)</f>
        <v>2</v>
      </c>
      <c r="AM843" s="102"/>
      <c r="AN843" s="375" t="str">
        <f>IF(Tableau119[[#This Row],[Name PFI/CDD]]="","-",VLOOKUP(Tableau119[[#This Row],[Name PFI/CDD]],Plant_AILN!I:J,2,FALSE))</f>
        <v>-</v>
      </c>
      <c r="AO84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3" s="110">
        <f>VLOOKUP(Tableau119[[#This Row],[Key(POD -PFI- Usine)]],'DATA Consignee'!A:J,10,FALSE)</f>
        <v>0</v>
      </c>
      <c r="AR843" s="81">
        <f>VLOOKUP(Tableau119[[#This Row],[Key(POD -PFI- Usine)]],'DATA Consignee'!A:N,14,FALSE)</f>
        <v>7</v>
      </c>
      <c r="AS84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4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43" s="81">
        <f>Tableau119[[#This Row],[Transit time]]+Tableau119[[#This Row],[Time for security]]+Tableau119[[#This Row],[Time for security2 buffer]]</f>
        <v>35</v>
      </c>
      <c r="AV84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43" s="50">
        <f>Tableau119[[#This Row],[Leadtime SI2C]]+Tableau119[[#This Row],[First Receipt Days]]-Tableau119[[#This Row],[Day Customer Order]]+1</f>
        <v>78</v>
      </c>
      <c r="AX843" s="119">
        <f>IF(Tableau119[[#This Row],[Name ILN]]&lt;&gt;"SFK Freight Forwarder",Tableau119[[#This Row],[Cust. Leadtime]],Tableau119[[#This Row],[Leadtime SI2C]])</f>
        <v>78</v>
      </c>
      <c r="AY843" s="51" t="str">
        <f>_xlfn.XLOOKUP(Tableau119[[#This Row],[Key(ID-date)]],'DATA BTO'!S:S,'DATA BTO'!P:P,FALSE)</f>
        <v>Renault &gt; Horse BPH</v>
      </c>
      <c r="AZ843" s="388">
        <v>45473</v>
      </c>
      <c r="BA843" s="81"/>
    </row>
    <row r="844" spans="2:53">
      <c r="B844" s="446" t="str">
        <f>_xlfn.CONCAT(Tableau119[[#This Row],[Name ILN]],"-",Tableau119[[#This Row],[Name Shipper]],"-",Tableau119[[#This Row],[Name Site]])</f>
        <v>ILN Chennai-ILN Chennai-DACIA MECA</v>
      </c>
      <c r="C844" s="66" t="str">
        <f>_xlfn.CONCAT(Tableau119[[#This Row],[Compte ILN]],"-",Tableau119[[#This Row],[Compte Shipper]],"-",Tableau119[[#This Row],[POL]],"-",Tableau119[[#This Row],[Compte Consignee]])</f>
        <v>2533780546-2533780546-INENR-90012500</v>
      </c>
      <c r="D844" s="66" t="str">
        <f>_xlfn.CONCAT(Tableau119[[#This Row],[Compte ILN]],"-",Tableau119[[#This Row],[Compte Shipper]],"-",Tableau119[[#This Row],[POL]])</f>
        <v>2533780546-2533780546-INENR</v>
      </c>
      <c r="E844" s="130" t="str">
        <f>_xlfn.CONCAT(Tableau119[[#This Row],[POL]],"-",Tableau119[[#This Row],[Carrier]],"-",Tableau119[[#This Row],[POD]])</f>
        <v>INENR-Maersk-ROCND</v>
      </c>
      <c r="F844" s="66" t="str">
        <f>_xlfn.CONCAT(Tableau119[[#This Row],[ID]],"-","Actif")</f>
        <v>915-Actif</v>
      </c>
      <c r="G844" s="66" t="str">
        <f>_xlfn.CONCAT(Tableau119[[#This Row],[POD]],"-",Tableau119[[#This Row],[Code PFI]],"-",Tableau119[[#This Row],[Compte Consignee]])</f>
        <v>ROCND---90012500</v>
      </c>
      <c r="H8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ChennaiINENRDACIA MECA</v>
      </c>
      <c r="I844" s="434" t="str">
        <f>_xlfn.CONCAT(Tableau119[[#This Row],[ID]],"-",Tableau119[[#This Row],[Expiration Date]])</f>
        <v>915-45412</v>
      </c>
      <c r="J8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Chennai-ILN Chennai-915-INENR-Maersk-ROCND--45412</v>
      </c>
      <c r="K844" s="119" t="str">
        <f ca="1">IF(COUNTIF(J:J,Tableau119[[#This Row],[Plant-ILN-shipper-POL-Carrier-POD-PFI]])=1,"Non","Oui")</f>
        <v>Non</v>
      </c>
      <c r="L844" s="128" t="str">
        <f>VLOOKUP(Tableau119[[#This Row],[Name Site]],Plant_AILN!A:D,4,FALSE)</f>
        <v>ROMANIA</v>
      </c>
      <c r="M844" s="411" t="s">
        <v>162</v>
      </c>
      <c r="N844" s="454">
        <f>VLOOKUP(Tableau119[[#This Row],[Name Site]],Plant_AILN!A:C,3,FALSE)</f>
        <v>90012500</v>
      </c>
      <c r="O844" s="55">
        <f>VLOOKUP(Tableau119[[#This Row],[Compte Consignee]],Order!C:D,2,FALSE)</f>
        <v>7</v>
      </c>
      <c r="P844" s="124" t="s">
        <v>149</v>
      </c>
      <c r="Q844" s="365">
        <f>VLOOKUP(Tableau119[[#This Row],[Name ILN]],Plant_AILN!F:G,2,FALSE)</f>
        <v>2533780546</v>
      </c>
      <c r="R844" s="50">
        <f>VLOOKUP(Tableau119[[#This Row],[Compte ILN]],'DATA ILN'!D:I,6,FALSE)</f>
        <v>9</v>
      </c>
      <c r="S844" s="50">
        <f>IFERROR(VLOOKUP(Tableau119[[#This Row],[Key(Compte ILN - shipper - POL - plant)]],'DATA ILN'!A:J,10,FALSE),VLOOKUP(Tableau119[[#This Row],[Key(Compte ILN - shipper - POL)]],'DATA ILN'!B:J,9,FALSE))</f>
        <v>14</v>
      </c>
      <c r="T844" s="50">
        <f>IFERROR(VLOOKUP(Tableau119[[#This Row],[Key(Compte ILN - shipper - POL - plant)]],'DATA ILN'!A:K,11,FALSE),VLOOKUP(Tableau119[[#This Row],[Key(Compte ILN - shipper - POL)]],'DATA ILN'!B:K,10,FALSE))</f>
        <v>5</v>
      </c>
      <c r="U844" s="50">
        <f>IFERROR(VLOOKUP(Tableau119[[#This Row],[Key(Compte ILN - shipper - POL - plant)]],'DATA ILN'!A:L,12,FALSE),VLOOKUP(Tableau119[[#This Row],[Key(Compte ILN - shipper - POL)]],'DATA ILN'!B:L,11,FALSE))</f>
        <v>7</v>
      </c>
      <c r="V844" s="50">
        <f>Tableau119[[#This Row],[Day ILN Order]]+Tableau119[[#This Row],[Delivery time to ILN/Shipper]]-1</f>
        <v>22</v>
      </c>
      <c r="W844" s="50">
        <f>IFERROR(VLOOKUP(Tableau119[[#This Row],[Key(Compte ILN - shipper - POL - plant)]],'DATA ILN'!A:N,14,FALSE),VLOOKUP(Tableau119[[#This Row],[Key(Compte ILN - shipper - POL)]],'DATA ILN'!B:N,13,FALSE))</f>
        <v>2</v>
      </c>
      <c r="X844" s="50">
        <f>IFERROR(VLOOKUP(Tableau119[[#This Row],[Key(Compte ILN - shipper - POL - plant)]],'DATA ILN'!A:P,16,FALSE),VLOOKUP(Tableau119[[#This Row],[Key(Compte ILN - shipper - POL)]],'DATA ILN'!B:P,15,FALSE))</f>
        <v>5</v>
      </c>
      <c r="Y844" s="284" t="s">
        <v>149</v>
      </c>
      <c r="Z844" s="430">
        <f>IFERROR(VLOOKUP(Tableau119[[#This Row],[Name Shipper]],Plant_AILN!L:M,2,FALSE),0)</f>
        <v>2533780546</v>
      </c>
      <c r="AA844" s="406">
        <v>915</v>
      </c>
      <c r="AB844" s="396" t="str">
        <f>_xlfn.XLOOKUP(Tableau119[[#This Row],[Key(ID-date)]],'DATA BTO'!S:S,'DATA BTO'!E:E,FALSE)</f>
        <v>INENR</v>
      </c>
      <c r="AC844" s="3" t="str">
        <f>_xlfn.XLOOKUP(Tableau119[[#This Row],[Key(ID-date)]],'DATA BTO'!S:S,'DATA BTO'!F:F,FALSE)</f>
        <v>Maersk</v>
      </c>
      <c r="AD844" s="50">
        <f>_xlfn.XLOOKUP(Tableau119[[#This Row],[Key(ID-date)]],'DATA BTO'!S:S,'DATA BTO'!G:G,FALSE)</f>
        <v>1</v>
      </c>
      <c r="AE844" s="50">
        <f>_xlfn.XLOOKUP(Tableau119[[#This Row],[Key(ID-date)]],'DATA BTO'!S:S,'DATA BTO'!H:H,FALSE)</f>
        <v>3</v>
      </c>
      <c r="AF844" s="447">
        <f>IF(Tableau119[[#This Row],[First Day to POL]]&lt;=Tableau119[[#This Row],[Day Cut Off]],Tableau119[[#This Row],[Day ETD]],Tableau119[[#This Row],[Day ETD]]+7)</f>
        <v>10</v>
      </c>
      <c r="AG844" s="50">
        <f>_xlfn.XLOOKUP(Tableau119[[#This Row],[Key(ID-date)]],'DATA BTO'!S:S,'DATA BTO'!I:I,FALSE)</f>
        <v>31</v>
      </c>
      <c r="AH844" s="3" t="str">
        <f>_xlfn.XLOOKUP(Tableau119[[#This Row],[Key(ID-date)]],'DATA BTO'!S:S,'DATA BTO'!J:J,FALSE)</f>
        <v>ROCND</v>
      </c>
      <c r="AI844" s="3">
        <f>_xlfn.XLOOKUP(Tableau119[[#This Row],[Key(ID-date)]],'DATA BTO'!S:S,'DATA BTO'!K:K,FALSE)</f>
        <v>3</v>
      </c>
      <c r="AJ844" s="50">
        <f>_xlfn.XLOOKUP(Tableau119[[#This Row],[Key(ID-date)]],'DATA BTO'!S:S,'DATA BTO'!L:L,FALSE)</f>
        <v>0</v>
      </c>
      <c r="AK844" s="53" t="str">
        <f>_xlfn.XLOOKUP(Tableau119[[#This Row],[Key(ID-date)]],'DATA BTO'!S:S,'DATA BTO'!N:N,FALSE)</f>
        <v>Anthony</v>
      </c>
      <c r="AL844" s="54">
        <f>VLOOKUP(Tableau119[[#This Row],[Key(POD -PFI- Usine)]],'DATA Consignee'!A:F,6,FALSE)</f>
        <v>2</v>
      </c>
      <c r="AM844" s="127"/>
      <c r="AN844" s="376" t="str">
        <f>IF(Tableau119[[#This Row],[Name PFI/CDD]]="","-",VLOOKUP(Tableau119[[#This Row],[Name PFI/CDD]],Plant_AILN!I:J,2,FALSE))</f>
        <v>-</v>
      </c>
      <c r="AO84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4" s="2">
        <f>VLOOKUP(Tableau119[[#This Row],[Key(POD -PFI- Usine)]],'DATA Consignee'!A:J,10,FALSE)</f>
        <v>0</v>
      </c>
      <c r="AR844" s="50">
        <f>VLOOKUP(Tableau119[[#This Row],[Key(POD -PFI- Usine)]],'DATA Consignee'!A:N,14,FALSE)</f>
        <v>7</v>
      </c>
      <c r="AS84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4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44" s="50">
        <f>Tableau119[[#This Row],[Transit time]]+Tableau119[[#This Row],[Time for security]]+Tableau119[[#This Row],[Time for security2 buffer]]</f>
        <v>34</v>
      </c>
      <c r="AV84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44" s="50">
        <f>Tableau119[[#This Row],[Leadtime SI2C]]+Tableau119[[#This Row],[First Receipt Days]]-Tableau119[[#This Row],[Day Customer Order]]+1</f>
        <v>78</v>
      </c>
      <c r="AX844" s="119">
        <f>IF(Tableau119[[#This Row],[Name ILN]]&lt;&gt;"SFK Freight Forwarder",Tableau119[[#This Row],[Cust. Leadtime]],Tableau119[[#This Row],[Leadtime SI2C]])</f>
        <v>78</v>
      </c>
      <c r="AY844" s="51" t="str">
        <f>_xlfn.XLOOKUP(Tableau119[[#This Row],[Key(ID-date)]],'DATA BTO'!S:S,'DATA BTO'!P:P,FALSE)</f>
        <v>Renault &gt; Horse BPH</v>
      </c>
      <c r="AZ844" s="338">
        <v>45412</v>
      </c>
      <c r="BA844" s="50"/>
    </row>
    <row r="845" spans="2:53">
      <c r="B845" s="66" t="str">
        <f>_xlfn.CONCAT(Tableau119[[#This Row],[Name ILN]],"-",Tableau119[[#This Row],[Name Shipper]],"-",Tableau119[[#This Row],[Name Site]])</f>
        <v>ILN Curitiba-ILN Curitiba-MOTORES</v>
      </c>
      <c r="C845" s="66" t="str">
        <f>_xlfn.CONCAT(Tableau119[[#This Row],[Compte ILN]],"-",Tableau119[[#This Row],[Compte Shipper]],"-",Tableau119[[#This Row],[POL]],"-",Tableau119[[#This Row],[Compte Consignee]])</f>
        <v>95207-95207-BRPNG-91017700</v>
      </c>
      <c r="D845" s="66" t="str">
        <f>_xlfn.CONCAT(Tableau119[[#This Row],[Compte ILN]],"-",Tableau119[[#This Row],[Compte Shipper]],"-",Tableau119[[#This Row],[POL]])</f>
        <v>95207-95207-BRPNG</v>
      </c>
      <c r="E845" s="130" t="str">
        <f>_xlfn.CONCAT(Tableau119[[#This Row],[POL]],"-",Tableau119[[#This Row],[Carrier]],"-",Tableau119[[#This Row],[POD]])</f>
        <v>BRPNG-Hapag Lloyd-ESVLC</v>
      </c>
      <c r="F845" s="66" t="str">
        <f>_xlfn.CONCAT(Tableau119[[#This Row],[ID]],"-","Actif")</f>
        <v>916-Actif</v>
      </c>
      <c r="G845" s="66" t="str">
        <f>_xlfn.CONCAT(Tableau119[[#This Row],[POD]],"-",Tableau119[[#This Row],[Code PFI]],"-",Tableau119[[#This Row],[Compte Consignee]])</f>
        <v>ESVLC-91018400-91017700</v>
      </c>
      <c r="H8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CuritibaBRPNGMOTORES</v>
      </c>
      <c r="I845" s="434" t="str">
        <f>_xlfn.CONCAT(Tableau119[[#This Row],[ID]],"-",Tableau119[[#This Row],[Expiration Date]])</f>
        <v>916-46142</v>
      </c>
      <c r="J8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Curitiba-ILN Curitiba-916-BRPNG-Hapag Lloyd-ESVLC-CDD VLL-46142</v>
      </c>
      <c r="K845" s="119" t="str">
        <f ca="1">IF(COUNTIF(J:J,Tableau119[[#This Row],[Plant-ILN-shipper-POL-Carrier-POD-PFI]])=1,"Non","Oui")</f>
        <v>Non</v>
      </c>
      <c r="L845" s="436" t="str">
        <f>VLOOKUP(Tableau119[[#This Row],[Name Site]],Plant_AILN!A:D,4,FALSE)</f>
        <v>SPAIN</v>
      </c>
      <c r="M845" s="411" t="s">
        <v>63</v>
      </c>
      <c r="N845" s="454">
        <f>VLOOKUP(Tableau119[[#This Row],[Name Site]],Plant_AILN!A:C,3,FALSE)</f>
        <v>91017700</v>
      </c>
      <c r="O845" s="55">
        <f>IF(Tableau119[[#This Row],[Name PFI/CDD]]="PFI VLL",2,VLOOKUP(Tableau119[[#This Row],[Compte Consignee]],Order!C:D,2,FALSE))</f>
        <v>7</v>
      </c>
      <c r="P845" s="124" t="s">
        <v>163</v>
      </c>
      <c r="Q845" s="365">
        <f>VLOOKUP(Tableau119[[#This Row],[Name ILN]],Plant_AILN!F:G,2,FALSE)</f>
        <v>95207</v>
      </c>
      <c r="R845" s="50">
        <f>VLOOKUP(Tableau119[[#This Row],[Compte ILN]],'DATA ILN'!D:I,6,FALSE)</f>
        <v>9</v>
      </c>
      <c r="S845" s="50">
        <f>IFERROR(VLOOKUP(Tableau119[[#This Row],[Key(Compte ILN - shipper - POL - plant)]],'DATA ILN'!A:J,10,FALSE),VLOOKUP(Tableau119[[#This Row],[Key(Compte ILN - shipper - POL)]],'DATA ILN'!B:J,9,FALSE))</f>
        <v>7</v>
      </c>
      <c r="T845" s="50">
        <f>IFERROR(VLOOKUP(Tableau119[[#This Row],[Key(Compte ILN - shipper - POL - plant)]],'DATA ILN'!A:K,11,FALSE),VLOOKUP(Tableau119[[#This Row],[Key(Compte ILN - shipper - POL)]],'DATA ILN'!B:K,10,FALSE))</f>
        <v>5</v>
      </c>
      <c r="U845" s="50">
        <f>IFERROR(VLOOKUP(Tableau119[[#This Row],[Key(Compte ILN - shipper - POL - plant)]],'DATA ILN'!A:L,12,FALSE),VLOOKUP(Tableau119[[#This Row],[Key(Compte ILN - shipper - POL)]],'DATA ILN'!B:L,11,FALSE))</f>
        <v>7</v>
      </c>
      <c r="V845" s="50">
        <f>Tableau119[[#This Row],[Day ILN Order]]+Tableau119[[#This Row],[Delivery time to ILN/Shipper]]-1</f>
        <v>15</v>
      </c>
      <c r="W845" s="50">
        <f>IFERROR(VLOOKUP(Tableau119[[#This Row],[Key(Compte ILN - shipper - POL - plant)]],'DATA ILN'!A:N,14,FALSE),VLOOKUP(Tableau119[[#This Row],[Key(Compte ILN - shipper - POL)]],'DATA ILN'!B:N,13,FALSE))</f>
        <v>4</v>
      </c>
      <c r="X845" s="50">
        <f>IFERROR(VLOOKUP(Tableau119[[#This Row],[Key(Compte ILN - shipper - POL - plant)]],'DATA ILN'!A:P,16,FALSE),VLOOKUP(Tableau119[[#This Row],[Key(Compte ILN - shipper - POL)]],'DATA ILN'!B:P,15,FALSE))</f>
        <v>5</v>
      </c>
      <c r="Y845" s="284" t="s">
        <v>163</v>
      </c>
      <c r="Z845" s="430">
        <f>IFERROR(VLOOKUP(Tableau119[[#This Row],[Name Shipper]],Plant_AILN!L:M,2,FALSE),0)</f>
        <v>95207</v>
      </c>
      <c r="AA845" s="406">
        <v>916</v>
      </c>
      <c r="AB845" s="396" t="str">
        <f>_xlfn.XLOOKUP(Tableau119[[#This Row],[Key(ID-date)]],'DATA BTO'!S:S,'DATA BTO'!E:E,FALSE)</f>
        <v>BRPNG</v>
      </c>
      <c r="AC845" s="3" t="str">
        <f>_xlfn.XLOOKUP(Tableau119[[#This Row],[Key(ID-date)]],'DATA BTO'!S:S,'DATA BTO'!F:F,FALSE)</f>
        <v>Hapag Lloyd</v>
      </c>
      <c r="AD845" s="50">
        <f>_xlfn.XLOOKUP(Tableau119[[#This Row],[Key(ID-date)]],'DATA BTO'!S:S,'DATA BTO'!G:G,FALSE)</f>
        <v>3</v>
      </c>
      <c r="AE845" s="50">
        <f>_xlfn.XLOOKUP(Tableau119[[#This Row],[Key(ID-date)]],'DATA BTO'!S:S,'DATA BTO'!H:H,FALSE)</f>
        <v>5</v>
      </c>
      <c r="AF845" s="447">
        <f>IF(Tableau119[[#This Row],[First Day to POL]]&lt;=Tableau119[[#This Row],[Day Cut Off]],Tableau119[[#This Row],[Day ETD]],Tableau119[[#This Row],[Day ETD]]+7)</f>
        <v>12</v>
      </c>
      <c r="AG845" s="50">
        <f>_xlfn.XLOOKUP(Tableau119[[#This Row],[Key(ID-date)]],'DATA BTO'!S:S,'DATA BTO'!I:I,FALSE)</f>
        <v>31</v>
      </c>
      <c r="AH845" s="3" t="str">
        <f>_xlfn.XLOOKUP(Tableau119[[#This Row],[Key(ID-date)]],'DATA BTO'!S:S,'DATA BTO'!J:J,FALSE)</f>
        <v>ESVLC</v>
      </c>
      <c r="AI845" s="3">
        <f>_xlfn.XLOOKUP(Tableau119[[#This Row],[Key(ID-date)]],'DATA BTO'!S:S,'DATA BTO'!K:K,FALSE)</f>
        <v>3</v>
      </c>
      <c r="AJ845" s="50">
        <f>_xlfn.XLOOKUP(Tableau119[[#This Row],[Key(ID-date)]],'DATA BTO'!S:S,'DATA BTO'!L:L,FALSE)</f>
        <v>7</v>
      </c>
      <c r="AK845" s="53" t="str">
        <f>_xlfn.XLOOKUP(Tableau119[[#This Row],[Key(ID-date)]],'DATA BTO'!S:S,'DATA BTO'!N:N,FALSE)</f>
        <v>Jocelyn</v>
      </c>
      <c r="AL845" s="54">
        <f>VLOOKUP(Tableau119[[#This Row],[Key(POD -PFI- Usine)]],'DATA Consignee'!A:F,6,FALSE)</f>
        <v>2</v>
      </c>
      <c r="AM845" s="127" t="s">
        <v>169</v>
      </c>
      <c r="AN845" s="376">
        <f>IF(Tableau119[[#This Row],[Name PFI/CDD]]="","-",VLOOKUP(Tableau119[[#This Row],[Name PFI/CDD]],Plant_AILN!I:J,2,FALSE))</f>
        <v>91018400</v>
      </c>
      <c r="AO845" s="6">
        <f>IF(COUNTIF(buffer_train[AILN],Tableau119[[#This Row],[Name PFI/CDD]])&gt;0,Tableau119[[#This Row],[First Receipt Days]]+Tableau119[[#This Row],[Cust.]]+Tableau119[[#This Row],[Parts Vanning]]+Tableau119[[#This Row],[Transit Time2]],"-")</f>
        <v>75</v>
      </c>
      <c r="AP845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3</v>
      </c>
      <c r="AQ845" s="2">
        <f>VLOOKUP(Tableau119[[#This Row],[Key(POD -PFI- Usine)]],'DATA Consignee'!A:J,10,FALSE)</f>
        <v>3</v>
      </c>
      <c r="AR845" s="50">
        <f>VLOOKUP(Tableau119[[#This Row],[Key(POD -PFI- Usine)]],'DATA Consignee'!A:N,14,FALSE)</f>
        <v>3</v>
      </c>
      <c r="AS84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4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845" s="50">
        <f>Tableau119[[#This Row],[Transit time]]+Tableau119[[#This Row],[Time for security]]+Tableau119[[#This Row],[Time for security2 buffer]]</f>
        <v>41</v>
      </c>
      <c r="AV84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45" s="50">
        <f>Tableau119[[#This Row],[Leadtime SI2C]]+Tableau119[[#This Row],[First Receipt Days]]-Tableau119[[#This Row],[Day Customer Order]]+1</f>
        <v>78</v>
      </c>
      <c r="AX845" s="119">
        <f>IF(Tableau119[[#This Row],[Name ILN]]&lt;&gt;"SFK Freight Forwarder",Tableau119[[#This Row],[Cust. Leadtime]],Tableau119[[#This Row],[Leadtime SI2C]])</f>
        <v>78</v>
      </c>
      <c r="AY845" s="51" t="str">
        <f>_xlfn.XLOOKUP(Tableau119[[#This Row],[Key(ID-date)]],'DATA BTO'!S:S,'DATA BTO'!P:P,FALSE)</f>
        <v>Renault &gt; Horse BPH</v>
      </c>
      <c r="AZ845" s="338">
        <v>46142</v>
      </c>
      <c r="BA845" s="50"/>
    </row>
    <row r="846" spans="2:53">
      <c r="B846" s="446" t="str">
        <f>_xlfn.CONCAT(Tableau119[[#This Row],[Name ILN]],"-",Tableau119[[#This Row],[Name Shipper]],"-",Tableau119[[#This Row],[Name Site]])</f>
        <v>ILN Curitiba-ILN Curitiba-MOTORES</v>
      </c>
      <c r="C846" s="66" t="str">
        <f>_xlfn.CONCAT(Tableau119[[#This Row],[Compte ILN]],"-",Tableau119[[#This Row],[Compte Shipper]],"-",Tableau119[[#This Row],[POL]],"-",Tableau119[[#This Row],[Compte Consignee]])</f>
        <v>95207-95207-BRPNG-91017700</v>
      </c>
      <c r="D846" s="66" t="str">
        <f>_xlfn.CONCAT(Tableau119[[#This Row],[Compte ILN]],"-",Tableau119[[#This Row],[Compte Shipper]],"-",Tableau119[[#This Row],[POL]])</f>
        <v>95207-95207-BRPNG</v>
      </c>
      <c r="E846" s="130" t="str">
        <f>_xlfn.CONCAT(Tableau119[[#This Row],[POL]],"-",Tableau119[[#This Row],[Carrier]],"-",Tableau119[[#This Row],[POD]])</f>
        <v>BRPNG-CMA-CGM-ESVLC</v>
      </c>
      <c r="F846" s="66" t="str">
        <f>_xlfn.CONCAT(Tableau119[[#This Row],[ID]],"-","Actif")</f>
        <v>916-Actif</v>
      </c>
      <c r="G846" s="66" t="str">
        <f>_xlfn.CONCAT(Tableau119[[#This Row],[POD]],"-",Tableau119[[#This Row],[Code PFI]],"-",Tableau119[[#This Row],[Compte Consignee]])</f>
        <v>ESVLC---91017700</v>
      </c>
      <c r="H8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CuritibaBRPNGMOTORES</v>
      </c>
      <c r="I846" s="434" t="str">
        <f>_xlfn.CONCAT(Tableau119[[#This Row],[ID]],"-",Tableau119[[#This Row],[Expiration Date]])</f>
        <v>916-45777</v>
      </c>
      <c r="J8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Curitiba-ILN Curitiba-916-BRPNG-CMA-CGM-ESVLC--45777</v>
      </c>
      <c r="K846" s="119" t="str">
        <f ca="1">IF(COUNTIF(J:J,Tableau119[[#This Row],[Plant-ILN-shipper-POL-Carrier-POD-PFI]])=1,"Non","Oui")</f>
        <v>Non</v>
      </c>
      <c r="L846" s="128" t="str">
        <f>VLOOKUP(Tableau119[[#This Row],[Name Site]],Plant_AILN!A:D,4,FALSE)</f>
        <v>SPAIN</v>
      </c>
      <c r="M846" s="415" t="s">
        <v>63</v>
      </c>
      <c r="N846" s="455">
        <f>VLOOKUP(Tableau119[[#This Row],[Name Site]],Plant_AILN!A:C,3,FALSE)</f>
        <v>91017700</v>
      </c>
      <c r="O846" s="104">
        <f>VLOOKUP(Tableau119[[#This Row],[Compte Consignee]],Order!C:D,2,FALSE)</f>
        <v>7</v>
      </c>
      <c r="P846" s="126" t="s">
        <v>163</v>
      </c>
      <c r="Q846" s="366">
        <f>VLOOKUP(Tableau119[[#This Row],[Name ILN]],Plant_AILN!F:G,2,FALSE)</f>
        <v>95207</v>
      </c>
      <c r="R846" s="81">
        <f>VLOOKUP(Tableau119[[#This Row],[Compte ILN]],'DATA ILN'!D:I,6,FALSE)</f>
        <v>9</v>
      </c>
      <c r="S846" s="81">
        <f>IFERROR(VLOOKUP(Tableau119[[#This Row],[Key(Compte ILN - shipper - POL - plant)]],'DATA ILN'!A:J,10,FALSE),VLOOKUP(Tableau119[[#This Row],[Key(Compte ILN - shipper - POL)]],'DATA ILN'!B:J,9,FALSE))</f>
        <v>7</v>
      </c>
      <c r="T846" s="81">
        <f>IFERROR(VLOOKUP(Tableau119[[#This Row],[Key(Compte ILN - shipper - POL - plant)]],'DATA ILN'!A:K,11,FALSE),VLOOKUP(Tableau119[[#This Row],[Key(Compte ILN - shipper - POL)]],'DATA ILN'!B:K,10,FALSE))</f>
        <v>5</v>
      </c>
      <c r="U846" s="81">
        <f>IFERROR(VLOOKUP(Tableau119[[#This Row],[Key(Compte ILN - shipper - POL - plant)]],'DATA ILN'!A:L,12,FALSE),VLOOKUP(Tableau119[[#This Row],[Key(Compte ILN - shipper - POL)]],'DATA ILN'!B:L,11,FALSE))</f>
        <v>7</v>
      </c>
      <c r="V846" s="81">
        <f>Tableau119[[#This Row],[Day ILN Order]]+Tableau119[[#This Row],[Delivery time to ILN/Shipper]]-1</f>
        <v>15</v>
      </c>
      <c r="W846" s="81">
        <f>IFERROR(VLOOKUP(Tableau119[[#This Row],[Key(Compte ILN - shipper - POL - plant)]],'DATA ILN'!A:N,14,FALSE),VLOOKUP(Tableau119[[#This Row],[Key(Compte ILN - shipper - POL)]],'DATA ILN'!B:N,13,FALSE))</f>
        <v>4</v>
      </c>
      <c r="X846" s="81">
        <f>IFERROR(VLOOKUP(Tableau119[[#This Row],[Key(Compte ILN - shipper - POL - plant)]],'DATA ILN'!A:P,16,FALSE),VLOOKUP(Tableau119[[#This Row],[Key(Compte ILN - shipper - POL)]],'DATA ILN'!B:P,15,FALSE))</f>
        <v>5</v>
      </c>
      <c r="Y846" s="102" t="s">
        <v>163</v>
      </c>
      <c r="Z846" s="417">
        <f>IFERROR(VLOOKUP(Tableau119[[#This Row],[Name Shipper]],Plant_AILN!L:M,2,FALSE),0)</f>
        <v>95207</v>
      </c>
      <c r="AA846" s="416">
        <v>916</v>
      </c>
      <c r="AB846" s="396" t="str">
        <f>_xlfn.XLOOKUP(Tableau119[[#This Row],[Key(ID-date)]],'DATA BTO'!S:S,'DATA BTO'!E:E,FALSE)</f>
        <v>BRPNG</v>
      </c>
      <c r="AC846" s="3" t="str">
        <f>_xlfn.XLOOKUP(Tableau119[[#This Row],[Key(ID-date)]],'DATA BTO'!S:S,'DATA BTO'!F:F,FALSE)</f>
        <v>CMA-CGM</v>
      </c>
      <c r="AD846" s="50">
        <f>_xlfn.XLOOKUP(Tableau119[[#This Row],[Key(ID-date)]],'DATA BTO'!S:S,'DATA BTO'!G:G,FALSE)</f>
        <v>2</v>
      </c>
      <c r="AE846" s="50">
        <f>_xlfn.XLOOKUP(Tableau119[[#This Row],[Key(ID-date)]],'DATA BTO'!S:S,'DATA BTO'!H:H,FALSE)</f>
        <v>4</v>
      </c>
      <c r="AF846" s="447">
        <f>IF(Tableau119[[#This Row],[First Day to POL]]&lt;=Tableau119[[#This Row],[Day Cut Off]],Tableau119[[#This Row],[Day ETD]],Tableau119[[#This Row],[Day ETD]]+7)</f>
        <v>11</v>
      </c>
      <c r="AG846" s="50">
        <f>_xlfn.XLOOKUP(Tableau119[[#This Row],[Key(ID-date)]],'DATA BTO'!S:S,'DATA BTO'!I:I,FALSE)</f>
        <v>36</v>
      </c>
      <c r="AH846" s="3" t="str">
        <f>_xlfn.XLOOKUP(Tableau119[[#This Row],[Key(ID-date)]],'DATA BTO'!S:S,'DATA BTO'!J:J,FALSE)</f>
        <v>ESVLC</v>
      </c>
      <c r="AI846" s="3">
        <f>_xlfn.XLOOKUP(Tableau119[[#This Row],[Key(ID-date)]],'DATA BTO'!S:S,'DATA BTO'!K:K,FALSE)</f>
        <v>3</v>
      </c>
      <c r="AJ846" s="50">
        <f>_xlfn.XLOOKUP(Tableau119[[#This Row],[Key(ID-date)]],'DATA BTO'!S:S,'DATA BTO'!L:L,FALSE)</f>
        <v>0</v>
      </c>
      <c r="AK846" s="53" t="str">
        <f>_xlfn.XLOOKUP(Tableau119[[#This Row],[Key(ID-date)]],'DATA BTO'!S:S,'DATA BTO'!N:N,FALSE)</f>
        <v>Jocelyn</v>
      </c>
      <c r="AL846" s="54">
        <f>VLOOKUP(Tableau119[[#This Row],[Key(POD -PFI- Usine)]],'DATA Consignee'!A:F,6,FALSE)</f>
        <v>2</v>
      </c>
      <c r="AM846" s="127"/>
      <c r="AN846" s="375" t="str">
        <f>IF(Tableau119[[#This Row],[Name PFI/CDD]]="","-",VLOOKUP(Tableau119[[#This Row],[Name PFI/CDD]],Plant_AILN!I:J,2,FALSE))</f>
        <v>-</v>
      </c>
      <c r="AO84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6" s="110">
        <f>VLOOKUP(Tableau119[[#This Row],[Key(POD -PFI- Usine)]],'DATA Consignee'!A:J,10,FALSE)</f>
        <v>0</v>
      </c>
      <c r="AR846" s="81">
        <f>VLOOKUP(Tableau119[[#This Row],[Key(POD -PFI- Usine)]],'DATA Consignee'!A:N,14,FALSE)</f>
        <v>3</v>
      </c>
      <c r="AS84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4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46" s="81">
        <f>Tableau119[[#This Row],[Transit time]]+Tableau119[[#This Row],[Time for security]]+Tableau119[[#This Row],[Time for security2 buffer]]</f>
        <v>39</v>
      </c>
      <c r="AV84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46" s="50">
        <f>Tableau119[[#This Row],[Leadtime SI2C]]+Tableau119[[#This Row],[First Receipt Days]]-Tableau119[[#This Row],[Day Customer Order]]+1</f>
        <v>71</v>
      </c>
      <c r="AX846" s="119">
        <f>IF(Tableau119[[#This Row],[Name ILN]]&lt;&gt;"SFK Freight Forwarder",Tableau119[[#This Row],[Cust. Leadtime]],Tableau119[[#This Row],[Leadtime SI2C]])</f>
        <v>71</v>
      </c>
      <c r="AY846" s="51" t="str">
        <f>_xlfn.XLOOKUP(Tableau119[[#This Row],[Key(ID-date)]],'DATA BTO'!S:S,'DATA BTO'!P:P,FALSE)</f>
        <v>Renault &gt; Horse BPH</v>
      </c>
      <c r="AZ846" s="388">
        <v>45777</v>
      </c>
      <c r="BA846" s="81"/>
    </row>
    <row r="847" spans="2:53">
      <c r="B847" s="446" t="str">
        <f>_xlfn.CONCAT(Tableau119[[#This Row],[Name ILN]],"-",Tableau119[[#This Row],[Name Shipper]],"-",Tableau119[[#This Row],[Name Site]])</f>
        <v>ILN Curitiba-ILN Curitiba-MOTORES</v>
      </c>
      <c r="C847" s="66" t="str">
        <f>_xlfn.CONCAT(Tableau119[[#This Row],[Compte ILN]],"-",Tableau119[[#This Row],[Compte Shipper]],"-",Tableau119[[#This Row],[POL]],"-",Tableau119[[#This Row],[Compte Consignee]])</f>
        <v>95207-95207-BRPNG-91017700</v>
      </c>
      <c r="D847" s="66" t="str">
        <f>_xlfn.CONCAT(Tableau119[[#This Row],[Compte ILN]],"-",Tableau119[[#This Row],[Compte Shipper]],"-",Tableau119[[#This Row],[POL]])</f>
        <v>95207-95207-BRPNG</v>
      </c>
      <c r="E847" s="130" t="str">
        <f>_xlfn.CONCAT(Tableau119[[#This Row],[POL]],"-",Tableau119[[#This Row],[Carrier]],"-",Tableau119[[#This Row],[POD]])</f>
        <v>BRPNG-CMA-CGM-ESVLC</v>
      </c>
      <c r="F847" s="66" t="str">
        <f>_xlfn.CONCAT(Tableau119[[#This Row],[ID]],"-","Actif")</f>
        <v>916-Actif</v>
      </c>
      <c r="G847" s="66" t="str">
        <f>_xlfn.CONCAT(Tableau119[[#This Row],[POD]],"-",Tableau119[[#This Row],[Code PFI]],"-",Tableau119[[#This Row],[Compte Consignee]])</f>
        <v>ESVLC---91017700</v>
      </c>
      <c r="H8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CuritibaBRPNGMOTORES</v>
      </c>
      <c r="I847" s="434" t="str">
        <f>_xlfn.CONCAT(Tableau119[[#This Row],[ID]],"-",Tableau119[[#This Row],[Expiration Date]])</f>
        <v>916-45473</v>
      </c>
      <c r="J8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Curitiba-ILN Curitiba-916-BRPNG-CMA-CGM-ESVLC--45473</v>
      </c>
      <c r="K847" s="119" t="str">
        <f ca="1">IF(COUNTIF(J:J,Tableau119[[#This Row],[Plant-ILN-shipper-POL-Carrier-POD-PFI]])=1,"Non","Oui")</f>
        <v>Non</v>
      </c>
      <c r="L847" s="128" t="str">
        <f>VLOOKUP(Tableau119[[#This Row],[Name Site]],Plant_AILN!A:D,4,FALSE)</f>
        <v>SPAIN</v>
      </c>
      <c r="M847" s="411" t="s">
        <v>63</v>
      </c>
      <c r="N847" s="454">
        <f>VLOOKUP(Tableau119[[#This Row],[Name Site]],Plant_AILN!A:C,3,FALSE)</f>
        <v>91017700</v>
      </c>
      <c r="O847" s="55">
        <f>VLOOKUP(Tableau119[[#This Row],[Compte Consignee]],Order!C:D,2,FALSE)</f>
        <v>7</v>
      </c>
      <c r="P847" s="124" t="s">
        <v>163</v>
      </c>
      <c r="Q847" s="365">
        <f>VLOOKUP(Tableau119[[#This Row],[Name ILN]],Plant_AILN!F:G,2,FALSE)</f>
        <v>95207</v>
      </c>
      <c r="R847" s="50">
        <f>VLOOKUP(Tableau119[[#This Row],[Compte ILN]],'DATA ILN'!D:I,6,FALSE)</f>
        <v>9</v>
      </c>
      <c r="S847" s="50">
        <f>IFERROR(VLOOKUP(Tableau119[[#This Row],[Key(Compte ILN - shipper - POL - plant)]],'DATA ILN'!A:J,10,FALSE),VLOOKUP(Tableau119[[#This Row],[Key(Compte ILN - shipper - POL)]],'DATA ILN'!B:J,9,FALSE))</f>
        <v>7</v>
      </c>
      <c r="T847" s="50">
        <f>IFERROR(VLOOKUP(Tableau119[[#This Row],[Key(Compte ILN - shipper - POL - plant)]],'DATA ILN'!A:K,11,FALSE),VLOOKUP(Tableau119[[#This Row],[Key(Compte ILN - shipper - POL)]],'DATA ILN'!B:K,10,FALSE))</f>
        <v>5</v>
      </c>
      <c r="U847" s="50">
        <f>IFERROR(VLOOKUP(Tableau119[[#This Row],[Key(Compte ILN - shipper - POL - plant)]],'DATA ILN'!A:L,12,FALSE),VLOOKUP(Tableau119[[#This Row],[Key(Compte ILN - shipper - POL)]],'DATA ILN'!B:L,11,FALSE))</f>
        <v>7</v>
      </c>
      <c r="V847" s="50">
        <f>Tableau119[[#This Row],[Day ILN Order]]+Tableau119[[#This Row],[Delivery time to ILN/Shipper]]-1</f>
        <v>15</v>
      </c>
      <c r="W847" s="50">
        <f>IFERROR(VLOOKUP(Tableau119[[#This Row],[Key(Compte ILN - shipper - POL - plant)]],'DATA ILN'!A:N,14,FALSE),VLOOKUP(Tableau119[[#This Row],[Key(Compte ILN - shipper - POL)]],'DATA ILN'!B:N,13,FALSE))</f>
        <v>4</v>
      </c>
      <c r="X847" s="50">
        <f>IFERROR(VLOOKUP(Tableau119[[#This Row],[Key(Compte ILN - shipper - POL - plant)]],'DATA ILN'!A:P,16,FALSE),VLOOKUP(Tableau119[[#This Row],[Key(Compte ILN - shipper - POL)]],'DATA ILN'!B:P,15,FALSE))</f>
        <v>5</v>
      </c>
      <c r="Y847" s="284" t="s">
        <v>163</v>
      </c>
      <c r="Z847" s="430">
        <f>IFERROR(VLOOKUP(Tableau119[[#This Row],[Name Shipper]],Plant_AILN!L:M,2,FALSE),0)</f>
        <v>95207</v>
      </c>
      <c r="AA847" s="406">
        <v>916</v>
      </c>
      <c r="AB847" s="396" t="str">
        <f>_xlfn.XLOOKUP(Tableau119[[#This Row],[Key(ID-date)]],'DATA BTO'!S:S,'DATA BTO'!E:E,FALSE)</f>
        <v>BRPNG</v>
      </c>
      <c r="AC847" s="3" t="str">
        <f>_xlfn.XLOOKUP(Tableau119[[#This Row],[Key(ID-date)]],'DATA BTO'!S:S,'DATA BTO'!F:F,FALSE)</f>
        <v>CMA-CGM</v>
      </c>
      <c r="AD847" s="50">
        <f>_xlfn.XLOOKUP(Tableau119[[#This Row],[Key(ID-date)]],'DATA BTO'!S:S,'DATA BTO'!G:G,FALSE)</f>
        <v>2</v>
      </c>
      <c r="AE847" s="50">
        <f>_xlfn.XLOOKUP(Tableau119[[#This Row],[Key(ID-date)]],'DATA BTO'!S:S,'DATA BTO'!H:H,FALSE)</f>
        <v>4</v>
      </c>
      <c r="AF847" s="447">
        <f>IF(Tableau119[[#This Row],[First Day to POL]]&lt;=Tableau119[[#This Row],[Day Cut Off]],Tableau119[[#This Row],[Day ETD]],Tableau119[[#This Row],[Day ETD]]+7)</f>
        <v>11</v>
      </c>
      <c r="AG847" s="50">
        <f>_xlfn.XLOOKUP(Tableau119[[#This Row],[Key(ID-date)]],'DATA BTO'!S:S,'DATA BTO'!I:I,FALSE)</f>
        <v>36</v>
      </c>
      <c r="AH847" s="3" t="str">
        <f>_xlfn.XLOOKUP(Tableau119[[#This Row],[Key(ID-date)]],'DATA BTO'!S:S,'DATA BTO'!J:J,FALSE)</f>
        <v>ESVLC</v>
      </c>
      <c r="AI847" s="3">
        <f>_xlfn.XLOOKUP(Tableau119[[#This Row],[Key(ID-date)]],'DATA BTO'!S:S,'DATA BTO'!K:K,FALSE)</f>
        <v>3</v>
      </c>
      <c r="AJ847" s="50">
        <f>_xlfn.XLOOKUP(Tableau119[[#This Row],[Key(ID-date)]],'DATA BTO'!S:S,'DATA BTO'!L:L,FALSE)</f>
        <v>0</v>
      </c>
      <c r="AK847" s="53" t="str">
        <f>_xlfn.XLOOKUP(Tableau119[[#This Row],[Key(ID-date)]],'DATA BTO'!S:S,'DATA BTO'!N:N,FALSE)</f>
        <v>Jocelyn</v>
      </c>
      <c r="AL847" s="54">
        <f>VLOOKUP(Tableau119[[#This Row],[Key(POD -PFI- Usine)]],'DATA Consignee'!A:F,6,FALSE)</f>
        <v>2</v>
      </c>
      <c r="AM847" s="284"/>
      <c r="AN847" s="376" t="str">
        <f>IF(Tableau119[[#This Row],[Name PFI/CDD]]="","-",VLOOKUP(Tableau119[[#This Row],[Name PFI/CDD]],Plant_AILN!I:J,2,FALSE))</f>
        <v>-</v>
      </c>
      <c r="AO8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7" s="2">
        <f>VLOOKUP(Tableau119[[#This Row],[Key(POD -PFI- Usine)]],'DATA Consignee'!A:J,10,FALSE)</f>
        <v>0</v>
      </c>
      <c r="AR847" s="50">
        <f>VLOOKUP(Tableau119[[#This Row],[Key(POD -PFI- Usine)]],'DATA Consignee'!A:N,14,FALSE)</f>
        <v>3</v>
      </c>
      <c r="AS84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4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47" s="50">
        <f>Tableau119[[#This Row],[Transit time]]+Tableau119[[#This Row],[Time for security]]+Tableau119[[#This Row],[Time for security2 buffer]]</f>
        <v>39</v>
      </c>
      <c r="AV84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47" s="50">
        <f>Tableau119[[#This Row],[Leadtime SI2C]]+Tableau119[[#This Row],[First Receipt Days]]-Tableau119[[#This Row],[Day Customer Order]]+1</f>
        <v>71</v>
      </c>
      <c r="AX847" s="119">
        <f>IF(Tableau119[[#This Row],[Name ILN]]&lt;&gt;"SFK Freight Forwarder",Tableau119[[#This Row],[Cust. Leadtime]],Tableau119[[#This Row],[Leadtime SI2C]])</f>
        <v>71</v>
      </c>
      <c r="AY847" s="51" t="str">
        <f>_xlfn.XLOOKUP(Tableau119[[#This Row],[Key(ID-date)]],'DATA BTO'!S:S,'DATA BTO'!P:P,FALSE)</f>
        <v>Renault &gt; Horse BPH</v>
      </c>
      <c r="AZ847" s="338">
        <v>45473</v>
      </c>
      <c r="BA847" s="50"/>
    </row>
    <row r="848" spans="2:53">
      <c r="B848" s="446" t="str">
        <f>_xlfn.CONCAT(Tableau119[[#This Row],[Name ILN]],"-",Tableau119[[#This Row],[Name Shipper]],"-",Tableau119[[#This Row],[Name Site]])</f>
        <v>ILN Curitiba-ILN Curitiba-MOTORES</v>
      </c>
      <c r="C848" s="66" t="str">
        <f>_xlfn.CONCAT(Tableau119[[#This Row],[Compte ILN]],"-",Tableau119[[#This Row],[Compte Shipper]],"-",Tableau119[[#This Row],[POL]],"-",Tableau119[[#This Row],[Compte Consignee]])</f>
        <v>95207-95207-BRPNG-91017700</v>
      </c>
      <c r="D848" s="66" t="str">
        <f>_xlfn.CONCAT(Tableau119[[#This Row],[Compte ILN]],"-",Tableau119[[#This Row],[Compte Shipper]],"-",Tableau119[[#This Row],[POL]])</f>
        <v>95207-95207-BRPNG</v>
      </c>
      <c r="E848" s="130" t="str">
        <f>_xlfn.CONCAT(Tableau119[[#This Row],[POL]],"-",Tableau119[[#This Row],[Carrier]],"-",Tableau119[[#This Row],[POD]])</f>
        <v>BRPNG-CMA-CGM-ESVLC</v>
      </c>
      <c r="F848" s="66" t="str">
        <f>_xlfn.CONCAT(Tableau119[[#This Row],[ID]],"-","Actif")</f>
        <v>916-Actif</v>
      </c>
      <c r="G848" s="66" t="str">
        <f>_xlfn.CONCAT(Tableau119[[#This Row],[POD]],"-",Tableau119[[#This Row],[Code PFI]],"-",Tableau119[[#This Row],[Compte Consignee]])</f>
        <v>ESVLC---91017700</v>
      </c>
      <c r="H8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CuritibaBRPNGMOTORES</v>
      </c>
      <c r="I848" s="434" t="str">
        <f>_xlfn.CONCAT(Tableau119[[#This Row],[ID]],"-",Tableau119[[#This Row],[Expiration Date]])</f>
        <v>916-45412</v>
      </c>
      <c r="J8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Curitiba-ILN Curitiba-916-BRPNG-CMA-CGM-ESVLC--45412</v>
      </c>
      <c r="K848" s="119" t="str">
        <f ca="1">IF(COUNTIF(J:J,Tableau119[[#This Row],[Plant-ILN-shipper-POL-Carrier-POD-PFI]])=1,"Non","Oui")</f>
        <v>Non</v>
      </c>
      <c r="L848" s="128" t="str">
        <f>VLOOKUP(Tableau119[[#This Row],[Name Site]],Plant_AILN!A:D,4,FALSE)</f>
        <v>SPAIN</v>
      </c>
      <c r="M848" s="411" t="s">
        <v>63</v>
      </c>
      <c r="N848" s="454">
        <f>VLOOKUP(Tableau119[[#This Row],[Name Site]],Plant_AILN!A:C,3,FALSE)</f>
        <v>91017700</v>
      </c>
      <c r="O848" s="55">
        <f>VLOOKUP(Tableau119[[#This Row],[Compte Consignee]],Order!C:D,2,FALSE)</f>
        <v>7</v>
      </c>
      <c r="P848" s="124" t="s">
        <v>163</v>
      </c>
      <c r="Q848" s="365">
        <f>VLOOKUP(Tableau119[[#This Row],[Name ILN]],Plant_AILN!F:G,2,FALSE)</f>
        <v>95207</v>
      </c>
      <c r="R848" s="50">
        <f>VLOOKUP(Tableau119[[#This Row],[Compte ILN]],'DATA ILN'!D:I,6,FALSE)</f>
        <v>9</v>
      </c>
      <c r="S848" s="50">
        <f>IFERROR(VLOOKUP(Tableau119[[#This Row],[Key(Compte ILN - shipper - POL - plant)]],'DATA ILN'!A:J,10,FALSE),VLOOKUP(Tableau119[[#This Row],[Key(Compte ILN - shipper - POL)]],'DATA ILN'!B:J,9,FALSE))</f>
        <v>7</v>
      </c>
      <c r="T848" s="50">
        <f>IFERROR(VLOOKUP(Tableau119[[#This Row],[Key(Compte ILN - shipper - POL - plant)]],'DATA ILN'!A:K,11,FALSE),VLOOKUP(Tableau119[[#This Row],[Key(Compte ILN - shipper - POL)]],'DATA ILN'!B:K,10,FALSE))</f>
        <v>5</v>
      </c>
      <c r="U848" s="50">
        <f>IFERROR(VLOOKUP(Tableau119[[#This Row],[Key(Compte ILN - shipper - POL - plant)]],'DATA ILN'!A:L,12,FALSE),VLOOKUP(Tableau119[[#This Row],[Key(Compte ILN - shipper - POL)]],'DATA ILN'!B:L,11,FALSE))</f>
        <v>7</v>
      </c>
      <c r="V848" s="50">
        <f>Tableau119[[#This Row],[Day ILN Order]]+Tableau119[[#This Row],[Delivery time to ILN/Shipper]]-1</f>
        <v>15</v>
      </c>
      <c r="W848" s="50">
        <f>IFERROR(VLOOKUP(Tableau119[[#This Row],[Key(Compte ILN - shipper - POL - plant)]],'DATA ILN'!A:N,14,FALSE),VLOOKUP(Tableau119[[#This Row],[Key(Compte ILN - shipper - POL)]],'DATA ILN'!B:N,13,FALSE))</f>
        <v>4</v>
      </c>
      <c r="X848" s="50">
        <f>IFERROR(VLOOKUP(Tableau119[[#This Row],[Key(Compte ILN - shipper - POL - plant)]],'DATA ILN'!A:P,16,FALSE),VLOOKUP(Tableau119[[#This Row],[Key(Compte ILN - shipper - POL)]],'DATA ILN'!B:P,15,FALSE))</f>
        <v>5</v>
      </c>
      <c r="Y848" s="284" t="s">
        <v>163</v>
      </c>
      <c r="Z848" s="430">
        <f>IFERROR(VLOOKUP(Tableau119[[#This Row],[Name Shipper]],Plant_AILN!L:M,2,FALSE),0)</f>
        <v>95207</v>
      </c>
      <c r="AA848" s="406">
        <v>916</v>
      </c>
      <c r="AB848" s="396" t="str">
        <f>_xlfn.XLOOKUP(Tableau119[[#This Row],[Key(ID-date)]],'DATA BTO'!S:S,'DATA BTO'!E:E,FALSE)</f>
        <v>BRPNG</v>
      </c>
      <c r="AC848" s="3" t="str">
        <f>_xlfn.XLOOKUP(Tableau119[[#This Row],[Key(ID-date)]],'DATA BTO'!S:S,'DATA BTO'!F:F,FALSE)</f>
        <v>CMA-CGM</v>
      </c>
      <c r="AD848" s="50">
        <f>_xlfn.XLOOKUP(Tableau119[[#This Row],[Key(ID-date)]],'DATA BTO'!S:S,'DATA BTO'!G:G,FALSE)</f>
        <v>2</v>
      </c>
      <c r="AE848" s="50">
        <f>_xlfn.XLOOKUP(Tableau119[[#This Row],[Key(ID-date)]],'DATA BTO'!S:S,'DATA BTO'!H:H,FALSE)</f>
        <v>4</v>
      </c>
      <c r="AF848" s="447">
        <f>IF(Tableau119[[#This Row],[First Day to POL]]&lt;=Tableau119[[#This Row],[Day Cut Off]],Tableau119[[#This Row],[Day ETD]],Tableau119[[#This Row],[Day ETD]]+7)</f>
        <v>11</v>
      </c>
      <c r="AG848" s="50">
        <f>_xlfn.XLOOKUP(Tableau119[[#This Row],[Key(ID-date)]],'DATA BTO'!S:S,'DATA BTO'!I:I,FALSE)</f>
        <v>37</v>
      </c>
      <c r="AH848" s="3" t="str">
        <f>_xlfn.XLOOKUP(Tableau119[[#This Row],[Key(ID-date)]],'DATA BTO'!S:S,'DATA BTO'!J:J,FALSE)</f>
        <v>ESVLC</v>
      </c>
      <c r="AI848" s="3">
        <f>_xlfn.XLOOKUP(Tableau119[[#This Row],[Key(ID-date)]],'DATA BTO'!S:S,'DATA BTO'!K:K,FALSE)</f>
        <v>3</v>
      </c>
      <c r="AJ848" s="50">
        <f>_xlfn.XLOOKUP(Tableau119[[#This Row],[Key(ID-date)]],'DATA BTO'!S:S,'DATA BTO'!L:L,FALSE)</f>
        <v>0</v>
      </c>
      <c r="AK848" s="53" t="str">
        <f>_xlfn.XLOOKUP(Tableau119[[#This Row],[Key(ID-date)]],'DATA BTO'!S:S,'DATA BTO'!N:N,FALSE)</f>
        <v>Max</v>
      </c>
      <c r="AL848" s="54">
        <f>VLOOKUP(Tableau119[[#This Row],[Key(POD -PFI- Usine)]],'DATA Consignee'!A:F,6,FALSE)</f>
        <v>2</v>
      </c>
      <c r="AM848" s="284"/>
      <c r="AN848" s="376" t="str">
        <f>IF(Tableau119[[#This Row],[Name PFI/CDD]]="","-",VLOOKUP(Tableau119[[#This Row],[Name PFI/CDD]],Plant_AILN!I:J,2,FALSE))</f>
        <v>-</v>
      </c>
      <c r="AO84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8" s="2">
        <f>VLOOKUP(Tableau119[[#This Row],[Key(POD -PFI- Usine)]],'DATA Consignee'!A:J,10,FALSE)</f>
        <v>0</v>
      </c>
      <c r="AR848" s="50">
        <f>VLOOKUP(Tableau119[[#This Row],[Key(POD -PFI- Usine)]],'DATA Consignee'!A:N,14,FALSE)</f>
        <v>3</v>
      </c>
      <c r="AS84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4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48" s="50">
        <f>Tableau119[[#This Row],[Transit time]]+Tableau119[[#This Row],[Time for security]]+Tableau119[[#This Row],[Time for security2 buffer]]</f>
        <v>40</v>
      </c>
      <c r="AV84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48" s="50">
        <f>Tableau119[[#This Row],[Leadtime SI2C]]+Tableau119[[#This Row],[First Receipt Days]]-Tableau119[[#This Row],[Day Customer Order]]+1</f>
        <v>71</v>
      </c>
      <c r="AX848" s="119">
        <f>IF(Tableau119[[#This Row],[Name ILN]]&lt;&gt;"SFK Freight Forwarder",Tableau119[[#This Row],[Cust. Leadtime]],Tableau119[[#This Row],[Leadtime SI2C]])</f>
        <v>71</v>
      </c>
      <c r="AY848" s="51" t="str">
        <f>_xlfn.XLOOKUP(Tableau119[[#This Row],[Key(ID-date)]],'DATA BTO'!S:S,'DATA BTO'!P:P,FALSE)</f>
        <v>Renault &gt; Horse BPH</v>
      </c>
      <c r="AZ848" s="338">
        <v>45412</v>
      </c>
      <c r="BA848" s="50"/>
    </row>
    <row r="849" spans="2:53">
      <c r="B849" s="66" t="str">
        <f>_xlfn.CONCAT(Tableau119[[#This Row],[Name ILN]],"-",Tableau119[[#This Row],[Name Shipper]],"-",Tableau119[[#This Row],[Name Site]])</f>
        <v>ILN Chennai-ILN Chennai-OYAK MEKA</v>
      </c>
      <c r="C849" s="66" t="str">
        <f>_xlfn.CONCAT(Tableau119[[#This Row],[Compte ILN]],"-",Tableau119[[#This Row],[Compte Shipper]],"-",Tableau119[[#This Row],[POL]],"-",Tableau119[[#This Row],[Compte Consignee]])</f>
        <v>2533780546-2533780546-INENR-90014400</v>
      </c>
      <c r="D849" s="66" t="str">
        <f>_xlfn.CONCAT(Tableau119[[#This Row],[Compte ILN]],"-",Tableau119[[#This Row],[Compte Shipper]],"-",Tableau119[[#This Row],[POL]])</f>
        <v>2533780546-2533780546-INENR</v>
      </c>
      <c r="E849" s="130" t="str">
        <f>_xlfn.CONCAT(Tableau119[[#This Row],[POL]],"-",Tableau119[[#This Row],[Carrier]],"-",Tableau119[[#This Row],[POD]])</f>
        <v>INENR-Hapag Lloyd-TRGEM</v>
      </c>
      <c r="F849" s="66" t="str">
        <f>_xlfn.CONCAT(Tableau119[[#This Row],[ID]],"-","Actif")</f>
        <v>917-Actif</v>
      </c>
      <c r="G849" s="66" t="str">
        <f>_xlfn.CONCAT(Tableau119[[#This Row],[POD]],"-",Tableau119[[#This Row],[Code PFI]],"-",Tableau119[[#This Row],[Compte Consignee]])</f>
        <v>TRGEM---90014400</v>
      </c>
      <c r="H8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ChennaiINENROYAK MEKA</v>
      </c>
      <c r="I849" s="434" t="str">
        <f>_xlfn.CONCAT(Tableau119[[#This Row],[ID]],"-",Tableau119[[#This Row],[Expiration Date]])</f>
        <v>917-46142</v>
      </c>
      <c r="J8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Chennai-917-INENR-Hapag Lloyd-TRGEM--46142</v>
      </c>
      <c r="K849" s="119" t="str">
        <f ca="1">IF(COUNTIF(J:J,Tableau119[[#This Row],[Plant-ILN-shipper-POL-Carrier-POD-PFI]])=1,"Non","Oui")</f>
        <v>Non</v>
      </c>
      <c r="L849" s="436" t="str">
        <f>VLOOKUP(Tableau119[[#This Row],[Name Site]],Plant_AILN!A:D,4,FALSE)</f>
        <v>TURKEY</v>
      </c>
      <c r="M849" s="485" t="s">
        <v>165</v>
      </c>
      <c r="N849" s="455">
        <f>VLOOKUP(Tableau119[[#This Row],[Name Site]],Plant_AILN!A:C,3,FALSE)</f>
        <v>90014400</v>
      </c>
      <c r="O849" s="104">
        <f>IF(Tableau119[[#This Row],[Name PFI/CDD]]="PFI VLL",2,VLOOKUP(Tableau119[[#This Row],[Compte Consignee]],Order!C:D,2,FALSE))</f>
        <v>2</v>
      </c>
      <c r="P849" s="126" t="s">
        <v>149</v>
      </c>
      <c r="Q849" s="366">
        <f>VLOOKUP(Tableau119[[#This Row],[Name ILN]],Plant_AILN!F:G,2,FALSE)</f>
        <v>2533780546</v>
      </c>
      <c r="R849" s="81">
        <f>VLOOKUP(Tableau119[[#This Row],[Compte ILN]],'DATA ILN'!D:I,6,FALSE)</f>
        <v>9</v>
      </c>
      <c r="S849" s="81">
        <f>IFERROR(VLOOKUP(Tableau119[[#This Row],[Key(Compte ILN - shipper - POL - plant)]],'DATA ILN'!A:J,10,FALSE),VLOOKUP(Tableau119[[#This Row],[Key(Compte ILN - shipper - POL)]],'DATA ILN'!B:J,9,FALSE))</f>
        <v>14</v>
      </c>
      <c r="T849" s="81">
        <f>IFERROR(VLOOKUP(Tableau119[[#This Row],[Key(Compte ILN - shipper - POL - plant)]],'DATA ILN'!A:K,11,FALSE),VLOOKUP(Tableau119[[#This Row],[Key(Compte ILN - shipper - POL)]],'DATA ILN'!B:K,10,FALSE))</f>
        <v>5</v>
      </c>
      <c r="U849" s="81">
        <f>IFERROR(VLOOKUP(Tableau119[[#This Row],[Key(Compte ILN - shipper - POL - plant)]],'DATA ILN'!A:L,12,FALSE),VLOOKUP(Tableau119[[#This Row],[Key(Compte ILN - shipper - POL)]],'DATA ILN'!B:L,11,FALSE))</f>
        <v>7</v>
      </c>
      <c r="V849" s="81">
        <f>Tableau119[[#This Row],[Day ILN Order]]+Tableau119[[#This Row],[Delivery time to ILN/Shipper]]-1</f>
        <v>22</v>
      </c>
      <c r="W849" s="81">
        <f>IFERROR(VLOOKUP(Tableau119[[#This Row],[Key(Compte ILN - shipper - POL - plant)]],'DATA ILN'!A:N,14,FALSE),VLOOKUP(Tableau119[[#This Row],[Key(Compte ILN - shipper - POL)]],'DATA ILN'!B:N,13,FALSE))</f>
        <v>2</v>
      </c>
      <c r="X849" s="81">
        <f>IFERROR(VLOOKUP(Tableau119[[#This Row],[Key(Compte ILN - shipper - POL - plant)]],'DATA ILN'!A:P,16,FALSE),VLOOKUP(Tableau119[[#This Row],[Key(Compte ILN - shipper - POL)]],'DATA ILN'!B:P,15,FALSE))</f>
        <v>5</v>
      </c>
      <c r="Y849" s="102" t="s">
        <v>149</v>
      </c>
      <c r="Z849" s="417">
        <f>IFERROR(VLOOKUP(Tableau119[[#This Row],[Name Shipper]],Plant_AILN!L:M,2,FALSE),0)</f>
        <v>2533780546</v>
      </c>
      <c r="AA849" s="416">
        <v>917</v>
      </c>
      <c r="AB849" s="396" t="str">
        <f>_xlfn.XLOOKUP(Tableau119[[#This Row],[Key(ID-date)]],'DATA BTO'!S:S,'DATA BTO'!E:E,FALSE)</f>
        <v>INENR</v>
      </c>
      <c r="AC849" s="3" t="str">
        <f>_xlfn.XLOOKUP(Tableau119[[#This Row],[Key(ID-date)]],'DATA BTO'!S:S,'DATA BTO'!F:F,FALSE)</f>
        <v>Hapag Lloyd</v>
      </c>
      <c r="AD849" s="50">
        <f>_xlfn.XLOOKUP(Tableau119[[#This Row],[Key(ID-date)]],'DATA BTO'!S:S,'DATA BTO'!G:G,FALSE)</f>
        <v>7</v>
      </c>
      <c r="AE849" s="50">
        <f>_xlfn.XLOOKUP(Tableau119[[#This Row],[Key(ID-date)]],'DATA BTO'!S:S,'DATA BTO'!H:H,FALSE)</f>
        <v>9</v>
      </c>
      <c r="AF849" s="447">
        <f>IF(Tableau119[[#This Row],[First Day to POL]]&lt;=Tableau119[[#This Row],[Day Cut Off]],Tableau119[[#This Row],[Day ETD]],Tableau119[[#This Row],[Day ETD]]+7)</f>
        <v>9</v>
      </c>
      <c r="AG849" s="50">
        <f>_xlfn.XLOOKUP(Tableau119[[#This Row],[Key(ID-date)]],'DATA BTO'!S:S,'DATA BTO'!I:I,FALSE)</f>
        <v>49</v>
      </c>
      <c r="AH849" s="3" t="str">
        <f>_xlfn.XLOOKUP(Tableau119[[#This Row],[Key(ID-date)]],'DATA BTO'!S:S,'DATA BTO'!J:J,FALSE)</f>
        <v>TRGEM</v>
      </c>
      <c r="AI849" s="3">
        <f>_xlfn.XLOOKUP(Tableau119[[#This Row],[Key(ID-date)]],'DATA BTO'!S:S,'DATA BTO'!K:K,FALSE)</f>
        <v>3</v>
      </c>
      <c r="AJ849" s="50">
        <f>_xlfn.XLOOKUP(Tableau119[[#This Row],[Key(ID-date)]],'DATA BTO'!S:S,'DATA BTO'!L:L,FALSE)</f>
        <v>7</v>
      </c>
      <c r="AK849" s="53" t="str">
        <f>_xlfn.XLOOKUP(Tableau119[[#This Row],[Key(ID-date)]],'DATA BTO'!S:S,'DATA BTO'!N:N,FALSE)</f>
        <v>Marc-Aurele</v>
      </c>
      <c r="AL849" s="54">
        <f>VLOOKUP(Tableau119[[#This Row],[Key(POD -PFI- Usine)]],'DATA Consignee'!A:F,6,FALSE)</f>
        <v>2</v>
      </c>
      <c r="AM849" s="102"/>
      <c r="AN849" s="375" t="str">
        <f>IF(Tableau119[[#This Row],[Name PFI/CDD]]="","-",VLOOKUP(Tableau119[[#This Row],[Name PFI/CDD]],Plant_AILN!I:J,2,FALSE))</f>
        <v>-</v>
      </c>
      <c r="AO84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4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49" s="110">
        <f>VLOOKUP(Tableau119[[#This Row],[Key(POD -PFI- Usine)]],'DATA Consignee'!A:J,10,FALSE)</f>
        <v>0</v>
      </c>
      <c r="AR849" s="81">
        <f>VLOOKUP(Tableau119[[#This Row],[Key(POD -PFI- Usine)]],'DATA Consignee'!A:N,14,FALSE)</f>
        <v>2</v>
      </c>
      <c r="AS849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49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49" s="81">
        <f>Tableau119[[#This Row],[Transit time]]+Tableau119[[#This Row],[Time for security]]+Tableau119[[#This Row],[Time for security2 buffer]]</f>
        <v>59</v>
      </c>
      <c r="AV84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49" s="50">
        <f>Tableau119[[#This Row],[Leadtime SI2C]]+Tableau119[[#This Row],[First Receipt Days]]-Tableau119[[#This Row],[Day Customer Order]]+1</f>
        <v>104</v>
      </c>
      <c r="AX849" s="119">
        <f>IF(Tableau119[[#This Row],[Name ILN]]&lt;&gt;"SFK Freight Forwarder",Tableau119[[#This Row],[Cust. Leadtime]],Tableau119[[#This Row],[Leadtime SI2C]])</f>
        <v>104</v>
      </c>
      <c r="AY849" s="51" t="str">
        <f>_xlfn.XLOOKUP(Tableau119[[#This Row],[Key(ID-date)]],'DATA BTO'!S:S,'DATA BTO'!P:P,FALSE)</f>
        <v>Renault &gt; Horse BPH</v>
      </c>
      <c r="AZ849" s="388">
        <v>46142</v>
      </c>
      <c r="BA849" s="81"/>
    </row>
    <row r="850" spans="2:53">
      <c r="B850" s="446" t="str">
        <f>_xlfn.CONCAT(Tableau119[[#This Row],[Name ILN]],"-",Tableau119[[#This Row],[Name Shipper]],"-",Tableau119[[#This Row],[Name Site]])</f>
        <v>ILN Chennai-ILN Chennai-OYAK MEKA</v>
      </c>
      <c r="C850" s="66" t="str">
        <f>_xlfn.CONCAT(Tableau119[[#This Row],[Compte ILN]],"-",Tableau119[[#This Row],[Compte Shipper]],"-",Tableau119[[#This Row],[POL]],"-",Tableau119[[#This Row],[Compte Consignee]])</f>
        <v>2533780546-2533780546-INENR-90014400</v>
      </c>
      <c r="D850" s="66" t="str">
        <f>_xlfn.CONCAT(Tableau119[[#This Row],[Compte ILN]],"-",Tableau119[[#This Row],[Compte Shipper]],"-",Tableau119[[#This Row],[POL]])</f>
        <v>2533780546-2533780546-INENR</v>
      </c>
      <c r="E850" s="130" t="str">
        <f>_xlfn.CONCAT(Tableau119[[#This Row],[POL]],"-",Tableau119[[#This Row],[Carrier]],"-",Tableau119[[#This Row],[POD]])</f>
        <v>INENR-Hapag Lloyd-TRGEM</v>
      </c>
      <c r="F850" s="66" t="str">
        <f>_xlfn.CONCAT(Tableau119[[#This Row],[ID]],"-","Actif")</f>
        <v>917-Actif</v>
      </c>
      <c r="G850" s="66" t="str">
        <f>_xlfn.CONCAT(Tableau119[[#This Row],[POD]],"-",Tableau119[[#This Row],[Code PFI]],"-",Tableau119[[#This Row],[Compte Consignee]])</f>
        <v>TRGEM---90014400</v>
      </c>
      <c r="H8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ChennaiINENROYAK MEKA</v>
      </c>
      <c r="I850" s="434" t="str">
        <f>_xlfn.CONCAT(Tableau119[[#This Row],[ID]],"-",Tableau119[[#This Row],[Expiration Date]])</f>
        <v>917-45961</v>
      </c>
      <c r="J8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Chennai-917-INENR-Hapag Lloyd-TRGEM--45961</v>
      </c>
      <c r="K850" s="119" t="str">
        <f ca="1">IF(COUNTIF(J:J,Tableau119[[#This Row],[Plant-ILN-shipper-POL-Carrier-POD-PFI]])=1,"Non","Oui")</f>
        <v>Non</v>
      </c>
      <c r="L850" s="128" t="str">
        <f>VLOOKUP(Tableau119[[#This Row],[Name Site]],Plant_AILN!A:D,4,FALSE)</f>
        <v>TURKEY</v>
      </c>
      <c r="M850" s="411" t="s">
        <v>165</v>
      </c>
      <c r="N850" s="454">
        <f>VLOOKUP(Tableau119[[#This Row],[Name Site]],Plant_AILN!A:C,3,FALSE)</f>
        <v>90014400</v>
      </c>
      <c r="O850" s="55">
        <f>VLOOKUP(Tableau119[[#This Row],[Compte Consignee]],Order!C:D,2,FALSE)</f>
        <v>2</v>
      </c>
      <c r="P850" s="124" t="s">
        <v>149</v>
      </c>
      <c r="Q850" s="365">
        <f>VLOOKUP(Tableau119[[#This Row],[Name ILN]],Plant_AILN!F:G,2,FALSE)</f>
        <v>2533780546</v>
      </c>
      <c r="R850" s="50">
        <f>VLOOKUP(Tableau119[[#This Row],[Compte ILN]],'DATA ILN'!D:I,6,FALSE)</f>
        <v>9</v>
      </c>
      <c r="S850" s="50">
        <f>IFERROR(VLOOKUP(Tableau119[[#This Row],[Key(Compte ILN - shipper - POL - plant)]],'DATA ILN'!A:J,10,FALSE),VLOOKUP(Tableau119[[#This Row],[Key(Compte ILN - shipper - POL)]],'DATA ILN'!B:J,9,FALSE))</f>
        <v>14</v>
      </c>
      <c r="T850" s="50">
        <f>IFERROR(VLOOKUP(Tableau119[[#This Row],[Key(Compte ILN - shipper - POL - plant)]],'DATA ILN'!A:K,11,FALSE),VLOOKUP(Tableau119[[#This Row],[Key(Compte ILN - shipper - POL)]],'DATA ILN'!B:K,10,FALSE))</f>
        <v>5</v>
      </c>
      <c r="U850" s="50">
        <f>IFERROR(VLOOKUP(Tableau119[[#This Row],[Key(Compte ILN - shipper - POL - plant)]],'DATA ILN'!A:L,12,FALSE),VLOOKUP(Tableau119[[#This Row],[Key(Compte ILN - shipper - POL)]],'DATA ILN'!B:L,11,FALSE))</f>
        <v>7</v>
      </c>
      <c r="V850" s="50">
        <f>Tableau119[[#This Row],[Day ILN Order]]+Tableau119[[#This Row],[Delivery time to ILN/Shipper]]-1</f>
        <v>22</v>
      </c>
      <c r="W850" s="50">
        <f>IFERROR(VLOOKUP(Tableau119[[#This Row],[Key(Compte ILN - shipper - POL - plant)]],'DATA ILN'!A:N,14,FALSE),VLOOKUP(Tableau119[[#This Row],[Key(Compte ILN - shipper - POL)]],'DATA ILN'!B:N,13,FALSE))</f>
        <v>2</v>
      </c>
      <c r="X850" s="50">
        <f>IFERROR(VLOOKUP(Tableau119[[#This Row],[Key(Compte ILN - shipper - POL - plant)]],'DATA ILN'!A:P,16,FALSE),VLOOKUP(Tableau119[[#This Row],[Key(Compte ILN - shipper - POL)]],'DATA ILN'!B:P,15,FALSE))</f>
        <v>5</v>
      </c>
      <c r="Y850" s="284" t="s">
        <v>149</v>
      </c>
      <c r="Z850" s="430">
        <f>IFERROR(VLOOKUP(Tableau119[[#This Row],[Name Shipper]],Plant_AILN!L:M,2,FALSE),0)</f>
        <v>2533780546</v>
      </c>
      <c r="AA850" s="406">
        <v>917</v>
      </c>
      <c r="AB850" s="396" t="str">
        <f>_xlfn.XLOOKUP(Tableau119[[#This Row],[Key(ID-date)]],'DATA BTO'!S:S,'DATA BTO'!E:E,FALSE)</f>
        <v>INENR</v>
      </c>
      <c r="AC850" s="3" t="str">
        <f>_xlfn.XLOOKUP(Tableau119[[#This Row],[Key(ID-date)]],'DATA BTO'!S:S,'DATA BTO'!F:F,FALSE)</f>
        <v>Hapag Lloyd</v>
      </c>
      <c r="AD850" s="50">
        <f>_xlfn.XLOOKUP(Tableau119[[#This Row],[Key(ID-date)]],'DATA BTO'!S:S,'DATA BTO'!G:G,FALSE)</f>
        <v>7</v>
      </c>
      <c r="AE850" s="50">
        <f>_xlfn.XLOOKUP(Tableau119[[#This Row],[Key(ID-date)]],'DATA BTO'!S:S,'DATA BTO'!H:H,FALSE)</f>
        <v>9</v>
      </c>
      <c r="AF850" s="447">
        <f>IF(Tableau119[[#This Row],[First Day to POL]]&lt;=Tableau119[[#This Row],[Day Cut Off]],Tableau119[[#This Row],[Day ETD]],Tableau119[[#This Row],[Day ETD]]+7)</f>
        <v>9</v>
      </c>
      <c r="AG850" s="50">
        <f>_xlfn.XLOOKUP(Tableau119[[#This Row],[Key(ID-date)]],'DATA BTO'!S:S,'DATA BTO'!I:I,FALSE)</f>
        <v>49</v>
      </c>
      <c r="AH850" s="3" t="str">
        <f>_xlfn.XLOOKUP(Tableau119[[#This Row],[Key(ID-date)]],'DATA BTO'!S:S,'DATA BTO'!J:J,FALSE)</f>
        <v>TRGEM</v>
      </c>
      <c r="AI850" s="3">
        <f>_xlfn.XLOOKUP(Tableau119[[#This Row],[Key(ID-date)]],'DATA BTO'!S:S,'DATA BTO'!K:K,FALSE)</f>
        <v>3</v>
      </c>
      <c r="AJ850" s="50">
        <f>_xlfn.XLOOKUP(Tableau119[[#This Row],[Key(ID-date)]],'DATA BTO'!S:S,'DATA BTO'!L:L,FALSE)</f>
        <v>7</v>
      </c>
      <c r="AK850" s="53" t="str">
        <f>_xlfn.XLOOKUP(Tableau119[[#This Row],[Key(ID-date)]],'DATA BTO'!S:S,'DATA BTO'!N:N,FALSE)</f>
        <v>Marc-Aurele</v>
      </c>
      <c r="AL850" s="54">
        <f>VLOOKUP(Tableau119[[#This Row],[Key(POD -PFI- Usine)]],'DATA Consignee'!A:F,6,FALSE)</f>
        <v>2</v>
      </c>
      <c r="AM850" s="284"/>
      <c r="AN850" s="376" t="str">
        <f>IF(Tableau119[[#This Row],[Name PFI/CDD]]="","-",VLOOKUP(Tableau119[[#This Row],[Name PFI/CDD]],Plant_AILN!I:J,2,FALSE))</f>
        <v>-</v>
      </c>
      <c r="AO85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0" s="2">
        <f>VLOOKUP(Tableau119[[#This Row],[Key(POD -PFI- Usine)]],'DATA Consignee'!A:J,10,FALSE)</f>
        <v>0</v>
      </c>
      <c r="AR850" s="50">
        <f>VLOOKUP(Tableau119[[#This Row],[Key(POD -PFI- Usine)]],'DATA Consignee'!A:N,14,FALSE)</f>
        <v>2</v>
      </c>
      <c r="AS85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5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50" s="50">
        <f>Tableau119[[#This Row],[Transit time]]+Tableau119[[#This Row],[Time for security]]+Tableau119[[#This Row],[Time for security2 buffer]]</f>
        <v>59</v>
      </c>
      <c r="AV85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50" s="50">
        <f>Tableau119[[#This Row],[Leadtime SI2C]]+Tableau119[[#This Row],[First Receipt Days]]-Tableau119[[#This Row],[Day Customer Order]]+1</f>
        <v>104</v>
      </c>
      <c r="AX850" s="119">
        <f>IF(Tableau119[[#This Row],[Name ILN]]&lt;&gt;"SFK Freight Forwarder",Tableau119[[#This Row],[Cust. Leadtime]],Tableau119[[#This Row],[Leadtime SI2C]])</f>
        <v>104</v>
      </c>
      <c r="AY850" s="51" t="str">
        <f>_xlfn.XLOOKUP(Tableau119[[#This Row],[Key(ID-date)]],'DATA BTO'!S:S,'DATA BTO'!P:P,FALSE)</f>
        <v>Renault &gt; Horse BPH</v>
      </c>
      <c r="AZ850" s="338">
        <v>45961</v>
      </c>
      <c r="BA850" s="50"/>
    </row>
    <row r="851" spans="2:53">
      <c r="B851" s="446" t="str">
        <f>_xlfn.CONCAT(Tableau119[[#This Row],[Name ILN]],"-",Tableau119[[#This Row],[Name Shipper]],"-",Tableau119[[#This Row],[Name Site]])</f>
        <v>ILN Chennai-ILN Chennai-OYAK MEKA</v>
      </c>
      <c r="C851" s="66" t="str">
        <f>_xlfn.CONCAT(Tableau119[[#This Row],[Compte ILN]],"-",Tableau119[[#This Row],[Compte Shipper]],"-",Tableau119[[#This Row],[POL]],"-",Tableau119[[#This Row],[Compte Consignee]])</f>
        <v>2533780546-2533780546-INENR-90014400</v>
      </c>
      <c r="D851" s="66" t="str">
        <f>_xlfn.CONCAT(Tableau119[[#This Row],[Compte ILN]],"-",Tableau119[[#This Row],[Compte Shipper]],"-",Tableau119[[#This Row],[POL]])</f>
        <v>2533780546-2533780546-INENR</v>
      </c>
      <c r="E851" s="130" t="str">
        <f>_xlfn.CONCAT(Tableau119[[#This Row],[POL]],"-",Tableau119[[#This Row],[Carrier]],"-",Tableau119[[#This Row],[POD]])</f>
        <v>INENR-Hapag Lloyd-TRGEM</v>
      </c>
      <c r="F851" s="66" t="str">
        <f>_xlfn.CONCAT(Tableau119[[#This Row],[ID]],"-","Actif")</f>
        <v>917-Actif</v>
      </c>
      <c r="G851" s="66" t="str">
        <f>_xlfn.CONCAT(Tableau119[[#This Row],[POD]],"-",Tableau119[[#This Row],[Code PFI]],"-",Tableau119[[#This Row],[Compte Consignee]])</f>
        <v>TRGEM---90014400</v>
      </c>
      <c r="H8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ChennaiINENROYAK MEKA</v>
      </c>
      <c r="I851" s="434" t="str">
        <f>_xlfn.CONCAT(Tableau119[[#This Row],[ID]],"-",Tableau119[[#This Row],[Expiration Date]])</f>
        <v>917-45793</v>
      </c>
      <c r="J8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Chennai-917-INENR-Hapag Lloyd-TRGEM--45793</v>
      </c>
      <c r="K851" s="119" t="str">
        <f ca="1">IF(COUNTIF(J:J,Tableau119[[#This Row],[Plant-ILN-shipper-POL-Carrier-POD-PFI]])=1,"Non","Oui")</f>
        <v>Non</v>
      </c>
      <c r="L851" s="128" t="str">
        <f>VLOOKUP(Tableau119[[#This Row],[Name Site]],Plant_AILN!A:D,4,FALSE)</f>
        <v>TURKEY</v>
      </c>
      <c r="M851" s="415" t="s">
        <v>165</v>
      </c>
      <c r="N851" s="455">
        <f>VLOOKUP(Tableau119[[#This Row],[Name Site]],Plant_AILN!A:C,3,FALSE)</f>
        <v>90014400</v>
      </c>
      <c r="O851" s="104">
        <f>VLOOKUP(Tableau119[[#This Row],[Compte Consignee]],Order!C:D,2,FALSE)</f>
        <v>2</v>
      </c>
      <c r="P851" s="126" t="s">
        <v>149</v>
      </c>
      <c r="Q851" s="366">
        <f>VLOOKUP(Tableau119[[#This Row],[Name ILN]],Plant_AILN!F:G,2,FALSE)</f>
        <v>2533780546</v>
      </c>
      <c r="R851" s="81">
        <f>VLOOKUP(Tableau119[[#This Row],[Compte ILN]],'DATA ILN'!D:I,6,FALSE)</f>
        <v>9</v>
      </c>
      <c r="S851" s="81">
        <f>IFERROR(VLOOKUP(Tableau119[[#This Row],[Key(Compte ILN - shipper - POL - plant)]],'DATA ILN'!A:J,10,FALSE),VLOOKUP(Tableau119[[#This Row],[Key(Compte ILN - shipper - POL)]],'DATA ILN'!B:J,9,FALSE))</f>
        <v>14</v>
      </c>
      <c r="T851" s="81">
        <f>IFERROR(VLOOKUP(Tableau119[[#This Row],[Key(Compte ILN - shipper - POL - plant)]],'DATA ILN'!A:K,11,FALSE),VLOOKUP(Tableau119[[#This Row],[Key(Compte ILN - shipper - POL)]],'DATA ILN'!B:K,10,FALSE))</f>
        <v>5</v>
      </c>
      <c r="U851" s="81">
        <f>IFERROR(VLOOKUP(Tableau119[[#This Row],[Key(Compte ILN - shipper - POL - plant)]],'DATA ILN'!A:L,12,FALSE),VLOOKUP(Tableau119[[#This Row],[Key(Compte ILN - shipper - POL)]],'DATA ILN'!B:L,11,FALSE))</f>
        <v>7</v>
      </c>
      <c r="V851" s="81">
        <f>Tableau119[[#This Row],[Day ILN Order]]+Tableau119[[#This Row],[Delivery time to ILN/Shipper]]-1</f>
        <v>22</v>
      </c>
      <c r="W851" s="81">
        <f>IFERROR(VLOOKUP(Tableau119[[#This Row],[Key(Compte ILN - shipper - POL - plant)]],'DATA ILN'!A:N,14,FALSE),VLOOKUP(Tableau119[[#This Row],[Key(Compte ILN - shipper - POL)]],'DATA ILN'!B:N,13,FALSE))</f>
        <v>2</v>
      </c>
      <c r="X851" s="81">
        <f>IFERROR(VLOOKUP(Tableau119[[#This Row],[Key(Compte ILN - shipper - POL - plant)]],'DATA ILN'!A:P,16,FALSE),VLOOKUP(Tableau119[[#This Row],[Key(Compte ILN - shipper - POL)]],'DATA ILN'!B:P,15,FALSE))</f>
        <v>5</v>
      </c>
      <c r="Y851" s="102" t="s">
        <v>149</v>
      </c>
      <c r="Z851" s="417">
        <f>IFERROR(VLOOKUP(Tableau119[[#This Row],[Name Shipper]],Plant_AILN!L:M,2,FALSE),0)</f>
        <v>2533780546</v>
      </c>
      <c r="AA851" s="416">
        <v>917</v>
      </c>
      <c r="AB851" s="396" t="str">
        <f>_xlfn.XLOOKUP(Tableau119[[#This Row],[Key(ID-date)]],'DATA BTO'!S:S,'DATA BTO'!E:E,FALSE)</f>
        <v>INENR</v>
      </c>
      <c r="AC851" s="3" t="str">
        <f>_xlfn.XLOOKUP(Tableau119[[#This Row],[Key(ID-date)]],'DATA BTO'!S:S,'DATA BTO'!F:F,FALSE)</f>
        <v>Hapag Lloyd</v>
      </c>
      <c r="AD851" s="50">
        <f>_xlfn.XLOOKUP(Tableau119[[#This Row],[Key(ID-date)]],'DATA BTO'!S:S,'DATA BTO'!G:G,FALSE)</f>
        <v>7</v>
      </c>
      <c r="AE851" s="50">
        <f>_xlfn.XLOOKUP(Tableau119[[#This Row],[Key(ID-date)]],'DATA BTO'!S:S,'DATA BTO'!H:H,FALSE)</f>
        <v>9</v>
      </c>
      <c r="AF851" s="447">
        <f>IF(Tableau119[[#This Row],[First Day to POL]]&lt;=Tableau119[[#This Row],[Day Cut Off]],Tableau119[[#This Row],[Day ETD]],Tableau119[[#This Row],[Day ETD]]+7)</f>
        <v>9</v>
      </c>
      <c r="AG851" s="50">
        <f>_xlfn.XLOOKUP(Tableau119[[#This Row],[Key(ID-date)]],'DATA BTO'!S:S,'DATA BTO'!I:I,FALSE)</f>
        <v>42</v>
      </c>
      <c r="AH851" s="3" t="str">
        <f>_xlfn.XLOOKUP(Tableau119[[#This Row],[Key(ID-date)]],'DATA BTO'!S:S,'DATA BTO'!J:J,FALSE)</f>
        <v>TRGEM</v>
      </c>
      <c r="AI851" s="3">
        <f>_xlfn.XLOOKUP(Tableau119[[#This Row],[Key(ID-date)]],'DATA BTO'!S:S,'DATA BTO'!K:K,FALSE)</f>
        <v>3</v>
      </c>
      <c r="AJ851" s="50">
        <f>_xlfn.XLOOKUP(Tableau119[[#This Row],[Key(ID-date)]],'DATA BTO'!S:S,'DATA BTO'!L:L,FALSE)</f>
        <v>14</v>
      </c>
      <c r="AK851" s="53" t="str">
        <f>_xlfn.XLOOKUP(Tableau119[[#This Row],[Key(ID-date)]],'DATA BTO'!S:S,'DATA BTO'!N:N,FALSE)</f>
        <v>Marc-Aurele</v>
      </c>
      <c r="AL851" s="54">
        <f>VLOOKUP(Tableau119[[#This Row],[Key(POD -PFI- Usine)]],'DATA Consignee'!A:F,6,FALSE)</f>
        <v>2</v>
      </c>
      <c r="AM851" s="102"/>
      <c r="AN851" s="375" t="str">
        <f>IF(Tableau119[[#This Row],[Name PFI/CDD]]="","-",VLOOKUP(Tableau119[[#This Row],[Name PFI/CDD]],Plant_AILN!I:J,2,FALSE))</f>
        <v>-</v>
      </c>
      <c r="AO85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1" s="110">
        <f>VLOOKUP(Tableau119[[#This Row],[Key(POD -PFI- Usine)]],'DATA Consignee'!A:J,10,FALSE)</f>
        <v>0</v>
      </c>
      <c r="AR851" s="81">
        <f>VLOOKUP(Tableau119[[#This Row],[Key(POD -PFI- Usine)]],'DATA Consignee'!A:N,14,FALSE)</f>
        <v>2</v>
      </c>
      <c r="AS851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51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51" s="81">
        <f>Tableau119[[#This Row],[Transit time]]+Tableau119[[#This Row],[Time for security]]+Tableau119[[#This Row],[Time for security2 buffer]]</f>
        <v>59</v>
      </c>
      <c r="AV85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51" s="50">
        <f>Tableau119[[#This Row],[Leadtime SI2C]]+Tableau119[[#This Row],[First Receipt Days]]-Tableau119[[#This Row],[Day Customer Order]]+1</f>
        <v>104</v>
      </c>
      <c r="AX851" s="119">
        <f>IF(Tableau119[[#This Row],[Name ILN]]&lt;&gt;"SFK Freight Forwarder",Tableau119[[#This Row],[Cust. Leadtime]],Tableau119[[#This Row],[Leadtime SI2C]])</f>
        <v>104</v>
      </c>
      <c r="AY851" s="51" t="str">
        <f>_xlfn.XLOOKUP(Tableau119[[#This Row],[Key(ID-date)]],'DATA BTO'!S:S,'DATA BTO'!P:P,FALSE)</f>
        <v>Renault &gt; Horse BPH</v>
      </c>
      <c r="AZ851" s="388">
        <v>45793</v>
      </c>
      <c r="BA851" s="81"/>
    </row>
    <row r="852" spans="2:53">
      <c r="B852" s="446" t="str">
        <f>_xlfn.CONCAT(Tableau119[[#This Row],[Name ILN]],"-",Tableau119[[#This Row],[Name Shipper]],"-",Tableau119[[#This Row],[Name Site]])</f>
        <v>ILN Chennai-ILN Chennai-OYAK MEKA</v>
      </c>
      <c r="C852" s="66" t="str">
        <f>_xlfn.CONCAT(Tableau119[[#This Row],[Compte ILN]],"-",Tableau119[[#This Row],[Compte Shipper]],"-",Tableau119[[#This Row],[POL]],"-",Tableau119[[#This Row],[Compte Consignee]])</f>
        <v>2533780546-2533780546-INKAT-90014400</v>
      </c>
      <c r="D852" s="66" t="str">
        <f>_xlfn.CONCAT(Tableau119[[#This Row],[Compte ILN]],"-",Tableau119[[#This Row],[Compte Shipper]],"-",Tableau119[[#This Row],[POL]])</f>
        <v>2533780546-2533780546-INKAT</v>
      </c>
      <c r="E852" s="130" t="str">
        <f>_xlfn.CONCAT(Tableau119[[#This Row],[POL]],"-",Tableau119[[#This Row],[Carrier]],"-",Tableau119[[#This Row],[POD]])</f>
        <v>INKAT-Hapag Lloyd-TRGEM</v>
      </c>
      <c r="F852" s="66" t="str">
        <f>_xlfn.CONCAT(Tableau119[[#This Row],[ID]],"-","Actif")</f>
        <v>917-Actif</v>
      </c>
      <c r="G852" s="66" t="str">
        <f>_xlfn.CONCAT(Tableau119[[#This Row],[POD]],"-",Tableau119[[#This Row],[Code PFI]],"-",Tableau119[[#This Row],[Compte Consignee]])</f>
        <v>TRGEM---90014400</v>
      </c>
      <c r="H8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ChennaiINKATOYAK MEKA</v>
      </c>
      <c r="I852" s="434" t="str">
        <f>_xlfn.CONCAT(Tableau119[[#This Row],[ID]],"-",Tableau119[[#This Row],[Expiration Date]])</f>
        <v>917-45777</v>
      </c>
      <c r="J8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Chennai-917-INKAT-Hapag Lloyd-TRGEM--45777</v>
      </c>
      <c r="K852" s="119" t="str">
        <f ca="1">IF(COUNTIF(J:J,Tableau119[[#This Row],[Plant-ILN-shipper-POL-Carrier-POD-PFI]])=1,"Non","Oui")</f>
        <v>Non</v>
      </c>
      <c r="L852" s="128" t="str">
        <f>VLOOKUP(Tableau119[[#This Row],[Name Site]],Plant_AILN!A:D,4,FALSE)</f>
        <v>TURKEY</v>
      </c>
      <c r="M852" s="411" t="s">
        <v>165</v>
      </c>
      <c r="N852" s="454">
        <f>VLOOKUP(Tableau119[[#This Row],[Name Site]],Plant_AILN!A:C,3,FALSE)</f>
        <v>90014400</v>
      </c>
      <c r="O852" s="55">
        <f>VLOOKUP(Tableau119[[#This Row],[Compte Consignee]],Order!C:D,2,FALSE)</f>
        <v>2</v>
      </c>
      <c r="P852" s="124" t="s">
        <v>149</v>
      </c>
      <c r="Q852" s="365">
        <f>VLOOKUP(Tableau119[[#This Row],[Name ILN]],Plant_AILN!F:G,2,FALSE)</f>
        <v>2533780546</v>
      </c>
      <c r="R852" s="50">
        <f>VLOOKUP(Tableau119[[#This Row],[Compte ILN]],'DATA ILN'!D:I,6,FALSE)</f>
        <v>9</v>
      </c>
      <c r="S852" s="50">
        <f>IFERROR(VLOOKUP(Tableau119[[#This Row],[Key(Compte ILN - shipper - POL - plant)]],'DATA ILN'!A:J,10,FALSE),VLOOKUP(Tableau119[[#This Row],[Key(Compte ILN - shipper - POL)]],'DATA ILN'!B:J,9,FALSE))</f>
        <v>14</v>
      </c>
      <c r="T852" s="50">
        <f>IFERROR(VLOOKUP(Tableau119[[#This Row],[Key(Compte ILN - shipper - POL - plant)]],'DATA ILN'!A:K,11,FALSE),VLOOKUP(Tableau119[[#This Row],[Key(Compte ILN - shipper - POL)]],'DATA ILN'!B:K,10,FALSE))</f>
        <v>5</v>
      </c>
      <c r="U852" s="50">
        <f>IFERROR(VLOOKUP(Tableau119[[#This Row],[Key(Compte ILN - shipper - POL - plant)]],'DATA ILN'!A:L,12,FALSE),VLOOKUP(Tableau119[[#This Row],[Key(Compte ILN - shipper - POL)]],'DATA ILN'!B:L,11,FALSE))</f>
        <v>7</v>
      </c>
      <c r="V852" s="50">
        <f>Tableau119[[#This Row],[Day ILN Order]]+Tableau119[[#This Row],[Delivery time to ILN/Shipper]]-1</f>
        <v>22</v>
      </c>
      <c r="W852" s="50">
        <f>IFERROR(VLOOKUP(Tableau119[[#This Row],[Key(Compte ILN - shipper - POL - plant)]],'DATA ILN'!A:N,14,FALSE),VLOOKUP(Tableau119[[#This Row],[Key(Compte ILN - shipper - POL)]],'DATA ILN'!B:N,13,FALSE))</f>
        <v>2</v>
      </c>
      <c r="X852" s="50">
        <f>IFERROR(VLOOKUP(Tableau119[[#This Row],[Key(Compte ILN - shipper - POL - plant)]],'DATA ILN'!A:P,16,FALSE),VLOOKUP(Tableau119[[#This Row],[Key(Compte ILN - shipper - POL)]],'DATA ILN'!B:P,15,FALSE))</f>
        <v>4</v>
      </c>
      <c r="Y852" s="284" t="s">
        <v>149</v>
      </c>
      <c r="Z852" s="430">
        <f>IFERROR(VLOOKUP(Tableau119[[#This Row],[Name Shipper]],Plant_AILN!L:M,2,FALSE),0)</f>
        <v>2533780546</v>
      </c>
      <c r="AA852" s="406">
        <v>917</v>
      </c>
      <c r="AB852" s="396" t="str">
        <f>_xlfn.XLOOKUP(Tableau119[[#This Row],[Key(ID-date)]],'DATA BTO'!S:S,'DATA BTO'!E:E,FALSE)</f>
        <v>INKAT</v>
      </c>
      <c r="AC852" s="3" t="str">
        <f>_xlfn.XLOOKUP(Tableau119[[#This Row],[Key(ID-date)]],'DATA BTO'!S:S,'DATA BTO'!F:F,FALSE)</f>
        <v>Hapag Lloyd</v>
      </c>
      <c r="AD852" s="50">
        <f>_xlfn.XLOOKUP(Tableau119[[#This Row],[Key(ID-date)]],'DATA BTO'!S:S,'DATA BTO'!G:G,FALSE)</f>
        <v>7</v>
      </c>
      <c r="AE852" s="50">
        <f>_xlfn.XLOOKUP(Tableau119[[#This Row],[Key(ID-date)]],'DATA BTO'!S:S,'DATA BTO'!H:H,FALSE)</f>
        <v>9</v>
      </c>
      <c r="AF852" s="447">
        <f>IF(Tableau119[[#This Row],[First Day to POL]]&lt;=Tableau119[[#This Row],[Day Cut Off]],Tableau119[[#This Row],[Day ETD]],Tableau119[[#This Row],[Day ETD]]+7)</f>
        <v>9</v>
      </c>
      <c r="AG852" s="50">
        <f>_xlfn.XLOOKUP(Tableau119[[#This Row],[Key(ID-date)]],'DATA BTO'!S:S,'DATA BTO'!I:I,FALSE)</f>
        <v>56</v>
      </c>
      <c r="AH852" s="3" t="str">
        <f>_xlfn.XLOOKUP(Tableau119[[#This Row],[Key(ID-date)]],'DATA BTO'!S:S,'DATA BTO'!J:J,FALSE)</f>
        <v>TRGEM</v>
      </c>
      <c r="AI852" s="3">
        <f>_xlfn.XLOOKUP(Tableau119[[#This Row],[Key(ID-date)]],'DATA BTO'!S:S,'DATA BTO'!K:K,FALSE)</f>
        <v>3</v>
      </c>
      <c r="AJ852" s="50">
        <f>_xlfn.XLOOKUP(Tableau119[[#This Row],[Key(ID-date)]],'DATA BTO'!S:S,'DATA BTO'!L:L,FALSE)</f>
        <v>7</v>
      </c>
      <c r="AK852" s="53" t="str">
        <f>_xlfn.XLOOKUP(Tableau119[[#This Row],[Key(ID-date)]],'DATA BTO'!S:S,'DATA BTO'!N:N,FALSE)</f>
        <v>Anthony</v>
      </c>
      <c r="AL852" s="54">
        <f>VLOOKUP(Tableau119[[#This Row],[Key(POD -PFI- Usine)]],'DATA Consignee'!A:F,6,FALSE)</f>
        <v>2</v>
      </c>
      <c r="AM852" s="284"/>
      <c r="AN852" s="376" t="str">
        <f>IF(Tableau119[[#This Row],[Name PFI/CDD]]="","-",VLOOKUP(Tableau119[[#This Row],[Name PFI/CDD]],Plant_AILN!I:J,2,FALSE))</f>
        <v>-</v>
      </c>
      <c r="AO85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2" s="2">
        <f>VLOOKUP(Tableau119[[#This Row],[Key(POD -PFI- Usine)]],'DATA Consignee'!A:J,10,FALSE)</f>
        <v>0</v>
      </c>
      <c r="AR852" s="50">
        <f>VLOOKUP(Tableau119[[#This Row],[Key(POD -PFI- Usine)]],'DATA Consignee'!A:N,14,FALSE)</f>
        <v>2</v>
      </c>
      <c r="AS85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5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52" s="50">
        <f>Tableau119[[#This Row],[Transit time]]+Tableau119[[#This Row],[Time for security]]+Tableau119[[#This Row],[Time for security2 buffer]]</f>
        <v>66</v>
      </c>
      <c r="AV85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852" s="50">
        <f>Tableau119[[#This Row],[Leadtime SI2C]]+Tableau119[[#This Row],[First Receipt Days]]-Tableau119[[#This Row],[Day Customer Order]]+1</f>
        <v>111</v>
      </c>
      <c r="AX852" s="119">
        <f>IF(Tableau119[[#This Row],[Name ILN]]&lt;&gt;"SFK Freight Forwarder",Tableau119[[#This Row],[Cust. Leadtime]],Tableau119[[#This Row],[Leadtime SI2C]])</f>
        <v>111</v>
      </c>
      <c r="AY852" s="51" t="str">
        <f>_xlfn.XLOOKUP(Tableau119[[#This Row],[Key(ID-date)]],'DATA BTO'!S:S,'DATA BTO'!P:P,FALSE)</f>
        <v>Renault &gt; Horse BPH</v>
      </c>
      <c r="AZ852" s="338">
        <v>45777</v>
      </c>
      <c r="BA852" s="50"/>
    </row>
    <row r="853" spans="2:53">
      <c r="B853" s="446" t="str">
        <f>_xlfn.CONCAT(Tableau119[[#This Row],[Name ILN]],"-",Tableau119[[#This Row],[Name Shipper]],"-",Tableau119[[#This Row],[Name Site]])</f>
        <v>ILN Chennai-ILN Chennai-OYAK MEKA</v>
      </c>
      <c r="C853" s="66" t="str">
        <f>_xlfn.CONCAT(Tableau119[[#This Row],[Compte ILN]],"-",Tableau119[[#This Row],[Compte Shipper]],"-",Tableau119[[#This Row],[POL]],"-",Tableau119[[#This Row],[Compte Consignee]])</f>
        <v>2533780546-2533780546-INKAT-90014400</v>
      </c>
      <c r="D853" s="66" t="str">
        <f>_xlfn.CONCAT(Tableau119[[#This Row],[Compte ILN]],"-",Tableau119[[#This Row],[Compte Shipper]],"-",Tableau119[[#This Row],[POL]])</f>
        <v>2533780546-2533780546-INKAT</v>
      </c>
      <c r="E853" s="130" t="str">
        <f>_xlfn.CONCAT(Tableau119[[#This Row],[POL]],"-",Tableau119[[#This Row],[Carrier]],"-",Tableau119[[#This Row],[POD]])</f>
        <v>INKAT-Hapag Lloyd-TRGEM</v>
      </c>
      <c r="F853" s="66" t="str">
        <f>_xlfn.CONCAT(Tableau119[[#This Row],[ID]],"-","Actif")</f>
        <v>917-Actif</v>
      </c>
      <c r="G853" s="66" t="str">
        <f>_xlfn.CONCAT(Tableau119[[#This Row],[POD]],"-",Tableau119[[#This Row],[Code PFI]],"-",Tableau119[[#This Row],[Compte Consignee]])</f>
        <v>TRGEM---90014400</v>
      </c>
      <c r="H8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ChennaiINKATOYAK MEKA</v>
      </c>
      <c r="I853" s="434" t="str">
        <f>_xlfn.CONCAT(Tableau119[[#This Row],[ID]],"-",Tableau119[[#This Row],[Expiration Date]])</f>
        <v>917-45473</v>
      </c>
      <c r="J8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Chennai-917-INKAT-Hapag Lloyd-TRGEM--45473</v>
      </c>
      <c r="K853" s="119" t="str">
        <f ca="1">IF(COUNTIF(J:J,Tableau119[[#This Row],[Plant-ILN-shipper-POL-Carrier-POD-PFI]])=1,"Non","Oui")</f>
        <v>Non</v>
      </c>
      <c r="L853" s="128" t="str">
        <f>VLOOKUP(Tableau119[[#This Row],[Name Site]],Plant_AILN!A:D,4,FALSE)</f>
        <v>TURKEY</v>
      </c>
      <c r="M853" s="411" t="s">
        <v>165</v>
      </c>
      <c r="N853" s="454">
        <f>VLOOKUP(Tableau119[[#This Row],[Name Site]],Plant_AILN!A:C,3,FALSE)</f>
        <v>90014400</v>
      </c>
      <c r="O853" s="55">
        <f>VLOOKUP(Tableau119[[#This Row],[Compte Consignee]],Order!C:D,2,FALSE)</f>
        <v>2</v>
      </c>
      <c r="P853" s="124" t="s">
        <v>149</v>
      </c>
      <c r="Q853" s="365">
        <f>VLOOKUP(Tableau119[[#This Row],[Name ILN]],Plant_AILN!F:G,2,FALSE)</f>
        <v>2533780546</v>
      </c>
      <c r="R853" s="50">
        <f>VLOOKUP(Tableau119[[#This Row],[Compte ILN]],'DATA ILN'!D:I,6,FALSE)</f>
        <v>9</v>
      </c>
      <c r="S853" s="50">
        <f>IFERROR(VLOOKUP(Tableau119[[#This Row],[Key(Compte ILN - shipper - POL - plant)]],'DATA ILN'!A:J,10,FALSE),VLOOKUP(Tableau119[[#This Row],[Key(Compte ILN - shipper - POL)]],'DATA ILN'!B:J,9,FALSE))</f>
        <v>14</v>
      </c>
      <c r="T853" s="50">
        <f>IFERROR(VLOOKUP(Tableau119[[#This Row],[Key(Compte ILN - shipper - POL - plant)]],'DATA ILN'!A:K,11,FALSE),VLOOKUP(Tableau119[[#This Row],[Key(Compte ILN - shipper - POL)]],'DATA ILN'!B:K,10,FALSE))</f>
        <v>5</v>
      </c>
      <c r="U853" s="50">
        <f>IFERROR(VLOOKUP(Tableau119[[#This Row],[Key(Compte ILN - shipper - POL - plant)]],'DATA ILN'!A:L,12,FALSE),VLOOKUP(Tableau119[[#This Row],[Key(Compte ILN - shipper - POL)]],'DATA ILN'!B:L,11,FALSE))</f>
        <v>7</v>
      </c>
      <c r="V853" s="50">
        <f>Tableau119[[#This Row],[Day ILN Order]]+Tableau119[[#This Row],[Delivery time to ILN/Shipper]]-1</f>
        <v>22</v>
      </c>
      <c r="W853" s="50">
        <f>IFERROR(VLOOKUP(Tableau119[[#This Row],[Key(Compte ILN - shipper - POL - plant)]],'DATA ILN'!A:N,14,FALSE),VLOOKUP(Tableau119[[#This Row],[Key(Compte ILN - shipper - POL)]],'DATA ILN'!B:N,13,FALSE))</f>
        <v>2</v>
      </c>
      <c r="X853" s="50">
        <f>IFERROR(VLOOKUP(Tableau119[[#This Row],[Key(Compte ILN - shipper - POL - plant)]],'DATA ILN'!A:P,16,FALSE),VLOOKUP(Tableau119[[#This Row],[Key(Compte ILN - shipper - POL)]],'DATA ILN'!B:P,15,FALSE))</f>
        <v>4</v>
      </c>
      <c r="Y853" s="284" t="s">
        <v>149</v>
      </c>
      <c r="Z853" s="430">
        <f>IFERROR(VLOOKUP(Tableau119[[#This Row],[Name Shipper]],Plant_AILN!L:M,2,FALSE),0)</f>
        <v>2533780546</v>
      </c>
      <c r="AA853" s="406">
        <v>917</v>
      </c>
      <c r="AB853" s="396" t="str">
        <f>_xlfn.XLOOKUP(Tableau119[[#This Row],[Key(ID-date)]],'DATA BTO'!S:S,'DATA BTO'!E:E,FALSE)</f>
        <v>INKAT</v>
      </c>
      <c r="AC853" s="3" t="str">
        <f>_xlfn.XLOOKUP(Tableau119[[#This Row],[Key(ID-date)]],'DATA BTO'!S:S,'DATA BTO'!F:F,FALSE)</f>
        <v>Hapag Lloyd</v>
      </c>
      <c r="AD853" s="50">
        <f>_xlfn.XLOOKUP(Tableau119[[#This Row],[Key(ID-date)]],'DATA BTO'!S:S,'DATA BTO'!G:G,FALSE)</f>
        <v>7</v>
      </c>
      <c r="AE853" s="50">
        <f>_xlfn.XLOOKUP(Tableau119[[#This Row],[Key(ID-date)]],'DATA BTO'!S:S,'DATA BTO'!H:H,FALSE)</f>
        <v>9</v>
      </c>
      <c r="AF853" s="447">
        <f>IF(Tableau119[[#This Row],[First Day to POL]]&lt;=Tableau119[[#This Row],[Day Cut Off]],Tableau119[[#This Row],[Day ETD]],Tableau119[[#This Row],[Day ETD]]+7)</f>
        <v>9</v>
      </c>
      <c r="AG853" s="50">
        <f>_xlfn.XLOOKUP(Tableau119[[#This Row],[Key(ID-date)]],'DATA BTO'!S:S,'DATA BTO'!I:I,FALSE)</f>
        <v>29</v>
      </c>
      <c r="AH853" s="3" t="str">
        <f>_xlfn.XLOOKUP(Tableau119[[#This Row],[Key(ID-date)]],'DATA BTO'!S:S,'DATA BTO'!J:J,FALSE)</f>
        <v>TRGEM</v>
      </c>
      <c r="AI853" s="3">
        <f>_xlfn.XLOOKUP(Tableau119[[#This Row],[Key(ID-date)]],'DATA BTO'!S:S,'DATA BTO'!K:K,FALSE)</f>
        <v>3</v>
      </c>
      <c r="AJ853" s="50">
        <f>_xlfn.XLOOKUP(Tableau119[[#This Row],[Key(ID-date)]],'DATA BTO'!S:S,'DATA BTO'!L:L,FALSE)</f>
        <v>0</v>
      </c>
      <c r="AK853" s="53" t="str">
        <f>_xlfn.XLOOKUP(Tableau119[[#This Row],[Key(ID-date)]],'DATA BTO'!S:S,'DATA BTO'!N:N,FALSE)</f>
        <v>Anthony</v>
      </c>
      <c r="AL853" s="54">
        <f>VLOOKUP(Tableau119[[#This Row],[Key(POD -PFI- Usine)]],'DATA Consignee'!A:F,6,FALSE)</f>
        <v>2</v>
      </c>
      <c r="AM853" s="284"/>
      <c r="AN853" s="376" t="str">
        <f>IF(Tableau119[[#This Row],[Name PFI/CDD]]="","-",VLOOKUP(Tableau119[[#This Row],[Name PFI/CDD]],Plant_AILN!I:J,2,FALSE))</f>
        <v>-</v>
      </c>
      <c r="AO8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3" s="2">
        <f>VLOOKUP(Tableau119[[#This Row],[Key(POD -PFI- Usine)]],'DATA Consignee'!A:J,10,FALSE)</f>
        <v>0</v>
      </c>
      <c r="AR853" s="50">
        <f>VLOOKUP(Tableau119[[#This Row],[Key(POD -PFI- Usine)]],'DATA Consignee'!A:N,14,FALSE)</f>
        <v>2</v>
      </c>
      <c r="AS85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5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53" s="50">
        <f>Tableau119[[#This Row],[Transit time]]+Tableau119[[#This Row],[Time for security]]+Tableau119[[#This Row],[Time for security2 buffer]]</f>
        <v>32</v>
      </c>
      <c r="AV85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53" s="50">
        <f>Tableau119[[#This Row],[Leadtime SI2C]]+Tableau119[[#This Row],[First Receipt Days]]-Tableau119[[#This Row],[Day Customer Order]]+1</f>
        <v>76</v>
      </c>
      <c r="AX853" s="119">
        <f>IF(Tableau119[[#This Row],[Name ILN]]&lt;&gt;"SFK Freight Forwarder",Tableau119[[#This Row],[Cust. Leadtime]],Tableau119[[#This Row],[Leadtime SI2C]])</f>
        <v>76</v>
      </c>
      <c r="AY853" s="51" t="str">
        <f>_xlfn.XLOOKUP(Tableau119[[#This Row],[Key(ID-date)]],'DATA BTO'!S:S,'DATA BTO'!P:P,FALSE)</f>
        <v>Renault &gt; Horse BPH</v>
      </c>
      <c r="AZ853" s="338">
        <v>45473</v>
      </c>
      <c r="BA853" s="50"/>
    </row>
    <row r="854" spans="2:53">
      <c r="B854" s="446" t="str">
        <f>_xlfn.CONCAT(Tableau119[[#This Row],[Name ILN]],"-",Tableau119[[#This Row],[Name Shipper]],"-",Tableau119[[#This Row],[Name Site]])</f>
        <v>ILN Chennai-ILN Chennai-OYAK MEKA</v>
      </c>
      <c r="C854" s="66" t="str">
        <f>_xlfn.CONCAT(Tableau119[[#This Row],[Compte ILN]],"-",Tableau119[[#This Row],[Compte Shipper]],"-",Tableau119[[#This Row],[POL]],"-",Tableau119[[#This Row],[Compte Consignee]])</f>
        <v>2533780546-2533780546-INENR-90014400</v>
      </c>
      <c r="D854" s="66" t="str">
        <f>_xlfn.CONCAT(Tableau119[[#This Row],[Compte ILN]],"-",Tableau119[[#This Row],[Compte Shipper]],"-",Tableau119[[#This Row],[POL]])</f>
        <v>2533780546-2533780546-INENR</v>
      </c>
      <c r="E854" s="130" t="str">
        <f>_xlfn.CONCAT(Tableau119[[#This Row],[POL]],"-",Tableau119[[#This Row],[Carrier]],"-",Tableau119[[#This Row],[POD]])</f>
        <v>INENR-Maersk-TRIZT</v>
      </c>
      <c r="F854" s="66" t="str">
        <f>_xlfn.CONCAT(Tableau119[[#This Row],[ID]],"-","Actif")</f>
        <v>917-Actif</v>
      </c>
      <c r="G854" s="66" t="str">
        <f>_xlfn.CONCAT(Tableau119[[#This Row],[POD]],"-",Tableau119[[#This Row],[Code PFI]],"-",Tableau119[[#This Row],[Compte Consignee]])</f>
        <v>TRIZT---90014400</v>
      </c>
      <c r="H8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ChennaiINENROYAK MEKA</v>
      </c>
      <c r="I854" s="434" t="str">
        <f>_xlfn.CONCAT(Tableau119[[#This Row],[ID]],"-",Tableau119[[#This Row],[Expiration Date]])</f>
        <v>917-45412</v>
      </c>
      <c r="J8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Chennai-ILN Chennai-917-INENR-Maersk-TRIZT--45412</v>
      </c>
      <c r="K854" s="119" t="str">
        <f ca="1">IF(COUNTIF(J:J,Tableau119[[#This Row],[Plant-ILN-shipper-POL-Carrier-POD-PFI]])=1,"Non","Oui")</f>
        <v>Non</v>
      </c>
      <c r="L854" s="128" t="str">
        <f>VLOOKUP(Tableau119[[#This Row],[Name Site]],Plant_AILN!A:D,4,FALSE)</f>
        <v>TURKEY</v>
      </c>
      <c r="M854" s="415" t="s">
        <v>165</v>
      </c>
      <c r="N854" s="455">
        <f>VLOOKUP(Tableau119[[#This Row],[Name Site]],Plant_AILN!A:C,3,FALSE)</f>
        <v>90014400</v>
      </c>
      <c r="O854" s="104">
        <f>VLOOKUP(Tableau119[[#This Row],[Compte Consignee]],Order!C:D,2,FALSE)</f>
        <v>2</v>
      </c>
      <c r="P854" s="126" t="s">
        <v>149</v>
      </c>
      <c r="Q854" s="366">
        <f>VLOOKUP(Tableau119[[#This Row],[Name ILN]],Plant_AILN!F:G,2,FALSE)</f>
        <v>2533780546</v>
      </c>
      <c r="R854" s="81">
        <f>VLOOKUP(Tableau119[[#This Row],[Compte ILN]],'DATA ILN'!D:I,6,FALSE)</f>
        <v>9</v>
      </c>
      <c r="S854" s="81">
        <f>IFERROR(VLOOKUP(Tableau119[[#This Row],[Key(Compte ILN - shipper - POL - plant)]],'DATA ILN'!A:J,10,FALSE),VLOOKUP(Tableau119[[#This Row],[Key(Compte ILN - shipper - POL)]],'DATA ILN'!B:J,9,FALSE))</f>
        <v>14</v>
      </c>
      <c r="T854" s="81">
        <f>IFERROR(VLOOKUP(Tableau119[[#This Row],[Key(Compte ILN - shipper - POL - plant)]],'DATA ILN'!A:K,11,FALSE),VLOOKUP(Tableau119[[#This Row],[Key(Compte ILN - shipper - POL)]],'DATA ILN'!B:K,10,FALSE))</f>
        <v>5</v>
      </c>
      <c r="U854" s="81">
        <f>IFERROR(VLOOKUP(Tableau119[[#This Row],[Key(Compte ILN - shipper - POL - plant)]],'DATA ILN'!A:L,12,FALSE),VLOOKUP(Tableau119[[#This Row],[Key(Compte ILN - shipper - POL)]],'DATA ILN'!B:L,11,FALSE))</f>
        <v>7</v>
      </c>
      <c r="V854" s="81">
        <f>Tableau119[[#This Row],[Day ILN Order]]+Tableau119[[#This Row],[Delivery time to ILN/Shipper]]-1</f>
        <v>22</v>
      </c>
      <c r="W854" s="81">
        <f>IFERROR(VLOOKUP(Tableau119[[#This Row],[Key(Compte ILN - shipper - POL - plant)]],'DATA ILN'!A:N,14,FALSE),VLOOKUP(Tableau119[[#This Row],[Key(Compte ILN - shipper - POL)]],'DATA ILN'!B:N,13,FALSE))</f>
        <v>2</v>
      </c>
      <c r="X854" s="81">
        <f>IFERROR(VLOOKUP(Tableau119[[#This Row],[Key(Compte ILN - shipper - POL - plant)]],'DATA ILN'!A:P,16,FALSE),VLOOKUP(Tableau119[[#This Row],[Key(Compte ILN - shipper - POL)]],'DATA ILN'!B:P,15,FALSE))</f>
        <v>5</v>
      </c>
      <c r="Y854" s="102" t="s">
        <v>149</v>
      </c>
      <c r="Z854" s="417">
        <f>IFERROR(VLOOKUP(Tableau119[[#This Row],[Name Shipper]],Plant_AILN!L:M,2,FALSE),0)</f>
        <v>2533780546</v>
      </c>
      <c r="AA854" s="416">
        <v>917</v>
      </c>
      <c r="AB854" s="396" t="str">
        <f>_xlfn.XLOOKUP(Tableau119[[#This Row],[Key(ID-date)]],'DATA BTO'!S:S,'DATA BTO'!E:E,FALSE)</f>
        <v>INENR</v>
      </c>
      <c r="AC854" s="3" t="str">
        <f>_xlfn.XLOOKUP(Tableau119[[#This Row],[Key(ID-date)]],'DATA BTO'!S:S,'DATA BTO'!F:F,FALSE)</f>
        <v>Maersk</v>
      </c>
      <c r="AD854" s="50">
        <f>_xlfn.XLOOKUP(Tableau119[[#This Row],[Key(ID-date)]],'DATA BTO'!S:S,'DATA BTO'!G:G,FALSE)</f>
        <v>1</v>
      </c>
      <c r="AE854" s="50">
        <f>_xlfn.XLOOKUP(Tableau119[[#This Row],[Key(ID-date)]],'DATA BTO'!S:S,'DATA BTO'!H:H,FALSE)</f>
        <v>3</v>
      </c>
      <c r="AF854" s="447">
        <f>IF(Tableau119[[#This Row],[First Day to POL]]&lt;=Tableau119[[#This Row],[Day Cut Off]],Tableau119[[#This Row],[Day ETD]],Tableau119[[#This Row],[Day ETD]]+7)</f>
        <v>10</v>
      </c>
      <c r="AG854" s="50">
        <f>_xlfn.XLOOKUP(Tableau119[[#This Row],[Key(ID-date)]],'DATA BTO'!S:S,'DATA BTO'!I:I,FALSE)</f>
        <v>29</v>
      </c>
      <c r="AH854" s="3" t="str">
        <f>_xlfn.XLOOKUP(Tableau119[[#This Row],[Key(ID-date)]],'DATA BTO'!S:S,'DATA BTO'!J:J,FALSE)</f>
        <v>TRIZT</v>
      </c>
      <c r="AI854" s="3">
        <f>_xlfn.XLOOKUP(Tableau119[[#This Row],[Key(ID-date)]],'DATA BTO'!S:S,'DATA BTO'!K:K,FALSE)</f>
        <v>3</v>
      </c>
      <c r="AJ854" s="50">
        <f>_xlfn.XLOOKUP(Tableau119[[#This Row],[Key(ID-date)]],'DATA BTO'!S:S,'DATA BTO'!L:L,FALSE)</f>
        <v>0</v>
      </c>
      <c r="AK854" s="53" t="str">
        <f>_xlfn.XLOOKUP(Tableau119[[#This Row],[Key(ID-date)]],'DATA BTO'!S:S,'DATA BTO'!N:N,FALSE)</f>
        <v>Anthony</v>
      </c>
      <c r="AL854" s="54">
        <f>VLOOKUP(Tableau119[[#This Row],[Key(POD -PFI- Usine)]],'DATA Consignee'!A:F,6,FALSE)</f>
        <v>4</v>
      </c>
      <c r="AM854" s="102"/>
      <c r="AN854" s="375" t="str">
        <f>IF(Tableau119[[#This Row],[Name PFI/CDD]]="","-",VLOOKUP(Tableau119[[#This Row],[Name PFI/CDD]],Plant_AILN!I:J,2,FALSE))</f>
        <v>-</v>
      </c>
      <c r="AO85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4" s="110">
        <f>VLOOKUP(Tableau119[[#This Row],[Key(POD -PFI- Usine)]],'DATA Consignee'!A:J,10,FALSE)</f>
        <v>0</v>
      </c>
      <c r="AR854" s="81">
        <f>VLOOKUP(Tableau119[[#This Row],[Key(POD -PFI- Usine)]],'DATA Consignee'!A:N,14,FALSE)</f>
        <v>3</v>
      </c>
      <c r="AS85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5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54" s="81">
        <f>Tableau119[[#This Row],[Transit time]]+Tableau119[[#This Row],[Time for security]]+Tableau119[[#This Row],[Time for security2 buffer]]</f>
        <v>32</v>
      </c>
      <c r="AV85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54" s="50">
        <f>Tableau119[[#This Row],[Leadtime SI2C]]+Tableau119[[#This Row],[First Receipt Days]]-Tableau119[[#This Row],[Day Customer Order]]+1</f>
        <v>76</v>
      </c>
      <c r="AX854" s="119">
        <f>IF(Tableau119[[#This Row],[Name ILN]]&lt;&gt;"SFK Freight Forwarder",Tableau119[[#This Row],[Cust. Leadtime]],Tableau119[[#This Row],[Leadtime SI2C]])</f>
        <v>76</v>
      </c>
      <c r="AY854" s="51" t="str">
        <f>_xlfn.XLOOKUP(Tableau119[[#This Row],[Key(ID-date)]],'DATA BTO'!S:S,'DATA BTO'!P:P,FALSE)</f>
        <v>Renault &gt; Horse BPH</v>
      </c>
      <c r="AZ854" s="388">
        <v>45412</v>
      </c>
      <c r="BA854" s="81"/>
    </row>
    <row r="855" spans="2:53">
      <c r="B855" s="66" t="str">
        <f>_xlfn.CONCAT(Tableau119[[#This Row],[Name ILN]],"-",Tableau119[[#This Row],[Name Shipper]],"-",Tableau119[[#This Row],[Name Site]])</f>
        <v>ILN Chennai-ILN Chennai-MOTORES</v>
      </c>
      <c r="C855" s="66" t="str">
        <f>_xlfn.CONCAT(Tableau119[[#This Row],[Compte ILN]],"-",Tableau119[[#This Row],[Compte Shipper]],"-",Tableau119[[#This Row],[POL]],"-",Tableau119[[#This Row],[Compte Consignee]])</f>
        <v>2533780546-2533780546-INENR-91017700</v>
      </c>
      <c r="D855" s="66" t="str">
        <f>_xlfn.CONCAT(Tableau119[[#This Row],[Compte ILN]],"-",Tableau119[[#This Row],[Compte Shipper]],"-",Tableau119[[#This Row],[POL]])</f>
        <v>2533780546-2533780546-INENR</v>
      </c>
      <c r="E855" s="130" t="str">
        <f>_xlfn.CONCAT(Tableau119[[#This Row],[POL]],"-",Tableau119[[#This Row],[Carrier]],"-",Tableau119[[#This Row],[POD]])</f>
        <v>INENR-CMA-CGM-ESVLC</v>
      </c>
      <c r="F855" s="66" t="str">
        <f>_xlfn.CONCAT(Tableau119[[#This Row],[ID]],"-","Actif")</f>
        <v>918-Actif</v>
      </c>
      <c r="G855" s="66" t="str">
        <f>_xlfn.CONCAT(Tableau119[[#This Row],[POD]],"-",Tableau119[[#This Row],[Code PFI]],"-",Tableau119[[#This Row],[Compte Consignee]])</f>
        <v>ESVLC-91018400-91017700</v>
      </c>
      <c r="H8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ChennaiINENRMOTORES</v>
      </c>
      <c r="I855" s="434" t="str">
        <f>_xlfn.CONCAT(Tableau119[[#This Row],[ID]],"-",Tableau119[[#This Row],[Expiration Date]])</f>
        <v>918-46142</v>
      </c>
      <c r="J8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Chennai-918-INENR-CMA-CGM-ESVLC-PFI VLL-46142</v>
      </c>
      <c r="K855" s="119" t="str">
        <f ca="1">IF(COUNTIF(J:J,Tableau119[[#This Row],[Plant-ILN-shipper-POL-Carrier-POD-PFI]])=1,"Non","Oui")</f>
        <v>Non</v>
      </c>
      <c r="L855" s="128" t="str">
        <f>VLOOKUP(Tableau119[[#This Row],[Name Site]],Plant_AILN!A:D,4,FALSE)</f>
        <v>SPAIN</v>
      </c>
      <c r="M855" s="412" t="s">
        <v>63</v>
      </c>
      <c r="N855" s="454">
        <f>VLOOKUP(Tableau119[[#This Row],[Name Site]],Plant_AILN!A:C,3,FALSE)</f>
        <v>91017700</v>
      </c>
      <c r="O855" s="55">
        <f>IF(Tableau119[[#This Row],[Name PFI/CDD]]="PFI VLL",2,VLOOKUP(Tableau119[[#This Row],[Compte Consignee]],Order!C:D,2,FALSE))</f>
        <v>2</v>
      </c>
      <c r="P855" s="124" t="s">
        <v>149</v>
      </c>
      <c r="Q855" s="365">
        <f>VLOOKUP(Tableau119[[#This Row],[Name ILN]],Plant_AILN!F:G,2,FALSE)</f>
        <v>2533780546</v>
      </c>
      <c r="R855" s="50">
        <f>VLOOKUP(Tableau119[[#This Row],[Compte ILN]],'DATA ILN'!D:I,6,FALSE)</f>
        <v>9</v>
      </c>
      <c r="S855" s="50">
        <f>IFERROR(VLOOKUP(Tableau119[[#This Row],[Key(Compte ILN - shipper - POL - plant)]],'DATA ILN'!A:J,10,FALSE),VLOOKUP(Tableau119[[#This Row],[Key(Compte ILN - shipper - POL)]],'DATA ILN'!B:J,9,FALSE))</f>
        <v>14</v>
      </c>
      <c r="T855" s="50">
        <f>IFERROR(VLOOKUP(Tableau119[[#This Row],[Key(Compte ILN - shipper - POL - plant)]],'DATA ILN'!A:K,11,FALSE),VLOOKUP(Tableau119[[#This Row],[Key(Compte ILN - shipper - POL)]],'DATA ILN'!B:K,10,FALSE))</f>
        <v>5</v>
      </c>
      <c r="U855" s="50">
        <f>IFERROR(VLOOKUP(Tableau119[[#This Row],[Key(Compte ILN - shipper - POL - plant)]],'DATA ILN'!A:L,12,FALSE),VLOOKUP(Tableau119[[#This Row],[Key(Compte ILN - shipper - POL)]],'DATA ILN'!B:L,11,FALSE))</f>
        <v>7</v>
      </c>
      <c r="V855" s="50">
        <f>Tableau119[[#This Row],[Day ILN Order]]+Tableau119[[#This Row],[Delivery time to ILN/Shipper]]-1</f>
        <v>22</v>
      </c>
      <c r="W855" s="50">
        <f>IFERROR(VLOOKUP(Tableau119[[#This Row],[Key(Compte ILN - shipper - POL - plant)]],'DATA ILN'!A:N,14,FALSE),VLOOKUP(Tableau119[[#This Row],[Key(Compte ILN - shipper - POL)]],'DATA ILN'!B:N,13,FALSE))</f>
        <v>2</v>
      </c>
      <c r="X855" s="50">
        <f>IFERROR(VLOOKUP(Tableau119[[#This Row],[Key(Compte ILN - shipper - POL - plant)]],'DATA ILN'!A:P,16,FALSE),VLOOKUP(Tableau119[[#This Row],[Key(Compte ILN - shipper - POL)]],'DATA ILN'!B:P,15,FALSE))</f>
        <v>3</v>
      </c>
      <c r="Y855" s="284" t="s">
        <v>149</v>
      </c>
      <c r="Z855" s="430">
        <f>IFERROR(VLOOKUP(Tableau119[[#This Row],[Name Shipper]],Plant_AILN!L:M,2,FALSE),0)</f>
        <v>2533780546</v>
      </c>
      <c r="AA855" s="406">
        <v>918</v>
      </c>
      <c r="AB855" s="396" t="str">
        <f>_xlfn.XLOOKUP(Tableau119[[#This Row],[Key(ID-date)]],'DATA BTO'!S:S,'DATA BTO'!E:E,FALSE)</f>
        <v>INENR</v>
      </c>
      <c r="AC855" s="3" t="str">
        <f>_xlfn.XLOOKUP(Tableau119[[#This Row],[Key(ID-date)]],'DATA BTO'!S:S,'DATA BTO'!F:F,FALSE)</f>
        <v>CMA-CGM</v>
      </c>
      <c r="AD855" s="50">
        <f>_xlfn.XLOOKUP(Tableau119[[#This Row],[Key(ID-date)]],'DATA BTO'!S:S,'DATA BTO'!G:G,FALSE)</f>
        <v>5</v>
      </c>
      <c r="AE855" s="50">
        <f>_xlfn.XLOOKUP(Tableau119[[#This Row],[Key(ID-date)]],'DATA BTO'!S:S,'DATA BTO'!H:H,FALSE)</f>
        <v>7</v>
      </c>
      <c r="AF855" s="447">
        <f>IF(Tableau119[[#This Row],[First Day to POL]]&lt;=Tableau119[[#This Row],[Day Cut Off]],Tableau119[[#This Row],[Day ETD]],Tableau119[[#This Row],[Day ETD]]+7)</f>
        <v>7</v>
      </c>
      <c r="AG855" s="50">
        <f>_xlfn.XLOOKUP(Tableau119[[#This Row],[Key(ID-date)]],'DATA BTO'!S:S,'DATA BTO'!I:I,FALSE)</f>
        <v>45</v>
      </c>
      <c r="AH855" s="3" t="str">
        <f>_xlfn.XLOOKUP(Tableau119[[#This Row],[Key(ID-date)]],'DATA BTO'!S:S,'DATA BTO'!J:J,FALSE)</f>
        <v>ESVLC</v>
      </c>
      <c r="AI855" s="3">
        <f>_xlfn.XLOOKUP(Tableau119[[#This Row],[Key(ID-date)]],'DATA BTO'!S:S,'DATA BTO'!K:K,FALSE)</f>
        <v>3</v>
      </c>
      <c r="AJ855" s="50">
        <f>_xlfn.XLOOKUP(Tableau119[[#This Row],[Key(ID-date)]],'DATA BTO'!S:S,'DATA BTO'!L:L,FALSE)</f>
        <v>7</v>
      </c>
      <c r="AK855" s="53" t="str">
        <f>_xlfn.XLOOKUP(Tableau119[[#This Row],[Key(ID-date)]],'DATA BTO'!S:S,'DATA BTO'!N:N,FALSE)</f>
        <v>Marc-Aurele</v>
      </c>
      <c r="AL855" s="54">
        <f>VLOOKUP(Tableau119[[#This Row],[Key(POD -PFI- Usine)]],'DATA Consignee'!A:F,6,FALSE)</f>
        <v>2</v>
      </c>
      <c r="AM855" s="284" t="s">
        <v>171</v>
      </c>
      <c r="AN855" s="376">
        <f>IF(Tableau119[[#This Row],[Name PFI/CDD]]="","-",VLOOKUP(Tableau119[[#This Row],[Name PFI/CDD]],Plant_AILN!I:J,2,FALSE))</f>
        <v>91018400</v>
      </c>
      <c r="AO855" s="6">
        <f>IF(COUNTIF(buffer_train[AILN],Tableau119[[#This Row],[Name PFI/CDD]])&gt;0,Tableau119[[#This Row],[First Receipt Days]]+Tableau119[[#This Row],[Cust.]]+Tableau119[[#This Row],[Parts Vanning]]+Tableau119[[#This Row],[Transit Time2]],"-")</f>
        <v>91</v>
      </c>
      <c r="AP855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1</v>
      </c>
      <c r="AQ855" s="2">
        <f>VLOOKUP(Tableau119[[#This Row],[Key(POD -PFI- Usine)]],'DATA Consignee'!A:J,10,FALSE)</f>
        <v>3</v>
      </c>
      <c r="AR855" s="50">
        <f>VLOOKUP(Tableau119[[#This Row],[Key(POD -PFI- Usine)]],'DATA Consignee'!A:N,14,FALSE)</f>
        <v>3</v>
      </c>
      <c r="AS85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5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55" s="50">
        <f>Tableau119[[#This Row],[Transit time]]+Tableau119[[#This Row],[Time for security]]+Tableau119[[#This Row],[Time for security2 buffer]]</f>
        <v>55</v>
      </c>
      <c r="AV85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55" s="50">
        <f>Tableau119[[#This Row],[Leadtime SI2C]]+Tableau119[[#This Row],[First Receipt Days]]-Tableau119[[#This Row],[Day Customer Order]]+1</f>
        <v>97</v>
      </c>
      <c r="AX855" s="119">
        <f>IF(Tableau119[[#This Row],[Name ILN]]&lt;&gt;"SFK Freight Forwarder",Tableau119[[#This Row],[Cust. Leadtime]],Tableau119[[#This Row],[Leadtime SI2C]])</f>
        <v>97</v>
      </c>
      <c r="AY855" s="51" t="str">
        <f>_xlfn.XLOOKUP(Tableau119[[#This Row],[Key(ID-date)]],'DATA BTO'!S:S,'DATA BTO'!P:P,FALSE)</f>
        <v>Renault &gt; Horse BPH</v>
      </c>
      <c r="AZ855" s="338">
        <v>46142</v>
      </c>
      <c r="BA855" s="50"/>
    </row>
    <row r="856" spans="2:53">
      <c r="B856" s="66" t="str">
        <f>_xlfn.CONCAT(Tableau119[[#This Row],[Name ILN]],"-",Tableau119[[#This Row],[Name Shipper]],"-",Tableau119[[#This Row],[Name Site]])</f>
        <v>ILN Chennai-ILN Chennai-MOTORES</v>
      </c>
      <c r="C856" s="66" t="str">
        <f>_xlfn.CONCAT(Tableau119[[#This Row],[Compte ILN]],"-",Tableau119[[#This Row],[Compte Shipper]],"-",Tableau119[[#This Row],[POL]],"-",Tableau119[[#This Row],[Compte Consignee]])</f>
        <v>2533780546-2533780546-INENR-91017700</v>
      </c>
      <c r="D856" s="66" t="str">
        <f>_xlfn.CONCAT(Tableau119[[#This Row],[Compte ILN]],"-",Tableau119[[#This Row],[Compte Shipper]],"-",Tableau119[[#This Row],[POL]])</f>
        <v>2533780546-2533780546-INENR</v>
      </c>
      <c r="E856" s="130" t="str">
        <f>_xlfn.CONCAT(Tableau119[[#This Row],[POL]],"-",Tableau119[[#This Row],[Carrier]],"-",Tableau119[[#This Row],[POD]])</f>
        <v>INENR-CMA-CGM-ESVLC</v>
      </c>
      <c r="F856" s="66" t="str">
        <f>_xlfn.CONCAT(Tableau119[[#This Row],[ID]],"-","Actif")</f>
        <v>918-Actif</v>
      </c>
      <c r="G856" s="66" t="str">
        <f>_xlfn.CONCAT(Tableau119[[#This Row],[POD]],"-",Tableau119[[#This Row],[Code PFI]],"-",Tableau119[[#This Row],[Compte Consignee]])</f>
        <v>ESVLC-91018400-91017700</v>
      </c>
      <c r="H8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ChennaiINENRMOTORES</v>
      </c>
      <c r="I856" s="434" t="str">
        <f>_xlfn.CONCAT(Tableau119[[#This Row],[ID]],"-",Tableau119[[#This Row],[Expiration Date]])</f>
        <v>918-46142</v>
      </c>
      <c r="J8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Chennai-918-INENR-CMA-CGM-ESVLC-CDD VLL-46142</v>
      </c>
      <c r="K856" s="119" t="str">
        <f ca="1">IF(COUNTIF(J:J,Tableau119[[#This Row],[Plant-ILN-shipper-POL-Carrier-POD-PFI]])=1,"Non","Oui")</f>
        <v>Non</v>
      </c>
      <c r="L856" s="128" t="str">
        <f>VLOOKUP(Tableau119[[#This Row],[Name Site]],Plant_AILN!A:D,4,FALSE)</f>
        <v>SPAIN</v>
      </c>
      <c r="M856" s="411" t="s">
        <v>63</v>
      </c>
      <c r="N856" s="454">
        <f>VLOOKUP(Tableau119[[#This Row],[Name Site]],Plant_AILN!A:C,3,FALSE)</f>
        <v>91017700</v>
      </c>
      <c r="O856" s="55">
        <f>IF(Tableau119[[#This Row],[Name PFI/CDD]]="PFI VLL",2,VLOOKUP(Tableau119[[#This Row],[Compte Consignee]],Order!C:D,2,FALSE))</f>
        <v>7</v>
      </c>
      <c r="P856" s="124" t="s">
        <v>149</v>
      </c>
      <c r="Q856" s="365">
        <f>VLOOKUP(Tableau119[[#This Row],[Name ILN]],Plant_AILN!F:G,2,FALSE)</f>
        <v>2533780546</v>
      </c>
      <c r="R856" s="50">
        <f>VLOOKUP(Tableau119[[#This Row],[Compte ILN]],'DATA ILN'!D:I,6,FALSE)</f>
        <v>9</v>
      </c>
      <c r="S856" s="50">
        <f>IFERROR(VLOOKUP(Tableau119[[#This Row],[Key(Compte ILN - shipper - POL - plant)]],'DATA ILN'!A:J,10,FALSE),VLOOKUP(Tableau119[[#This Row],[Key(Compte ILN - shipper - POL)]],'DATA ILN'!B:J,9,FALSE))</f>
        <v>14</v>
      </c>
      <c r="T856" s="50">
        <f>IFERROR(VLOOKUP(Tableau119[[#This Row],[Key(Compte ILN - shipper - POL - plant)]],'DATA ILN'!A:K,11,FALSE),VLOOKUP(Tableau119[[#This Row],[Key(Compte ILN - shipper - POL)]],'DATA ILN'!B:K,10,FALSE))</f>
        <v>5</v>
      </c>
      <c r="U856" s="50">
        <f>IFERROR(VLOOKUP(Tableau119[[#This Row],[Key(Compte ILN - shipper - POL - plant)]],'DATA ILN'!A:L,12,FALSE),VLOOKUP(Tableau119[[#This Row],[Key(Compte ILN - shipper - POL)]],'DATA ILN'!B:L,11,FALSE))</f>
        <v>7</v>
      </c>
      <c r="V856" s="50">
        <f>Tableau119[[#This Row],[Day ILN Order]]+Tableau119[[#This Row],[Delivery time to ILN/Shipper]]-1</f>
        <v>22</v>
      </c>
      <c r="W856" s="50">
        <f>IFERROR(VLOOKUP(Tableau119[[#This Row],[Key(Compte ILN - shipper - POL - plant)]],'DATA ILN'!A:N,14,FALSE),VLOOKUP(Tableau119[[#This Row],[Key(Compte ILN - shipper - POL)]],'DATA ILN'!B:N,13,FALSE))</f>
        <v>2</v>
      </c>
      <c r="X856" s="50">
        <f>IFERROR(VLOOKUP(Tableau119[[#This Row],[Key(Compte ILN - shipper - POL - plant)]],'DATA ILN'!A:P,16,FALSE),VLOOKUP(Tableau119[[#This Row],[Key(Compte ILN - shipper - POL)]],'DATA ILN'!B:P,15,FALSE))</f>
        <v>3</v>
      </c>
      <c r="Y856" s="284" t="s">
        <v>149</v>
      </c>
      <c r="Z856" s="430">
        <f>IFERROR(VLOOKUP(Tableau119[[#This Row],[Name Shipper]],Plant_AILN!L:M,2,FALSE),0)</f>
        <v>2533780546</v>
      </c>
      <c r="AA856" s="406">
        <v>918</v>
      </c>
      <c r="AB856" s="396" t="str">
        <f>_xlfn.XLOOKUP(Tableau119[[#This Row],[Key(ID-date)]],'DATA BTO'!S:S,'DATA BTO'!E:E,FALSE)</f>
        <v>INENR</v>
      </c>
      <c r="AC856" s="3" t="str">
        <f>_xlfn.XLOOKUP(Tableau119[[#This Row],[Key(ID-date)]],'DATA BTO'!S:S,'DATA BTO'!F:F,FALSE)</f>
        <v>CMA-CGM</v>
      </c>
      <c r="AD856" s="50">
        <f>_xlfn.XLOOKUP(Tableau119[[#This Row],[Key(ID-date)]],'DATA BTO'!S:S,'DATA BTO'!G:G,FALSE)</f>
        <v>5</v>
      </c>
      <c r="AE856" s="50">
        <f>_xlfn.XLOOKUP(Tableau119[[#This Row],[Key(ID-date)]],'DATA BTO'!S:S,'DATA BTO'!H:H,FALSE)</f>
        <v>7</v>
      </c>
      <c r="AF856" s="447">
        <f>IF(Tableau119[[#This Row],[First Day to POL]]&lt;=Tableau119[[#This Row],[Day Cut Off]],Tableau119[[#This Row],[Day ETD]],Tableau119[[#This Row],[Day ETD]]+7)</f>
        <v>7</v>
      </c>
      <c r="AG856" s="50">
        <f>_xlfn.XLOOKUP(Tableau119[[#This Row],[Key(ID-date)]],'DATA BTO'!S:S,'DATA BTO'!I:I,FALSE)</f>
        <v>45</v>
      </c>
      <c r="AH856" s="3" t="str">
        <f>_xlfn.XLOOKUP(Tableau119[[#This Row],[Key(ID-date)]],'DATA BTO'!S:S,'DATA BTO'!J:J,FALSE)</f>
        <v>ESVLC</v>
      </c>
      <c r="AI856" s="3">
        <f>_xlfn.XLOOKUP(Tableau119[[#This Row],[Key(ID-date)]],'DATA BTO'!S:S,'DATA BTO'!K:K,FALSE)</f>
        <v>3</v>
      </c>
      <c r="AJ856" s="50">
        <f>_xlfn.XLOOKUP(Tableau119[[#This Row],[Key(ID-date)]],'DATA BTO'!S:S,'DATA BTO'!L:L,FALSE)</f>
        <v>7</v>
      </c>
      <c r="AK856" s="53" t="str">
        <f>_xlfn.XLOOKUP(Tableau119[[#This Row],[Key(ID-date)]],'DATA BTO'!S:S,'DATA BTO'!N:N,FALSE)</f>
        <v>Marc-Aurele</v>
      </c>
      <c r="AL856" s="54">
        <f>VLOOKUP(Tableau119[[#This Row],[Key(POD -PFI- Usine)]],'DATA Consignee'!A:F,6,FALSE)</f>
        <v>2</v>
      </c>
      <c r="AM856" s="284" t="s">
        <v>169</v>
      </c>
      <c r="AN856" s="376">
        <f>IF(Tableau119[[#This Row],[Name PFI/CDD]]="","-",VLOOKUP(Tableau119[[#This Row],[Name PFI/CDD]],Plant_AILN!I:J,2,FALSE))</f>
        <v>91018400</v>
      </c>
      <c r="AO856" s="6">
        <f>IF(COUNTIF(buffer_train[AILN],Tableau119[[#This Row],[Name PFI/CDD]])&gt;0,Tableau119[[#This Row],[First Receipt Days]]+Tableau119[[#This Row],[Cust.]]+Tableau119[[#This Row],[Parts Vanning]]+Tableau119[[#This Row],[Transit Time2]],"-")</f>
        <v>91</v>
      </c>
      <c r="AP856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1</v>
      </c>
      <c r="AQ856" s="2">
        <f>VLOOKUP(Tableau119[[#This Row],[Key(POD -PFI- Usine)]],'DATA Consignee'!A:J,10,FALSE)</f>
        <v>3</v>
      </c>
      <c r="AR856" s="50">
        <f>VLOOKUP(Tableau119[[#This Row],[Key(POD -PFI- Usine)]],'DATA Consignee'!A:N,14,FALSE)</f>
        <v>3</v>
      </c>
      <c r="AS85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5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56" s="50">
        <f>Tableau119[[#This Row],[Transit time]]+Tableau119[[#This Row],[Time for security]]+Tableau119[[#This Row],[Time for security2 buffer]]</f>
        <v>55</v>
      </c>
      <c r="AV85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56" s="50">
        <f>Tableau119[[#This Row],[Leadtime SI2C]]+Tableau119[[#This Row],[First Receipt Days]]-Tableau119[[#This Row],[Day Customer Order]]+1</f>
        <v>92</v>
      </c>
      <c r="AX856" s="119">
        <f>IF(Tableau119[[#This Row],[Name ILN]]&lt;&gt;"SFK Freight Forwarder",Tableau119[[#This Row],[Cust. Leadtime]],Tableau119[[#This Row],[Leadtime SI2C]])</f>
        <v>92</v>
      </c>
      <c r="AY856" s="51" t="str">
        <f>_xlfn.XLOOKUP(Tableau119[[#This Row],[Key(ID-date)]],'DATA BTO'!S:S,'DATA BTO'!P:P,FALSE)</f>
        <v>Renault &gt; Horse BPH</v>
      </c>
      <c r="AZ856" s="338">
        <v>46142</v>
      </c>
      <c r="BA856" s="50"/>
    </row>
    <row r="857" spans="2:53">
      <c r="B857" s="446" t="str">
        <f>_xlfn.CONCAT(Tableau119[[#This Row],[Name ILN]],"-",Tableau119[[#This Row],[Name Shipper]],"-",Tableau119[[#This Row],[Name Site]])</f>
        <v>ILN Chennai-ILN Chennai-MOTORES</v>
      </c>
      <c r="C857" s="66" t="str">
        <f>_xlfn.CONCAT(Tableau119[[#This Row],[Compte ILN]],"-",Tableau119[[#This Row],[Compte Shipper]],"-",Tableau119[[#This Row],[POL]],"-",Tableau119[[#This Row],[Compte Consignee]])</f>
        <v>2533780546-2533780546-INENR-91017700</v>
      </c>
      <c r="D857" s="66" t="str">
        <f>_xlfn.CONCAT(Tableau119[[#This Row],[Compte ILN]],"-",Tableau119[[#This Row],[Compte Shipper]],"-",Tableau119[[#This Row],[POL]])</f>
        <v>2533780546-2533780546-INENR</v>
      </c>
      <c r="E857" s="130" t="str">
        <f>_xlfn.CONCAT(Tableau119[[#This Row],[POL]],"-",Tableau119[[#This Row],[Carrier]],"-",Tableau119[[#This Row],[POD]])</f>
        <v>INENR-CMA-CGM-ESVLC</v>
      </c>
      <c r="F857" s="66" t="str">
        <f>_xlfn.CONCAT(Tableau119[[#This Row],[ID]],"-","Actif")</f>
        <v>918-Actif</v>
      </c>
      <c r="G857" s="66" t="str">
        <f>_xlfn.CONCAT(Tableau119[[#This Row],[POD]],"-",Tableau119[[#This Row],[Code PFI]],"-",Tableau119[[#This Row],[Compte Consignee]])</f>
        <v>ESVLC---91017700</v>
      </c>
      <c r="H8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ChennaiINENRMOTORES</v>
      </c>
      <c r="I857" s="434" t="str">
        <f>_xlfn.CONCAT(Tableau119[[#This Row],[ID]],"-",Tableau119[[#This Row],[Expiration Date]])</f>
        <v>918-45991</v>
      </c>
      <c r="J8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Chennai-918-INENR-CMA-CGM-ESVLC--45991</v>
      </c>
      <c r="K857" s="119" t="str">
        <f ca="1">IF(COUNTIF(J:J,Tableau119[[#This Row],[Plant-ILN-shipper-POL-Carrier-POD-PFI]])=1,"Non","Oui")</f>
        <v>Non</v>
      </c>
      <c r="L857" s="128" t="str">
        <f>VLOOKUP(Tableau119[[#This Row],[Name Site]],Plant_AILN!A:D,4,FALSE)</f>
        <v>SPAIN</v>
      </c>
      <c r="M857" s="415" t="s">
        <v>63</v>
      </c>
      <c r="N857" s="455">
        <f>VLOOKUP(Tableau119[[#This Row],[Name Site]],Plant_AILN!A:C,3,FALSE)</f>
        <v>91017700</v>
      </c>
      <c r="O857" s="104">
        <f>VLOOKUP(Tableau119[[#This Row],[Compte Consignee]],Order!C:D,2,FALSE)</f>
        <v>7</v>
      </c>
      <c r="P857" s="126" t="s">
        <v>149</v>
      </c>
      <c r="Q857" s="366">
        <f>VLOOKUP(Tableau119[[#This Row],[Name ILN]],Plant_AILN!F:G,2,FALSE)</f>
        <v>2533780546</v>
      </c>
      <c r="R857" s="81">
        <f>VLOOKUP(Tableau119[[#This Row],[Compte ILN]],'DATA ILN'!D:I,6,FALSE)</f>
        <v>9</v>
      </c>
      <c r="S857" s="81">
        <f>IFERROR(VLOOKUP(Tableau119[[#This Row],[Key(Compte ILN - shipper - POL - plant)]],'DATA ILN'!A:J,10,FALSE),VLOOKUP(Tableau119[[#This Row],[Key(Compte ILN - shipper - POL)]],'DATA ILN'!B:J,9,FALSE))</f>
        <v>14</v>
      </c>
      <c r="T857" s="81">
        <f>IFERROR(VLOOKUP(Tableau119[[#This Row],[Key(Compte ILN - shipper - POL - plant)]],'DATA ILN'!A:K,11,FALSE),VLOOKUP(Tableau119[[#This Row],[Key(Compte ILN - shipper - POL)]],'DATA ILN'!B:K,10,FALSE))</f>
        <v>5</v>
      </c>
      <c r="U857" s="81">
        <f>IFERROR(VLOOKUP(Tableau119[[#This Row],[Key(Compte ILN - shipper - POL - plant)]],'DATA ILN'!A:L,12,FALSE),VLOOKUP(Tableau119[[#This Row],[Key(Compte ILN - shipper - POL)]],'DATA ILN'!B:L,11,FALSE))</f>
        <v>7</v>
      </c>
      <c r="V857" s="81">
        <f>Tableau119[[#This Row],[Day ILN Order]]+Tableau119[[#This Row],[Delivery time to ILN/Shipper]]-1</f>
        <v>22</v>
      </c>
      <c r="W857" s="81">
        <f>IFERROR(VLOOKUP(Tableau119[[#This Row],[Key(Compte ILN - shipper - POL - plant)]],'DATA ILN'!A:N,14,FALSE),VLOOKUP(Tableau119[[#This Row],[Key(Compte ILN - shipper - POL)]],'DATA ILN'!B:N,13,FALSE))</f>
        <v>2</v>
      </c>
      <c r="X857" s="81">
        <f>IFERROR(VLOOKUP(Tableau119[[#This Row],[Key(Compte ILN - shipper - POL - plant)]],'DATA ILN'!A:P,16,FALSE),VLOOKUP(Tableau119[[#This Row],[Key(Compte ILN - shipper - POL)]],'DATA ILN'!B:P,15,FALSE))</f>
        <v>3</v>
      </c>
      <c r="Y857" s="102" t="s">
        <v>149</v>
      </c>
      <c r="Z857" s="417">
        <f>IFERROR(VLOOKUP(Tableau119[[#This Row],[Name Shipper]],Plant_AILN!L:M,2,FALSE),0)</f>
        <v>2533780546</v>
      </c>
      <c r="AA857" s="416">
        <v>918</v>
      </c>
      <c r="AB857" s="396" t="str">
        <f>_xlfn.XLOOKUP(Tableau119[[#This Row],[Key(ID-date)]],'DATA BTO'!S:S,'DATA BTO'!E:E,FALSE)</f>
        <v>INENR</v>
      </c>
      <c r="AC857" s="3" t="str">
        <f>_xlfn.XLOOKUP(Tableau119[[#This Row],[Key(ID-date)]],'DATA BTO'!S:S,'DATA BTO'!F:F,FALSE)</f>
        <v>CMA-CGM</v>
      </c>
      <c r="AD857" s="50">
        <f>_xlfn.XLOOKUP(Tableau119[[#This Row],[Key(ID-date)]],'DATA BTO'!S:S,'DATA BTO'!G:G,FALSE)</f>
        <v>5</v>
      </c>
      <c r="AE857" s="50">
        <f>_xlfn.XLOOKUP(Tableau119[[#This Row],[Key(ID-date)]],'DATA BTO'!S:S,'DATA BTO'!H:H,FALSE)</f>
        <v>7</v>
      </c>
      <c r="AF857" s="447">
        <f>IF(Tableau119[[#This Row],[First Day to POL]]&lt;=Tableau119[[#This Row],[Day Cut Off]],Tableau119[[#This Row],[Day ETD]],Tableau119[[#This Row],[Day ETD]]+7)</f>
        <v>7</v>
      </c>
      <c r="AG857" s="50">
        <f>_xlfn.XLOOKUP(Tableau119[[#This Row],[Key(ID-date)]],'DATA BTO'!S:S,'DATA BTO'!I:I,FALSE)</f>
        <v>45</v>
      </c>
      <c r="AH857" s="3" t="str">
        <f>_xlfn.XLOOKUP(Tableau119[[#This Row],[Key(ID-date)]],'DATA BTO'!S:S,'DATA BTO'!J:J,FALSE)</f>
        <v>ESVLC</v>
      </c>
      <c r="AI857" s="3">
        <f>_xlfn.XLOOKUP(Tableau119[[#This Row],[Key(ID-date)]],'DATA BTO'!S:S,'DATA BTO'!K:K,FALSE)</f>
        <v>3</v>
      </c>
      <c r="AJ857" s="50">
        <f>_xlfn.XLOOKUP(Tableau119[[#This Row],[Key(ID-date)]],'DATA BTO'!S:S,'DATA BTO'!L:L,FALSE)</f>
        <v>0</v>
      </c>
      <c r="AK857" s="53" t="str">
        <f>_xlfn.XLOOKUP(Tableau119[[#This Row],[Key(ID-date)]],'DATA BTO'!S:S,'DATA BTO'!N:N,FALSE)</f>
        <v>Marc-Aurele</v>
      </c>
      <c r="AL857" s="54">
        <f>VLOOKUP(Tableau119[[#This Row],[Key(POD -PFI- Usine)]],'DATA Consignee'!A:F,6,FALSE)</f>
        <v>2</v>
      </c>
      <c r="AM857" s="102"/>
      <c r="AN857" s="375" t="str">
        <f>IF(Tableau119[[#This Row],[Name PFI/CDD]]="","-",VLOOKUP(Tableau119[[#This Row],[Name PFI/CDD]],Plant_AILN!I:J,2,FALSE))</f>
        <v>-</v>
      </c>
      <c r="AO85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7" s="110">
        <f>VLOOKUP(Tableau119[[#This Row],[Key(POD -PFI- Usine)]],'DATA Consignee'!A:J,10,FALSE)</f>
        <v>0</v>
      </c>
      <c r="AR857" s="81">
        <f>VLOOKUP(Tableau119[[#This Row],[Key(POD -PFI- Usine)]],'DATA Consignee'!A:N,14,FALSE)</f>
        <v>3</v>
      </c>
      <c r="AS85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5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57" s="81">
        <f>Tableau119[[#This Row],[Transit time]]+Tableau119[[#This Row],[Time for security]]+Tableau119[[#This Row],[Time for security2 buffer]]</f>
        <v>48</v>
      </c>
      <c r="AV85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57" s="50">
        <f>Tableau119[[#This Row],[Leadtime SI2C]]+Tableau119[[#This Row],[First Receipt Days]]-Tableau119[[#This Row],[Day Customer Order]]+1</f>
        <v>85</v>
      </c>
      <c r="AX857" s="119">
        <f>IF(Tableau119[[#This Row],[Name ILN]]&lt;&gt;"SFK Freight Forwarder",Tableau119[[#This Row],[Cust. Leadtime]],Tableau119[[#This Row],[Leadtime SI2C]])</f>
        <v>85</v>
      </c>
      <c r="AY857" s="51" t="str">
        <f>_xlfn.XLOOKUP(Tableau119[[#This Row],[Key(ID-date)]],'DATA BTO'!S:S,'DATA BTO'!P:P,FALSE)</f>
        <v>Renault &gt; Horse BPH</v>
      </c>
      <c r="AZ857" s="388">
        <v>45991</v>
      </c>
      <c r="BA857" s="81"/>
    </row>
    <row r="858" spans="2:53">
      <c r="B858" s="446" t="str">
        <f>_xlfn.CONCAT(Tableau119[[#This Row],[Name ILN]],"-",Tableau119[[#This Row],[Name Shipper]],"-",Tableau119[[#This Row],[Name Site]])</f>
        <v>ILN Chennai-ILN Chennai-MOTORES</v>
      </c>
      <c r="C858" s="66" t="str">
        <f>_xlfn.CONCAT(Tableau119[[#This Row],[Compte ILN]],"-",Tableau119[[#This Row],[Compte Shipper]],"-",Tableau119[[#This Row],[POL]],"-",Tableau119[[#This Row],[Compte Consignee]])</f>
        <v>2533780546-2533780546-INENR-91017700</v>
      </c>
      <c r="D858" s="66" t="str">
        <f>_xlfn.CONCAT(Tableau119[[#This Row],[Compte ILN]],"-",Tableau119[[#This Row],[Compte Shipper]],"-",Tableau119[[#This Row],[POL]])</f>
        <v>2533780546-2533780546-INENR</v>
      </c>
      <c r="E858" s="130" t="str">
        <f>_xlfn.CONCAT(Tableau119[[#This Row],[POL]],"-",Tableau119[[#This Row],[Carrier]],"-",Tableau119[[#This Row],[POD]])</f>
        <v>INENR-CMA-CGM-ESVLC</v>
      </c>
      <c r="F858" s="66" t="str">
        <f>_xlfn.CONCAT(Tableau119[[#This Row],[ID]],"-","Actif")</f>
        <v>918-Actif</v>
      </c>
      <c r="G858" s="66" t="str">
        <f>_xlfn.CONCAT(Tableau119[[#This Row],[POD]],"-",Tableau119[[#This Row],[Code PFI]],"-",Tableau119[[#This Row],[Compte Consignee]])</f>
        <v>ESVLC---91017700</v>
      </c>
      <c r="H8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ChennaiINENRMOTORES</v>
      </c>
      <c r="I858" s="434" t="str">
        <f>_xlfn.CONCAT(Tableau119[[#This Row],[ID]],"-",Tableau119[[#This Row],[Expiration Date]])</f>
        <v>918-45976</v>
      </c>
      <c r="J8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Chennai-918-INENR-CMA-CGM-ESVLC--45976</v>
      </c>
      <c r="K858" s="119" t="str">
        <f ca="1">IF(COUNTIF(J:J,Tableau119[[#This Row],[Plant-ILN-shipper-POL-Carrier-POD-PFI]])=1,"Non","Oui")</f>
        <v>Non</v>
      </c>
      <c r="L858" s="128" t="str">
        <f>VLOOKUP(Tableau119[[#This Row],[Name Site]],Plant_AILN!A:D,4,FALSE)</f>
        <v>SPAIN</v>
      </c>
      <c r="M858" s="411" t="s">
        <v>63</v>
      </c>
      <c r="N858" s="454">
        <f>VLOOKUP(Tableau119[[#This Row],[Name Site]],Plant_AILN!A:C,3,FALSE)</f>
        <v>91017700</v>
      </c>
      <c r="O858" s="55">
        <f>VLOOKUP(Tableau119[[#This Row],[Compte Consignee]],Order!C:D,2,FALSE)</f>
        <v>7</v>
      </c>
      <c r="P858" s="124" t="s">
        <v>149</v>
      </c>
      <c r="Q858" s="365">
        <f>VLOOKUP(Tableau119[[#This Row],[Name ILN]],Plant_AILN!F:G,2,FALSE)</f>
        <v>2533780546</v>
      </c>
      <c r="R858" s="50">
        <f>VLOOKUP(Tableau119[[#This Row],[Compte ILN]],'DATA ILN'!D:I,6,FALSE)</f>
        <v>9</v>
      </c>
      <c r="S858" s="50">
        <f>IFERROR(VLOOKUP(Tableau119[[#This Row],[Key(Compte ILN - shipper - POL - plant)]],'DATA ILN'!A:J,10,FALSE),VLOOKUP(Tableau119[[#This Row],[Key(Compte ILN - shipper - POL)]],'DATA ILN'!B:J,9,FALSE))</f>
        <v>14</v>
      </c>
      <c r="T858" s="50">
        <f>IFERROR(VLOOKUP(Tableau119[[#This Row],[Key(Compte ILN - shipper - POL - plant)]],'DATA ILN'!A:K,11,FALSE),VLOOKUP(Tableau119[[#This Row],[Key(Compte ILN - shipper - POL)]],'DATA ILN'!B:K,10,FALSE))</f>
        <v>5</v>
      </c>
      <c r="U858" s="50">
        <f>IFERROR(VLOOKUP(Tableau119[[#This Row],[Key(Compte ILN - shipper - POL - plant)]],'DATA ILN'!A:L,12,FALSE),VLOOKUP(Tableau119[[#This Row],[Key(Compte ILN - shipper - POL)]],'DATA ILN'!B:L,11,FALSE))</f>
        <v>7</v>
      </c>
      <c r="V858" s="50">
        <f>Tableau119[[#This Row],[Day ILN Order]]+Tableau119[[#This Row],[Delivery time to ILN/Shipper]]-1</f>
        <v>22</v>
      </c>
      <c r="W858" s="50">
        <f>IFERROR(VLOOKUP(Tableau119[[#This Row],[Key(Compte ILN - shipper - POL - plant)]],'DATA ILN'!A:N,14,FALSE),VLOOKUP(Tableau119[[#This Row],[Key(Compte ILN - shipper - POL)]],'DATA ILN'!B:N,13,FALSE))</f>
        <v>2</v>
      </c>
      <c r="X858" s="50">
        <f>IFERROR(VLOOKUP(Tableau119[[#This Row],[Key(Compte ILN - shipper - POL - plant)]],'DATA ILN'!A:P,16,FALSE),VLOOKUP(Tableau119[[#This Row],[Key(Compte ILN - shipper - POL)]],'DATA ILN'!B:P,15,FALSE))</f>
        <v>3</v>
      </c>
      <c r="Y858" s="284" t="s">
        <v>149</v>
      </c>
      <c r="Z858" s="430">
        <f>IFERROR(VLOOKUP(Tableau119[[#This Row],[Name Shipper]],Plant_AILN!L:M,2,FALSE),0)</f>
        <v>2533780546</v>
      </c>
      <c r="AA858" s="406">
        <v>918</v>
      </c>
      <c r="AB858" s="396" t="str">
        <f>_xlfn.XLOOKUP(Tableau119[[#This Row],[Key(ID-date)]],'DATA BTO'!S:S,'DATA BTO'!E:E,FALSE)</f>
        <v>INENR</v>
      </c>
      <c r="AC858" s="3" t="str">
        <f>_xlfn.XLOOKUP(Tableau119[[#This Row],[Key(ID-date)]],'DATA BTO'!S:S,'DATA BTO'!F:F,FALSE)</f>
        <v>CMA-CGM</v>
      </c>
      <c r="AD858" s="50">
        <f>_xlfn.XLOOKUP(Tableau119[[#This Row],[Key(ID-date)]],'DATA BTO'!S:S,'DATA BTO'!G:G,FALSE)</f>
        <v>4</v>
      </c>
      <c r="AE858" s="50">
        <f>_xlfn.XLOOKUP(Tableau119[[#This Row],[Key(ID-date)]],'DATA BTO'!S:S,'DATA BTO'!H:H,FALSE)</f>
        <v>6</v>
      </c>
      <c r="AF858" s="447">
        <f>IF(Tableau119[[#This Row],[First Day to POL]]&lt;=Tableau119[[#This Row],[Day Cut Off]],Tableau119[[#This Row],[Day ETD]],Tableau119[[#This Row],[Day ETD]]+7)</f>
        <v>6</v>
      </c>
      <c r="AG858" s="50">
        <f>_xlfn.XLOOKUP(Tableau119[[#This Row],[Key(ID-date)]],'DATA BTO'!S:S,'DATA BTO'!I:I,FALSE)</f>
        <v>45</v>
      </c>
      <c r="AH858" s="3" t="str">
        <f>_xlfn.XLOOKUP(Tableau119[[#This Row],[Key(ID-date)]],'DATA BTO'!S:S,'DATA BTO'!J:J,FALSE)</f>
        <v>ESVLC</v>
      </c>
      <c r="AI858" s="3">
        <f>_xlfn.XLOOKUP(Tableau119[[#This Row],[Key(ID-date)]],'DATA BTO'!S:S,'DATA BTO'!K:K,FALSE)</f>
        <v>3</v>
      </c>
      <c r="AJ858" s="50">
        <f>_xlfn.XLOOKUP(Tableau119[[#This Row],[Key(ID-date)]],'DATA BTO'!S:S,'DATA BTO'!L:L,FALSE)</f>
        <v>7</v>
      </c>
      <c r="AK858" s="53" t="str">
        <f>_xlfn.XLOOKUP(Tableau119[[#This Row],[Key(ID-date)]],'DATA BTO'!S:S,'DATA BTO'!N:N,FALSE)</f>
        <v>Marc-Aurele</v>
      </c>
      <c r="AL858" s="54">
        <f>VLOOKUP(Tableau119[[#This Row],[Key(POD -PFI- Usine)]],'DATA Consignee'!A:F,6,FALSE)</f>
        <v>2</v>
      </c>
      <c r="AM858" s="284"/>
      <c r="AN858" s="376" t="str">
        <f>IF(Tableau119[[#This Row],[Name PFI/CDD]]="","-",VLOOKUP(Tableau119[[#This Row],[Name PFI/CDD]],Plant_AILN!I:J,2,FALSE))</f>
        <v>-</v>
      </c>
      <c r="AO85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8" s="2">
        <f>VLOOKUP(Tableau119[[#This Row],[Key(POD -PFI- Usine)]],'DATA Consignee'!A:J,10,FALSE)</f>
        <v>0</v>
      </c>
      <c r="AR858" s="50">
        <f>VLOOKUP(Tableau119[[#This Row],[Key(POD -PFI- Usine)]],'DATA Consignee'!A:N,14,FALSE)</f>
        <v>3</v>
      </c>
      <c r="AS85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5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858" s="50">
        <f>Tableau119[[#This Row],[Transit time]]+Tableau119[[#This Row],[Time for security]]+Tableau119[[#This Row],[Time for security2 buffer]]</f>
        <v>55</v>
      </c>
      <c r="AV85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58" s="50">
        <f>Tableau119[[#This Row],[Leadtime SI2C]]+Tableau119[[#This Row],[First Receipt Days]]-Tableau119[[#This Row],[Day Customer Order]]+1</f>
        <v>92</v>
      </c>
      <c r="AX858" s="119">
        <f>IF(Tableau119[[#This Row],[Name ILN]]&lt;&gt;"SFK Freight Forwarder",Tableau119[[#This Row],[Cust. Leadtime]],Tableau119[[#This Row],[Leadtime SI2C]])</f>
        <v>92</v>
      </c>
      <c r="AY858" s="51" t="str">
        <f>_xlfn.XLOOKUP(Tableau119[[#This Row],[Key(ID-date)]],'DATA BTO'!S:S,'DATA BTO'!P:P,FALSE)</f>
        <v>Renault &gt; Horse BPH</v>
      </c>
      <c r="AZ858" s="338">
        <v>45976</v>
      </c>
      <c r="BA858" s="50"/>
    </row>
    <row r="859" spans="2:53">
      <c r="B859" s="446" t="str">
        <f>_xlfn.CONCAT(Tableau119[[#This Row],[Name ILN]],"-",Tableau119[[#This Row],[Name Shipper]],"-",Tableau119[[#This Row],[Name Site]])</f>
        <v>ILN Chennai-ILN Chennai-MOTORES</v>
      </c>
      <c r="C859" s="66" t="str">
        <f>_xlfn.CONCAT(Tableau119[[#This Row],[Compte ILN]],"-",Tableau119[[#This Row],[Compte Shipper]],"-",Tableau119[[#This Row],[POL]],"-",Tableau119[[#This Row],[Compte Consignee]])</f>
        <v>2533780546-2533780546-INMAA-91017700</v>
      </c>
      <c r="D859" s="66" t="str">
        <f>_xlfn.CONCAT(Tableau119[[#This Row],[Compte ILN]],"-",Tableau119[[#This Row],[Compte Shipper]],"-",Tableau119[[#This Row],[POL]])</f>
        <v>2533780546-2533780546-INMAA</v>
      </c>
      <c r="E859" s="130" t="str">
        <f>_xlfn.CONCAT(Tableau119[[#This Row],[POL]],"-",Tableau119[[#This Row],[Carrier]],"-",Tableau119[[#This Row],[POD]])</f>
        <v>INMAA-CMA-CGM-ESVLC</v>
      </c>
      <c r="F859" s="66" t="str">
        <f>_xlfn.CONCAT(Tableau119[[#This Row],[ID]],"-","Actif")</f>
        <v>918-Actif</v>
      </c>
      <c r="G859" s="66" t="str">
        <f>_xlfn.CONCAT(Tableau119[[#This Row],[POD]],"-",Tableau119[[#This Row],[Code PFI]],"-",Tableau119[[#This Row],[Compte Consignee]])</f>
        <v>ESVLC---91017700</v>
      </c>
      <c r="H8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ChennaiINMAAMOTORES</v>
      </c>
      <c r="I859" s="434" t="str">
        <f>_xlfn.CONCAT(Tableau119[[#This Row],[ID]],"-",Tableau119[[#This Row],[Expiration Date]])</f>
        <v>918-45777</v>
      </c>
      <c r="J8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Chennai-918-INMAA-CMA-CGM-ESVLC--45777</v>
      </c>
      <c r="K859" s="119" t="str">
        <f ca="1">IF(COUNTIF(J:J,Tableau119[[#This Row],[Plant-ILN-shipper-POL-Carrier-POD-PFI]])=1,"Non","Oui")</f>
        <v>Non</v>
      </c>
      <c r="L859" s="128" t="str">
        <f>VLOOKUP(Tableau119[[#This Row],[Name Site]],Plant_AILN!A:D,4,FALSE)</f>
        <v>SPAIN</v>
      </c>
      <c r="M859" s="411" t="s">
        <v>63</v>
      </c>
      <c r="N859" s="454">
        <f>VLOOKUP(Tableau119[[#This Row],[Name Site]],Plant_AILN!A:C,3,FALSE)</f>
        <v>91017700</v>
      </c>
      <c r="O859" s="55">
        <f>VLOOKUP(Tableau119[[#This Row],[Compte Consignee]],Order!C:D,2,FALSE)</f>
        <v>7</v>
      </c>
      <c r="P859" s="124" t="s">
        <v>149</v>
      </c>
      <c r="Q859" s="365">
        <f>VLOOKUP(Tableau119[[#This Row],[Name ILN]],Plant_AILN!F:G,2,FALSE)</f>
        <v>2533780546</v>
      </c>
      <c r="R859" s="50">
        <f>VLOOKUP(Tableau119[[#This Row],[Compte ILN]],'DATA ILN'!D:I,6,FALSE)</f>
        <v>9</v>
      </c>
      <c r="S859" s="50">
        <f>IFERROR(VLOOKUP(Tableau119[[#This Row],[Key(Compte ILN - shipper - POL - plant)]],'DATA ILN'!A:J,10,FALSE),VLOOKUP(Tableau119[[#This Row],[Key(Compte ILN - shipper - POL)]],'DATA ILN'!B:J,9,FALSE))</f>
        <v>14</v>
      </c>
      <c r="T859" s="50">
        <f>IFERROR(VLOOKUP(Tableau119[[#This Row],[Key(Compte ILN - shipper - POL - plant)]],'DATA ILN'!A:K,11,FALSE),VLOOKUP(Tableau119[[#This Row],[Key(Compte ILN - shipper - POL)]],'DATA ILN'!B:K,10,FALSE))</f>
        <v>5</v>
      </c>
      <c r="U859" s="50">
        <f>IFERROR(VLOOKUP(Tableau119[[#This Row],[Key(Compte ILN - shipper - POL - plant)]],'DATA ILN'!A:L,12,FALSE),VLOOKUP(Tableau119[[#This Row],[Key(Compte ILN - shipper - POL)]],'DATA ILN'!B:L,11,FALSE))</f>
        <v>7</v>
      </c>
      <c r="V859" s="50">
        <f>Tableau119[[#This Row],[Day ILN Order]]+Tableau119[[#This Row],[Delivery time to ILN/Shipper]]-1</f>
        <v>22</v>
      </c>
      <c r="W859" s="50">
        <f>IFERROR(VLOOKUP(Tableau119[[#This Row],[Key(Compte ILN - shipper - POL - plant)]],'DATA ILN'!A:N,14,FALSE),VLOOKUP(Tableau119[[#This Row],[Key(Compte ILN - shipper - POL)]],'DATA ILN'!B:N,13,FALSE))</f>
        <v>2</v>
      </c>
      <c r="X859" s="50">
        <f>IFERROR(VLOOKUP(Tableau119[[#This Row],[Key(Compte ILN - shipper - POL - plant)]],'DATA ILN'!A:P,16,FALSE),VLOOKUP(Tableau119[[#This Row],[Key(Compte ILN - shipper - POL)]],'DATA ILN'!B:P,15,FALSE))</f>
        <v>3</v>
      </c>
      <c r="Y859" s="284" t="s">
        <v>149</v>
      </c>
      <c r="Z859" s="430">
        <f>IFERROR(VLOOKUP(Tableau119[[#This Row],[Name Shipper]],Plant_AILN!L:M,2,FALSE),0)</f>
        <v>2533780546</v>
      </c>
      <c r="AA859" s="406">
        <v>918</v>
      </c>
      <c r="AB859" s="396" t="str">
        <f>_xlfn.XLOOKUP(Tableau119[[#This Row],[Key(ID-date)]],'DATA BTO'!S:S,'DATA BTO'!E:E,FALSE)</f>
        <v>INMAA</v>
      </c>
      <c r="AC859" s="3" t="str">
        <f>_xlfn.XLOOKUP(Tableau119[[#This Row],[Key(ID-date)]],'DATA BTO'!S:S,'DATA BTO'!F:F,FALSE)</f>
        <v>CMA-CGM</v>
      </c>
      <c r="AD859" s="50">
        <f>_xlfn.XLOOKUP(Tableau119[[#This Row],[Key(ID-date)]],'DATA BTO'!S:S,'DATA BTO'!G:G,FALSE)</f>
        <v>5</v>
      </c>
      <c r="AE859" s="50">
        <f>_xlfn.XLOOKUP(Tableau119[[#This Row],[Key(ID-date)]],'DATA BTO'!S:S,'DATA BTO'!H:H,FALSE)</f>
        <v>7</v>
      </c>
      <c r="AF859" s="447">
        <f>IF(Tableau119[[#This Row],[First Day to POL]]&lt;=Tableau119[[#This Row],[Day Cut Off]],Tableau119[[#This Row],[Day ETD]],Tableau119[[#This Row],[Day ETD]]+7)</f>
        <v>7</v>
      </c>
      <c r="AG859" s="50">
        <f>_xlfn.XLOOKUP(Tableau119[[#This Row],[Key(ID-date)]],'DATA BTO'!S:S,'DATA BTO'!I:I,FALSE)</f>
        <v>45</v>
      </c>
      <c r="AH859" s="3" t="str">
        <f>_xlfn.XLOOKUP(Tableau119[[#This Row],[Key(ID-date)]],'DATA BTO'!S:S,'DATA BTO'!J:J,FALSE)</f>
        <v>ESVLC</v>
      </c>
      <c r="AI859" s="3">
        <f>_xlfn.XLOOKUP(Tableau119[[#This Row],[Key(ID-date)]],'DATA BTO'!S:S,'DATA BTO'!K:K,FALSE)</f>
        <v>3</v>
      </c>
      <c r="AJ859" s="50">
        <f>_xlfn.XLOOKUP(Tableau119[[#This Row],[Key(ID-date)]],'DATA BTO'!S:S,'DATA BTO'!L:L,FALSE)</f>
        <v>0</v>
      </c>
      <c r="AK859" s="53" t="str">
        <f>_xlfn.XLOOKUP(Tableau119[[#This Row],[Key(ID-date)]],'DATA BTO'!S:S,'DATA BTO'!N:N,FALSE)</f>
        <v>Anthony</v>
      </c>
      <c r="AL859" s="54">
        <f>VLOOKUP(Tableau119[[#This Row],[Key(POD -PFI- Usine)]],'DATA Consignee'!A:F,6,FALSE)</f>
        <v>2</v>
      </c>
      <c r="AM859" s="284"/>
      <c r="AN859" s="376" t="str">
        <f>IF(Tableau119[[#This Row],[Name PFI/CDD]]="","-",VLOOKUP(Tableau119[[#This Row],[Name PFI/CDD]],Plant_AILN!I:J,2,FALSE))</f>
        <v>-</v>
      </c>
      <c r="AO8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59" s="2">
        <f>VLOOKUP(Tableau119[[#This Row],[Key(POD -PFI- Usine)]],'DATA Consignee'!A:J,10,FALSE)</f>
        <v>0</v>
      </c>
      <c r="AR859" s="50">
        <f>VLOOKUP(Tableau119[[#This Row],[Key(POD -PFI- Usine)]],'DATA Consignee'!A:N,14,FALSE)</f>
        <v>3</v>
      </c>
      <c r="AS85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5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59" s="50">
        <f>Tableau119[[#This Row],[Transit time]]+Tableau119[[#This Row],[Time for security]]+Tableau119[[#This Row],[Time for security2 buffer]]</f>
        <v>48</v>
      </c>
      <c r="AV85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59" s="50">
        <f>Tableau119[[#This Row],[Leadtime SI2C]]+Tableau119[[#This Row],[First Receipt Days]]-Tableau119[[#This Row],[Day Customer Order]]+1</f>
        <v>85</v>
      </c>
      <c r="AX859" s="119">
        <f>IF(Tableau119[[#This Row],[Name ILN]]&lt;&gt;"SFK Freight Forwarder",Tableau119[[#This Row],[Cust. Leadtime]],Tableau119[[#This Row],[Leadtime SI2C]])</f>
        <v>85</v>
      </c>
      <c r="AY859" s="51" t="str">
        <f>_xlfn.XLOOKUP(Tableau119[[#This Row],[Key(ID-date)]],'DATA BTO'!S:S,'DATA BTO'!P:P,FALSE)</f>
        <v>Renault &gt; Horse BPH</v>
      </c>
      <c r="AZ859" s="338">
        <v>45777</v>
      </c>
      <c r="BA859" s="50"/>
    </row>
    <row r="860" spans="2:53">
      <c r="B860" s="446" t="str">
        <f>_xlfn.CONCAT(Tableau119[[#This Row],[Name ILN]],"-",Tableau119[[#This Row],[Name Shipper]],"-",Tableau119[[#This Row],[Name Site]])</f>
        <v>ILN Chennai-ILN Chennai-MOTORES</v>
      </c>
      <c r="C860" s="66" t="str">
        <f>_xlfn.CONCAT(Tableau119[[#This Row],[Compte ILN]],"-",Tableau119[[#This Row],[Compte Shipper]],"-",Tableau119[[#This Row],[POL]],"-",Tableau119[[#This Row],[Compte Consignee]])</f>
        <v>2533780546-2533780546-INENR-91017700</v>
      </c>
      <c r="D860" s="66" t="str">
        <f>_xlfn.CONCAT(Tableau119[[#This Row],[Compte ILN]],"-",Tableau119[[#This Row],[Compte Shipper]],"-",Tableau119[[#This Row],[POL]])</f>
        <v>2533780546-2533780546-INENR</v>
      </c>
      <c r="E860" s="130" t="str">
        <f>_xlfn.CONCAT(Tableau119[[#This Row],[POL]],"-",Tableau119[[#This Row],[Carrier]],"-",Tableau119[[#This Row],[POD]])</f>
        <v>INENR-CMA-CGM-ESVLC</v>
      </c>
      <c r="F860" s="66" t="str">
        <f>_xlfn.CONCAT(Tableau119[[#This Row],[ID]],"-","Actif")</f>
        <v>918-Actif</v>
      </c>
      <c r="G860" s="66" t="str">
        <f>_xlfn.CONCAT(Tableau119[[#This Row],[POD]],"-",Tableau119[[#This Row],[Code PFI]],"-",Tableau119[[#This Row],[Compte Consignee]])</f>
        <v>ESVLC---91017700</v>
      </c>
      <c r="H8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ChennaiINENRMOTORES</v>
      </c>
      <c r="I860" s="434" t="str">
        <f>_xlfn.CONCAT(Tableau119[[#This Row],[ID]],"-",Tableau119[[#This Row],[Expiration Date]])</f>
        <v>918-45473</v>
      </c>
      <c r="J8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Chennai-ILN Chennai-918-INENR-CMA-CGM-ESVLC--45473</v>
      </c>
      <c r="K860" s="119" t="str">
        <f ca="1">IF(COUNTIF(J:J,Tableau119[[#This Row],[Plant-ILN-shipper-POL-Carrier-POD-PFI]])=1,"Non","Oui")</f>
        <v>Non</v>
      </c>
      <c r="L860" s="128" t="str">
        <f>VLOOKUP(Tableau119[[#This Row],[Name Site]],Plant_AILN!A:D,4,FALSE)</f>
        <v>SPAIN</v>
      </c>
      <c r="M860" s="411" t="s">
        <v>63</v>
      </c>
      <c r="N860" s="454">
        <f>VLOOKUP(Tableau119[[#This Row],[Name Site]],Plant_AILN!A:C,3,FALSE)</f>
        <v>91017700</v>
      </c>
      <c r="O860" s="55">
        <f>VLOOKUP(Tableau119[[#This Row],[Compte Consignee]],Order!C:D,2,FALSE)</f>
        <v>7</v>
      </c>
      <c r="P860" s="124" t="s">
        <v>149</v>
      </c>
      <c r="Q860" s="365">
        <f>VLOOKUP(Tableau119[[#This Row],[Name ILN]],Plant_AILN!F:G,2,FALSE)</f>
        <v>2533780546</v>
      </c>
      <c r="R860" s="50">
        <f>VLOOKUP(Tableau119[[#This Row],[Compte ILN]],'DATA ILN'!D:I,6,FALSE)</f>
        <v>9</v>
      </c>
      <c r="S860" s="50">
        <f>IFERROR(VLOOKUP(Tableau119[[#This Row],[Key(Compte ILN - shipper - POL - plant)]],'DATA ILN'!A:J,10,FALSE),VLOOKUP(Tableau119[[#This Row],[Key(Compte ILN - shipper - POL)]],'DATA ILN'!B:J,9,FALSE))</f>
        <v>14</v>
      </c>
      <c r="T860" s="50">
        <f>IFERROR(VLOOKUP(Tableau119[[#This Row],[Key(Compte ILN - shipper - POL - plant)]],'DATA ILN'!A:K,11,FALSE),VLOOKUP(Tableau119[[#This Row],[Key(Compte ILN - shipper - POL)]],'DATA ILN'!B:K,10,FALSE))</f>
        <v>5</v>
      </c>
      <c r="U860" s="50">
        <f>IFERROR(VLOOKUP(Tableau119[[#This Row],[Key(Compte ILN - shipper - POL - plant)]],'DATA ILN'!A:L,12,FALSE),VLOOKUP(Tableau119[[#This Row],[Key(Compte ILN - shipper - POL)]],'DATA ILN'!B:L,11,FALSE))</f>
        <v>7</v>
      </c>
      <c r="V860" s="50">
        <f>Tableau119[[#This Row],[Day ILN Order]]+Tableau119[[#This Row],[Delivery time to ILN/Shipper]]-1</f>
        <v>22</v>
      </c>
      <c r="W860" s="50">
        <f>IFERROR(VLOOKUP(Tableau119[[#This Row],[Key(Compte ILN - shipper - POL - plant)]],'DATA ILN'!A:N,14,FALSE),VLOOKUP(Tableau119[[#This Row],[Key(Compte ILN - shipper - POL)]],'DATA ILN'!B:N,13,FALSE))</f>
        <v>2</v>
      </c>
      <c r="X860" s="50">
        <f>IFERROR(VLOOKUP(Tableau119[[#This Row],[Key(Compte ILN - shipper - POL - plant)]],'DATA ILN'!A:P,16,FALSE),VLOOKUP(Tableau119[[#This Row],[Key(Compte ILN - shipper - POL)]],'DATA ILN'!B:P,15,FALSE))</f>
        <v>3</v>
      </c>
      <c r="Y860" s="284" t="s">
        <v>149</v>
      </c>
      <c r="Z860" s="430">
        <f>IFERROR(VLOOKUP(Tableau119[[#This Row],[Name Shipper]],Plant_AILN!L:M,2,FALSE),0)</f>
        <v>2533780546</v>
      </c>
      <c r="AA860" s="406">
        <v>918</v>
      </c>
      <c r="AB860" s="396" t="str">
        <f>_xlfn.XLOOKUP(Tableau119[[#This Row],[Key(ID-date)]],'DATA BTO'!S:S,'DATA BTO'!E:E,FALSE)</f>
        <v>INENR</v>
      </c>
      <c r="AC860" s="3" t="str">
        <f>_xlfn.XLOOKUP(Tableau119[[#This Row],[Key(ID-date)]],'DATA BTO'!S:S,'DATA BTO'!F:F,FALSE)</f>
        <v>CMA-CGM</v>
      </c>
      <c r="AD860" s="50">
        <f>_xlfn.XLOOKUP(Tableau119[[#This Row],[Key(ID-date)]],'DATA BTO'!S:S,'DATA BTO'!G:G,FALSE)</f>
        <v>5</v>
      </c>
      <c r="AE860" s="50">
        <f>_xlfn.XLOOKUP(Tableau119[[#This Row],[Key(ID-date)]],'DATA BTO'!S:S,'DATA BTO'!H:H,FALSE)</f>
        <v>8</v>
      </c>
      <c r="AF860" s="447">
        <f>IF(Tableau119[[#This Row],[First Day to POL]]&lt;=Tableau119[[#This Row],[Day Cut Off]],Tableau119[[#This Row],[Day ETD]],Tableau119[[#This Row],[Day ETD]]+7)</f>
        <v>8</v>
      </c>
      <c r="AG860" s="50">
        <f>_xlfn.XLOOKUP(Tableau119[[#This Row],[Key(ID-date)]],'DATA BTO'!S:S,'DATA BTO'!I:I,FALSE)</f>
        <v>28</v>
      </c>
      <c r="AH860" s="3" t="str">
        <f>_xlfn.XLOOKUP(Tableau119[[#This Row],[Key(ID-date)]],'DATA BTO'!S:S,'DATA BTO'!J:J,FALSE)</f>
        <v>ESVLC</v>
      </c>
      <c r="AI860" s="3">
        <f>_xlfn.XLOOKUP(Tableau119[[#This Row],[Key(ID-date)]],'DATA BTO'!S:S,'DATA BTO'!K:K,FALSE)</f>
        <v>3</v>
      </c>
      <c r="AJ860" s="50">
        <f>_xlfn.XLOOKUP(Tableau119[[#This Row],[Key(ID-date)]],'DATA BTO'!S:S,'DATA BTO'!L:L,FALSE)</f>
        <v>0</v>
      </c>
      <c r="AK860" s="53" t="str">
        <f>_xlfn.XLOOKUP(Tableau119[[#This Row],[Key(ID-date)]],'DATA BTO'!S:S,'DATA BTO'!N:N,FALSE)</f>
        <v>Anthony</v>
      </c>
      <c r="AL860" s="54">
        <f>VLOOKUP(Tableau119[[#This Row],[Key(POD -PFI- Usine)]],'DATA Consignee'!A:F,6,FALSE)</f>
        <v>2</v>
      </c>
      <c r="AM860" s="284"/>
      <c r="AN860" s="376" t="str">
        <f>IF(Tableau119[[#This Row],[Name PFI/CDD]]="","-",VLOOKUP(Tableau119[[#This Row],[Name PFI/CDD]],Plant_AILN!I:J,2,FALSE))</f>
        <v>-</v>
      </c>
      <c r="AO8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60" s="2">
        <f>VLOOKUP(Tableau119[[#This Row],[Key(POD -PFI- Usine)]],'DATA Consignee'!A:J,10,FALSE)</f>
        <v>0</v>
      </c>
      <c r="AR860" s="50">
        <f>VLOOKUP(Tableau119[[#This Row],[Key(POD -PFI- Usine)]],'DATA Consignee'!A:N,14,FALSE)</f>
        <v>3</v>
      </c>
      <c r="AS86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60" s="50">
        <f>Tableau119[[#This Row],[Transit time]]+Tableau119[[#This Row],[Time for security]]+Tableau119[[#This Row],[Time for security2 buffer]]</f>
        <v>31</v>
      </c>
      <c r="AV86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60" s="50">
        <f>Tableau119[[#This Row],[Leadtime SI2C]]+Tableau119[[#This Row],[First Receipt Days]]-Tableau119[[#This Row],[Day Customer Order]]+1</f>
        <v>71</v>
      </c>
      <c r="AX860" s="119">
        <f>IF(Tableau119[[#This Row],[Name ILN]]&lt;&gt;"SFK Freight Forwarder",Tableau119[[#This Row],[Cust. Leadtime]],Tableau119[[#This Row],[Leadtime SI2C]])</f>
        <v>71</v>
      </c>
      <c r="AY860" s="51" t="str">
        <f>_xlfn.XLOOKUP(Tableau119[[#This Row],[Key(ID-date)]],'DATA BTO'!S:S,'DATA BTO'!P:P,FALSE)</f>
        <v>Renault &gt; Horse BPH</v>
      </c>
      <c r="AZ860" s="338">
        <v>45473</v>
      </c>
      <c r="BA860" s="50"/>
    </row>
    <row r="861" spans="2:53">
      <c r="B861" s="66" t="str">
        <f>_xlfn.CONCAT(Tableau119[[#This Row],[Name ILN]],"-",Tableau119[[#This Row],[Name Shipper]],"-",Tableau119[[#This Row],[Name Site]])</f>
        <v>ILN Pune-ILN Pune-CACIA</v>
      </c>
      <c r="C861" s="66" t="str">
        <f>_xlfn.CONCAT(Tableau119[[#This Row],[Compte ILN]],"-",Tableau119[[#This Row],[Compte Shipper]],"-",Tableau119[[#This Row],[POL]],"-",Tableau119[[#This Row],[Compte Consignee]])</f>
        <v>2533780535-2533780535-INNSA-90016500</v>
      </c>
      <c r="D861" s="66" t="str">
        <f>_xlfn.CONCAT(Tableau119[[#This Row],[Compte ILN]],"-",Tableau119[[#This Row],[Compte Shipper]],"-",Tableau119[[#This Row],[POL]])</f>
        <v>2533780535-2533780535-INNSA</v>
      </c>
      <c r="E861" s="130" t="str">
        <f>_xlfn.CONCAT(Tableau119[[#This Row],[POL]],"-",Tableau119[[#This Row],[Carrier]],"-",Tableau119[[#This Row],[POD]])</f>
        <v>INNSA-CMA-CGM-ESVLC</v>
      </c>
      <c r="F861" s="66" t="str">
        <f>_xlfn.CONCAT(Tableau119[[#This Row],[ID]],"-","Actif")</f>
        <v>920-Actif</v>
      </c>
      <c r="G861" s="66" t="str">
        <f>_xlfn.CONCAT(Tableau119[[#This Row],[POD]],"-",Tableau119[[#This Row],[Code PFI]],"-",Tableau119[[#This Row],[Compte Consignee]])</f>
        <v>ESVLC-91018400-90016500</v>
      </c>
      <c r="H8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PuneINNSACACIA</v>
      </c>
      <c r="I861" s="434" t="str">
        <f>_xlfn.CONCAT(Tableau119[[#This Row],[ID]],"-",Tableau119[[#This Row],[Expiration Date]])</f>
        <v>920-46142</v>
      </c>
      <c r="J8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Pune-ILN Pune-920-INNSA-CMA-CGM-ESVLC-PFI VLL-46142</v>
      </c>
      <c r="K861" s="119" t="str">
        <f ca="1">IF(COUNTIF(J:J,Tableau119[[#This Row],[Plant-ILN-shipper-POL-Carrier-POD-PFI]])=1,"Non","Oui")</f>
        <v>Non</v>
      </c>
      <c r="L861" s="128" t="str">
        <f>VLOOKUP(Tableau119[[#This Row],[Name Site]],Plant_AILN!A:D,4,FALSE)</f>
        <v>PORTUGAL</v>
      </c>
      <c r="M861" s="484" t="s">
        <v>170</v>
      </c>
      <c r="N861" s="455">
        <f>VLOOKUP(Tableau119[[#This Row],[Name Site]],Plant_AILN!A:C,3,FALSE)</f>
        <v>90016500</v>
      </c>
      <c r="O861" s="104">
        <f>IF(Tableau119[[#This Row],[Name PFI/CDD]]="PFI VLL",2,VLOOKUP(Tableau119[[#This Row],[Compte Consignee]],Order!C:D,2,FALSE))</f>
        <v>2</v>
      </c>
      <c r="P861" s="126" t="s">
        <v>150</v>
      </c>
      <c r="Q861" s="366">
        <f>VLOOKUP(Tableau119[[#This Row],[Name ILN]],Plant_AILN!F:G,2,FALSE)</f>
        <v>2533780535</v>
      </c>
      <c r="R861" s="81">
        <f>VLOOKUP(Tableau119[[#This Row],[Compte ILN]],'DATA ILN'!D:I,6,FALSE)</f>
        <v>9</v>
      </c>
      <c r="S861" s="81">
        <f>IFERROR(VLOOKUP(Tableau119[[#This Row],[Key(Compte ILN - shipper - POL - plant)]],'DATA ILN'!A:J,10,FALSE),VLOOKUP(Tableau119[[#This Row],[Key(Compte ILN - shipper - POL)]],'DATA ILN'!B:J,9,FALSE))</f>
        <v>14</v>
      </c>
      <c r="T861" s="81">
        <f>IFERROR(VLOOKUP(Tableau119[[#This Row],[Key(Compte ILN - shipper - POL - plant)]],'DATA ILN'!A:K,11,FALSE),VLOOKUP(Tableau119[[#This Row],[Key(Compte ILN - shipper - POL)]],'DATA ILN'!B:K,10,FALSE))</f>
        <v>5</v>
      </c>
      <c r="U861" s="81">
        <f>IFERROR(VLOOKUP(Tableau119[[#This Row],[Key(Compte ILN - shipper - POL - plant)]],'DATA ILN'!A:L,12,FALSE),VLOOKUP(Tableau119[[#This Row],[Key(Compte ILN - shipper - POL)]],'DATA ILN'!B:L,11,FALSE))</f>
        <v>7</v>
      </c>
      <c r="V861" s="81">
        <f>Tableau119[[#This Row],[Day ILN Order]]+Tableau119[[#This Row],[Delivery time to ILN/Shipper]]-1</f>
        <v>22</v>
      </c>
      <c r="W861" s="81">
        <f>IFERROR(VLOOKUP(Tableau119[[#This Row],[Key(Compte ILN - shipper - POL - plant)]],'DATA ILN'!A:N,14,FALSE),VLOOKUP(Tableau119[[#This Row],[Key(Compte ILN - shipper - POL)]],'DATA ILN'!B:N,13,FALSE))</f>
        <v>3</v>
      </c>
      <c r="X861" s="81">
        <f>IFERROR(VLOOKUP(Tableau119[[#This Row],[Key(Compte ILN - shipper - POL - plant)]],'DATA ILN'!A:P,16,FALSE),VLOOKUP(Tableau119[[#This Row],[Key(Compte ILN - shipper - POL)]],'DATA ILN'!B:P,15,FALSE))</f>
        <v>5</v>
      </c>
      <c r="Y861" s="102" t="s">
        <v>150</v>
      </c>
      <c r="Z861" s="417">
        <f>IFERROR(VLOOKUP(Tableau119[[#This Row],[Name Shipper]],Plant_AILN!L:M,2,FALSE),0)</f>
        <v>2533780535</v>
      </c>
      <c r="AA861" s="416">
        <v>920</v>
      </c>
      <c r="AB861" s="396" t="str">
        <f>_xlfn.XLOOKUP(Tableau119[[#This Row],[Key(ID-date)]],'DATA BTO'!S:S,'DATA BTO'!E:E,FALSE)</f>
        <v>INNSA</v>
      </c>
      <c r="AC861" s="3" t="str">
        <f>_xlfn.XLOOKUP(Tableau119[[#This Row],[Key(ID-date)]],'DATA BTO'!S:S,'DATA BTO'!F:F,FALSE)</f>
        <v>CMA-CGM</v>
      </c>
      <c r="AD861" s="50">
        <f>_xlfn.XLOOKUP(Tableau119[[#This Row],[Key(ID-date)]],'DATA BTO'!S:S,'DATA BTO'!G:G,FALSE)</f>
        <v>4</v>
      </c>
      <c r="AE861" s="50">
        <f>_xlfn.XLOOKUP(Tableau119[[#This Row],[Key(ID-date)]],'DATA BTO'!S:S,'DATA BTO'!H:H,FALSE)</f>
        <v>6</v>
      </c>
      <c r="AF861" s="447">
        <f>IF(Tableau119[[#This Row],[First Day to POL]]&lt;=Tableau119[[#This Row],[Day Cut Off]],Tableau119[[#This Row],[Day ETD]],Tableau119[[#This Row],[Day ETD]]+7)</f>
        <v>13</v>
      </c>
      <c r="AG861" s="50">
        <f>_xlfn.XLOOKUP(Tableau119[[#This Row],[Key(ID-date)]],'DATA BTO'!S:S,'DATA BTO'!I:I,FALSE)</f>
        <v>30</v>
      </c>
      <c r="AH861" s="3" t="str">
        <f>_xlfn.XLOOKUP(Tableau119[[#This Row],[Key(ID-date)]],'DATA BTO'!S:S,'DATA BTO'!J:J,FALSE)</f>
        <v>ESVLC</v>
      </c>
      <c r="AI861" s="3">
        <f>_xlfn.XLOOKUP(Tableau119[[#This Row],[Key(ID-date)]],'DATA BTO'!S:S,'DATA BTO'!K:K,FALSE)</f>
        <v>3</v>
      </c>
      <c r="AJ861" s="50">
        <f>_xlfn.XLOOKUP(Tableau119[[#This Row],[Key(ID-date)]],'DATA BTO'!S:S,'DATA BTO'!L:L,FALSE)</f>
        <v>0</v>
      </c>
      <c r="AK861" s="53" t="str">
        <f>_xlfn.XLOOKUP(Tableau119[[#This Row],[Key(ID-date)]],'DATA BTO'!S:S,'DATA BTO'!N:N,FALSE)</f>
        <v>Marc-Aurele</v>
      </c>
      <c r="AL861" s="54">
        <f>VLOOKUP(Tableau119[[#This Row],[Key(POD -PFI- Usine)]],'DATA Consignee'!A:F,6,FALSE)</f>
        <v>3</v>
      </c>
      <c r="AM861" s="510" t="s">
        <v>171</v>
      </c>
      <c r="AN861" s="375">
        <f>IF(Tableau119[[#This Row],[Name PFI/CDD]]="","-",VLOOKUP(Tableau119[[#This Row],[Name PFI/CDD]],Plant_AILN!I:J,2,FALSE))</f>
        <v>91018400</v>
      </c>
      <c r="AO861" s="109">
        <f>IF(COUNTIF(buffer_train[AILN],Tableau119[[#This Row],[Name PFI/CDD]])&gt;0,Tableau119[[#This Row],[First Receipt Days]]+Tableau119[[#This Row],[Cust.]]+Tableau119[[#This Row],[Parts Vanning]]+Tableau119[[#This Row],[Transit Time2]],"-")</f>
        <v>76</v>
      </c>
      <c r="AP861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2</v>
      </c>
      <c r="AQ861" s="110">
        <f>VLOOKUP(Tableau119[[#This Row],[Key(POD -PFI- Usine)]],'DATA Consignee'!A:J,10,FALSE)</f>
        <v>3</v>
      </c>
      <c r="AR861" s="81">
        <f>VLOOKUP(Tableau119[[#This Row],[Key(POD -PFI- Usine)]],'DATA Consignee'!A:N,14,FALSE)</f>
        <v>4</v>
      </c>
      <c r="AS861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1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61" s="81">
        <f>Tableau119[[#This Row],[Transit time]]+Tableau119[[#This Row],[Time for security]]+Tableau119[[#This Row],[Time for security2 buffer]]</f>
        <v>33</v>
      </c>
      <c r="AV86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61" s="50">
        <f>Tableau119[[#This Row],[Leadtime SI2C]]+Tableau119[[#This Row],[First Receipt Days]]-Tableau119[[#This Row],[Day Customer Order]]+1</f>
        <v>90</v>
      </c>
      <c r="AX861" s="119">
        <f>IF(Tableau119[[#This Row],[Name ILN]]&lt;&gt;"SFK Freight Forwarder",Tableau119[[#This Row],[Cust. Leadtime]],Tableau119[[#This Row],[Leadtime SI2C]])</f>
        <v>90</v>
      </c>
      <c r="AY861" s="51" t="str">
        <f>_xlfn.XLOOKUP(Tableau119[[#This Row],[Key(ID-date)]],'DATA BTO'!S:S,'DATA BTO'!P:P,FALSE)</f>
        <v>Renault &gt; Horse BPH</v>
      </c>
      <c r="AZ861" s="388">
        <v>46142</v>
      </c>
      <c r="BA861" s="81"/>
    </row>
    <row r="862" spans="2:53">
      <c r="B862" s="66" t="str">
        <f>_xlfn.CONCAT(Tableau119[[#This Row],[Name ILN]],"-",Tableau119[[#This Row],[Name Shipper]],"-",Tableau119[[#This Row],[Name Site]])</f>
        <v>ILN Pune-ILN Pune-SEVILLA</v>
      </c>
      <c r="C862" s="66" t="str">
        <f>_xlfn.CONCAT(Tableau119[[#This Row],[Compte ILN]],"-",Tableau119[[#This Row],[Compte Shipper]],"-",Tableau119[[#This Row],[POL]],"-",Tableau119[[#This Row],[Compte Consignee]])</f>
        <v>2533780535-2533780535-INNSA-91017500</v>
      </c>
      <c r="D862" s="66" t="str">
        <f>_xlfn.CONCAT(Tableau119[[#This Row],[Compte ILN]],"-",Tableau119[[#This Row],[Compte Shipper]],"-",Tableau119[[#This Row],[POL]])</f>
        <v>2533780535-2533780535-INNSA</v>
      </c>
      <c r="E862" s="130" t="str">
        <f>_xlfn.CONCAT(Tableau119[[#This Row],[POL]],"-",Tableau119[[#This Row],[Carrier]],"-",Tableau119[[#This Row],[POD]])</f>
        <v>INNSA-CMA-CGM-ESVLC</v>
      </c>
      <c r="F862" s="66" t="str">
        <f>_xlfn.CONCAT(Tableau119[[#This Row],[ID]],"-","Actif")</f>
        <v>920-Actif</v>
      </c>
      <c r="G862" s="66" t="str">
        <f>_xlfn.CONCAT(Tableau119[[#This Row],[POD]],"-",Tableau119[[#This Row],[Code PFI]],"-",Tableau119[[#This Row],[Compte Consignee]])</f>
        <v>ESVLC-91018400-91017500</v>
      </c>
      <c r="H8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PuneINNSASEVILLA</v>
      </c>
      <c r="I862" s="434" t="str">
        <f>_xlfn.CONCAT(Tableau119[[#This Row],[ID]],"-",Tableau119[[#This Row],[Expiration Date]])</f>
        <v>920-46142</v>
      </c>
      <c r="J8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Pune-ILN Pune-920-INNSA-CMA-CGM-ESVLC-PFI VLL-46142</v>
      </c>
      <c r="K862" s="119" t="str">
        <f ca="1">IF(COUNTIF(J:J,Tableau119[[#This Row],[Plant-ILN-shipper-POL-Carrier-POD-PFI]])=1,"Non","Oui")</f>
        <v>Non</v>
      </c>
      <c r="L862" s="128" t="str">
        <f>VLOOKUP(Tableau119[[#This Row],[Name Site]],Plant_AILN!A:D,4,FALSE)</f>
        <v>SPAIN</v>
      </c>
      <c r="M862" s="412" t="s">
        <v>172</v>
      </c>
      <c r="N862" s="454">
        <f>VLOOKUP(Tableau119[[#This Row],[Name Site]],Plant_AILN!A:C,3,FALSE)</f>
        <v>91017500</v>
      </c>
      <c r="O862" s="55">
        <f>IF(Tableau119[[#This Row],[Name PFI/CDD]]="PFI VLL",2,VLOOKUP(Tableau119[[#This Row],[Compte Consignee]],Order!C:D,2,FALSE))</f>
        <v>2</v>
      </c>
      <c r="P862" s="124" t="s">
        <v>150</v>
      </c>
      <c r="Q862" s="365">
        <f>VLOOKUP(Tableau119[[#This Row],[Name ILN]],Plant_AILN!F:G,2,FALSE)</f>
        <v>2533780535</v>
      </c>
      <c r="R862" s="50">
        <f>VLOOKUP(Tableau119[[#This Row],[Compte ILN]],'DATA ILN'!D:I,6,FALSE)</f>
        <v>9</v>
      </c>
      <c r="S862" s="50">
        <f>IFERROR(VLOOKUP(Tableau119[[#This Row],[Key(Compte ILN - shipper - POL - plant)]],'DATA ILN'!A:J,10,FALSE),VLOOKUP(Tableau119[[#This Row],[Key(Compte ILN - shipper - POL)]],'DATA ILN'!B:J,9,FALSE))</f>
        <v>14</v>
      </c>
      <c r="T862" s="50">
        <f>IFERROR(VLOOKUP(Tableau119[[#This Row],[Key(Compte ILN - shipper - POL - plant)]],'DATA ILN'!A:K,11,FALSE),VLOOKUP(Tableau119[[#This Row],[Key(Compte ILN - shipper - POL)]],'DATA ILN'!B:K,10,FALSE))</f>
        <v>5</v>
      </c>
      <c r="U862" s="50">
        <f>IFERROR(VLOOKUP(Tableau119[[#This Row],[Key(Compte ILN - shipper - POL - plant)]],'DATA ILN'!A:L,12,FALSE),VLOOKUP(Tableau119[[#This Row],[Key(Compte ILN - shipper - POL)]],'DATA ILN'!B:L,11,FALSE))</f>
        <v>7</v>
      </c>
      <c r="V862" s="50">
        <f>Tableau119[[#This Row],[Day ILN Order]]+Tableau119[[#This Row],[Delivery time to ILN/Shipper]]-1</f>
        <v>22</v>
      </c>
      <c r="W862" s="50">
        <f>IFERROR(VLOOKUP(Tableau119[[#This Row],[Key(Compte ILN - shipper - POL - plant)]],'DATA ILN'!A:N,14,FALSE),VLOOKUP(Tableau119[[#This Row],[Key(Compte ILN - shipper - POL)]],'DATA ILN'!B:N,13,FALSE))</f>
        <v>3</v>
      </c>
      <c r="X862" s="50">
        <f>IFERROR(VLOOKUP(Tableau119[[#This Row],[Key(Compte ILN - shipper - POL - plant)]],'DATA ILN'!A:P,16,FALSE),VLOOKUP(Tableau119[[#This Row],[Key(Compte ILN - shipper - POL)]],'DATA ILN'!B:P,15,FALSE))</f>
        <v>5</v>
      </c>
      <c r="Y862" s="284" t="s">
        <v>150</v>
      </c>
      <c r="Z862" s="430">
        <f>IFERROR(VLOOKUP(Tableau119[[#This Row],[Name Shipper]],Plant_AILN!L:M,2,FALSE),0)</f>
        <v>2533780535</v>
      </c>
      <c r="AA862" s="406">
        <v>920</v>
      </c>
      <c r="AB862" s="396" t="str">
        <f>_xlfn.XLOOKUP(Tableau119[[#This Row],[Key(ID-date)]],'DATA BTO'!S:S,'DATA BTO'!E:E,FALSE)</f>
        <v>INNSA</v>
      </c>
      <c r="AC862" s="3" t="str">
        <f>_xlfn.XLOOKUP(Tableau119[[#This Row],[Key(ID-date)]],'DATA BTO'!S:S,'DATA BTO'!F:F,FALSE)</f>
        <v>CMA-CGM</v>
      </c>
      <c r="AD862" s="50">
        <f>_xlfn.XLOOKUP(Tableau119[[#This Row],[Key(ID-date)]],'DATA BTO'!S:S,'DATA BTO'!G:G,FALSE)</f>
        <v>4</v>
      </c>
      <c r="AE862" s="50">
        <f>_xlfn.XLOOKUP(Tableau119[[#This Row],[Key(ID-date)]],'DATA BTO'!S:S,'DATA BTO'!H:H,FALSE)</f>
        <v>6</v>
      </c>
      <c r="AF862" s="447">
        <f>IF(Tableau119[[#This Row],[First Day to POL]]&lt;=Tableau119[[#This Row],[Day Cut Off]],Tableau119[[#This Row],[Day ETD]],Tableau119[[#This Row],[Day ETD]]+7)</f>
        <v>13</v>
      </c>
      <c r="AG862" s="50">
        <f>_xlfn.XLOOKUP(Tableau119[[#This Row],[Key(ID-date)]],'DATA BTO'!S:S,'DATA BTO'!I:I,FALSE)</f>
        <v>30</v>
      </c>
      <c r="AH862" s="3" t="str">
        <f>_xlfn.XLOOKUP(Tableau119[[#This Row],[Key(ID-date)]],'DATA BTO'!S:S,'DATA BTO'!J:J,FALSE)</f>
        <v>ESVLC</v>
      </c>
      <c r="AI862" s="3">
        <f>_xlfn.XLOOKUP(Tableau119[[#This Row],[Key(ID-date)]],'DATA BTO'!S:S,'DATA BTO'!K:K,FALSE)</f>
        <v>3</v>
      </c>
      <c r="AJ862" s="50">
        <f>_xlfn.XLOOKUP(Tableau119[[#This Row],[Key(ID-date)]],'DATA BTO'!S:S,'DATA BTO'!L:L,FALSE)</f>
        <v>0</v>
      </c>
      <c r="AK862" s="53" t="str">
        <f>_xlfn.XLOOKUP(Tableau119[[#This Row],[Key(ID-date)]],'DATA BTO'!S:S,'DATA BTO'!N:N,FALSE)</f>
        <v>Marc-Aurele</v>
      </c>
      <c r="AL862" s="54">
        <f>VLOOKUP(Tableau119[[#This Row],[Key(POD -PFI- Usine)]],'DATA Consignee'!A:F,6,FALSE)</f>
        <v>2</v>
      </c>
      <c r="AM862" s="509" t="s">
        <v>171</v>
      </c>
      <c r="AN862" s="376">
        <f>IF(Tableau119[[#This Row],[Name PFI/CDD]]="","-",VLOOKUP(Tableau119[[#This Row],[Name PFI/CDD]],Plant_AILN!I:J,2,FALSE))</f>
        <v>91018400</v>
      </c>
      <c r="AO862" s="6">
        <f>IF(COUNTIF(buffer_train[AILN],Tableau119[[#This Row],[Name PFI/CDD]])&gt;0,Tableau119[[#This Row],[First Receipt Days]]+Tableau119[[#This Row],[Cust.]]+Tableau119[[#This Row],[Parts Vanning]]+Tableau119[[#This Row],[Transit Time2]],"-")</f>
        <v>75</v>
      </c>
      <c r="AP862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3</v>
      </c>
      <c r="AQ862" s="2">
        <f>VLOOKUP(Tableau119[[#This Row],[Key(POD -PFI- Usine)]],'DATA Consignee'!A:J,10,FALSE)</f>
        <v>3</v>
      </c>
      <c r="AR862" s="50">
        <f>VLOOKUP(Tableau119[[#This Row],[Key(POD -PFI- Usine)]],'DATA Consignee'!A:N,14,FALSE)</f>
        <v>4</v>
      </c>
      <c r="AS86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62" s="50">
        <f>Tableau119[[#This Row],[Transit time]]+Tableau119[[#This Row],[Time for security]]+Tableau119[[#This Row],[Time for security2 buffer]]</f>
        <v>33</v>
      </c>
      <c r="AV86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62" s="50">
        <f>Tableau119[[#This Row],[Leadtime SI2C]]+Tableau119[[#This Row],[First Receipt Days]]-Tableau119[[#This Row],[Day Customer Order]]+1</f>
        <v>90</v>
      </c>
      <c r="AX862" s="119">
        <f>IF(Tableau119[[#This Row],[Name ILN]]&lt;&gt;"SFK Freight Forwarder",Tableau119[[#This Row],[Cust. Leadtime]],Tableau119[[#This Row],[Leadtime SI2C]])</f>
        <v>90</v>
      </c>
      <c r="AY862" s="51" t="str">
        <f>_xlfn.XLOOKUP(Tableau119[[#This Row],[Key(ID-date)]],'DATA BTO'!S:S,'DATA BTO'!P:P,FALSE)</f>
        <v>Renault &gt; Horse BPH</v>
      </c>
      <c r="AZ862" s="338">
        <v>46142</v>
      </c>
      <c r="BA862" s="50"/>
    </row>
    <row r="863" spans="2:53">
      <c r="B863" s="446" t="str">
        <f>_xlfn.CONCAT(Tableau119[[#This Row],[Name ILN]],"-",Tableau119[[#This Row],[Name Shipper]],"-",Tableau119[[#This Row],[Name Site]])</f>
        <v>ILN Pune-ILN Pune-CACIA</v>
      </c>
      <c r="C863" s="66" t="str">
        <f>_xlfn.CONCAT(Tableau119[[#This Row],[Compte ILN]],"-",Tableau119[[#This Row],[Compte Shipper]],"-",Tableau119[[#This Row],[POL]],"-",Tableau119[[#This Row],[Compte Consignee]])</f>
        <v>2533780535-2533780535-INNSA-90016500</v>
      </c>
      <c r="D863" s="66" t="str">
        <f>_xlfn.CONCAT(Tableau119[[#This Row],[Compte ILN]],"-",Tableau119[[#This Row],[Compte Shipper]],"-",Tableau119[[#This Row],[POL]])</f>
        <v>2533780535-2533780535-INNSA</v>
      </c>
      <c r="E863" s="130" t="str">
        <f>_xlfn.CONCAT(Tableau119[[#This Row],[POL]],"-",Tableau119[[#This Row],[Carrier]],"-",Tableau119[[#This Row],[POD]])</f>
        <v>INNSA-CMA-CGM-ESVLC</v>
      </c>
      <c r="F863" s="66" t="str">
        <f>_xlfn.CONCAT(Tableau119[[#This Row],[ID]],"-","Actif")</f>
        <v>920-Actif</v>
      </c>
      <c r="G863" s="66" t="str">
        <f>_xlfn.CONCAT(Tableau119[[#This Row],[POD]],"-",Tableau119[[#This Row],[Code PFI]],"-",Tableau119[[#This Row],[Compte Consignee]])</f>
        <v>ESVLC-91018400-90016500</v>
      </c>
      <c r="H8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PuneINNSACACIA</v>
      </c>
      <c r="I863" s="434" t="str">
        <f>_xlfn.CONCAT(Tableau119[[#This Row],[ID]],"-",Tableau119[[#This Row],[Expiration Date]])</f>
        <v>920-45777</v>
      </c>
      <c r="J8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Pune-ILN Pune-920-INNSA-CMA-CGM-ESVLC-PFI VLL-45777</v>
      </c>
      <c r="K863" s="119" t="str">
        <f ca="1">IF(COUNTIF(J:J,Tableau119[[#This Row],[Plant-ILN-shipper-POL-Carrier-POD-PFI]])=1,"Non","Oui")</f>
        <v>Non</v>
      </c>
      <c r="L863" s="128" t="str">
        <f>VLOOKUP(Tableau119[[#This Row],[Name Site]],Plant_AILN!A:D,4,FALSE)</f>
        <v>PORTUGAL</v>
      </c>
      <c r="M863" s="415" t="s">
        <v>170</v>
      </c>
      <c r="N863" s="455">
        <f>VLOOKUP(Tableau119[[#This Row],[Name Site]],Plant_AILN!A:C,3,FALSE)</f>
        <v>90016500</v>
      </c>
      <c r="O863" s="104">
        <f>VLOOKUP(Tableau119[[#This Row],[Compte Consignee]],Order!C:D,2,FALSE)</f>
        <v>5</v>
      </c>
      <c r="P863" s="126" t="s">
        <v>150</v>
      </c>
      <c r="Q863" s="366">
        <f>VLOOKUP(Tableau119[[#This Row],[Name ILN]],Plant_AILN!F:G,2,FALSE)</f>
        <v>2533780535</v>
      </c>
      <c r="R863" s="81">
        <f>VLOOKUP(Tableau119[[#This Row],[Compte ILN]],'DATA ILN'!D:I,6,FALSE)</f>
        <v>9</v>
      </c>
      <c r="S863" s="81">
        <f>IFERROR(VLOOKUP(Tableau119[[#This Row],[Key(Compte ILN - shipper - POL - plant)]],'DATA ILN'!A:J,10,FALSE),VLOOKUP(Tableau119[[#This Row],[Key(Compte ILN - shipper - POL)]],'DATA ILN'!B:J,9,FALSE))</f>
        <v>14</v>
      </c>
      <c r="T863" s="81">
        <f>IFERROR(VLOOKUP(Tableau119[[#This Row],[Key(Compte ILN - shipper - POL - plant)]],'DATA ILN'!A:K,11,FALSE),VLOOKUP(Tableau119[[#This Row],[Key(Compte ILN - shipper - POL)]],'DATA ILN'!B:K,10,FALSE))</f>
        <v>5</v>
      </c>
      <c r="U863" s="81">
        <f>IFERROR(VLOOKUP(Tableau119[[#This Row],[Key(Compte ILN - shipper - POL - plant)]],'DATA ILN'!A:L,12,FALSE),VLOOKUP(Tableau119[[#This Row],[Key(Compte ILN - shipper - POL)]],'DATA ILN'!B:L,11,FALSE))</f>
        <v>7</v>
      </c>
      <c r="V863" s="81">
        <f>Tableau119[[#This Row],[Day ILN Order]]+Tableau119[[#This Row],[Delivery time to ILN/Shipper]]-1</f>
        <v>22</v>
      </c>
      <c r="W863" s="81">
        <f>IFERROR(VLOOKUP(Tableau119[[#This Row],[Key(Compte ILN - shipper - POL - plant)]],'DATA ILN'!A:N,14,FALSE),VLOOKUP(Tableau119[[#This Row],[Key(Compte ILN - shipper - POL)]],'DATA ILN'!B:N,13,FALSE))</f>
        <v>3</v>
      </c>
      <c r="X863" s="81">
        <f>IFERROR(VLOOKUP(Tableau119[[#This Row],[Key(Compte ILN - shipper - POL - plant)]],'DATA ILN'!A:P,16,FALSE),VLOOKUP(Tableau119[[#This Row],[Key(Compte ILN - shipper - POL)]],'DATA ILN'!B:P,15,FALSE))</f>
        <v>5</v>
      </c>
      <c r="Y863" s="102" t="s">
        <v>150</v>
      </c>
      <c r="Z863" s="417">
        <f>IFERROR(VLOOKUP(Tableau119[[#This Row],[Name Shipper]],Plant_AILN!L:M,2,FALSE),0)</f>
        <v>2533780535</v>
      </c>
      <c r="AA863" s="416">
        <v>920</v>
      </c>
      <c r="AB863" s="396" t="str">
        <f>_xlfn.XLOOKUP(Tableau119[[#This Row],[Key(ID-date)]],'DATA BTO'!S:S,'DATA BTO'!E:E,FALSE)</f>
        <v>INNSA</v>
      </c>
      <c r="AC863" s="3" t="str">
        <f>_xlfn.XLOOKUP(Tableau119[[#This Row],[Key(ID-date)]],'DATA BTO'!S:S,'DATA BTO'!F:F,FALSE)</f>
        <v>CMA-CGM</v>
      </c>
      <c r="AD863" s="50">
        <f>_xlfn.XLOOKUP(Tableau119[[#This Row],[Key(ID-date)]],'DATA BTO'!S:S,'DATA BTO'!G:G,FALSE)</f>
        <v>4</v>
      </c>
      <c r="AE863" s="50">
        <f>_xlfn.XLOOKUP(Tableau119[[#This Row],[Key(ID-date)]],'DATA BTO'!S:S,'DATA BTO'!H:H,FALSE)</f>
        <v>6</v>
      </c>
      <c r="AF863" s="447">
        <f>IF(Tableau119[[#This Row],[First Day to POL]]&lt;=Tableau119[[#This Row],[Day Cut Off]],Tableau119[[#This Row],[Day ETD]],Tableau119[[#This Row],[Day ETD]]+7)</f>
        <v>13</v>
      </c>
      <c r="AG863" s="50">
        <f>_xlfn.XLOOKUP(Tableau119[[#This Row],[Key(ID-date)]],'DATA BTO'!S:S,'DATA BTO'!I:I,FALSE)</f>
        <v>30</v>
      </c>
      <c r="AH863" s="3" t="str">
        <f>_xlfn.XLOOKUP(Tableau119[[#This Row],[Key(ID-date)]],'DATA BTO'!S:S,'DATA BTO'!J:J,FALSE)</f>
        <v>ESVLC</v>
      </c>
      <c r="AI863" s="3">
        <f>_xlfn.XLOOKUP(Tableau119[[#This Row],[Key(ID-date)]],'DATA BTO'!S:S,'DATA BTO'!K:K,FALSE)</f>
        <v>3</v>
      </c>
      <c r="AJ863" s="50">
        <f>_xlfn.XLOOKUP(Tableau119[[#This Row],[Key(ID-date)]],'DATA BTO'!S:S,'DATA BTO'!L:L,FALSE)</f>
        <v>0</v>
      </c>
      <c r="AK863" s="53" t="str">
        <f>_xlfn.XLOOKUP(Tableau119[[#This Row],[Key(ID-date)]],'DATA BTO'!S:S,'DATA BTO'!N:N,FALSE)</f>
        <v>Marc-Aurele</v>
      </c>
      <c r="AL863" s="54">
        <f>VLOOKUP(Tableau119[[#This Row],[Key(POD -PFI- Usine)]],'DATA Consignee'!A:F,6,FALSE)</f>
        <v>3</v>
      </c>
      <c r="AM863" s="510" t="s">
        <v>171</v>
      </c>
      <c r="AN863" s="375">
        <f>IF(Tableau119[[#This Row],[Name PFI/CDD]]="","-",VLOOKUP(Tableau119[[#This Row],[Name PFI/CDD]],Plant_AILN!I:J,2,FALSE))</f>
        <v>91018400</v>
      </c>
      <c r="AO863" s="109">
        <f>IF(COUNTIF(buffer_train[AILN],Tableau119[[#This Row],[Name PFI/CDD]])&gt;0,Tableau119[[#This Row],[First Receipt Days]]+Tableau119[[#This Row],[Cust.]]+Tableau119[[#This Row],[Parts Vanning]]+Tableau119[[#This Row],[Transit Time2]],"-")</f>
        <v>76</v>
      </c>
      <c r="AP863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2</v>
      </c>
      <c r="AQ863" s="110">
        <f>VLOOKUP(Tableau119[[#This Row],[Key(POD -PFI- Usine)]],'DATA Consignee'!A:J,10,FALSE)</f>
        <v>3</v>
      </c>
      <c r="AR863" s="81">
        <f>VLOOKUP(Tableau119[[#This Row],[Key(POD -PFI- Usine)]],'DATA Consignee'!A:N,14,FALSE)</f>
        <v>4</v>
      </c>
      <c r="AS86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63" s="81">
        <f>Tableau119[[#This Row],[Transit time]]+Tableau119[[#This Row],[Time for security]]+Tableau119[[#This Row],[Time for security2 buffer]]</f>
        <v>33</v>
      </c>
      <c r="AV86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63" s="50">
        <f>Tableau119[[#This Row],[Leadtime SI2C]]+Tableau119[[#This Row],[First Receipt Days]]-Tableau119[[#This Row],[Day Customer Order]]+1</f>
        <v>87</v>
      </c>
      <c r="AX863" s="119">
        <f>IF(Tableau119[[#This Row],[Name ILN]]&lt;&gt;"SFK Freight Forwarder",Tableau119[[#This Row],[Cust. Leadtime]],Tableau119[[#This Row],[Leadtime SI2C]])</f>
        <v>87</v>
      </c>
      <c r="AY863" s="51" t="str">
        <f>_xlfn.XLOOKUP(Tableau119[[#This Row],[Key(ID-date)]],'DATA BTO'!S:S,'DATA BTO'!P:P,FALSE)</f>
        <v>Renault &gt; Horse BPH</v>
      </c>
      <c r="AZ863" s="388">
        <v>45777</v>
      </c>
      <c r="BA863" s="81"/>
    </row>
    <row r="864" spans="2:53">
      <c r="B864" s="446" t="str">
        <f>_xlfn.CONCAT(Tableau119[[#This Row],[Name ILN]],"-",Tableau119[[#This Row],[Name Shipper]],"-",Tableau119[[#This Row],[Name Site]])</f>
        <v>ILN Pune-ILN Pune-SEVILLA</v>
      </c>
      <c r="C864" s="66" t="str">
        <f>_xlfn.CONCAT(Tableau119[[#This Row],[Compte ILN]],"-",Tableau119[[#This Row],[Compte Shipper]],"-",Tableau119[[#This Row],[POL]],"-",Tableau119[[#This Row],[Compte Consignee]])</f>
        <v>2533780535-2533780535-INNSA-91017500</v>
      </c>
      <c r="D864" s="66" t="str">
        <f>_xlfn.CONCAT(Tableau119[[#This Row],[Compte ILN]],"-",Tableau119[[#This Row],[Compte Shipper]],"-",Tableau119[[#This Row],[POL]])</f>
        <v>2533780535-2533780535-INNSA</v>
      </c>
      <c r="E864" s="130" t="str">
        <f>_xlfn.CONCAT(Tableau119[[#This Row],[POL]],"-",Tableau119[[#This Row],[Carrier]],"-",Tableau119[[#This Row],[POD]])</f>
        <v>INNSA-CMA-CGM-ESVLC</v>
      </c>
      <c r="F864" s="66" t="str">
        <f>_xlfn.CONCAT(Tableau119[[#This Row],[ID]],"-","Actif")</f>
        <v>920-Actif</v>
      </c>
      <c r="G864" s="66" t="str">
        <f>_xlfn.CONCAT(Tableau119[[#This Row],[POD]],"-",Tableau119[[#This Row],[Code PFI]],"-",Tableau119[[#This Row],[Compte Consignee]])</f>
        <v>ESVLC-91018400-91017500</v>
      </c>
      <c r="H8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PuneINNSASEVILLA</v>
      </c>
      <c r="I864" s="434" t="str">
        <f>_xlfn.CONCAT(Tableau119[[#This Row],[ID]],"-",Tableau119[[#This Row],[Expiration Date]])</f>
        <v>920-45777</v>
      </c>
      <c r="J8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Pune-ILN Pune-920-INNSA-CMA-CGM-ESVLC-PFI VLL-45777</v>
      </c>
      <c r="K864" s="119" t="str">
        <f ca="1">IF(COUNTIF(J:J,Tableau119[[#This Row],[Plant-ILN-shipper-POL-Carrier-POD-PFI]])=1,"Non","Oui")</f>
        <v>Non</v>
      </c>
      <c r="L864" s="128" t="str">
        <f>VLOOKUP(Tableau119[[#This Row],[Name Site]],Plant_AILN!A:D,4,FALSE)</f>
        <v>SPAIN</v>
      </c>
      <c r="M864" s="411" t="s">
        <v>172</v>
      </c>
      <c r="N864" s="454">
        <f>VLOOKUP(Tableau119[[#This Row],[Name Site]],Plant_AILN!A:C,3,FALSE)</f>
        <v>91017500</v>
      </c>
      <c r="O864" s="55">
        <f>VLOOKUP(Tableau119[[#This Row],[Compte Consignee]],Order!C:D,2,FALSE)</f>
        <v>7</v>
      </c>
      <c r="P864" s="124" t="s">
        <v>150</v>
      </c>
      <c r="Q864" s="365">
        <f>VLOOKUP(Tableau119[[#This Row],[Name ILN]],Plant_AILN!F:G,2,FALSE)</f>
        <v>2533780535</v>
      </c>
      <c r="R864" s="50">
        <f>VLOOKUP(Tableau119[[#This Row],[Compte ILN]],'DATA ILN'!D:I,6,FALSE)</f>
        <v>9</v>
      </c>
      <c r="S864" s="50">
        <f>IFERROR(VLOOKUP(Tableau119[[#This Row],[Key(Compte ILN - shipper - POL - plant)]],'DATA ILN'!A:J,10,FALSE),VLOOKUP(Tableau119[[#This Row],[Key(Compte ILN - shipper - POL)]],'DATA ILN'!B:J,9,FALSE))</f>
        <v>14</v>
      </c>
      <c r="T864" s="50">
        <f>IFERROR(VLOOKUP(Tableau119[[#This Row],[Key(Compte ILN - shipper - POL - plant)]],'DATA ILN'!A:K,11,FALSE),VLOOKUP(Tableau119[[#This Row],[Key(Compte ILN - shipper - POL)]],'DATA ILN'!B:K,10,FALSE))</f>
        <v>5</v>
      </c>
      <c r="U864" s="50">
        <f>IFERROR(VLOOKUP(Tableau119[[#This Row],[Key(Compte ILN - shipper - POL - plant)]],'DATA ILN'!A:L,12,FALSE),VLOOKUP(Tableau119[[#This Row],[Key(Compte ILN - shipper - POL)]],'DATA ILN'!B:L,11,FALSE))</f>
        <v>7</v>
      </c>
      <c r="V864" s="50">
        <f>Tableau119[[#This Row],[Day ILN Order]]+Tableau119[[#This Row],[Delivery time to ILN/Shipper]]-1</f>
        <v>22</v>
      </c>
      <c r="W864" s="50">
        <f>IFERROR(VLOOKUP(Tableau119[[#This Row],[Key(Compte ILN - shipper - POL - plant)]],'DATA ILN'!A:N,14,FALSE),VLOOKUP(Tableau119[[#This Row],[Key(Compte ILN - shipper - POL)]],'DATA ILN'!B:N,13,FALSE))</f>
        <v>3</v>
      </c>
      <c r="X864" s="50">
        <f>IFERROR(VLOOKUP(Tableau119[[#This Row],[Key(Compte ILN - shipper - POL - plant)]],'DATA ILN'!A:P,16,FALSE),VLOOKUP(Tableau119[[#This Row],[Key(Compte ILN - shipper - POL)]],'DATA ILN'!B:P,15,FALSE))</f>
        <v>5</v>
      </c>
      <c r="Y864" s="284" t="s">
        <v>150</v>
      </c>
      <c r="Z864" s="430">
        <f>IFERROR(VLOOKUP(Tableau119[[#This Row],[Name Shipper]],Plant_AILN!L:M,2,FALSE),0)</f>
        <v>2533780535</v>
      </c>
      <c r="AA864" s="406">
        <v>920</v>
      </c>
      <c r="AB864" s="396" t="str">
        <f>_xlfn.XLOOKUP(Tableau119[[#This Row],[Key(ID-date)]],'DATA BTO'!S:S,'DATA BTO'!E:E,FALSE)</f>
        <v>INNSA</v>
      </c>
      <c r="AC864" s="3" t="str">
        <f>_xlfn.XLOOKUP(Tableau119[[#This Row],[Key(ID-date)]],'DATA BTO'!S:S,'DATA BTO'!F:F,FALSE)</f>
        <v>CMA-CGM</v>
      </c>
      <c r="AD864" s="50">
        <f>_xlfn.XLOOKUP(Tableau119[[#This Row],[Key(ID-date)]],'DATA BTO'!S:S,'DATA BTO'!G:G,FALSE)</f>
        <v>4</v>
      </c>
      <c r="AE864" s="50">
        <f>_xlfn.XLOOKUP(Tableau119[[#This Row],[Key(ID-date)]],'DATA BTO'!S:S,'DATA BTO'!H:H,FALSE)</f>
        <v>6</v>
      </c>
      <c r="AF864" s="447">
        <f>IF(Tableau119[[#This Row],[First Day to POL]]&lt;=Tableau119[[#This Row],[Day Cut Off]],Tableau119[[#This Row],[Day ETD]],Tableau119[[#This Row],[Day ETD]]+7)</f>
        <v>13</v>
      </c>
      <c r="AG864" s="50">
        <f>_xlfn.XLOOKUP(Tableau119[[#This Row],[Key(ID-date)]],'DATA BTO'!S:S,'DATA BTO'!I:I,FALSE)</f>
        <v>30</v>
      </c>
      <c r="AH864" s="3" t="str">
        <f>_xlfn.XLOOKUP(Tableau119[[#This Row],[Key(ID-date)]],'DATA BTO'!S:S,'DATA BTO'!J:J,FALSE)</f>
        <v>ESVLC</v>
      </c>
      <c r="AI864" s="3">
        <f>_xlfn.XLOOKUP(Tableau119[[#This Row],[Key(ID-date)]],'DATA BTO'!S:S,'DATA BTO'!K:K,FALSE)</f>
        <v>3</v>
      </c>
      <c r="AJ864" s="50">
        <f>_xlfn.XLOOKUP(Tableau119[[#This Row],[Key(ID-date)]],'DATA BTO'!S:S,'DATA BTO'!L:L,FALSE)</f>
        <v>0</v>
      </c>
      <c r="AK864" s="53" t="str">
        <f>_xlfn.XLOOKUP(Tableau119[[#This Row],[Key(ID-date)]],'DATA BTO'!S:S,'DATA BTO'!N:N,FALSE)</f>
        <v>Marc-Aurele</v>
      </c>
      <c r="AL864" s="54">
        <f>VLOOKUP(Tableau119[[#This Row],[Key(POD -PFI- Usine)]],'DATA Consignee'!A:F,6,FALSE)</f>
        <v>2</v>
      </c>
      <c r="AM864" s="509" t="s">
        <v>171</v>
      </c>
      <c r="AN864" s="376">
        <f>IF(Tableau119[[#This Row],[Name PFI/CDD]]="","-",VLOOKUP(Tableau119[[#This Row],[Name PFI/CDD]],Plant_AILN!I:J,2,FALSE))</f>
        <v>91018400</v>
      </c>
      <c r="AO864" s="6">
        <f>IF(COUNTIF(buffer_train[AILN],Tableau119[[#This Row],[Name PFI/CDD]])&gt;0,Tableau119[[#This Row],[First Receipt Days]]+Tableau119[[#This Row],[Cust.]]+Tableau119[[#This Row],[Parts Vanning]]+Tableau119[[#This Row],[Transit Time2]],"-")</f>
        <v>75</v>
      </c>
      <c r="AP864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3</v>
      </c>
      <c r="AQ864" s="2">
        <f>VLOOKUP(Tableau119[[#This Row],[Key(POD -PFI- Usine)]],'DATA Consignee'!A:J,10,FALSE)</f>
        <v>3</v>
      </c>
      <c r="AR864" s="50">
        <f>VLOOKUP(Tableau119[[#This Row],[Key(POD -PFI- Usine)]],'DATA Consignee'!A:N,14,FALSE)</f>
        <v>4</v>
      </c>
      <c r="AS86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64" s="50">
        <f>Tableau119[[#This Row],[Transit time]]+Tableau119[[#This Row],[Time for security]]+Tableau119[[#This Row],[Time for security2 buffer]]</f>
        <v>33</v>
      </c>
      <c r="AV86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64" s="50">
        <f>Tableau119[[#This Row],[Leadtime SI2C]]+Tableau119[[#This Row],[First Receipt Days]]-Tableau119[[#This Row],[Day Customer Order]]+1</f>
        <v>85</v>
      </c>
      <c r="AX864" s="119">
        <f>IF(Tableau119[[#This Row],[Name ILN]]&lt;&gt;"SFK Freight Forwarder",Tableau119[[#This Row],[Cust. Leadtime]],Tableau119[[#This Row],[Leadtime SI2C]])</f>
        <v>85</v>
      </c>
      <c r="AY864" s="51" t="str">
        <f>_xlfn.XLOOKUP(Tableau119[[#This Row],[Key(ID-date)]],'DATA BTO'!S:S,'DATA BTO'!P:P,FALSE)</f>
        <v>Renault &gt; Horse BPH</v>
      </c>
      <c r="AZ864" s="338">
        <v>45777</v>
      </c>
      <c r="BA864" s="50"/>
    </row>
    <row r="865" spans="2:53">
      <c r="B865" s="446" t="str">
        <f>_xlfn.CONCAT(Tableau119[[#This Row],[Name ILN]],"-",Tableau119[[#This Row],[Name Shipper]],"-",Tableau119[[#This Row],[Name Site]])</f>
        <v>ILN Pune-ILN Pune-CACIA</v>
      </c>
      <c r="C865" s="66" t="str">
        <f>_xlfn.CONCAT(Tableau119[[#This Row],[Compte ILN]],"-",Tableau119[[#This Row],[Compte Shipper]],"-",Tableau119[[#This Row],[POL]],"-",Tableau119[[#This Row],[Compte Consignee]])</f>
        <v>2533780535-2533780535-INNSA-90016500</v>
      </c>
      <c r="D865" s="66" t="str">
        <f>_xlfn.CONCAT(Tableau119[[#This Row],[Compte ILN]],"-",Tableau119[[#This Row],[Compte Shipper]],"-",Tableau119[[#This Row],[POL]])</f>
        <v>2533780535-2533780535-INNSA</v>
      </c>
      <c r="E865" s="130" t="str">
        <f>_xlfn.CONCAT(Tableau119[[#This Row],[POL]],"-",Tableau119[[#This Row],[Carrier]],"-",Tableau119[[#This Row],[POD]])</f>
        <v>INNSA-CMA-CGM-ESVLC</v>
      </c>
      <c r="F865" s="66" t="str">
        <f>_xlfn.CONCAT(Tableau119[[#This Row],[ID]],"-","Actif")</f>
        <v>920-Actif</v>
      </c>
      <c r="G865" s="66" t="str">
        <f>_xlfn.CONCAT(Tableau119[[#This Row],[POD]],"-",Tableau119[[#This Row],[Code PFI]],"-",Tableau119[[#This Row],[Compte Consignee]])</f>
        <v>ESVLC-91018400-90016500</v>
      </c>
      <c r="H8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PuneINNSACACIA</v>
      </c>
      <c r="I865" s="434" t="str">
        <f>_xlfn.CONCAT(Tableau119[[#This Row],[ID]],"-",Tableau119[[#This Row],[Expiration Date]])</f>
        <v>920-45657</v>
      </c>
      <c r="J8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CACIA-ILN Pune-ILN Pune-920-INNSA-CMA-CGM-ESVLC-PFI VLL-45657</v>
      </c>
      <c r="K865" s="119" t="str">
        <f ca="1">IF(COUNTIF(J:J,Tableau119[[#This Row],[Plant-ILN-shipper-POL-Carrier-POD-PFI]])=1,"Non","Oui")</f>
        <v>Non</v>
      </c>
      <c r="L865" s="128" t="str">
        <f>VLOOKUP(Tableau119[[#This Row],[Name Site]],Plant_AILN!A:D,4,FALSE)</f>
        <v>PORTUGAL</v>
      </c>
      <c r="M865" s="411" t="s">
        <v>170</v>
      </c>
      <c r="N865" s="454">
        <f>VLOOKUP(Tableau119[[#This Row],[Name Site]],Plant_AILN!A:C,3,FALSE)</f>
        <v>90016500</v>
      </c>
      <c r="O865" s="55">
        <f>VLOOKUP(Tableau119[[#This Row],[Compte Consignee]],Order!C:D,2,FALSE)</f>
        <v>5</v>
      </c>
      <c r="P865" s="124" t="s">
        <v>150</v>
      </c>
      <c r="Q865" s="365">
        <f>VLOOKUP(Tableau119[[#This Row],[Name ILN]],Plant_AILN!F:G,2,FALSE)</f>
        <v>2533780535</v>
      </c>
      <c r="R865" s="50">
        <f>VLOOKUP(Tableau119[[#This Row],[Compte ILN]],'DATA ILN'!D:I,6,FALSE)</f>
        <v>9</v>
      </c>
      <c r="S865" s="50">
        <f>IFERROR(VLOOKUP(Tableau119[[#This Row],[Key(Compte ILN - shipper - POL - plant)]],'DATA ILN'!A:J,10,FALSE),VLOOKUP(Tableau119[[#This Row],[Key(Compte ILN - shipper - POL)]],'DATA ILN'!B:J,9,FALSE))</f>
        <v>14</v>
      </c>
      <c r="T865" s="50">
        <f>IFERROR(VLOOKUP(Tableau119[[#This Row],[Key(Compte ILN - shipper - POL - plant)]],'DATA ILN'!A:K,11,FALSE),VLOOKUP(Tableau119[[#This Row],[Key(Compte ILN - shipper - POL)]],'DATA ILN'!B:K,10,FALSE))</f>
        <v>5</v>
      </c>
      <c r="U865" s="50">
        <f>IFERROR(VLOOKUP(Tableau119[[#This Row],[Key(Compte ILN - shipper - POL - plant)]],'DATA ILN'!A:L,12,FALSE),VLOOKUP(Tableau119[[#This Row],[Key(Compte ILN - shipper - POL)]],'DATA ILN'!B:L,11,FALSE))</f>
        <v>7</v>
      </c>
      <c r="V865" s="50">
        <f>Tableau119[[#This Row],[Day ILN Order]]+Tableau119[[#This Row],[Delivery time to ILN/Shipper]]-1</f>
        <v>22</v>
      </c>
      <c r="W865" s="50">
        <f>IFERROR(VLOOKUP(Tableau119[[#This Row],[Key(Compte ILN - shipper - POL - plant)]],'DATA ILN'!A:N,14,FALSE),VLOOKUP(Tableau119[[#This Row],[Key(Compte ILN - shipper - POL)]],'DATA ILN'!B:N,13,FALSE))</f>
        <v>3</v>
      </c>
      <c r="X865" s="50">
        <f>IFERROR(VLOOKUP(Tableau119[[#This Row],[Key(Compte ILN - shipper - POL - plant)]],'DATA ILN'!A:P,16,FALSE),VLOOKUP(Tableau119[[#This Row],[Key(Compte ILN - shipper - POL)]],'DATA ILN'!B:P,15,FALSE))</f>
        <v>5</v>
      </c>
      <c r="Y865" s="284" t="s">
        <v>150</v>
      </c>
      <c r="Z865" s="430">
        <f>IFERROR(VLOOKUP(Tableau119[[#This Row],[Name Shipper]],Plant_AILN!L:M,2,FALSE),0)</f>
        <v>2533780535</v>
      </c>
      <c r="AA865" s="406">
        <v>920</v>
      </c>
      <c r="AB865" s="396" t="str">
        <f>_xlfn.XLOOKUP(Tableau119[[#This Row],[Key(ID-date)]],'DATA BTO'!S:S,'DATA BTO'!E:E,FALSE)</f>
        <v>INNSA</v>
      </c>
      <c r="AC865" s="3" t="str">
        <f>_xlfn.XLOOKUP(Tableau119[[#This Row],[Key(ID-date)]],'DATA BTO'!S:S,'DATA BTO'!F:F,FALSE)</f>
        <v>CMA-CGM</v>
      </c>
      <c r="AD865" s="50">
        <f>_xlfn.XLOOKUP(Tableau119[[#This Row],[Key(ID-date)]],'DATA BTO'!S:S,'DATA BTO'!G:G,FALSE)</f>
        <v>1</v>
      </c>
      <c r="AE865" s="50">
        <f>_xlfn.XLOOKUP(Tableau119[[#This Row],[Key(ID-date)]],'DATA BTO'!S:S,'DATA BTO'!H:H,FALSE)</f>
        <v>3</v>
      </c>
      <c r="AF865" s="447">
        <f>IF(Tableau119[[#This Row],[First Day to POL]]&lt;=Tableau119[[#This Row],[Day Cut Off]],Tableau119[[#This Row],[Day ETD]],Tableau119[[#This Row],[Day ETD]]+7)</f>
        <v>10</v>
      </c>
      <c r="AG865" s="50">
        <f>_xlfn.XLOOKUP(Tableau119[[#This Row],[Key(ID-date)]],'DATA BTO'!S:S,'DATA BTO'!I:I,FALSE)</f>
        <v>22</v>
      </c>
      <c r="AH865" s="3" t="str">
        <f>_xlfn.XLOOKUP(Tableau119[[#This Row],[Key(ID-date)]],'DATA BTO'!S:S,'DATA BTO'!J:J,FALSE)</f>
        <v>ESVLC</v>
      </c>
      <c r="AI865" s="3">
        <f>_xlfn.XLOOKUP(Tableau119[[#This Row],[Key(ID-date)]],'DATA BTO'!S:S,'DATA BTO'!K:K,FALSE)</f>
        <v>3</v>
      </c>
      <c r="AJ865" s="50">
        <f>_xlfn.XLOOKUP(Tableau119[[#This Row],[Key(ID-date)]],'DATA BTO'!S:S,'DATA BTO'!L:L,FALSE)</f>
        <v>0</v>
      </c>
      <c r="AK865" s="53" t="str">
        <f>_xlfn.XLOOKUP(Tableau119[[#This Row],[Key(ID-date)]],'DATA BTO'!S:S,'DATA BTO'!N:N,FALSE)</f>
        <v>Anthony</v>
      </c>
      <c r="AL865" s="54">
        <f>VLOOKUP(Tableau119[[#This Row],[Key(POD -PFI- Usine)]],'DATA Consignee'!A:F,6,FALSE)</f>
        <v>3</v>
      </c>
      <c r="AM865" s="509" t="s">
        <v>171</v>
      </c>
      <c r="AN865" s="376">
        <f>IF(Tableau119[[#This Row],[Name PFI/CDD]]="","-",VLOOKUP(Tableau119[[#This Row],[Name PFI/CDD]],Plant_AILN!I:J,2,FALSE))</f>
        <v>91018400</v>
      </c>
      <c r="AO865" s="6">
        <f>IF(COUNTIF(buffer_train[AILN],Tableau119[[#This Row],[Name PFI/CDD]])&gt;0,Tableau119[[#This Row],[First Receipt Days]]+Tableau119[[#This Row],[Cust.]]+Tableau119[[#This Row],[Parts Vanning]]+Tableau119[[#This Row],[Transit Time2]],"-")</f>
        <v>65</v>
      </c>
      <c r="AP865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6</v>
      </c>
      <c r="AQ865" s="2">
        <f>VLOOKUP(Tableau119[[#This Row],[Key(POD -PFI- Usine)]],'DATA Consignee'!A:J,10,FALSE)</f>
        <v>3</v>
      </c>
      <c r="AR865" s="50">
        <f>VLOOKUP(Tableau119[[#This Row],[Key(POD -PFI- Usine)]],'DATA Consignee'!A:N,14,FALSE)</f>
        <v>4</v>
      </c>
      <c r="AS86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65" s="50">
        <f>Tableau119[[#This Row],[Transit time]]+Tableau119[[#This Row],[Time for security]]+Tableau119[[#This Row],[Time for security2 buffer]]</f>
        <v>25</v>
      </c>
      <c r="AV86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65" s="50">
        <f>Tableau119[[#This Row],[Leadtime SI2C]]+Tableau119[[#This Row],[First Receipt Days]]-Tableau119[[#This Row],[Day Customer Order]]+1</f>
        <v>80</v>
      </c>
      <c r="AX865" s="119">
        <f>IF(Tableau119[[#This Row],[Name ILN]]&lt;&gt;"SFK Freight Forwarder",Tableau119[[#This Row],[Cust. Leadtime]],Tableau119[[#This Row],[Leadtime SI2C]])</f>
        <v>80</v>
      </c>
      <c r="AY865" s="51" t="str">
        <f>_xlfn.XLOOKUP(Tableau119[[#This Row],[Key(ID-date)]],'DATA BTO'!S:S,'DATA BTO'!P:P,FALSE)</f>
        <v>Renault &gt; Horse BPH</v>
      </c>
      <c r="AZ865" s="338">
        <v>45657</v>
      </c>
      <c r="BA865" s="50"/>
    </row>
    <row r="866" spans="2:53">
      <c r="B866" s="446" t="str">
        <f>_xlfn.CONCAT(Tableau119[[#This Row],[Name ILN]],"-",Tableau119[[#This Row],[Name Shipper]],"-",Tableau119[[#This Row],[Name Site]])</f>
        <v>ILN Pune-ILN Pune-SEVILLA</v>
      </c>
      <c r="C866" s="66" t="str">
        <f>_xlfn.CONCAT(Tableau119[[#This Row],[Compte ILN]],"-",Tableau119[[#This Row],[Compte Shipper]],"-",Tableau119[[#This Row],[POL]],"-",Tableau119[[#This Row],[Compte Consignee]])</f>
        <v>2533780535-2533780535-INNSA-91017500</v>
      </c>
      <c r="D866" s="66" t="str">
        <f>_xlfn.CONCAT(Tableau119[[#This Row],[Compte ILN]],"-",Tableau119[[#This Row],[Compte Shipper]],"-",Tableau119[[#This Row],[POL]])</f>
        <v>2533780535-2533780535-INNSA</v>
      </c>
      <c r="E866" s="130" t="str">
        <f>_xlfn.CONCAT(Tableau119[[#This Row],[POL]],"-",Tableau119[[#This Row],[Carrier]],"-",Tableau119[[#This Row],[POD]])</f>
        <v>INNSA-CMA-CGM-ESVLC</v>
      </c>
      <c r="F866" s="66" t="str">
        <f>_xlfn.CONCAT(Tableau119[[#This Row],[ID]],"-","Actif")</f>
        <v>920-Actif</v>
      </c>
      <c r="G866" s="66" t="str">
        <f>_xlfn.CONCAT(Tableau119[[#This Row],[POD]],"-",Tableau119[[#This Row],[Code PFI]],"-",Tableau119[[#This Row],[Compte Consignee]])</f>
        <v>ESVLC-91018400-91017500</v>
      </c>
      <c r="H8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PuneINNSASEVILLA</v>
      </c>
      <c r="I866" s="434" t="str">
        <f>_xlfn.CONCAT(Tableau119[[#This Row],[ID]],"-",Tableau119[[#This Row],[Expiration Date]])</f>
        <v>920-45657</v>
      </c>
      <c r="J8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Pune-ILN Pune-920-INNSA-CMA-CGM-ESVLC-PFI VLL-45657</v>
      </c>
      <c r="K866" s="119" t="str">
        <f ca="1">IF(COUNTIF(J:J,Tableau119[[#This Row],[Plant-ILN-shipper-POL-Carrier-POD-PFI]])=1,"Non","Oui")</f>
        <v>Non</v>
      </c>
      <c r="L866" s="128" t="str">
        <f>VLOOKUP(Tableau119[[#This Row],[Name Site]],Plant_AILN!A:D,4,FALSE)</f>
        <v>SPAIN</v>
      </c>
      <c r="M866" s="411" t="s">
        <v>172</v>
      </c>
      <c r="N866" s="454">
        <f>VLOOKUP(Tableau119[[#This Row],[Name Site]],Plant_AILN!A:C,3,FALSE)</f>
        <v>91017500</v>
      </c>
      <c r="O866" s="55">
        <f>VLOOKUP(Tableau119[[#This Row],[Compte Consignee]],Order!C:D,2,FALSE)</f>
        <v>7</v>
      </c>
      <c r="P866" s="124" t="s">
        <v>150</v>
      </c>
      <c r="Q866" s="365">
        <f>VLOOKUP(Tableau119[[#This Row],[Name ILN]],Plant_AILN!F:G,2,FALSE)</f>
        <v>2533780535</v>
      </c>
      <c r="R866" s="50">
        <f>VLOOKUP(Tableau119[[#This Row],[Compte ILN]],'DATA ILN'!D:I,6,FALSE)</f>
        <v>9</v>
      </c>
      <c r="S866" s="50">
        <f>IFERROR(VLOOKUP(Tableau119[[#This Row],[Key(Compte ILN - shipper - POL - plant)]],'DATA ILN'!A:J,10,FALSE),VLOOKUP(Tableau119[[#This Row],[Key(Compte ILN - shipper - POL)]],'DATA ILN'!B:J,9,FALSE))</f>
        <v>14</v>
      </c>
      <c r="T866" s="50">
        <f>IFERROR(VLOOKUP(Tableau119[[#This Row],[Key(Compte ILN - shipper - POL - plant)]],'DATA ILN'!A:K,11,FALSE),VLOOKUP(Tableau119[[#This Row],[Key(Compte ILN - shipper - POL)]],'DATA ILN'!B:K,10,FALSE))</f>
        <v>5</v>
      </c>
      <c r="U866" s="50">
        <f>IFERROR(VLOOKUP(Tableau119[[#This Row],[Key(Compte ILN - shipper - POL - plant)]],'DATA ILN'!A:L,12,FALSE),VLOOKUP(Tableau119[[#This Row],[Key(Compte ILN - shipper - POL)]],'DATA ILN'!B:L,11,FALSE))</f>
        <v>7</v>
      </c>
      <c r="V866" s="50">
        <f>Tableau119[[#This Row],[Day ILN Order]]+Tableau119[[#This Row],[Delivery time to ILN/Shipper]]-1</f>
        <v>22</v>
      </c>
      <c r="W866" s="50">
        <f>IFERROR(VLOOKUP(Tableau119[[#This Row],[Key(Compte ILN - shipper - POL - plant)]],'DATA ILN'!A:N,14,FALSE),VLOOKUP(Tableau119[[#This Row],[Key(Compte ILN - shipper - POL)]],'DATA ILN'!B:N,13,FALSE))</f>
        <v>3</v>
      </c>
      <c r="X866" s="50">
        <f>IFERROR(VLOOKUP(Tableau119[[#This Row],[Key(Compte ILN - shipper - POL - plant)]],'DATA ILN'!A:P,16,FALSE),VLOOKUP(Tableau119[[#This Row],[Key(Compte ILN - shipper - POL)]],'DATA ILN'!B:P,15,FALSE))</f>
        <v>5</v>
      </c>
      <c r="Y866" s="284" t="s">
        <v>150</v>
      </c>
      <c r="Z866" s="430">
        <f>IFERROR(VLOOKUP(Tableau119[[#This Row],[Name Shipper]],Plant_AILN!L:M,2,FALSE),0)</f>
        <v>2533780535</v>
      </c>
      <c r="AA866" s="406">
        <v>920</v>
      </c>
      <c r="AB866" s="396" t="str">
        <f>_xlfn.XLOOKUP(Tableau119[[#This Row],[Key(ID-date)]],'DATA BTO'!S:S,'DATA BTO'!E:E,FALSE)</f>
        <v>INNSA</v>
      </c>
      <c r="AC866" s="3" t="str">
        <f>_xlfn.XLOOKUP(Tableau119[[#This Row],[Key(ID-date)]],'DATA BTO'!S:S,'DATA BTO'!F:F,FALSE)</f>
        <v>CMA-CGM</v>
      </c>
      <c r="AD866" s="50">
        <f>_xlfn.XLOOKUP(Tableau119[[#This Row],[Key(ID-date)]],'DATA BTO'!S:S,'DATA BTO'!G:G,FALSE)</f>
        <v>1</v>
      </c>
      <c r="AE866" s="50">
        <f>_xlfn.XLOOKUP(Tableau119[[#This Row],[Key(ID-date)]],'DATA BTO'!S:S,'DATA BTO'!H:H,FALSE)</f>
        <v>3</v>
      </c>
      <c r="AF866" s="447">
        <f>IF(Tableau119[[#This Row],[First Day to POL]]&lt;=Tableau119[[#This Row],[Day Cut Off]],Tableau119[[#This Row],[Day ETD]],Tableau119[[#This Row],[Day ETD]]+7)</f>
        <v>10</v>
      </c>
      <c r="AG866" s="50">
        <f>_xlfn.XLOOKUP(Tableau119[[#This Row],[Key(ID-date)]],'DATA BTO'!S:S,'DATA BTO'!I:I,FALSE)</f>
        <v>22</v>
      </c>
      <c r="AH866" s="3" t="str">
        <f>_xlfn.XLOOKUP(Tableau119[[#This Row],[Key(ID-date)]],'DATA BTO'!S:S,'DATA BTO'!J:J,FALSE)</f>
        <v>ESVLC</v>
      </c>
      <c r="AI866" s="3">
        <f>_xlfn.XLOOKUP(Tableau119[[#This Row],[Key(ID-date)]],'DATA BTO'!S:S,'DATA BTO'!K:K,FALSE)</f>
        <v>3</v>
      </c>
      <c r="AJ866" s="50">
        <f>_xlfn.XLOOKUP(Tableau119[[#This Row],[Key(ID-date)]],'DATA BTO'!S:S,'DATA BTO'!L:L,FALSE)</f>
        <v>0</v>
      </c>
      <c r="AK866" s="53" t="str">
        <f>_xlfn.XLOOKUP(Tableau119[[#This Row],[Key(ID-date)]],'DATA BTO'!S:S,'DATA BTO'!N:N,FALSE)</f>
        <v>Anthony</v>
      </c>
      <c r="AL866" s="54">
        <f>VLOOKUP(Tableau119[[#This Row],[Key(POD -PFI- Usine)]],'DATA Consignee'!A:F,6,FALSE)</f>
        <v>2</v>
      </c>
      <c r="AM866" s="509" t="s">
        <v>171</v>
      </c>
      <c r="AN866" s="376">
        <f>IF(Tableau119[[#This Row],[Name PFI/CDD]]="","-",VLOOKUP(Tableau119[[#This Row],[Name PFI/CDD]],Plant_AILN!I:J,2,FALSE))</f>
        <v>91018400</v>
      </c>
      <c r="AO866" s="6">
        <f>IF(COUNTIF(buffer_train[AILN],Tableau119[[#This Row],[Name PFI/CDD]])&gt;0,Tableau119[[#This Row],[First Receipt Days]]+Tableau119[[#This Row],[Cust.]]+Tableau119[[#This Row],[Parts Vanning]]+Tableau119[[#This Row],[Transit Time2]],"-")</f>
        <v>64</v>
      </c>
      <c r="AP866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0</v>
      </c>
      <c r="AQ866" s="2">
        <f>VLOOKUP(Tableau119[[#This Row],[Key(POD -PFI- Usine)]],'DATA Consignee'!A:J,10,FALSE)</f>
        <v>3</v>
      </c>
      <c r="AR866" s="50">
        <f>VLOOKUP(Tableau119[[#This Row],[Key(POD -PFI- Usine)]],'DATA Consignee'!A:N,14,FALSE)</f>
        <v>4</v>
      </c>
      <c r="AS86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6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66" s="50">
        <f>Tableau119[[#This Row],[Transit time]]+Tableau119[[#This Row],[Time for security]]+Tableau119[[#This Row],[Time for security2 buffer]]</f>
        <v>25</v>
      </c>
      <c r="AV86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66" s="50">
        <f>Tableau119[[#This Row],[Leadtime SI2C]]+Tableau119[[#This Row],[First Receipt Days]]-Tableau119[[#This Row],[Day Customer Order]]+1</f>
        <v>71</v>
      </c>
      <c r="AX866" s="119">
        <f>IF(Tableau119[[#This Row],[Name ILN]]&lt;&gt;"SFK Freight Forwarder",Tableau119[[#This Row],[Cust. Leadtime]],Tableau119[[#This Row],[Leadtime SI2C]])</f>
        <v>71</v>
      </c>
      <c r="AY866" s="51" t="str">
        <f>_xlfn.XLOOKUP(Tableau119[[#This Row],[Key(ID-date)]],'DATA BTO'!S:S,'DATA BTO'!P:P,FALSE)</f>
        <v>Renault &gt; Horse BPH</v>
      </c>
      <c r="AZ866" s="338">
        <v>45657</v>
      </c>
      <c r="BA866" s="50"/>
    </row>
    <row r="867" spans="2:53">
      <c r="B867" s="446" t="str">
        <f>_xlfn.CONCAT(Tableau119[[#This Row],[Name ILN]],"-",Tableau119[[#This Row],[Name Shipper]],"-",Tableau119[[#This Row],[Name Site]])</f>
        <v>ILN Pune-ILN Pune-OYAK MEKA</v>
      </c>
      <c r="C867" s="66" t="str">
        <f>_xlfn.CONCAT(Tableau119[[#This Row],[Compte ILN]],"-",Tableau119[[#This Row],[Compte Shipper]],"-",Tableau119[[#This Row],[POL]],"-",Tableau119[[#This Row],[Compte Consignee]])</f>
        <v>2533780535-2533780535-INNSA-90014400</v>
      </c>
      <c r="D867" s="66" t="str">
        <f>_xlfn.CONCAT(Tableau119[[#This Row],[Compte ILN]],"-",Tableau119[[#This Row],[Compte Shipper]],"-",Tableau119[[#This Row],[POL]])</f>
        <v>2533780535-2533780535-INNSA</v>
      </c>
      <c r="E867" s="130" t="str">
        <f>_xlfn.CONCAT(Tableau119[[#This Row],[POL]],"-",Tableau119[[#This Row],[Carrier]],"-",Tableau119[[#This Row],[POD]])</f>
        <v>INNSA-CMA-CGM-TRGEM</v>
      </c>
      <c r="F867" s="66" t="str">
        <f>_xlfn.CONCAT(Tableau119[[#This Row],[ID]],"-","Actif")</f>
        <v>921-Actif</v>
      </c>
      <c r="G867" s="66" t="str">
        <f>_xlfn.CONCAT(Tableau119[[#This Row],[POD]],"-",Tableau119[[#This Row],[Code PFI]],"-",Tableau119[[#This Row],[Compte Consignee]])</f>
        <v>TRGEM---90014400</v>
      </c>
      <c r="H8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MEKA</v>
      </c>
      <c r="I867" s="434" t="str">
        <f>_xlfn.CONCAT(Tableau119[[#This Row],[ID]],"-",Tableau119[[#This Row],[Expiration Date]])</f>
        <v>921-46142</v>
      </c>
      <c r="J8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Pune-ILN Pune-921-INNSA-CMA-CGM-TRGEM--46142</v>
      </c>
      <c r="K867" s="119" t="str">
        <f ca="1">IF(COUNTIF(J:J,Tableau119[[#This Row],[Plant-ILN-shipper-POL-Carrier-POD-PFI]])=1,"Non","Oui")</f>
        <v>Non</v>
      </c>
      <c r="L867" s="128" t="str">
        <f>VLOOKUP(Tableau119[[#This Row],[Name Site]],Plant_AILN!A:D,4,FALSE)</f>
        <v>TURKEY</v>
      </c>
      <c r="M867" s="415" t="s">
        <v>165</v>
      </c>
      <c r="N867" s="455">
        <f>VLOOKUP(Tableau119[[#This Row],[Name Site]],Plant_AILN!A:C,3,FALSE)</f>
        <v>90014400</v>
      </c>
      <c r="O867" s="104">
        <f>IF(Tableau119[[#This Row],[Name PFI/CDD]]="PFI VLL",2,VLOOKUP(Tableau119[[#This Row],[Compte Consignee]],Order!C:D,2,FALSE))</f>
        <v>2</v>
      </c>
      <c r="P867" s="126" t="s">
        <v>150</v>
      </c>
      <c r="Q867" s="366">
        <f>VLOOKUP(Tableau119[[#This Row],[Name ILN]],Plant_AILN!F:G,2,FALSE)</f>
        <v>2533780535</v>
      </c>
      <c r="R867" s="81">
        <f>VLOOKUP(Tableau119[[#This Row],[Compte ILN]],'DATA ILN'!D:I,6,FALSE)</f>
        <v>9</v>
      </c>
      <c r="S867" s="81">
        <f>IFERROR(VLOOKUP(Tableau119[[#This Row],[Key(Compte ILN - shipper - POL - plant)]],'DATA ILN'!A:J,10,FALSE),VLOOKUP(Tableau119[[#This Row],[Key(Compte ILN - shipper - POL)]],'DATA ILN'!B:J,9,FALSE))</f>
        <v>14</v>
      </c>
      <c r="T867" s="81">
        <f>IFERROR(VLOOKUP(Tableau119[[#This Row],[Key(Compte ILN - shipper - POL - plant)]],'DATA ILN'!A:K,11,FALSE),VLOOKUP(Tableau119[[#This Row],[Key(Compte ILN - shipper - POL)]],'DATA ILN'!B:K,10,FALSE))</f>
        <v>5</v>
      </c>
      <c r="U867" s="81">
        <f>IFERROR(VLOOKUP(Tableau119[[#This Row],[Key(Compte ILN - shipper - POL - plant)]],'DATA ILN'!A:L,12,FALSE),VLOOKUP(Tableau119[[#This Row],[Key(Compte ILN - shipper - POL)]],'DATA ILN'!B:L,11,FALSE))</f>
        <v>7</v>
      </c>
      <c r="V867" s="81">
        <f>Tableau119[[#This Row],[Day ILN Order]]+Tableau119[[#This Row],[Delivery time to ILN/Shipper]]-1</f>
        <v>22</v>
      </c>
      <c r="W867" s="81">
        <f>IFERROR(VLOOKUP(Tableau119[[#This Row],[Key(Compte ILN - shipper - POL - plant)]],'DATA ILN'!A:N,14,FALSE),VLOOKUP(Tableau119[[#This Row],[Key(Compte ILN - shipper - POL)]],'DATA ILN'!B:N,13,FALSE))</f>
        <v>3</v>
      </c>
      <c r="X867" s="81">
        <f>IFERROR(VLOOKUP(Tableau119[[#This Row],[Key(Compte ILN - shipper - POL - plant)]],'DATA ILN'!A:P,16,FALSE),VLOOKUP(Tableau119[[#This Row],[Key(Compte ILN - shipper - POL)]],'DATA ILN'!B:P,15,FALSE))</f>
        <v>5</v>
      </c>
      <c r="Y867" s="102" t="s">
        <v>150</v>
      </c>
      <c r="Z867" s="417">
        <f>IFERROR(VLOOKUP(Tableau119[[#This Row],[Name Shipper]],Plant_AILN!L:M,2,FALSE),0)</f>
        <v>2533780535</v>
      </c>
      <c r="AA867" s="416">
        <v>921</v>
      </c>
      <c r="AB867" s="396" t="str">
        <f>_xlfn.XLOOKUP(Tableau119[[#This Row],[Key(ID-date)]],'DATA BTO'!S:S,'DATA BTO'!E:E,FALSE)</f>
        <v>INNSA</v>
      </c>
      <c r="AC867" s="3" t="str">
        <f>_xlfn.XLOOKUP(Tableau119[[#This Row],[Key(ID-date)]],'DATA BTO'!S:S,'DATA BTO'!F:F,FALSE)</f>
        <v>CMA-CGM</v>
      </c>
      <c r="AD867" s="50">
        <f>_xlfn.XLOOKUP(Tableau119[[#This Row],[Key(ID-date)]],'DATA BTO'!S:S,'DATA BTO'!G:G,FALSE)</f>
        <v>4</v>
      </c>
      <c r="AE867" s="50">
        <f>_xlfn.XLOOKUP(Tableau119[[#This Row],[Key(ID-date)]],'DATA BTO'!S:S,'DATA BTO'!H:H,FALSE)</f>
        <v>6</v>
      </c>
      <c r="AF867" s="447">
        <f>IF(Tableau119[[#This Row],[First Day to POL]]&lt;=Tableau119[[#This Row],[Day Cut Off]],Tableau119[[#This Row],[Day ETD]],Tableau119[[#This Row],[Day ETD]]+7)</f>
        <v>13</v>
      </c>
      <c r="AG867" s="50">
        <f>_xlfn.XLOOKUP(Tableau119[[#This Row],[Key(ID-date)]],'DATA BTO'!S:S,'DATA BTO'!I:I,FALSE)</f>
        <v>48</v>
      </c>
      <c r="AH867" s="3" t="str">
        <f>_xlfn.XLOOKUP(Tableau119[[#This Row],[Key(ID-date)]],'DATA BTO'!S:S,'DATA BTO'!J:J,FALSE)</f>
        <v>TRGEM</v>
      </c>
      <c r="AI867" s="3">
        <f>_xlfn.XLOOKUP(Tableau119[[#This Row],[Key(ID-date)]],'DATA BTO'!S:S,'DATA BTO'!K:K,FALSE)</f>
        <v>3</v>
      </c>
      <c r="AJ867" s="50">
        <f>_xlfn.XLOOKUP(Tableau119[[#This Row],[Key(ID-date)]],'DATA BTO'!S:S,'DATA BTO'!L:L,FALSE)</f>
        <v>0</v>
      </c>
      <c r="AK867" s="53" t="str">
        <f>_xlfn.XLOOKUP(Tableau119[[#This Row],[Key(ID-date)]],'DATA BTO'!S:S,'DATA BTO'!N:N,FALSE)</f>
        <v>Marc-Aurele</v>
      </c>
      <c r="AL867" s="54">
        <f>VLOOKUP(Tableau119[[#This Row],[Key(POD -PFI- Usine)]],'DATA Consignee'!A:F,6,FALSE)</f>
        <v>2</v>
      </c>
      <c r="AM867" s="102"/>
      <c r="AN867" s="375" t="str">
        <f>IF(Tableau119[[#This Row],[Name PFI/CDD]]="","-",VLOOKUP(Tableau119[[#This Row],[Name PFI/CDD]],Plant_AILN!I:J,2,FALSE))</f>
        <v>-</v>
      </c>
      <c r="AO86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6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67" s="110">
        <f>VLOOKUP(Tableau119[[#This Row],[Key(POD -PFI- Usine)]],'DATA Consignee'!A:J,10,FALSE)</f>
        <v>0</v>
      </c>
      <c r="AR867" s="81">
        <f>VLOOKUP(Tableau119[[#This Row],[Key(POD -PFI- Usine)]],'DATA Consignee'!A:N,14,FALSE)</f>
        <v>2</v>
      </c>
      <c r="AS86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6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18</v>
      </c>
      <c r="AU867" s="81">
        <f>Tableau119[[#This Row],[Transit time]]+Tableau119[[#This Row],[Time for security]]+Tableau119[[#This Row],[Time for security2 buffer]]</f>
        <v>51</v>
      </c>
      <c r="AV86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67" s="50">
        <f>Tableau119[[#This Row],[Leadtime SI2C]]+Tableau119[[#This Row],[First Receipt Days]]-Tableau119[[#This Row],[Day Customer Order]]+1</f>
        <v>97</v>
      </c>
      <c r="AX867" s="119">
        <f>IF(Tableau119[[#This Row],[Name ILN]]&lt;&gt;"SFK Freight Forwarder",Tableau119[[#This Row],[Cust. Leadtime]],Tableau119[[#This Row],[Leadtime SI2C]])</f>
        <v>97</v>
      </c>
      <c r="AY867" s="51" t="str">
        <f>_xlfn.XLOOKUP(Tableau119[[#This Row],[Key(ID-date)]],'DATA BTO'!S:S,'DATA BTO'!P:P,FALSE)</f>
        <v>Renault &gt; Horse BPH</v>
      </c>
      <c r="AZ867" s="388">
        <v>46142</v>
      </c>
      <c r="BA867" s="81"/>
    </row>
    <row r="868" spans="2:53">
      <c r="B868" s="66" t="str">
        <f>_xlfn.CONCAT(Tableau119[[#This Row],[Name ILN]],"-",Tableau119[[#This Row],[Name Shipper]],"-",Tableau119[[#This Row],[Name Site]])</f>
        <v>ILN Pune-ILN Pune-OYAK MONT</v>
      </c>
      <c r="C868" s="66" t="str">
        <f>_xlfn.CONCAT(Tableau119[[#This Row],[Compte ILN]],"-",Tableau119[[#This Row],[Compte Shipper]],"-",Tableau119[[#This Row],[POL]],"-",Tableau119[[#This Row],[Compte Consignee]])</f>
        <v>2533780535-2533780535-INNSA-90017000</v>
      </c>
      <c r="D868" s="66" t="str">
        <f>_xlfn.CONCAT(Tableau119[[#This Row],[Compte ILN]],"-",Tableau119[[#This Row],[Compte Shipper]],"-",Tableau119[[#This Row],[POL]])</f>
        <v>2533780535-2533780535-INNSA</v>
      </c>
      <c r="E868" s="130" t="str">
        <f>_xlfn.CONCAT(Tableau119[[#This Row],[POL]],"-",Tableau119[[#This Row],[Carrier]],"-",Tableau119[[#This Row],[POD]])</f>
        <v>INNSA-CMA-CGM-TRGEM</v>
      </c>
      <c r="F868" s="66" t="str">
        <f>_xlfn.CONCAT(Tableau119[[#This Row],[ID]],"-","Actif")</f>
        <v>921-Actif</v>
      </c>
      <c r="G868" s="66" t="str">
        <f>_xlfn.CONCAT(Tableau119[[#This Row],[POD]],"-",Tableau119[[#This Row],[Code PFI]],"-",Tableau119[[#This Row],[Compte Consignee]])</f>
        <v>TRGEM---90017000</v>
      </c>
      <c r="H8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MONT</v>
      </c>
      <c r="I868" s="434" t="str">
        <f>_xlfn.CONCAT(Tableau119[[#This Row],[ID]],"-",Tableau119[[#This Row],[Expiration Date]])</f>
        <v>921-46142</v>
      </c>
      <c r="J8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Pune-ILN Pune-921-INNSA-CMA-CGM-TRGEM--46142</v>
      </c>
      <c r="K868" s="119" t="str">
        <f ca="1">IF(COUNTIF(J:J,Tableau119[[#This Row],[Plant-ILN-shipper-POL-Carrier-POD-PFI]])=1,"Non","Oui")</f>
        <v>Non</v>
      </c>
      <c r="L868" s="436" t="str">
        <f>VLOOKUP(Tableau119[[#This Row],[Name Site]],Plant_AILN!A:D,4,FALSE)</f>
        <v>TURKEY</v>
      </c>
      <c r="M868" s="285" t="s">
        <v>173</v>
      </c>
      <c r="N868" s="454">
        <f>VLOOKUP(Tableau119[[#This Row],[Name Site]],Plant_AILN!A:C,3,FALSE)</f>
        <v>90017000</v>
      </c>
      <c r="O868" s="55">
        <f>IF(Tableau119[[#This Row],[Name PFI/CDD]]="PFI VLL",2,VLOOKUP(Tableau119[[#This Row],[Compte Consignee]],Order!C:D,2,FALSE))</f>
        <v>7</v>
      </c>
      <c r="P868" s="124" t="s">
        <v>150</v>
      </c>
      <c r="Q868" s="365">
        <f>VLOOKUP(Tableau119[[#This Row],[Name ILN]],Plant_AILN!F:G,2,FALSE)</f>
        <v>2533780535</v>
      </c>
      <c r="R868" s="50">
        <f>VLOOKUP(Tableau119[[#This Row],[Compte ILN]],'DATA ILN'!D:I,6,FALSE)</f>
        <v>9</v>
      </c>
      <c r="S868" s="50">
        <f>IFERROR(VLOOKUP(Tableau119[[#This Row],[Key(Compte ILN - shipper - POL - plant)]],'DATA ILN'!A:J,10,FALSE),VLOOKUP(Tableau119[[#This Row],[Key(Compte ILN - shipper - POL)]],'DATA ILN'!B:J,9,FALSE))</f>
        <v>14</v>
      </c>
      <c r="T868" s="50">
        <f>IFERROR(VLOOKUP(Tableau119[[#This Row],[Key(Compte ILN - shipper - POL - plant)]],'DATA ILN'!A:K,11,FALSE),VLOOKUP(Tableau119[[#This Row],[Key(Compte ILN - shipper - POL)]],'DATA ILN'!B:K,10,FALSE))</f>
        <v>5</v>
      </c>
      <c r="U868" s="50">
        <f>IFERROR(VLOOKUP(Tableau119[[#This Row],[Key(Compte ILN - shipper - POL - plant)]],'DATA ILN'!A:L,12,FALSE),VLOOKUP(Tableau119[[#This Row],[Key(Compte ILN - shipper - POL)]],'DATA ILN'!B:L,11,FALSE))</f>
        <v>7</v>
      </c>
      <c r="V868" s="50">
        <f>Tableau119[[#This Row],[Day ILN Order]]+Tableau119[[#This Row],[Delivery time to ILN/Shipper]]-1</f>
        <v>22</v>
      </c>
      <c r="W868" s="50">
        <f>IFERROR(VLOOKUP(Tableau119[[#This Row],[Key(Compte ILN - shipper - POL - plant)]],'DATA ILN'!A:N,14,FALSE),VLOOKUP(Tableau119[[#This Row],[Key(Compte ILN - shipper - POL)]],'DATA ILN'!B:N,13,FALSE))</f>
        <v>0</v>
      </c>
      <c r="X868" s="50">
        <f>IFERROR(VLOOKUP(Tableau119[[#This Row],[Key(Compte ILN - shipper - POL - plant)]],'DATA ILN'!A:P,16,FALSE),VLOOKUP(Tableau119[[#This Row],[Key(Compte ILN - shipper - POL)]],'DATA ILN'!B:P,15,FALSE))</f>
        <v>3</v>
      </c>
      <c r="Y868" s="284" t="s">
        <v>150</v>
      </c>
      <c r="Z868" s="430">
        <f>IFERROR(VLOOKUP(Tableau119[[#This Row],[Name Shipper]],Plant_AILN!L:M,2,FALSE),0)</f>
        <v>2533780535</v>
      </c>
      <c r="AA868" s="406">
        <v>921</v>
      </c>
      <c r="AB868" s="396" t="str">
        <f>_xlfn.XLOOKUP(Tableau119[[#This Row],[Key(ID-date)]],'DATA BTO'!S:S,'DATA BTO'!E:E,FALSE)</f>
        <v>INNSA</v>
      </c>
      <c r="AC868" s="3" t="str">
        <f>_xlfn.XLOOKUP(Tableau119[[#This Row],[Key(ID-date)]],'DATA BTO'!S:S,'DATA BTO'!F:F,FALSE)</f>
        <v>CMA-CGM</v>
      </c>
      <c r="AD868" s="50">
        <f>_xlfn.XLOOKUP(Tableau119[[#This Row],[Key(ID-date)]],'DATA BTO'!S:S,'DATA BTO'!G:G,FALSE)</f>
        <v>4</v>
      </c>
      <c r="AE868" s="50">
        <f>_xlfn.XLOOKUP(Tableau119[[#This Row],[Key(ID-date)]],'DATA BTO'!S:S,'DATA BTO'!H:H,FALSE)</f>
        <v>6</v>
      </c>
      <c r="AF868" s="447">
        <f>IF(Tableau119[[#This Row],[First Day to POL]]&lt;=Tableau119[[#This Row],[Day Cut Off]],Tableau119[[#This Row],[Day ETD]],Tableau119[[#This Row],[Day ETD]]+7)</f>
        <v>6</v>
      </c>
      <c r="AG868" s="50">
        <f>_xlfn.XLOOKUP(Tableau119[[#This Row],[Key(ID-date)]],'DATA BTO'!S:S,'DATA BTO'!I:I,FALSE)</f>
        <v>48</v>
      </c>
      <c r="AH868" s="3" t="str">
        <f>_xlfn.XLOOKUP(Tableau119[[#This Row],[Key(ID-date)]],'DATA BTO'!S:S,'DATA BTO'!J:J,FALSE)</f>
        <v>TRGEM</v>
      </c>
      <c r="AI868" s="3">
        <f>_xlfn.XLOOKUP(Tableau119[[#This Row],[Key(ID-date)]],'DATA BTO'!S:S,'DATA BTO'!K:K,FALSE)</f>
        <v>3</v>
      </c>
      <c r="AJ868" s="50">
        <f>_xlfn.XLOOKUP(Tableau119[[#This Row],[Key(ID-date)]],'DATA BTO'!S:S,'DATA BTO'!L:L,FALSE)</f>
        <v>0</v>
      </c>
      <c r="AK868" s="53" t="str">
        <f>_xlfn.XLOOKUP(Tableau119[[#This Row],[Key(ID-date)]],'DATA BTO'!S:S,'DATA BTO'!N:N,FALSE)</f>
        <v>Marc-Aurele</v>
      </c>
      <c r="AL868" s="54">
        <f>VLOOKUP(Tableau119[[#This Row],[Key(POD -PFI- Usine)]],'DATA Consignee'!A:F,6,FALSE)</f>
        <v>4</v>
      </c>
      <c r="AM868" s="284"/>
      <c r="AN868" s="376" t="str">
        <f>IF(Tableau119[[#This Row],[Name PFI/CDD]]="","-",VLOOKUP(Tableau119[[#This Row],[Name PFI/CDD]],Plant_AILN!I:J,2,FALSE))</f>
        <v>-</v>
      </c>
      <c r="AO8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68" s="2">
        <f>VLOOKUP(Tableau119[[#This Row],[Key(POD -PFI- Usine)]],'DATA Consignee'!A:J,10,FALSE)</f>
        <v>0</v>
      </c>
      <c r="AR868" s="50">
        <f>VLOOKUP(Tableau119[[#This Row],[Key(POD -PFI- Usine)]],'DATA Consignee'!A:N,14,FALSE)</f>
        <v>2</v>
      </c>
      <c r="AS86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86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868" s="50">
        <f>Tableau119[[#This Row],[Transit time]]+Tableau119[[#This Row],[Time for security]]+Tableau119[[#This Row],[Time for security2 buffer]]</f>
        <v>51</v>
      </c>
      <c r="AV86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68" s="50">
        <f>Tableau119[[#This Row],[Leadtime SI2C]]+Tableau119[[#This Row],[First Receipt Days]]-Tableau119[[#This Row],[Day Customer Order]]+1</f>
        <v>85</v>
      </c>
      <c r="AX868" s="119">
        <f>IF(Tableau119[[#This Row],[Name ILN]]&lt;&gt;"SFK Freight Forwarder",Tableau119[[#This Row],[Cust. Leadtime]],Tableau119[[#This Row],[Leadtime SI2C]])</f>
        <v>85</v>
      </c>
      <c r="AY868" s="51" t="str">
        <f>_xlfn.XLOOKUP(Tableau119[[#This Row],[Key(ID-date)]],'DATA BTO'!S:S,'DATA BTO'!P:P,FALSE)</f>
        <v>Renault &gt; Horse BPH</v>
      </c>
      <c r="AZ868" s="338">
        <v>46142</v>
      </c>
      <c r="BA868" s="50"/>
    </row>
    <row r="869" spans="2:53">
      <c r="B869" s="446" t="str">
        <f>_xlfn.CONCAT(Tableau119[[#This Row],[Name ILN]],"-",Tableau119[[#This Row],[Name Shipper]],"-",Tableau119[[#This Row],[Name Site]])</f>
        <v>ILN Pune-ILN Pune-OYAK MEKA</v>
      </c>
      <c r="C869" s="66" t="str">
        <f>_xlfn.CONCAT(Tableau119[[#This Row],[Compte ILN]],"-",Tableau119[[#This Row],[Compte Shipper]],"-",Tableau119[[#This Row],[POL]],"-",Tableau119[[#This Row],[Compte Consignee]])</f>
        <v>2533780535-2533780535-INNSA-90014400</v>
      </c>
      <c r="D869" s="66" t="str">
        <f>_xlfn.CONCAT(Tableau119[[#This Row],[Compte ILN]],"-",Tableau119[[#This Row],[Compte Shipper]],"-",Tableau119[[#This Row],[POL]])</f>
        <v>2533780535-2533780535-INNSA</v>
      </c>
      <c r="E869" s="130" t="str">
        <f>_xlfn.CONCAT(Tableau119[[#This Row],[POL]],"-",Tableau119[[#This Row],[Carrier]],"-",Tableau119[[#This Row],[POD]])</f>
        <v>INNSA-CMA-CGM-TRGEM</v>
      </c>
      <c r="F869" s="66" t="str">
        <f>_xlfn.CONCAT(Tableau119[[#This Row],[ID]],"-","Actif")</f>
        <v>921-Actif</v>
      </c>
      <c r="G869" s="66" t="str">
        <f>_xlfn.CONCAT(Tableau119[[#This Row],[POD]],"-",Tableau119[[#This Row],[Code PFI]],"-",Tableau119[[#This Row],[Compte Consignee]])</f>
        <v>TRGEM---90014400</v>
      </c>
      <c r="H8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MEKA</v>
      </c>
      <c r="I869" s="434" t="str">
        <f>_xlfn.CONCAT(Tableau119[[#This Row],[ID]],"-",Tableau119[[#This Row],[Expiration Date]])</f>
        <v>921-45777</v>
      </c>
      <c r="J8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Pune-ILN Pune-921-INNSA-CMA-CGM-TRGEM--45777</v>
      </c>
      <c r="K869" s="119" t="str">
        <f ca="1">IF(COUNTIF(J:J,Tableau119[[#This Row],[Plant-ILN-shipper-POL-Carrier-POD-PFI]])=1,"Non","Oui")</f>
        <v>Non</v>
      </c>
      <c r="L869" s="128" t="str">
        <f>VLOOKUP(Tableau119[[#This Row],[Name Site]],Plant_AILN!A:D,4,FALSE)</f>
        <v>TURKEY</v>
      </c>
      <c r="M869" s="411" t="s">
        <v>165</v>
      </c>
      <c r="N869" s="454">
        <f>VLOOKUP(Tableau119[[#This Row],[Name Site]],Plant_AILN!A:C,3,FALSE)</f>
        <v>90014400</v>
      </c>
      <c r="O869" s="55">
        <f>VLOOKUP(Tableau119[[#This Row],[Compte Consignee]],Order!C:D,2,FALSE)</f>
        <v>2</v>
      </c>
      <c r="P869" s="124" t="s">
        <v>150</v>
      </c>
      <c r="Q869" s="365">
        <f>VLOOKUP(Tableau119[[#This Row],[Name ILN]],Plant_AILN!F:G,2,FALSE)</f>
        <v>2533780535</v>
      </c>
      <c r="R869" s="50">
        <f>VLOOKUP(Tableau119[[#This Row],[Compte ILN]],'DATA ILN'!D:I,6,FALSE)</f>
        <v>9</v>
      </c>
      <c r="S869" s="50">
        <f>IFERROR(VLOOKUP(Tableau119[[#This Row],[Key(Compte ILN - shipper - POL - plant)]],'DATA ILN'!A:J,10,FALSE),VLOOKUP(Tableau119[[#This Row],[Key(Compte ILN - shipper - POL)]],'DATA ILN'!B:J,9,FALSE))</f>
        <v>14</v>
      </c>
      <c r="T869" s="50">
        <f>IFERROR(VLOOKUP(Tableau119[[#This Row],[Key(Compte ILN - shipper - POL - plant)]],'DATA ILN'!A:K,11,FALSE),VLOOKUP(Tableau119[[#This Row],[Key(Compte ILN - shipper - POL)]],'DATA ILN'!B:K,10,FALSE))</f>
        <v>5</v>
      </c>
      <c r="U869" s="50">
        <f>IFERROR(VLOOKUP(Tableau119[[#This Row],[Key(Compte ILN - shipper - POL - plant)]],'DATA ILN'!A:L,12,FALSE),VLOOKUP(Tableau119[[#This Row],[Key(Compte ILN - shipper - POL)]],'DATA ILN'!B:L,11,FALSE))</f>
        <v>7</v>
      </c>
      <c r="V869" s="50">
        <f>Tableau119[[#This Row],[Day ILN Order]]+Tableau119[[#This Row],[Delivery time to ILN/Shipper]]-1</f>
        <v>22</v>
      </c>
      <c r="W869" s="50">
        <f>IFERROR(VLOOKUP(Tableau119[[#This Row],[Key(Compte ILN - shipper - POL - plant)]],'DATA ILN'!A:N,14,FALSE),VLOOKUP(Tableau119[[#This Row],[Key(Compte ILN - shipper - POL)]],'DATA ILN'!B:N,13,FALSE))</f>
        <v>3</v>
      </c>
      <c r="X869" s="50">
        <f>IFERROR(VLOOKUP(Tableau119[[#This Row],[Key(Compte ILN - shipper - POL - plant)]],'DATA ILN'!A:P,16,FALSE),VLOOKUP(Tableau119[[#This Row],[Key(Compte ILN - shipper - POL)]],'DATA ILN'!B:P,15,FALSE))</f>
        <v>5</v>
      </c>
      <c r="Y869" s="284" t="s">
        <v>150</v>
      </c>
      <c r="Z869" s="430">
        <f>IFERROR(VLOOKUP(Tableau119[[#This Row],[Name Shipper]],Plant_AILN!L:M,2,FALSE),0)</f>
        <v>2533780535</v>
      </c>
      <c r="AA869" s="406">
        <v>921</v>
      </c>
      <c r="AB869" s="396" t="str">
        <f>_xlfn.XLOOKUP(Tableau119[[#This Row],[Key(ID-date)]],'DATA BTO'!S:S,'DATA BTO'!E:E,FALSE)</f>
        <v>INNSA</v>
      </c>
      <c r="AC869" s="3" t="str">
        <f>_xlfn.XLOOKUP(Tableau119[[#This Row],[Key(ID-date)]],'DATA BTO'!S:S,'DATA BTO'!F:F,FALSE)</f>
        <v>CMA-CGM</v>
      </c>
      <c r="AD869" s="50">
        <f>_xlfn.XLOOKUP(Tableau119[[#This Row],[Key(ID-date)]],'DATA BTO'!S:S,'DATA BTO'!G:G,FALSE)</f>
        <v>1</v>
      </c>
      <c r="AE869" s="50">
        <f>_xlfn.XLOOKUP(Tableau119[[#This Row],[Key(ID-date)]],'DATA BTO'!S:S,'DATA BTO'!H:H,FALSE)</f>
        <v>3</v>
      </c>
      <c r="AF869" s="447">
        <f>IF(Tableau119[[#This Row],[First Day to POL]]&lt;=Tableau119[[#This Row],[Day Cut Off]],Tableau119[[#This Row],[Day ETD]],Tableau119[[#This Row],[Day ETD]]+7)</f>
        <v>10</v>
      </c>
      <c r="AG869" s="50">
        <f>_xlfn.XLOOKUP(Tableau119[[#This Row],[Key(ID-date)]],'DATA BTO'!S:S,'DATA BTO'!I:I,FALSE)</f>
        <v>26</v>
      </c>
      <c r="AH869" s="3" t="str">
        <f>_xlfn.XLOOKUP(Tableau119[[#This Row],[Key(ID-date)]],'DATA BTO'!S:S,'DATA BTO'!J:J,FALSE)</f>
        <v>TRGEM</v>
      </c>
      <c r="AI869" s="3">
        <f>_xlfn.XLOOKUP(Tableau119[[#This Row],[Key(ID-date)]],'DATA BTO'!S:S,'DATA BTO'!K:K,FALSE)</f>
        <v>3</v>
      </c>
      <c r="AJ869" s="50">
        <f>_xlfn.XLOOKUP(Tableau119[[#This Row],[Key(ID-date)]],'DATA BTO'!S:S,'DATA BTO'!L:L,FALSE)</f>
        <v>14</v>
      </c>
      <c r="AK869" s="53" t="str">
        <f>_xlfn.XLOOKUP(Tableau119[[#This Row],[Key(ID-date)]],'DATA BTO'!S:S,'DATA BTO'!N:N,FALSE)</f>
        <v>Anthony</v>
      </c>
      <c r="AL869" s="54">
        <f>VLOOKUP(Tableau119[[#This Row],[Key(POD -PFI- Usine)]],'DATA Consignee'!A:F,6,FALSE)</f>
        <v>2</v>
      </c>
      <c r="AM869" s="284"/>
      <c r="AN869" s="376" t="str">
        <f>IF(Tableau119[[#This Row],[Name PFI/CDD]]="","-",VLOOKUP(Tableau119[[#This Row],[Name PFI/CDD]],Plant_AILN!I:J,2,FALSE))</f>
        <v>-</v>
      </c>
      <c r="AO8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69" s="2">
        <f>VLOOKUP(Tableau119[[#This Row],[Key(POD -PFI- Usine)]],'DATA Consignee'!A:J,10,FALSE)</f>
        <v>0</v>
      </c>
      <c r="AR869" s="50">
        <f>VLOOKUP(Tableau119[[#This Row],[Key(POD -PFI- Usine)]],'DATA Consignee'!A:N,14,FALSE)</f>
        <v>2</v>
      </c>
      <c r="AS86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6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69" s="50">
        <f>Tableau119[[#This Row],[Transit time]]+Tableau119[[#This Row],[Time for security]]+Tableau119[[#This Row],[Time for security2 buffer]]</f>
        <v>43</v>
      </c>
      <c r="AV86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69" s="50">
        <f>Tableau119[[#This Row],[Leadtime SI2C]]+Tableau119[[#This Row],[First Receipt Days]]-Tableau119[[#This Row],[Day Customer Order]]+1</f>
        <v>83</v>
      </c>
      <c r="AX869" s="119">
        <f>IF(Tableau119[[#This Row],[Name ILN]]&lt;&gt;"SFK Freight Forwarder",Tableau119[[#This Row],[Cust. Leadtime]],Tableau119[[#This Row],[Leadtime SI2C]])</f>
        <v>83</v>
      </c>
      <c r="AY869" s="51" t="str">
        <f>_xlfn.XLOOKUP(Tableau119[[#This Row],[Key(ID-date)]],'DATA BTO'!S:S,'DATA BTO'!P:P,FALSE)</f>
        <v>Renault &gt; Horse BPH</v>
      </c>
      <c r="AZ869" s="338">
        <v>45777</v>
      </c>
      <c r="BA869" s="50"/>
    </row>
    <row r="870" spans="2:53">
      <c r="B870" s="446" t="str">
        <f>_xlfn.CONCAT(Tableau119[[#This Row],[Name ILN]],"-",Tableau119[[#This Row],[Name Shipper]],"-",Tableau119[[#This Row],[Name Site]])</f>
        <v>ILN Pune-ILN Pune-OYAK MONT</v>
      </c>
      <c r="C870" s="66" t="str">
        <f>_xlfn.CONCAT(Tableau119[[#This Row],[Compte ILN]],"-",Tableau119[[#This Row],[Compte Shipper]],"-",Tableau119[[#This Row],[POL]],"-",Tableau119[[#This Row],[Compte Consignee]])</f>
        <v>2533780535-2533780535-INNSA-90017000</v>
      </c>
      <c r="D870" s="66" t="str">
        <f>_xlfn.CONCAT(Tableau119[[#This Row],[Compte ILN]],"-",Tableau119[[#This Row],[Compte Shipper]],"-",Tableau119[[#This Row],[POL]])</f>
        <v>2533780535-2533780535-INNSA</v>
      </c>
      <c r="E870" s="130" t="str">
        <f>_xlfn.CONCAT(Tableau119[[#This Row],[POL]],"-",Tableau119[[#This Row],[Carrier]],"-",Tableau119[[#This Row],[POD]])</f>
        <v>INNSA-CMA-CGM-TRGEM</v>
      </c>
      <c r="F870" s="66" t="str">
        <f>_xlfn.CONCAT(Tableau119[[#This Row],[ID]],"-","Actif")</f>
        <v>921-Actif</v>
      </c>
      <c r="G870" s="66" t="str">
        <f>_xlfn.CONCAT(Tableau119[[#This Row],[POD]],"-",Tableau119[[#This Row],[Code PFI]],"-",Tableau119[[#This Row],[Compte Consignee]])</f>
        <v>TRGEM---90017000</v>
      </c>
      <c r="H8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MONT</v>
      </c>
      <c r="I870" s="434" t="str">
        <f>_xlfn.CONCAT(Tableau119[[#This Row],[ID]],"-",Tableau119[[#This Row],[Expiration Date]])</f>
        <v>921-45777</v>
      </c>
      <c r="J8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Pune-ILN Pune-921-INNSA-CMA-CGM-TRGEM--45777</v>
      </c>
      <c r="K870" s="119" t="str">
        <f ca="1">IF(COUNTIF(J:J,Tableau119[[#This Row],[Plant-ILN-shipper-POL-Carrier-POD-PFI]])=1,"Non","Oui")</f>
        <v>Non</v>
      </c>
      <c r="L870" s="128" t="str">
        <f>VLOOKUP(Tableau119[[#This Row],[Name Site]],Plant_AILN!A:D,4,FALSE)</f>
        <v>TURKEY</v>
      </c>
      <c r="M870" s="415" t="s">
        <v>173</v>
      </c>
      <c r="N870" s="455">
        <f>VLOOKUP(Tableau119[[#This Row],[Name Site]],Plant_AILN!A:C,3,FALSE)</f>
        <v>90017000</v>
      </c>
      <c r="O870" s="104">
        <f>VLOOKUP(Tableau119[[#This Row],[Compte Consignee]],Order!C:D,2,FALSE)</f>
        <v>7</v>
      </c>
      <c r="P870" s="126" t="s">
        <v>150</v>
      </c>
      <c r="Q870" s="366">
        <f>VLOOKUP(Tableau119[[#This Row],[Name ILN]],Plant_AILN!F:G,2,FALSE)</f>
        <v>2533780535</v>
      </c>
      <c r="R870" s="81">
        <f>VLOOKUP(Tableau119[[#This Row],[Compte ILN]],'DATA ILN'!D:I,6,FALSE)</f>
        <v>9</v>
      </c>
      <c r="S870" s="81">
        <f>IFERROR(VLOOKUP(Tableau119[[#This Row],[Key(Compte ILN - shipper - POL - plant)]],'DATA ILN'!A:J,10,FALSE),VLOOKUP(Tableau119[[#This Row],[Key(Compte ILN - shipper - POL)]],'DATA ILN'!B:J,9,FALSE))</f>
        <v>14</v>
      </c>
      <c r="T870" s="81">
        <f>IFERROR(VLOOKUP(Tableau119[[#This Row],[Key(Compte ILN - shipper - POL - plant)]],'DATA ILN'!A:K,11,FALSE),VLOOKUP(Tableau119[[#This Row],[Key(Compte ILN - shipper - POL)]],'DATA ILN'!B:K,10,FALSE))</f>
        <v>5</v>
      </c>
      <c r="U870" s="81">
        <f>IFERROR(VLOOKUP(Tableau119[[#This Row],[Key(Compte ILN - shipper - POL - plant)]],'DATA ILN'!A:L,12,FALSE),VLOOKUP(Tableau119[[#This Row],[Key(Compte ILN - shipper - POL)]],'DATA ILN'!B:L,11,FALSE))</f>
        <v>7</v>
      </c>
      <c r="V870" s="81">
        <f>Tableau119[[#This Row],[Day ILN Order]]+Tableau119[[#This Row],[Delivery time to ILN/Shipper]]-1</f>
        <v>22</v>
      </c>
      <c r="W870" s="81">
        <f>IFERROR(VLOOKUP(Tableau119[[#This Row],[Key(Compte ILN - shipper - POL - plant)]],'DATA ILN'!A:N,14,FALSE),VLOOKUP(Tableau119[[#This Row],[Key(Compte ILN - shipper - POL)]],'DATA ILN'!B:N,13,FALSE))</f>
        <v>0</v>
      </c>
      <c r="X870" s="81">
        <f>IFERROR(VLOOKUP(Tableau119[[#This Row],[Key(Compte ILN - shipper - POL - plant)]],'DATA ILN'!A:P,16,FALSE),VLOOKUP(Tableau119[[#This Row],[Key(Compte ILN - shipper - POL)]],'DATA ILN'!B:P,15,FALSE))</f>
        <v>3</v>
      </c>
      <c r="Y870" s="102" t="s">
        <v>150</v>
      </c>
      <c r="Z870" s="417">
        <f>IFERROR(VLOOKUP(Tableau119[[#This Row],[Name Shipper]],Plant_AILN!L:M,2,FALSE),0)</f>
        <v>2533780535</v>
      </c>
      <c r="AA870" s="416">
        <v>921</v>
      </c>
      <c r="AB870" s="396" t="str">
        <f>_xlfn.XLOOKUP(Tableau119[[#This Row],[Key(ID-date)]],'DATA BTO'!S:S,'DATA BTO'!E:E,FALSE)</f>
        <v>INNSA</v>
      </c>
      <c r="AC870" s="3" t="str">
        <f>_xlfn.XLOOKUP(Tableau119[[#This Row],[Key(ID-date)]],'DATA BTO'!S:S,'DATA BTO'!F:F,FALSE)</f>
        <v>CMA-CGM</v>
      </c>
      <c r="AD870" s="50">
        <f>_xlfn.XLOOKUP(Tableau119[[#This Row],[Key(ID-date)]],'DATA BTO'!S:S,'DATA BTO'!G:G,FALSE)</f>
        <v>1</v>
      </c>
      <c r="AE870" s="50">
        <f>_xlfn.XLOOKUP(Tableau119[[#This Row],[Key(ID-date)]],'DATA BTO'!S:S,'DATA BTO'!H:H,FALSE)</f>
        <v>3</v>
      </c>
      <c r="AF870" s="447">
        <f>IF(Tableau119[[#This Row],[First Day to POL]]&lt;=Tableau119[[#This Row],[Day Cut Off]],Tableau119[[#This Row],[Day ETD]],Tableau119[[#This Row],[Day ETD]]+7)</f>
        <v>10</v>
      </c>
      <c r="AG870" s="50">
        <f>_xlfn.XLOOKUP(Tableau119[[#This Row],[Key(ID-date)]],'DATA BTO'!S:S,'DATA BTO'!I:I,FALSE)</f>
        <v>26</v>
      </c>
      <c r="AH870" s="3" t="str">
        <f>_xlfn.XLOOKUP(Tableau119[[#This Row],[Key(ID-date)]],'DATA BTO'!S:S,'DATA BTO'!J:J,FALSE)</f>
        <v>TRGEM</v>
      </c>
      <c r="AI870" s="3">
        <f>_xlfn.XLOOKUP(Tableau119[[#This Row],[Key(ID-date)]],'DATA BTO'!S:S,'DATA BTO'!K:K,FALSE)</f>
        <v>3</v>
      </c>
      <c r="AJ870" s="50">
        <f>_xlfn.XLOOKUP(Tableau119[[#This Row],[Key(ID-date)]],'DATA BTO'!S:S,'DATA BTO'!L:L,FALSE)</f>
        <v>14</v>
      </c>
      <c r="AK870" s="53" t="str">
        <f>_xlfn.XLOOKUP(Tableau119[[#This Row],[Key(ID-date)]],'DATA BTO'!S:S,'DATA BTO'!N:N,FALSE)</f>
        <v>Anthony</v>
      </c>
      <c r="AL870" s="54">
        <f>VLOOKUP(Tableau119[[#This Row],[Key(POD -PFI- Usine)]],'DATA Consignee'!A:F,6,FALSE)</f>
        <v>4</v>
      </c>
      <c r="AM870" s="102"/>
      <c r="AN870" s="375" t="str">
        <f>IF(Tableau119[[#This Row],[Name PFI/CDD]]="","-",VLOOKUP(Tableau119[[#This Row],[Name PFI/CDD]],Plant_AILN!I:J,2,FALSE))</f>
        <v>-</v>
      </c>
      <c r="AO87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0" s="110">
        <f>VLOOKUP(Tableau119[[#This Row],[Key(POD -PFI- Usine)]],'DATA Consignee'!A:J,10,FALSE)</f>
        <v>0</v>
      </c>
      <c r="AR870" s="81">
        <f>VLOOKUP(Tableau119[[#This Row],[Key(POD -PFI- Usine)]],'DATA Consignee'!A:N,14,FALSE)</f>
        <v>2</v>
      </c>
      <c r="AS87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7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70" s="81">
        <f>Tableau119[[#This Row],[Transit time]]+Tableau119[[#This Row],[Time for security]]+Tableau119[[#This Row],[Time for security2 buffer]]</f>
        <v>43</v>
      </c>
      <c r="AV87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70" s="50">
        <f>Tableau119[[#This Row],[Leadtime SI2C]]+Tableau119[[#This Row],[First Receipt Days]]-Tableau119[[#This Row],[Day Customer Order]]+1</f>
        <v>85</v>
      </c>
      <c r="AX870" s="119">
        <f>IF(Tableau119[[#This Row],[Name ILN]]&lt;&gt;"SFK Freight Forwarder",Tableau119[[#This Row],[Cust. Leadtime]],Tableau119[[#This Row],[Leadtime SI2C]])</f>
        <v>85</v>
      </c>
      <c r="AY870" s="51" t="str">
        <f>_xlfn.XLOOKUP(Tableau119[[#This Row],[Key(ID-date)]],'DATA BTO'!S:S,'DATA BTO'!P:P,FALSE)</f>
        <v>Renault &gt; Horse BPH</v>
      </c>
      <c r="AZ870" s="388">
        <v>45777</v>
      </c>
      <c r="BA870" s="81"/>
    </row>
    <row r="871" spans="2:53">
      <c r="B871" s="446" t="str">
        <f>_xlfn.CONCAT(Tableau119[[#This Row],[Name ILN]],"-",Tableau119[[#This Row],[Name Shipper]],"-",Tableau119[[#This Row],[Name Site]])</f>
        <v>ILN Pune-ILN Pune-OYAK MEKA</v>
      </c>
      <c r="C871" s="66" t="str">
        <f>_xlfn.CONCAT(Tableau119[[#This Row],[Compte ILN]],"-",Tableau119[[#This Row],[Compte Shipper]],"-",Tableau119[[#This Row],[POL]],"-",Tableau119[[#This Row],[Compte Consignee]])</f>
        <v>2533780535-2533780535-INNSA-90014400</v>
      </c>
      <c r="D871" s="66" t="str">
        <f>_xlfn.CONCAT(Tableau119[[#This Row],[Compte ILN]],"-",Tableau119[[#This Row],[Compte Shipper]],"-",Tableau119[[#This Row],[POL]])</f>
        <v>2533780535-2533780535-INNSA</v>
      </c>
      <c r="E871" s="130" t="str">
        <f>_xlfn.CONCAT(Tableau119[[#This Row],[POL]],"-",Tableau119[[#This Row],[Carrier]],"-",Tableau119[[#This Row],[POD]])</f>
        <v>INNSA-CMA-CGM-TRGEM</v>
      </c>
      <c r="F871" s="66" t="str">
        <f>_xlfn.CONCAT(Tableau119[[#This Row],[ID]],"-","Actif")</f>
        <v>921-Actif</v>
      </c>
      <c r="G871" s="66" t="str">
        <f>_xlfn.CONCAT(Tableau119[[#This Row],[POD]],"-",Tableau119[[#This Row],[Code PFI]],"-",Tableau119[[#This Row],[Compte Consignee]])</f>
        <v>TRGEM---90014400</v>
      </c>
      <c r="H8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MEKA</v>
      </c>
      <c r="I871" s="434" t="str">
        <f>_xlfn.CONCAT(Tableau119[[#This Row],[ID]],"-",Tableau119[[#This Row],[Expiration Date]])</f>
        <v>921-45473</v>
      </c>
      <c r="J8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Pune-ILN Pune-921-INNSA-CMA-CGM-TRGEM--45473</v>
      </c>
      <c r="K871" s="119" t="str">
        <f ca="1">IF(COUNTIF(J:J,Tableau119[[#This Row],[Plant-ILN-shipper-POL-Carrier-POD-PFI]])=1,"Non","Oui")</f>
        <v>Non</v>
      </c>
      <c r="L871" s="128" t="str">
        <f>VLOOKUP(Tableau119[[#This Row],[Name Site]],Plant_AILN!A:D,4,FALSE)</f>
        <v>TURKEY</v>
      </c>
      <c r="M871" s="411" t="s">
        <v>165</v>
      </c>
      <c r="N871" s="454">
        <f>VLOOKUP(Tableau119[[#This Row],[Name Site]],Plant_AILN!A:C,3,FALSE)</f>
        <v>90014400</v>
      </c>
      <c r="O871" s="55">
        <f>VLOOKUP(Tableau119[[#This Row],[Compte Consignee]],Order!C:D,2,FALSE)</f>
        <v>2</v>
      </c>
      <c r="P871" s="124" t="s">
        <v>150</v>
      </c>
      <c r="Q871" s="365">
        <f>VLOOKUP(Tableau119[[#This Row],[Name ILN]],Plant_AILN!F:G,2,FALSE)</f>
        <v>2533780535</v>
      </c>
      <c r="R871" s="50">
        <f>VLOOKUP(Tableau119[[#This Row],[Compte ILN]],'DATA ILN'!D:I,6,FALSE)</f>
        <v>9</v>
      </c>
      <c r="S871" s="50">
        <f>IFERROR(VLOOKUP(Tableau119[[#This Row],[Key(Compte ILN - shipper - POL - plant)]],'DATA ILN'!A:J,10,FALSE),VLOOKUP(Tableau119[[#This Row],[Key(Compte ILN - shipper - POL)]],'DATA ILN'!B:J,9,FALSE))</f>
        <v>14</v>
      </c>
      <c r="T871" s="50">
        <f>IFERROR(VLOOKUP(Tableau119[[#This Row],[Key(Compte ILN - shipper - POL - plant)]],'DATA ILN'!A:K,11,FALSE),VLOOKUP(Tableau119[[#This Row],[Key(Compte ILN - shipper - POL)]],'DATA ILN'!B:K,10,FALSE))</f>
        <v>5</v>
      </c>
      <c r="U871" s="50">
        <f>IFERROR(VLOOKUP(Tableau119[[#This Row],[Key(Compte ILN - shipper - POL - plant)]],'DATA ILN'!A:L,12,FALSE),VLOOKUP(Tableau119[[#This Row],[Key(Compte ILN - shipper - POL)]],'DATA ILN'!B:L,11,FALSE))</f>
        <v>7</v>
      </c>
      <c r="V871" s="50">
        <f>Tableau119[[#This Row],[Day ILN Order]]+Tableau119[[#This Row],[Delivery time to ILN/Shipper]]-1</f>
        <v>22</v>
      </c>
      <c r="W871" s="50">
        <f>IFERROR(VLOOKUP(Tableau119[[#This Row],[Key(Compte ILN - shipper - POL - plant)]],'DATA ILN'!A:N,14,FALSE),VLOOKUP(Tableau119[[#This Row],[Key(Compte ILN - shipper - POL)]],'DATA ILN'!B:N,13,FALSE))</f>
        <v>3</v>
      </c>
      <c r="X871" s="50">
        <f>IFERROR(VLOOKUP(Tableau119[[#This Row],[Key(Compte ILN - shipper - POL - plant)]],'DATA ILN'!A:P,16,FALSE),VLOOKUP(Tableau119[[#This Row],[Key(Compte ILN - shipper - POL)]],'DATA ILN'!B:P,15,FALSE))</f>
        <v>5</v>
      </c>
      <c r="Y871" s="284" t="s">
        <v>150</v>
      </c>
      <c r="Z871" s="430">
        <f>IFERROR(VLOOKUP(Tableau119[[#This Row],[Name Shipper]],Plant_AILN!L:M,2,FALSE),0)</f>
        <v>2533780535</v>
      </c>
      <c r="AA871" s="406">
        <v>921</v>
      </c>
      <c r="AB871" s="396" t="str">
        <f>_xlfn.XLOOKUP(Tableau119[[#This Row],[Key(ID-date)]],'DATA BTO'!S:S,'DATA BTO'!E:E,FALSE)</f>
        <v>INNSA</v>
      </c>
      <c r="AC871" s="3" t="str">
        <f>_xlfn.XLOOKUP(Tableau119[[#This Row],[Key(ID-date)]],'DATA BTO'!S:S,'DATA BTO'!F:F,FALSE)</f>
        <v>CMA-CGM</v>
      </c>
      <c r="AD871" s="50">
        <f>_xlfn.XLOOKUP(Tableau119[[#This Row],[Key(ID-date)]],'DATA BTO'!S:S,'DATA BTO'!G:G,FALSE)</f>
        <v>1</v>
      </c>
      <c r="AE871" s="50">
        <f>_xlfn.XLOOKUP(Tableau119[[#This Row],[Key(ID-date)]],'DATA BTO'!S:S,'DATA BTO'!H:H,FALSE)</f>
        <v>3</v>
      </c>
      <c r="AF871" s="447">
        <f>IF(Tableau119[[#This Row],[First Day to POL]]&lt;=Tableau119[[#This Row],[Day Cut Off]],Tableau119[[#This Row],[Day ETD]],Tableau119[[#This Row],[Day ETD]]+7)</f>
        <v>10</v>
      </c>
      <c r="AG871" s="50">
        <f>_xlfn.XLOOKUP(Tableau119[[#This Row],[Key(ID-date)]],'DATA BTO'!S:S,'DATA BTO'!I:I,FALSE)</f>
        <v>26</v>
      </c>
      <c r="AH871" s="3" t="str">
        <f>_xlfn.XLOOKUP(Tableau119[[#This Row],[Key(ID-date)]],'DATA BTO'!S:S,'DATA BTO'!J:J,FALSE)</f>
        <v>TRGEM</v>
      </c>
      <c r="AI871" s="3">
        <f>_xlfn.XLOOKUP(Tableau119[[#This Row],[Key(ID-date)]],'DATA BTO'!S:S,'DATA BTO'!K:K,FALSE)</f>
        <v>3</v>
      </c>
      <c r="AJ871" s="50">
        <f>_xlfn.XLOOKUP(Tableau119[[#This Row],[Key(ID-date)]],'DATA BTO'!S:S,'DATA BTO'!L:L,FALSE)</f>
        <v>0</v>
      </c>
      <c r="AK871" s="53" t="str">
        <f>_xlfn.XLOOKUP(Tableau119[[#This Row],[Key(ID-date)]],'DATA BTO'!S:S,'DATA BTO'!N:N,FALSE)</f>
        <v>Anthony</v>
      </c>
      <c r="AL871" s="54">
        <f>VLOOKUP(Tableau119[[#This Row],[Key(POD -PFI- Usine)]],'DATA Consignee'!A:F,6,FALSE)</f>
        <v>2</v>
      </c>
      <c r="AM871" s="284"/>
      <c r="AN871" s="376" t="str">
        <f>IF(Tableau119[[#This Row],[Name PFI/CDD]]="","-",VLOOKUP(Tableau119[[#This Row],[Name PFI/CDD]],Plant_AILN!I:J,2,FALSE))</f>
        <v>-</v>
      </c>
      <c r="AO8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1" s="2">
        <f>VLOOKUP(Tableau119[[#This Row],[Key(POD -PFI- Usine)]],'DATA Consignee'!A:J,10,FALSE)</f>
        <v>0</v>
      </c>
      <c r="AR871" s="50">
        <f>VLOOKUP(Tableau119[[#This Row],[Key(POD -PFI- Usine)]],'DATA Consignee'!A:N,14,FALSE)</f>
        <v>2</v>
      </c>
      <c r="AS87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7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71" s="50">
        <f>Tableau119[[#This Row],[Transit time]]+Tableau119[[#This Row],[Time for security]]+Tableau119[[#This Row],[Time for security2 buffer]]</f>
        <v>29</v>
      </c>
      <c r="AV87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48</v>
      </c>
      <c r="AW871" s="50">
        <f>Tableau119[[#This Row],[Leadtime SI2C]]+Tableau119[[#This Row],[First Receipt Days]]-Tableau119[[#This Row],[Day Customer Order]]+1</f>
        <v>69</v>
      </c>
      <c r="AX871" s="119">
        <f>IF(Tableau119[[#This Row],[Name ILN]]&lt;&gt;"SFK Freight Forwarder",Tableau119[[#This Row],[Cust. Leadtime]],Tableau119[[#This Row],[Leadtime SI2C]])</f>
        <v>69</v>
      </c>
      <c r="AY871" s="51" t="str">
        <f>_xlfn.XLOOKUP(Tableau119[[#This Row],[Key(ID-date)]],'DATA BTO'!S:S,'DATA BTO'!P:P,FALSE)</f>
        <v>Renault &gt; Horse BPH</v>
      </c>
      <c r="AZ871" s="338">
        <v>45473</v>
      </c>
      <c r="BA871" s="50"/>
    </row>
    <row r="872" spans="2:53">
      <c r="B872" s="446" t="str">
        <f>_xlfn.CONCAT(Tableau119[[#This Row],[Name ILN]],"-",Tableau119[[#This Row],[Name Shipper]],"-",Tableau119[[#This Row],[Name Site]])</f>
        <v>ILN Pune-ILN Pune-OYAK MONT</v>
      </c>
      <c r="C872" s="66" t="str">
        <f>_xlfn.CONCAT(Tableau119[[#This Row],[Compte ILN]],"-",Tableau119[[#This Row],[Compte Shipper]],"-",Tableau119[[#This Row],[POL]],"-",Tableau119[[#This Row],[Compte Consignee]])</f>
        <v>2533780535-2533780535-INNSA-90017000</v>
      </c>
      <c r="D872" s="66" t="str">
        <f>_xlfn.CONCAT(Tableau119[[#This Row],[Compte ILN]],"-",Tableau119[[#This Row],[Compte Shipper]],"-",Tableau119[[#This Row],[POL]])</f>
        <v>2533780535-2533780535-INNSA</v>
      </c>
      <c r="E872" s="130" t="str">
        <f>_xlfn.CONCAT(Tableau119[[#This Row],[POL]],"-",Tableau119[[#This Row],[Carrier]],"-",Tableau119[[#This Row],[POD]])</f>
        <v>INNSA-CMA-CGM-TRGEM</v>
      </c>
      <c r="F872" s="66" t="str">
        <f>_xlfn.CONCAT(Tableau119[[#This Row],[ID]],"-","Actif")</f>
        <v>921-Actif</v>
      </c>
      <c r="G872" s="66" t="str">
        <f>_xlfn.CONCAT(Tableau119[[#This Row],[POD]],"-",Tableau119[[#This Row],[Code PFI]],"-",Tableau119[[#This Row],[Compte Consignee]])</f>
        <v>TRGEM---90017000</v>
      </c>
      <c r="H8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PuneINNSAOYAK MONT</v>
      </c>
      <c r="I872" s="434" t="str">
        <f>_xlfn.CONCAT(Tableau119[[#This Row],[ID]],"-",Tableau119[[#This Row],[Expiration Date]])</f>
        <v>921-45473</v>
      </c>
      <c r="J8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Pune-ILN Pune-921-INNSA-CMA-CGM-TRGEM--45473</v>
      </c>
      <c r="K872" s="119" t="str">
        <f ca="1">IF(COUNTIF(J:J,Tableau119[[#This Row],[Plant-ILN-shipper-POL-Carrier-POD-PFI]])=1,"Non","Oui")</f>
        <v>Non</v>
      </c>
      <c r="L872" s="128" t="str">
        <f>VLOOKUP(Tableau119[[#This Row],[Name Site]],Plant_AILN!A:D,4,FALSE)</f>
        <v>TURKEY</v>
      </c>
      <c r="M872" s="411" t="s">
        <v>173</v>
      </c>
      <c r="N872" s="454">
        <f>VLOOKUP(Tableau119[[#This Row],[Name Site]],Plant_AILN!A:C,3,FALSE)</f>
        <v>90017000</v>
      </c>
      <c r="O872" s="55">
        <f>VLOOKUP(Tableau119[[#This Row],[Compte Consignee]],Order!C:D,2,FALSE)</f>
        <v>7</v>
      </c>
      <c r="P872" s="124" t="s">
        <v>150</v>
      </c>
      <c r="Q872" s="365">
        <f>VLOOKUP(Tableau119[[#This Row],[Name ILN]],Plant_AILN!F:G,2,FALSE)</f>
        <v>2533780535</v>
      </c>
      <c r="R872" s="50">
        <f>VLOOKUP(Tableau119[[#This Row],[Compte ILN]],'DATA ILN'!D:I,6,FALSE)</f>
        <v>9</v>
      </c>
      <c r="S872" s="50">
        <f>IFERROR(VLOOKUP(Tableau119[[#This Row],[Key(Compte ILN - shipper - POL - plant)]],'DATA ILN'!A:J,10,FALSE),VLOOKUP(Tableau119[[#This Row],[Key(Compte ILN - shipper - POL)]],'DATA ILN'!B:J,9,FALSE))</f>
        <v>14</v>
      </c>
      <c r="T872" s="50">
        <f>IFERROR(VLOOKUP(Tableau119[[#This Row],[Key(Compte ILN - shipper - POL - plant)]],'DATA ILN'!A:K,11,FALSE),VLOOKUP(Tableau119[[#This Row],[Key(Compte ILN - shipper - POL)]],'DATA ILN'!B:K,10,FALSE))</f>
        <v>5</v>
      </c>
      <c r="U872" s="50">
        <f>IFERROR(VLOOKUP(Tableau119[[#This Row],[Key(Compte ILN - shipper - POL - plant)]],'DATA ILN'!A:L,12,FALSE),VLOOKUP(Tableau119[[#This Row],[Key(Compte ILN - shipper - POL)]],'DATA ILN'!B:L,11,FALSE))</f>
        <v>7</v>
      </c>
      <c r="V872" s="50">
        <f>Tableau119[[#This Row],[Day ILN Order]]+Tableau119[[#This Row],[Delivery time to ILN/Shipper]]-1</f>
        <v>22</v>
      </c>
      <c r="W872" s="50">
        <f>IFERROR(VLOOKUP(Tableau119[[#This Row],[Key(Compte ILN - shipper - POL - plant)]],'DATA ILN'!A:N,14,FALSE),VLOOKUP(Tableau119[[#This Row],[Key(Compte ILN - shipper - POL)]],'DATA ILN'!B:N,13,FALSE))</f>
        <v>0</v>
      </c>
      <c r="X872" s="50">
        <f>IFERROR(VLOOKUP(Tableau119[[#This Row],[Key(Compte ILN - shipper - POL - plant)]],'DATA ILN'!A:P,16,FALSE),VLOOKUP(Tableau119[[#This Row],[Key(Compte ILN - shipper - POL)]],'DATA ILN'!B:P,15,FALSE))</f>
        <v>3</v>
      </c>
      <c r="Y872" s="284" t="s">
        <v>150</v>
      </c>
      <c r="Z872" s="430">
        <f>IFERROR(VLOOKUP(Tableau119[[#This Row],[Name Shipper]],Plant_AILN!L:M,2,FALSE),0)</f>
        <v>2533780535</v>
      </c>
      <c r="AA872" s="406">
        <v>921</v>
      </c>
      <c r="AB872" s="396" t="str">
        <f>_xlfn.XLOOKUP(Tableau119[[#This Row],[Key(ID-date)]],'DATA BTO'!S:S,'DATA BTO'!E:E,FALSE)</f>
        <v>INNSA</v>
      </c>
      <c r="AC872" s="3" t="str">
        <f>_xlfn.XLOOKUP(Tableau119[[#This Row],[Key(ID-date)]],'DATA BTO'!S:S,'DATA BTO'!F:F,FALSE)</f>
        <v>CMA-CGM</v>
      </c>
      <c r="AD872" s="50">
        <f>_xlfn.XLOOKUP(Tableau119[[#This Row],[Key(ID-date)]],'DATA BTO'!S:S,'DATA BTO'!G:G,FALSE)</f>
        <v>1</v>
      </c>
      <c r="AE872" s="50">
        <f>_xlfn.XLOOKUP(Tableau119[[#This Row],[Key(ID-date)]],'DATA BTO'!S:S,'DATA BTO'!H:H,FALSE)</f>
        <v>3</v>
      </c>
      <c r="AF872" s="447">
        <f>IF(Tableau119[[#This Row],[First Day to POL]]&lt;=Tableau119[[#This Row],[Day Cut Off]],Tableau119[[#This Row],[Day ETD]],Tableau119[[#This Row],[Day ETD]]+7)</f>
        <v>10</v>
      </c>
      <c r="AG872" s="50">
        <f>_xlfn.XLOOKUP(Tableau119[[#This Row],[Key(ID-date)]],'DATA BTO'!S:S,'DATA BTO'!I:I,FALSE)</f>
        <v>26</v>
      </c>
      <c r="AH872" s="3" t="str">
        <f>_xlfn.XLOOKUP(Tableau119[[#This Row],[Key(ID-date)]],'DATA BTO'!S:S,'DATA BTO'!J:J,FALSE)</f>
        <v>TRGEM</v>
      </c>
      <c r="AI872" s="3">
        <f>_xlfn.XLOOKUP(Tableau119[[#This Row],[Key(ID-date)]],'DATA BTO'!S:S,'DATA BTO'!K:K,FALSE)</f>
        <v>3</v>
      </c>
      <c r="AJ872" s="50">
        <f>_xlfn.XLOOKUP(Tableau119[[#This Row],[Key(ID-date)]],'DATA BTO'!S:S,'DATA BTO'!L:L,FALSE)</f>
        <v>0</v>
      </c>
      <c r="AK872" s="53" t="str">
        <f>_xlfn.XLOOKUP(Tableau119[[#This Row],[Key(ID-date)]],'DATA BTO'!S:S,'DATA BTO'!N:N,FALSE)</f>
        <v>Anthony</v>
      </c>
      <c r="AL872" s="54">
        <f>VLOOKUP(Tableau119[[#This Row],[Key(POD -PFI- Usine)]],'DATA Consignee'!A:F,6,FALSE)</f>
        <v>4</v>
      </c>
      <c r="AM872" s="284"/>
      <c r="AN872" s="376" t="str">
        <f>IF(Tableau119[[#This Row],[Name PFI/CDD]]="","-",VLOOKUP(Tableau119[[#This Row],[Name PFI/CDD]],Plant_AILN!I:J,2,FALSE))</f>
        <v>-</v>
      </c>
      <c r="AO87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2" s="2">
        <f>VLOOKUP(Tableau119[[#This Row],[Key(POD -PFI- Usine)]],'DATA Consignee'!A:J,10,FALSE)</f>
        <v>0</v>
      </c>
      <c r="AR872" s="50">
        <f>VLOOKUP(Tableau119[[#This Row],[Key(POD -PFI- Usine)]],'DATA Consignee'!A:N,14,FALSE)</f>
        <v>2</v>
      </c>
      <c r="AS87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7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72" s="50">
        <f>Tableau119[[#This Row],[Transit time]]+Tableau119[[#This Row],[Time for security]]+Tableau119[[#This Row],[Time for security2 buffer]]</f>
        <v>29</v>
      </c>
      <c r="AV87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72" s="50">
        <f>Tableau119[[#This Row],[Leadtime SI2C]]+Tableau119[[#This Row],[First Receipt Days]]-Tableau119[[#This Row],[Day Customer Order]]+1</f>
        <v>71</v>
      </c>
      <c r="AX872" s="119">
        <f>IF(Tableau119[[#This Row],[Name ILN]]&lt;&gt;"SFK Freight Forwarder",Tableau119[[#This Row],[Cust. Leadtime]],Tableau119[[#This Row],[Leadtime SI2C]])</f>
        <v>71</v>
      </c>
      <c r="AY872" s="51" t="str">
        <f>_xlfn.XLOOKUP(Tableau119[[#This Row],[Key(ID-date)]],'DATA BTO'!S:S,'DATA BTO'!P:P,FALSE)</f>
        <v>Renault &gt; Horse BPH</v>
      </c>
      <c r="AZ872" s="338">
        <v>45473</v>
      </c>
      <c r="BA872" s="50"/>
    </row>
    <row r="873" spans="2:53">
      <c r="B873" s="66" t="str">
        <f>_xlfn.CONCAT(Tableau119[[#This Row],[Name ILN]],"-",Tableau119[[#This Row],[Name Shipper]],"-",Tableau119[[#This Row],[Name Site]])</f>
        <v>ILN Tanger-ILN Tanger-DACIA MECA</v>
      </c>
      <c r="C873" s="66" t="str">
        <f>_xlfn.CONCAT(Tableau119[[#This Row],[Compte ILN]],"-",Tableau119[[#This Row],[Compte Shipper]],"-",Tableau119[[#This Row],[POL]],"-",Tableau119[[#This Row],[Compte Consignee]])</f>
        <v>92050300-92050300-MAPTM-90012500</v>
      </c>
      <c r="D873" s="66" t="str">
        <f>_xlfn.CONCAT(Tableau119[[#This Row],[Compte ILN]],"-",Tableau119[[#This Row],[Compte Shipper]],"-",Tableau119[[#This Row],[POL]])</f>
        <v>92050300-92050300-MAPTM</v>
      </c>
      <c r="E873" s="130" t="str">
        <f>_xlfn.CONCAT(Tableau119[[#This Row],[POL]],"-",Tableau119[[#This Row],[Carrier]],"-",Tableau119[[#This Row],[POD]])</f>
        <v>MAPTM-Arkas-ROCND</v>
      </c>
      <c r="F873" s="66" t="str">
        <f>_xlfn.CONCAT(Tableau119[[#This Row],[ID]],"-","Actif")</f>
        <v>924-Actif</v>
      </c>
      <c r="G873" s="66" t="str">
        <f>_xlfn.CONCAT(Tableau119[[#This Row],[POD]],"-",Tableau119[[#This Row],[Code PFI]],"-",Tableau119[[#This Row],[Compte Consignee]])</f>
        <v>ROCND-2839004-90012500</v>
      </c>
      <c r="H8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TangerMAPTMDACIA MECA</v>
      </c>
      <c r="I873" s="434" t="str">
        <f>_xlfn.CONCAT(Tableau119[[#This Row],[ID]],"-",Tableau119[[#This Row],[Expiration Date]])</f>
        <v>924-46142</v>
      </c>
      <c r="J8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Tanger-ILN Tanger-924-MAPTM-Arkas-ROCND-Magasin Dacia-46142</v>
      </c>
      <c r="K873" s="119" t="str">
        <f ca="1">IF(COUNTIF(J:J,Tableau119[[#This Row],[Plant-ILN-shipper-POL-Carrier-POD-PFI]])=1,"Non","Oui")</f>
        <v>Non</v>
      </c>
      <c r="L873" s="436" t="str">
        <f>VLOOKUP(Tableau119[[#This Row],[Name Site]],Plant_AILN!A:D,4,FALSE)</f>
        <v>ROMANIA</v>
      </c>
      <c r="M873" s="415" t="s">
        <v>162</v>
      </c>
      <c r="N873" s="455">
        <f>VLOOKUP(Tableau119[[#This Row],[Name Site]],Plant_AILN!A:C,3,FALSE)</f>
        <v>90012500</v>
      </c>
      <c r="O873" s="104">
        <f>IF(Tableau119[[#This Row],[Name PFI/CDD]]="PFI VLL",2,VLOOKUP(Tableau119[[#This Row],[Compte Consignee]],Order!C:D,2,FALSE))</f>
        <v>7</v>
      </c>
      <c r="P873" s="126" t="s">
        <v>161</v>
      </c>
      <c r="Q873" s="366">
        <f>VLOOKUP(Tableau119[[#This Row],[Name ILN]],Plant_AILN!F:G,2,FALSE)</f>
        <v>92050300</v>
      </c>
      <c r="R873" s="81">
        <f>VLOOKUP(Tableau119[[#This Row],[Compte ILN]],'DATA ILN'!D:I,6,FALSE)</f>
        <v>9</v>
      </c>
      <c r="S873" s="81">
        <f>IFERROR(VLOOKUP(Tableau119[[#This Row],[Key(Compte ILN - shipper - POL - plant)]],'DATA ILN'!A:J,10,FALSE),VLOOKUP(Tableau119[[#This Row],[Key(Compte ILN - shipper - POL)]],'DATA ILN'!B:J,9,FALSE))</f>
        <v>7</v>
      </c>
      <c r="T873" s="81">
        <f>IFERROR(VLOOKUP(Tableau119[[#This Row],[Key(Compte ILN - shipper - POL - plant)]],'DATA ILN'!A:K,11,FALSE),VLOOKUP(Tableau119[[#This Row],[Key(Compte ILN - shipper - POL)]],'DATA ILN'!B:K,10,FALSE))</f>
        <v>5</v>
      </c>
      <c r="U873" s="81">
        <f>IFERROR(VLOOKUP(Tableau119[[#This Row],[Key(Compte ILN - shipper - POL - plant)]],'DATA ILN'!A:L,12,FALSE),VLOOKUP(Tableau119[[#This Row],[Key(Compte ILN - shipper - POL)]],'DATA ILN'!B:L,11,FALSE))</f>
        <v>7</v>
      </c>
      <c r="V873" s="81">
        <f>Tableau119[[#This Row],[Day ILN Order]]+Tableau119[[#This Row],[Delivery time to ILN/Shipper]]-1</f>
        <v>15</v>
      </c>
      <c r="W873" s="81">
        <f>IFERROR(VLOOKUP(Tableau119[[#This Row],[Key(Compte ILN - shipper - POL - plant)]],'DATA ILN'!A:N,14,FALSE),VLOOKUP(Tableau119[[#This Row],[Key(Compte ILN - shipper - POL)]],'DATA ILN'!B:N,13,FALSE))</f>
        <v>3</v>
      </c>
      <c r="X873" s="81">
        <f>IFERROR(VLOOKUP(Tableau119[[#This Row],[Key(Compte ILN - shipper - POL - plant)]],'DATA ILN'!A:P,16,FALSE),VLOOKUP(Tableau119[[#This Row],[Key(Compte ILN - shipper - POL)]],'DATA ILN'!B:P,15,FALSE))</f>
        <v>4</v>
      </c>
      <c r="Y873" s="102" t="s">
        <v>161</v>
      </c>
      <c r="Z873" s="417">
        <f>IFERROR(VLOOKUP(Tableau119[[#This Row],[Name Shipper]],Plant_AILN!L:M,2,FALSE),0)</f>
        <v>92050300</v>
      </c>
      <c r="AA873" s="416">
        <v>924</v>
      </c>
      <c r="AB873" s="396" t="str">
        <f>_xlfn.XLOOKUP(Tableau119[[#This Row],[Key(ID-date)]],'DATA BTO'!S:S,'DATA BTO'!E:E,FALSE)</f>
        <v>MAPTM</v>
      </c>
      <c r="AC873" s="3" t="str">
        <f>_xlfn.XLOOKUP(Tableau119[[#This Row],[Key(ID-date)]],'DATA BTO'!S:S,'DATA BTO'!F:F,FALSE)</f>
        <v>Arkas</v>
      </c>
      <c r="AD873" s="50">
        <f>_xlfn.XLOOKUP(Tableau119[[#This Row],[Key(ID-date)]],'DATA BTO'!S:S,'DATA BTO'!G:G,FALSE)</f>
        <v>4</v>
      </c>
      <c r="AE873" s="50">
        <f>_xlfn.XLOOKUP(Tableau119[[#This Row],[Key(ID-date)]],'DATA BTO'!S:S,'DATA BTO'!H:H,FALSE)</f>
        <v>6</v>
      </c>
      <c r="AF873" s="447">
        <f>IF(Tableau119[[#This Row],[First Day to POL]]&lt;=Tableau119[[#This Row],[Day Cut Off]],Tableau119[[#This Row],[Day ETD]],Tableau119[[#This Row],[Day ETD]]+7)</f>
        <v>6</v>
      </c>
      <c r="AG873" s="50">
        <f>_xlfn.XLOOKUP(Tableau119[[#This Row],[Key(ID-date)]],'DATA BTO'!S:S,'DATA BTO'!I:I,FALSE)</f>
        <v>21</v>
      </c>
      <c r="AH873" s="3" t="str">
        <f>_xlfn.XLOOKUP(Tableau119[[#This Row],[Key(ID-date)]],'DATA BTO'!S:S,'DATA BTO'!J:J,FALSE)</f>
        <v>ROCND</v>
      </c>
      <c r="AI873" s="3">
        <f>_xlfn.XLOOKUP(Tableau119[[#This Row],[Key(ID-date)]],'DATA BTO'!S:S,'DATA BTO'!K:K,FALSE)</f>
        <v>3</v>
      </c>
      <c r="AJ873" s="50">
        <f>_xlfn.XLOOKUP(Tableau119[[#This Row],[Key(ID-date)]],'DATA BTO'!S:S,'DATA BTO'!L:L,FALSE)</f>
        <v>7</v>
      </c>
      <c r="AK873" s="53" t="str">
        <f>_xlfn.XLOOKUP(Tableau119[[#This Row],[Key(ID-date)]],'DATA BTO'!S:S,'DATA BTO'!N:N,FALSE)</f>
        <v>Véronique</v>
      </c>
      <c r="AL873" s="54">
        <f>VLOOKUP(Tableau119[[#This Row],[Key(POD -PFI- Usine)]],'DATA Consignee'!A:F,6,FALSE)</f>
        <v>1</v>
      </c>
      <c r="AM873" s="102" t="s">
        <v>164</v>
      </c>
      <c r="AN873" s="375">
        <f>IF(Tableau119[[#This Row],[Name PFI/CDD]]="","-",VLOOKUP(Tableau119[[#This Row],[Name PFI/CDD]],Plant_AILN!I:J,2,FALSE))</f>
        <v>2839004</v>
      </c>
      <c r="AO87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3" s="110">
        <f>VLOOKUP(Tableau119[[#This Row],[Key(POD -PFI- Usine)]],'DATA Consignee'!A:J,10,FALSE)</f>
        <v>7</v>
      </c>
      <c r="AR873" s="81">
        <f>VLOOKUP(Tableau119[[#This Row],[Key(POD -PFI- Usine)]],'DATA Consignee'!A:N,14,FALSE)</f>
        <v>1</v>
      </c>
      <c r="AS87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87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873" s="81">
        <f>Tableau119[[#This Row],[Transit time]]+Tableau119[[#This Row],[Time for security]]+Tableau119[[#This Row],[Time for security2 buffer]]</f>
        <v>31</v>
      </c>
      <c r="AV87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73" s="50">
        <f>Tableau119[[#This Row],[Leadtime SI2C]]+Tableau119[[#This Row],[First Receipt Days]]-Tableau119[[#This Row],[Day Customer Order]]+1</f>
        <v>64</v>
      </c>
      <c r="AX873" s="119">
        <f>IF(Tableau119[[#This Row],[Name ILN]]&lt;&gt;"SFK Freight Forwarder",Tableau119[[#This Row],[Cust. Leadtime]],Tableau119[[#This Row],[Leadtime SI2C]])</f>
        <v>64</v>
      </c>
      <c r="AY873" s="51" t="str">
        <f>_xlfn.XLOOKUP(Tableau119[[#This Row],[Key(ID-date)]],'DATA BTO'!S:S,'DATA BTO'!P:P,FALSE)</f>
        <v>Renault &gt; Horse BPH</v>
      </c>
      <c r="AZ873" s="388">
        <v>46142</v>
      </c>
      <c r="BA873" s="81"/>
    </row>
    <row r="874" spans="2:53">
      <c r="B874" s="446" t="str">
        <f>_xlfn.CONCAT(Tableau119[[#This Row],[Name ILN]],"-",Tableau119[[#This Row],[Name Shipper]],"-",Tableau119[[#This Row],[Name Site]])</f>
        <v>ILN Tanger-ILN Tanger-DACIA MECA</v>
      </c>
      <c r="C874" s="66" t="str">
        <f>_xlfn.CONCAT(Tableau119[[#This Row],[Compte ILN]],"-",Tableau119[[#This Row],[Compte Shipper]],"-",Tableau119[[#This Row],[POL]],"-",Tableau119[[#This Row],[Compte Consignee]])</f>
        <v>92050300-92050300-MAPTM-90012500</v>
      </c>
      <c r="D874" s="66" t="str">
        <f>_xlfn.CONCAT(Tableau119[[#This Row],[Compte ILN]],"-",Tableau119[[#This Row],[Compte Shipper]],"-",Tableau119[[#This Row],[POL]])</f>
        <v>92050300-92050300-MAPTM</v>
      </c>
      <c r="E874" s="130" t="str">
        <f>_xlfn.CONCAT(Tableau119[[#This Row],[POL]],"-",Tableau119[[#This Row],[Carrier]],"-",Tableau119[[#This Row],[POD]])</f>
        <v>MAPTM-Arkas-ROCND</v>
      </c>
      <c r="F874" s="66" t="str">
        <f>_xlfn.CONCAT(Tableau119[[#This Row],[ID]],"-","Actif")</f>
        <v>924-Actif</v>
      </c>
      <c r="G874" s="66" t="str">
        <f>_xlfn.CONCAT(Tableau119[[#This Row],[POD]],"-",Tableau119[[#This Row],[Code PFI]],"-",Tableau119[[#This Row],[Compte Consignee]])</f>
        <v>ROCND---90012500</v>
      </c>
      <c r="H8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TangerMAPTMDACIA MECA</v>
      </c>
      <c r="I874" s="434" t="str">
        <f>_xlfn.CONCAT(Tableau119[[#This Row],[ID]],"-",Tableau119[[#This Row],[Expiration Date]])</f>
        <v>924-45788</v>
      </c>
      <c r="J8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Tanger-ILN Tanger-924-MAPTM-Arkas-ROCND--45788</v>
      </c>
      <c r="K874" s="119" t="str">
        <f ca="1">IF(COUNTIF(J:J,Tableau119[[#This Row],[Plant-ILN-shipper-POL-Carrier-POD-PFI]])=1,"Non","Oui")</f>
        <v>Non</v>
      </c>
      <c r="L874" s="128" t="str">
        <f>VLOOKUP(Tableau119[[#This Row],[Name Site]],Plant_AILN!A:D,4,FALSE)</f>
        <v>ROMANIA</v>
      </c>
      <c r="M874" s="411" t="s">
        <v>162</v>
      </c>
      <c r="N874" s="454">
        <f>VLOOKUP(Tableau119[[#This Row],[Name Site]],Plant_AILN!A:C,3,FALSE)</f>
        <v>90012500</v>
      </c>
      <c r="O874" s="55">
        <f>VLOOKUP(Tableau119[[#This Row],[Compte Consignee]],Order!C:D,2,FALSE)</f>
        <v>7</v>
      </c>
      <c r="P874" s="124" t="s">
        <v>161</v>
      </c>
      <c r="Q874" s="365">
        <f>VLOOKUP(Tableau119[[#This Row],[Name ILN]],Plant_AILN!F:G,2,FALSE)</f>
        <v>92050300</v>
      </c>
      <c r="R874" s="50">
        <f>VLOOKUP(Tableau119[[#This Row],[Compte ILN]],'DATA ILN'!D:I,6,FALSE)</f>
        <v>9</v>
      </c>
      <c r="S874" s="50">
        <f>IFERROR(VLOOKUP(Tableau119[[#This Row],[Key(Compte ILN - shipper - POL - plant)]],'DATA ILN'!A:J,10,FALSE),VLOOKUP(Tableau119[[#This Row],[Key(Compte ILN - shipper - POL)]],'DATA ILN'!B:J,9,FALSE))</f>
        <v>7</v>
      </c>
      <c r="T874" s="50">
        <f>IFERROR(VLOOKUP(Tableau119[[#This Row],[Key(Compte ILN - shipper - POL - plant)]],'DATA ILN'!A:K,11,FALSE),VLOOKUP(Tableau119[[#This Row],[Key(Compte ILN - shipper - POL)]],'DATA ILN'!B:K,10,FALSE))</f>
        <v>5</v>
      </c>
      <c r="U874" s="50">
        <f>IFERROR(VLOOKUP(Tableau119[[#This Row],[Key(Compte ILN - shipper - POL - plant)]],'DATA ILN'!A:L,12,FALSE),VLOOKUP(Tableau119[[#This Row],[Key(Compte ILN - shipper - POL)]],'DATA ILN'!B:L,11,FALSE))</f>
        <v>7</v>
      </c>
      <c r="V874" s="50">
        <f>Tableau119[[#This Row],[Day ILN Order]]+Tableau119[[#This Row],[Delivery time to ILN/Shipper]]-1</f>
        <v>15</v>
      </c>
      <c r="W874" s="50">
        <f>IFERROR(VLOOKUP(Tableau119[[#This Row],[Key(Compte ILN - shipper - POL - plant)]],'DATA ILN'!A:N,14,FALSE),VLOOKUP(Tableau119[[#This Row],[Key(Compte ILN - shipper - POL)]],'DATA ILN'!B:N,13,FALSE))</f>
        <v>3</v>
      </c>
      <c r="X874" s="50">
        <f>IFERROR(VLOOKUP(Tableau119[[#This Row],[Key(Compte ILN - shipper - POL - plant)]],'DATA ILN'!A:P,16,FALSE),VLOOKUP(Tableau119[[#This Row],[Key(Compte ILN - shipper - POL)]],'DATA ILN'!B:P,15,FALSE))</f>
        <v>4</v>
      </c>
      <c r="Y874" s="284" t="s">
        <v>161</v>
      </c>
      <c r="Z874" s="430">
        <f>IFERROR(VLOOKUP(Tableau119[[#This Row],[Name Shipper]],Plant_AILN!L:M,2,FALSE),0)</f>
        <v>92050300</v>
      </c>
      <c r="AA874" s="406">
        <v>924</v>
      </c>
      <c r="AB874" s="396" t="str">
        <f>_xlfn.XLOOKUP(Tableau119[[#This Row],[Key(ID-date)]],'DATA BTO'!S:S,'DATA BTO'!E:E,FALSE)</f>
        <v>MAPTM</v>
      </c>
      <c r="AC874" s="3" t="str">
        <f>_xlfn.XLOOKUP(Tableau119[[#This Row],[Key(ID-date)]],'DATA BTO'!S:S,'DATA BTO'!F:F,FALSE)</f>
        <v>Arkas</v>
      </c>
      <c r="AD874" s="50">
        <f>_xlfn.XLOOKUP(Tableau119[[#This Row],[Key(ID-date)]],'DATA BTO'!S:S,'DATA BTO'!G:G,FALSE)</f>
        <v>1</v>
      </c>
      <c r="AE874" s="50">
        <f>_xlfn.XLOOKUP(Tableau119[[#This Row],[Key(ID-date)]],'DATA BTO'!S:S,'DATA BTO'!H:H,FALSE)</f>
        <v>3</v>
      </c>
      <c r="AF874" s="447">
        <f>IF(Tableau119[[#This Row],[First Day to POL]]&lt;=Tableau119[[#This Row],[Day Cut Off]],Tableau119[[#This Row],[Day ETD]],Tableau119[[#This Row],[Day ETD]]+7)</f>
        <v>10</v>
      </c>
      <c r="AG874" s="50">
        <f>_xlfn.XLOOKUP(Tableau119[[#This Row],[Key(ID-date)]],'DATA BTO'!S:S,'DATA BTO'!I:I,FALSE)</f>
        <v>25</v>
      </c>
      <c r="AH874" s="3" t="str">
        <f>_xlfn.XLOOKUP(Tableau119[[#This Row],[Key(ID-date)]],'DATA BTO'!S:S,'DATA BTO'!J:J,FALSE)</f>
        <v>ROCND</v>
      </c>
      <c r="AI874" s="3">
        <f>_xlfn.XLOOKUP(Tableau119[[#This Row],[Key(ID-date)]],'DATA BTO'!S:S,'DATA BTO'!K:K,FALSE)</f>
        <v>3</v>
      </c>
      <c r="AJ874" s="50">
        <f>_xlfn.XLOOKUP(Tableau119[[#This Row],[Key(ID-date)]],'DATA BTO'!S:S,'DATA BTO'!L:L,FALSE)</f>
        <v>0</v>
      </c>
      <c r="AK874" s="53" t="str">
        <f>_xlfn.XLOOKUP(Tableau119[[#This Row],[Key(ID-date)]],'DATA BTO'!S:S,'DATA BTO'!N:N,FALSE)</f>
        <v>Julien</v>
      </c>
      <c r="AL874" s="54">
        <f>VLOOKUP(Tableau119[[#This Row],[Key(POD -PFI- Usine)]],'DATA Consignee'!A:F,6,FALSE)</f>
        <v>2</v>
      </c>
      <c r="AM874" s="127"/>
      <c r="AN874" s="376" t="str">
        <f>IF(Tableau119[[#This Row],[Name PFI/CDD]]="","-",VLOOKUP(Tableau119[[#This Row],[Name PFI/CDD]],Plant_AILN!I:J,2,FALSE))</f>
        <v>-</v>
      </c>
      <c r="AO87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4" s="2">
        <f>VLOOKUP(Tableau119[[#This Row],[Key(POD -PFI- Usine)]],'DATA Consignee'!A:J,10,FALSE)</f>
        <v>0</v>
      </c>
      <c r="AR874" s="50">
        <f>VLOOKUP(Tableau119[[#This Row],[Key(POD -PFI- Usine)]],'DATA Consignee'!A:N,14,FALSE)</f>
        <v>7</v>
      </c>
      <c r="AS87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7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74" s="50">
        <f>Tableau119[[#This Row],[Transit time]]+Tableau119[[#This Row],[Time for security]]+Tableau119[[#This Row],[Time for security2 buffer]]</f>
        <v>28</v>
      </c>
      <c r="AV87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74" s="50">
        <f>Tableau119[[#This Row],[Leadtime SI2C]]+Tableau119[[#This Row],[First Receipt Days]]-Tableau119[[#This Row],[Day Customer Order]]+1</f>
        <v>64</v>
      </c>
      <c r="AX874" s="119">
        <f>IF(Tableau119[[#This Row],[Name ILN]]&lt;&gt;"SFK Freight Forwarder",Tableau119[[#This Row],[Cust. Leadtime]],Tableau119[[#This Row],[Leadtime SI2C]])</f>
        <v>64</v>
      </c>
      <c r="AY874" s="51" t="str">
        <f>_xlfn.XLOOKUP(Tableau119[[#This Row],[Key(ID-date)]],'DATA BTO'!S:S,'DATA BTO'!P:P,FALSE)</f>
        <v>Renault &gt; Horse BPH</v>
      </c>
      <c r="AZ874" s="338">
        <v>45788</v>
      </c>
      <c r="BA874" s="50"/>
    </row>
    <row r="875" spans="2:53">
      <c r="B875" s="446" t="str">
        <f>_xlfn.CONCAT(Tableau119[[#This Row],[Name ILN]],"-",Tableau119[[#This Row],[Name Shipper]],"-",Tableau119[[#This Row],[Name Site]])</f>
        <v>ILN Tanger-ILN Tanger-DACIA MECA</v>
      </c>
      <c r="C875" s="66" t="str">
        <f>_xlfn.CONCAT(Tableau119[[#This Row],[Compte ILN]],"-",Tableau119[[#This Row],[Compte Shipper]],"-",Tableau119[[#This Row],[POL]],"-",Tableau119[[#This Row],[Compte Consignee]])</f>
        <v>92050300-92050300-MAPTM-90012500</v>
      </c>
      <c r="D875" s="66" t="str">
        <f>_xlfn.CONCAT(Tableau119[[#This Row],[Compte ILN]],"-",Tableau119[[#This Row],[Compte Shipper]],"-",Tableau119[[#This Row],[POL]])</f>
        <v>92050300-92050300-MAPTM</v>
      </c>
      <c r="E875" s="130" t="str">
        <f>_xlfn.CONCAT(Tableau119[[#This Row],[POL]],"-",Tableau119[[#This Row],[Carrier]],"-",Tableau119[[#This Row],[POD]])</f>
        <v>MAPTM-Arkas-ROCND</v>
      </c>
      <c r="F875" s="66" t="str">
        <f>_xlfn.CONCAT(Tableau119[[#This Row],[ID]],"-","Actif")</f>
        <v>924-Actif</v>
      </c>
      <c r="G875" s="66" t="str">
        <f>_xlfn.CONCAT(Tableau119[[#This Row],[POD]],"-",Tableau119[[#This Row],[Code PFI]],"-",Tableau119[[#This Row],[Compte Consignee]])</f>
        <v>ROCND---90012500</v>
      </c>
      <c r="H8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TangerMAPTMDACIA MECA</v>
      </c>
      <c r="I875" s="434" t="str">
        <f>_xlfn.CONCAT(Tableau119[[#This Row],[ID]],"-",Tableau119[[#This Row],[Expiration Date]])</f>
        <v>924-45747</v>
      </c>
      <c r="J8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MECA-ILN Tanger-ILN Tanger-924-MAPTM-Arkas-ROCND--45747</v>
      </c>
      <c r="K875" s="119" t="str">
        <f ca="1">IF(COUNTIF(J:J,Tableau119[[#This Row],[Plant-ILN-shipper-POL-Carrier-POD-PFI]])=1,"Non","Oui")</f>
        <v>Non</v>
      </c>
      <c r="L875" s="128" t="str">
        <f>VLOOKUP(Tableau119[[#This Row],[Name Site]],Plant_AILN!A:D,4,FALSE)</f>
        <v>ROMANIA</v>
      </c>
      <c r="M875" s="411" t="s">
        <v>162</v>
      </c>
      <c r="N875" s="454">
        <f>VLOOKUP(Tableau119[[#This Row],[Name Site]],Plant_AILN!A:C,3,FALSE)</f>
        <v>90012500</v>
      </c>
      <c r="O875" s="55">
        <f>VLOOKUP(Tableau119[[#This Row],[Compte Consignee]],Order!C:D,2,FALSE)</f>
        <v>7</v>
      </c>
      <c r="P875" s="124" t="s">
        <v>161</v>
      </c>
      <c r="Q875" s="365">
        <f>VLOOKUP(Tableau119[[#This Row],[Name ILN]],Plant_AILN!F:G,2,FALSE)</f>
        <v>92050300</v>
      </c>
      <c r="R875" s="50">
        <f>VLOOKUP(Tableau119[[#This Row],[Compte ILN]],'DATA ILN'!D:I,6,FALSE)</f>
        <v>9</v>
      </c>
      <c r="S875" s="50">
        <f>IFERROR(VLOOKUP(Tableau119[[#This Row],[Key(Compte ILN - shipper - POL - plant)]],'DATA ILN'!A:J,10,FALSE),VLOOKUP(Tableau119[[#This Row],[Key(Compte ILN - shipper - POL)]],'DATA ILN'!B:J,9,FALSE))</f>
        <v>7</v>
      </c>
      <c r="T875" s="50">
        <f>IFERROR(VLOOKUP(Tableau119[[#This Row],[Key(Compte ILN - shipper - POL - plant)]],'DATA ILN'!A:K,11,FALSE),VLOOKUP(Tableau119[[#This Row],[Key(Compte ILN - shipper - POL)]],'DATA ILN'!B:K,10,FALSE))</f>
        <v>5</v>
      </c>
      <c r="U875" s="50">
        <f>IFERROR(VLOOKUP(Tableau119[[#This Row],[Key(Compte ILN - shipper - POL - plant)]],'DATA ILN'!A:L,12,FALSE),VLOOKUP(Tableau119[[#This Row],[Key(Compte ILN - shipper - POL)]],'DATA ILN'!B:L,11,FALSE))</f>
        <v>7</v>
      </c>
      <c r="V875" s="50">
        <f>Tableau119[[#This Row],[Day ILN Order]]+Tableau119[[#This Row],[Delivery time to ILN/Shipper]]-1</f>
        <v>15</v>
      </c>
      <c r="W875" s="50">
        <f>IFERROR(VLOOKUP(Tableau119[[#This Row],[Key(Compte ILN - shipper - POL - plant)]],'DATA ILN'!A:N,14,FALSE),VLOOKUP(Tableau119[[#This Row],[Key(Compte ILN - shipper - POL)]],'DATA ILN'!B:N,13,FALSE))</f>
        <v>3</v>
      </c>
      <c r="X875" s="50">
        <f>IFERROR(VLOOKUP(Tableau119[[#This Row],[Key(Compte ILN - shipper - POL - plant)]],'DATA ILN'!A:P,16,FALSE),VLOOKUP(Tableau119[[#This Row],[Key(Compte ILN - shipper - POL)]],'DATA ILN'!B:P,15,FALSE))</f>
        <v>4</v>
      </c>
      <c r="Y875" s="284" t="s">
        <v>161</v>
      </c>
      <c r="Z875" s="430">
        <f>IFERROR(VLOOKUP(Tableau119[[#This Row],[Name Shipper]],Plant_AILN!L:M,2,FALSE),0)</f>
        <v>92050300</v>
      </c>
      <c r="AA875" s="406">
        <v>924</v>
      </c>
      <c r="AB875" s="396" t="str">
        <f>_xlfn.XLOOKUP(Tableau119[[#This Row],[Key(ID-date)]],'DATA BTO'!S:S,'DATA BTO'!E:E,FALSE)</f>
        <v>MAPTM</v>
      </c>
      <c r="AC875" s="3" t="str">
        <f>_xlfn.XLOOKUP(Tableau119[[#This Row],[Key(ID-date)]],'DATA BTO'!S:S,'DATA BTO'!F:F,FALSE)</f>
        <v>Arkas</v>
      </c>
      <c r="AD875" s="50">
        <f>_xlfn.XLOOKUP(Tableau119[[#This Row],[Key(ID-date)]],'DATA BTO'!S:S,'DATA BTO'!G:G,FALSE)</f>
        <v>1</v>
      </c>
      <c r="AE875" s="50">
        <f>_xlfn.XLOOKUP(Tableau119[[#This Row],[Key(ID-date)]],'DATA BTO'!S:S,'DATA BTO'!H:H,FALSE)</f>
        <v>3</v>
      </c>
      <c r="AF875" s="447">
        <f>IF(Tableau119[[#This Row],[First Day to POL]]&lt;=Tableau119[[#This Row],[Day Cut Off]],Tableau119[[#This Row],[Day ETD]],Tableau119[[#This Row],[Day ETD]]+7)</f>
        <v>10</v>
      </c>
      <c r="AG875" s="50">
        <f>_xlfn.XLOOKUP(Tableau119[[#This Row],[Key(ID-date)]],'DATA BTO'!S:S,'DATA BTO'!I:I,FALSE)</f>
        <v>25</v>
      </c>
      <c r="AH875" s="3" t="str">
        <f>_xlfn.XLOOKUP(Tableau119[[#This Row],[Key(ID-date)]],'DATA BTO'!S:S,'DATA BTO'!J:J,FALSE)</f>
        <v>ROCND</v>
      </c>
      <c r="AI875" s="3">
        <f>_xlfn.XLOOKUP(Tableau119[[#This Row],[Key(ID-date)]],'DATA BTO'!S:S,'DATA BTO'!K:K,FALSE)</f>
        <v>3</v>
      </c>
      <c r="AJ875" s="50">
        <f>_xlfn.XLOOKUP(Tableau119[[#This Row],[Key(ID-date)]],'DATA BTO'!S:S,'DATA BTO'!L:L,FALSE)</f>
        <v>0</v>
      </c>
      <c r="AK875" s="53" t="str">
        <f>_xlfn.XLOOKUP(Tableau119[[#This Row],[Key(ID-date)]],'DATA BTO'!S:S,'DATA BTO'!N:N,FALSE)</f>
        <v>Julien</v>
      </c>
      <c r="AL875" s="54">
        <f>VLOOKUP(Tableau119[[#This Row],[Key(POD -PFI- Usine)]],'DATA Consignee'!A:F,6,FALSE)</f>
        <v>2</v>
      </c>
      <c r="AM875" s="127"/>
      <c r="AN875" s="376" t="str">
        <f>IF(Tableau119[[#This Row],[Name PFI/CDD]]="","-",VLOOKUP(Tableau119[[#This Row],[Name PFI/CDD]],Plant_AILN!I:J,2,FALSE))</f>
        <v>-</v>
      </c>
      <c r="AO8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5" s="2">
        <f>VLOOKUP(Tableau119[[#This Row],[Key(POD -PFI- Usine)]],'DATA Consignee'!A:J,10,FALSE)</f>
        <v>0</v>
      </c>
      <c r="AR875" s="50">
        <f>VLOOKUP(Tableau119[[#This Row],[Key(POD -PFI- Usine)]],'DATA Consignee'!A:N,14,FALSE)</f>
        <v>7</v>
      </c>
      <c r="AS87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7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75" s="50">
        <f>Tableau119[[#This Row],[Transit time]]+Tableau119[[#This Row],[Time for security]]+Tableau119[[#This Row],[Time for security2 buffer]]</f>
        <v>28</v>
      </c>
      <c r="AV87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75" s="50">
        <f>Tableau119[[#This Row],[Leadtime SI2C]]+Tableau119[[#This Row],[First Receipt Days]]-Tableau119[[#This Row],[Day Customer Order]]+1</f>
        <v>64</v>
      </c>
      <c r="AX875" s="119">
        <f>IF(Tableau119[[#This Row],[Name ILN]]&lt;&gt;"SFK Freight Forwarder",Tableau119[[#This Row],[Cust. Leadtime]],Tableau119[[#This Row],[Leadtime SI2C]])</f>
        <v>64</v>
      </c>
      <c r="AY875" s="51" t="str">
        <f>_xlfn.XLOOKUP(Tableau119[[#This Row],[Key(ID-date)]],'DATA BTO'!S:S,'DATA BTO'!P:P,FALSE)</f>
        <v>Renault &gt; Horse BPH</v>
      </c>
      <c r="AZ875" s="338">
        <v>45747</v>
      </c>
      <c r="BA875" s="50"/>
    </row>
    <row r="876" spans="2:53">
      <c r="B876" s="446" t="str">
        <f>_xlfn.CONCAT(Tableau119[[#This Row],[Name ILN]],"-",Tableau119[[#This Row],[Name Shipper]],"-",Tableau119[[#This Row],[Name Site]])</f>
        <v>ILN Chennai-ILN Chennai-CURITIBA CMO</v>
      </c>
      <c r="C876" s="66" t="str">
        <f>_xlfn.CONCAT(Tableau119[[#This Row],[Compte ILN]],"-",Tableau119[[#This Row],[Compte Shipper]],"-",Tableau119[[#This Row],[POL]],"-",Tableau119[[#This Row],[Compte Consignee]])</f>
        <v>2533780546-2533780546-INKAT-90018600</v>
      </c>
      <c r="D876" s="66" t="str">
        <f>_xlfn.CONCAT(Tableau119[[#This Row],[Compte ILN]],"-",Tableau119[[#This Row],[Compte Shipper]],"-",Tableau119[[#This Row],[POL]])</f>
        <v>2533780546-2533780546-INKAT</v>
      </c>
      <c r="E876" s="130" t="str">
        <f>_xlfn.CONCAT(Tableau119[[#This Row],[POL]],"-",Tableau119[[#This Row],[Carrier]],"-",Tableau119[[#This Row],[POD]])</f>
        <v>INKAT-MSC-BRPNG</v>
      </c>
      <c r="F876" s="66" t="str">
        <f>_xlfn.CONCAT(Tableau119[[#This Row],[ID]],"-","Actif")</f>
        <v>925-Actif</v>
      </c>
      <c r="G876" s="66" t="str">
        <f>_xlfn.CONCAT(Tableau119[[#This Row],[POD]],"-",Tableau119[[#This Row],[Code PFI]],"-",Tableau119[[#This Row],[Compte Consignee]])</f>
        <v>BRPNG---90018600</v>
      </c>
      <c r="H8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ChennaiINKATCURITIBA CMO</v>
      </c>
      <c r="I876" s="434" t="str">
        <f>_xlfn.CONCAT(Tableau119[[#This Row],[ID]],"-",Tableau119[[#This Row],[Expiration Date]])</f>
        <v>925-46142</v>
      </c>
      <c r="J8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Chennai-925-INKAT-MSC-BRPNG--46142</v>
      </c>
      <c r="K876" s="119" t="str">
        <f ca="1">IF(COUNTIF(J:J,Tableau119[[#This Row],[Plant-ILN-shipper-POL-Carrier-POD-PFI]])=1,"Non","Oui")</f>
        <v>Non</v>
      </c>
      <c r="L876" s="128" t="str">
        <f>VLOOKUP(Tableau119[[#This Row],[Name Site]],Plant_AILN!A:D,4,FALSE)</f>
        <v>BRAZIL</v>
      </c>
      <c r="M876" s="415" t="s">
        <v>174</v>
      </c>
      <c r="N876" s="455">
        <f>VLOOKUP(Tableau119[[#This Row],[Name Site]],Plant_AILN!A:C,3,FALSE)</f>
        <v>90018600</v>
      </c>
      <c r="O876" s="104">
        <f>IF(Tableau119[[#This Row],[Name PFI/CDD]]="PFI VLL",2,VLOOKUP(Tableau119[[#This Row],[Compte Consignee]],Order!C:D,2,FALSE))</f>
        <v>7</v>
      </c>
      <c r="P876" s="126" t="s">
        <v>149</v>
      </c>
      <c r="Q876" s="366">
        <f>VLOOKUP(Tableau119[[#This Row],[Name ILN]],Plant_AILN!F:G,2,FALSE)</f>
        <v>2533780546</v>
      </c>
      <c r="R876" s="81">
        <f>VLOOKUP(Tableau119[[#This Row],[Compte ILN]],'DATA ILN'!D:I,6,FALSE)</f>
        <v>9</v>
      </c>
      <c r="S876" s="81">
        <f>IFERROR(VLOOKUP(Tableau119[[#This Row],[Key(Compte ILN - shipper - POL - plant)]],'DATA ILN'!A:J,10,FALSE),VLOOKUP(Tableau119[[#This Row],[Key(Compte ILN - shipper - POL)]],'DATA ILN'!B:J,9,FALSE))</f>
        <v>14</v>
      </c>
      <c r="T876" s="81">
        <f>IFERROR(VLOOKUP(Tableau119[[#This Row],[Key(Compte ILN - shipper - POL - plant)]],'DATA ILN'!A:K,11,FALSE),VLOOKUP(Tableau119[[#This Row],[Key(Compte ILN - shipper - POL)]],'DATA ILN'!B:K,10,FALSE))</f>
        <v>5</v>
      </c>
      <c r="U876" s="81">
        <f>IFERROR(VLOOKUP(Tableau119[[#This Row],[Key(Compte ILN - shipper - POL - plant)]],'DATA ILN'!A:L,12,FALSE),VLOOKUP(Tableau119[[#This Row],[Key(Compte ILN - shipper - POL)]],'DATA ILN'!B:L,11,FALSE))</f>
        <v>7</v>
      </c>
      <c r="V876" s="81">
        <f>Tableau119[[#This Row],[Day ILN Order]]+Tableau119[[#This Row],[Delivery time to ILN/Shipper]]-1</f>
        <v>22</v>
      </c>
      <c r="W876" s="81">
        <f>IFERROR(VLOOKUP(Tableau119[[#This Row],[Key(Compte ILN - shipper - POL - plant)]],'DATA ILN'!A:N,14,FALSE),VLOOKUP(Tableau119[[#This Row],[Key(Compte ILN - shipper - POL)]],'DATA ILN'!B:N,13,FALSE))</f>
        <v>2</v>
      </c>
      <c r="X876" s="81">
        <f>IFERROR(VLOOKUP(Tableau119[[#This Row],[Key(Compte ILN - shipper - POL - plant)]],'DATA ILN'!A:P,16,FALSE),VLOOKUP(Tableau119[[#This Row],[Key(Compte ILN - shipper - POL)]],'DATA ILN'!B:P,15,FALSE))</f>
        <v>4</v>
      </c>
      <c r="Y876" s="102" t="s">
        <v>149</v>
      </c>
      <c r="Z876" s="417">
        <f>IFERROR(VLOOKUP(Tableau119[[#This Row],[Name Shipper]],Plant_AILN!L:M,2,FALSE),0)</f>
        <v>2533780546</v>
      </c>
      <c r="AA876" s="416">
        <v>925</v>
      </c>
      <c r="AB876" s="396" t="str">
        <f>_xlfn.XLOOKUP(Tableau119[[#This Row],[Key(ID-date)]],'DATA BTO'!S:S,'DATA BTO'!E:E,FALSE)</f>
        <v>INKAT</v>
      </c>
      <c r="AC876" s="3" t="str">
        <f>_xlfn.XLOOKUP(Tableau119[[#This Row],[Key(ID-date)]],'DATA BTO'!S:S,'DATA BTO'!F:F,FALSE)</f>
        <v>MSC</v>
      </c>
      <c r="AD876" s="50">
        <f>_xlfn.XLOOKUP(Tableau119[[#This Row],[Key(ID-date)]],'DATA BTO'!S:S,'DATA BTO'!G:G,FALSE)</f>
        <v>12</v>
      </c>
      <c r="AE876" s="50">
        <f>_xlfn.XLOOKUP(Tableau119[[#This Row],[Key(ID-date)]],'DATA BTO'!S:S,'DATA BTO'!H:H,FALSE)</f>
        <v>14</v>
      </c>
      <c r="AF876" s="447">
        <f>IF(Tableau119[[#This Row],[First Day to POL]]&lt;=Tableau119[[#This Row],[Day Cut Off]],Tableau119[[#This Row],[Day ETD]],Tableau119[[#This Row],[Day ETD]]+7)</f>
        <v>14</v>
      </c>
      <c r="AG876" s="50">
        <f>_xlfn.XLOOKUP(Tableau119[[#This Row],[Key(ID-date)]],'DATA BTO'!S:S,'DATA BTO'!I:I,FALSE)</f>
        <v>45</v>
      </c>
      <c r="AH876" s="3" t="str">
        <f>_xlfn.XLOOKUP(Tableau119[[#This Row],[Key(ID-date)]],'DATA BTO'!S:S,'DATA BTO'!J:J,FALSE)</f>
        <v>BRPNG</v>
      </c>
      <c r="AI876" s="3">
        <f>_xlfn.XLOOKUP(Tableau119[[#This Row],[Key(ID-date)]],'DATA BTO'!S:S,'DATA BTO'!K:K,FALSE)</f>
        <v>3</v>
      </c>
      <c r="AJ876" s="50">
        <f>_xlfn.XLOOKUP(Tableau119[[#This Row],[Key(ID-date)]],'DATA BTO'!S:S,'DATA BTO'!L:L,FALSE)</f>
        <v>7</v>
      </c>
      <c r="AK876" s="53" t="str">
        <f>_xlfn.XLOOKUP(Tableau119[[#This Row],[Key(ID-date)]],'DATA BTO'!S:S,'DATA BTO'!N:N,FALSE)</f>
        <v>Marc-Aurele</v>
      </c>
      <c r="AL876" s="54">
        <f>VLOOKUP(Tableau119[[#This Row],[Key(POD -PFI- Usine)]],'DATA Consignee'!A:F,6,FALSE)</f>
        <v>2</v>
      </c>
      <c r="AM876" s="127"/>
      <c r="AN876" s="375" t="str">
        <f>IF(Tableau119[[#This Row],[Name PFI/CDD]]="","-",VLOOKUP(Tableau119[[#This Row],[Name PFI/CDD]],Plant_AILN!I:J,2,FALSE))</f>
        <v>-</v>
      </c>
      <c r="AO87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6" s="110">
        <f>VLOOKUP(Tableau119[[#This Row],[Key(POD -PFI- Usine)]],'DATA Consignee'!A:J,10,FALSE)</f>
        <v>0</v>
      </c>
      <c r="AR876" s="81">
        <f>VLOOKUP(Tableau119[[#This Row],[Key(POD -PFI- Usine)]],'DATA Consignee'!A:N,14,FALSE)</f>
        <v>2</v>
      </c>
      <c r="AS87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7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19</v>
      </c>
      <c r="AU876" s="81">
        <f>Tableau119[[#This Row],[Transit time]]+Tableau119[[#This Row],[Time for security]]+Tableau119[[#This Row],[Time for security2 buffer]]</f>
        <v>55</v>
      </c>
      <c r="AV87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76" s="50">
        <f>Tableau119[[#This Row],[Leadtime SI2C]]+Tableau119[[#This Row],[First Receipt Days]]-Tableau119[[#This Row],[Day Customer Order]]+1</f>
        <v>99</v>
      </c>
      <c r="AX876" s="119">
        <f>IF(Tableau119[[#This Row],[Name ILN]]&lt;&gt;"SFK Freight Forwarder",Tableau119[[#This Row],[Cust. Leadtime]],Tableau119[[#This Row],[Leadtime SI2C]])</f>
        <v>99</v>
      </c>
      <c r="AY876" s="51" t="str">
        <f>_xlfn.XLOOKUP(Tableau119[[#This Row],[Key(ID-date)]],'DATA BTO'!S:S,'DATA BTO'!P:P,FALSE)</f>
        <v>Renault &gt; Horse BPH</v>
      </c>
      <c r="AZ876" s="388">
        <v>46142</v>
      </c>
      <c r="BA876" s="81"/>
    </row>
    <row r="877" spans="2:53">
      <c r="B877" s="446" t="str">
        <f>_xlfn.CONCAT(Tableau119[[#This Row],[Name ILN]],"-",Tableau119[[#This Row],[Name Shipper]],"-",Tableau119[[#This Row],[Name Site]])</f>
        <v>ILN Chennai-ILN Chennai-CURITIBA CMO</v>
      </c>
      <c r="C877" s="66" t="str">
        <f>_xlfn.CONCAT(Tableau119[[#This Row],[Compte ILN]],"-",Tableau119[[#This Row],[Compte Shipper]],"-",Tableau119[[#This Row],[POL]],"-",Tableau119[[#This Row],[Compte Consignee]])</f>
        <v>2533780546-2533780546-INENR-90018600</v>
      </c>
      <c r="D877" s="66" t="str">
        <f>_xlfn.CONCAT(Tableau119[[#This Row],[Compte ILN]],"-",Tableau119[[#This Row],[Compte Shipper]],"-",Tableau119[[#This Row],[POL]])</f>
        <v>2533780546-2533780546-INENR</v>
      </c>
      <c r="E877" s="130" t="str">
        <f>_xlfn.CONCAT(Tableau119[[#This Row],[POL]],"-",Tableau119[[#This Row],[Carrier]],"-",Tableau119[[#This Row],[POD]])</f>
        <v>INENR-MSC-BRPNG</v>
      </c>
      <c r="F877" s="66" t="str">
        <f>_xlfn.CONCAT(Tableau119[[#This Row],[ID]],"-","Actif")</f>
        <v>925-Actif</v>
      </c>
      <c r="G877" s="66" t="str">
        <f>_xlfn.CONCAT(Tableau119[[#This Row],[POD]],"-",Tableau119[[#This Row],[Code PFI]],"-",Tableau119[[#This Row],[Compte Consignee]])</f>
        <v>BRPNG---90018600</v>
      </c>
      <c r="H8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ChennaiINENRCURITIBA CMO</v>
      </c>
      <c r="I877" s="434" t="str">
        <f>_xlfn.CONCAT(Tableau119[[#This Row],[ID]],"-",Tableau119[[#This Row],[Expiration Date]])</f>
        <v>925-45991</v>
      </c>
      <c r="J8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Chennai-925-INENR-MSC-BRPNG--45991</v>
      </c>
      <c r="K877" s="119" t="str">
        <f ca="1">IF(COUNTIF(J:J,Tableau119[[#This Row],[Plant-ILN-shipper-POL-Carrier-POD-PFI]])=1,"Non","Oui")</f>
        <v>Non</v>
      </c>
      <c r="L877" s="128" t="str">
        <f>VLOOKUP(Tableau119[[#This Row],[Name Site]],Plant_AILN!A:D,4,FALSE)</f>
        <v>BRAZIL</v>
      </c>
      <c r="M877" s="411" t="s">
        <v>174</v>
      </c>
      <c r="N877" s="454">
        <f>VLOOKUP(Tableau119[[#This Row],[Name Site]],Plant_AILN!A:C,3,FALSE)</f>
        <v>90018600</v>
      </c>
      <c r="O877" s="55">
        <f>VLOOKUP(Tableau119[[#This Row],[Compte Consignee]],Order!C:D,2,FALSE)</f>
        <v>7</v>
      </c>
      <c r="P877" s="124" t="s">
        <v>149</v>
      </c>
      <c r="Q877" s="365">
        <f>VLOOKUP(Tableau119[[#This Row],[Name ILN]],Plant_AILN!F:G,2,FALSE)</f>
        <v>2533780546</v>
      </c>
      <c r="R877" s="50">
        <f>VLOOKUP(Tableau119[[#This Row],[Compte ILN]],'DATA ILN'!D:I,6,FALSE)</f>
        <v>9</v>
      </c>
      <c r="S877" s="50">
        <f>IFERROR(VLOOKUP(Tableau119[[#This Row],[Key(Compte ILN - shipper - POL - plant)]],'DATA ILN'!A:J,10,FALSE),VLOOKUP(Tableau119[[#This Row],[Key(Compte ILN - shipper - POL)]],'DATA ILN'!B:J,9,FALSE))</f>
        <v>14</v>
      </c>
      <c r="T877" s="50">
        <f>IFERROR(VLOOKUP(Tableau119[[#This Row],[Key(Compte ILN - shipper - POL - plant)]],'DATA ILN'!A:K,11,FALSE),VLOOKUP(Tableau119[[#This Row],[Key(Compte ILN - shipper - POL)]],'DATA ILN'!B:K,10,FALSE))</f>
        <v>5</v>
      </c>
      <c r="U877" s="50">
        <f>IFERROR(VLOOKUP(Tableau119[[#This Row],[Key(Compte ILN - shipper - POL - plant)]],'DATA ILN'!A:L,12,FALSE),VLOOKUP(Tableau119[[#This Row],[Key(Compte ILN - shipper - POL)]],'DATA ILN'!B:L,11,FALSE))</f>
        <v>7</v>
      </c>
      <c r="V877" s="50">
        <f>Tableau119[[#This Row],[Day ILN Order]]+Tableau119[[#This Row],[Delivery time to ILN/Shipper]]-1</f>
        <v>22</v>
      </c>
      <c r="W877" s="50">
        <f>IFERROR(VLOOKUP(Tableau119[[#This Row],[Key(Compte ILN - shipper - POL - plant)]],'DATA ILN'!A:N,14,FALSE),VLOOKUP(Tableau119[[#This Row],[Key(Compte ILN - shipper - POL)]],'DATA ILN'!B:N,13,FALSE))</f>
        <v>2</v>
      </c>
      <c r="X877" s="50">
        <f>IFERROR(VLOOKUP(Tableau119[[#This Row],[Key(Compte ILN - shipper - POL - plant)]],'DATA ILN'!A:P,16,FALSE),VLOOKUP(Tableau119[[#This Row],[Key(Compte ILN - shipper - POL)]],'DATA ILN'!B:P,15,FALSE))</f>
        <v>5</v>
      </c>
      <c r="Y877" s="284" t="s">
        <v>149</v>
      </c>
      <c r="Z877" s="430">
        <f>IFERROR(VLOOKUP(Tableau119[[#This Row],[Name Shipper]],Plant_AILN!L:M,2,FALSE),0)</f>
        <v>2533780546</v>
      </c>
      <c r="AA877" s="406">
        <v>925</v>
      </c>
      <c r="AB877" s="396" t="str">
        <f>_xlfn.XLOOKUP(Tableau119[[#This Row],[Key(ID-date)]],'DATA BTO'!S:S,'DATA BTO'!E:E,FALSE)</f>
        <v>INENR</v>
      </c>
      <c r="AC877" s="3" t="str">
        <f>_xlfn.XLOOKUP(Tableau119[[#This Row],[Key(ID-date)]],'DATA BTO'!S:S,'DATA BTO'!F:F,FALSE)</f>
        <v>MSC</v>
      </c>
      <c r="AD877" s="50">
        <f>_xlfn.XLOOKUP(Tableau119[[#This Row],[Key(ID-date)]],'DATA BTO'!S:S,'DATA BTO'!G:G,FALSE)</f>
        <v>12</v>
      </c>
      <c r="AE877" s="50">
        <f>_xlfn.XLOOKUP(Tableau119[[#This Row],[Key(ID-date)]],'DATA BTO'!S:S,'DATA BTO'!H:H,FALSE)</f>
        <v>14</v>
      </c>
      <c r="AF877" s="447">
        <f>IF(Tableau119[[#This Row],[First Day to POL]]&lt;=Tableau119[[#This Row],[Day Cut Off]],Tableau119[[#This Row],[Day ETD]],Tableau119[[#This Row],[Day ETD]]+7)</f>
        <v>14</v>
      </c>
      <c r="AG877" s="50">
        <f>_xlfn.XLOOKUP(Tableau119[[#This Row],[Key(ID-date)]],'DATA BTO'!S:S,'DATA BTO'!I:I,FALSE)</f>
        <v>45</v>
      </c>
      <c r="AH877" s="3" t="str">
        <f>_xlfn.XLOOKUP(Tableau119[[#This Row],[Key(ID-date)]],'DATA BTO'!S:S,'DATA BTO'!J:J,FALSE)</f>
        <v>BRPNG</v>
      </c>
      <c r="AI877" s="3">
        <f>_xlfn.XLOOKUP(Tableau119[[#This Row],[Key(ID-date)]],'DATA BTO'!S:S,'DATA BTO'!K:K,FALSE)</f>
        <v>3</v>
      </c>
      <c r="AJ877" s="50">
        <f>_xlfn.XLOOKUP(Tableau119[[#This Row],[Key(ID-date)]],'DATA BTO'!S:S,'DATA BTO'!L:L,FALSE)</f>
        <v>0</v>
      </c>
      <c r="AK877" s="53" t="str">
        <f>_xlfn.XLOOKUP(Tableau119[[#This Row],[Key(ID-date)]],'DATA BTO'!S:S,'DATA BTO'!N:N,FALSE)</f>
        <v>Marc-Aurele</v>
      </c>
      <c r="AL877" s="54">
        <f>VLOOKUP(Tableau119[[#This Row],[Key(POD -PFI- Usine)]],'DATA Consignee'!A:F,6,FALSE)</f>
        <v>2</v>
      </c>
      <c r="AM877" s="284"/>
      <c r="AN877" s="376" t="str">
        <f>IF(Tableau119[[#This Row],[Name PFI/CDD]]="","-",VLOOKUP(Tableau119[[#This Row],[Name PFI/CDD]],Plant_AILN!I:J,2,FALSE))</f>
        <v>-</v>
      </c>
      <c r="AO8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7" s="2">
        <f>VLOOKUP(Tableau119[[#This Row],[Key(POD -PFI- Usine)]],'DATA Consignee'!A:J,10,FALSE)</f>
        <v>0</v>
      </c>
      <c r="AR877" s="50">
        <f>VLOOKUP(Tableau119[[#This Row],[Key(POD -PFI- Usine)]],'DATA Consignee'!A:N,14,FALSE)</f>
        <v>2</v>
      </c>
      <c r="AS87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7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19</v>
      </c>
      <c r="AU877" s="50">
        <f>Tableau119[[#This Row],[Transit time]]+Tableau119[[#This Row],[Time for security]]+Tableau119[[#This Row],[Time for security2 buffer]]</f>
        <v>48</v>
      </c>
      <c r="AV87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77" s="50">
        <f>Tableau119[[#This Row],[Leadtime SI2C]]+Tableau119[[#This Row],[First Receipt Days]]-Tableau119[[#This Row],[Day Customer Order]]+1</f>
        <v>92</v>
      </c>
      <c r="AX877" s="119">
        <f>IF(Tableau119[[#This Row],[Name ILN]]&lt;&gt;"SFK Freight Forwarder",Tableau119[[#This Row],[Cust. Leadtime]],Tableau119[[#This Row],[Leadtime SI2C]])</f>
        <v>92</v>
      </c>
      <c r="AY877" s="51" t="str">
        <f>_xlfn.XLOOKUP(Tableau119[[#This Row],[Key(ID-date)]],'DATA BTO'!S:S,'DATA BTO'!P:P,FALSE)</f>
        <v>Renault &gt; Horse BPH</v>
      </c>
      <c r="AZ877" s="338">
        <v>45991</v>
      </c>
      <c r="BA877" s="50"/>
    </row>
    <row r="878" spans="2:53">
      <c r="B878" s="446" t="str">
        <f>_xlfn.CONCAT(Tableau119[[#This Row],[Name ILN]],"-",Tableau119[[#This Row],[Name Shipper]],"-",Tableau119[[#This Row],[Name Site]])</f>
        <v>ILN Chennai-ILN Chennai-CURITIBA CMO</v>
      </c>
      <c r="C878" s="66" t="str">
        <f>_xlfn.CONCAT(Tableau119[[#This Row],[Compte ILN]],"-",Tableau119[[#This Row],[Compte Shipper]],"-",Tableau119[[#This Row],[POL]],"-",Tableau119[[#This Row],[Compte Consignee]])</f>
        <v>2533780546-2533780546-INENR-90018600</v>
      </c>
      <c r="D878" s="66" t="str">
        <f>_xlfn.CONCAT(Tableau119[[#This Row],[Compte ILN]],"-",Tableau119[[#This Row],[Compte Shipper]],"-",Tableau119[[#This Row],[POL]])</f>
        <v>2533780546-2533780546-INENR</v>
      </c>
      <c r="E878" s="130" t="str">
        <f>_xlfn.CONCAT(Tableau119[[#This Row],[POL]],"-",Tableau119[[#This Row],[Carrier]],"-",Tableau119[[#This Row],[POD]])</f>
        <v>INENR-MSC-BRPNG</v>
      </c>
      <c r="F878" s="66" t="str">
        <f>_xlfn.CONCAT(Tableau119[[#This Row],[ID]],"-","Actif")</f>
        <v>925-Actif</v>
      </c>
      <c r="G878" s="66" t="str">
        <f>_xlfn.CONCAT(Tableau119[[#This Row],[POD]],"-",Tableau119[[#This Row],[Code PFI]],"-",Tableau119[[#This Row],[Compte Consignee]])</f>
        <v>BRPNG---90018600</v>
      </c>
      <c r="H8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ChennaiINENRCURITIBA CMO</v>
      </c>
      <c r="I878" s="434" t="str">
        <f>_xlfn.CONCAT(Tableau119[[#This Row],[ID]],"-",Tableau119[[#This Row],[Expiration Date]])</f>
        <v>925-45930</v>
      </c>
      <c r="J8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Chennai-925-INENR-MSC-BRPNG--45930</v>
      </c>
      <c r="K878" s="119" t="str">
        <f ca="1">IF(COUNTIF(J:J,Tableau119[[#This Row],[Plant-ILN-shipper-POL-Carrier-POD-PFI]])=1,"Non","Oui")</f>
        <v>Non</v>
      </c>
      <c r="L878" s="128" t="str">
        <f>VLOOKUP(Tableau119[[#This Row],[Name Site]],Plant_AILN!A:D,4,FALSE)</f>
        <v>BRAZIL</v>
      </c>
      <c r="M878" s="415" t="s">
        <v>174</v>
      </c>
      <c r="N878" s="455">
        <f>VLOOKUP(Tableau119[[#This Row],[Name Site]],Plant_AILN!A:C,3,FALSE)</f>
        <v>90018600</v>
      </c>
      <c r="O878" s="104">
        <f>VLOOKUP(Tableau119[[#This Row],[Compte Consignee]],Order!C:D,2,FALSE)</f>
        <v>7</v>
      </c>
      <c r="P878" s="126" t="s">
        <v>149</v>
      </c>
      <c r="Q878" s="366">
        <f>VLOOKUP(Tableau119[[#This Row],[Name ILN]],Plant_AILN!F:G,2,FALSE)</f>
        <v>2533780546</v>
      </c>
      <c r="R878" s="81">
        <f>VLOOKUP(Tableau119[[#This Row],[Compte ILN]],'DATA ILN'!D:I,6,FALSE)</f>
        <v>9</v>
      </c>
      <c r="S878" s="81">
        <f>IFERROR(VLOOKUP(Tableau119[[#This Row],[Key(Compte ILN - shipper - POL - plant)]],'DATA ILN'!A:J,10,FALSE),VLOOKUP(Tableau119[[#This Row],[Key(Compte ILN - shipper - POL)]],'DATA ILN'!B:J,9,FALSE))</f>
        <v>14</v>
      </c>
      <c r="T878" s="81">
        <f>IFERROR(VLOOKUP(Tableau119[[#This Row],[Key(Compte ILN - shipper - POL - plant)]],'DATA ILN'!A:K,11,FALSE),VLOOKUP(Tableau119[[#This Row],[Key(Compte ILN - shipper - POL)]],'DATA ILN'!B:K,10,FALSE))</f>
        <v>5</v>
      </c>
      <c r="U878" s="81">
        <f>IFERROR(VLOOKUP(Tableau119[[#This Row],[Key(Compte ILN - shipper - POL - plant)]],'DATA ILN'!A:L,12,FALSE),VLOOKUP(Tableau119[[#This Row],[Key(Compte ILN - shipper - POL)]],'DATA ILN'!B:L,11,FALSE))</f>
        <v>7</v>
      </c>
      <c r="V878" s="81">
        <f>Tableau119[[#This Row],[Day ILN Order]]+Tableau119[[#This Row],[Delivery time to ILN/Shipper]]-1</f>
        <v>22</v>
      </c>
      <c r="W878" s="81">
        <f>IFERROR(VLOOKUP(Tableau119[[#This Row],[Key(Compte ILN - shipper - POL - plant)]],'DATA ILN'!A:N,14,FALSE),VLOOKUP(Tableau119[[#This Row],[Key(Compte ILN - shipper - POL)]],'DATA ILN'!B:N,13,FALSE))</f>
        <v>2</v>
      </c>
      <c r="X878" s="81">
        <f>IFERROR(VLOOKUP(Tableau119[[#This Row],[Key(Compte ILN - shipper - POL - plant)]],'DATA ILN'!A:P,16,FALSE),VLOOKUP(Tableau119[[#This Row],[Key(Compte ILN - shipper - POL)]],'DATA ILN'!B:P,15,FALSE))</f>
        <v>5</v>
      </c>
      <c r="Y878" s="102" t="s">
        <v>149</v>
      </c>
      <c r="Z878" s="417">
        <f>IFERROR(VLOOKUP(Tableau119[[#This Row],[Name Shipper]],Plant_AILN!L:M,2,FALSE),0)</f>
        <v>2533780546</v>
      </c>
      <c r="AA878" s="416">
        <v>925</v>
      </c>
      <c r="AB878" s="396" t="str">
        <f>_xlfn.XLOOKUP(Tableau119[[#This Row],[Key(ID-date)]],'DATA BTO'!S:S,'DATA BTO'!E:E,FALSE)</f>
        <v>INENR</v>
      </c>
      <c r="AC878" s="3" t="str">
        <f>_xlfn.XLOOKUP(Tableau119[[#This Row],[Key(ID-date)]],'DATA BTO'!S:S,'DATA BTO'!F:F,FALSE)</f>
        <v>MSC</v>
      </c>
      <c r="AD878" s="50">
        <f>_xlfn.XLOOKUP(Tableau119[[#This Row],[Key(ID-date)]],'DATA BTO'!S:S,'DATA BTO'!G:G,FALSE)</f>
        <v>5</v>
      </c>
      <c r="AE878" s="50">
        <f>_xlfn.XLOOKUP(Tableau119[[#This Row],[Key(ID-date)]],'DATA BTO'!S:S,'DATA BTO'!H:H,FALSE)</f>
        <v>7</v>
      </c>
      <c r="AF878" s="447">
        <f>IF(Tableau119[[#This Row],[First Day to POL]]&lt;=Tableau119[[#This Row],[Day Cut Off]],Tableau119[[#This Row],[Day ETD]],Tableau119[[#This Row],[Day ETD]]+7)</f>
        <v>7</v>
      </c>
      <c r="AG878" s="50">
        <f>_xlfn.XLOOKUP(Tableau119[[#This Row],[Key(ID-date)]],'DATA BTO'!S:S,'DATA BTO'!I:I,FALSE)</f>
        <v>38</v>
      </c>
      <c r="AH878" s="3" t="str">
        <f>_xlfn.XLOOKUP(Tableau119[[#This Row],[Key(ID-date)]],'DATA BTO'!S:S,'DATA BTO'!J:J,FALSE)</f>
        <v>BRPNG</v>
      </c>
      <c r="AI878" s="3">
        <f>_xlfn.XLOOKUP(Tableau119[[#This Row],[Key(ID-date)]],'DATA BTO'!S:S,'DATA BTO'!K:K,FALSE)</f>
        <v>3</v>
      </c>
      <c r="AJ878" s="50">
        <f>_xlfn.XLOOKUP(Tableau119[[#This Row],[Key(ID-date)]],'DATA BTO'!S:S,'DATA BTO'!L:L,FALSE)</f>
        <v>7</v>
      </c>
      <c r="AK878" s="53" t="str">
        <f>_xlfn.XLOOKUP(Tableau119[[#This Row],[Key(ID-date)]],'DATA BTO'!S:S,'DATA BTO'!N:N,FALSE)</f>
        <v>Marc-Aurele</v>
      </c>
      <c r="AL878" s="54">
        <f>VLOOKUP(Tableau119[[#This Row],[Key(POD -PFI- Usine)]],'DATA Consignee'!A:F,6,FALSE)</f>
        <v>2</v>
      </c>
      <c r="AM878" s="102"/>
      <c r="AN878" s="375" t="str">
        <f>IF(Tableau119[[#This Row],[Name PFI/CDD]]="","-",VLOOKUP(Tableau119[[#This Row],[Name PFI/CDD]],Plant_AILN!I:J,2,FALSE))</f>
        <v>-</v>
      </c>
      <c r="AO87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8" s="110">
        <f>VLOOKUP(Tableau119[[#This Row],[Key(POD -PFI- Usine)]],'DATA Consignee'!A:J,10,FALSE)</f>
        <v>0</v>
      </c>
      <c r="AR878" s="81">
        <f>VLOOKUP(Tableau119[[#This Row],[Key(POD -PFI- Usine)]],'DATA Consignee'!A:N,14,FALSE)</f>
        <v>2</v>
      </c>
      <c r="AS87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87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78" s="81">
        <f>Tableau119[[#This Row],[Transit time]]+Tableau119[[#This Row],[Time for security]]+Tableau119[[#This Row],[Time for security2 buffer]]</f>
        <v>48</v>
      </c>
      <c r="AV87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78" s="50">
        <f>Tableau119[[#This Row],[Leadtime SI2C]]+Tableau119[[#This Row],[First Receipt Days]]-Tableau119[[#This Row],[Day Customer Order]]+1</f>
        <v>85</v>
      </c>
      <c r="AX878" s="119">
        <f>IF(Tableau119[[#This Row],[Name ILN]]&lt;&gt;"SFK Freight Forwarder",Tableau119[[#This Row],[Cust. Leadtime]],Tableau119[[#This Row],[Leadtime SI2C]])</f>
        <v>85</v>
      </c>
      <c r="AY878" s="51" t="str">
        <f>_xlfn.XLOOKUP(Tableau119[[#This Row],[Key(ID-date)]],'DATA BTO'!S:S,'DATA BTO'!P:P,FALSE)</f>
        <v>Renault &gt; Horse BPH</v>
      </c>
      <c r="AZ878" s="388">
        <v>45930</v>
      </c>
      <c r="BA878" s="81"/>
    </row>
    <row r="879" spans="2:53">
      <c r="B879" s="446" t="str">
        <f>_xlfn.CONCAT(Tableau119[[#This Row],[Name ILN]],"-",Tableau119[[#This Row],[Name Shipper]],"-",Tableau119[[#This Row],[Name Site]])</f>
        <v>ILN Chennai-ILN Chennai-CURITIBA CMO</v>
      </c>
      <c r="C879" s="66" t="str">
        <f>_xlfn.CONCAT(Tableau119[[#This Row],[Compte ILN]],"-",Tableau119[[#This Row],[Compte Shipper]],"-",Tableau119[[#This Row],[POL]],"-",Tableau119[[#This Row],[Compte Consignee]])</f>
        <v>2533780546-2533780546-INENR-90018600</v>
      </c>
      <c r="D879" s="66" t="str">
        <f>_xlfn.CONCAT(Tableau119[[#This Row],[Compte ILN]],"-",Tableau119[[#This Row],[Compte Shipper]],"-",Tableau119[[#This Row],[POL]])</f>
        <v>2533780546-2533780546-INENR</v>
      </c>
      <c r="E879" s="130" t="str">
        <f>_xlfn.CONCAT(Tableau119[[#This Row],[POL]],"-",Tableau119[[#This Row],[Carrier]],"-",Tableau119[[#This Row],[POD]])</f>
        <v>INENR-MSC-BRPNG</v>
      </c>
      <c r="F879" s="66" t="str">
        <f>_xlfn.CONCAT(Tableau119[[#This Row],[ID]],"-","Actif")</f>
        <v>925-Actif</v>
      </c>
      <c r="G879" s="66" t="str">
        <f>_xlfn.CONCAT(Tableau119[[#This Row],[POD]],"-",Tableau119[[#This Row],[Code PFI]],"-",Tableau119[[#This Row],[Compte Consignee]])</f>
        <v>BRPNG---90018600</v>
      </c>
      <c r="H8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ChennaiINENRCURITIBA CMO</v>
      </c>
      <c r="I879" s="434" t="str">
        <f>_xlfn.CONCAT(Tableau119[[#This Row],[ID]],"-",Tableau119[[#This Row],[Expiration Date]])</f>
        <v>925-45869</v>
      </c>
      <c r="J8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Chennai-925-INENR-MSC-BRPNG--45869</v>
      </c>
      <c r="K879" s="119" t="str">
        <f ca="1">IF(COUNTIF(J:J,Tableau119[[#This Row],[Plant-ILN-shipper-POL-Carrier-POD-PFI]])=1,"Non","Oui")</f>
        <v>Non</v>
      </c>
      <c r="L879" s="128" t="str">
        <f>VLOOKUP(Tableau119[[#This Row],[Name Site]],Plant_AILN!A:D,4,FALSE)</f>
        <v>BRAZIL</v>
      </c>
      <c r="M879" s="411" t="s">
        <v>174</v>
      </c>
      <c r="N879" s="454">
        <f>VLOOKUP(Tableau119[[#This Row],[Name Site]],Plant_AILN!A:C,3,FALSE)</f>
        <v>90018600</v>
      </c>
      <c r="O879" s="55">
        <f>VLOOKUP(Tableau119[[#This Row],[Compte Consignee]],Order!C:D,2,FALSE)</f>
        <v>7</v>
      </c>
      <c r="P879" s="124" t="s">
        <v>149</v>
      </c>
      <c r="Q879" s="365">
        <f>VLOOKUP(Tableau119[[#This Row],[Name ILN]],Plant_AILN!F:G,2,FALSE)</f>
        <v>2533780546</v>
      </c>
      <c r="R879" s="50">
        <f>VLOOKUP(Tableau119[[#This Row],[Compte ILN]],'DATA ILN'!D:I,6,FALSE)</f>
        <v>9</v>
      </c>
      <c r="S879" s="50">
        <f>IFERROR(VLOOKUP(Tableau119[[#This Row],[Key(Compte ILN - shipper - POL - plant)]],'DATA ILN'!A:J,10,FALSE),VLOOKUP(Tableau119[[#This Row],[Key(Compte ILN - shipper - POL)]],'DATA ILN'!B:J,9,FALSE))</f>
        <v>14</v>
      </c>
      <c r="T879" s="50">
        <f>IFERROR(VLOOKUP(Tableau119[[#This Row],[Key(Compte ILN - shipper - POL - plant)]],'DATA ILN'!A:K,11,FALSE),VLOOKUP(Tableau119[[#This Row],[Key(Compte ILN - shipper - POL)]],'DATA ILN'!B:K,10,FALSE))</f>
        <v>5</v>
      </c>
      <c r="U879" s="50">
        <f>IFERROR(VLOOKUP(Tableau119[[#This Row],[Key(Compte ILN - shipper - POL - plant)]],'DATA ILN'!A:L,12,FALSE),VLOOKUP(Tableau119[[#This Row],[Key(Compte ILN - shipper - POL)]],'DATA ILN'!B:L,11,FALSE))</f>
        <v>7</v>
      </c>
      <c r="V879" s="50">
        <f>Tableau119[[#This Row],[Day ILN Order]]+Tableau119[[#This Row],[Delivery time to ILN/Shipper]]-1</f>
        <v>22</v>
      </c>
      <c r="W879" s="50">
        <f>IFERROR(VLOOKUP(Tableau119[[#This Row],[Key(Compte ILN - shipper - POL - plant)]],'DATA ILN'!A:N,14,FALSE),VLOOKUP(Tableau119[[#This Row],[Key(Compte ILN - shipper - POL)]],'DATA ILN'!B:N,13,FALSE))</f>
        <v>2</v>
      </c>
      <c r="X879" s="50">
        <f>IFERROR(VLOOKUP(Tableau119[[#This Row],[Key(Compte ILN - shipper - POL - plant)]],'DATA ILN'!A:P,16,FALSE),VLOOKUP(Tableau119[[#This Row],[Key(Compte ILN - shipper - POL)]],'DATA ILN'!B:P,15,FALSE))</f>
        <v>5</v>
      </c>
      <c r="Y879" s="284" t="s">
        <v>149</v>
      </c>
      <c r="Z879" s="430">
        <f>IFERROR(VLOOKUP(Tableau119[[#This Row],[Name Shipper]],Plant_AILN!L:M,2,FALSE),0)</f>
        <v>2533780546</v>
      </c>
      <c r="AA879" s="406">
        <v>925</v>
      </c>
      <c r="AB879" s="396" t="str">
        <f>_xlfn.XLOOKUP(Tableau119[[#This Row],[Key(ID-date)]],'DATA BTO'!S:S,'DATA BTO'!E:E,FALSE)</f>
        <v>INENR</v>
      </c>
      <c r="AC879" s="3" t="str">
        <f>_xlfn.XLOOKUP(Tableau119[[#This Row],[Key(ID-date)]],'DATA BTO'!S:S,'DATA BTO'!F:F,FALSE)</f>
        <v>MSC</v>
      </c>
      <c r="AD879" s="50">
        <f>_xlfn.XLOOKUP(Tableau119[[#This Row],[Key(ID-date)]],'DATA BTO'!S:S,'DATA BTO'!G:G,FALSE)</f>
        <v>5</v>
      </c>
      <c r="AE879" s="50">
        <f>_xlfn.XLOOKUP(Tableau119[[#This Row],[Key(ID-date)]],'DATA BTO'!S:S,'DATA BTO'!H:H,FALSE)</f>
        <v>7</v>
      </c>
      <c r="AF879" s="447">
        <f>IF(Tableau119[[#This Row],[First Day to POL]]&lt;=Tableau119[[#This Row],[Day Cut Off]],Tableau119[[#This Row],[Day ETD]],Tableau119[[#This Row],[Day ETD]]+7)</f>
        <v>7</v>
      </c>
      <c r="AG879" s="50">
        <f>_xlfn.XLOOKUP(Tableau119[[#This Row],[Key(ID-date)]],'DATA BTO'!S:S,'DATA BTO'!I:I,FALSE)</f>
        <v>33</v>
      </c>
      <c r="AH879" s="3" t="str">
        <f>_xlfn.XLOOKUP(Tableau119[[#This Row],[Key(ID-date)]],'DATA BTO'!S:S,'DATA BTO'!J:J,FALSE)</f>
        <v>BRPNG</v>
      </c>
      <c r="AI879" s="3">
        <f>_xlfn.XLOOKUP(Tableau119[[#This Row],[Key(ID-date)]],'DATA BTO'!S:S,'DATA BTO'!K:K,FALSE)</f>
        <v>3</v>
      </c>
      <c r="AJ879" s="50">
        <f>_xlfn.XLOOKUP(Tableau119[[#This Row],[Key(ID-date)]],'DATA BTO'!S:S,'DATA BTO'!L:L,FALSE)</f>
        <v>14</v>
      </c>
      <c r="AK879" s="53" t="str">
        <f>_xlfn.XLOOKUP(Tableau119[[#This Row],[Key(ID-date)]],'DATA BTO'!S:S,'DATA BTO'!N:N,FALSE)</f>
        <v>Marc-Aurele</v>
      </c>
      <c r="AL879" s="54">
        <f>VLOOKUP(Tableau119[[#This Row],[Key(POD -PFI- Usine)]],'DATA Consignee'!A:F,6,FALSE)</f>
        <v>2</v>
      </c>
      <c r="AM879" s="284"/>
      <c r="AN879" s="376" t="str">
        <f>IF(Tableau119[[#This Row],[Name PFI/CDD]]="","-",VLOOKUP(Tableau119[[#This Row],[Name PFI/CDD]],Plant_AILN!I:J,2,FALSE))</f>
        <v>-</v>
      </c>
      <c r="AO8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79" s="2">
        <f>VLOOKUP(Tableau119[[#This Row],[Key(POD -PFI- Usine)]],'DATA Consignee'!A:J,10,FALSE)</f>
        <v>0</v>
      </c>
      <c r="AR879" s="50">
        <f>VLOOKUP(Tableau119[[#This Row],[Key(POD -PFI- Usine)]],'DATA Consignee'!A:N,14,FALSE)</f>
        <v>2</v>
      </c>
      <c r="AS87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87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879" s="50">
        <f>Tableau119[[#This Row],[Transit time]]+Tableau119[[#This Row],[Time for security]]+Tableau119[[#This Row],[Time for security2 buffer]]</f>
        <v>50</v>
      </c>
      <c r="AV87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79" s="50">
        <f>Tableau119[[#This Row],[Leadtime SI2C]]+Tableau119[[#This Row],[First Receipt Days]]-Tableau119[[#This Row],[Day Customer Order]]+1</f>
        <v>85</v>
      </c>
      <c r="AX879" s="119">
        <f>IF(Tableau119[[#This Row],[Name ILN]]&lt;&gt;"SFK Freight Forwarder",Tableau119[[#This Row],[Cust. Leadtime]],Tableau119[[#This Row],[Leadtime SI2C]])</f>
        <v>85</v>
      </c>
      <c r="AY879" s="51" t="str">
        <f>_xlfn.XLOOKUP(Tableau119[[#This Row],[Key(ID-date)]],'DATA BTO'!S:S,'DATA BTO'!P:P,FALSE)</f>
        <v>Renault &gt; Horse BPH</v>
      </c>
      <c r="AZ879" s="338">
        <v>45869</v>
      </c>
      <c r="BA879" s="50"/>
    </row>
    <row r="880" spans="2:53">
      <c r="B880" s="446" t="str">
        <f>_xlfn.CONCAT(Tableau119[[#This Row],[Name ILN]],"-",Tableau119[[#This Row],[Name Shipper]],"-",Tableau119[[#This Row],[Name Site]])</f>
        <v>ILN Chennai-ILN Chennai-CURITIBA CMO</v>
      </c>
      <c r="C880" s="66" t="str">
        <f>_xlfn.CONCAT(Tableau119[[#This Row],[Compte ILN]],"-",Tableau119[[#This Row],[Compte Shipper]],"-",Tableau119[[#This Row],[POL]],"-",Tableau119[[#This Row],[Compte Consignee]])</f>
        <v>2533780546-2533780546-INMAA-90018600</v>
      </c>
      <c r="D880" s="66" t="str">
        <f>_xlfn.CONCAT(Tableau119[[#This Row],[Compte ILN]],"-",Tableau119[[#This Row],[Compte Shipper]],"-",Tableau119[[#This Row],[POL]])</f>
        <v>2533780546-2533780546-INMAA</v>
      </c>
      <c r="E880" s="130" t="str">
        <f>_xlfn.CONCAT(Tableau119[[#This Row],[POL]],"-",Tableau119[[#This Row],[Carrier]],"-",Tableau119[[#This Row],[POD]])</f>
        <v>INMAA-CMA-CGM-BRPNG</v>
      </c>
      <c r="F880" s="66" t="str">
        <f>_xlfn.CONCAT(Tableau119[[#This Row],[ID]],"-","Actif")</f>
        <v>925-Actif</v>
      </c>
      <c r="G880" s="66" t="str">
        <f>_xlfn.CONCAT(Tableau119[[#This Row],[POD]],"-",Tableau119[[#This Row],[Code PFI]],"-",Tableau119[[#This Row],[Compte Consignee]])</f>
        <v>BRPNG---90018600</v>
      </c>
      <c r="H8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ChennaiINMAACURITIBA CMO</v>
      </c>
      <c r="I880" s="434" t="str">
        <f>_xlfn.CONCAT(Tableau119[[#This Row],[ID]],"-",Tableau119[[#This Row],[Expiration Date]])</f>
        <v>925-45777</v>
      </c>
      <c r="J8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Chennai-925-INMAA-CMA-CGM-BRPNG--45777</v>
      </c>
      <c r="K880" s="119" t="str">
        <f ca="1">IF(COUNTIF(J:J,Tableau119[[#This Row],[Plant-ILN-shipper-POL-Carrier-POD-PFI]])=1,"Non","Oui")</f>
        <v>Non</v>
      </c>
      <c r="L880" s="128" t="str">
        <f>VLOOKUP(Tableau119[[#This Row],[Name Site]],Plant_AILN!A:D,4,FALSE)</f>
        <v>BRAZIL</v>
      </c>
      <c r="M880" s="411" t="s">
        <v>174</v>
      </c>
      <c r="N880" s="454">
        <f>VLOOKUP(Tableau119[[#This Row],[Name Site]],Plant_AILN!A:C,3,FALSE)</f>
        <v>90018600</v>
      </c>
      <c r="O880" s="55">
        <f>VLOOKUP(Tableau119[[#This Row],[Compte Consignee]],Order!C:D,2,FALSE)</f>
        <v>7</v>
      </c>
      <c r="P880" s="124" t="s">
        <v>149</v>
      </c>
      <c r="Q880" s="365">
        <f>VLOOKUP(Tableau119[[#This Row],[Name ILN]],Plant_AILN!F:G,2,FALSE)</f>
        <v>2533780546</v>
      </c>
      <c r="R880" s="50">
        <f>VLOOKUP(Tableau119[[#This Row],[Compte ILN]],'DATA ILN'!D:I,6,FALSE)</f>
        <v>9</v>
      </c>
      <c r="S880" s="50">
        <f>IFERROR(VLOOKUP(Tableau119[[#This Row],[Key(Compte ILN - shipper - POL - plant)]],'DATA ILN'!A:J,10,FALSE),VLOOKUP(Tableau119[[#This Row],[Key(Compte ILN - shipper - POL)]],'DATA ILN'!B:J,9,FALSE))</f>
        <v>14</v>
      </c>
      <c r="T880" s="50">
        <f>IFERROR(VLOOKUP(Tableau119[[#This Row],[Key(Compte ILN - shipper - POL - plant)]],'DATA ILN'!A:K,11,FALSE),VLOOKUP(Tableau119[[#This Row],[Key(Compte ILN - shipper - POL)]],'DATA ILN'!B:K,10,FALSE))</f>
        <v>5</v>
      </c>
      <c r="U880" s="50">
        <f>IFERROR(VLOOKUP(Tableau119[[#This Row],[Key(Compte ILN - shipper - POL - plant)]],'DATA ILN'!A:L,12,FALSE),VLOOKUP(Tableau119[[#This Row],[Key(Compte ILN - shipper - POL)]],'DATA ILN'!B:L,11,FALSE))</f>
        <v>7</v>
      </c>
      <c r="V880" s="50">
        <f>Tableau119[[#This Row],[Day ILN Order]]+Tableau119[[#This Row],[Delivery time to ILN/Shipper]]-1</f>
        <v>22</v>
      </c>
      <c r="W880" s="50">
        <f>IFERROR(VLOOKUP(Tableau119[[#This Row],[Key(Compte ILN - shipper - POL - plant)]],'DATA ILN'!A:N,14,FALSE),VLOOKUP(Tableau119[[#This Row],[Key(Compte ILN - shipper - POL)]],'DATA ILN'!B:N,13,FALSE))</f>
        <v>2</v>
      </c>
      <c r="X880" s="50">
        <f>IFERROR(VLOOKUP(Tableau119[[#This Row],[Key(Compte ILN - shipper - POL - plant)]],'DATA ILN'!A:P,16,FALSE),VLOOKUP(Tableau119[[#This Row],[Key(Compte ILN - shipper - POL)]],'DATA ILN'!B:P,15,FALSE))</f>
        <v>3</v>
      </c>
      <c r="Y880" s="284" t="s">
        <v>149</v>
      </c>
      <c r="Z880" s="430">
        <f>IFERROR(VLOOKUP(Tableau119[[#This Row],[Name Shipper]],Plant_AILN!L:M,2,FALSE),0)</f>
        <v>2533780546</v>
      </c>
      <c r="AA880" s="406">
        <v>925</v>
      </c>
      <c r="AB880" s="396" t="str">
        <f>_xlfn.XLOOKUP(Tableau119[[#This Row],[Key(ID-date)]],'DATA BTO'!S:S,'DATA BTO'!E:E,FALSE)</f>
        <v>INMAA</v>
      </c>
      <c r="AC880" s="3" t="str">
        <f>_xlfn.XLOOKUP(Tableau119[[#This Row],[Key(ID-date)]],'DATA BTO'!S:S,'DATA BTO'!F:F,FALSE)</f>
        <v>CMA-CGM</v>
      </c>
      <c r="AD880" s="50">
        <f>_xlfn.XLOOKUP(Tableau119[[#This Row],[Key(ID-date)]],'DATA BTO'!S:S,'DATA BTO'!G:G,FALSE)</f>
        <v>5</v>
      </c>
      <c r="AE880" s="50">
        <f>_xlfn.XLOOKUP(Tableau119[[#This Row],[Key(ID-date)]],'DATA BTO'!S:S,'DATA BTO'!H:H,FALSE)</f>
        <v>8</v>
      </c>
      <c r="AF880" s="447">
        <f>IF(Tableau119[[#This Row],[First Day to POL]]&lt;=Tableau119[[#This Row],[Day Cut Off]],Tableau119[[#This Row],[Day ETD]],Tableau119[[#This Row],[Day ETD]]+7)</f>
        <v>8</v>
      </c>
      <c r="AG880" s="50">
        <f>_xlfn.XLOOKUP(Tableau119[[#This Row],[Key(ID-date)]],'DATA BTO'!S:S,'DATA BTO'!I:I,FALSE)</f>
        <v>43</v>
      </c>
      <c r="AH880" s="3" t="str">
        <f>_xlfn.XLOOKUP(Tableau119[[#This Row],[Key(ID-date)]],'DATA BTO'!S:S,'DATA BTO'!J:J,FALSE)</f>
        <v>BRPNG</v>
      </c>
      <c r="AI880" s="3">
        <f>_xlfn.XLOOKUP(Tableau119[[#This Row],[Key(ID-date)]],'DATA BTO'!S:S,'DATA BTO'!K:K,FALSE)</f>
        <v>3</v>
      </c>
      <c r="AJ880" s="50">
        <f>_xlfn.XLOOKUP(Tableau119[[#This Row],[Key(ID-date)]],'DATA BTO'!S:S,'DATA BTO'!L:L,FALSE)</f>
        <v>0</v>
      </c>
      <c r="AK880" s="53" t="str">
        <f>_xlfn.XLOOKUP(Tableau119[[#This Row],[Key(ID-date)]],'DATA BTO'!S:S,'DATA BTO'!N:N,FALSE)</f>
        <v>Anthony</v>
      </c>
      <c r="AL880" s="54">
        <f>VLOOKUP(Tableau119[[#This Row],[Key(POD -PFI- Usine)]],'DATA Consignee'!A:F,6,FALSE)</f>
        <v>2</v>
      </c>
      <c r="AM880" s="284"/>
      <c r="AN880" s="376" t="str">
        <f>IF(Tableau119[[#This Row],[Name PFI/CDD]]="","-",VLOOKUP(Tableau119[[#This Row],[Name PFI/CDD]],Plant_AILN!I:J,2,FALSE))</f>
        <v>-</v>
      </c>
      <c r="AO8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0" s="2">
        <f>VLOOKUP(Tableau119[[#This Row],[Key(POD -PFI- Usine)]],'DATA Consignee'!A:J,10,FALSE)</f>
        <v>0</v>
      </c>
      <c r="AR880" s="50">
        <f>VLOOKUP(Tableau119[[#This Row],[Key(POD -PFI- Usine)]],'DATA Consignee'!A:N,14,FALSE)</f>
        <v>2</v>
      </c>
      <c r="AS88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8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80" s="50">
        <f>Tableau119[[#This Row],[Transit time]]+Tableau119[[#This Row],[Time for security]]+Tableau119[[#This Row],[Time for security2 buffer]]</f>
        <v>46</v>
      </c>
      <c r="AV88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80" s="50">
        <f>Tableau119[[#This Row],[Leadtime SI2C]]+Tableau119[[#This Row],[First Receipt Days]]-Tableau119[[#This Row],[Day Customer Order]]+1</f>
        <v>85</v>
      </c>
      <c r="AX880" s="119">
        <f>IF(Tableau119[[#This Row],[Name ILN]]&lt;&gt;"SFK Freight Forwarder",Tableau119[[#This Row],[Cust. Leadtime]],Tableau119[[#This Row],[Leadtime SI2C]])</f>
        <v>85</v>
      </c>
      <c r="AY880" s="51" t="str">
        <f>_xlfn.XLOOKUP(Tableau119[[#This Row],[Key(ID-date)]],'DATA BTO'!S:S,'DATA BTO'!P:P,FALSE)</f>
        <v>Renault &gt; Horse BPH</v>
      </c>
      <c r="AZ880" s="338">
        <v>45777</v>
      </c>
      <c r="BA880" s="50"/>
    </row>
    <row r="881" spans="2:53">
      <c r="B881" s="446" t="str">
        <f>_xlfn.CONCAT(Tableau119[[#This Row],[Name ILN]],"-",Tableau119[[#This Row],[Name Shipper]],"-",Tableau119[[#This Row],[Name Site]])</f>
        <v>ILN Chennai-ILN Chennai-CURITIBA CMO</v>
      </c>
      <c r="C881" s="66" t="str">
        <f>_xlfn.CONCAT(Tableau119[[#This Row],[Compte ILN]],"-",Tableau119[[#This Row],[Compte Shipper]],"-",Tableau119[[#This Row],[POL]],"-",Tableau119[[#This Row],[Compte Consignee]])</f>
        <v>2533780546-2533780546-INENR-90018600</v>
      </c>
      <c r="D881" s="66" t="str">
        <f>_xlfn.CONCAT(Tableau119[[#This Row],[Compte ILN]],"-",Tableau119[[#This Row],[Compte Shipper]],"-",Tableau119[[#This Row],[POL]])</f>
        <v>2533780546-2533780546-INENR</v>
      </c>
      <c r="E881" s="130" t="str">
        <f>_xlfn.CONCAT(Tableau119[[#This Row],[POL]],"-",Tableau119[[#This Row],[Carrier]],"-",Tableau119[[#This Row],[POD]])</f>
        <v>INENR-CMA-CGM-BRPNG</v>
      </c>
      <c r="F881" s="66" t="str">
        <f>_xlfn.CONCAT(Tableau119[[#This Row],[ID]],"-","Actif")</f>
        <v>925-Actif</v>
      </c>
      <c r="G881" s="66" t="str">
        <f>_xlfn.CONCAT(Tableau119[[#This Row],[POD]],"-",Tableau119[[#This Row],[Code PFI]],"-",Tableau119[[#This Row],[Compte Consignee]])</f>
        <v>BRPNG---90018600</v>
      </c>
      <c r="H8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ChennaiINENRCURITIBA CMO</v>
      </c>
      <c r="I881" s="434" t="str">
        <f>_xlfn.CONCAT(Tableau119[[#This Row],[ID]],"-",Tableau119[[#This Row],[Expiration Date]])</f>
        <v>925-45473</v>
      </c>
      <c r="J8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Chennai-925-INENR-CMA-CGM-BRPNG--45473</v>
      </c>
      <c r="K881" s="119" t="str">
        <f ca="1">IF(COUNTIF(J:J,Tableau119[[#This Row],[Plant-ILN-shipper-POL-Carrier-POD-PFI]])=1,"Non","Oui")</f>
        <v>Non</v>
      </c>
      <c r="L881" s="128" t="str">
        <f>VLOOKUP(Tableau119[[#This Row],[Name Site]],Plant_AILN!A:D,4,FALSE)</f>
        <v>BRAZIL</v>
      </c>
      <c r="M881" s="411" t="s">
        <v>174</v>
      </c>
      <c r="N881" s="454">
        <f>VLOOKUP(Tableau119[[#This Row],[Name Site]],Plant_AILN!A:C,3,FALSE)</f>
        <v>90018600</v>
      </c>
      <c r="O881" s="55">
        <f>VLOOKUP(Tableau119[[#This Row],[Compte Consignee]],Order!C:D,2,FALSE)</f>
        <v>7</v>
      </c>
      <c r="P881" s="124" t="s">
        <v>149</v>
      </c>
      <c r="Q881" s="365">
        <f>VLOOKUP(Tableau119[[#This Row],[Name ILN]],Plant_AILN!F:G,2,FALSE)</f>
        <v>2533780546</v>
      </c>
      <c r="R881" s="50">
        <f>VLOOKUP(Tableau119[[#This Row],[Compte ILN]],'DATA ILN'!D:I,6,FALSE)</f>
        <v>9</v>
      </c>
      <c r="S881" s="50">
        <f>IFERROR(VLOOKUP(Tableau119[[#This Row],[Key(Compte ILN - shipper - POL - plant)]],'DATA ILN'!A:J,10,FALSE),VLOOKUP(Tableau119[[#This Row],[Key(Compte ILN - shipper - POL)]],'DATA ILN'!B:J,9,FALSE))</f>
        <v>14</v>
      </c>
      <c r="T881" s="50">
        <f>IFERROR(VLOOKUP(Tableau119[[#This Row],[Key(Compte ILN - shipper - POL - plant)]],'DATA ILN'!A:K,11,FALSE),VLOOKUP(Tableau119[[#This Row],[Key(Compte ILN - shipper - POL)]],'DATA ILN'!B:K,10,FALSE))</f>
        <v>5</v>
      </c>
      <c r="U881" s="50">
        <f>IFERROR(VLOOKUP(Tableau119[[#This Row],[Key(Compte ILN - shipper - POL - plant)]],'DATA ILN'!A:L,12,FALSE),VLOOKUP(Tableau119[[#This Row],[Key(Compte ILN - shipper - POL)]],'DATA ILN'!B:L,11,FALSE))</f>
        <v>7</v>
      </c>
      <c r="V881" s="50">
        <f>Tableau119[[#This Row],[Day ILN Order]]+Tableau119[[#This Row],[Delivery time to ILN/Shipper]]-1</f>
        <v>22</v>
      </c>
      <c r="W881" s="50">
        <f>IFERROR(VLOOKUP(Tableau119[[#This Row],[Key(Compte ILN - shipper - POL - plant)]],'DATA ILN'!A:N,14,FALSE),VLOOKUP(Tableau119[[#This Row],[Key(Compte ILN - shipper - POL)]],'DATA ILN'!B:N,13,FALSE))</f>
        <v>2</v>
      </c>
      <c r="X881" s="50">
        <f>IFERROR(VLOOKUP(Tableau119[[#This Row],[Key(Compte ILN - shipper - POL - plant)]],'DATA ILN'!A:P,16,FALSE),VLOOKUP(Tableau119[[#This Row],[Key(Compte ILN - shipper - POL)]],'DATA ILN'!B:P,15,FALSE))</f>
        <v>5</v>
      </c>
      <c r="Y881" s="284" t="s">
        <v>149</v>
      </c>
      <c r="Z881" s="430">
        <f>IFERROR(VLOOKUP(Tableau119[[#This Row],[Name Shipper]],Plant_AILN!L:M,2,FALSE),0)</f>
        <v>2533780546</v>
      </c>
      <c r="AA881" s="406">
        <v>925</v>
      </c>
      <c r="AB881" s="396" t="str">
        <f>_xlfn.XLOOKUP(Tableau119[[#This Row],[Key(ID-date)]],'DATA BTO'!S:S,'DATA BTO'!E:E,FALSE)</f>
        <v>INENR</v>
      </c>
      <c r="AC881" s="3" t="str">
        <f>_xlfn.XLOOKUP(Tableau119[[#This Row],[Key(ID-date)]],'DATA BTO'!S:S,'DATA BTO'!F:F,FALSE)</f>
        <v>CMA-CGM</v>
      </c>
      <c r="AD881" s="50">
        <f>_xlfn.XLOOKUP(Tableau119[[#This Row],[Key(ID-date)]],'DATA BTO'!S:S,'DATA BTO'!G:G,FALSE)</f>
        <v>5</v>
      </c>
      <c r="AE881" s="50">
        <f>_xlfn.XLOOKUP(Tableau119[[#This Row],[Key(ID-date)]],'DATA BTO'!S:S,'DATA BTO'!H:H,FALSE)</f>
        <v>8</v>
      </c>
      <c r="AF881" s="447">
        <f>IF(Tableau119[[#This Row],[First Day to POL]]&lt;=Tableau119[[#This Row],[Day Cut Off]],Tableau119[[#This Row],[Day ETD]],Tableau119[[#This Row],[Day ETD]]+7)</f>
        <v>8</v>
      </c>
      <c r="AG881" s="50">
        <f>_xlfn.XLOOKUP(Tableau119[[#This Row],[Key(ID-date)]],'DATA BTO'!S:S,'DATA BTO'!I:I,FALSE)</f>
        <v>43</v>
      </c>
      <c r="AH881" s="3" t="str">
        <f>_xlfn.XLOOKUP(Tableau119[[#This Row],[Key(ID-date)]],'DATA BTO'!S:S,'DATA BTO'!J:J,FALSE)</f>
        <v>BRPNG</v>
      </c>
      <c r="AI881" s="3">
        <f>_xlfn.XLOOKUP(Tableau119[[#This Row],[Key(ID-date)]],'DATA BTO'!S:S,'DATA BTO'!K:K,FALSE)</f>
        <v>3</v>
      </c>
      <c r="AJ881" s="50">
        <f>_xlfn.XLOOKUP(Tableau119[[#This Row],[Key(ID-date)]],'DATA BTO'!S:S,'DATA BTO'!L:L,FALSE)</f>
        <v>0</v>
      </c>
      <c r="AK881" s="53" t="str">
        <f>_xlfn.XLOOKUP(Tableau119[[#This Row],[Key(ID-date)]],'DATA BTO'!S:S,'DATA BTO'!N:N,FALSE)</f>
        <v>Anthony</v>
      </c>
      <c r="AL881" s="54">
        <f>VLOOKUP(Tableau119[[#This Row],[Key(POD -PFI- Usine)]],'DATA Consignee'!A:F,6,FALSE)</f>
        <v>2</v>
      </c>
      <c r="AM881" s="284"/>
      <c r="AN881" s="376" t="str">
        <f>IF(Tableau119[[#This Row],[Name PFI/CDD]]="","-",VLOOKUP(Tableau119[[#This Row],[Name PFI/CDD]],Plant_AILN!I:J,2,FALSE))</f>
        <v>-</v>
      </c>
      <c r="AO88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1" s="2">
        <f>VLOOKUP(Tableau119[[#This Row],[Key(POD -PFI- Usine)]],'DATA Consignee'!A:J,10,FALSE)</f>
        <v>0</v>
      </c>
      <c r="AR881" s="50">
        <f>VLOOKUP(Tableau119[[#This Row],[Key(POD -PFI- Usine)]],'DATA Consignee'!A:N,14,FALSE)</f>
        <v>2</v>
      </c>
      <c r="AS88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8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81" s="50">
        <f>Tableau119[[#This Row],[Transit time]]+Tableau119[[#This Row],[Time for security]]+Tableau119[[#This Row],[Time for security2 buffer]]</f>
        <v>46</v>
      </c>
      <c r="AV88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81" s="50">
        <f>Tableau119[[#This Row],[Leadtime SI2C]]+Tableau119[[#This Row],[First Receipt Days]]-Tableau119[[#This Row],[Day Customer Order]]+1</f>
        <v>85</v>
      </c>
      <c r="AX881" s="119">
        <f>IF(Tableau119[[#This Row],[Name ILN]]&lt;&gt;"SFK Freight Forwarder",Tableau119[[#This Row],[Cust. Leadtime]],Tableau119[[#This Row],[Leadtime SI2C]])</f>
        <v>85</v>
      </c>
      <c r="AY881" s="51" t="str">
        <f>_xlfn.XLOOKUP(Tableau119[[#This Row],[Key(ID-date)]],'DATA BTO'!S:S,'DATA BTO'!P:P,FALSE)</f>
        <v>Renault &gt; Horse BPH</v>
      </c>
      <c r="AZ881" s="338">
        <v>45473</v>
      </c>
      <c r="BA881" s="50"/>
    </row>
    <row r="882" spans="2:53">
      <c r="B882" s="446" t="str">
        <f>_xlfn.CONCAT(Tableau119[[#This Row],[Name ILN]],"-",Tableau119[[#This Row],[Name Shipper]],"-",Tableau119[[#This Row],[Name Site]])</f>
        <v>ILN Chennai-ILN Chennai-CURITIBA CMO</v>
      </c>
      <c r="C882" s="66" t="str">
        <f>_xlfn.CONCAT(Tableau119[[#This Row],[Compte ILN]],"-",Tableau119[[#This Row],[Compte Shipper]],"-",Tableau119[[#This Row],[POL]],"-",Tableau119[[#This Row],[Compte Consignee]])</f>
        <v>2533780546-2533780546-INENR-90018600</v>
      </c>
      <c r="D882" s="66" t="str">
        <f>_xlfn.CONCAT(Tableau119[[#This Row],[Compte ILN]],"-",Tableau119[[#This Row],[Compte Shipper]],"-",Tableau119[[#This Row],[POL]])</f>
        <v>2533780546-2533780546-INENR</v>
      </c>
      <c r="E882" s="130" t="str">
        <f>_xlfn.CONCAT(Tableau119[[#This Row],[POL]],"-",Tableau119[[#This Row],[Carrier]],"-",Tableau119[[#This Row],[POD]])</f>
        <v>INENR-CMA-CGM-BRPNG</v>
      </c>
      <c r="F882" s="66" t="str">
        <f>_xlfn.CONCAT(Tableau119[[#This Row],[ID]],"-","Actif")</f>
        <v>925-Actif</v>
      </c>
      <c r="G882" s="66" t="str">
        <f>_xlfn.CONCAT(Tableau119[[#This Row],[POD]],"-",Tableau119[[#This Row],[Code PFI]],"-",Tableau119[[#This Row],[Compte Consignee]])</f>
        <v>BRPNG---90018600</v>
      </c>
      <c r="H8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ChennaiINENRCURITIBA CMO</v>
      </c>
      <c r="I882" s="434" t="str">
        <f>_xlfn.CONCAT(Tableau119[[#This Row],[ID]],"-",Tableau119[[#This Row],[Expiration Date]])</f>
        <v>925-45412</v>
      </c>
      <c r="J8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Chennai-ILN Chennai-925-INENR-CMA-CGM-BRPNG--45412</v>
      </c>
      <c r="K882" s="119" t="str">
        <f ca="1">IF(COUNTIF(J:J,Tableau119[[#This Row],[Plant-ILN-shipper-POL-Carrier-POD-PFI]])=1,"Non","Oui")</f>
        <v>Non</v>
      </c>
      <c r="L882" s="128" t="str">
        <f>VLOOKUP(Tableau119[[#This Row],[Name Site]],Plant_AILN!A:D,4,FALSE)</f>
        <v>BRAZIL</v>
      </c>
      <c r="M882" s="415" t="s">
        <v>174</v>
      </c>
      <c r="N882" s="455">
        <f>VLOOKUP(Tableau119[[#This Row],[Name Site]],Plant_AILN!A:C,3,FALSE)</f>
        <v>90018600</v>
      </c>
      <c r="O882" s="104">
        <f>VLOOKUP(Tableau119[[#This Row],[Compte Consignee]],Order!C:D,2,FALSE)</f>
        <v>7</v>
      </c>
      <c r="P882" s="126" t="s">
        <v>149</v>
      </c>
      <c r="Q882" s="366">
        <f>VLOOKUP(Tableau119[[#This Row],[Name ILN]],Plant_AILN!F:G,2,FALSE)</f>
        <v>2533780546</v>
      </c>
      <c r="R882" s="81">
        <f>VLOOKUP(Tableau119[[#This Row],[Compte ILN]],'DATA ILN'!D:I,6,FALSE)</f>
        <v>9</v>
      </c>
      <c r="S882" s="81">
        <f>IFERROR(VLOOKUP(Tableau119[[#This Row],[Key(Compte ILN - shipper - POL - plant)]],'DATA ILN'!A:J,10,FALSE),VLOOKUP(Tableau119[[#This Row],[Key(Compte ILN - shipper - POL)]],'DATA ILN'!B:J,9,FALSE))</f>
        <v>14</v>
      </c>
      <c r="T882" s="81">
        <f>IFERROR(VLOOKUP(Tableau119[[#This Row],[Key(Compte ILN - shipper - POL - plant)]],'DATA ILN'!A:K,11,FALSE),VLOOKUP(Tableau119[[#This Row],[Key(Compte ILN - shipper - POL)]],'DATA ILN'!B:K,10,FALSE))</f>
        <v>5</v>
      </c>
      <c r="U882" s="81">
        <f>IFERROR(VLOOKUP(Tableau119[[#This Row],[Key(Compte ILN - shipper - POL - plant)]],'DATA ILN'!A:L,12,FALSE),VLOOKUP(Tableau119[[#This Row],[Key(Compte ILN - shipper - POL)]],'DATA ILN'!B:L,11,FALSE))</f>
        <v>7</v>
      </c>
      <c r="V882" s="81">
        <f>Tableau119[[#This Row],[Day ILN Order]]+Tableau119[[#This Row],[Delivery time to ILN/Shipper]]-1</f>
        <v>22</v>
      </c>
      <c r="W882" s="81">
        <f>IFERROR(VLOOKUP(Tableau119[[#This Row],[Key(Compte ILN - shipper - POL - plant)]],'DATA ILN'!A:N,14,FALSE),VLOOKUP(Tableau119[[#This Row],[Key(Compte ILN - shipper - POL)]],'DATA ILN'!B:N,13,FALSE))</f>
        <v>2</v>
      </c>
      <c r="X882" s="81">
        <f>IFERROR(VLOOKUP(Tableau119[[#This Row],[Key(Compte ILN - shipper - POL - plant)]],'DATA ILN'!A:P,16,FALSE),VLOOKUP(Tableau119[[#This Row],[Key(Compte ILN - shipper - POL)]],'DATA ILN'!B:P,15,FALSE))</f>
        <v>5</v>
      </c>
      <c r="Y882" s="102" t="s">
        <v>149</v>
      </c>
      <c r="Z882" s="417">
        <f>IFERROR(VLOOKUP(Tableau119[[#This Row],[Name Shipper]],Plant_AILN!L:M,2,FALSE),0)</f>
        <v>2533780546</v>
      </c>
      <c r="AA882" s="416">
        <v>925</v>
      </c>
      <c r="AB882" s="396" t="str">
        <f>_xlfn.XLOOKUP(Tableau119[[#This Row],[Key(ID-date)]],'DATA BTO'!S:S,'DATA BTO'!E:E,FALSE)</f>
        <v>INENR</v>
      </c>
      <c r="AC882" s="3" t="str">
        <f>_xlfn.XLOOKUP(Tableau119[[#This Row],[Key(ID-date)]],'DATA BTO'!S:S,'DATA BTO'!F:F,FALSE)</f>
        <v>CMA-CGM</v>
      </c>
      <c r="AD882" s="50">
        <f>_xlfn.XLOOKUP(Tableau119[[#This Row],[Key(ID-date)]],'DATA BTO'!S:S,'DATA BTO'!G:G,FALSE)</f>
        <v>5</v>
      </c>
      <c r="AE882" s="50">
        <f>_xlfn.XLOOKUP(Tableau119[[#This Row],[Key(ID-date)]],'DATA BTO'!S:S,'DATA BTO'!H:H,FALSE)</f>
        <v>8</v>
      </c>
      <c r="AF882" s="447">
        <f>IF(Tableau119[[#This Row],[First Day to POL]]&lt;=Tableau119[[#This Row],[Day Cut Off]],Tableau119[[#This Row],[Day ETD]],Tableau119[[#This Row],[Day ETD]]+7)</f>
        <v>8</v>
      </c>
      <c r="AG882" s="50">
        <f>_xlfn.XLOOKUP(Tableau119[[#This Row],[Key(ID-date)]],'DATA BTO'!S:S,'DATA BTO'!I:I,FALSE)</f>
        <v>43</v>
      </c>
      <c r="AH882" s="3" t="str">
        <f>_xlfn.XLOOKUP(Tableau119[[#This Row],[Key(ID-date)]],'DATA BTO'!S:S,'DATA BTO'!J:J,FALSE)</f>
        <v>BRPNG</v>
      </c>
      <c r="AI882" s="3">
        <f>_xlfn.XLOOKUP(Tableau119[[#This Row],[Key(ID-date)]],'DATA BTO'!S:S,'DATA BTO'!K:K,FALSE)</f>
        <v>3</v>
      </c>
      <c r="AJ882" s="50">
        <f>_xlfn.XLOOKUP(Tableau119[[#This Row],[Key(ID-date)]],'DATA BTO'!S:S,'DATA BTO'!L:L,FALSE)</f>
        <v>0</v>
      </c>
      <c r="AK882" s="53" t="str">
        <f>_xlfn.XLOOKUP(Tableau119[[#This Row],[Key(ID-date)]],'DATA BTO'!S:S,'DATA BTO'!N:N,FALSE)</f>
        <v>Anthony</v>
      </c>
      <c r="AL882" s="54">
        <f>VLOOKUP(Tableau119[[#This Row],[Key(POD -PFI- Usine)]],'DATA Consignee'!A:F,6,FALSE)</f>
        <v>2</v>
      </c>
      <c r="AM882" s="102"/>
      <c r="AN882" s="375" t="str">
        <f>IF(Tableau119[[#This Row],[Name PFI/CDD]]="","-",VLOOKUP(Tableau119[[#This Row],[Name PFI/CDD]],Plant_AILN!I:J,2,FALSE))</f>
        <v>-</v>
      </c>
      <c r="AO88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2" s="110">
        <f>VLOOKUP(Tableau119[[#This Row],[Key(POD -PFI- Usine)]],'DATA Consignee'!A:J,10,FALSE)</f>
        <v>0</v>
      </c>
      <c r="AR882" s="81">
        <f>VLOOKUP(Tableau119[[#This Row],[Key(POD -PFI- Usine)]],'DATA Consignee'!A:N,14,FALSE)</f>
        <v>2</v>
      </c>
      <c r="AS882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82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82" s="81">
        <f>Tableau119[[#This Row],[Transit time]]+Tableau119[[#This Row],[Time for security]]+Tableau119[[#This Row],[Time for security2 buffer]]</f>
        <v>46</v>
      </c>
      <c r="AV88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82" s="50">
        <f>Tableau119[[#This Row],[Leadtime SI2C]]+Tableau119[[#This Row],[First Receipt Days]]-Tableau119[[#This Row],[Day Customer Order]]+1</f>
        <v>85</v>
      </c>
      <c r="AX882" s="119">
        <f>IF(Tableau119[[#This Row],[Name ILN]]&lt;&gt;"SFK Freight Forwarder",Tableau119[[#This Row],[Cust. Leadtime]],Tableau119[[#This Row],[Leadtime SI2C]])</f>
        <v>85</v>
      </c>
      <c r="AY882" s="51" t="str">
        <f>_xlfn.XLOOKUP(Tableau119[[#This Row],[Key(ID-date)]],'DATA BTO'!S:S,'DATA BTO'!P:P,FALSE)</f>
        <v>Renault &gt; Horse BPH</v>
      </c>
      <c r="AZ882" s="388">
        <v>45412</v>
      </c>
      <c r="BA882" s="81"/>
    </row>
    <row r="883" spans="2:53">
      <c r="B883" s="446" t="str">
        <f>_xlfn.CONCAT(Tableau119[[#This Row],[Name ILN]],"-",Tableau119[[#This Row],[Name Shipper]],"-",Tableau119[[#This Row],[Name Site]])</f>
        <v>ILN FR-RENAULT CLEON-CORDOBA</v>
      </c>
      <c r="C883" s="66" t="str">
        <f>_xlfn.CONCAT(Tableau119[[#This Row],[Compte ILN]],"-",Tableau119[[#This Row],[Compte Shipper]],"-",Tableau119[[#This Row],[POL]],"-",Tableau119[[#This Row],[Compte Consignee]])</f>
        <v>92000100-90016100-FALSO-90016000</v>
      </c>
      <c r="D883" s="66" t="str">
        <f>_xlfn.CONCAT(Tableau119[[#This Row],[Compte ILN]],"-",Tableau119[[#This Row],[Compte Shipper]],"-",Tableau119[[#This Row],[POL]])</f>
        <v>92000100-90016100-FALSO</v>
      </c>
      <c r="E883" s="130" t="str">
        <f>_xlfn.CONCAT(Tableau119[[#This Row],[POL]],"-",Tableau119[[#This Row],[Carrier]],"-",Tableau119[[#This Row],[POD]])</f>
        <v>FALSO-FALSO-FALSO</v>
      </c>
      <c r="F883" s="66" t="str">
        <f>_xlfn.CONCAT(Tableau119[[#This Row],[ID]],"-","Actif")</f>
        <v>926-Actif</v>
      </c>
      <c r="G883" s="66" t="str">
        <f>_xlfn.CONCAT(Tableau119[[#This Row],[POD]],"-",Tableau119[[#This Row],[Code PFI]],"-",Tableau119[[#This Row],[Compte Consignee]])</f>
        <v>FALSO---90016000</v>
      </c>
      <c r="H8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90016100FALSOCORDOBA</v>
      </c>
      <c r="I883" s="434" t="str">
        <f>_xlfn.CONCAT(Tableau119[[#This Row],[ID]],"-",Tableau119[[#This Row],[Expiration Date]])</f>
        <v>926-46142</v>
      </c>
      <c r="J8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FR-RENAULT CLEON-926-FALSO-FALSO-FALSO--46142</v>
      </c>
      <c r="K883" s="119" t="str">
        <f ca="1">IF(COUNTIF(J:J,Tableau119[[#This Row],[Plant-ILN-shipper-POL-Carrier-POD-PFI]])=1,"Non","Oui")</f>
        <v>Non</v>
      </c>
      <c r="L883" s="436" t="str">
        <f>VLOOKUP(Tableau119[[#This Row],[Name Site]],Plant_AILN!A:D,4,FALSE)</f>
        <v>ARGENTINA</v>
      </c>
      <c r="M883" s="285" t="s">
        <v>158</v>
      </c>
      <c r="N883" s="454">
        <f>VLOOKUP(Tableau119[[#This Row],[Name Site]],Plant_AILN!A:C,3,FALSE)</f>
        <v>90016000</v>
      </c>
      <c r="O883" s="55">
        <f>IF(Tableau119[[#This Row],[Name PFI/CDD]]="PFI VLL",2,VLOOKUP(Tableau119[[#This Row],[Compte Consignee]],Order!C:D,2,FALSE))</f>
        <v>7</v>
      </c>
      <c r="P883" s="506" t="s">
        <v>143</v>
      </c>
      <c r="Q883" s="365">
        <f>VLOOKUP(Tableau119[[#This Row],[Name ILN]],Plant_AILN!F:G,2,FALSE)</f>
        <v>92000100</v>
      </c>
      <c r="R883" s="50">
        <f>VLOOKUP(Tableau119[[#This Row],[Compte ILN]],'DATA ILN'!D:I,6,FALSE)</f>
        <v>9</v>
      </c>
      <c r="S883" s="50" t="e">
        <f>IFERROR(VLOOKUP(Tableau119[[#This Row],[Key(Compte ILN - shipper - POL - plant)]],'DATA ILN'!A:J,10,FALSE),VLOOKUP(Tableau119[[#This Row],[Key(Compte ILN - shipper - POL)]],'DATA ILN'!B:J,9,FALSE))</f>
        <v>#N/A</v>
      </c>
      <c r="T883" s="50" t="e">
        <f>IFERROR(VLOOKUP(Tableau119[[#This Row],[Key(Compte ILN - shipper - POL - plant)]],'DATA ILN'!A:K,11,FALSE),VLOOKUP(Tableau119[[#This Row],[Key(Compte ILN - shipper - POL)]],'DATA ILN'!B:K,10,FALSE))</f>
        <v>#N/A</v>
      </c>
      <c r="U883" s="50" t="e">
        <f>IFERROR(VLOOKUP(Tableau119[[#This Row],[Key(Compte ILN - shipper - POL - plant)]],'DATA ILN'!A:L,12,FALSE),VLOOKUP(Tableau119[[#This Row],[Key(Compte ILN - shipper - POL)]],'DATA ILN'!B:L,11,FALSE))</f>
        <v>#N/A</v>
      </c>
      <c r="V883" s="50" t="e">
        <f>Tableau119[[#This Row],[Day ILN Order]]+Tableau119[[#This Row],[Delivery time to ILN/Shipper]]-1</f>
        <v>#N/A</v>
      </c>
      <c r="W883" s="50" t="e">
        <f>IFERROR(VLOOKUP(Tableau119[[#This Row],[Key(Compte ILN - shipper - POL - plant)]],'DATA ILN'!A:N,14,FALSE),VLOOKUP(Tableau119[[#This Row],[Key(Compte ILN - shipper - POL)]],'DATA ILN'!B:N,13,FALSE))</f>
        <v>#N/A</v>
      </c>
      <c r="X883" s="50" t="e">
        <f>IFERROR(VLOOKUP(Tableau119[[#This Row],[Key(Compte ILN - shipper - POL - plant)]],'DATA ILN'!A:P,16,FALSE),VLOOKUP(Tableau119[[#This Row],[Key(Compte ILN - shipper - POL)]],'DATA ILN'!B:P,15,FALSE))</f>
        <v>#N/A</v>
      </c>
      <c r="Y883" s="284" t="s">
        <v>291</v>
      </c>
      <c r="Z883" s="430">
        <f>IFERROR(VLOOKUP(Tableau119[[#This Row],[Name Shipper]],Plant_AILN!L:M,2,FALSE),0)</f>
        <v>90016100</v>
      </c>
      <c r="AA883" s="406">
        <v>926</v>
      </c>
      <c r="AB883" s="396" t="b">
        <f>_xlfn.XLOOKUP(Tableau119[[#This Row],[Key(ID-date)]],'DATA BTO'!S:S,'DATA BTO'!E:E,FALSE)</f>
        <v>0</v>
      </c>
      <c r="AC883" s="3" t="b">
        <f>_xlfn.XLOOKUP(Tableau119[[#This Row],[Key(ID-date)]],'DATA BTO'!S:S,'DATA BTO'!F:F,FALSE)</f>
        <v>0</v>
      </c>
      <c r="AD883" s="50" t="b">
        <f>_xlfn.XLOOKUP(Tableau119[[#This Row],[Key(ID-date)]],'DATA BTO'!S:S,'DATA BTO'!G:G,FALSE)</f>
        <v>0</v>
      </c>
      <c r="AE883" s="50" t="b">
        <f>_xlfn.XLOOKUP(Tableau119[[#This Row],[Key(ID-date)]],'DATA BTO'!S:S,'DATA BTO'!H:H,FALSE)</f>
        <v>0</v>
      </c>
      <c r="AF883" s="447" t="e">
        <f>IF(Tableau119[[#This Row],[First Day to POL]]&lt;=Tableau119[[#This Row],[Day Cut Off]],Tableau119[[#This Row],[Day ETD]],Tableau119[[#This Row],[Day ETD]]+7)</f>
        <v>#N/A</v>
      </c>
      <c r="AG883" s="50" t="b">
        <f>_xlfn.XLOOKUP(Tableau119[[#This Row],[Key(ID-date)]],'DATA BTO'!S:S,'DATA BTO'!I:I,FALSE)</f>
        <v>0</v>
      </c>
      <c r="AH883" s="3" t="b">
        <f>_xlfn.XLOOKUP(Tableau119[[#This Row],[Key(ID-date)]],'DATA BTO'!S:S,'DATA BTO'!J:J,FALSE)</f>
        <v>0</v>
      </c>
      <c r="AI883" s="3" t="b">
        <f>_xlfn.XLOOKUP(Tableau119[[#This Row],[Key(ID-date)]],'DATA BTO'!S:S,'DATA BTO'!K:K,FALSE)</f>
        <v>0</v>
      </c>
      <c r="AJ883" s="50" t="b">
        <f>_xlfn.XLOOKUP(Tableau119[[#This Row],[Key(ID-date)]],'DATA BTO'!S:S,'DATA BTO'!L:L,FALSE)</f>
        <v>0</v>
      </c>
      <c r="AK883" s="53" t="b">
        <f>_xlfn.XLOOKUP(Tableau119[[#This Row],[Key(ID-date)]],'DATA BTO'!S:S,'DATA BTO'!N:N,FALSE)</f>
        <v>0</v>
      </c>
      <c r="AL883" s="54" t="e">
        <f>VLOOKUP(Tableau119[[#This Row],[Key(POD -PFI- Usine)]],'DATA Consignee'!A:F,6,FALSE)</f>
        <v>#N/A</v>
      </c>
      <c r="AM883" s="284"/>
      <c r="AN883" s="376" t="str">
        <f>IF(Tableau119[[#This Row],[Name PFI/CDD]]="","-",VLOOKUP(Tableau119[[#This Row],[Name PFI/CDD]],Plant_AILN!I:J,2,FALSE))</f>
        <v>-</v>
      </c>
      <c r="AO88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3" s="2" t="e">
        <f>VLOOKUP(Tableau119[[#This Row],[Key(POD -PFI- Usine)]],'DATA Consignee'!A:J,10,FALSE)</f>
        <v>#N/A</v>
      </c>
      <c r="AR883" s="50" t="e">
        <f>VLOOKUP(Tableau119[[#This Row],[Key(POD -PFI- Usine)]],'DATA Consignee'!A:N,14,FALSE)</f>
        <v>#N/A</v>
      </c>
      <c r="AS88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8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83" s="50">
        <f>Tableau119[[#This Row],[Transit time]]+Tableau119[[#This Row],[Time for security]]+Tableau119[[#This Row],[Time for security2 buffer]]</f>
        <v>0</v>
      </c>
      <c r="AV88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83" s="50" t="e">
        <f>Tableau119[[#This Row],[Leadtime SI2C]]+Tableau119[[#This Row],[First Receipt Days]]-Tableau119[[#This Row],[Day Customer Order]]+1</f>
        <v>#N/A</v>
      </c>
      <c r="AX883" s="119" t="e">
        <f>IF(Tableau119[[#This Row],[Name ILN]]&lt;&gt;"SFK Freight Forwarder",Tableau119[[#This Row],[Cust. Leadtime]],Tableau119[[#This Row],[Leadtime SI2C]])</f>
        <v>#N/A</v>
      </c>
      <c r="AY883" s="51" t="b">
        <f>_xlfn.XLOOKUP(Tableau119[[#This Row],[Key(ID-date)]],'DATA BTO'!S:S,'DATA BTO'!P:P,FALSE)</f>
        <v>0</v>
      </c>
      <c r="AZ883" s="338">
        <v>46142</v>
      </c>
      <c r="BA883" s="50"/>
    </row>
    <row r="884" spans="2:53">
      <c r="B884" s="446" t="str">
        <f>_xlfn.CONCAT(Tableau119[[#This Row],[Name ILN]],"-",Tableau119[[#This Row],[Name Shipper]],"-",Tableau119[[#This Row],[Name Site]])</f>
        <v>ILN FR-RENAULT CLEON-CORDOBA</v>
      </c>
      <c r="C884" s="66" t="str">
        <f>_xlfn.CONCAT(Tableau119[[#This Row],[Compte ILN]],"-",Tableau119[[#This Row],[Compte Shipper]],"-",Tableau119[[#This Row],[POL]],"-",Tableau119[[#This Row],[Compte Consignee]])</f>
        <v>92000100-90016100-FALSO-90016000</v>
      </c>
      <c r="D884" s="66" t="str">
        <f>_xlfn.CONCAT(Tableau119[[#This Row],[Compte ILN]],"-",Tableau119[[#This Row],[Compte Shipper]],"-",Tableau119[[#This Row],[POL]])</f>
        <v>92000100-90016100-FALSO</v>
      </c>
      <c r="E884" s="130" t="str">
        <f>_xlfn.CONCAT(Tableau119[[#This Row],[POL]],"-",Tableau119[[#This Row],[Carrier]],"-",Tableau119[[#This Row],[POD]])</f>
        <v>FALSO-FALSO-FALSO</v>
      </c>
      <c r="F884" s="66" t="str">
        <f>_xlfn.CONCAT(Tableau119[[#This Row],[ID]],"-","Actif")</f>
        <v>926-Actif</v>
      </c>
      <c r="G884" s="66" t="str">
        <f>_xlfn.CONCAT(Tableau119[[#This Row],[POD]],"-",Tableau119[[#This Row],[Code PFI]],"-",Tableau119[[#This Row],[Compte Consignee]])</f>
        <v>FALSO---90016000</v>
      </c>
      <c r="H8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90016100FALSOCORDOBA</v>
      </c>
      <c r="I884" s="434" t="str">
        <f>_xlfn.CONCAT(Tableau119[[#This Row],[ID]],"-",Tableau119[[#This Row],[Expiration Date]])</f>
        <v>926-45777</v>
      </c>
      <c r="J8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FR-RENAULT CLEON-926-FALSO-FALSO-FALSO--45777</v>
      </c>
      <c r="K884" s="119" t="str">
        <f ca="1">IF(COUNTIF(J:J,Tableau119[[#This Row],[Plant-ILN-shipper-POL-Carrier-POD-PFI]])=1,"Non","Oui")</f>
        <v>Non</v>
      </c>
      <c r="L884" s="128" t="str">
        <f>VLOOKUP(Tableau119[[#This Row],[Name Site]],Plant_AILN!A:D,4,FALSE)</f>
        <v>ARGENTINA</v>
      </c>
      <c r="M884" s="411" t="s">
        <v>158</v>
      </c>
      <c r="N884" s="454">
        <f>VLOOKUP(Tableau119[[#This Row],[Name Site]],Plant_AILN!A:C,3,FALSE)</f>
        <v>90016000</v>
      </c>
      <c r="O884" s="55">
        <f>VLOOKUP(Tableau119[[#This Row],[Compte Consignee]],Order!C:D,2,FALSE)</f>
        <v>7</v>
      </c>
      <c r="P884" s="124" t="s">
        <v>143</v>
      </c>
      <c r="Q884" s="365">
        <f>VLOOKUP(Tableau119[[#This Row],[Name ILN]],Plant_AILN!F:G,2,FALSE)</f>
        <v>92000100</v>
      </c>
      <c r="R884" s="50">
        <f>VLOOKUP(Tableau119[[#This Row],[Compte ILN]],'DATA ILN'!D:I,6,FALSE)</f>
        <v>9</v>
      </c>
      <c r="S884" s="50" t="e">
        <f>IFERROR(VLOOKUP(Tableau119[[#This Row],[Key(Compte ILN - shipper - POL - plant)]],'DATA ILN'!A:J,10,FALSE),VLOOKUP(Tableau119[[#This Row],[Key(Compte ILN - shipper - POL)]],'DATA ILN'!B:J,9,FALSE))</f>
        <v>#N/A</v>
      </c>
      <c r="T884" s="50" t="e">
        <f>IFERROR(VLOOKUP(Tableau119[[#This Row],[Key(Compte ILN - shipper - POL - plant)]],'DATA ILN'!A:K,11,FALSE),VLOOKUP(Tableau119[[#This Row],[Key(Compte ILN - shipper - POL)]],'DATA ILN'!B:K,10,FALSE))</f>
        <v>#N/A</v>
      </c>
      <c r="U884" s="50" t="e">
        <f>IFERROR(VLOOKUP(Tableau119[[#This Row],[Key(Compte ILN - shipper - POL - plant)]],'DATA ILN'!A:L,12,FALSE),VLOOKUP(Tableau119[[#This Row],[Key(Compte ILN - shipper - POL)]],'DATA ILN'!B:L,11,FALSE))</f>
        <v>#N/A</v>
      </c>
      <c r="V884" s="50" t="e">
        <f>Tableau119[[#This Row],[Day ILN Order]]+Tableau119[[#This Row],[Delivery time to ILN/Shipper]]-1</f>
        <v>#N/A</v>
      </c>
      <c r="W884" s="50" t="e">
        <f>IFERROR(VLOOKUP(Tableau119[[#This Row],[Key(Compte ILN - shipper - POL - plant)]],'DATA ILN'!A:N,14,FALSE),VLOOKUP(Tableau119[[#This Row],[Key(Compte ILN - shipper - POL)]],'DATA ILN'!B:N,13,FALSE))</f>
        <v>#N/A</v>
      </c>
      <c r="X884" s="50" t="e">
        <f>IFERROR(VLOOKUP(Tableau119[[#This Row],[Key(Compte ILN - shipper - POL - plant)]],'DATA ILN'!A:P,16,FALSE),VLOOKUP(Tableau119[[#This Row],[Key(Compte ILN - shipper - POL)]],'DATA ILN'!B:P,15,FALSE))</f>
        <v>#N/A</v>
      </c>
      <c r="Y884" s="284" t="s">
        <v>291</v>
      </c>
      <c r="Z884" s="430">
        <f>IFERROR(VLOOKUP(Tableau119[[#This Row],[Name Shipper]],Plant_AILN!L:M,2,FALSE),0)</f>
        <v>90016100</v>
      </c>
      <c r="AA884" s="406">
        <v>926</v>
      </c>
      <c r="AB884" s="396" t="b">
        <f>_xlfn.XLOOKUP(Tableau119[[#This Row],[Key(ID-date)]],'DATA BTO'!S:S,'DATA BTO'!E:E,FALSE)</f>
        <v>0</v>
      </c>
      <c r="AC884" s="3" t="b">
        <f>_xlfn.XLOOKUP(Tableau119[[#This Row],[Key(ID-date)]],'DATA BTO'!S:S,'DATA BTO'!F:F,FALSE)</f>
        <v>0</v>
      </c>
      <c r="AD884" s="50" t="b">
        <f>_xlfn.XLOOKUP(Tableau119[[#This Row],[Key(ID-date)]],'DATA BTO'!S:S,'DATA BTO'!G:G,FALSE)</f>
        <v>0</v>
      </c>
      <c r="AE884" s="50" t="b">
        <f>_xlfn.XLOOKUP(Tableau119[[#This Row],[Key(ID-date)]],'DATA BTO'!S:S,'DATA BTO'!H:H,FALSE)</f>
        <v>0</v>
      </c>
      <c r="AF884" s="447" t="e">
        <f>IF(Tableau119[[#This Row],[First Day to POL]]&lt;=Tableau119[[#This Row],[Day Cut Off]],Tableau119[[#This Row],[Day ETD]],Tableau119[[#This Row],[Day ETD]]+7)</f>
        <v>#N/A</v>
      </c>
      <c r="AG884" s="50" t="b">
        <f>_xlfn.XLOOKUP(Tableau119[[#This Row],[Key(ID-date)]],'DATA BTO'!S:S,'DATA BTO'!I:I,FALSE)</f>
        <v>0</v>
      </c>
      <c r="AH884" s="3" t="b">
        <f>_xlfn.XLOOKUP(Tableau119[[#This Row],[Key(ID-date)]],'DATA BTO'!S:S,'DATA BTO'!J:J,FALSE)</f>
        <v>0</v>
      </c>
      <c r="AI884" s="3" t="b">
        <f>_xlfn.XLOOKUP(Tableau119[[#This Row],[Key(ID-date)]],'DATA BTO'!S:S,'DATA BTO'!K:K,FALSE)</f>
        <v>0</v>
      </c>
      <c r="AJ884" s="50" t="b">
        <f>_xlfn.XLOOKUP(Tableau119[[#This Row],[Key(ID-date)]],'DATA BTO'!S:S,'DATA BTO'!L:L,FALSE)</f>
        <v>0</v>
      </c>
      <c r="AK884" s="53" t="b">
        <f>_xlfn.XLOOKUP(Tableau119[[#This Row],[Key(ID-date)]],'DATA BTO'!S:S,'DATA BTO'!N:N,FALSE)</f>
        <v>0</v>
      </c>
      <c r="AL884" s="54" t="e">
        <f>VLOOKUP(Tableau119[[#This Row],[Key(POD -PFI- Usine)]],'DATA Consignee'!A:F,6,FALSE)</f>
        <v>#N/A</v>
      </c>
      <c r="AM884" s="284"/>
      <c r="AN884" s="376" t="str">
        <f>IF(Tableau119[[#This Row],[Name PFI/CDD]]="","-",VLOOKUP(Tableau119[[#This Row],[Name PFI/CDD]],Plant_AILN!I:J,2,FALSE))</f>
        <v>-</v>
      </c>
      <c r="AO88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4" s="2" t="e">
        <f>VLOOKUP(Tableau119[[#This Row],[Key(POD -PFI- Usine)]],'DATA Consignee'!A:J,10,FALSE)</f>
        <v>#N/A</v>
      </c>
      <c r="AR884" s="50" t="e">
        <f>VLOOKUP(Tableau119[[#This Row],[Key(POD -PFI- Usine)]],'DATA Consignee'!A:N,14,FALSE)</f>
        <v>#N/A</v>
      </c>
      <c r="AS88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8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84" s="50">
        <f>Tableau119[[#This Row],[Transit time]]+Tableau119[[#This Row],[Time for security]]+Tableau119[[#This Row],[Time for security2 buffer]]</f>
        <v>0</v>
      </c>
      <c r="AV88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84" s="50" t="e">
        <f>Tableau119[[#This Row],[Leadtime SI2C]]+Tableau119[[#This Row],[First Receipt Days]]-Tableau119[[#This Row],[Day Customer Order]]+1</f>
        <v>#N/A</v>
      </c>
      <c r="AX884" s="119" t="e">
        <f>IF(Tableau119[[#This Row],[Name ILN]]&lt;&gt;"SFK Freight Forwarder",Tableau119[[#This Row],[Cust. Leadtime]],Tableau119[[#This Row],[Leadtime SI2C]])</f>
        <v>#N/A</v>
      </c>
      <c r="AY884" s="51" t="b">
        <f>_xlfn.XLOOKUP(Tableau119[[#This Row],[Key(ID-date)]],'DATA BTO'!S:S,'DATA BTO'!P:P,FALSE)</f>
        <v>0</v>
      </c>
      <c r="AZ884" s="338">
        <v>45777</v>
      </c>
      <c r="BA884" s="50"/>
    </row>
    <row r="885" spans="2:53">
      <c r="B885" s="446" t="str">
        <f>_xlfn.CONCAT(Tableau119[[#This Row],[Name ILN]],"-",Tableau119[[#This Row],[Name Shipper]],"-",Tableau119[[#This Row],[Name Site]])</f>
        <v>ILN FR-RENAULT CLEON-CORDOBA</v>
      </c>
      <c r="C885" s="66" t="str">
        <f>_xlfn.CONCAT(Tableau119[[#This Row],[Compte ILN]],"-",Tableau119[[#This Row],[Compte Shipper]],"-",Tableau119[[#This Row],[POL]],"-",Tableau119[[#This Row],[Compte Consignee]])</f>
        <v>92000100-90016100-FALSO-90016000</v>
      </c>
      <c r="D885" s="66" t="str">
        <f>_xlfn.CONCAT(Tableau119[[#This Row],[Compte ILN]],"-",Tableau119[[#This Row],[Compte Shipper]],"-",Tableau119[[#This Row],[POL]])</f>
        <v>92000100-90016100-FALSO</v>
      </c>
      <c r="E885" s="130" t="str">
        <f>_xlfn.CONCAT(Tableau119[[#This Row],[POL]],"-",Tableau119[[#This Row],[Carrier]],"-",Tableau119[[#This Row],[POD]])</f>
        <v>FALSO-FALSO-FALSO</v>
      </c>
      <c r="F885" s="66" t="str">
        <f>_xlfn.CONCAT(Tableau119[[#This Row],[ID]],"-","Actif")</f>
        <v>926-Actif</v>
      </c>
      <c r="G885" s="66" t="str">
        <f>_xlfn.CONCAT(Tableau119[[#This Row],[POD]],"-",Tableau119[[#This Row],[Code PFI]],"-",Tableau119[[#This Row],[Compte Consignee]])</f>
        <v>FALSO---90016000</v>
      </c>
      <c r="H8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90016100FALSOCORDOBA</v>
      </c>
      <c r="I885" s="434" t="str">
        <f>_xlfn.CONCAT(Tableau119[[#This Row],[ID]],"-",Tableau119[[#This Row],[Expiration Date]])</f>
        <v>926-45657</v>
      </c>
      <c r="J8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FR-RENAULT CLEON-926-FALSO-FALSO-FALSO--45657</v>
      </c>
      <c r="K885" s="119" t="str">
        <f ca="1">IF(COUNTIF(J:J,Tableau119[[#This Row],[Plant-ILN-shipper-POL-Carrier-POD-PFI]])=1,"Non","Oui")</f>
        <v>Non</v>
      </c>
      <c r="L885" s="128" t="str">
        <f>VLOOKUP(Tableau119[[#This Row],[Name Site]],Plant_AILN!A:D,4,FALSE)</f>
        <v>ARGENTINA</v>
      </c>
      <c r="M885" s="411" t="s">
        <v>158</v>
      </c>
      <c r="N885" s="454">
        <f>VLOOKUP(Tableau119[[#This Row],[Name Site]],Plant_AILN!A:C,3,FALSE)</f>
        <v>90016000</v>
      </c>
      <c r="O885" s="55">
        <f>VLOOKUP(Tableau119[[#This Row],[Compte Consignee]],Order!C:D,2,FALSE)</f>
        <v>7</v>
      </c>
      <c r="P885" s="124" t="s">
        <v>143</v>
      </c>
      <c r="Q885" s="365">
        <f>VLOOKUP(Tableau119[[#This Row],[Name ILN]],Plant_AILN!F:G,2,FALSE)</f>
        <v>92000100</v>
      </c>
      <c r="R885" s="50">
        <f>VLOOKUP(Tableau119[[#This Row],[Compte ILN]],'DATA ILN'!D:I,6,FALSE)</f>
        <v>9</v>
      </c>
      <c r="S885" s="50" t="e">
        <f>IFERROR(VLOOKUP(Tableau119[[#This Row],[Key(Compte ILN - shipper - POL - plant)]],'DATA ILN'!A:J,10,FALSE),VLOOKUP(Tableau119[[#This Row],[Key(Compte ILN - shipper - POL)]],'DATA ILN'!B:J,9,FALSE))</f>
        <v>#N/A</v>
      </c>
      <c r="T885" s="50" t="e">
        <f>IFERROR(VLOOKUP(Tableau119[[#This Row],[Key(Compte ILN - shipper - POL - plant)]],'DATA ILN'!A:K,11,FALSE),VLOOKUP(Tableau119[[#This Row],[Key(Compte ILN - shipper - POL)]],'DATA ILN'!B:K,10,FALSE))</f>
        <v>#N/A</v>
      </c>
      <c r="U885" s="50" t="e">
        <f>IFERROR(VLOOKUP(Tableau119[[#This Row],[Key(Compte ILN - shipper - POL - plant)]],'DATA ILN'!A:L,12,FALSE),VLOOKUP(Tableau119[[#This Row],[Key(Compte ILN - shipper - POL)]],'DATA ILN'!B:L,11,FALSE))</f>
        <v>#N/A</v>
      </c>
      <c r="V885" s="50" t="e">
        <f>Tableau119[[#This Row],[Day ILN Order]]+Tableau119[[#This Row],[Delivery time to ILN/Shipper]]-1</f>
        <v>#N/A</v>
      </c>
      <c r="W885" s="50" t="e">
        <f>IFERROR(VLOOKUP(Tableau119[[#This Row],[Key(Compte ILN - shipper - POL - plant)]],'DATA ILN'!A:N,14,FALSE),VLOOKUP(Tableau119[[#This Row],[Key(Compte ILN - shipper - POL)]],'DATA ILN'!B:N,13,FALSE))</f>
        <v>#N/A</v>
      </c>
      <c r="X885" s="50" t="e">
        <f>IFERROR(VLOOKUP(Tableau119[[#This Row],[Key(Compte ILN - shipper - POL - plant)]],'DATA ILN'!A:P,16,FALSE),VLOOKUP(Tableau119[[#This Row],[Key(Compte ILN - shipper - POL)]],'DATA ILN'!B:P,15,FALSE))</f>
        <v>#N/A</v>
      </c>
      <c r="Y885" s="284" t="s">
        <v>291</v>
      </c>
      <c r="Z885" s="430">
        <f>IFERROR(VLOOKUP(Tableau119[[#This Row],[Name Shipper]],Plant_AILN!L:M,2,FALSE),0)</f>
        <v>90016100</v>
      </c>
      <c r="AA885" s="406">
        <v>926</v>
      </c>
      <c r="AB885" s="396" t="b">
        <f>_xlfn.XLOOKUP(Tableau119[[#This Row],[Key(ID-date)]],'DATA BTO'!S:S,'DATA BTO'!E:E,FALSE)</f>
        <v>0</v>
      </c>
      <c r="AC885" s="3" t="b">
        <f>_xlfn.XLOOKUP(Tableau119[[#This Row],[Key(ID-date)]],'DATA BTO'!S:S,'DATA BTO'!F:F,FALSE)</f>
        <v>0</v>
      </c>
      <c r="AD885" s="50" t="b">
        <f>_xlfn.XLOOKUP(Tableau119[[#This Row],[Key(ID-date)]],'DATA BTO'!S:S,'DATA BTO'!G:G,FALSE)</f>
        <v>0</v>
      </c>
      <c r="AE885" s="50" t="b">
        <f>_xlfn.XLOOKUP(Tableau119[[#This Row],[Key(ID-date)]],'DATA BTO'!S:S,'DATA BTO'!H:H,FALSE)</f>
        <v>0</v>
      </c>
      <c r="AF885" s="447" t="e">
        <f>IF(Tableau119[[#This Row],[First Day to POL]]&lt;=Tableau119[[#This Row],[Day Cut Off]],Tableau119[[#This Row],[Day ETD]],Tableau119[[#This Row],[Day ETD]]+7)</f>
        <v>#N/A</v>
      </c>
      <c r="AG885" s="50" t="b">
        <f>_xlfn.XLOOKUP(Tableau119[[#This Row],[Key(ID-date)]],'DATA BTO'!S:S,'DATA BTO'!I:I,FALSE)</f>
        <v>0</v>
      </c>
      <c r="AH885" s="3" t="b">
        <f>_xlfn.XLOOKUP(Tableau119[[#This Row],[Key(ID-date)]],'DATA BTO'!S:S,'DATA BTO'!J:J,FALSE)</f>
        <v>0</v>
      </c>
      <c r="AI885" s="3" t="b">
        <f>_xlfn.XLOOKUP(Tableau119[[#This Row],[Key(ID-date)]],'DATA BTO'!S:S,'DATA BTO'!K:K,FALSE)</f>
        <v>0</v>
      </c>
      <c r="AJ885" s="50" t="b">
        <f>_xlfn.XLOOKUP(Tableau119[[#This Row],[Key(ID-date)]],'DATA BTO'!S:S,'DATA BTO'!L:L,FALSE)</f>
        <v>0</v>
      </c>
      <c r="AK885" s="53" t="b">
        <f>_xlfn.XLOOKUP(Tableau119[[#This Row],[Key(ID-date)]],'DATA BTO'!S:S,'DATA BTO'!N:N,FALSE)</f>
        <v>0</v>
      </c>
      <c r="AL885" s="54" t="e">
        <f>VLOOKUP(Tableau119[[#This Row],[Key(POD -PFI- Usine)]],'DATA Consignee'!A:F,6,FALSE)</f>
        <v>#N/A</v>
      </c>
      <c r="AM885" s="284"/>
      <c r="AN885" s="376" t="str">
        <f>IF(Tableau119[[#This Row],[Name PFI/CDD]]="","-",VLOOKUP(Tableau119[[#This Row],[Name PFI/CDD]],Plant_AILN!I:J,2,FALSE))</f>
        <v>-</v>
      </c>
      <c r="AO88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5" s="2" t="e">
        <f>VLOOKUP(Tableau119[[#This Row],[Key(POD -PFI- Usine)]],'DATA Consignee'!A:J,10,FALSE)</f>
        <v>#N/A</v>
      </c>
      <c r="AR885" s="50" t="e">
        <f>VLOOKUP(Tableau119[[#This Row],[Key(POD -PFI- Usine)]],'DATA Consignee'!A:N,14,FALSE)</f>
        <v>#N/A</v>
      </c>
      <c r="AS88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8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85" s="50">
        <f>Tableau119[[#This Row],[Transit time]]+Tableau119[[#This Row],[Time for security]]+Tableau119[[#This Row],[Time for security2 buffer]]</f>
        <v>0</v>
      </c>
      <c r="AV88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85" s="50" t="e">
        <f>Tableau119[[#This Row],[Leadtime SI2C]]+Tableau119[[#This Row],[First Receipt Days]]-Tableau119[[#This Row],[Day Customer Order]]+1</f>
        <v>#N/A</v>
      </c>
      <c r="AX885" s="119" t="e">
        <f>IF(Tableau119[[#This Row],[Name ILN]]&lt;&gt;"SFK Freight Forwarder",Tableau119[[#This Row],[Cust. Leadtime]],Tableau119[[#This Row],[Leadtime SI2C]])</f>
        <v>#N/A</v>
      </c>
      <c r="AY885" s="51" t="b">
        <f>_xlfn.XLOOKUP(Tableau119[[#This Row],[Key(ID-date)]],'DATA BTO'!S:S,'DATA BTO'!P:P,FALSE)</f>
        <v>0</v>
      </c>
      <c r="AZ885" s="338">
        <v>45657</v>
      </c>
      <c r="BA885" s="50"/>
    </row>
    <row r="886" spans="2:53">
      <c r="B886" s="446" t="str">
        <f>_xlfn.CONCAT(Tableau119[[#This Row],[Name ILN]],"-",Tableau119[[#This Row],[Name Shipper]],"-",Tableau119[[#This Row],[Name Site]])</f>
        <v>ILN FR-RENAULT CLEON-CORDOBA</v>
      </c>
      <c r="C886" s="66" t="str">
        <f>_xlfn.CONCAT(Tableau119[[#This Row],[Compte ILN]],"-",Tableau119[[#This Row],[Compte Shipper]],"-",Tableau119[[#This Row],[POL]],"-",Tableau119[[#This Row],[Compte Consignee]])</f>
        <v>92000100-90016100-FALSO-90016000</v>
      </c>
      <c r="D886" s="66" t="str">
        <f>_xlfn.CONCAT(Tableau119[[#This Row],[Compte ILN]],"-",Tableau119[[#This Row],[Compte Shipper]],"-",Tableau119[[#This Row],[POL]])</f>
        <v>92000100-90016100-FALSO</v>
      </c>
      <c r="E886" s="130" t="str">
        <f>_xlfn.CONCAT(Tableau119[[#This Row],[POL]],"-",Tableau119[[#This Row],[Carrier]],"-",Tableau119[[#This Row],[POD]])</f>
        <v>FALSO-FALSO-FALSO</v>
      </c>
      <c r="F886" s="66" t="str">
        <f>_xlfn.CONCAT(Tableau119[[#This Row],[ID]],"-","Actif")</f>
        <v>926-Actif</v>
      </c>
      <c r="G886" s="66" t="str">
        <f>_xlfn.CONCAT(Tableau119[[#This Row],[POD]],"-",Tableau119[[#This Row],[Code PFI]],"-",Tableau119[[#This Row],[Compte Consignee]])</f>
        <v>FALSO---90016000</v>
      </c>
      <c r="H8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90016100FALSOCORDOBA</v>
      </c>
      <c r="I886" s="434" t="str">
        <f>_xlfn.CONCAT(Tableau119[[#This Row],[ID]],"-",Tableau119[[#This Row],[Expiration Date]])</f>
        <v>926-45473</v>
      </c>
      <c r="J8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FR-RENAULT CLEON-926-FALSO-FALSO-FALSO--45473</v>
      </c>
      <c r="K886" s="119" t="str">
        <f ca="1">IF(COUNTIF(J:J,Tableau119[[#This Row],[Plant-ILN-shipper-POL-Carrier-POD-PFI]])=1,"Non","Oui")</f>
        <v>Non</v>
      </c>
      <c r="L886" s="128" t="str">
        <f>VLOOKUP(Tableau119[[#This Row],[Name Site]],Plant_AILN!A:D,4,FALSE)</f>
        <v>ARGENTINA</v>
      </c>
      <c r="M886" s="411" t="s">
        <v>158</v>
      </c>
      <c r="N886" s="454">
        <f>VLOOKUP(Tableau119[[#This Row],[Name Site]],Plant_AILN!A:C,3,FALSE)</f>
        <v>90016000</v>
      </c>
      <c r="O886" s="55">
        <f>VLOOKUP(Tableau119[[#This Row],[Compte Consignee]],Order!C:D,2,FALSE)</f>
        <v>7</v>
      </c>
      <c r="P886" s="124" t="s">
        <v>143</v>
      </c>
      <c r="Q886" s="365">
        <f>VLOOKUP(Tableau119[[#This Row],[Name ILN]],Plant_AILN!F:G,2,FALSE)</f>
        <v>92000100</v>
      </c>
      <c r="R886" s="50">
        <f>VLOOKUP(Tableau119[[#This Row],[Compte ILN]],'DATA ILN'!D:I,6,FALSE)</f>
        <v>9</v>
      </c>
      <c r="S886" s="50" t="e">
        <f>IFERROR(VLOOKUP(Tableau119[[#This Row],[Key(Compte ILN - shipper - POL - plant)]],'DATA ILN'!A:J,10,FALSE),VLOOKUP(Tableau119[[#This Row],[Key(Compte ILN - shipper - POL)]],'DATA ILN'!B:J,9,FALSE))</f>
        <v>#N/A</v>
      </c>
      <c r="T886" s="50" t="e">
        <f>IFERROR(VLOOKUP(Tableau119[[#This Row],[Key(Compte ILN - shipper - POL - plant)]],'DATA ILN'!A:K,11,FALSE),VLOOKUP(Tableau119[[#This Row],[Key(Compte ILN - shipper - POL)]],'DATA ILN'!B:K,10,FALSE))</f>
        <v>#N/A</v>
      </c>
      <c r="U886" s="50" t="e">
        <f>IFERROR(VLOOKUP(Tableau119[[#This Row],[Key(Compte ILN - shipper - POL - plant)]],'DATA ILN'!A:L,12,FALSE),VLOOKUP(Tableau119[[#This Row],[Key(Compte ILN - shipper - POL)]],'DATA ILN'!B:L,11,FALSE))</f>
        <v>#N/A</v>
      </c>
      <c r="V886" s="50" t="e">
        <f>Tableau119[[#This Row],[Day ILN Order]]+Tableau119[[#This Row],[Delivery time to ILN/Shipper]]-1</f>
        <v>#N/A</v>
      </c>
      <c r="W886" s="50" t="e">
        <f>IFERROR(VLOOKUP(Tableau119[[#This Row],[Key(Compte ILN - shipper - POL - plant)]],'DATA ILN'!A:N,14,FALSE),VLOOKUP(Tableau119[[#This Row],[Key(Compte ILN - shipper - POL)]],'DATA ILN'!B:N,13,FALSE))</f>
        <v>#N/A</v>
      </c>
      <c r="X886" s="50" t="e">
        <f>IFERROR(VLOOKUP(Tableau119[[#This Row],[Key(Compte ILN - shipper - POL - plant)]],'DATA ILN'!A:P,16,FALSE),VLOOKUP(Tableau119[[#This Row],[Key(Compte ILN - shipper - POL)]],'DATA ILN'!B:P,15,FALSE))</f>
        <v>#N/A</v>
      </c>
      <c r="Y886" s="284" t="s">
        <v>291</v>
      </c>
      <c r="Z886" s="430">
        <f>IFERROR(VLOOKUP(Tableau119[[#This Row],[Name Shipper]],Plant_AILN!L:M,2,FALSE),0)</f>
        <v>90016100</v>
      </c>
      <c r="AA886" s="406">
        <v>926</v>
      </c>
      <c r="AB886" s="396" t="b">
        <f>_xlfn.XLOOKUP(Tableau119[[#This Row],[Key(ID-date)]],'DATA BTO'!S:S,'DATA BTO'!E:E,FALSE)</f>
        <v>0</v>
      </c>
      <c r="AC886" s="3" t="b">
        <f>_xlfn.XLOOKUP(Tableau119[[#This Row],[Key(ID-date)]],'DATA BTO'!S:S,'DATA BTO'!F:F,FALSE)</f>
        <v>0</v>
      </c>
      <c r="AD886" s="50" t="b">
        <f>_xlfn.XLOOKUP(Tableau119[[#This Row],[Key(ID-date)]],'DATA BTO'!S:S,'DATA BTO'!G:G,FALSE)</f>
        <v>0</v>
      </c>
      <c r="AE886" s="50" t="b">
        <f>_xlfn.XLOOKUP(Tableau119[[#This Row],[Key(ID-date)]],'DATA BTO'!S:S,'DATA BTO'!H:H,FALSE)</f>
        <v>0</v>
      </c>
      <c r="AF886" s="447" t="e">
        <f>IF(Tableau119[[#This Row],[First Day to POL]]&lt;=Tableau119[[#This Row],[Day Cut Off]],Tableau119[[#This Row],[Day ETD]],Tableau119[[#This Row],[Day ETD]]+7)</f>
        <v>#N/A</v>
      </c>
      <c r="AG886" s="50" t="b">
        <f>_xlfn.XLOOKUP(Tableau119[[#This Row],[Key(ID-date)]],'DATA BTO'!S:S,'DATA BTO'!I:I,FALSE)</f>
        <v>0</v>
      </c>
      <c r="AH886" s="3" t="b">
        <f>_xlfn.XLOOKUP(Tableau119[[#This Row],[Key(ID-date)]],'DATA BTO'!S:S,'DATA BTO'!J:J,FALSE)</f>
        <v>0</v>
      </c>
      <c r="AI886" s="3" t="b">
        <f>_xlfn.XLOOKUP(Tableau119[[#This Row],[Key(ID-date)]],'DATA BTO'!S:S,'DATA BTO'!K:K,FALSE)</f>
        <v>0</v>
      </c>
      <c r="AJ886" s="50" t="b">
        <f>_xlfn.XLOOKUP(Tableau119[[#This Row],[Key(ID-date)]],'DATA BTO'!S:S,'DATA BTO'!L:L,FALSE)</f>
        <v>0</v>
      </c>
      <c r="AK886" s="53" t="b">
        <f>_xlfn.XLOOKUP(Tableau119[[#This Row],[Key(ID-date)]],'DATA BTO'!S:S,'DATA BTO'!N:N,FALSE)</f>
        <v>0</v>
      </c>
      <c r="AL886" s="54" t="e">
        <f>VLOOKUP(Tableau119[[#This Row],[Key(POD -PFI- Usine)]],'DATA Consignee'!A:F,6,FALSE)</f>
        <v>#N/A</v>
      </c>
      <c r="AM886" s="284"/>
      <c r="AN886" s="376" t="str">
        <f>IF(Tableau119[[#This Row],[Name PFI/CDD]]="","-",VLOOKUP(Tableau119[[#This Row],[Name PFI/CDD]],Plant_AILN!I:J,2,FALSE))</f>
        <v>-</v>
      </c>
      <c r="AO88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6" s="2" t="e">
        <f>VLOOKUP(Tableau119[[#This Row],[Key(POD -PFI- Usine)]],'DATA Consignee'!A:J,10,FALSE)</f>
        <v>#N/A</v>
      </c>
      <c r="AR886" s="50" t="e">
        <f>VLOOKUP(Tableau119[[#This Row],[Key(POD -PFI- Usine)]],'DATA Consignee'!A:N,14,FALSE)</f>
        <v>#N/A</v>
      </c>
      <c r="AS88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88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886" s="50">
        <f>Tableau119[[#This Row],[Transit time]]+Tableau119[[#This Row],[Time for security]]+Tableau119[[#This Row],[Time for security2 buffer]]</f>
        <v>0</v>
      </c>
      <c r="AV8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886" s="50" t="e">
        <f>Tableau119[[#This Row],[Leadtime SI2C]]+Tableau119[[#This Row],[First Receipt Days]]-Tableau119[[#This Row],[Day Customer Order]]+1</f>
        <v>#N/A</v>
      </c>
      <c r="AX886" s="119" t="e">
        <f>IF(Tableau119[[#This Row],[Name ILN]]&lt;&gt;"SFK Freight Forwarder",Tableau119[[#This Row],[Cust. Leadtime]],Tableau119[[#This Row],[Leadtime SI2C]])</f>
        <v>#N/A</v>
      </c>
      <c r="AY886" s="51" t="b">
        <f>_xlfn.XLOOKUP(Tableau119[[#This Row],[Key(ID-date)]],'DATA BTO'!S:S,'DATA BTO'!P:P,FALSE)</f>
        <v>0</v>
      </c>
      <c r="AZ886" s="338">
        <v>45473</v>
      </c>
      <c r="BA886" s="50"/>
    </row>
    <row r="887" spans="2:53">
      <c r="B887" s="446" t="str">
        <f>_xlfn.CONCAT(Tableau119[[#This Row],[Name ILN]],"-",Tableau119[[#This Row],[Name Shipper]],"-",Tableau119[[#This Row],[Name Site]])</f>
        <v>KWE Shanghai-KWE Shanghai-OYAK MEKA</v>
      </c>
      <c r="C887" s="66" t="str">
        <f>_xlfn.CONCAT(Tableau119[[#This Row],[Compte ILN]],"-",Tableau119[[#This Row],[Compte Shipper]],"-",Tableau119[[#This Row],[POL]],"-",Tableau119[[#This Row],[Compte Consignee]])</f>
        <v>26037000-26037000-CNSHA-90014400</v>
      </c>
      <c r="D887" s="66" t="str">
        <f>_xlfn.CONCAT(Tableau119[[#This Row],[Compte ILN]],"-",Tableau119[[#This Row],[Compte Shipper]],"-",Tableau119[[#This Row],[POL]])</f>
        <v>26037000-26037000-CNSHA</v>
      </c>
      <c r="E887" s="130" t="str">
        <f>_xlfn.CONCAT(Tableau119[[#This Row],[POL]],"-",Tableau119[[#This Row],[Carrier]],"-",Tableau119[[#This Row],[POD]])</f>
        <v>CNSHA-CMA-CGM-TRIZT</v>
      </c>
      <c r="F887" s="66" t="str">
        <f>_xlfn.CONCAT(Tableau119[[#This Row],[ID]],"-","Actif")</f>
        <v>927-Actif</v>
      </c>
      <c r="G887" s="66" t="str">
        <f>_xlfn.CONCAT(Tableau119[[#This Row],[POD]],"-",Tableau119[[#This Row],[Code PFI]],"-",Tableau119[[#This Row],[Compte Consignee]])</f>
        <v>TRIZT---90014400</v>
      </c>
      <c r="H8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ShanghaiCNSHAOYAK MEKA</v>
      </c>
      <c r="I887" s="434" t="str">
        <f>_xlfn.CONCAT(Tableau119[[#This Row],[ID]],"-",Tableau119[[#This Row],[Expiration Date]])</f>
        <v>927-46142</v>
      </c>
      <c r="J8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MEKA-KWE Shanghai-KWE Shanghai-927-CNSHA-CMA-CGM-TRIZT--46142</v>
      </c>
      <c r="K887" s="119" t="str">
        <f ca="1">IF(COUNTIF(J:J,Tableau119[[#This Row],[Plant-ILN-shipper-POL-Carrier-POD-PFI]])=1,"Non","Oui")</f>
        <v>Non</v>
      </c>
      <c r="L887" s="128" t="str">
        <f>VLOOKUP(Tableau119[[#This Row],[Name Site]],Plant_AILN!A:D,4,FALSE)</f>
        <v>TURKEY</v>
      </c>
      <c r="M887" s="411" t="s">
        <v>165</v>
      </c>
      <c r="N887" s="454">
        <f>VLOOKUP(Tableau119[[#This Row],[Name Site]],Plant_AILN!A:C,3,FALSE)</f>
        <v>90014400</v>
      </c>
      <c r="O887" s="55">
        <f>IF(Tableau119[[#This Row],[Name PFI/CDD]]="PFI VLL",2,VLOOKUP(Tableau119[[#This Row],[Compte Consignee]],Order!C:D,2,FALSE))</f>
        <v>2</v>
      </c>
      <c r="P887" s="124" t="s">
        <v>62</v>
      </c>
      <c r="Q887" s="365">
        <f>VLOOKUP(Tableau119[[#This Row],[Name ILN]],Plant_AILN!F:G,2,FALSE)</f>
        <v>26037000</v>
      </c>
      <c r="R887" s="50">
        <f>VLOOKUP(Tableau119[[#This Row],[Compte ILN]],'DATA ILN'!D:I,6,FALSE)</f>
        <v>9</v>
      </c>
      <c r="S887" s="50">
        <f>IFERROR(VLOOKUP(Tableau119[[#This Row],[Key(Compte ILN - shipper - POL - plant)]],'DATA ILN'!A:J,10,FALSE),VLOOKUP(Tableau119[[#This Row],[Key(Compte ILN - shipper - POL)]],'DATA ILN'!B:J,9,FALSE))</f>
        <v>14</v>
      </c>
      <c r="T887" s="50">
        <f>IFERROR(VLOOKUP(Tableau119[[#This Row],[Key(Compte ILN - shipper - POL - plant)]],'DATA ILN'!A:K,11,FALSE),VLOOKUP(Tableau119[[#This Row],[Key(Compte ILN - shipper - POL)]],'DATA ILN'!B:K,10,FALSE))</f>
        <v>5</v>
      </c>
      <c r="U887" s="50">
        <f>IFERROR(VLOOKUP(Tableau119[[#This Row],[Key(Compte ILN - shipper - POL - plant)]],'DATA ILN'!A:L,12,FALSE),VLOOKUP(Tableau119[[#This Row],[Key(Compte ILN - shipper - POL)]],'DATA ILN'!B:L,11,FALSE))</f>
        <v>7</v>
      </c>
      <c r="V887" s="50">
        <f>Tableau119[[#This Row],[Day ILN Order]]+Tableau119[[#This Row],[Delivery time to ILN/Shipper]]-1</f>
        <v>22</v>
      </c>
      <c r="W887" s="50">
        <f>IFERROR(VLOOKUP(Tableau119[[#This Row],[Key(Compte ILN - shipper - POL - plant)]],'DATA ILN'!A:N,14,FALSE),VLOOKUP(Tableau119[[#This Row],[Key(Compte ILN - shipper - POL)]],'DATA ILN'!B:N,13,FALSE))</f>
        <v>1</v>
      </c>
      <c r="X887" s="50">
        <f>IFERROR(VLOOKUP(Tableau119[[#This Row],[Key(Compte ILN - shipper - POL - plant)]],'DATA ILN'!A:P,16,FALSE),VLOOKUP(Tableau119[[#This Row],[Key(Compte ILN - shipper - POL)]],'DATA ILN'!B:P,15,FALSE))</f>
        <v>2</v>
      </c>
      <c r="Y887" s="284" t="s">
        <v>62</v>
      </c>
      <c r="Z887" s="430">
        <f>IFERROR(VLOOKUP(Tableau119[[#This Row],[Name Shipper]],Plant_AILN!L:M,2,FALSE),0)</f>
        <v>26037000</v>
      </c>
      <c r="AA887" s="406">
        <v>927</v>
      </c>
      <c r="AB887" s="396" t="str">
        <f>_xlfn.XLOOKUP(Tableau119[[#This Row],[Key(ID-date)]],'DATA BTO'!S:S,'DATA BTO'!E:E,FALSE)</f>
        <v>CNSHA</v>
      </c>
      <c r="AC887" s="3" t="str">
        <f>_xlfn.XLOOKUP(Tableau119[[#This Row],[Key(ID-date)]],'DATA BTO'!S:S,'DATA BTO'!F:F,FALSE)</f>
        <v>CMA-CGM</v>
      </c>
      <c r="AD887" s="50">
        <f>_xlfn.XLOOKUP(Tableau119[[#This Row],[Key(ID-date)]],'DATA BTO'!S:S,'DATA BTO'!G:G,FALSE)</f>
        <v>5</v>
      </c>
      <c r="AE887" s="50">
        <f>_xlfn.XLOOKUP(Tableau119[[#This Row],[Key(ID-date)]],'DATA BTO'!S:S,'DATA BTO'!H:H,FALSE)</f>
        <v>9</v>
      </c>
      <c r="AF887" s="447">
        <f>IF(Tableau119[[#This Row],[First Day to POL]]&lt;=Tableau119[[#This Row],[Day Cut Off]],Tableau119[[#This Row],[Day ETD]],Tableau119[[#This Row],[Day ETD]]+7)</f>
        <v>9</v>
      </c>
      <c r="AG887" s="50">
        <f>_xlfn.XLOOKUP(Tableau119[[#This Row],[Key(ID-date)]],'DATA BTO'!S:S,'DATA BTO'!I:I,FALSE)</f>
        <v>52</v>
      </c>
      <c r="AH887" s="3" t="str">
        <f>_xlfn.XLOOKUP(Tableau119[[#This Row],[Key(ID-date)]],'DATA BTO'!S:S,'DATA BTO'!J:J,FALSE)</f>
        <v>TRIZT</v>
      </c>
      <c r="AI887" s="3">
        <f>_xlfn.XLOOKUP(Tableau119[[#This Row],[Key(ID-date)]],'DATA BTO'!S:S,'DATA BTO'!K:K,FALSE)</f>
        <v>3</v>
      </c>
      <c r="AJ887" s="50">
        <f>_xlfn.XLOOKUP(Tableau119[[#This Row],[Key(ID-date)]],'DATA BTO'!S:S,'DATA BTO'!L:L,FALSE)</f>
        <v>7</v>
      </c>
      <c r="AK887" s="53" t="str">
        <f>_xlfn.XLOOKUP(Tableau119[[#This Row],[Key(ID-date)]],'DATA BTO'!S:S,'DATA BTO'!N:N,FALSE)</f>
        <v>Marc-Aurele</v>
      </c>
      <c r="AL887" s="54">
        <f>VLOOKUP(Tableau119[[#This Row],[Key(POD -PFI- Usine)]],'DATA Consignee'!A:F,6,FALSE)</f>
        <v>4</v>
      </c>
      <c r="AM887" s="284"/>
      <c r="AN887" s="376" t="str">
        <f>IF(Tableau119[[#This Row],[Name PFI/CDD]]="","-",VLOOKUP(Tableau119[[#This Row],[Name PFI/CDD]],Plant_AILN!I:J,2,FALSE))</f>
        <v>-</v>
      </c>
      <c r="AO88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7" s="2">
        <f>VLOOKUP(Tableau119[[#This Row],[Key(POD -PFI- Usine)]],'DATA Consignee'!A:J,10,FALSE)</f>
        <v>0</v>
      </c>
      <c r="AR887" s="50">
        <f>VLOOKUP(Tableau119[[#This Row],[Key(POD -PFI- Usine)]],'DATA Consignee'!A:N,14,FALSE)</f>
        <v>3</v>
      </c>
      <c r="AS88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8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87" s="50">
        <f>Tableau119[[#This Row],[Transit time]]+Tableau119[[#This Row],[Time for security]]+Tableau119[[#This Row],[Time for security2 buffer]]</f>
        <v>62</v>
      </c>
      <c r="AV88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887" s="50">
        <f>Tableau119[[#This Row],[Leadtime SI2C]]+Tableau119[[#This Row],[First Receipt Days]]-Tableau119[[#This Row],[Day Customer Order]]+1</f>
        <v>104</v>
      </c>
      <c r="AX887" s="119">
        <f>IF(Tableau119[[#This Row],[Name ILN]]&lt;&gt;"SFK Freight Forwarder",Tableau119[[#This Row],[Cust. Leadtime]],Tableau119[[#This Row],[Leadtime SI2C]])</f>
        <v>104</v>
      </c>
      <c r="AY887" s="51" t="str">
        <f>_xlfn.XLOOKUP(Tableau119[[#This Row],[Key(ID-date)]],'DATA BTO'!S:S,'DATA BTO'!P:P,FALSE)</f>
        <v>Renault &gt; Horse BPH</v>
      </c>
      <c r="AZ887" s="338">
        <v>46142</v>
      </c>
      <c r="BA887" s="50"/>
    </row>
    <row r="888" spans="2:53">
      <c r="B888" s="446" t="str">
        <f>_xlfn.CONCAT(Tableau119[[#This Row],[Name ILN]],"-",Tableau119[[#This Row],[Name Shipper]],"-",Tableau119[[#This Row],[Name Site]])</f>
        <v>KWE Shanghai-KWE Shanghai-OYAK MEKA</v>
      </c>
      <c r="C888" s="66" t="str">
        <f>_xlfn.CONCAT(Tableau119[[#This Row],[Compte ILN]],"-",Tableau119[[#This Row],[Compte Shipper]],"-",Tableau119[[#This Row],[POL]],"-",Tableau119[[#This Row],[Compte Consignee]])</f>
        <v>26037000-26037000-CNSHA-90014400</v>
      </c>
      <c r="D888" s="66" t="str">
        <f>_xlfn.CONCAT(Tableau119[[#This Row],[Compte ILN]],"-",Tableau119[[#This Row],[Compte Shipper]],"-",Tableau119[[#This Row],[POL]])</f>
        <v>26037000-26037000-CNSHA</v>
      </c>
      <c r="E888" s="130" t="str">
        <f>_xlfn.CONCAT(Tableau119[[#This Row],[POL]],"-",Tableau119[[#This Row],[Carrier]],"-",Tableau119[[#This Row],[POD]])</f>
        <v>CNSHA-CMA-CGM-TRIZT</v>
      </c>
      <c r="F888" s="66" t="str">
        <f>_xlfn.CONCAT(Tableau119[[#This Row],[ID]],"-","Actif")</f>
        <v>927-Actif</v>
      </c>
      <c r="G888" s="66" t="str">
        <f>_xlfn.CONCAT(Tableau119[[#This Row],[POD]],"-",Tableau119[[#This Row],[Code PFI]],"-",Tableau119[[#This Row],[Compte Consignee]])</f>
        <v>TRIZT---90014400</v>
      </c>
      <c r="H8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ShanghaiCNSHAOYAK MEKA</v>
      </c>
      <c r="I888" s="434" t="str">
        <f>_xlfn.CONCAT(Tableau119[[#This Row],[ID]],"-",Tableau119[[#This Row],[Expiration Date]])</f>
        <v>927-45961</v>
      </c>
      <c r="J8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MEKA-KWE Shanghai-KWE Shanghai-927-CNSHA-CMA-CGM-TRIZT--45961</v>
      </c>
      <c r="K888" s="119" t="str">
        <f ca="1">IF(COUNTIF(J:J,Tableau119[[#This Row],[Plant-ILN-shipper-POL-Carrier-POD-PFI]])=1,"Non","Oui")</f>
        <v>Non</v>
      </c>
      <c r="L888" s="128" t="str">
        <f>VLOOKUP(Tableau119[[#This Row],[Name Site]],Plant_AILN!A:D,4,FALSE)</f>
        <v>TURKEY</v>
      </c>
      <c r="M888" s="415" t="s">
        <v>165</v>
      </c>
      <c r="N888" s="455">
        <f>VLOOKUP(Tableau119[[#This Row],[Name Site]],Plant_AILN!A:C,3,FALSE)</f>
        <v>90014400</v>
      </c>
      <c r="O888" s="104">
        <f>VLOOKUP(Tableau119[[#This Row],[Compte Consignee]],Order!C:D,2,FALSE)</f>
        <v>2</v>
      </c>
      <c r="P888" s="126" t="s">
        <v>62</v>
      </c>
      <c r="Q888" s="366">
        <f>VLOOKUP(Tableau119[[#This Row],[Name ILN]],Plant_AILN!F:G,2,FALSE)</f>
        <v>26037000</v>
      </c>
      <c r="R888" s="81">
        <f>VLOOKUP(Tableau119[[#This Row],[Compte ILN]],'DATA ILN'!D:I,6,FALSE)</f>
        <v>9</v>
      </c>
      <c r="S888" s="81">
        <f>IFERROR(VLOOKUP(Tableau119[[#This Row],[Key(Compte ILN - shipper - POL - plant)]],'DATA ILN'!A:J,10,FALSE),VLOOKUP(Tableau119[[#This Row],[Key(Compte ILN - shipper - POL)]],'DATA ILN'!B:J,9,FALSE))</f>
        <v>14</v>
      </c>
      <c r="T888" s="81">
        <f>IFERROR(VLOOKUP(Tableau119[[#This Row],[Key(Compte ILN - shipper - POL - plant)]],'DATA ILN'!A:K,11,FALSE),VLOOKUP(Tableau119[[#This Row],[Key(Compte ILN - shipper - POL)]],'DATA ILN'!B:K,10,FALSE))</f>
        <v>5</v>
      </c>
      <c r="U888" s="81">
        <f>IFERROR(VLOOKUP(Tableau119[[#This Row],[Key(Compte ILN - shipper - POL - plant)]],'DATA ILN'!A:L,12,FALSE),VLOOKUP(Tableau119[[#This Row],[Key(Compte ILN - shipper - POL)]],'DATA ILN'!B:L,11,FALSE))</f>
        <v>7</v>
      </c>
      <c r="V888" s="81">
        <f>Tableau119[[#This Row],[Day ILN Order]]+Tableau119[[#This Row],[Delivery time to ILN/Shipper]]-1</f>
        <v>22</v>
      </c>
      <c r="W888" s="81">
        <f>IFERROR(VLOOKUP(Tableau119[[#This Row],[Key(Compte ILN - shipper - POL - plant)]],'DATA ILN'!A:N,14,FALSE),VLOOKUP(Tableau119[[#This Row],[Key(Compte ILN - shipper - POL)]],'DATA ILN'!B:N,13,FALSE))</f>
        <v>1</v>
      </c>
      <c r="X888" s="81">
        <f>IFERROR(VLOOKUP(Tableau119[[#This Row],[Key(Compte ILN - shipper - POL - plant)]],'DATA ILN'!A:P,16,FALSE),VLOOKUP(Tableau119[[#This Row],[Key(Compte ILN - shipper - POL)]],'DATA ILN'!B:P,15,FALSE))</f>
        <v>2</v>
      </c>
      <c r="Y888" s="102" t="s">
        <v>62</v>
      </c>
      <c r="Z888" s="417">
        <f>IFERROR(VLOOKUP(Tableau119[[#This Row],[Name Shipper]],Plant_AILN!L:M,2,FALSE),0)</f>
        <v>26037000</v>
      </c>
      <c r="AA888" s="416">
        <v>927</v>
      </c>
      <c r="AB888" s="396" t="str">
        <f>_xlfn.XLOOKUP(Tableau119[[#This Row],[Key(ID-date)]],'DATA BTO'!S:S,'DATA BTO'!E:E,FALSE)</f>
        <v>CNSHA</v>
      </c>
      <c r="AC888" s="3" t="str">
        <f>_xlfn.XLOOKUP(Tableau119[[#This Row],[Key(ID-date)]],'DATA BTO'!S:S,'DATA BTO'!F:F,FALSE)</f>
        <v>CMA-CGM</v>
      </c>
      <c r="AD888" s="50">
        <f>_xlfn.XLOOKUP(Tableau119[[#This Row],[Key(ID-date)]],'DATA BTO'!S:S,'DATA BTO'!G:G,FALSE)</f>
        <v>5</v>
      </c>
      <c r="AE888" s="50">
        <f>_xlfn.XLOOKUP(Tableau119[[#This Row],[Key(ID-date)]],'DATA BTO'!S:S,'DATA BTO'!H:H,FALSE)</f>
        <v>9</v>
      </c>
      <c r="AF888" s="447">
        <f>IF(Tableau119[[#This Row],[First Day to POL]]&lt;=Tableau119[[#This Row],[Day Cut Off]],Tableau119[[#This Row],[Day ETD]],Tableau119[[#This Row],[Day ETD]]+7)</f>
        <v>9</v>
      </c>
      <c r="AG888" s="50">
        <f>_xlfn.XLOOKUP(Tableau119[[#This Row],[Key(ID-date)]],'DATA BTO'!S:S,'DATA BTO'!I:I,FALSE)</f>
        <v>52</v>
      </c>
      <c r="AH888" s="3" t="str">
        <f>_xlfn.XLOOKUP(Tableau119[[#This Row],[Key(ID-date)]],'DATA BTO'!S:S,'DATA BTO'!J:J,FALSE)</f>
        <v>TRIZT</v>
      </c>
      <c r="AI888" s="3">
        <f>_xlfn.XLOOKUP(Tableau119[[#This Row],[Key(ID-date)]],'DATA BTO'!S:S,'DATA BTO'!K:K,FALSE)</f>
        <v>3</v>
      </c>
      <c r="AJ888" s="50">
        <f>_xlfn.XLOOKUP(Tableau119[[#This Row],[Key(ID-date)]],'DATA BTO'!S:S,'DATA BTO'!L:L,FALSE)</f>
        <v>0</v>
      </c>
      <c r="AK888" s="53" t="str">
        <f>_xlfn.XLOOKUP(Tableau119[[#This Row],[Key(ID-date)]],'DATA BTO'!S:S,'DATA BTO'!N:N,FALSE)</f>
        <v>Marc-Aurele</v>
      </c>
      <c r="AL888" s="54">
        <f>VLOOKUP(Tableau119[[#This Row],[Key(POD -PFI- Usine)]],'DATA Consignee'!A:F,6,FALSE)</f>
        <v>4</v>
      </c>
      <c r="AM888" s="102"/>
      <c r="AN888" s="375" t="str">
        <f>IF(Tableau119[[#This Row],[Name PFI/CDD]]="","-",VLOOKUP(Tableau119[[#This Row],[Name PFI/CDD]],Plant_AILN!I:J,2,FALSE))</f>
        <v>-</v>
      </c>
      <c r="AO88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8" s="110">
        <f>VLOOKUP(Tableau119[[#This Row],[Key(POD -PFI- Usine)]],'DATA Consignee'!A:J,10,FALSE)</f>
        <v>0</v>
      </c>
      <c r="AR888" s="81">
        <f>VLOOKUP(Tableau119[[#This Row],[Key(POD -PFI- Usine)]],'DATA Consignee'!A:N,14,FALSE)</f>
        <v>3</v>
      </c>
      <c r="AS88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8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88" s="81">
        <f>Tableau119[[#This Row],[Transit time]]+Tableau119[[#This Row],[Time for security]]+Tableau119[[#This Row],[Time for security2 buffer]]</f>
        <v>55</v>
      </c>
      <c r="AV88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88" s="50">
        <f>Tableau119[[#This Row],[Leadtime SI2C]]+Tableau119[[#This Row],[First Receipt Days]]-Tableau119[[#This Row],[Day Customer Order]]+1</f>
        <v>97</v>
      </c>
      <c r="AX888" s="119">
        <f>IF(Tableau119[[#This Row],[Name ILN]]&lt;&gt;"SFK Freight Forwarder",Tableau119[[#This Row],[Cust. Leadtime]],Tableau119[[#This Row],[Leadtime SI2C]])</f>
        <v>97</v>
      </c>
      <c r="AY888" s="51" t="str">
        <f>_xlfn.XLOOKUP(Tableau119[[#This Row],[Key(ID-date)]],'DATA BTO'!S:S,'DATA BTO'!P:P,FALSE)</f>
        <v>Renault &gt; Horse BPH</v>
      </c>
      <c r="AZ888" s="388">
        <v>45961</v>
      </c>
      <c r="BA888" s="81"/>
    </row>
    <row r="889" spans="2:53">
      <c r="B889" s="446" t="str">
        <f>_xlfn.CONCAT(Tableau119[[#This Row],[Name ILN]],"-",Tableau119[[#This Row],[Name Shipper]],"-",Tableau119[[#This Row],[Name Site]])</f>
        <v>KWE Shanghai-KWE Shanghai-OYAK MEKA</v>
      </c>
      <c r="C889" s="66" t="str">
        <f>_xlfn.CONCAT(Tableau119[[#This Row],[Compte ILN]],"-",Tableau119[[#This Row],[Compte Shipper]],"-",Tableau119[[#This Row],[POL]],"-",Tableau119[[#This Row],[Compte Consignee]])</f>
        <v>26037000-26037000-CNSHA-90014400</v>
      </c>
      <c r="D889" s="66" t="str">
        <f>_xlfn.CONCAT(Tableau119[[#This Row],[Compte ILN]],"-",Tableau119[[#This Row],[Compte Shipper]],"-",Tableau119[[#This Row],[POL]])</f>
        <v>26037000-26037000-CNSHA</v>
      </c>
      <c r="E889" s="130" t="str">
        <f>_xlfn.CONCAT(Tableau119[[#This Row],[POL]],"-",Tableau119[[#This Row],[Carrier]],"-",Tableau119[[#This Row],[POD]])</f>
        <v>CNSHA-CMA-CGM-TRIZT</v>
      </c>
      <c r="F889" s="66" t="str">
        <f>_xlfn.CONCAT(Tableau119[[#This Row],[ID]],"-","Actif")</f>
        <v>927-Actif</v>
      </c>
      <c r="G889" s="66" t="str">
        <f>_xlfn.CONCAT(Tableau119[[#This Row],[POD]],"-",Tableau119[[#This Row],[Code PFI]],"-",Tableau119[[#This Row],[Compte Consignee]])</f>
        <v>TRIZT---90014400</v>
      </c>
      <c r="H8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ShanghaiCNSHAOYAK MEKA</v>
      </c>
      <c r="I889" s="434" t="str">
        <f>_xlfn.CONCAT(Tableau119[[#This Row],[ID]],"-",Tableau119[[#This Row],[Expiration Date]])</f>
        <v>927-45777</v>
      </c>
      <c r="J8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MEKA-KWE Shanghai-KWE Shanghai-927-CNSHA-CMA-CGM-TRIZT--45777</v>
      </c>
      <c r="K889" s="119" t="str">
        <f ca="1">IF(COUNTIF(J:J,Tableau119[[#This Row],[Plant-ILN-shipper-POL-Carrier-POD-PFI]])=1,"Non","Oui")</f>
        <v>Non</v>
      </c>
      <c r="L889" s="128" t="str">
        <f>VLOOKUP(Tableau119[[#This Row],[Name Site]],Plant_AILN!A:D,4,FALSE)</f>
        <v>TURKEY</v>
      </c>
      <c r="M889" s="411" t="s">
        <v>165</v>
      </c>
      <c r="N889" s="454">
        <f>VLOOKUP(Tableau119[[#This Row],[Name Site]],Plant_AILN!A:C,3,FALSE)</f>
        <v>90014400</v>
      </c>
      <c r="O889" s="55">
        <f>VLOOKUP(Tableau119[[#This Row],[Compte Consignee]],Order!C:D,2,FALSE)</f>
        <v>2</v>
      </c>
      <c r="P889" s="124" t="s">
        <v>62</v>
      </c>
      <c r="Q889" s="365">
        <f>VLOOKUP(Tableau119[[#This Row],[Name ILN]],Plant_AILN!F:G,2,FALSE)</f>
        <v>26037000</v>
      </c>
      <c r="R889" s="50">
        <f>VLOOKUP(Tableau119[[#This Row],[Compte ILN]],'DATA ILN'!D:I,6,FALSE)</f>
        <v>9</v>
      </c>
      <c r="S889" s="50">
        <f>IFERROR(VLOOKUP(Tableau119[[#This Row],[Key(Compte ILN - shipper - POL - plant)]],'DATA ILN'!A:J,10,FALSE),VLOOKUP(Tableau119[[#This Row],[Key(Compte ILN - shipper - POL)]],'DATA ILN'!B:J,9,FALSE))</f>
        <v>14</v>
      </c>
      <c r="T889" s="50">
        <f>IFERROR(VLOOKUP(Tableau119[[#This Row],[Key(Compte ILN - shipper - POL - plant)]],'DATA ILN'!A:K,11,FALSE),VLOOKUP(Tableau119[[#This Row],[Key(Compte ILN - shipper - POL)]],'DATA ILN'!B:K,10,FALSE))</f>
        <v>5</v>
      </c>
      <c r="U889" s="50">
        <f>IFERROR(VLOOKUP(Tableau119[[#This Row],[Key(Compte ILN - shipper - POL - plant)]],'DATA ILN'!A:L,12,FALSE),VLOOKUP(Tableau119[[#This Row],[Key(Compte ILN - shipper - POL)]],'DATA ILN'!B:L,11,FALSE))</f>
        <v>7</v>
      </c>
      <c r="V889" s="50">
        <f>Tableau119[[#This Row],[Day ILN Order]]+Tableau119[[#This Row],[Delivery time to ILN/Shipper]]-1</f>
        <v>22</v>
      </c>
      <c r="W889" s="50">
        <f>IFERROR(VLOOKUP(Tableau119[[#This Row],[Key(Compte ILN - shipper - POL - plant)]],'DATA ILN'!A:N,14,FALSE),VLOOKUP(Tableau119[[#This Row],[Key(Compte ILN - shipper - POL)]],'DATA ILN'!B:N,13,FALSE))</f>
        <v>1</v>
      </c>
      <c r="X889" s="50">
        <f>IFERROR(VLOOKUP(Tableau119[[#This Row],[Key(Compte ILN - shipper - POL - plant)]],'DATA ILN'!A:P,16,FALSE),VLOOKUP(Tableau119[[#This Row],[Key(Compte ILN - shipper - POL)]],'DATA ILN'!B:P,15,FALSE))</f>
        <v>2</v>
      </c>
      <c r="Y889" s="284" t="s">
        <v>62</v>
      </c>
      <c r="Z889" s="430">
        <f>IFERROR(VLOOKUP(Tableau119[[#This Row],[Name Shipper]],Plant_AILN!L:M,2,FALSE),0)</f>
        <v>26037000</v>
      </c>
      <c r="AA889" s="406">
        <v>927</v>
      </c>
      <c r="AB889" s="396" t="str">
        <f>_xlfn.XLOOKUP(Tableau119[[#This Row],[Key(ID-date)]],'DATA BTO'!S:S,'DATA BTO'!E:E,FALSE)</f>
        <v>CNSHA</v>
      </c>
      <c r="AC889" s="3" t="str">
        <f>_xlfn.XLOOKUP(Tableau119[[#This Row],[Key(ID-date)]],'DATA BTO'!S:S,'DATA BTO'!F:F,FALSE)</f>
        <v>CMA-CGM</v>
      </c>
      <c r="AD889" s="50">
        <f>_xlfn.XLOOKUP(Tableau119[[#This Row],[Key(ID-date)]],'DATA BTO'!S:S,'DATA BTO'!G:G,FALSE)</f>
        <v>5</v>
      </c>
      <c r="AE889" s="50">
        <f>_xlfn.XLOOKUP(Tableau119[[#This Row],[Key(ID-date)]],'DATA BTO'!S:S,'DATA BTO'!H:H,FALSE)</f>
        <v>9</v>
      </c>
      <c r="AF889" s="447">
        <f>IF(Tableau119[[#This Row],[First Day to POL]]&lt;=Tableau119[[#This Row],[Day Cut Off]],Tableau119[[#This Row],[Day ETD]],Tableau119[[#This Row],[Day ETD]]+7)</f>
        <v>9</v>
      </c>
      <c r="AG889" s="50">
        <f>_xlfn.XLOOKUP(Tableau119[[#This Row],[Key(ID-date)]],'DATA BTO'!S:S,'DATA BTO'!I:I,FALSE)</f>
        <v>52</v>
      </c>
      <c r="AH889" s="3" t="str">
        <f>_xlfn.XLOOKUP(Tableau119[[#This Row],[Key(ID-date)]],'DATA BTO'!S:S,'DATA BTO'!J:J,FALSE)</f>
        <v>TRIZT</v>
      </c>
      <c r="AI889" s="3">
        <f>_xlfn.XLOOKUP(Tableau119[[#This Row],[Key(ID-date)]],'DATA BTO'!S:S,'DATA BTO'!K:K,FALSE)</f>
        <v>3</v>
      </c>
      <c r="AJ889" s="50">
        <f>_xlfn.XLOOKUP(Tableau119[[#This Row],[Key(ID-date)]],'DATA BTO'!S:S,'DATA BTO'!L:L,FALSE)</f>
        <v>0</v>
      </c>
      <c r="AK889" s="53" t="str">
        <f>_xlfn.XLOOKUP(Tableau119[[#This Row],[Key(ID-date)]],'DATA BTO'!S:S,'DATA BTO'!N:N,FALSE)</f>
        <v>Anthony</v>
      </c>
      <c r="AL889" s="54">
        <f>VLOOKUP(Tableau119[[#This Row],[Key(POD -PFI- Usine)]],'DATA Consignee'!A:F,6,FALSE)</f>
        <v>4</v>
      </c>
      <c r="AM889" s="284"/>
      <c r="AN889" s="376" t="str">
        <f>IF(Tableau119[[#This Row],[Name PFI/CDD]]="","-",VLOOKUP(Tableau119[[#This Row],[Name PFI/CDD]],Plant_AILN!I:J,2,FALSE))</f>
        <v>-</v>
      </c>
      <c r="AO88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8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89" s="2">
        <f>VLOOKUP(Tableau119[[#This Row],[Key(POD -PFI- Usine)]],'DATA Consignee'!A:J,10,FALSE)</f>
        <v>0</v>
      </c>
      <c r="AR889" s="50">
        <f>VLOOKUP(Tableau119[[#This Row],[Key(POD -PFI- Usine)]],'DATA Consignee'!A:N,14,FALSE)</f>
        <v>3</v>
      </c>
      <c r="AS88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8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89" s="50">
        <f>Tableau119[[#This Row],[Transit time]]+Tableau119[[#This Row],[Time for security]]+Tableau119[[#This Row],[Time for security2 buffer]]</f>
        <v>55</v>
      </c>
      <c r="AV88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89" s="50">
        <f>Tableau119[[#This Row],[Leadtime SI2C]]+Tableau119[[#This Row],[First Receipt Days]]-Tableau119[[#This Row],[Day Customer Order]]+1</f>
        <v>97</v>
      </c>
      <c r="AX889" s="119">
        <f>IF(Tableau119[[#This Row],[Name ILN]]&lt;&gt;"SFK Freight Forwarder",Tableau119[[#This Row],[Cust. Leadtime]],Tableau119[[#This Row],[Leadtime SI2C]])</f>
        <v>97</v>
      </c>
      <c r="AY889" s="51" t="str">
        <f>_xlfn.XLOOKUP(Tableau119[[#This Row],[Key(ID-date)]],'DATA BTO'!S:S,'DATA BTO'!P:P,FALSE)</f>
        <v>Renault &gt; Horse BPH</v>
      </c>
      <c r="AZ889" s="338">
        <v>45777</v>
      </c>
      <c r="BA889" s="50"/>
    </row>
    <row r="890" spans="2:53">
      <c r="B890" s="446" t="str">
        <f>_xlfn.CONCAT(Tableau119[[#This Row],[Name ILN]],"-",Tableau119[[#This Row],[Name Shipper]],"-",Tableau119[[#This Row],[Name Site]])</f>
        <v>KWE Shanghai-KWE Shanghai-OYAK MEKA</v>
      </c>
      <c r="C890" s="66" t="str">
        <f>_xlfn.CONCAT(Tableau119[[#This Row],[Compte ILN]],"-",Tableau119[[#This Row],[Compte Shipper]],"-",Tableau119[[#This Row],[POL]],"-",Tableau119[[#This Row],[Compte Consignee]])</f>
        <v>26037000-26037000-CNSHA-90014400</v>
      </c>
      <c r="D890" s="66" t="str">
        <f>_xlfn.CONCAT(Tableau119[[#This Row],[Compte ILN]],"-",Tableau119[[#This Row],[Compte Shipper]],"-",Tableau119[[#This Row],[POL]])</f>
        <v>26037000-26037000-CNSHA</v>
      </c>
      <c r="E890" s="130" t="str">
        <f>_xlfn.CONCAT(Tableau119[[#This Row],[POL]],"-",Tableau119[[#This Row],[Carrier]],"-",Tableau119[[#This Row],[POD]])</f>
        <v>CNSHA-CMA-CGM-TRIZT</v>
      </c>
      <c r="F890" s="66" t="str">
        <f>_xlfn.CONCAT(Tableau119[[#This Row],[ID]],"-","Actif")</f>
        <v>927-Actif</v>
      </c>
      <c r="G890" s="66" t="str">
        <f>_xlfn.CONCAT(Tableau119[[#This Row],[POD]],"-",Tableau119[[#This Row],[Code PFI]],"-",Tableau119[[#This Row],[Compte Consignee]])</f>
        <v>TRIZT---90014400</v>
      </c>
      <c r="H8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ShanghaiCNSHAOYAK MEKA</v>
      </c>
      <c r="I890" s="434" t="str">
        <f>_xlfn.CONCAT(Tableau119[[#This Row],[ID]],"-",Tableau119[[#This Row],[Expiration Date]])</f>
        <v>927-45473</v>
      </c>
      <c r="J8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MEKA-KWE Shanghai-KWE Shanghai-927-CNSHA-CMA-CGM-TRIZT--45473</v>
      </c>
      <c r="K890" s="119" t="str">
        <f ca="1">IF(COUNTIF(J:J,Tableau119[[#This Row],[Plant-ILN-shipper-POL-Carrier-POD-PFI]])=1,"Non","Oui")</f>
        <v>Non</v>
      </c>
      <c r="L890" s="128" t="str">
        <f>VLOOKUP(Tableau119[[#This Row],[Name Site]],Plant_AILN!A:D,4,FALSE)</f>
        <v>TURKEY</v>
      </c>
      <c r="M890" s="411" t="s">
        <v>165</v>
      </c>
      <c r="N890" s="454">
        <f>VLOOKUP(Tableau119[[#This Row],[Name Site]],Plant_AILN!A:C,3,FALSE)</f>
        <v>90014400</v>
      </c>
      <c r="O890" s="55">
        <f>VLOOKUP(Tableau119[[#This Row],[Compte Consignee]],Order!C:D,2,FALSE)</f>
        <v>2</v>
      </c>
      <c r="P890" s="124" t="s">
        <v>62</v>
      </c>
      <c r="Q890" s="365">
        <f>VLOOKUP(Tableau119[[#This Row],[Name ILN]],Plant_AILN!F:G,2,FALSE)</f>
        <v>26037000</v>
      </c>
      <c r="R890" s="50">
        <f>VLOOKUP(Tableau119[[#This Row],[Compte ILN]],'DATA ILN'!D:I,6,FALSE)</f>
        <v>9</v>
      </c>
      <c r="S890" s="50">
        <f>IFERROR(VLOOKUP(Tableau119[[#This Row],[Key(Compte ILN - shipper - POL - plant)]],'DATA ILN'!A:J,10,FALSE),VLOOKUP(Tableau119[[#This Row],[Key(Compte ILN - shipper - POL)]],'DATA ILN'!B:J,9,FALSE))</f>
        <v>14</v>
      </c>
      <c r="T890" s="50">
        <f>IFERROR(VLOOKUP(Tableau119[[#This Row],[Key(Compte ILN - shipper - POL - plant)]],'DATA ILN'!A:K,11,FALSE),VLOOKUP(Tableau119[[#This Row],[Key(Compte ILN - shipper - POL)]],'DATA ILN'!B:K,10,FALSE))</f>
        <v>5</v>
      </c>
      <c r="U890" s="50">
        <f>IFERROR(VLOOKUP(Tableau119[[#This Row],[Key(Compte ILN - shipper - POL - plant)]],'DATA ILN'!A:L,12,FALSE),VLOOKUP(Tableau119[[#This Row],[Key(Compte ILN - shipper - POL)]],'DATA ILN'!B:L,11,FALSE))</f>
        <v>7</v>
      </c>
      <c r="V890" s="50">
        <f>Tableau119[[#This Row],[Day ILN Order]]+Tableau119[[#This Row],[Delivery time to ILN/Shipper]]-1</f>
        <v>22</v>
      </c>
      <c r="W890" s="50">
        <f>IFERROR(VLOOKUP(Tableau119[[#This Row],[Key(Compte ILN - shipper - POL - plant)]],'DATA ILN'!A:N,14,FALSE),VLOOKUP(Tableau119[[#This Row],[Key(Compte ILN - shipper - POL)]],'DATA ILN'!B:N,13,FALSE))</f>
        <v>1</v>
      </c>
      <c r="X890" s="50">
        <f>IFERROR(VLOOKUP(Tableau119[[#This Row],[Key(Compte ILN - shipper - POL - plant)]],'DATA ILN'!A:P,16,FALSE),VLOOKUP(Tableau119[[#This Row],[Key(Compte ILN - shipper - POL)]],'DATA ILN'!B:P,15,FALSE))</f>
        <v>2</v>
      </c>
      <c r="Y890" s="284" t="s">
        <v>62</v>
      </c>
      <c r="Z890" s="430">
        <f>IFERROR(VLOOKUP(Tableau119[[#This Row],[Name Shipper]],Plant_AILN!L:M,2,FALSE),0)</f>
        <v>26037000</v>
      </c>
      <c r="AA890" s="406">
        <v>927</v>
      </c>
      <c r="AB890" s="396" t="str">
        <f>_xlfn.XLOOKUP(Tableau119[[#This Row],[Key(ID-date)]],'DATA BTO'!S:S,'DATA BTO'!E:E,FALSE)</f>
        <v>CNSHA</v>
      </c>
      <c r="AC890" s="3" t="str">
        <f>_xlfn.XLOOKUP(Tableau119[[#This Row],[Key(ID-date)]],'DATA BTO'!S:S,'DATA BTO'!F:F,FALSE)</f>
        <v>CMA-CGM</v>
      </c>
      <c r="AD890" s="50">
        <f>_xlfn.XLOOKUP(Tableau119[[#This Row],[Key(ID-date)]],'DATA BTO'!S:S,'DATA BTO'!G:G,FALSE)</f>
        <v>1</v>
      </c>
      <c r="AE890" s="50">
        <f>_xlfn.XLOOKUP(Tableau119[[#This Row],[Key(ID-date)]],'DATA BTO'!S:S,'DATA BTO'!H:H,FALSE)</f>
        <v>3</v>
      </c>
      <c r="AF890" s="447">
        <f>IF(Tableau119[[#This Row],[First Day to POL]]&lt;=Tableau119[[#This Row],[Day Cut Off]],Tableau119[[#This Row],[Day ETD]],Tableau119[[#This Row],[Day ETD]]+7)</f>
        <v>10</v>
      </c>
      <c r="AG890" s="50">
        <f>_xlfn.XLOOKUP(Tableau119[[#This Row],[Key(ID-date)]],'DATA BTO'!S:S,'DATA BTO'!I:I,FALSE)</f>
        <v>31</v>
      </c>
      <c r="AH890" s="3" t="str">
        <f>_xlfn.XLOOKUP(Tableau119[[#This Row],[Key(ID-date)]],'DATA BTO'!S:S,'DATA BTO'!J:J,FALSE)</f>
        <v>TRIZT</v>
      </c>
      <c r="AI890" s="3">
        <f>_xlfn.XLOOKUP(Tableau119[[#This Row],[Key(ID-date)]],'DATA BTO'!S:S,'DATA BTO'!K:K,FALSE)</f>
        <v>3</v>
      </c>
      <c r="AJ890" s="50">
        <f>_xlfn.XLOOKUP(Tableau119[[#This Row],[Key(ID-date)]],'DATA BTO'!S:S,'DATA BTO'!L:L,FALSE)</f>
        <v>7</v>
      </c>
      <c r="AK890" s="53" t="str">
        <f>_xlfn.XLOOKUP(Tableau119[[#This Row],[Key(ID-date)]],'DATA BTO'!S:S,'DATA BTO'!N:N,FALSE)</f>
        <v>Anthony</v>
      </c>
      <c r="AL890" s="54">
        <f>VLOOKUP(Tableau119[[#This Row],[Key(POD -PFI- Usine)]],'DATA Consignee'!A:F,6,FALSE)</f>
        <v>4</v>
      </c>
      <c r="AM890" s="284"/>
      <c r="AN890" s="376" t="str">
        <f>IF(Tableau119[[#This Row],[Name PFI/CDD]]="","-",VLOOKUP(Tableau119[[#This Row],[Name PFI/CDD]],Plant_AILN!I:J,2,FALSE))</f>
        <v>-</v>
      </c>
      <c r="AO8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90" s="2">
        <f>VLOOKUP(Tableau119[[#This Row],[Key(POD -PFI- Usine)]],'DATA Consignee'!A:J,10,FALSE)</f>
        <v>0</v>
      </c>
      <c r="AR890" s="50">
        <f>VLOOKUP(Tableau119[[#This Row],[Key(POD -PFI- Usine)]],'DATA Consignee'!A:N,14,FALSE)</f>
        <v>3</v>
      </c>
      <c r="AS89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9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890" s="50">
        <f>Tableau119[[#This Row],[Transit time]]+Tableau119[[#This Row],[Time for security]]+Tableau119[[#This Row],[Time for security2 buffer]]</f>
        <v>41</v>
      </c>
      <c r="AV89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90" s="50">
        <f>Tableau119[[#This Row],[Leadtime SI2C]]+Tableau119[[#This Row],[First Receipt Days]]-Tableau119[[#This Row],[Day Customer Order]]+1</f>
        <v>90</v>
      </c>
      <c r="AX890" s="119">
        <f>IF(Tableau119[[#This Row],[Name ILN]]&lt;&gt;"SFK Freight Forwarder",Tableau119[[#This Row],[Cust. Leadtime]],Tableau119[[#This Row],[Leadtime SI2C]])</f>
        <v>90</v>
      </c>
      <c r="AY890" s="51" t="str">
        <f>_xlfn.XLOOKUP(Tableau119[[#This Row],[Key(ID-date)]],'DATA BTO'!S:S,'DATA BTO'!P:P,FALSE)</f>
        <v>Renault &gt; Horse BPH</v>
      </c>
      <c r="AZ890" s="338">
        <v>45473</v>
      </c>
      <c r="BA890" s="50"/>
    </row>
    <row r="891" spans="2:53">
      <c r="B891" s="66" t="str">
        <f>_xlfn.CONCAT(Tableau119[[#This Row],[Name ILN]],"-",Tableau119[[#This Row],[Name Shipper]],"-",Tableau119[[#This Row],[Name Site]])</f>
        <v>ILN VLL-ILN VLL-Curitiba CMO</v>
      </c>
      <c r="C891" s="66" t="str">
        <f>_xlfn.CONCAT(Tableau119[[#This Row],[Compte ILN]],"-",Tableau119[[#This Row],[Compte Shipper]],"-",Tableau119[[#This Row],[POL]],"-",Tableau119[[#This Row],[Compte Consignee]])</f>
        <v>91018400-91018400-ESVLC-90018600</v>
      </c>
      <c r="D891" s="66" t="str">
        <f>_xlfn.CONCAT(Tableau119[[#This Row],[Compte ILN]],"-",Tableau119[[#This Row],[Compte Shipper]],"-",Tableau119[[#This Row],[POL]])</f>
        <v>91018400-91018400-ESVLC</v>
      </c>
      <c r="E891" s="130" t="str">
        <f>_xlfn.CONCAT(Tableau119[[#This Row],[POL]],"-",Tableau119[[#This Row],[Carrier]],"-",Tableau119[[#This Row],[POD]])</f>
        <v>ESVLC-CMA-CGM-BRPNG</v>
      </c>
      <c r="F891" s="66" t="str">
        <f>_xlfn.CONCAT(Tableau119[[#This Row],[ID]],"-","Actif")</f>
        <v>928-Actif</v>
      </c>
      <c r="G891" s="66" t="str">
        <f>_xlfn.CONCAT(Tableau119[[#This Row],[POD]],"-",Tableau119[[#This Row],[Code PFI]],"-",Tableau119[[#This Row],[Compte Consignee]])</f>
        <v>BRPNG---90018600</v>
      </c>
      <c r="H8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VLLESVLCCuritiba CMO</v>
      </c>
      <c r="I891" s="434" t="str">
        <f>_xlfn.CONCAT(Tableau119[[#This Row],[ID]],"-",Tableau119[[#This Row],[Expiration Date]])</f>
        <v>928-46142</v>
      </c>
      <c r="J8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VLL-ILN VLL-928-ESVLC-CMA-CGM-BRPNG--46142</v>
      </c>
      <c r="K891" s="119" t="str">
        <f ca="1">IF(COUNTIF(J:J,Tableau119[[#This Row],[Plant-ILN-shipper-POL-Carrier-POD-PFI]])=1,"Non","Oui")</f>
        <v>Non</v>
      </c>
      <c r="L891" s="440" t="str">
        <f>VLOOKUP(Tableau119[[#This Row],[Name Site]],Plant_AILN!A:D,4,FALSE)</f>
        <v>BRAZIL</v>
      </c>
      <c r="M891" s="483" t="s">
        <v>160</v>
      </c>
      <c r="N891" s="455">
        <f>VLOOKUP(Tableau119[[#This Row],[Name Site]],Plant_AILN!A:C,3,FALSE)</f>
        <v>90018600</v>
      </c>
      <c r="O891" s="104">
        <f>IF(Tableau119[[#This Row],[Name PFI/CDD]]="PFI VLL",2,VLOOKUP(Tableau119[[#This Row],[Compte Consignee]],Order!C:D,2,FALSE))</f>
        <v>7</v>
      </c>
      <c r="P891" s="126" t="s">
        <v>151</v>
      </c>
      <c r="Q891" s="366">
        <f>VLOOKUP(Tableau119[[#This Row],[Name ILN]],Plant_AILN!F:G,2,FALSE)</f>
        <v>91018400</v>
      </c>
      <c r="R891" s="81">
        <f>VLOOKUP(Tableau119[[#This Row],[Compte ILN]],'DATA ILN'!D:I,6,FALSE)</f>
        <v>9</v>
      </c>
      <c r="S891" s="81">
        <f>IFERROR(VLOOKUP(Tableau119[[#This Row],[Key(Compte ILN - shipper - POL - plant)]],'DATA ILN'!A:J,10,FALSE),VLOOKUP(Tableau119[[#This Row],[Key(Compte ILN - shipper - POL)]],'DATA ILN'!B:J,9,FALSE))</f>
        <v>7</v>
      </c>
      <c r="T891" s="81">
        <f>IFERROR(VLOOKUP(Tableau119[[#This Row],[Key(Compte ILN - shipper - POL - plant)]],'DATA ILN'!A:K,11,FALSE),VLOOKUP(Tableau119[[#This Row],[Key(Compte ILN - shipper - POL)]],'DATA ILN'!B:K,10,FALSE))</f>
        <v>5</v>
      </c>
      <c r="U891" s="81">
        <f>IFERROR(VLOOKUP(Tableau119[[#This Row],[Key(Compte ILN - shipper - POL - plant)]],'DATA ILN'!A:L,12,FALSE),VLOOKUP(Tableau119[[#This Row],[Key(Compte ILN - shipper - POL)]],'DATA ILN'!B:L,11,FALSE))</f>
        <v>7</v>
      </c>
      <c r="V891" s="81">
        <f>Tableau119[[#This Row],[Day ILN Order]]+Tableau119[[#This Row],[Delivery time to ILN/Shipper]]-1</f>
        <v>15</v>
      </c>
      <c r="W891" s="81">
        <f>IFERROR(VLOOKUP(Tableau119[[#This Row],[Key(Compte ILN - shipper - POL - plant)]],'DATA ILN'!A:N,14,FALSE),VLOOKUP(Tableau119[[#This Row],[Key(Compte ILN - shipper - POL)]],'DATA ILN'!B:N,13,FALSE))</f>
        <v>2</v>
      </c>
      <c r="X891" s="81">
        <f>IFERROR(VLOOKUP(Tableau119[[#This Row],[Key(Compte ILN - shipper - POL - plant)]],'DATA ILN'!A:P,16,FALSE),VLOOKUP(Tableau119[[#This Row],[Key(Compte ILN - shipper - POL)]],'DATA ILN'!B:P,15,FALSE))</f>
        <v>5</v>
      </c>
      <c r="Y891" s="102" t="s">
        <v>151</v>
      </c>
      <c r="Z891" s="417">
        <f>IFERROR(VLOOKUP(Tableau119[[#This Row],[Name Shipper]],Plant_AILN!L:M,2,FALSE),0)</f>
        <v>91018400</v>
      </c>
      <c r="AA891" s="416">
        <v>928</v>
      </c>
      <c r="AB891" s="396" t="str">
        <f>_xlfn.XLOOKUP(Tableau119[[#This Row],[Key(ID-date)]],'DATA BTO'!S:S,'DATA BTO'!E:E,FALSE)</f>
        <v>ESVLC</v>
      </c>
      <c r="AC891" s="3" t="str">
        <f>_xlfn.XLOOKUP(Tableau119[[#This Row],[Key(ID-date)]],'DATA BTO'!S:S,'DATA BTO'!F:F,FALSE)</f>
        <v>CMA-CGM</v>
      </c>
      <c r="AD891" s="50">
        <f>_xlfn.XLOOKUP(Tableau119[[#This Row],[Key(ID-date)]],'DATA BTO'!S:S,'DATA BTO'!G:G,FALSE)</f>
        <v>5</v>
      </c>
      <c r="AE891" s="50">
        <f>_xlfn.XLOOKUP(Tableau119[[#This Row],[Key(ID-date)]],'DATA BTO'!S:S,'DATA BTO'!H:H,FALSE)</f>
        <v>9</v>
      </c>
      <c r="AF891" s="447">
        <f>IF(Tableau119[[#This Row],[First Day to POL]]&lt;=Tableau119[[#This Row],[Day Cut Off]],Tableau119[[#This Row],[Day ETD]],Tableau119[[#This Row],[Day ETD]]+7)</f>
        <v>9</v>
      </c>
      <c r="AG891" s="50">
        <f>_xlfn.XLOOKUP(Tableau119[[#This Row],[Key(ID-date)]],'DATA BTO'!S:S,'DATA BTO'!I:I,FALSE)</f>
        <v>27</v>
      </c>
      <c r="AH891" s="3" t="str">
        <f>_xlfn.XLOOKUP(Tableau119[[#This Row],[Key(ID-date)]],'DATA BTO'!S:S,'DATA BTO'!J:J,FALSE)</f>
        <v>BRPNG</v>
      </c>
      <c r="AI891" s="3">
        <f>_xlfn.XLOOKUP(Tableau119[[#This Row],[Key(ID-date)]],'DATA BTO'!S:S,'DATA BTO'!K:K,FALSE)</f>
        <v>3</v>
      </c>
      <c r="AJ891" s="50">
        <f>_xlfn.XLOOKUP(Tableau119[[#This Row],[Key(ID-date)]],'DATA BTO'!S:S,'DATA BTO'!L:L,FALSE)</f>
        <v>7</v>
      </c>
      <c r="AK891" s="53" t="str">
        <f>_xlfn.XLOOKUP(Tableau119[[#This Row],[Key(ID-date)]],'DATA BTO'!S:S,'DATA BTO'!N:N,FALSE)</f>
        <v>Max</v>
      </c>
      <c r="AL891" s="54">
        <f>VLOOKUP(Tableau119[[#This Row],[Key(POD -PFI- Usine)]],'DATA Consignee'!A:F,6,FALSE)</f>
        <v>2</v>
      </c>
      <c r="AM891" s="102"/>
      <c r="AN891" s="375" t="str">
        <f>IF(Tableau119[[#This Row],[Name PFI/CDD]]="","-",VLOOKUP(Tableau119[[#This Row],[Name PFI/CDD]],Plant_AILN!I:J,2,FALSE))</f>
        <v>-</v>
      </c>
      <c r="AO89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9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91" s="110">
        <f>VLOOKUP(Tableau119[[#This Row],[Key(POD -PFI- Usine)]],'DATA Consignee'!A:J,10,FALSE)</f>
        <v>0</v>
      </c>
      <c r="AR891" s="81">
        <f>VLOOKUP(Tableau119[[#This Row],[Key(POD -PFI- Usine)]],'DATA Consignee'!A:N,14,FALSE)</f>
        <v>2</v>
      </c>
      <c r="AS891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91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891" s="81">
        <f>Tableau119[[#This Row],[Transit time]]+Tableau119[[#This Row],[Time for security]]+Tableau119[[#This Row],[Time for security2 buffer]]</f>
        <v>37</v>
      </c>
      <c r="AV89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91" s="50">
        <f>Tableau119[[#This Row],[Leadtime SI2C]]+Tableau119[[#This Row],[First Receipt Days]]-Tableau119[[#This Row],[Day Customer Order]]+1</f>
        <v>64</v>
      </c>
      <c r="AX891" s="119">
        <f>IF(Tableau119[[#This Row],[Name ILN]]&lt;&gt;"SFK Freight Forwarder",Tableau119[[#This Row],[Cust. Leadtime]],Tableau119[[#This Row],[Leadtime SI2C]])</f>
        <v>64</v>
      </c>
      <c r="AY891" s="51" t="str">
        <f>_xlfn.XLOOKUP(Tableau119[[#This Row],[Key(ID-date)]],'DATA BTO'!S:S,'DATA BTO'!P:P,FALSE)</f>
        <v>Renault &gt; Horse BPH</v>
      </c>
      <c r="AZ891" s="388">
        <v>46142</v>
      </c>
      <c r="BA891" s="81"/>
    </row>
    <row r="892" spans="2:53">
      <c r="B892" s="446" t="str">
        <f>_xlfn.CONCAT(Tableau119[[#This Row],[Name ILN]],"-",Tableau119[[#This Row],[Name Shipper]],"-",Tableau119[[#This Row],[Name Site]])</f>
        <v>ILN VLL-ILN VLL-Curitiba CMO</v>
      </c>
      <c r="C892" s="66" t="str">
        <f>_xlfn.CONCAT(Tableau119[[#This Row],[Compte ILN]],"-",Tableau119[[#This Row],[Compte Shipper]],"-",Tableau119[[#This Row],[POL]],"-",Tableau119[[#This Row],[Compte Consignee]])</f>
        <v>91018400-91018400-ESVLC-90018600</v>
      </c>
      <c r="D892" s="66" t="str">
        <f>_xlfn.CONCAT(Tableau119[[#This Row],[Compte ILN]],"-",Tableau119[[#This Row],[Compte Shipper]],"-",Tableau119[[#This Row],[POL]])</f>
        <v>91018400-91018400-ESVLC</v>
      </c>
      <c r="E892" s="130" t="str">
        <f>_xlfn.CONCAT(Tableau119[[#This Row],[POL]],"-",Tableau119[[#This Row],[Carrier]],"-",Tableau119[[#This Row],[POD]])</f>
        <v>ESVLC-CMA-CGM-BRPNG</v>
      </c>
      <c r="F892" s="66" t="str">
        <f>_xlfn.CONCAT(Tableau119[[#This Row],[ID]],"-","Actif")</f>
        <v>928-Actif</v>
      </c>
      <c r="G892" s="66" t="str">
        <f>_xlfn.CONCAT(Tableau119[[#This Row],[POD]],"-",Tableau119[[#This Row],[Code PFI]],"-",Tableau119[[#This Row],[Compte Consignee]])</f>
        <v>BRPNG---90018600</v>
      </c>
      <c r="H8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VLLESVLCCuritiba CMO</v>
      </c>
      <c r="I892" s="434" t="str">
        <f>_xlfn.CONCAT(Tableau119[[#This Row],[ID]],"-",Tableau119[[#This Row],[Expiration Date]])</f>
        <v>928-45777</v>
      </c>
      <c r="J8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VLL-ILN VLL-928-ESVLC-CMA-CGM-BRPNG--45777</v>
      </c>
      <c r="K892" s="119" t="str">
        <f ca="1">IF(COUNTIF(J:J,Tableau119[[#This Row],[Plant-ILN-shipper-POL-Carrier-POD-PFI]])=1,"Non","Oui")</f>
        <v>Non</v>
      </c>
      <c r="L892" s="128" t="str">
        <f>VLOOKUP(Tableau119[[#This Row],[Name Site]],Plant_AILN!A:D,4,FALSE)</f>
        <v>BRAZIL</v>
      </c>
      <c r="M892" s="411" t="s">
        <v>160</v>
      </c>
      <c r="N892" s="454">
        <f>VLOOKUP(Tableau119[[#This Row],[Name Site]],Plant_AILN!A:C,3,FALSE)</f>
        <v>90018600</v>
      </c>
      <c r="O892" s="55">
        <f>VLOOKUP(Tableau119[[#This Row],[Compte Consignee]],Order!C:D,2,FALSE)</f>
        <v>7</v>
      </c>
      <c r="P892" s="124" t="s">
        <v>151</v>
      </c>
      <c r="Q892" s="365">
        <f>VLOOKUP(Tableau119[[#This Row],[Name ILN]],Plant_AILN!F:G,2,FALSE)</f>
        <v>91018400</v>
      </c>
      <c r="R892" s="50">
        <f>VLOOKUP(Tableau119[[#This Row],[Compte ILN]],'DATA ILN'!D:I,6,FALSE)</f>
        <v>9</v>
      </c>
      <c r="S892" s="50">
        <f>IFERROR(VLOOKUP(Tableau119[[#This Row],[Key(Compte ILN - shipper - POL - plant)]],'DATA ILN'!A:J,10,FALSE),VLOOKUP(Tableau119[[#This Row],[Key(Compte ILN - shipper - POL)]],'DATA ILN'!B:J,9,FALSE))</f>
        <v>7</v>
      </c>
      <c r="T892" s="50">
        <f>IFERROR(VLOOKUP(Tableau119[[#This Row],[Key(Compte ILN - shipper - POL - plant)]],'DATA ILN'!A:K,11,FALSE),VLOOKUP(Tableau119[[#This Row],[Key(Compte ILN - shipper - POL)]],'DATA ILN'!B:K,10,FALSE))</f>
        <v>5</v>
      </c>
      <c r="U892" s="50">
        <f>IFERROR(VLOOKUP(Tableau119[[#This Row],[Key(Compte ILN - shipper - POL - plant)]],'DATA ILN'!A:L,12,FALSE),VLOOKUP(Tableau119[[#This Row],[Key(Compte ILN - shipper - POL)]],'DATA ILN'!B:L,11,FALSE))</f>
        <v>7</v>
      </c>
      <c r="V892" s="50">
        <f>Tableau119[[#This Row],[Day ILN Order]]+Tableau119[[#This Row],[Delivery time to ILN/Shipper]]-1</f>
        <v>15</v>
      </c>
      <c r="W892" s="50">
        <f>IFERROR(VLOOKUP(Tableau119[[#This Row],[Key(Compte ILN - shipper - POL - plant)]],'DATA ILN'!A:N,14,FALSE),VLOOKUP(Tableau119[[#This Row],[Key(Compte ILN - shipper - POL)]],'DATA ILN'!B:N,13,FALSE))</f>
        <v>2</v>
      </c>
      <c r="X892" s="50">
        <f>IFERROR(VLOOKUP(Tableau119[[#This Row],[Key(Compte ILN - shipper - POL - plant)]],'DATA ILN'!A:P,16,FALSE),VLOOKUP(Tableau119[[#This Row],[Key(Compte ILN - shipper - POL)]],'DATA ILN'!B:P,15,FALSE))</f>
        <v>5</v>
      </c>
      <c r="Y892" s="284" t="s">
        <v>151</v>
      </c>
      <c r="Z892" s="430">
        <f>IFERROR(VLOOKUP(Tableau119[[#This Row],[Name Shipper]],Plant_AILN!L:M,2,FALSE),0)</f>
        <v>91018400</v>
      </c>
      <c r="AA892" s="406">
        <v>928</v>
      </c>
      <c r="AB892" s="396" t="str">
        <f>_xlfn.XLOOKUP(Tableau119[[#This Row],[Key(ID-date)]],'DATA BTO'!S:S,'DATA BTO'!E:E,FALSE)</f>
        <v>ESVLC</v>
      </c>
      <c r="AC892" s="3" t="str">
        <f>_xlfn.XLOOKUP(Tableau119[[#This Row],[Key(ID-date)]],'DATA BTO'!S:S,'DATA BTO'!F:F,FALSE)</f>
        <v>CMA-CGM</v>
      </c>
      <c r="AD892" s="50">
        <f>_xlfn.XLOOKUP(Tableau119[[#This Row],[Key(ID-date)]],'DATA BTO'!S:S,'DATA BTO'!G:G,FALSE)</f>
        <v>2</v>
      </c>
      <c r="AE892" s="50">
        <f>_xlfn.XLOOKUP(Tableau119[[#This Row],[Key(ID-date)]],'DATA BTO'!S:S,'DATA BTO'!H:H,FALSE)</f>
        <v>4</v>
      </c>
      <c r="AF892" s="447">
        <f>IF(Tableau119[[#This Row],[First Day to POL]]&lt;=Tableau119[[#This Row],[Day Cut Off]],Tableau119[[#This Row],[Day ETD]],Tableau119[[#This Row],[Day ETD]]+7)</f>
        <v>11</v>
      </c>
      <c r="AG892" s="50">
        <f>_xlfn.XLOOKUP(Tableau119[[#This Row],[Key(ID-date)]],'DATA BTO'!S:S,'DATA BTO'!I:I,FALSE)</f>
        <v>30</v>
      </c>
      <c r="AH892" s="3" t="str">
        <f>_xlfn.XLOOKUP(Tableau119[[#This Row],[Key(ID-date)]],'DATA BTO'!S:S,'DATA BTO'!J:J,FALSE)</f>
        <v>BRPNG</v>
      </c>
      <c r="AI892" s="3">
        <f>_xlfn.XLOOKUP(Tableau119[[#This Row],[Key(ID-date)]],'DATA BTO'!S:S,'DATA BTO'!K:K,FALSE)</f>
        <v>3</v>
      </c>
      <c r="AJ892" s="50">
        <f>_xlfn.XLOOKUP(Tableau119[[#This Row],[Key(ID-date)]],'DATA BTO'!S:S,'DATA BTO'!L:L,FALSE)</f>
        <v>0</v>
      </c>
      <c r="AK892" s="53" t="str">
        <f>_xlfn.XLOOKUP(Tableau119[[#This Row],[Key(ID-date)]],'DATA BTO'!S:S,'DATA BTO'!N:N,FALSE)</f>
        <v>Max</v>
      </c>
      <c r="AL892" s="54">
        <f>VLOOKUP(Tableau119[[#This Row],[Key(POD -PFI- Usine)]],'DATA Consignee'!A:F,6,FALSE)</f>
        <v>2</v>
      </c>
      <c r="AM892" s="284"/>
      <c r="AN892" s="376" t="str">
        <f>IF(Tableau119[[#This Row],[Name PFI/CDD]]="","-",VLOOKUP(Tableau119[[#This Row],[Name PFI/CDD]],Plant_AILN!I:J,2,FALSE))</f>
        <v>-</v>
      </c>
      <c r="AO89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9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92" s="2">
        <f>VLOOKUP(Tableau119[[#This Row],[Key(POD -PFI- Usine)]],'DATA Consignee'!A:J,10,FALSE)</f>
        <v>0</v>
      </c>
      <c r="AR892" s="50">
        <f>VLOOKUP(Tableau119[[#This Row],[Key(POD -PFI- Usine)]],'DATA Consignee'!A:N,14,FALSE)</f>
        <v>2</v>
      </c>
      <c r="AS89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9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92" s="50">
        <f>Tableau119[[#This Row],[Transit time]]+Tableau119[[#This Row],[Time for security]]+Tableau119[[#This Row],[Time for security2 buffer]]</f>
        <v>33</v>
      </c>
      <c r="AV89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92" s="50">
        <f>Tableau119[[#This Row],[Leadtime SI2C]]+Tableau119[[#This Row],[First Receipt Days]]-Tableau119[[#This Row],[Day Customer Order]]+1</f>
        <v>64</v>
      </c>
      <c r="AX892" s="119">
        <f>IF(Tableau119[[#This Row],[Name ILN]]&lt;&gt;"SFK Freight Forwarder",Tableau119[[#This Row],[Cust. Leadtime]],Tableau119[[#This Row],[Leadtime SI2C]])</f>
        <v>64</v>
      </c>
      <c r="AY892" s="51" t="str">
        <f>_xlfn.XLOOKUP(Tableau119[[#This Row],[Key(ID-date)]],'DATA BTO'!S:S,'DATA BTO'!P:P,FALSE)</f>
        <v>Renault &gt; Horse BPH</v>
      </c>
      <c r="AZ892" s="338">
        <v>45777</v>
      </c>
      <c r="BA892" s="50"/>
    </row>
    <row r="893" spans="2:53">
      <c r="B893" s="446" t="str">
        <f>_xlfn.CONCAT(Tableau119[[#This Row],[Name ILN]],"-",Tableau119[[#This Row],[Name Shipper]],"-",Tableau119[[#This Row],[Name Site]])</f>
        <v>ILN VLL-ILN VLL-Curitiba CMO</v>
      </c>
      <c r="C893" s="66" t="str">
        <f>_xlfn.CONCAT(Tableau119[[#This Row],[Compte ILN]],"-",Tableau119[[#This Row],[Compte Shipper]],"-",Tableau119[[#This Row],[POL]],"-",Tableau119[[#This Row],[Compte Consignee]])</f>
        <v>91018400-91018400-ESVLC-90018600</v>
      </c>
      <c r="D893" s="66" t="str">
        <f>_xlfn.CONCAT(Tableau119[[#This Row],[Compte ILN]],"-",Tableau119[[#This Row],[Compte Shipper]],"-",Tableau119[[#This Row],[POL]])</f>
        <v>91018400-91018400-ESVLC</v>
      </c>
      <c r="E893" s="130" t="str">
        <f>_xlfn.CONCAT(Tableau119[[#This Row],[POL]],"-",Tableau119[[#This Row],[Carrier]],"-",Tableau119[[#This Row],[POD]])</f>
        <v>ESVLC-CMA-CGM-BRPNG</v>
      </c>
      <c r="F893" s="66" t="str">
        <f>_xlfn.CONCAT(Tableau119[[#This Row],[ID]],"-","Actif")</f>
        <v>928-Actif</v>
      </c>
      <c r="G893" s="66" t="str">
        <f>_xlfn.CONCAT(Tableau119[[#This Row],[POD]],"-",Tableau119[[#This Row],[Code PFI]],"-",Tableau119[[#This Row],[Compte Consignee]])</f>
        <v>BRPNG---90018600</v>
      </c>
      <c r="H8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VLLESVLCCuritiba CMO</v>
      </c>
      <c r="I893" s="434" t="str">
        <f>_xlfn.CONCAT(Tableau119[[#This Row],[ID]],"-",Tableau119[[#This Row],[Expiration Date]])</f>
        <v>928-45473</v>
      </c>
      <c r="J8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VLL-ILN VLL-928-ESVLC-CMA-CGM-BRPNG--45473</v>
      </c>
      <c r="K893" s="119" t="str">
        <f ca="1">IF(COUNTIF(J:J,Tableau119[[#This Row],[Plant-ILN-shipper-POL-Carrier-POD-PFI]])=1,"Non","Oui")</f>
        <v>Non</v>
      </c>
      <c r="L893" s="128" t="str">
        <f>VLOOKUP(Tableau119[[#This Row],[Name Site]],Plant_AILN!A:D,4,FALSE)</f>
        <v>BRAZIL</v>
      </c>
      <c r="M893" s="415" t="s">
        <v>160</v>
      </c>
      <c r="N893" s="455">
        <f>VLOOKUP(Tableau119[[#This Row],[Name Site]],Plant_AILN!A:C,3,FALSE)</f>
        <v>90018600</v>
      </c>
      <c r="O893" s="104">
        <f>VLOOKUP(Tableau119[[#This Row],[Compte Consignee]],Order!C:D,2,FALSE)</f>
        <v>7</v>
      </c>
      <c r="P893" s="126" t="s">
        <v>151</v>
      </c>
      <c r="Q893" s="366">
        <f>VLOOKUP(Tableau119[[#This Row],[Name ILN]],Plant_AILN!F:G,2,FALSE)</f>
        <v>91018400</v>
      </c>
      <c r="R893" s="81">
        <f>VLOOKUP(Tableau119[[#This Row],[Compte ILN]],'DATA ILN'!D:I,6,FALSE)</f>
        <v>9</v>
      </c>
      <c r="S893" s="81">
        <f>IFERROR(VLOOKUP(Tableau119[[#This Row],[Key(Compte ILN - shipper - POL - plant)]],'DATA ILN'!A:J,10,FALSE),VLOOKUP(Tableau119[[#This Row],[Key(Compte ILN - shipper - POL)]],'DATA ILN'!B:J,9,FALSE))</f>
        <v>7</v>
      </c>
      <c r="T893" s="81">
        <f>IFERROR(VLOOKUP(Tableau119[[#This Row],[Key(Compte ILN - shipper - POL - plant)]],'DATA ILN'!A:K,11,FALSE),VLOOKUP(Tableau119[[#This Row],[Key(Compte ILN - shipper - POL)]],'DATA ILN'!B:K,10,FALSE))</f>
        <v>5</v>
      </c>
      <c r="U893" s="81">
        <f>IFERROR(VLOOKUP(Tableau119[[#This Row],[Key(Compte ILN - shipper - POL - plant)]],'DATA ILN'!A:L,12,FALSE),VLOOKUP(Tableau119[[#This Row],[Key(Compte ILN - shipper - POL)]],'DATA ILN'!B:L,11,FALSE))</f>
        <v>7</v>
      </c>
      <c r="V893" s="81">
        <f>Tableau119[[#This Row],[Day ILN Order]]+Tableau119[[#This Row],[Delivery time to ILN/Shipper]]-1</f>
        <v>15</v>
      </c>
      <c r="W893" s="81">
        <f>IFERROR(VLOOKUP(Tableau119[[#This Row],[Key(Compte ILN - shipper - POL - plant)]],'DATA ILN'!A:N,14,FALSE),VLOOKUP(Tableau119[[#This Row],[Key(Compte ILN - shipper - POL)]],'DATA ILN'!B:N,13,FALSE))</f>
        <v>2</v>
      </c>
      <c r="X893" s="81">
        <f>IFERROR(VLOOKUP(Tableau119[[#This Row],[Key(Compte ILN - shipper - POL - plant)]],'DATA ILN'!A:P,16,FALSE),VLOOKUP(Tableau119[[#This Row],[Key(Compte ILN - shipper - POL)]],'DATA ILN'!B:P,15,FALSE))</f>
        <v>5</v>
      </c>
      <c r="Y893" s="102" t="s">
        <v>151</v>
      </c>
      <c r="Z893" s="417">
        <f>IFERROR(VLOOKUP(Tableau119[[#This Row],[Name Shipper]],Plant_AILN!L:M,2,FALSE),0)</f>
        <v>91018400</v>
      </c>
      <c r="AA893" s="416">
        <v>928</v>
      </c>
      <c r="AB893" s="396" t="str">
        <f>_xlfn.XLOOKUP(Tableau119[[#This Row],[Key(ID-date)]],'DATA BTO'!S:S,'DATA BTO'!E:E,FALSE)</f>
        <v>ESVLC</v>
      </c>
      <c r="AC893" s="3" t="str">
        <f>_xlfn.XLOOKUP(Tableau119[[#This Row],[Key(ID-date)]],'DATA BTO'!S:S,'DATA BTO'!F:F,FALSE)</f>
        <v>CMA-CGM</v>
      </c>
      <c r="AD893" s="50">
        <f>_xlfn.XLOOKUP(Tableau119[[#This Row],[Key(ID-date)]],'DATA BTO'!S:S,'DATA BTO'!G:G,FALSE)</f>
        <v>2</v>
      </c>
      <c r="AE893" s="50">
        <f>_xlfn.XLOOKUP(Tableau119[[#This Row],[Key(ID-date)]],'DATA BTO'!S:S,'DATA BTO'!H:H,FALSE)</f>
        <v>4</v>
      </c>
      <c r="AF893" s="447">
        <f>IF(Tableau119[[#This Row],[First Day to POL]]&lt;=Tableau119[[#This Row],[Day Cut Off]],Tableau119[[#This Row],[Day ETD]],Tableau119[[#This Row],[Day ETD]]+7)</f>
        <v>11</v>
      </c>
      <c r="AG893" s="50">
        <f>_xlfn.XLOOKUP(Tableau119[[#This Row],[Key(ID-date)]],'DATA BTO'!S:S,'DATA BTO'!I:I,FALSE)</f>
        <v>30</v>
      </c>
      <c r="AH893" s="3" t="str">
        <f>_xlfn.XLOOKUP(Tableau119[[#This Row],[Key(ID-date)]],'DATA BTO'!S:S,'DATA BTO'!J:J,FALSE)</f>
        <v>BRPNG</v>
      </c>
      <c r="AI893" s="3">
        <f>_xlfn.XLOOKUP(Tableau119[[#This Row],[Key(ID-date)]],'DATA BTO'!S:S,'DATA BTO'!K:K,FALSE)</f>
        <v>3</v>
      </c>
      <c r="AJ893" s="50">
        <f>_xlfn.XLOOKUP(Tableau119[[#This Row],[Key(ID-date)]],'DATA BTO'!S:S,'DATA BTO'!L:L,FALSE)</f>
        <v>0</v>
      </c>
      <c r="AK893" s="53" t="str">
        <f>_xlfn.XLOOKUP(Tableau119[[#This Row],[Key(ID-date)]],'DATA BTO'!S:S,'DATA BTO'!N:N,FALSE)</f>
        <v>Max</v>
      </c>
      <c r="AL893" s="54">
        <f>VLOOKUP(Tableau119[[#This Row],[Key(POD -PFI- Usine)]],'DATA Consignee'!A:F,6,FALSE)</f>
        <v>2</v>
      </c>
      <c r="AM893" s="102"/>
      <c r="AN893" s="375" t="str">
        <f>IF(Tableau119[[#This Row],[Name PFI/CDD]]="","-",VLOOKUP(Tableau119[[#This Row],[Name PFI/CDD]],Plant_AILN!I:J,2,FALSE))</f>
        <v>-</v>
      </c>
      <c r="AO89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89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893" s="110">
        <f>VLOOKUP(Tableau119[[#This Row],[Key(POD -PFI- Usine)]],'DATA Consignee'!A:J,10,FALSE)</f>
        <v>0</v>
      </c>
      <c r="AR893" s="81">
        <f>VLOOKUP(Tableau119[[#This Row],[Key(POD -PFI- Usine)]],'DATA Consignee'!A:N,14,FALSE)</f>
        <v>2</v>
      </c>
      <c r="AS89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89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893" s="81">
        <f>Tableau119[[#This Row],[Transit time]]+Tableau119[[#This Row],[Time for security]]+Tableau119[[#This Row],[Time for security2 buffer]]</f>
        <v>33</v>
      </c>
      <c r="AV89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893" s="50">
        <f>Tableau119[[#This Row],[Leadtime SI2C]]+Tableau119[[#This Row],[First Receipt Days]]-Tableau119[[#This Row],[Day Customer Order]]+1</f>
        <v>64</v>
      </c>
      <c r="AX893" s="119">
        <f>IF(Tableau119[[#This Row],[Name ILN]]&lt;&gt;"SFK Freight Forwarder",Tableau119[[#This Row],[Cust. Leadtime]],Tableau119[[#This Row],[Leadtime SI2C]])</f>
        <v>64</v>
      </c>
      <c r="AY893" s="51" t="str">
        <f>_xlfn.XLOOKUP(Tableau119[[#This Row],[Key(ID-date)]],'DATA BTO'!S:S,'DATA BTO'!P:P,FALSE)</f>
        <v>Renault &gt; Horse BPH</v>
      </c>
      <c r="AZ893" s="388">
        <v>45473</v>
      </c>
      <c r="BA893" s="81"/>
    </row>
    <row r="894" spans="2:53">
      <c r="B894" s="66" t="str">
        <f>_xlfn.CONCAT(Tableau119[[#This Row],[Name ILN]],"-",Tableau119[[#This Row],[Name Shipper]],"-",Tableau119[[#This Row],[Name Site]])</f>
        <v>KWE Shanghai-KWE Shanghai-CACIA</v>
      </c>
      <c r="C894" s="66" t="str">
        <f>_xlfn.CONCAT(Tableau119[[#This Row],[Compte ILN]],"-",Tableau119[[#This Row],[Compte Shipper]],"-",Tableau119[[#This Row],[POL]],"-",Tableau119[[#This Row],[Compte Consignee]])</f>
        <v>26037000-26037000-CNSHA-90016500</v>
      </c>
      <c r="D894" s="66" t="str">
        <f>_xlfn.CONCAT(Tableau119[[#This Row],[Compte ILN]],"-",Tableau119[[#This Row],[Compte Shipper]],"-",Tableau119[[#This Row],[POL]])</f>
        <v>26037000-26037000-CNSHA</v>
      </c>
      <c r="E894" s="130" t="str">
        <f>_xlfn.CONCAT(Tableau119[[#This Row],[POL]],"-",Tableau119[[#This Row],[Carrier]],"-",Tableau119[[#This Row],[POD]])</f>
        <v>CNSHA-Hapag Lloyd-ESVLC</v>
      </c>
      <c r="F894" s="66" t="str">
        <f>_xlfn.CONCAT(Tableau119[[#This Row],[ID]],"-","Actif")</f>
        <v>930-Actif</v>
      </c>
      <c r="G894" s="66" t="str">
        <f>_xlfn.CONCAT(Tableau119[[#This Row],[POD]],"-",Tableau119[[#This Row],[Code PFI]],"-",Tableau119[[#This Row],[Compte Consignee]])</f>
        <v>ESVLC-91018400-90016500</v>
      </c>
      <c r="H8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ShanghaiCNSHACACIA</v>
      </c>
      <c r="I894" s="434" t="str">
        <f>_xlfn.CONCAT(Tableau119[[#This Row],[ID]],"-",Tableau119[[#This Row],[Expiration Date]])</f>
        <v>930-46053</v>
      </c>
      <c r="J8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CACIA-KWE Shanghai-KWE Shanghai-930-CNSHA-Hapag Lloyd-ESVLC-PFI VLL-46053</v>
      </c>
      <c r="K894" s="119" t="str">
        <f ca="1">IF(COUNTIF(J:J,Tableau119[[#This Row],[Plant-ILN-shipper-POL-Carrier-POD-PFI]])=1,"Non","Oui")</f>
        <v>Non</v>
      </c>
      <c r="L894" s="440" t="str">
        <f>VLOOKUP(Tableau119[[#This Row],[Name Site]],Plant_AILN!A:D,4,FALSE)</f>
        <v>PORTUGAL</v>
      </c>
      <c r="M894" s="483" t="s">
        <v>170</v>
      </c>
      <c r="N894" s="455">
        <f>VLOOKUP(Tableau119[[#This Row],[Name Site]],Plant_AILN!A:C,3,FALSE)</f>
        <v>90016500</v>
      </c>
      <c r="O894" s="104">
        <f>IF(Tableau119[[#This Row],[Name PFI/CDD]]="PFI VLL",2,VLOOKUP(Tableau119[[#This Row],[Compte Consignee]],Order!C:D,2,FALSE))</f>
        <v>2</v>
      </c>
      <c r="P894" s="126" t="s">
        <v>62</v>
      </c>
      <c r="Q894" s="366">
        <f>VLOOKUP(Tableau119[[#This Row],[Name ILN]],Plant_AILN!F:G,2,FALSE)</f>
        <v>26037000</v>
      </c>
      <c r="R894" s="81">
        <f>VLOOKUP(Tableau119[[#This Row],[Compte ILN]],'DATA ILN'!D:I,6,FALSE)</f>
        <v>9</v>
      </c>
      <c r="S894" s="81">
        <f>IFERROR(VLOOKUP(Tableau119[[#This Row],[Key(Compte ILN - shipper - POL - plant)]],'DATA ILN'!A:J,10,FALSE),VLOOKUP(Tableau119[[#This Row],[Key(Compte ILN - shipper - POL)]],'DATA ILN'!B:J,9,FALSE))</f>
        <v>14</v>
      </c>
      <c r="T894" s="81">
        <f>IFERROR(VLOOKUP(Tableau119[[#This Row],[Key(Compte ILN - shipper - POL - plant)]],'DATA ILN'!A:K,11,FALSE),VLOOKUP(Tableau119[[#This Row],[Key(Compte ILN - shipper - POL)]],'DATA ILN'!B:K,10,FALSE))</f>
        <v>5</v>
      </c>
      <c r="U894" s="81">
        <f>IFERROR(VLOOKUP(Tableau119[[#This Row],[Key(Compte ILN - shipper - POL - plant)]],'DATA ILN'!A:L,12,FALSE),VLOOKUP(Tableau119[[#This Row],[Key(Compte ILN - shipper - POL)]],'DATA ILN'!B:L,11,FALSE))</f>
        <v>7</v>
      </c>
      <c r="V894" s="81">
        <f>Tableau119[[#This Row],[Day ILN Order]]+Tableau119[[#This Row],[Delivery time to ILN/Shipper]]-1</f>
        <v>22</v>
      </c>
      <c r="W894" s="81">
        <f>IFERROR(VLOOKUP(Tableau119[[#This Row],[Key(Compte ILN - shipper - POL - plant)]],'DATA ILN'!A:N,14,FALSE),VLOOKUP(Tableau119[[#This Row],[Key(Compte ILN - shipper - POL)]],'DATA ILN'!B:N,13,FALSE))</f>
        <v>1</v>
      </c>
      <c r="X894" s="81">
        <f>IFERROR(VLOOKUP(Tableau119[[#This Row],[Key(Compte ILN - shipper - POL - plant)]],'DATA ILN'!A:P,16,FALSE),VLOOKUP(Tableau119[[#This Row],[Key(Compte ILN - shipper - POL)]],'DATA ILN'!B:P,15,FALSE))</f>
        <v>2</v>
      </c>
      <c r="Y894" s="102" t="s">
        <v>62</v>
      </c>
      <c r="Z894" s="417">
        <f>IFERROR(VLOOKUP(Tableau119[[#This Row],[Name Shipper]],Plant_AILN!L:M,2,FALSE),0)</f>
        <v>26037000</v>
      </c>
      <c r="AA894" s="416">
        <v>930</v>
      </c>
      <c r="AB894" s="396" t="str">
        <f>_xlfn.XLOOKUP(Tableau119[[#This Row],[Key(ID-date)]],'DATA BTO'!S:S,'DATA BTO'!E:E,FALSE)</f>
        <v>CNSHA</v>
      </c>
      <c r="AC894" s="3" t="str">
        <f>_xlfn.XLOOKUP(Tableau119[[#This Row],[Key(ID-date)]],'DATA BTO'!S:S,'DATA BTO'!F:F,FALSE)</f>
        <v>Hapag Lloyd</v>
      </c>
      <c r="AD894" s="50">
        <f>_xlfn.XLOOKUP(Tableau119[[#This Row],[Key(ID-date)]],'DATA BTO'!S:S,'DATA BTO'!G:G,FALSE)</f>
        <v>5</v>
      </c>
      <c r="AE894" s="50">
        <f>_xlfn.XLOOKUP(Tableau119[[#This Row],[Key(ID-date)]],'DATA BTO'!S:S,'DATA BTO'!H:H,FALSE)</f>
        <v>8</v>
      </c>
      <c r="AF894" s="447">
        <f>IF(Tableau119[[#This Row],[First Day to POL]]&lt;=Tableau119[[#This Row],[Day Cut Off]],Tableau119[[#This Row],[Day ETD]],Tableau119[[#This Row],[Day ETD]]+7)</f>
        <v>8</v>
      </c>
      <c r="AG894" s="50">
        <f>_xlfn.XLOOKUP(Tableau119[[#This Row],[Key(ID-date)]],'DATA BTO'!S:S,'DATA BTO'!I:I,FALSE)</f>
        <v>40</v>
      </c>
      <c r="AH894" s="3" t="str">
        <f>_xlfn.XLOOKUP(Tableau119[[#This Row],[Key(ID-date)]],'DATA BTO'!S:S,'DATA BTO'!J:J,FALSE)</f>
        <v>ESVLC</v>
      </c>
      <c r="AI894" s="3">
        <f>_xlfn.XLOOKUP(Tableau119[[#This Row],[Key(ID-date)]],'DATA BTO'!S:S,'DATA BTO'!K:K,FALSE)</f>
        <v>3</v>
      </c>
      <c r="AJ894" s="50">
        <f>_xlfn.XLOOKUP(Tableau119[[#This Row],[Key(ID-date)]],'DATA BTO'!S:S,'DATA BTO'!L:L,FALSE)</f>
        <v>0</v>
      </c>
      <c r="AK894" s="53" t="str">
        <f>_xlfn.XLOOKUP(Tableau119[[#This Row],[Key(ID-date)]],'DATA BTO'!S:S,'DATA BTO'!N:N,FALSE)</f>
        <v>Marc-Aurele</v>
      </c>
      <c r="AL894" s="54">
        <f>VLOOKUP(Tableau119[[#This Row],[Key(POD -PFI- Usine)]],'DATA Consignee'!A:F,6,FALSE)</f>
        <v>3</v>
      </c>
      <c r="AM894" s="102" t="s">
        <v>171</v>
      </c>
      <c r="AN894" s="375">
        <f>IF(Tableau119[[#This Row],[Name PFI/CDD]]="","-",VLOOKUP(Tableau119[[#This Row],[Name PFI/CDD]],Plant_AILN!I:J,2,FALSE))</f>
        <v>91018400</v>
      </c>
      <c r="AO894" s="109">
        <f>IF(COUNTIF(buffer_train[AILN],Tableau119[[#This Row],[Name PFI/CDD]])&gt;0,Tableau119[[#This Row],[First Receipt Days]]+Tableau119[[#This Row],[Cust.]]+Tableau119[[#This Row],[Parts Vanning]]+Tableau119[[#This Row],[Transit Time2]],"-")</f>
        <v>81</v>
      </c>
      <c r="AP894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894" s="110">
        <f>VLOOKUP(Tableau119[[#This Row],[Key(POD -PFI- Usine)]],'DATA Consignee'!A:J,10,FALSE)</f>
        <v>3</v>
      </c>
      <c r="AR894" s="81">
        <f>VLOOKUP(Tableau119[[#This Row],[Key(POD -PFI- Usine)]],'DATA Consignee'!A:N,14,FALSE)</f>
        <v>4</v>
      </c>
      <c r="AS89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9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94" s="81">
        <f>Tableau119[[#This Row],[Transit time]]+Tableau119[[#This Row],[Time for security]]+Tableau119[[#This Row],[Time for security2 buffer]]</f>
        <v>43</v>
      </c>
      <c r="AV89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894" s="50">
        <f>Tableau119[[#This Row],[Leadtime SI2C]]+Tableau119[[#This Row],[First Receipt Days]]-Tableau119[[#This Row],[Day Customer Order]]+1</f>
        <v>97</v>
      </c>
      <c r="AX894" s="119">
        <f>IF(Tableau119[[#This Row],[Name ILN]]&lt;&gt;"SFK Freight Forwarder",Tableau119[[#This Row],[Cust. Leadtime]],Tableau119[[#This Row],[Leadtime SI2C]])</f>
        <v>97</v>
      </c>
      <c r="AY894" s="51" t="str">
        <f>_xlfn.XLOOKUP(Tableau119[[#This Row],[Key(ID-date)]],'DATA BTO'!S:S,'DATA BTO'!P:P,FALSE)</f>
        <v>Renault &gt; Horse BPH</v>
      </c>
      <c r="AZ894" s="388">
        <v>46053</v>
      </c>
      <c r="BA894" s="81"/>
    </row>
    <row r="895" spans="2:53">
      <c r="B895" s="66" t="str">
        <f>_xlfn.CONCAT(Tableau119[[#This Row],[Name ILN]],"-",Tableau119[[#This Row],[Name Shipper]],"-",Tableau119[[#This Row],[Name Site]])</f>
        <v>KWE Shanghai-KWE Shanghai-MOTORES</v>
      </c>
      <c r="C895" s="66" t="str">
        <f>_xlfn.CONCAT(Tableau119[[#This Row],[Compte ILN]],"-",Tableau119[[#This Row],[Compte Shipper]],"-",Tableau119[[#This Row],[POL]],"-",Tableau119[[#This Row],[Compte Consignee]])</f>
        <v>26037000-26037000-CNSHA-91017700</v>
      </c>
      <c r="D895" s="66" t="str">
        <f>_xlfn.CONCAT(Tableau119[[#This Row],[Compte ILN]],"-",Tableau119[[#This Row],[Compte Shipper]],"-",Tableau119[[#This Row],[POL]])</f>
        <v>26037000-26037000-CNSHA</v>
      </c>
      <c r="E895" s="130" t="str">
        <f>_xlfn.CONCAT(Tableau119[[#This Row],[POL]],"-",Tableau119[[#This Row],[Carrier]],"-",Tableau119[[#This Row],[POD]])</f>
        <v>CNSHA-Hapag Lloyd-ESVLC</v>
      </c>
      <c r="F895" s="66" t="str">
        <f>_xlfn.CONCAT(Tableau119[[#This Row],[ID]],"-","Actif")</f>
        <v>930-Actif</v>
      </c>
      <c r="G895" s="66" t="str">
        <f>_xlfn.CONCAT(Tableau119[[#This Row],[POD]],"-",Tableau119[[#This Row],[Code PFI]],"-",Tableau119[[#This Row],[Compte Consignee]])</f>
        <v>ESVLC-91018400-91017700</v>
      </c>
      <c r="H8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ShanghaiCNSHAMOTORES</v>
      </c>
      <c r="I895" s="434" t="str">
        <f>_xlfn.CONCAT(Tableau119[[#This Row],[ID]],"-",Tableau119[[#This Row],[Expiration Date]])</f>
        <v>930-46053</v>
      </c>
      <c r="J8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MOTORES-KWE Shanghai-KWE Shanghai-930-CNSHA-Hapag Lloyd-ESVLC-CDD VLL-46053</v>
      </c>
      <c r="K895" s="119" t="str">
        <f ca="1">IF(COUNTIF(J:J,Tableau119[[#This Row],[Plant-ILN-shipper-POL-Carrier-POD-PFI]])=1,"Non","Oui")</f>
        <v>Non</v>
      </c>
      <c r="L895" s="440" t="str">
        <f>VLOOKUP(Tableau119[[#This Row],[Name Site]],Plant_AILN!A:D,4,FALSE)</f>
        <v>SPAIN</v>
      </c>
      <c r="M895" s="483" t="s">
        <v>63</v>
      </c>
      <c r="N895" s="455">
        <f>VLOOKUP(Tableau119[[#This Row],[Name Site]],Plant_AILN!A:C,3,FALSE)</f>
        <v>91017700</v>
      </c>
      <c r="O895" s="104">
        <f>IF(Tableau119[[#This Row],[Name PFI/CDD]]="PFI VLL",2,VLOOKUP(Tableau119[[#This Row],[Compte Consignee]],Order!C:D,2,FALSE))</f>
        <v>7</v>
      </c>
      <c r="P895" s="126" t="s">
        <v>62</v>
      </c>
      <c r="Q895" s="366">
        <f>VLOOKUP(Tableau119[[#This Row],[Name ILN]],Plant_AILN!F:G,2,FALSE)</f>
        <v>26037000</v>
      </c>
      <c r="R895" s="81">
        <f>VLOOKUP(Tableau119[[#This Row],[Compte ILN]],'DATA ILN'!D:I,6,FALSE)</f>
        <v>9</v>
      </c>
      <c r="S895" s="81">
        <f>IFERROR(VLOOKUP(Tableau119[[#This Row],[Key(Compte ILN - shipper - POL - plant)]],'DATA ILN'!A:J,10,FALSE),VLOOKUP(Tableau119[[#This Row],[Key(Compte ILN - shipper - POL)]],'DATA ILN'!B:J,9,FALSE))</f>
        <v>14</v>
      </c>
      <c r="T895" s="81">
        <f>IFERROR(VLOOKUP(Tableau119[[#This Row],[Key(Compte ILN - shipper - POL - plant)]],'DATA ILN'!A:K,11,FALSE),VLOOKUP(Tableau119[[#This Row],[Key(Compte ILN - shipper - POL)]],'DATA ILN'!B:K,10,FALSE))</f>
        <v>5</v>
      </c>
      <c r="U895" s="81">
        <f>IFERROR(VLOOKUP(Tableau119[[#This Row],[Key(Compte ILN - shipper - POL - plant)]],'DATA ILN'!A:L,12,FALSE),VLOOKUP(Tableau119[[#This Row],[Key(Compte ILN - shipper - POL)]],'DATA ILN'!B:L,11,FALSE))</f>
        <v>7</v>
      </c>
      <c r="V895" s="81">
        <f>Tableau119[[#This Row],[Day ILN Order]]+Tableau119[[#This Row],[Delivery time to ILN/Shipper]]-1</f>
        <v>22</v>
      </c>
      <c r="W895" s="81">
        <f>IFERROR(VLOOKUP(Tableau119[[#This Row],[Key(Compte ILN - shipper - POL - plant)]],'DATA ILN'!A:N,14,FALSE),VLOOKUP(Tableau119[[#This Row],[Key(Compte ILN - shipper - POL)]],'DATA ILN'!B:N,13,FALSE))</f>
        <v>1</v>
      </c>
      <c r="X895" s="81">
        <f>IFERROR(VLOOKUP(Tableau119[[#This Row],[Key(Compte ILN - shipper - POL - plant)]],'DATA ILN'!A:P,16,FALSE),VLOOKUP(Tableau119[[#This Row],[Key(Compte ILN - shipper - POL)]],'DATA ILN'!B:P,15,FALSE))</f>
        <v>2</v>
      </c>
      <c r="Y895" s="102" t="s">
        <v>62</v>
      </c>
      <c r="Z895" s="417">
        <f>IFERROR(VLOOKUP(Tableau119[[#This Row],[Name Shipper]],Plant_AILN!L:M,2,FALSE),0)</f>
        <v>26037000</v>
      </c>
      <c r="AA895" s="416">
        <v>930</v>
      </c>
      <c r="AB895" s="396" t="str">
        <f>_xlfn.XLOOKUP(Tableau119[[#This Row],[Key(ID-date)]],'DATA BTO'!S:S,'DATA BTO'!E:E,FALSE)</f>
        <v>CNSHA</v>
      </c>
      <c r="AC895" s="3" t="str">
        <f>_xlfn.XLOOKUP(Tableau119[[#This Row],[Key(ID-date)]],'DATA BTO'!S:S,'DATA BTO'!F:F,FALSE)</f>
        <v>Hapag Lloyd</v>
      </c>
      <c r="AD895" s="50">
        <f>_xlfn.XLOOKUP(Tableau119[[#This Row],[Key(ID-date)]],'DATA BTO'!S:S,'DATA BTO'!G:G,FALSE)</f>
        <v>5</v>
      </c>
      <c r="AE895" s="50">
        <f>_xlfn.XLOOKUP(Tableau119[[#This Row],[Key(ID-date)]],'DATA BTO'!S:S,'DATA BTO'!H:H,FALSE)</f>
        <v>8</v>
      </c>
      <c r="AF895" s="447">
        <f>IF(Tableau119[[#This Row],[First Day to POL]]&lt;=Tableau119[[#This Row],[Day Cut Off]],Tableau119[[#This Row],[Day ETD]],Tableau119[[#This Row],[Day ETD]]+7)</f>
        <v>8</v>
      </c>
      <c r="AG895" s="50">
        <f>_xlfn.XLOOKUP(Tableau119[[#This Row],[Key(ID-date)]],'DATA BTO'!S:S,'DATA BTO'!I:I,FALSE)</f>
        <v>40</v>
      </c>
      <c r="AH895" s="3" t="str">
        <f>_xlfn.XLOOKUP(Tableau119[[#This Row],[Key(ID-date)]],'DATA BTO'!S:S,'DATA BTO'!J:J,FALSE)</f>
        <v>ESVLC</v>
      </c>
      <c r="AI895" s="3">
        <f>_xlfn.XLOOKUP(Tableau119[[#This Row],[Key(ID-date)]],'DATA BTO'!S:S,'DATA BTO'!K:K,FALSE)</f>
        <v>3</v>
      </c>
      <c r="AJ895" s="50">
        <f>_xlfn.XLOOKUP(Tableau119[[#This Row],[Key(ID-date)]],'DATA BTO'!S:S,'DATA BTO'!L:L,FALSE)</f>
        <v>0</v>
      </c>
      <c r="AK895" s="53" t="str">
        <f>_xlfn.XLOOKUP(Tableau119[[#This Row],[Key(ID-date)]],'DATA BTO'!S:S,'DATA BTO'!N:N,FALSE)</f>
        <v>Marc-Aurele</v>
      </c>
      <c r="AL895" s="54">
        <f>VLOOKUP(Tableau119[[#This Row],[Key(POD -PFI- Usine)]],'DATA Consignee'!A:F,6,FALSE)</f>
        <v>2</v>
      </c>
      <c r="AM895" s="102" t="s">
        <v>169</v>
      </c>
      <c r="AN895" s="375">
        <f>IF(Tableau119[[#This Row],[Name PFI/CDD]]="","-",VLOOKUP(Tableau119[[#This Row],[Name PFI/CDD]],Plant_AILN!I:J,2,FALSE))</f>
        <v>91018400</v>
      </c>
      <c r="AO895" s="109">
        <f>IF(COUNTIF(buffer_train[AILN],Tableau119[[#This Row],[Name PFI/CDD]])&gt;0,Tableau119[[#This Row],[First Receipt Days]]+Tableau119[[#This Row],[Cust.]]+Tableau119[[#This Row],[Parts Vanning]]+Tableau119[[#This Row],[Transit Time2]],"-")</f>
        <v>80</v>
      </c>
      <c r="AP895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5</v>
      </c>
      <c r="AQ895" s="110">
        <f>VLOOKUP(Tableau119[[#This Row],[Key(POD -PFI- Usine)]],'DATA Consignee'!A:J,10,FALSE)</f>
        <v>3</v>
      </c>
      <c r="AR895" s="81">
        <f>VLOOKUP(Tableau119[[#This Row],[Key(POD -PFI- Usine)]],'DATA Consignee'!A:N,14,FALSE)</f>
        <v>3</v>
      </c>
      <c r="AS895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95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95" s="81">
        <f>Tableau119[[#This Row],[Transit time]]+Tableau119[[#This Row],[Time for security]]+Tableau119[[#This Row],[Time for security2 buffer]]</f>
        <v>43</v>
      </c>
      <c r="AV89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95" s="50">
        <f>Tableau119[[#This Row],[Leadtime SI2C]]+Tableau119[[#This Row],[First Receipt Days]]-Tableau119[[#This Row],[Day Customer Order]]+1</f>
        <v>85</v>
      </c>
      <c r="AX895" s="119">
        <f>IF(Tableau119[[#This Row],[Name ILN]]&lt;&gt;"SFK Freight Forwarder",Tableau119[[#This Row],[Cust. Leadtime]],Tableau119[[#This Row],[Leadtime SI2C]])</f>
        <v>85</v>
      </c>
      <c r="AY895" s="51" t="str">
        <f>_xlfn.XLOOKUP(Tableau119[[#This Row],[Key(ID-date)]],'DATA BTO'!S:S,'DATA BTO'!P:P,FALSE)</f>
        <v>Renault &gt; Horse BPH</v>
      </c>
      <c r="AZ895" s="388">
        <v>46053</v>
      </c>
      <c r="BA895" s="81"/>
    </row>
    <row r="896" spans="2:53">
      <c r="B896" s="66" t="str">
        <f>_xlfn.CONCAT(Tableau119[[#This Row],[Name ILN]],"-",Tableau119[[#This Row],[Name Shipper]],"-",Tableau119[[#This Row],[Name Site]])</f>
        <v>KWE Shanghai-KWE Shanghai-VALL MONTAGE</v>
      </c>
      <c r="C896" s="66" t="str">
        <f>_xlfn.CONCAT(Tableau119[[#This Row],[Compte ILN]],"-",Tableau119[[#This Row],[Compte Shipper]],"-",Tableau119[[#This Row],[POL]],"-",Tableau119[[#This Row],[Compte Consignee]])</f>
        <v>26037000-26037000-CNSHA-91017300</v>
      </c>
      <c r="D896" s="66" t="str">
        <f>_xlfn.CONCAT(Tableau119[[#This Row],[Compte ILN]],"-",Tableau119[[#This Row],[Compte Shipper]],"-",Tableau119[[#This Row],[POL]])</f>
        <v>26037000-26037000-CNSHA</v>
      </c>
      <c r="E896" s="130" t="str">
        <f>_xlfn.CONCAT(Tableau119[[#This Row],[POL]],"-",Tableau119[[#This Row],[Carrier]],"-",Tableau119[[#This Row],[POD]])</f>
        <v>CNSHA-Hapag Lloyd-ESVLC</v>
      </c>
      <c r="F896" s="66" t="str">
        <f>_xlfn.CONCAT(Tableau119[[#This Row],[ID]],"-","Actif")</f>
        <v>930-Actif</v>
      </c>
      <c r="G896" s="66" t="str">
        <f>_xlfn.CONCAT(Tableau119[[#This Row],[POD]],"-",Tableau119[[#This Row],[Code PFI]],"-",Tableau119[[#This Row],[Compte Consignee]])</f>
        <v>ESVLC-91018400-91017300</v>
      </c>
      <c r="H8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ShanghaiCNSHAVALL MONTAGE</v>
      </c>
      <c r="I896" s="434" t="str">
        <f>_xlfn.CONCAT(Tableau119[[#This Row],[ID]],"-",Tableau119[[#This Row],[Expiration Date]])</f>
        <v>930-46053</v>
      </c>
      <c r="J8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Shanghai-930-CNSHA-Hapag Lloyd-ESVLC-CDD VLL-46053</v>
      </c>
      <c r="K896" s="119" t="str">
        <f ca="1">IF(COUNTIF(J:J,Tableau119[[#This Row],[Plant-ILN-shipper-POL-Carrier-POD-PFI]])=1,"Non","Oui")</f>
        <v>Non</v>
      </c>
      <c r="L896" s="440" t="str">
        <f>VLOOKUP(Tableau119[[#This Row],[Name Site]],Plant_AILN!A:D,4,FALSE)</f>
        <v>SPAIN</v>
      </c>
      <c r="M896" s="483" t="s">
        <v>175</v>
      </c>
      <c r="N896" s="455">
        <f>VLOOKUP(Tableau119[[#This Row],[Name Site]],Plant_AILN!A:C,3,FALSE)</f>
        <v>91017300</v>
      </c>
      <c r="O896" s="104">
        <f>IF(Tableau119[[#This Row],[Name PFI/CDD]]="PFI VLL",2,VLOOKUP(Tableau119[[#This Row],[Compte Consignee]],Order!C:D,2,FALSE))</f>
        <v>7</v>
      </c>
      <c r="P896" s="126" t="s">
        <v>62</v>
      </c>
      <c r="Q896" s="366">
        <f>VLOOKUP(Tableau119[[#This Row],[Name ILN]],Plant_AILN!F:G,2,FALSE)</f>
        <v>26037000</v>
      </c>
      <c r="R896" s="81">
        <f>VLOOKUP(Tableau119[[#This Row],[Compte ILN]],'DATA ILN'!D:I,6,FALSE)</f>
        <v>9</v>
      </c>
      <c r="S896" s="81">
        <f>IFERROR(VLOOKUP(Tableau119[[#This Row],[Key(Compte ILN - shipper - POL - plant)]],'DATA ILN'!A:J,10,FALSE),VLOOKUP(Tableau119[[#This Row],[Key(Compte ILN - shipper - POL)]],'DATA ILN'!B:J,9,FALSE))</f>
        <v>14</v>
      </c>
      <c r="T896" s="81">
        <f>IFERROR(VLOOKUP(Tableau119[[#This Row],[Key(Compte ILN - shipper - POL - plant)]],'DATA ILN'!A:K,11,FALSE),VLOOKUP(Tableau119[[#This Row],[Key(Compte ILN - shipper - POL)]],'DATA ILN'!B:K,10,FALSE))</f>
        <v>5</v>
      </c>
      <c r="U896" s="81">
        <f>IFERROR(VLOOKUP(Tableau119[[#This Row],[Key(Compte ILN - shipper - POL - plant)]],'DATA ILN'!A:L,12,FALSE),VLOOKUP(Tableau119[[#This Row],[Key(Compte ILN - shipper - POL)]],'DATA ILN'!B:L,11,FALSE))</f>
        <v>7</v>
      </c>
      <c r="V896" s="81">
        <f>Tableau119[[#This Row],[Day ILN Order]]+Tableau119[[#This Row],[Delivery time to ILN/Shipper]]-1</f>
        <v>22</v>
      </c>
      <c r="W896" s="81">
        <f>IFERROR(VLOOKUP(Tableau119[[#This Row],[Key(Compte ILN - shipper - POL - plant)]],'DATA ILN'!A:N,14,FALSE),VLOOKUP(Tableau119[[#This Row],[Key(Compte ILN - shipper - POL)]],'DATA ILN'!B:N,13,FALSE))</f>
        <v>1</v>
      </c>
      <c r="X896" s="81">
        <f>IFERROR(VLOOKUP(Tableau119[[#This Row],[Key(Compte ILN - shipper - POL - plant)]],'DATA ILN'!A:P,16,FALSE),VLOOKUP(Tableau119[[#This Row],[Key(Compte ILN - shipper - POL)]],'DATA ILN'!B:P,15,FALSE))</f>
        <v>2</v>
      </c>
      <c r="Y896" s="102" t="s">
        <v>62</v>
      </c>
      <c r="Z896" s="417">
        <f>IFERROR(VLOOKUP(Tableau119[[#This Row],[Name Shipper]],Plant_AILN!L:M,2,FALSE),0)</f>
        <v>26037000</v>
      </c>
      <c r="AA896" s="416">
        <v>930</v>
      </c>
      <c r="AB896" s="396" t="str">
        <f>_xlfn.XLOOKUP(Tableau119[[#This Row],[Key(ID-date)]],'DATA BTO'!S:S,'DATA BTO'!E:E,FALSE)</f>
        <v>CNSHA</v>
      </c>
      <c r="AC896" s="3" t="str">
        <f>_xlfn.XLOOKUP(Tableau119[[#This Row],[Key(ID-date)]],'DATA BTO'!S:S,'DATA BTO'!F:F,FALSE)</f>
        <v>Hapag Lloyd</v>
      </c>
      <c r="AD896" s="50">
        <f>_xlfn.XLOOKUP(Tableau119[[#This Row],[Key(ID-date)]],'DATA BTO'!S:S,'DATA BTO'!G:G,FALSE)</f>
        <v>5</v>
      </c>
      <c r="AE896" s="50">
        <f>_xlfn.XLOOKUP(Tableau119[[#This Row],[Key(ID-date)]],'DATA BTO'!S:S,'DATA BTO'!H:H,FALSE)</f>
        <v>8</v>
      </c>
      <c r="AF896" s="447">
        <f>IF(Tableau119[[#This Row],[First Day to POL]]&lt;=Tableau119[[#This Row],[Day Cut Off]],Tableau119[[#This Row],[Day ETD]],Tableau119[[#This Row],[Day ETD]]+7)</f>
        <v>8</v>
      </c>
      <c r="AG896" s="50">
        <f>_xlfn.XLOOKUP(Tableau119[[#This Row],[Key(ID-date)]],'DATA BTO'!S:S,'DATA BTO'!I:I,FALSE)</f>
        <v>40</v>
      </c>
      <c r="AH896" s="3" t="str">
        <f>_xlfn.XLOOKUP(Tableau119[[#This Row],[Key(ID-date)]],'DATA BTO'!S:S,'DATA BTO'!J:J,FALSE)</f>
        <v>ESVLC</v>
      </c>
      <c r="AI896" s="3">
        <f>_xlfn.XLOOKUP(Tableau119[[#This Row],[Key(ID-date)]],'DATA BTO'!S:S,'DATA BTO'!K:K,FALSE)</f>
        <v>3</v>
      </c>
      <c r="AJ896" s="50">
        <f>_xlfn.XLOOKUP(Tableau119[[#This Row],[Key(ID-date)]],'DATA BTO'!S:S,'DATA BTO'!L:L,FALSE)</f>
        <v>0</v>
      </c>
      <c r="AK896" s="53" t="str">
        <f>_xlfn.XLOOKUP(Tableau119[[#This Row],[Key(ID-date)]],'DATA BTO'!S:S,'DATA BTO'!N:N,FALSE)</f>
        <v>Marc-Aurele</v>
      </c>
      <c r="AL896" s="54">
        <f>VLOOKUP(Tableau119[[#This Row],[Key(POD -PFI- Usine)]],'DATA Consignee'!A:F,6,FALSE)</f>
        <v>2</v>
      </c>
      <c r="AM896" s="102" t="s">
        <v>169</v>
      </c>
      <c r="AN896" s="375">
        <f>IF(Tableau119[[#This Row],[Name PFI/CDD]]="","-",VLOOKUP(Tableau119[[#This Row],[Name PFI/CDD]],Plant_AILN!I:J,2,FALSE))</f>
        <v>91018400</v>
      </c>
      <c r="AO896" s="109">
        <f>IF(COUNTIF(buffer_train[AILN],Tableau119[[#This Row],[Name PFI/CDD]])&gt;0,Tableau119[[#This Row],[First Receipt Days]]+Tableau119[[#This Row],[Cust.]]+Tableau119[[#This Row],[Parts Vanning]]+Tableau119[[#This Row],[Transit Time2]],"-")</f>
        <v>80</v>
      </c>
      <c r="AP896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5</v>
      </c>
      <c r="AQ896" s="110">
        <f>VLOOKUP(Tableau119[[#This Row],[Key(POD -PFI- Usine)]],'DATA Consignee'!A:J,10,FALSE)</f>
        <v>3</v>
      </c>
      <c r="AR896" s="81">
        <f>VLOOKUP(Tableau119[[#This Row],[Key(POD -PFI- Usine)]],'DATA Consignee'!A:N,14,FALSE)</f>
        <v>3</v>
      </c>
      <c r="AS89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9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896" s="81">
        <f>Tableau119[[#This Row],[Transit time]]+Tableau119[[#This Row],[Time for security]]+Tableau119[[#This Row],[Time for security2 buffer]]</f>
        <v>43</v>
      </c>
      <c r="AV89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96" s="50">
        <f>Tableau119[[#This Row],[Leadtime SI2C]]+Tableau119[[#This Row],[First Receipt Days]]-Tableau119[[#This Row],[Day Customer Order]]+1</f>
        <v>85</v>
      </c>
      <c r="AX896" s="119">
        <f>IF(Tableau119[[#This Row],[Name ILN]]&lt;&gt;"SFK Freight Forwarder",Tableau119[[#This Row],[Cust. Leadtime]],Tableau119[[#This Row],[Leadtime SI2C]])</f>
        <v>85</v>
      </c>
      <c r="AY896" s="51" t="str">
        <f>_xlfn.XLOOKUP(Tableau119[[#This Row],[Key(ID-date)]],'DATA BTO'!S:S,'DATA BTO'!P:P,FALSE)</f>
        <v>Renault &gt; Horse BPH</v>
      </c>
      <c r="AZ896" s="388">
        <v>46053</v>
      </c>
      <c r="BA896" s="81"/>
    </row>
    <row r="897" spans="2:53">
      <c r="B897" s="446" t="str">
        <f>_xlfn.CONCAT(Tableau119[[#This Row],[Name ILN]],"-",Tableau119[[#This Row],[Name Shipper]],"-",Tableau119[[#This Row],[Name Site]])</f>
        <v>KWE Shanghai-KWE Shanghai-CACIA</v>
      </c>
      <c r="C897" s="66" t="str">
        <f>_xlfn.CONCAT(Tableau119[[#This Row],[Compte ILN]],"-",Tableau119[[#This Row],[Compte Shipper]],"-",Tableau119[[#This Row],[POL]],"-",Tableau119[[#This Row],[Compte Consignee]])</f>
        <v>26037000-26037000-CNSHA-90016500</v>
      </c>
      <c r="D897" s="66" t="str">
        <f>_xlfn.CONCAT(Tableau119[[#This Row],[Compte ILN]],"-",Tableau119[[#This Row],[Compte Shipper]],"-",Tableau119[[#This Row],[POL]])</f>
        <v>26037000-26037000-CNSHA</v>
      </c>
      <c r="E897" s="130" t="str">
        <f>_xlfn.CONCAT(Tableau119[[#This Row],[POL]],"-",Tableau119[[#This Row],[Carrier]],"-",Tableau119[[#This Row],[POD]])</f>
        <v>CNSHA-CMA-CGM-ESVLC</v>
      </c>
      <c r="F897" s="66" t="str">
        <f>_xlfn.CONCAT(Tableau119[[#This Row],[ID]],"-","Actif")</f>
        <v>930-Actif</v>
      </c>
      <c r="G897" s="66" t="str">
        <f>_xlfn.CONCAT(Tableau119[[#This Row],[POD]],"-",Tableau119[[#This Row],[Code PFI]],"-",Tableau119[[#This Row],[Compte Consignee]])</f>
        <v>ESVLC-91018400-90016500</v>
      </c>
      <c r="H8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ShanghaiCNSHACACIA</v>
      </c>
      <c r="I897" s="434" t="str">
        <f>_xlfn.CONCAT(Tableau119[[#This Row],[ID]],"-",Tableau119[[#This Row],[Expiration Date]])</f>
        <v>930-45777</v>
      </c>
      <c r="J8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CACIA-KWE Shanghai-KWE Shanghai-930-CNSHA-CMA-CGM-ESVLC-PFI VLL-45777</v>
      </c>
      <c r="K897" s="119" t="str">
        <f ca="1">IF(COUNTIF(J:J,Tableau119[[#This Row],[Plant-ILN-shipper-POL-Carrier-POD-PFI]])=1,"Non","Oui")</f>
        <v>Non</v>
      </c>
      <c r="L897" s="128" t="str">
        <f>VLOOKUP(Tableau119[[#This Row],[Name Site]],Plant_AILN!A:D,4,FALSE)</f>
        <v>PORTUGAL</v>
      </c>
      <c r="M897" s="411" t="s">
        <v>170</v>
      </c>
      <c r="N897" s="454">
        <f>VLOOKUP(Tableau119[[#This Row],[Name Site]],Plant_AILN!A:C,3,FALSE)</f>
        <v>90016500</v>
      </c>
      <c r="O897" s="55">
        <f>VLOOKUP(Tableau119[[#This Row],[Compte Consignee]],Order!C:D,2,FALSE)</f>
        <v>5</v>
      </c>
      <c r="P897" s="124" t="s">
        <v>62</v>
      </c>
      <c r="Q897" s="365">
        <f>VLOOKUP(Tableau119[[#This Row],[Name ILN]],Plant_AILN!F:G,2,FALSE)</f>
        <v>26037000</v>
      </c>
      <c r="R897" s="50">
        <f>VLOOKUP(Tableau119[[#This Row],[Compte ILN]],'DATA ILN'!D:I,6,FALSE)</f>
        <v>9</v>
      </c>
      <c r="S897" s="50">
        <f>IFERROR(VLOOKUP(Tableau119[[#This Row],[Key(Compte ILN - shipper - POL - plant)]],'DATA ILN'!A:J,10,FALSE),VLOOKUP(Tableau119[[#This Row],[Key(Compte ILN - shipper - POL)]],'DATA ILN'!B:J,9,FALSE))</f>
        <v>14</v>
      </c>
      <c r="T897" s="50">
        <f>IFERROR(VLOOKUP(Tableau119[[#This Row],[Key(Compte ILN - shipper - POL - plant)]],'DATA ILN'!A:K,11,FALSE),VLOOKUP(Tableau119[[#This Row],[Key(Compte ILN - shipper - POL)]],'DATA ILN'!B:K,10,FALSE))</f>
        <v>5</v>
      </c>
      <c r="U897" s="50">
        <f>IFERROR(VLOOKUP(Tableau119[[#This Row],[Key(Compte ILN - shipper - POL - plant)]],'DATA ILN'!A:L,12,FALSE),VLOOKUP(Tableau119[[#This Row],[Key(Compte ILN - shipper - POL)]],'DATA ILN'!B:L,11,FALSE))</f>
        <v>7</v>
      </c>
      <c r="V897" s="50">
        <f>Tableau119[[#This Row],[Day ILN Order]]+Tableau119[[#This Row],[Delivery time to ILN/Shipper]]-1</f>
        <v>22</v>
      </c>
      <c r="W897" s="50">
        <f>IFERROR(VLOOKUP(Tableau119[[#This Row],[Key(Compte ILN - shipper - POL - plant)]],'DATA ILN'!A:N,14,FALSE),VLOOKUP(Tableau119[[#This Row],[Key(Compte ILN - shipper - POL)]],'DATA ILN'!B:N,13,FALSE))</f>
        <v>1</v>
      </c>
      <c r="X897" s="50">
        <f>IFERROR(VLOOKUP(Tableau119[[#This Row],[Key(Compte ILN - shipper - POL - plant)]],'DATA ILN'!A:P,16,FALSE),VLOOKUP(Tableau119[[#This Row],[Key(Compte ILN - shipper - POL)]],'DATA ILN'!B:P,15,FALSE))</f>
        <v>2</v>
      </c>
      <c r="Y897" s="284" t="s">
        <v>62</v>
      </c>
      <c r="Z897" s="430">
        <f>IFERROR(VLOOKUP(Tableau119[[#This Row],[Name Shipper]],Plant_AILN!L:M,2,FALSE),0)</f>
        <v>26037000</v>
      </c>
      <c r="AA897" s="406">
        <v>930</v>
      </c>
      <c r="AB897" s="396" t="str">
        <f>_xlfn.XLOOKUP(Tableau119[[#This Row],[Key(ID-date)]],'DATA BTO'!S:S,'DATA BTO'!E:E,FALSE)</f>
        <v>CNSHA</v>
      </c>
      <c r="AC897" s="3" t="str">
        <f>_xlfn.XLOOKUP(Tableau119[[#This Row],[Key(ID-date)]],'DATA BTO'!S:S,'DATA BTO'!F:F,FALSE)</f>
        <v>CMA-CGM</v>
      </c>
      <c r="AD897" s="50">
        <f>_xlfn.XLOOKUP(Tableau119[[#This Row],[Key(ID-date)]],'DATA BTO'!S:S,'DATA BTO'!G:G,FALSE)</f>
        <v>2</v>
      </c>
      <c r="AE897" s="50">
        <f>_xlfn.XLOOKUP(Tableau119[[#This Row],[Key(ID-date)]],'DATA BTO'!S:S,'DATA BTO'!H:H,FALSE)</f>
        <v>4</v>
      </c>
      <c r="AF897" s="447">
        <f>IF(Tableau119[[#This Row],[First Day to POL]]&lt;=Tableau119[[#This Row],[Day Cut Off]],Tableau119[[#This Row],[Day ETD]],Tableau119[[#This Row],[Day ETD]]+7)</f>
        <v>4</v>
      </c>
      <c r="AG897" s="50">
        <f>_xlfn.XLOOKUP(Tableau119[[#This Row],[Key(ID-date)]],'DATA BTO'!S:S,'DATA BTO'!I:I,FALSE)</f>
        <v>38</v>
      </c>
      <c r="AH897" s="3" t="str">
        <f>_xlfn.XLOOKUP(Tableau119[[#This Row],[Key(ID-date)]],'DATA BTO'!S:S,'DATA BTO'!J:J,FALSE)</f>
        <v>ESVLC</v>
      </c>
      <c r="AI897" s="3">
        <f>_xlfn.XLOOKUP(Tableau119[[#This Row],[Key(ID-date)]],'DATA BTO'!S:S,'DATA BTO'!K:K,FALSE)</f>
        <v>3</v>
      </c>
      <c r="AJ897" s="50">
        <f>_xlfn.XLOOKUP(Tableau119[[#This Row],[Key(ID-date)]],'DATA BTO'!S:S,'DATA BTO'!L:L,FALSE)</f>
        <v>0</v>
      </c>
      <c r="AK897" s="53" t="str">
        <f>_xlfn.XLOOKUP(Tableau119[[#This Row],[Key(ID-date)]],'DATA BTO'!S:S,'DATA BTO'!N:N,FALSE)</f>
        <v>Anthony</v>
      </c>
      <c r="AL897" s="54">
        <f>VLOOKUP(Tableau119[[#This Row],[Key(POD -PFI- Usine)]],'DATA Consignee'!A:F,6,FALSE)</f>
        <v>3</v>
      </c>
      <c r="AM897" s="284" t="s">
        <v>171</v>
      </c>
      <c r="AN897" s="376">
        <f>IF(Tableau119[[#This Row],[Name PFI/CDD]]="","-",VLOOKUP(Tableau119[[#This Row],[Name PFI/CDD]],Plant_AILN!I:J,2,FALSE))</f>
        <v>91018400</v>
      </c>
      <c r="AO897" s="6">
        <f>IF(COUNTIF(buffer_train[AILN],Tableau119[[#This Row],[Name PFI/CDD]])&gt;0,Tableau119[[#This Row],[First Receipt Days]]+Tableau119[[#This Row],[Cust.]]+Tableau119[[#This Row],[Parts Vanning]]+Tableau119[[#This Row],[Transit Time2]],"-")</f>
        <v>75</v>
      </c>
      <c r="AP897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3</v>
      </c>
      <c r="AQ897" s="2">
        <f>VLOOKUP(Tableau119[[#This Row],[Key(POD -PFI- Usine)]],'DATA Consignee'!A:J,10,FALSE)</f>
        <v>3</v>
      </c>
      <c r="AR897" s="50">
        <f>VLOOKUP(Tableau119[[#This Row],[Key(POD -PFI- Usine)]],'DATA Consignee'!A:N,14,FALSE)</f>
        <v>4</v>
      </c>
      <c r="AS89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89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9</v>
      </c>
      <c r="AU897" s="50">
        <f>Tableau119[[#This Row],[Transit time]]+Tableau119[[#This Row],[Time for security]]+Tableau119[[#This Row],[Time for security2 buffer]]</f>
        <v>41</v>
      </c>
      <c r="AV89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897" s="50">
        <f>Tableau119[[#This Row],[Leadtime SI2C]]+Tableau119[[#This Row],[First Receipt Days]]-Tableau119[[#This Row],[Day Customer Order]]+1</f>
        <v>87</v>
      </c>
      <c r="AX897" s="119">
        <f>IF(Tableau119[[#This Row],[Name ILN]]&lt;&gt;"SFK Freight Forwarder",Tableau119[[#This Row],[Cust. Leadtime]],Tableau119[[#This Row],[Leadtime SI2C]])</f>
        <v>87</v>
      </c>
      <c r="AY897" s="51" t="str">
        <f>_xlfn.XLOOKUP(Tableau119[[#This Row],[Key(ID-date)]],'DATA BTO'!S:S,'DATA BTO'!P:P,FALSE)</f>
        <v>Renault &gt; Horse BPH</v>
      </c>
      <c r="AZ897" s="338">
        <v>45777</v>
      </c>
      <c r="BA897" s="50"/>
    </row>
    <row r="898" spans="2:53">
      <c r="B898" s="446" t="str">
        <f>_xlfn.CONCAT(Tableau119[[#This Row],[Name ILN]],"-",Tableau119[[#This Row],[Name Shipper]],"-",Tableau119[[#This Row],[Name Site]])</f>
        <v>KWE Shanghai-KWE Shanghai-VALL MONTAGE</v>
      </c>
      <c r="C898" s="66" t="str">
        <f>_xlfn.CONCAT(Tableau119[[#This Row],[Compte ILN]],"-",Tableau119[[#This Row],[Compte Shipper]],"-",Tableau119[[#This Row],[POL]],"-",Tableau119[[#This Row],[Compte Consignee]])</f>
        <v>26037000-26037000-CNSHA-91017300</v>
      </c>
      <c r="D898" s="66" t="str">
        <f>_xlfn.CONCAT(Tableau119[[#This Row],[Compte ILN]],"-",Tableau119[[#This Row],[Compte Shipper]],"-",Tableau119[[#This Row],[POL]])</f>
        <v>26037000-26037000-CNSHA</v>
      </c>
      <c r="E898" s="130" t="str">
        <f>_xlfn.CONCAT(Tableau119[[#This Row],[POL]],"-",Tableau119[[#This Row],[Carrier]],"-",Tableau119[[#This Row],[POD]])</f>
        <v>CNSHA-CMA-CGM-ESVLC</v>
      </c>
      <c r="F898" s="66" t="str">
        <f>_xlfn.CONCAT(Tableau119[[#This Row],[ID]],"-","Actif")</f>
        <v>930-Actif</v>
      </c>
      <c r="G898" s="66" t="str">
        <f>_xlfn.CONCAT(Tableau119[[#This Row],[POD]],"-",Tableau119[[#This Row],[Code PFI]],"-",Tableau119[[#This Row],[Compte Consignee]])</f>
        <v>ESVLC-91018400-91017300</v>
      </c>
      <c r="H8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ShanghaiCNSHAVALL MONTAGE</v>
      </c>
      <c r="I898" s="434" t="str">
        <f>_xlfn.CONCAT(Tableau119[[#This Row],[ID]],"-",Tableau119[[#This Row],[Expiration Date]])</f>
        <v>930-45777</v>
      </c>
      <c r="J8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Shanghai-930-CNSHA-CMA-CGM-ESVLC-CDD VLL-45777</v>
      </c>
      <c r="K898" s="119" t="str">
        <f ca="1">IF(COUNTIF(J:J,Tableau119[[#This Row],[Plant-ILN-shipper-POL-Carrier-POD-PFI]])=1,"Non","Oui")</f>
        <v>Non</v>
      </c>
      <c r="L898" s="128" t="str">
        <f>VLOOKUP(Tableau119[[#This Row],[Name Site]],Plant_AILN!A:D,4,FALSE)</f>
        <v>SPAIN</v>
      </c>
      <c r="M898" s="411" t="s">
        <v>175</v>
      </c>
      <c r="N898" s="454">
        <f>VLOOKUP(Tableau119[[#This Row],[Name Site]],Plant_AILN!A:C,3,FALSE)</f>
        <v>91017300</v>
      </c>
      <c r="O898" s="55">
        <f>VLOOKUP(Tableau119[[#This Row],[Compte Consignee]],Order!C:D,2,FALSE)</f>
        <v>7</v>
      </c>
      <c r="P898" s="124" t="s">
        <v>62</v>
      </c>
      <c r="Q898" s="365">
        <f>VLOOKUP(Tableau119[[#This Row],[Name ILN]],Plant_AILN!F:G,2,FALSE)</f>
        <v>26037000</v>
      </c>
      <c r="R898" s="50">
        <f>VLOOKUP(Tableau119[[#This Row],[Compte ILN]],'DATA ILN'!D:I,6,FALSE)</f>
        <v>9</v>
      </c>
      <c r="S898" s="50">
        <f>IFERROR(VLOOKUP(Tableau119[[#This Row],[Key(Compte ILN - shipper - POL - plant)]],'DATA ILN'!A:J,10,FALSE),VLOOKUP(Tableau119[[#This Row],[Key(Compte ILN - shipper - POL)]],'DATA ILN'!B:J,9,FALSE))</f>
        <v>14</v>
      </c>
      <c r="T898" s="50">
        <f>IFERROR(VLOOKUP(Tableau119[[#This Row],[Key(Compte ILN - shipper - POL - plant)]],'DATA ILN'!A:K,11,FALSE),VLOOKUP(Tableau119[[#This Row],[Key(Compte ILN - shipper - POL)]],'DATA ILN'!B:K,10,FALSE))</f>
        <v>5</v>
      </c>
      <c r="U898" s="50">
        <f>IFERROR(VLOOKUP(Tableau119[[#This Row],[Key(Compte ILN - shipper - POL - plant)]],'DATA ILN'!A:L,12,FALSE),VLOOKUP(Tableau119[[#This Row],[Key(Compte ILN - shipper - POL)]],'DATA ILN'!B:L,11,FALSE))</f>
        <v>7</v>
      </c>
      <c r="V898" s="50">
        <f>Tableau119[[#This Row],[Day ILN Order]]+Tableau119[[#This Row],[Delivery time to ILN/Shipper]]-1</f>
        <v>22</v>
      </c>
      <c r="W898" s="50">
        <f>IFERROR(VLOOKUP(Tableau119[[#This Row],[Key(Compte ILN - shipper - POL - plant)]],'DATA ILN'!A:N,14,FALSE),VLOOKUP(Tableau119[[#This Row],[Key(Compte ILN - shipper - POL)]],'DATA ILN'!B:N,13,FALSE))</f>
        <v>1</v>
      </c>
      <c r="X898" s="50">
        <f>IFERROR(VLOOKUP(Tableau119[[#This Row],[Key(Compte ILN - shipper - POL - plant)]],'DATA ILN'!A:P,16,FALSE),VLOOKUP(Tableau119[[#This Row],[Key(Compte ILN - shipper - POL)]],'DATA ILN'!B:P,15,FALSE))</f>
        <v>2</v>
      </c>
      <c r="Y898" s="284" t="s">
        <v>62</v>
      </c>
      <c r="Z898" s="430">
        <f>IFERROR(VLOOKUP(Tableau119[[#This Row],[Name Shipper]],Plant_AILN!L:M,2,FALSE),0)</f>
        <v>26037000</v>
      </c>
      <c r="AA898" s="406">
        <v>930</v>
      </c>
      <c r="AB898" s="396" t="str">
        <f>_xlfn.XLOOKUP(Tableau119[[#This Row],[Key(ID-date)]],'DATA BTO'!S:S,'DATA BTO'!E:E,FALSE)</f>
        <v>CNSHA</v>
      </c>
      <c r="AC898" s="3" t="str">
        <f>_xlfn.XLOOKUP(Tableau119[[#This Row],[Key(ID-date)]],'DATA BTO'!S:S,'DATA BTO'!F:F,FALSE)</f>
        <v>CMA-CGM</v>
      </c>
      <c r="AD898" s="50">
        <f>_xlfn.XLOOKUP(Tableau119[[#This Row],[Key(ID-date)]],'DATA BTO'!S:S,'DATA BTO'!G:G,FALSE)</f>
        <v>2</v>
      </c>
      <c r="AE898" s="50">
        <f>_xlfn.XLOOKUP(Tableau119[[#This Row],[Key(ID-date)]],'DATA BTO'!S:S,'DATA BTO'!H:H,FALSE)</f>
        <v>4</v>
      </c>
      <c r="AF898" s="447">
        <f>IF(Tableau119[[#This Row],[First Day to POL]]&lt;=Tableau119[[#This Row],[Day Cut Off]],Tableau119[[#This Row],[Day ETD]],Tableau119[[#This Row],[Day ETD]]+7)</f>
        <v>4</v>
      </c>
      <c r="AG898" s="50">
        <f>_xlfn.XLOOKUP(Tableau119[[#This Row],[Key(ID-date)]],'DATA BTO'!S:S,'DATA BTO'!I:I,FALSE)</f>
        <v>38</v>
      </c>
      <c r="AH898" s="3" t="str">
        <f>_xlfn.XLOOKUP(Tableau119[[#This Row],[Key(ID-date)]],'DATA BTO'!S:S,'DATA BTO'!J:J,FALSE)</f>
        <v>ESVLC</v>
      </c>
      <c r="AI898" s="3">
        <f>_xlfn.XLOOKUP(Tableau119[[#This Row],[Key(ID-date)]],'DATA BTO'!S:S,'DATA BTO'!K:K,FALSE)</f>
        <v>3</v>
      </c>
      <c r="AJ898" s="50">
        <f>_xlfn.XLOOKUP(Tableau119[[#This Row],[Key(ID-date)]],'DATA BTO'!S:S,'DATA BTO'!L:L,FALSE)</f>
        <v>0</v>
      </c>
      <c r="AK898" s="53" t="str">
        <f>_xlfn.XLOOKUP(Tableau119[[#This Row],[Key(ID-date)]],'DATA BTO'!S:S,'DATA BTO'!N:N,FALSE)</f>
        <v>Anthony</v>
      </c>
      <c r="AL898" s="54">
        <f>VLOOKUP(Tableau119[[#This Row],[Key(POD -PFI- Usine)]],'DATA Consignee'!A:F,6,FALSE)</f>
        <v>2</v>
      </c>
      <c r="AM898" s="284" t="s">
        <v>169</v>
      </c>
      <c r="AN898" s="376">
        <f>IF(Tableau119[[#This Row],[Name PFI/CDD]]="","-",VLOOKUP(Tableau119[[#This Row],[Name PFI/CDD]],Plant_AILN!I:J,2,FALSE))</f>
        <v>91018400</v>
      </c>
      <c r="AO898" s="6">
        <f>IF(COUNTIF(buffer_train[AILN],Tableau119[[#This Row],[Name PFI/CDD]])&gt;0,Tableau119[[#This Row],[First Receipt Days]]+Tableau119[[#This Row],[Cust.]]+Tableau119[[#This Row],[Parts Vanning]]+Tableau119[[#This Row],[Transit Time2]],"-")</f>
        <v>74</v>
      </c>
      <c r="AP898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898" s="2">
        <f>VLOOKUP(Tableau119[[#This Row],[Key(POD -PFI- Usine)]],'DATA Consignee'!A:J,10,FALSE)</f>
        <v>3</v>
      </c>
      <c r="AR898" s="50">
        <f>VLOOKUP(Tableau119[[#This Row],[Key(POD -PFI- Usine)]],'DATA Consignee'!A:N,14,FALSE)</f>
        <v>3</v>
      </c>
      <c r="AS89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9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9</v>
      </c>
      <c r="AU898" s="50">
        <f>Tableau119[[#This Row],[Transit time]]+Tableau119[[#This Row],[Time for security]]+Tableau119[[#This Row],[Time for security2 buffer]]</f>
        <v>41</v>
      </c>
      <c r="AV89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98" s="50">
        <f>Tableau119[[#This Row],[Leadtime SI2C]]+Tableau119[[#This Row],[First Receipt Days]]-Tableau119[[#This Row],[Day Customer Order]]+1</f>
        <v>78</v>
      </c>
      <c r="AX898" s="119">
        <f>IF(Tableau119[[#This Row],[Name ILN]]&lt;&gt;"SFK Freight Forwarder",Tableau119[[#This Row],[Cust. Leadtime]],Tableau119[[#This Row],[Leadtime SI2C]])</f>
        <v>78</v>
      </c>
      <c r="AY898" s="51" t="str">
        <f>_xlfn.XLOOKUP(Tableau119[[#This Row],[Key(ID-date)]],'DATA BTO'!S:S,'DATA BTO'!P:P,FALSE)</f>
        <v>Renault &gt; Horse BPH</v>
      </c>
      <c r="AZ898" s="338">
        <v>45777</v>
      </c>
      <c r="BA898" s="50"/>
    </row>
    <row r="899" spans="2:53">
      <c r="B899" s="446" t="str">
        <f>_xlfn.CONCAT(Tableau119[[#This Row],[Name ILN]],"-",Tableau119[[#This Row],[Name Shipper]],"-",Tableau119[[#This Row],[Name Site]])</f>
        <v>KWE Shanghai-KWE Shanghai-MOTORES</v>
      </c>
      <c r="C899" s="66" t="str">
        <f>_xlfn.CONCAT(Tableau119[[#This Row],[Compte ILN]],"-",Tableau119[[#This Row],[Compte Shipper]],"-",Tableau119[[#This Row],[POL]],"-",Tableau119[[#This Row],[Compte Consignee]])</f>
        <v>26037000-26037000-CNSHA-91017700</v>
      </c>
      <c r="D899" s="66" t="str">
        <f>_xlfn.CONCAT(Tableau119[[#This Row],[Compte ILN]],"-",Tableau119[[#This Row],[Compte Shipper]],"-",Tableau119[[#This Row],[POL]])</f>
        <v>26037000-26037000-CNSHA</v>
      </c>
      <c r="E899" s="130" t="str">
        <f>_xlfn.CONCAT(Tableau119[[#This Row],[POL]],"-",Tableau119[[#This Row],[Carrier]],"-",Tableau119[[#This Row],[POD]])</f>
        <v>CNSHA-CMA-CGM-ESVLC</v>
      </c>
      <c r="F899" s="66" t="str">
        <f>_xlfn.CONCAT(Tableau119[[#This Row],[ID]],"-","Actif")</f>
        <v>930-Actif</v>
      </c>
      <c r="G899" s="66" t="str">
        <f>_xlfn.CONCAT(Tableau119[[#This Row],[POD]],"-",Tableau119[[#This Row],[Code PFI]],"-",Tableau119[[#This Row],[Compte Consignee]])</f>
        <v>ESVLC-91018400-91017700</v>
      </c>
      <c r="H89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ShanghaiCNSHAMOTORES</v>
      </c>
      <c r="I899" s="434" t="str">
        <f>_xlfn.CONCAT(Tableau119[[#This Row],[ID]],"-",Tableau119[[#This Row],[Expiration Date]])</f>
        <v>930-45777</v>
      </c>
      <c r="J89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MOTORES-KWE Shanghai-KWE Shanghai-930-CNSHA-CMA-CGM-ESVLC-CDD VLL-45777</v>
      </c>
      <c r="K899" s="119" t="str">
        <f ca="1">IF(COUNTIF(J:J,Tableau119[[#This Row],[Plant-ILN-shipper-POL-Carrier-POD-PFI]])=1,"Non","Oui")</f>
        <v>Non</v>
      </c>
      <c r="L899" s="128" t="str">
        <f>VLOOKUP(Tableau119[[#This Row],[Name Site]],Plant_AILN!A:D,4,FALSE)</f>
        <v>SPAIN</v>
      </c>
      <c r="M899" s="411" t="s">
        <v>63</v>
      </c>
      <c r="N899" s="454">
        <f>VLOOKUP(Tableau119[[#This Row],[Name Site]],Plant_AILN!A:C,3,FALSE)</f>
        <v>91017700</v>
      </c>
      <c r="O899" s="55">
        <f>VLOOKUP(Tableau119[[#This Row],[Compte Consignee]],Order!C:D,2,FALSE)</f>
        <v>7</v>
      </c>
      <c r="P899" s="124" t="s">
        <v>62</v>
      </c>
      <c r="Q899" s="365">
        <f>VLOOKUP(Tableau119[[#This Row],[Name ILN]],Plant_AILN!F:G,2,FALSE)</f>
        <v>26037000</v>
      </c>
      <c r="R899" s="50">
        <f>VLOOKUP(Tableau119[[#This Row],[Compte ILN]],'DATA ILN'!D:I,6,FALSE)</f>
        <v>9</v>
      </c>
      <c r="S899" s="50">
        <f>IFERROR(VLOOKUP(Tableau119[[#This Row],[Key(Compte ILN - shipper - POL - plant)]],'DATA ILN'!A:J,10,FALSE),VLOOKUP(Tableau119[[#This Row],[Key(Compte ILN - shipper - POL)]],'DATA ILN'!B:J,9,FALSE))</f>
        <v>14</v>
      </c>
      <c r="T899" s="50">
        <f>IFERROR(VLOOKUP(Tableau119[[#This Row],[Key(Compte ILN - shipper - POL - plant)]],'DATA ILN'!A:K,11,FALSE),VLOOKUP(Tableau119[[#This Row],[Key(Compte ILN - shipper - POL)]],'DATA ILN'!B:K,10,FALSE))</f>
        <v>5</v>
      </c>
      <c r="U899" s="50">
        <f>IFERROR(VLOOKUP(Tableau119[[#This Row],[Key(Compte ILN - shipper - POL - plant)]],'DATA ILN'!A:L,12,FALSE),VLOOKUP(Tableau119[[#This Row],[Key(Compte ILN - shipper - POL)]],'DATA ILN'!B:L,11,FALSE))</f>
        <v>7</v>
      </c>
      <c r="V899" s="50">
        <f>Tableau119[[#This Row],[Day ILN Order]]+Tableau119[[#This Row],[Delivery time to ILN/Shipper]]-1</f>
        <v>22</v>
      </c>
      <c r="W899" s="50">
        <f>IFERROR(VLOOKUP(Tableau119[[#This Row],[Key(Compte ILN - shipper - POL - plant)]],'DATA ILN'!A:N,14,FALSE),VLOOKUP(Tableau119[[#This Row],[Key(Compte ILN - shipper - POL)]],'DATA ILN'!B:N,13,FALSE))</f>
        <v>1</v>
      </c>
      <c r="X899" s="50">
        <f>IFERROR(VLOOKUP(Tableau119[[#This Row],[Key(Compte ILN - shipper - POL - plant)]],'DATA ILN'!A:P,16,FALSE),VLOOKUP(Tableau119[[#This Row],[Key(Compte ILN - shipper - POL)]],'DATA ILN'!B:P,15,FALSE))</f>
        <v>2</v>
      </c>
      <c r="Y899" s="284" t="s">
        <v>62</v>
      </c>
      <c r="Z899" s="430">
        <f>IFERROR(VLOOKUP(Tableau119[[#This Row],[Name Shipper]],Plant_AILN!L:M,2,FALSE),0)</f>
        <v>26037000</v>
      </c>
      <c r="AA899" s="406">
        <v>930</v>
      </c>
      <c r="AB899" s="396" t="str">
        <f>_xlfn.XLOOKUP(Tableau119[[#This Row],[Key(ID-date)]],'DATA BTO'!S:S,'DATA BTO'!E:E,FALSE)</f>
        <v>CNSHA</v>
      </c>
      <c r="AC899" s="3" t="str">
        <f>_xlfn.XLOOKUP(Tableau119[[#This Row],[Key(ID-date)]],'DATA BTO'!S:S,'DATA BTO'!F:F,FALSE)</f>
        <v>CMA-CGM</v>
      </c>
      <c r="AD899" s="50">
        <f>_xlfn.XLOOKUP(Tableau119[[#This Row],[Key(ID-date)]],'DATA BTO'!S:S,'DATA BTO'!G:G,FALSE)</f>
        <v>2</v>
      </c>
      <c r="AE899" s="50">
        <f>_xlfn.XLOOKUP(Tableau119[[#This Row],[Key(ID-date)]],'DATA BTO'!S:S,'DATA BTO'!H:H,FALSE)</f>
        <v>4</v>
      </c>
      <c r="AF899" s="447">
        <f>IF(Tableau119[[#This Row],[First Day to POL]]&lt;=Tableau119[[#This Row],[Day Cut Off]],Tableau119[[#This Row],[Day ETD]],Tableau119[[#This Row],[Day ETD]]+7)</f>
        <v>4</v>
      </c>
      <c r="AG899" s="50">
        <f>_xlfn.XLOOKUP(Tableau119[[#This Row],[Key(ID-date)]],'DATA BTO'!S:S,'DATA BTO'!I:I,FALSE)</f>
        <v>38</v>
      </c>
      <c r="AH899" s="3" t="str">
        <f>_xlfn.XLOOKUP(Tableau119[[#This Row],[Key(ID-date)]],'DATA BTO'!S:S,'DATA BTO'!J:J,FALSE)</f>
        <v>ESVLC</v>
      </c>
      <c r="AI899" s="3">
        <f>_xlfn.XLOOKUP(Tableau119[[#This Row],[Key(ID-date)]],'DATA BTO'!S:S,'DATA BTO'!K:K,FALSE)</f>
        <v>3</v>
      </c>
      <c r="AJ899" s="50">
        <f>_xlfn.XLOOKUP(Tableau119[[#This Row],[Key(ID-date)]],'DATA BTO'!S:S,'DATA BTO'!L:L,FALSE)</f>
        <v>0</v>
      </c>
      <c r="AK899" s="53" t="str">
        <f>_xlfn.XLOOKUP(Tableau119[[#This Row],[Key(ID-date)]],'DATA BTO'!S:S,'DATA BTO'!N:N,FALSE)</f>
        <v>Anthony</v>
      </c>
      <c r="AL899" s="54">
        <f>VLOOKUP(Tableau119[[#This Row],[Key(POD -PFI- Usine)]],'DATA Consignee'!A:F,6,FALSE)</f>
        <v>2</v>
      </c>
      <c r="AM899" s="284" t="s">
        <v>169</v>
      </c>
      <c r="AN899" s="376">
        <f>IF(Tableau119[[#This Row],[Name PFI/CDD]]="","-",VLOOKUP(Tableau119[[#This Row],[Name PFI/CDD]],Plant_AILN!I:J,2,FALSE))</f>
        <v>91018400</v>
      </c>
      <c r="AO899" s="6">
        <f>IF(COUNTIF(buffer_train[AILN],Tableau119[[#This Row],[Name PFI/CDD]])&gt;0,Tableau119[[#This Row],[First Receipt Days]]+Tableau119[[#This Row],[Cust.]]+Tableau119[[#This Row],[Parts Vanning]]+Tableau119[[#This Row],[Transit Time2]],"-")</f>
        <v>74</v>
      </c>
      <c r="AP899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899" s="2">
        <f>VLOOKUP(Tableau119[[#This Row],[Key(POD -PFI- Usine)]],'DATA Consignee'!A:J,10,FALSE)</f>
        <v>3</v>
      </c>
      <c r="AR899" s="50">
        <f>VLOOKUP(Tableau119[[#This Row],[Key(POD -PFI- Usine)]],'DATA Consignee'!A:N,14,FALSE)</f>
        <v>3</v>
      </c>
      <c r="AS89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89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9</v>
      </c>
      <c r="AU899" s="50">
        <f>Tableau119[[#This Row],[Transit time]]+Tableau119[[#This Row],[Time for security]]+Tableau119[[#This Row],[Time for security2 buffer]]</f>
        <v>41</v>
      </c>
      <c r="AV89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899" s="50">
        <f>Tableau119[[#This Row],[Leadtime SI2C]]+Tableau119[[#This Row],[First Receipt Days]]-Tableau119[[#This Row],[Day Customer Order]]+1</f>
        <v>78</v>
      </c>
      <c r="AX899" s="119">
        <f>IF(Tableau119[[#This Row],[Name ILN]]&lt;&gt;"SFK Freight Forwarder",Tableau119[[#This Row],[Cust. Leadtime]],Tableau119[[#This Row],[Leadtime SI2C]])</f>
        <v>78</v>
      </c>
      <c r="AY899" s="51" t="str">
        <f>_xlfn.XLOOKUP(Tableau119[[#This Row],[Key(ID-date)]],'DATA BTO'!S:S,'DATA BTO'!P:P,FALSE)</f>
        <v>Renault &gt; Horse BPH</v>
      </c>
      <c r="AZ899" s="338">
        <v>45777</v>
      </c>
      <c r="BA899" s="50"/>
    </row>
    <row r="900" spans="2:53">
      <c r="B900" s="446" t="str">
        <f>_xlfn.CONCAT(Tableau119[[#This Row],[Name ILN]],"-",Tableau119[[#This Row],[Name Shipper]],"-",Tableau119[[#This Row],[Name Site]])</f>
        <v>KWE Shanghai-KWE Shanghai-CACIA</v>
      </c>
      <c r="C900" s="66" t="str">
        <f>_xlfn.CONCAT(Tableau119[[#This Row],[Compte ILN]],"-",Tableau119[[#This Row],[Compte Shipper]],"-",Tableau119[[#This Row],[POL]],"-",Tableau119[[#This Row],[Compte Consignee]])</f>
        <v>26037000-26037000-CNSHA-90016500</v>
      </c>
      <c r="D900" s="66" t="str">
        <f>_xlfn.CONCAT(Tableau119[[#This Row],[Compte ILN]],"-",Tableau119[[#This Row],[Compte Shipper]],"-",Tableau119[[#This Row],[POL]])</f>
        <v>26037000-26037000-CNSHA</v>
      </c>
      <c r="E900" s="130" t="str">
        <f>_xlfn.CONCAT(Tableau119[[#This Row],[POL]],"-",Tableau119[[#This Row],[Carrier]],"-",Tableau119[[#This Row],[POD]])</f>
        <v>CNSHA-CMA-CGM-ESVLC</v>
      </c>
      <c r="F900" s="66" t="str">
        <f>_xlfn.CONCAT(Tableau119[[#This Row],[ID]],"-","Actif")</f>
        <v>930-Actif</v>
      </c>
      <c r="G900" s="66" t="str">
        <f>_xlfn.CONCAT(Tableau119[[#This Row],[POD]],"-",Tableau119[[#This Row],[Code PFI]],"-",Tableau119[[#This Row],[Compte Consignee]])</f>
        <v>ESVLC-91018400-90016500</v>
      </c>
      <c r="H90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ShanghaiCNSHACACIA</v>
      </c>
      <c r="I900" s="434" t="str">
        <f>_xlfn.CONCAT(Tableau119[[#This Row],[ID]],"-",Tableau119[[#This Row],[Expiration Date]])</f>
        <v>930-45475</v>
      </c>
      <c r="J90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CACIA-KWE Shanghai-KWE Shanghai-930-CNSHA-CMA-CGM-ESVLC-PFI VLL-45475</v>
      </c>
      <c r="K900" s="119" t="str">
        <f ca="1">IF(COUNTIF(J:J,Tableau119[[#This Row],[Plant-ILN-shipper-POL-Carrier-POD-PFI]])=1,"Non","Oui")</f>
        <v>Non</v>
      </c>
      <c r="L900" s="128" t="str">
        <f>VLOOKUP(Tableau119[[#This Row],[Name Site]],Plant_AILN!A:D,4,FALSE)</f>
        <v>PORTUGAL</v>
      </c>
      <c r="M900" s="415" t="s">
        <v>170</v>
      </c>
      <c r="N900" s="455">
        <f>VLOOKUP(Tableau119[[#This Row],[Name Site]],Plant_AILN!A:C,3,FALSE)</f>
        <v>90016500</v>
      </c>
      <c r="O900" s="104">
        <f>VLOOKUP(Tableau119[[#This Row],[Compte Consignee]],Order!C:D,2,FALSE)</f>
        <v>5</v>
      </c>
      <c r="P900" s="126" t="s">
        <v>62</v>
      </c>
      <c r="Q900" s="366">
        <f>VLOOKUP(Tableau119[[#This Row],[Name ILN]],Plant_AILN!F:G,2,FALSE)</f>
        <v>26037000</v>
      </c>
      <c r="R900" s="81">
        <f>VLOOKUP(Tableau119[[#This Row],[Compte ILN]],'DATA ILN'!D:I,6,FALSE)</f>
        <v>9</v>
      </c>
      <c r="S900" s="81">
        <f>IFERROR(VLOOKUP(Tableau119[[#This Row],[Key(Compte ILN - shipper - POL - plant)]],'DATA ILN'!A:J,10,FALSE),VLOOKUP(Tableau119[[#This Row],[Key(Compte ILN - shipper - POL)]],'DATA ILN'!B:J,9,FALSE))</f>
        <v>14</v>
      </c>
      <c r="T900" s="81">
        <f>IFERROR(VLOOKUP(Tableau119[[#This Row],[Key(Compte ILN - shipper - POL - plant)]],'DATA ILN'!A:K,11,FALSE),VLOOKUP(Tableau119[[#This Row],[Key(Compte ILN - shipper - POL)]],'DATA ILN'!B:K,10,FALSE))</f>
        <v>5</v>
      </c>
      <c r="U900" s="81">
        <f>IFERROR(VLOOKUP(Tableau119[[#This Row],[Key(Compte ILN - shipper - POL - plant)]],'DATA ILN'!A:L,12,FALSE),VLOOKUP(Tableau119[[#This Row],[Key(Compte ILN - shipper - POL)]],'DATA ILN'!B:L,11,FALSE))</f>
        <v>7</v>
      </c>
      <c r="V900" s="81">
        <f>Tableau119[[#This Row],[Day ILN Order]]+Tableau119[[#This Row],[Delivery time to ILN/Shipper]]-1</f>
        <v>22</v>
      </c>
      <c r="W900" s="81">
        <f>IFERROR(VLOOKUP(Tableau119[[#This Row],[Key(Compte ILN - shipper - POL - plant)]],'DATA ILN'!A:N,14,FALSE),VLOOKUP(Tableau119[[#This Row],[Key(Compte ILN - shipper - POL)]],'DATA ILN'!B:N,13,FALSE))</f>
        <v>1</v>
      </c>
      <c r="X900" s="81">
        <f>IFERROR(VLOOKUP(Tableau119[[#This Row],[Key(Compte ILN - shipper - POL - plant)]],'DATA ILN'!A:P,16,FALSE),VLOOKUP(Tableau119[[#This Row],[Key(Compte ILN - shipper - POL)]],'DATA ILN'!B:P,15,FALSE))</f>
        <v>2</v>
      </c>
      <c r="Y900" s="102" t="s">
        <v>62</v>
      </c>
      <c r="Z900" s="417">
        <f>IFERROR(VLOOKUP(Tableau119[[#This Row],[Name Shipper]],Plant_AILN!L:M,2,FALSE),0)</f>
        <v>26037000</v>
      </c>
      <c r="AA900" s="416">
        <v>930</v>
      </c>
      <c r="AB900" s="396" t="str">
        <f>_xlfn.XLOOKUP(Tableau119[[#This Row],[Key(ID-date)]],'DATA BTO'!S:S,'DATA BTO'!E:E,FALSE)</f>
        <v>CNSHA</v>
      </c>
      <c r="AC900" s="3" t="str">
        <f>_xlfn.XLOOKUP(Tableau119[[#This Row],[Key(ID-date)]],'DATA BTO'!S:S,'DATA BTO'!F:F,FALSE)</f>
        <v>CMA-CGM</v>
      </c>
      <c r="AD900" s="50">
        <f>_xlfn.XLOOKUP(Tableau119[[#This Row],[Key(ID-date)]],'DATA BTO'!S:S,'DATA BTO'!G:G,FALSE)</f>
        <v>4</v>
      </c>
      <c r="AE900" s="50">
        <f>_xlfn.XLOOKUP(Tableau119[[#This Row],[Key(ID-date)]],'DATA BTO'!S:S,'DATA BTO'!H:H,FALSE)</f>
        <v>6</v>
      </c>
      <c r="AF900" s="447">
        <f>IF(Tableau119[[#This Row],[First Day to POL]]&lt;=Tableau119[[#This Row],[Day Cut Off]],Tableau119[[#This Row],[Day ETD]],Tableau119[[#This Row],[Day ETD]]+7)</f>
        <v>6</v>
      </c>
      <c r="AG900" s="50">
        <f>_xlfn.XLOOKUP(Tableau119[[#This Row],[Key(ID-date)]],'DATA BTO'!S:S,'DATA BTO'!I:I,FALSE)</f>
        <v>32</v>
      </c>
      <c r="AH900" s="3" t="str">
        <f>_xlfn.XLOOKUP(Tableau119[[#This Row],[Key(ID-date)]],'DATA BTO'!S:S,'DATA BTO'!J:J,FALSE)</f>
        <v>ESVLC</v>
      </c>
      <c r="AI900" s="3">
        <f>_xlfn.XLOOKUP(Tableau119[[#This Row],[Key(ID-date)]],'DATA BTO'!S:S,'DATA BTO'!K:K,FALSE)</f>
        <v>3</v>
      </c>
      <c r="AJ900" s="50">
        <f>_xlfn.XLOOKUP(Tableau119[[#This Row],[Key(ID-date)]],'DATA BTO'!S:S,'DATA BTO'!L:L,FALSE)</f>
        <v>0</v>
      </c>
      <c r="AK900" s="53" t="str">
        <f>_xlfn.XLOOKUP(Tableau119[[#This Row],[Key(ID-date)]],'DATA BTO'!S:S,'DATA BTO'!N:N,FALSE)</f>
        <v>Anthony</v>
      </c>
      <c r="AL900" s="54">
        <f>VLOOKUP(Tableau119[[#This Row],[Key(POD -PFI- Usine)]],'DATA Consignee'!A:F,6,FALSE)</f>
        <v>3</v>
      </c>
      <c r="AM900" s="102" t="s">
        <v>171</v>
      </c>
      <c r="AN900" s="375">
        <f>IF(Tableau119[[#This Row],[Name PFI/CDD]]="","-",VLOOKUP(Tableau119[[#This Row],[Name PFI/CDD]],Plant_AILN!I:J,2,FALSE))</f>
        <v>91018400</v>
      </c>
      <c r="AO900" s="109">
        <f>IF(COUNTIF(buffer_train[AILN],Tableau119[[#This Row],[Name PFI/CDD]])&gt;0,Tableau119[[#This Row],[First Receipt Days]]+Tableau119[[#This Row],[Cust.]]+Tableau119[[#This Row],[Parts Vanning]]+Tableau119[[#This Row],[Transit Time2]],"-")</f>
        <v>71</v>
      </c>
      <c r="AP900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0</v>
      </c>
      <c r="AQ900" s="110">
        <f>VLOOKUP(Tableau119[[#This Row],[Key(POD -PFI- Usine)]],'DATA Consignee'!A:J,10,FALSE)</f>
        <v>3</v>
      </c>
      <c r="AR900" s="81">
        <f>VLOOKUP(Tableau119[[#This Row],[Key(POD -PFI- Usine)]],'DATA Consignee'!A:N,14,FALSE)</f>
        <v>4</v>
      </c>
      <c r="AS90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90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900" s="81">
        <f>Tableau119[[#This Row],[Transit time]]+Tableau119[[#This Row],[Time for security]]+Tableau119[[#This Row],[Time for security2 buffer]]</f>
        <v>35</v>
      </c>
      <c r="AV90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00" s="50">
        <f>Tableau119[[#This Row],[Leadtime SI2C]]+Tableau119[[#This Row],[First Receipt Days]]-Tableau119[[#This Row],[Day Customer Order]]+1</f>
        <v>80</v>
      </c>
      <c r="AX900" s="119">
        <f>IF(Tableau119[[#This Row],[Name ILN]]&lt;&gt;"SFK Freight Forwarder",Tableau119[[#This Row],[Cust. Leadtime]],Tableau119[[#This Row],[Leadtime SI2C]])</f>
        <v>80</v>
      </c>
      <c r="AY900" s="51" t="str">
        <f>_xlfn.XLOOKUP(Tableau119[[#This Row],[Key(ID-date)]],'DATA BTO'!S:S,'DATA BTO'!P:P,FALSE)</f>
        <v>Renault &gt; Horse BPH</v>
      </c>
      <c r="AZ900" s="388">
        <v>45475</v>
      </c>
      <c r="BA900" s="81"/>
    </row>
    <row r="901" spans="2:53">
      <c r="B901" s="446" t="str">
        <f>_xlfn.CONCAT(Tableau119[[#This Row],[Name ILN]],"-",Tableau119[[#This Row],[Name Shipper]],"-",Tableau119[[#This Row],[Name Site]])</f>
        <v>KWE Shanghai-KWE Shanghai-VALL MONTAGE</v>
      </c>
      <c r="C901" s="66" t="str">
        <f>_xlfn.CONCAT(Tableau119[[#This Row],[Compte ILN]],"-",Tableau119[[#This Row],[Compte Shipper]],"-",Tableau119[[#This Row],[POL]],"-",Tableau119[[#This Row],[Compte Consignee]])</f>
        <v>26037000-26037000-CNSHA-91017300</v>
      </c>
      <c r="D901" s="66" t="str">
        <f>_xlfn.CONCAT(Tableau119[[#This Row],[Compte ILN]],"-",Tableau119[[#This Row],[Compte Shipper]],"-",Tableau119[[#This Row],[POL]])</f>
        <v>26037000-26037000-CNSHA</v>
      </c>
      <c r="E901" s="130" t="str">
        <f>_xlfn.CONCAT(Tableau119[[#This Row],[POL]],"-",Tableau119[[#This Row],[Carrier]],"-",Tableau119[[#This Row],[POD]])</f>
        <v>CNSHA-CMA-CGM-ESVLC</v>
      </c>
      <c r="F901" s="66" t="str">
        <f>_xlfn.CONCAT(Tableau119[[#This Row],[ID]],"-","Actif")</f>
        <v>930-Actif</v>
      </c>
      <c r="G901" s="66" t="str">
        <f>_xlfn.CONCAT(Tableau119[[#This Row],[POD]],"-",Tableau119[[#This Row],[Code PFI]],"-",Tableau119[[#This Row],[Compte Consignee]])</f>
        <v>ESVLC-91018400-91017300</v>
      </c>
      <c r="H90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ShanghaiCNSHAVALL MONTAGE</v>
      </c>
      <c r="I901" s="434" t="str">
        <f>_xlfn.CONCAT(Tableau119[[#This Row],[ID]],"-",Tableau119[[#This Row],[Expiration Date]])</f>
        <v>930-45475</v>
      </c>
      <c r="J90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MONTAGE-KWE Shanghai-KWE Shanghai-930-CNSHA-CMA-CGM-ESVLC-CDD VLL-45475</v>
      </c>
      <c r="K901" s="119" t="str">
        <f ca="1">IF(COUNTIF(J:J,Tableau119[[#This Row],[Plant-ILN-shipper-POL-Carrier-POD-PFI]])=1,"Non","Oui")</f>
        <v>Non</v>
      </c>
      <c r="L901" s="128" t="str">
        <f>VLOOKUP(Tableau119[[#This Row],[Name Site]],Plant_AILN!A:D,4,FALSE)</f>
        <v>SPAIN</v>
      </c>
      <c r="M901" s="411" t="s">
        <v>175</v>
      </c>
      <c r="N901" s="454">
        <f>VLOOKUP(Tableau119[[#This Row],[Name Site]],Plant_AILN!A:C,3,FALSE)</f>
        <v>91017300</v>
      </c>
      <c r="O901" s="55">
        <f>VLOOKUP(Tableau119[[#This Row],[Compte Consignee]],Order!C:D,2,FALSE)</f>
        <v>7</v>
      </c>
      <c r="P901" s="124" t="s">
        <v>62</v>
      </c>
      <c r="Q901" s="365">
        <f>VLOOKUP(Tableau119[[#This Row],[Name ILN]],Plant_AILN!F:G,2,FALSE)</f>
        <v>26037000</v>
      </c>
      <c r="R901" s="50">
        <f>VLOOKUP(Tableau119[[#This Row],[Compte ILN]],'DATA ILN'!D:I,6,FALSE)</f>
        <v>9</v>
      </c>
      <c r="S901" s="50">
        <f>IFERROR(VLOOKUP(Tableau119[[#This Row],[Key(Compte ILN - shipper - POL - plant)]],'DATA ILN'!A:J,10,FALSE),VLOOKUP(Tableau119[[#This Row],[Key(Compte ILN - shipper - POL)]],'DATA ILN'!B:J,9,FALSE))</f>
        <v>14</v>
      </c>
      <c r="T901" s="50">
        <f>IFERROR(VLOOKUP(Tableau119[[#This Row],[Key(Compte ILN - shipper - POL - plant)]],'DATA ILN'!A:K,11,FALSE),VLOOKUP(Tableau119[[#This Row],[Key(Compte ILN - shipper - POL)]],'DATA ILN'!B:K,10,FALSE))</f>
        <v>5</v>
      </c>
      <c r="U901" s="50">
        <f>IFERROR(VLOOKUP(Tableau119[[#This Row],[Key(Compte ILN - shipper - POL - plant)]],'DATA ILN'!A:L,12,FALSE),VLOOKUP(Tableau119[[#This Row],[Key(Compte ILN - shipper - POL)]],'DATA ILN'!B:L,11,FALSE))</f>
        <v>7</v>
      </c>
      <c r="V901" s="50">
        <f>Tableau119[[#This Row],[Day ILN Order]]+Tableau119[[#This Row],[Delivery time to ILN/Shipper]]-1</f>
        <v>22</v>
      </c>
      <c r="W901" s="50">
        <f>IFERROR(VLOOKUP(Tableau119[[#This Row],[Key(Compte ILN - shipper - POL - plant)]],'DATA ILN'!A:N,14,FALSE),VLOOKUP(Tableau119[[#This Row],[Key(Compte ILN - shipper - POL)]],'DATA ILN'!B:N,13,FALSE))</f>
        <v>1</v>
      </c>
      <c r="X901" s="50">
        <f>IFERROR(VLOOKUP(Tableau119[[#This Row],[Key(Compte ILN - shipper - POL - plant)]],'DATA ILN'!A:P,16,FALSE),VLOOKUP(Tableau119[[#This Row],[Key(Compte ILN - shipper - POL)]],'DATA ILN'!B:P,15,FALSE))</f>
        <v>2</v>
      </c>
      <c r="Y901" s="284" t="s">
        <v>62</v>
      </c>
      <c r="Z901" s="430">
        <f>IFERROR(VLOOKUP(Tableau119[[#This Row],[Name Shipper]],Plant_AILN!L:M,2,FALSE),0)</f>
        <v>26037000</v>
      </c>
      <c r="AA901" s="406">
        <v>930</v>
      </c>
      <c r="AB901" s="396" t="str">
        <f>_xlfn.XLOOKUP(Tableau119[[#This Row],[Key(ID-date)]],'DATA BTO'!S:S,'DATA BTO'!E:E,FALSE)</f>
        <v>CNSHA</v>
      </c>
      <c r="AC901" s="3" t="str">
        <f>_xlfn.XLOOKUP(Tableau119[[#This Row],[Key(ID-date)]],'DATA BTO'!S:S,'DATA BTO'!F:F,FALSE)</f>
        <v>CMA-CGM</v>
      </c>
      <c r="AD901" s="50">
        <f>_xlfn.XLOOKUP(Tableau119[[#This Row],[Key(ID-date)]],'DATA BTO'!S:S,'DATA BTO'!G:G,FALSE)</f>
        <v>4</v>
      </c>
      <c r="AE901" s="50">
        <f>_xlfn.XLOOKUP(Tableau119[[#This Row],[Key(ID-date)]],'DATA BTO'!S:S,'DATA BTO'!H:H,FALSE)</f>
        <v>6</v>
      </c>
      <c r="AF901" s="447">
        <f>IF(Tableau119[[#This Row],[First Day to POL]]&lt;=Tableau119[[#This Row],[Day Cut Off]],Tableau119[[#This Row],[Day ETD]],Tableau119[[#This Row],[Day ETD]]+7)</f>
        <v>6</v>
      </c>
      <c r="AG901" s="50">
        <f>_xlfn.XLOOKUP(Tableau119[[#This Row],[Key(ID-date)]],'DATA BTO'!S:S,'DATA BTO'!I:I,FALSE)</f>
        <v>32</v>
      </c>
      <c r="AH901" s="3" t="str">
        <f>_xlfn.XLOOKUP(Tableau119[[#This Row],[Key(ID-date)]],'DATA BTO'!S:S,'DATA BTO'!J:J,FALSE)</f>
        <v>ESVLC</v>
      </c>
      <c r="AI901" s="3">
        <f>_xlfn.XLOOKUP(Tableau119[[#This Row],[Key(ID-date)]],'DATA BTO'!S:S,'DATA BTO'!K:K,FALSE)</f>
        <v>3</v>
      </c>
      <c r="AJ901" s="50">
        <f>_xlfn.XLOOKUP(Tableau119[[#This Row],[Key(ID-date)]],'DATA BTO'!S:S,'DATA BTO'!L:L,FALSE)</f>
        <v>0</v>
      </c>
      <c r="AK901" s="53" t="str">
        <f>_xlfn.XLOOKUP(Tableau119[[#This Row],[Key(ID-date)]],'DATA BTO'!S:S,'DATA BTO'!N:N,FALSE)</f>
        <v>Anthony</v>
      </c>
      <c r="AL901" s="54">
        <f>VLOOKUP(Tableau119[[#This Row],[Key(POD -PFI- Usine)]],'DATA Consignee'!A:F,6,FALSE)</f>
        <v>2</v>
      </c>
      <c r="AM901" s="284" t="s">
        <v>169</v>
      </c>
      <c r="AN901" s="376">
        <f>IF(Tableau119[[#This Row],[Name PFI/CDD]]="","-",VLOOKUP(Tableau119[[#This Row],[Name PFI/CDD]],Plant_AILN!I:J,2,FALSE))</f>
        <v>91018400</v>
      </c>
      <c r="AO901" s="6">
        <f>IF(COUNTIF(buffer_train[AILN],Tableau119[[#This Row],[Name PFI/CDD]])&gt;0,Tableau119[[#This Row],[First Receipt Days]]+Tableau119[[#This Row],[Cust.]]+Tableau119[[#This Row],[Parts Vanning]]+Tableau119[[#This Row],[Transit Time2]],"-")</f>
        <v>70</v>
      </c>
      <c r="AP901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1</v>
      </c>
      <c r="AQ901" s="2">
        <f>VLOOKUP(Tableau119[[#This Row],[Key(POD -PFI- Usine)]],'DATA Consignee'!A:J,10,FALSE)</f>
        <v>3</v>
      </c>
      <c r="AR901" s="50">
        <f>VLOOKUP(Tableau119[[#This Row],[Key(POD -PFI- Usine)]],'DATA Consignee'!A:N,14,FALSE)</f>
        <v>3</v>
      </c>
      <c r="AS90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0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901" s="50">
        <f>Tableau119[[#This Row],[Transit time]]+Tableau119[[#This Row],[Time for security]]+Tableau119[[#This Row],[Time for security2 buffer]]</f>
        <v>35</v>
      </c>
      <c r="AV90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01" s="50">
        <f>Tableau119[[#This Row],[Leadtime SI2C]]+Tableau119[[#This Row],[First Receipt Days]]-Tableau119[[#This Row],[Day Customer Order]]+1</f>
        <v>71</v>
      </c>
      <c r="AX901" s="119">
        <f>IF(Tableau119[[#This Row],[Name ILN]]&lt;&gt;"SFK Freight Forwarder",Tableau119[[#This Row],[Cust. Leadtime]],Tableau119[[#This Row],[Leadtime SI2C]])</f>
        <v>71</v>
      </c>
      <c r="AY901" s="51" t="str">
        <f>_xlfn.XLOOKUP(Tableau119[[#This Row],[Key(ID-date)]],'DATA BTO'!S:S,'DATA BTO'!P:P,FALSE)</f>
        <v>Renault &gt; Horse BPH</v>
      </c>
      <c r="AZ901" s="338">
        <v>45475</v>
      </c>
      <c r="BA901" s="50"/>
    </row>
    <row r="902" spans="2:53">
      <c r="B902" s="446" t="str">
        <f>_xlfn.CONCAT(Tableau119[[#This Row],[Name ILN]],"-",Tableau119[[#This Row],[Name Shipper]],"-",Tableau119[[#This Row],[Name Site]])</f>
        <v>KWE Shanghai-KWE Shanghai-MOTORES</v>
      </c>
      <c r="C902" s="66" t="str">
        <f>_xlfn.CONCAT(Tableau119[[#This Row],[Compte ILN]],"-",Tableau119[[#This Row],[Compte Shipper]],"-",Tableau119[[#This Row],[POL]],"-",Tableau119[[#This Row],[Compte Consignee]])</f>
        <v>26037000-26037000-CNSHA-91017700</v>
      </c>
      <c r="D902" s="66" t="str">
        <f>_xlfn.CONCAT(Tableau119[[#This Row],[Compte ILN]],"-",Tableau119[[#This Row],[Compte Shipper]],"-",Tableau119[[#This Row],[POL]])</f>
        <v>26037000-26037000-CNSHA</v>
      </c>
      <c r="E902" s="130" t="str">
        <f>_xlfn.CONCAT(Tableau119[[#This Row],[POL]],"-",Tableau119[[#This Row],[Carrier]],"-",Tableau119[[#This Row],[POD]])</f>
        <v>CNSHA-CMA-CGM-ESVLC</v>
      </c>
      <c r="F902" s="66" t="str">
        <f>_xlfn.CONCAT(Tableau119[[#This Row],[ID]],"-","Actif")</f>
        <v>930-Actif</v>
      </c>
      <c r="G902" s="66" t="str">
        <f>_xlfn.CONCAT(Tableau119[[#This Row],[POD]],"-",Tableau119[[#This Row],[Code PFI]],"-",Tableau119[[#This Row],[Compte Consignee]])</f>
        <v>ESVLC-91018400-91017700</v>
      </c>
      <c r="H90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ShanghaiCNSHAMOTORES</v>
      </c>
      <c r="I902" s="434" t="str">
        <f>_xlfn.CONCAT(Tableau119[[#This Row],[ID]],"-",Tableau119[[#This Row],[Expiration Date]])</f>
        <v>930-45475</v>
      </c>
      <c r="J90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MOTORES-KWE Shanghai-KWE Shanghai-930-CNSHA-CMA-CGM-ESVLC-CDD VLL-45475</v>
      </c>
      <c r="K902" s="119" t="str">
        <f ca="1">IF(COUNTIF(J:J,Tableau119[[#This Row],[Plant-ILN-shipper-POL-Carrier-POD-PFI]])=1,"Non","Oui")</f>
        <v>Non</v>
      </c>
      <c r="L902" s="128" t="str">
        <f>VLOOKUP(Tableau119[[#This Row],[Name Site]],Plant_AILN!A:D,4,FALSE)</f>
        <v>SPAIN</v>
      </c>
      <c r="M902" s="411" t="s">
        <v>63</v>
      </c>
      <c r="N902" s="454">
        <f>VLOOKUP(Tableau119[[#This Row],[Name Site]],Plant_AILN!A:C,3,FALSE)</f>
        <v>91017700</v>
      </c>
      <c r="O902" s="55">
        <f>VLOOKUP(Tableau119[[#This Row],[Compte Consignee]],Order!C:D,2,FALSE)</f>
        <v>7</v>
      </c>
      <c r="P902" s="124" t="s">
        <v>62</v>
      </c>
      <c r="Q902" s="365">
        <f>VLOOKUP(Tableau119[[#This Row],[Name ILN]],Plant_AILN!F:G,2,FALSE)</f>
        <v>26037000</v>
      </c>
      <c r="R902" s="50">
        <f>VLOOKUP(Tableau119[[#This Row],[Compte ILN]],'DATA ILN'!D:I,6,FALSE)</f>
        <v>9</v>
      </c>
      <c r="S902" s="50">
        <f>IFERROR(VLOOKUP(Tableau119[[#This Row],[Key(Compte ILN - shipper - POL - plant)]],'DATA ILN'!A:J,10,FALSE),VLOOKUP(Tableau119[[#This Row],[Key(Compte ILN - shipper - POL)]],'DATA ILN'!B:J,9,FALSE))</f>
        <v>14</v>
      </c>
      <c r="T902" s="50">
        <f>IFERROR(VLOOKUP(Tableau119[[#This Row],[Key(Compte ILN - shipper - POL - plant)]],'DATA ILN'!A:K,11,FALSE),VLOOKUP(Tableau119[[#This Row],[Key(Compte ILN - shipper - POL)]],'DATA ILN'!B:K,10,FALSE))</f>
        <v>5</v>
      </c>
      <c r="U902" s="50">
        <f>IFERROR(VLOOKUP(Tableau119[[#This Row],[Key(Compte ILN - shipper - POL - plant)]],'DATA ILN'!A:L,12,FALSE),VLOOKUP(Tableau119[[#This Row],[Key(Compte ILN - shipper - POL)]],'DATA ILN'!B:L,11,FALSE))</f>
        <v>7</v>
      </c>
      <c r="V902" s="50">
        <f>Tableau119[[#This Row],[Day ILN Order]]+Tableau119[[#This Row],[Delivery time to ILN/Shipper]]-1</f>
        <v>22</v>
      </c>
      <c r="W902" s="50">
        <f>IFERROR(VLOOKUP(Tableau119[[#This Row],[Key(Compte ILN - shipper - POL - plant)]],'DATA ILN'!A:N,14,FALSE),VLOOKUP(Tableau119[[#This Row],[Key(Compte ILN - shipper - POL)]],'DATA ILN'!B:N,13,FALSE))</f>
        <v>1</v>
      </c>
      <c r="X902" s="50">
        <f>IFERROR(VLOOKUP(Tableau119[[#This Row],[Key(Compte ILN - shipper - POL - plant)]],'DATA ILN'!A:P,16,FALSE),VLOOKUP(Tableau119[[#This Row],[Key(Compte ILN - shipper - POL)]],'DATA ILN'!B:P,15,FALSE))</f>
        <v>2</v>
      </c>
      <c r="Y902" s="284" t="s">
        <v>62</v>
      </c>
      <c r="Z902" s="430">
        <f>IFERROR(VLOOKUP(Tableau119[[#This Row],[Name Shipper]],Plant_AILN!L:M,2,FALSE),0)</f>
        <v>26037000</v>
      </c>
      <c r="AA902" s="406">
        <v>930</v>
      </c>
      <c r="AB902" s="396" t="str">
        <f>_xlfn.XLOOKUP(Tableau119[[#This Row],[Key(ID-date)]],'DATA BTO'!S:S,'DATA BTO'!E:E,FALSE)</f>
        <v>CNSHA</v>
      </c>
      <c r="AC902" s="3" t="str">
        <f>_xlfn.XLOOKUP(Tableau119[[#This Row],[Key(ID-date)]],'DATA BTO'!S:S,'DATA BTO'!F:F,FALSE)</f>
        <v>CMA-CGM</v>
      </c>
      <c r="AD902" s="50">
        <f>_xlfn.XLOOKUP(Tableau119[[#This Row],[Key(ID-date)]],'DATA BTO'!S:S,'DATA BTO'!G:G,FALSE)</f>
        <v>4</v>
      </c>
      <c r="AE902" s="50">
        <f>_xlfn.XLOOKUP(Tableau119[[#This Row],[Key(ID-date)]],'DATA BTO'!S:S,'DATA BTO'!H:H,FALSE)</f>
        <v>6</v>
      </c>
      <c r="AF902" s="447">
        <f>IF(Tableau119[[#This Row],[First Day to POL]]&lt;=Tableau119[[#This Row],[Day Cut Off]],Tableau119[[#This Row],[Day ETD]],Tableau119[[#This Row],[Day ETD]]+7)</f>
        <v>6</v>
      </c>
      <c r="AG902" s="50">
        <f>_xlfn.XLOOKUP(Tableau119[[#This Row],[Key(ID-date)]],'DATA BTO'!S:S,'DATA BTO'!I:I,FALSE)</f>
        <v>32</v>
      </c>
      <c r="AH902" s="3" t="str">
        <f>_xlfn.XLOOKUP(Tableau119[[#This Row],[Key(ID-date)]],'DATA BTO'!S:S,'DATA BTO'!J:J,FALSE)</f>
        <v>ESVLC</v>
      </c>
      <c r="AI902" s="3">
        <f>_xlfn.XLOOKUP(Tableau119[[#This Row],[Key(ID-date)]],'DATA BTO'!S:S,'DATA BTO'!K:K,FALSE)</f>
        <v>3</v>
      </c>
      <c r="AJ902" s="50">
        <f>_xlfn.XLOOKUP(Tableau119[[#This Row],[Key(ID-date)]],'DATA BTO'!S:S,'DATA BTO'!L:L,FALSE)</f>
        <v>0</v>
      </c>
      <c r="AK902" s="53" t="str">
        <f>_xlfn.XLOOKUP(Tableau119[[#This Row],[Key(ID-date)]],'DATA BTO'!S:S,'DATA BTO'!N:N,FALSE)</f>
        <v>Anthony</v>
      </c>
      <c r="AL902" s="54">
        <f>VLOOKUP(Tableau119[[#This Row],[Key(POD -PFI- Usine)]],'DATA Consignee'!A:F,6,FALSE)</f>
        <v>2</v>
      </c>
      <c r="AM902" s="284" t="s">
        <v>169</v>
      </c>
      <c r="AN902" s="376">
        <f>IF(Tableau119[[#This Row],[Name PFI/CDD]]="","-",VLOOKUP(Tableau119[[#This Row],[Name PFI/CDD]],Plant_AILN!I:J,2,FALSE))</f>
        <v>91018400</v>
      </c>
      <c r="AO902" s="6">
        <f>IF(COUNTIF(buffer_train[AILN],Tableau119[[#This Row],[Name PFI/CDD]])&gt;0,Tableau119[[#This Row],[First Receipt Days]]+Tableau119[[#This Row],[Cust.]]+Tableau119[[#This Row],[Parts Vanning]]+Tableau119[[#This Row],[Transit Time2]],"-")</f>
        <v>70</v>
      </c>
      <c r="AP902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1</v>
      </c>
      <c r="AQ902" s="2">
        <f>VLOOKUP(Tableau119[[#This Row],[Key(POD -PFI- Usine)]],'DATA Consignee'!A:J,10,FALSE)</f>
        <v>3</v>
      </c>
      <c r="AR902" s="50">
        <f>VLOOKUP(Tableau119[[#This Row],[Key(POD -PFI- Usine)]],'DATA Consignee'!A:N,14,FALSE)</f>
        <v>3</v>
      </c>
      <c r="AS90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0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902" s="50">
        <f>Tableau119[[#This Row],[Transit time]]+Tableau119[[#This Row],[Time for security]]+Tableau119[[#This Row],[Time for security2 buffer]]</f>
        <v>35</v>
      </c>
      <c r="AV90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02" s="50">
        <f>Tableau119[[#This Row],[Leadtime SI2C]]+Tableau119[[#This Row],[First Receipt Days]]-Tableau119[[#This Row],[Day Customer Order]]+1</f>
        <v>71</v>
      </c>
      <c r="AX902" s="119">
        <f>IF(Tableau119[[#This Row],[Name ILN]]&lt;&gt;"SFK Freight Forwarder",Tableau119[[#This Row],[Cust. Leadtime]],Tableau119[[#This Row],[Leadtime SI2C]])</f>
        <v>71</v>
      </c>
      <c r="AY902" s="51" t="str">
        <f>_xlfn.XLOOKUP(Tableau119[[#This Row],[Key(ID-date)]],'DATA BTO'!S:S,'DATA BTO'!P:P,FALSE)</f>
        <v>Renault &gt; Horse BPH</v>
      </c>
      <c r="AZ902" s="338">
        <v>45475</v>
      </c>
      <c r="BA902" s="50"/>
    </row>
    <row r="903" spans="2:53" ht="30">
      <c r="B903" s="446" t="str">
        <f>_xlfn.CONCAT(Tableau119[[#This Row],[Name ILN]],"-",Tableau119[[#This Row],[Name Shipper]],"-",Tableau119[[#This Row],[Name Site]])</f>
        <v>KWE Shanghai-KWE Shanghai-CURITIBA CMO</v>
      </c>
      <c r="C903" s="66" t="str">
        <f>_xlfn.CONCAT(Tableau119[[#This Row],[Compte ILN]],"-",Tableau119[[#This Row],[Compte Shipper]],"-",Tableau119[[#This Row],[POL]],"-",Tableau119[[#This Row],[Compte Consignee]])</f>
        <v>26037000-26037000-CNSHA-90018600</v>
      </c>
      <c r="D903" s="66" t="str">
        <f>_xlfn.CONCAT(Tableau119[[#This Row],[Compte ILN]],"-",Tableau119[[#This Row],[Compte Shipper]],"-",Tableau119[[#This Row],[POL]])</f>
        <v>26037000-26037000-CNSHA</v>
      </c>
      <c r="E903" s="130" t="str">
        <f>_xlfn.CONCAT(Tableau119[[#This Row],[POL]],"-",Tableau119[[#This Row],[Carrier]],"-",Tableau119[[#This Row],[POD]])</f>
        <v>CNSHA-ONE-BRPNG</v>
      </c>
      <c r="F903" s="66" t="str">
        <f>_xlfn.CONCAT(Tableau119[[#This Row],[ID]],"-","Actif")</f>
        <v>931-Actif</v>
      </c>
      <c r="G903" s="66" t="str">
        <f>_xlfn.CONCAT(Tableau119[[#This Row],[POD]],"-",Tableau119[[#This Row],[Code PFI]],"-",Tableau119[[#This Row],[Compte Consignee]])</f>
        <v>BRPNG---90018600</v>
      </c>
      <c r="H90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ShanghaiCNSHACURITIBA CMO</v>
      </c>
      <c r="I903" s="434" t="str">
        <f>_xlfn.CONCAT(Tableau119[[#This Row],[ID]],"-",Tableau119[[#This Row],[Expiration Date]])</f>
        <v>931-46053</v>
      </c>
      <c r="J90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CMO-KWE Shanghai-KWE Shanghai-931-CNSHA-ONE-BRPNG--46053</v>
      </c>
      <c r="K903" s="119" t="str">
        <f ca="1">IF(COUNTIF(J:J,Tableau119[[#This Row],[Plant-ILN-shipper-POL-Carrier-POD-PFI]])=1,"Non","Oui")</f>
        <v>Non</v>
      </c>
      <c r="L903" s="128" t="str">
        <f>VLOOKUP(Tableau119[[#This Row],[Name Site]],Plant_AILN!A:D,4,FALSE)</f>
        <v>BRAZIL</v>
      </c>
      <c r="M903" s="504" t="s">
        <v>174</v>
      </c>
      <c r="N903" s="455">
        <f>VLOOKUP(Tableau119[[#This Row],[Name Site]],Plant_AILN!A:C,3,FALSE)</f>
        <v>90018600</v>
      </c>
      <c r="O903" s="104">
        <f>IF(Tableau119[[#This Row],[Name PFI/CDD]]="PFI VLL",2,VLOOKUP(Tableau119[[#This Row],[Compte Consignee]],Order!C:D,2,FALSE))</f>
        <v>7</v>
      </c>
      <c r="P903" s="507" t="s">
        <v>62</v>
      </c>
      <c r="Q903" s="366">
        <f>VLOOKUP(Tableau119[[#This Row],[Name ILN]],Plant_AILN!F:G,2,FALSE)</f>
        <v>26037000</v>
      </c>
      <c r="R903" s="81">
        <f>VLOOKUP(Tableau119[[#This Row],[Compte ILN]],'DATA ILN'!D:I,6,FALSE)</f>
        <v>9</v>
      </c>
      <c r="S903" s="81">
        <f>IFERROR(VLOOKUP(Tableau119[[#This Row],[Key(Compte ILN - shipper - POL - plant)]],'DATA ILN'!A:J,10,FALSE),VLOOKUP(Tableau119[[#This Row],[Key(Compte ILN - shipper - POL)]],'DATA ILN'!B:J,9,FALSE))</f>
        <v>14</v>
      </c>
      <c r="T903" s="81">
        <f>IFERROR(VLOOKUP(Tableau119[[#This Row],[Key(Compte ILN - shipper - POL - plant)]],'DATA ILN'!A:K,11,FALSE),VLOOKUP(Tableau119[[#This Row],[Key(Compte ILN - shipper - POL)]],'DATA ILN'!B:K,10,FALSE))</f>
        <v>5</v>
      </c>
      <c r="U903" s="81">
        <f>IFERROR(VLOOKUP(Tableau119[[#This Row],[Key(Compte ILN - shipper - POL - plant)]],'DATA ILN'!A:L,12,FALSE),VLOOKUP(Tableau119[[#This Row],[Key(Compte ILN - shipper - POL)]],'DATA ILN'!B:L,11,FALSE))</f>
        <v>7</v>
      </c>
      <c r="V903" s="81">
        <f>Tableau119[[#This Row],[Day ILN Order]]+Tableau119[[#This Row],[Delivery time to ILN/Shipper]]-1</f>
        <v>22</v>
      </c>
      <c r="W903" s="81">
        <f>IFERROR(VLOOKUP(Tableau119[[#This Row],[Key(Compte ILN - shipper - POL - plant)]],'DATA ILN'!A:N,14,FALSE),VLOOKUP(Tableau119[[#This Row],[Key(Compte ILN - shipper - POL)]],'DATA ILN'!B:N,13,FALSE))</f>
        <v>1</v>
      </c>
      <c r="X903" s="81">
        <f>IFERROR(VLOOKUP(Tableau119[[#This Row],[Key(Compte ILN - shipper - POL - plant)]],'DATA ILN'!A:P,16,FALSE),VLOOKUP(Tableau119[[#This Row],[Key(Compte ILN - shipper - POL)]],'DATA ILN'!B:P,15,FALSE))</f>
        <v>2</v>
      </c>
      <c r="Y903" s="102" t="s">
        <v>62</v>
      </c>
      <c r="Z903" s="417">
        <f>IFERROR(VLOOKUP(Tableau119[[#This Row],[Name Shipper]],Plant_AILN!L:M,2,FALSE),0)</f>
        <v>26037000</v>
      </c>
      <c r="AA903" s="416">
        <v>931</v>
      </c>
      <c r="AB903" s="396" t="str">
        <f>_xlfn.XLOOKUP(Tableau119[[#This Row],[Key(ID-date)]],'DATA BTO'!S:S,'DATA BTO'!E:E,FALSE)</f>
        <v>CNSHA</v>
      </c>
      <c r="AC903" s="3" t="str">
        <f>_xlfn.XLOOKUP(Tableau119[[#This Row],[Key(ID-date)]],'DATA BTO'!S:S,'DATA BTO'!F:F,FALSE)</f>
        <v>ONE</v>
      </c>
      <c r="AD903" s="50">
        <f>_xlfn.XLOOKUP(Tableau119[[#This Row],[Key(ID-date)]],'DATA BTO'!S:S,'DATA BTO'!G:G,FALSE)</f>
        <v>7</v>
      </c>
      <c r="AE903" s="50">
        <f>_xlfn.XLOOKUP(Tableau119[[#This Row],[Key(ID-date)]],'DATA BTO'!S:S,'DATA BTO'!H:H,FALSE)</f>
        <v>9</v>
      </c>
      <c r="AF903" s="447">
        <f>IF(Tableau119[[#This Row],[First Day to POL]]&lt;=Tableau119[[#This Row],[Day Cut Off]],Tableau119[[#This Row],[Day ETD]],Tableau119[[#This Row],[Day ETD]]+7)</f>
        <v>9</v>
      </c>
      <c r="AG903" s="50">
        <f>_xlfn.XLOOKUP(Tableau119[[#This Row],[Key(ID-date)]],'DATA BTO'!S:S,'DATA BTO'!I:I,FALSE)</f>
        <v>34</v>
      </c>
      <c r="AH903" s="3" t="str">
        <f>_xlfn.XLOOKUP(Tableau119[[#This Row],[Key(ID-date)]],'DATA BTO'!S:S,'DATA BTO'!J:J,FALSE)</f>
        <v>BRPNG</v>
      </c>
      <c r="AI903" s="3">
        <f>_xlfn.XLOOKUP(Tableau119[[#This Row],[Key(ID-date)]],'DATA BTO'!S:S,'DATA BTO'!K:K,FALSE)</f>
        <v>3</v>
      </c>
      <c r="AJ903" s="50">
        <f>_xlfn.XLOOKUP(Tableau119[[#This Row],[Key(ID-date)]],'DATA BTO'!S:S,'DATA BTO'!L:L,FALSE)</f>
        <v>0</v>
      </c>
      <c r="AK903" s="53" t="str">
        <f>_xlfn.XLOOKUP(Tableau119[[#This Row],[Key(ID-date)]],'DATA BTO'!S:S,'DATA BTO'!N:N,FALSE)</f>
        <v>Marc-Aurele</v>
      </c>
      <c r="AL903" s="54">
        <f>VLOOKUP(Tableau119[[#This Row],[Key(POD -PFI- Usine)]],'DATA Consignee'!A:F,6,FALSE)</f>
        <v>2</v>
      </c>
      <c r="AM903" s="102"/>
      <c r="AN903" s="375" t="str">
        <f>IF(Tableau119[[#This Row],[Name PFI/CDD]]="","-",VLOOKUP(Tableau119[[#This Row],[Name PFI/CDD]],Plant_AILN!I:J,2,FALSE))</f>
        <v>-</v>
      </c>
      <c r="AO90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3" s="110">
        <f>VLOOKUP(Tableau119[[#This Row],[Key(POD -PFI- Usine)]],'DATA Consignee'!A:J,10,FALSE)</f>
        <v>0</v>
      </c>
      <c r="AR903" s="81">
        <f>VLOOKUP(Tableau119[[#This Row],[Key(POD -PFI- Usine)]],'DATA Consignee'!A:N,14,FALSE)</f>
        <v>2</v>
      </c>
      <c r="AS90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0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14</v>
      </c>
      <c r="AU903" s="81">
        <f>Tableau119[[#This Row],[Transit time]]+Tableau119[[#This Row],[Time for security]]+Tableau119[[#This Row],[Time for security2 buffer]]</f>
        <v>37</v>
      </c>
      <c r="AV90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03" s="50">
        <f>Tableau119[[#This Row],[Leadtime SI2C]]+Tableau119[[#This Row],[First Receipt Days]]-Tableau119[[#This Row],[Day Customer Order]]+1</f>
        <v>71</v>
      </c>
      <c r="AX903" s="119">
        <f>IF(Tableau119[[#This Row],[Name ILN]]&lt;&gt;"SFK Freight Forwarder",Tableau119[[#This Row],[Cust. Leadtime]],Tableau119[[#This Row],[Leadtime SI2C]])</f>
        <v>71</v>
      </c>
      <c r="AY903" s="51" t="str">
        <f>_xlfn.XLOOKUP(Tableau119[[#This Row],[Key(ID-date)]],'DATA BTO'!S:S,'DATA BTO'!P:P,FALSE)</f>
        <v>Renault &gt; Horse BPH</v>
      </c>
      <c r="AZ903" s="388">
        <v>46053</v>
      </c>
      <c r="BA903" s="81"/>
    </row>
    <row r="904" spans="2:53">
      <c r="B904" s="66" t="str">
        <f>_xlfn.CONCAT(Tableau119[[#This Row],[Name ILN]],"-",Tableau119[[#This Row],[Name Shipper]],"-",Tableau119[[#This Row],[Name Site]])</f>
        <v>KWE Shanghai-KWE Shanghai-DACIA MECA</v>
      </c>
      <c r="C904" s="66" t="str">
        <f>_xlfn.CONCAT(Tableau119[[#This Row],[Compte ILN]],"-",Tableau119[[#This Row],[Compte Shipper]],"-",Tableau119[[#This Row],[POL]],"-",Tableau119[[#This Row],[Compte Consignee]])</f>
        <v>26037000-26037000-CNSHA-90012500</v>
      </c>
      <c r="D904" s="66" t="str">
        <f>_xlfn.CONCAT(Tableau119[[#This Row],[Compte ILN]],"-",Tableau119[[#This Row],[Compte Shipper]],"-",Tableau119[[#This Row],[POL]])</f>
        <v>26037000-26037000-CNSHA</v>
      </c>
      <c r="E904" s="130" t="str">
        <f>_xlfn.CONCAT(Tableau119[[#This Row],[POL]],"-",Tableau119[[#This Row],[Carrier]],"-",Tableau119[[#This Row],[POD]])</f>
        <v>CNSHA-MSC-ROCND</v>
      </c>
      <c r="F904" s="66" t="str">
        <f>_xlfn.CONCAT(Tableau119[[#This Row],[ID]],"-","Actif")</f>
        <v>932-Actif</v>
      </c>
      <c r="G904" s="66" t="str">
        <f>_xlfn.CONCAT(Tableau119[[#This Row],[POD]],"-",Tableau119[[#This Row],[Code PFI]],"-",Tableau119[[#This Row],[Compte Consignee]])</f>
        <v>ROCND-2839004-90012500</v>
      </c>
      <c r="H90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ShanghaiCNSHADACIA MECA</v>
      </c>
      <c r="I904" s="434" t="str">
        <f>_xlfn.CONCAT(Tableau119[[#This Row],[ID]],"-",Tableau119[[#This Row],[Expiration Date]])</f>
        <v>932-46053</v>
      </c>
      <c r="J90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MECA-KWE Shanghai-KWE Shanghai-932-CNSHA-MSC-ROCND-Magasin Dacia-46053</v>
      </c>
      <c r="K904" s="119" t="str">
        <f ca="1">IF(COUNTIF(J:J,Tableau119[[#This Row],[Plant-ILN-shipper-POL-Carrier-POD-PFI]])=1,"Non","Oui")</f>
        <v>Non</v>
      </c>
      <c r="L904" s="436" t="str">
        <f>VLOOKUP(Tableau119[[#This Row],[Name Site]],Plant_AILN!A:D,4,FALSE)</f>
        <v>ROMANIA</v>
      </c>
      <c r="M904" s="411" t="s">
        <v>162</v>
      </c>
      <c r="N904" s="454">
        <f>VLOOKUP(Tableau119[[#This Row],[Name Site]],Plant_AILN!A:C,3,FALSE)</f>
        <v>90012500</v>
      </c>
      <c r="O904" s="55">
        <f>IF(Tableau119[[#This Row],[Name PFI/CDD]]="PFI VLL",2,VLOOKUP(Tableau119[[#This Row],[Compte Consignee]],Order!C:D,2,FALSE))</f>
        <v>7</v>
      </c>
      <c r="P904" s="124" t="s">
        <v>62</v>
      </c>
      <c r="Q904" s="365">
        <f>VLOOKUP(Tableau119[[#This Row],[Name ILN]],Plant_AILN!F:G,2,FALSE)</f>
        <v>26037000</v>
      </c>
      <c r="R904" s="50">
        <f>VLOOKUP(Tableau119[[#This Row],[Compte ILN]],'DATA ILN'!D:I,6,FALSE)</f>
        <v>9</v>
      </c>
      <c r="S904" s="50">
        <f>IFERROR(VLOOKUP(Tableau119[[#This Row],[Key(Compte ILN - shipper - POL - plant)]],'DATA ILN'!A:J,10,FALSE),VLOOKUP(Tableau119[[#This Row],[Key(Compte ILN - shipper - POL)]],'DATA ILN'!B:J,9,FALSE))</f>
        <v>14</v>
      </c>
      <c r="T904" s="50">
        <f>IFERROR(VLOOKUP(Tableau119[[#This Row],[Key(Compte ILN - shipper - POL - plant)]],'DATA ILN'!A:K,11,FALSE),VLOOKUP(Tableau119[[#This Row],[Key(Compte ILN - shipper - POL)]],'DATA ILN'!B:K,10,FALSE))</f>
        <v>5</v>
      </c>
      <c r="U904" s="50">
        <f>IFERROR(VLOOKUP(Tableau119[[#This Row],[Key(Compte ILN - shipper - POL - plant)]],'DATA ILN'!A:L,12,FALSE),VLOOKUP(Tableau119[[#This Row],[Key(Compte ILN - shipper - POL)]],'DATA ILN'!B:L,11,FALSE))</f>
        <v>7</v>
      </c>
      <c r="V904" s="50">
        <f>Tableau119[[#This Row],[Day ILN Order]]+Tableau119[[#This Row],[Delivery time to ILN/Shipper]]-1</f>
        <v>22</v>
      </c>
      <c r="W904" s="50">
        <f>IFERROR(VLOOKUP(Tableau119[[#This Row],[Key(Compte ILN - shipper - POL - plant)]],'DATA ILN'!A:N,14,FALSE),VLOOKUP(Tableau119[[#This Row],[Key(Compte ILN - shipper - POL)]],'DATA ILN'!B:N,13,FALSE))</f>
        <v>1</v>
      </c>
      <c r="X904" s="50">
        <f>IFERROR(VLOOKUP(Tableau119[[#This Row],[Key(Compte ILN - shipper - POL - plant)]],'DATA ILN'!A:P,16,FALSE),VLOOKUP(Tableau119[[#This Row],[Key(Compte ILN - shipper - POL)]],'DATA ILN'!B:P,15,FALSE))</f>
        <v>2</v>
      </c>
      <c r="Y904" s="284" t="s">
        <v>62</v>
      </c>
      <c r="Z904" s="430">
        <f>IFERROR(VLOOKUP(Tableau119[[#This Row],[Name Shipper]],Plant_AILN!L:M,2,FALSE),0)</f>
        <v>26037000</v>
      </c>
      <c r="AA904" s="406">
        <v>932</v>
      </c>
      <c r="AB904" s="396" t="str">
        <f>_xlfn.XLOOKUP(Tableau119[[#This Row],[Key(ID-date)]],'DATA BTO'!S:S,'DATA BTO'!E:E,FALSE)</f>
        <v>CNSHA</v>
      </c>
      <c r="AC904" s="3" t="str">
        <f>_xlfn.XLOOKUP(Tableau119[[#This Row],[Key(ID-date)]],'DATA BTO'!S:S,'DATA BTO'!F:F,FALSE)</f>
        <v>MSC</v>
      </c>
      <c r="AD904" s="50">
        <f>_xlfn.XLOOKUP(Tableau119[[#This Row],[Key(ID-date)]],'DATA BTO'!S:S,'DATA BTO'!G:G,FALSE)</f>
        <v>3</v>
      </c>
      <c r="AE904" s="50">
        <f>_xlfn.XLOOKUP(Tableau119[[#This Row],[Key(ID-date)]],'DATA BTO'!S:S,'DATA BTO'!H:H,FALSE)</f>
        <v>7</v>
      </c>
      <c r="AF904" s="447">
        <f>IF(Tableau119[[#This Row],[First Day to POL]]&lt;=Tableau119[[#This Row],[Day Cut Off]],Tableau119[[#This Row],[Day ETD]],Tableau119[[#This Row],[Day ETD]]+7)</f>
        <v>7</v>
      </c>
      <c r="AG904" s="50">
        <f>_xlfn.XLOOKUP(Tableau119[[#This Row],[Key(ID-date)]],'DATA BTO'!S:S,'DATA BTO'!I:I,FALSE)</f>
        <v>52</v>
      </c>
      <c r="AH904" s="3" t="str">
        <f>_xlfn.XLOOKUP(Tableau119[[#This Row],[Key(ID-date)]],'DATA BTO'!S:S,'DATA BTO'!J:J,FALSE)</f>
        <v>ROCND</v>
      </c>
      <c r="AI904" s="3">
        <f>_xlfn.XLOOKUP(Tableau119[[#This Row],[Key(ID-date)]],'DATA BTO'!S:S,'DATA BTO'!K:K,FALSE)</f>
        <v>3</v>
      </c>
      <c r="AJ904" s="50">
        <f>_xlfn.XLOOKUP(Tableau119[[#This Row],[Key(ID-date)]],'DATA BTO'!S:S,'DATA BTO'!L:L,FALSE)</f>
        <v>14</v>
      </c>
      <c r="AK904" s="53" t="str">
        <f>_xlfn.XLOOKUP(Tableau119[[#This Row],[Key(ID-date)]],'DATA BTO'!S:S,'DATA BTO'!N:N,FALSE)</f>
        <v>Marc-Aurele</v>
      </c>
      <c r="AL904" s="54">
        <f>VLOOKUP(Tableau119[[#This Row],[Key(POD -PFI- Usine)]],'DATA Consignee'!A:F,6,FALSE)</f>
        <v>1</v>
      </c>
      <c r="AM904" s="284" t="s">
        <v>164</v>
      </c>
      <c r="AN904" s="376">
        <f>IF(Tableau119[[#This Row],[Name PFI/CDD]]="","-",VLOOKUP(Tableau119[[#This Row],[Name PFI/CDD]],Plant_AILN!I:J,2,FALSE))</f>
        <v>2839004</v>
      </c>
      <c r="AO90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4" s="2">
        <f>VLOOKUP(Tableau119[[#This Row],[Key(POD -PFI- Usine)]],'DATA Consignee'!A:J,10,FALSE)</f>
        <v>7</v>
      </c>
      <c r="AR904" s="50">
        <f>VLOOKUP(Tableau119[[#This Row],[Key(POD -PFI- Usine)]],'DATA Consignee'!A:N,14,FALSE)</f>
        <v>1</v>
      </c>
      <c r="AS90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0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04" s="50">
        <f>Tableau119[[#This Row],[Transit time]]+Tableau119[[#This Row],[Time for security]]+Tableau119[[#This Row],[Time for security2 buffer]]</f>
        <v>69</v>
      </c>
      <c r="AV90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04" s="50">
        <f>Tableau119[[#This Row],[Leadtime SI2C]]+Tableau119[[#This Row],[First Receipt Days]]-Tableau119[[#This Row],[Day Customer Order]]+1</f>
        <v>106</v>
      </c>
      <c r="AX904" s="119">
        <f>IF(Tableau119[[#This Row],[Name ILN]]&lt;&gt;"SFK Freight Forwarder",Tableau119[[#This Row],[Cust. Leadtime]],Tableau119[[#This Row],[Leadtime SI2C]])</f>
        <v>106</v>
      </c>
      <c r="AY904" s="51" t="str">
        <f>_xlfn.XLOOKUP(Tableau119[[#This Row],[Key(ID-date)]],'DATA BTO'!S:S,'DATA BTO'!P:P,FALSE)</f>
        <v>Renault &gt; Horse BPH</v>
      </c>
      <c r="AZ904" s="338">
        <v>46053</v>
      </c>
      <c r="BA904" s="50"/>
    </row>
    <row r="905" spans="2:53">
      <c r="B905" s="446" t="str">
        <f>_xlfn.CONCAT(Tableau119[[#This Row],[Name ILN]],"-",Tableau119[[#This Row],[Name Shipper]],"-",Tableau119[[#This Row],[Name Site]])</f>
        <v>KWE Shanghai-KWE Shanghai-DACIA MECA</v>
      </c>
      <c r="C905" s="66" t="str">
        <f>_xlfn.CONCAT(Tableau119[[#This Row],[Compte ILN]],"-",Tableau119[[#This Row],[Compte Shipper]],"-",Tableau119[[#This Row],[POL]],"-",Tableau119[[#This Row],[Compte Consignee]])</f>
        <v>26037000-26037000-CNSHA-90012500</v>
      </c>
      <c r="D905" s="66" t="str">
        <f>_xlfn.CONCAT(Tableau119[[#This Row],[Compte ILN]],"-",Tableau119[[#This Row],[Compte Shipper]],"-",Tableau119[[#This Row],[POL]])</f>
        <v>26037000-26037000-CNSHA</v>
      </c>
      <c r="E905" s="130" t="str">
        <f>_xlfn.CONCAT(Tableau119[[#This Row],[POL]],"-",Tableau119[[#This Row],[Carrier]],"-",Tableau119[[#This Row],[POD]])</f>
        <v>CNSHA-MSC-ROCND</v>
      </c>
      <c r="F905" s="66" t="str">
        <f>_xlfn.CONCAT(Tableau119[[#This Row],[ID]],"-","Actif")</f>
        <v>932-Actif</v>
      </c>
      <c r="G905" s="66" t="str">
        <f>_xlfn.CONCAT(Tableau119[[#This Row],[POD]],"-",Tableau119[[#This Row],[Code PFI]],"-",Tableau119[[#This Row],[Compte Consignee]])</f>
        <v>ROCND---90012500</v>
      </c>
      <c r="H90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ShanghaiCNSHADACIA MECA</v>
      </c>
      <c r="I905" s="434" t="str">
        <f>_xlfn.CONCAT(Tableau119[[#This Row],[ID]],"-",Tableau119[[#This Row],[Expiration Date]])</f>
        <v>932-45900</v>
      </c>
      <c r="J90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MECA-KWE Shanghai-KWE Shanghai-932-CNSHA-MSC-ROCND--45900</v>
      </c>
      <c r="K905" s="119" t="str">
        <f ca="1">IF(COUNTIF(J:J,Tableau119[[#This Row],[Plant-ILN-shipper-POL-Carrier-POD-PFI]])=1,"Non","Oui")</f>
        <v>Non</v>
      </c>
      <c r="L905" s="128" t="str">
        <f>VLOOKUP(Tableau119[[#This Row],[Name Site]],Plant_AILN!A:D,4,FALSE)</f>
        <v>ROMANIA</v>
      </c>
      <c r="M905" s="415" t="s">
        <v>162</v>
      </c>
      <c r="N905" s="455">
        <f>VLOOKUP(Tableau119[[#This Row],[Name Site]],Plant_AILN!A:C,3,FALSE)</f>
        <v>90012500</v>
      </c>
      <c r="O905" s="104">
        <f>VLOOKUP(Tableau119[[#This Row],[Compte Consignee]],Order!C:D,2,FALSE)</f>
        <v>7</v>
      </c>
      <c r="P905" s="126" t="s">
        <v>62</v>
      </c>
      <c r="Q905" s="366">
        <f>VLOOKUP(Tableau119[[#This Row],[Name ILN]],Plant_AILN!F:G,2,FALSE)</f>
        <v>26037000</v>
      </c>
      <c r="R905" s="81">
        <f>VLOOKUP(Tableau119[[#This Row],[Compte ILN]],'DATA ILN'!D:I,6,FALSE)</f>
        <v>9</v>
      </c>
      <c r="S905" s="81">
        <f>IFERROR(VLOOKUP(Tableau119[[#This Row],[Key(Compte ILN - shipper - POL - plant)]],'DATA ILN'!A:J,10,FALSE),VLOOKUP(Tableau119[[#This Row],[Key(Compte ILN - shipper - POL)]],'DATA ILN'!B:J,9,FALSE))</f>
        <v>14</v>
      </c>
      <c r="T905" s="81">
        <f>IFERROR(VLOOKUP(Tableau119[[#This Row],[Key(Compte ILN - shipper - POL - plant)]],'DATA ILN'!A:K,11,FALSE),VLOOKUP(Tableau119[[#This Row],[Key(Compte ILN - shipper - POL)]],'DATA ILN'!B:K,10,FALSE))</f>
        <v>5</v>
      </c>
      <c r="U905" s="81">
        <f>IFERROR(VLOOKUP(Tableau119[[#This Row],[Key(Compte ILN - shipper - POL - plant)]],'DATA ILN'!A:L,12,FALSE),VLOOKUP(Tableau119[[#This Row],[Key(Compte ILN - shipper - POL)]],'DATA ILN'!B:L,11,FALSE))</f>
        <v>7</v>
      </c>
      <c r="V905" s="81">
        <f>Tableau119[[#This Row],[Day ILN Order]]+Tableau119[[#This Row],[Delivery time to ILN/Shipper]]-1</f>
        <v>22</v>
      </c>
      <c r="W905" s="81">
        <f>IFERROR(VLOOKUP(Tableau119[[#This Row],[Key(Compte ILN - shipper - POL - plant)]],'DATA ILN'!A:N,14,FALSE),VLOOKUP(Tableau119[[#This Row],[Key(Compte ILN - shipper - POL)]],'DATA ILN'!B:N,13,FALSE))</f>
        <v>1</v>
      </c>
      <c r="X905" s="81">
        <f>IFERROR(VLOOKUP(Tableau119[[#This Row],[Key(Compte ILN - shipper - POL - plant)]],'DATA ILN'!A:P,16,FALSE),VLOOKUP(Tableau119[[#This Row],[Key(Compte ILN - shipper - POL)]],'DATA ILN'!B:P,15,FALSE))</f>
        <v>2</v>
      </c>
      <c r="Y905" s="102" t="s">
        <v>62</v>
      </c>
      <c r="Z905" s="417">
        <f>IFERROR(VLOOKUP(Tableau119[[#This Row],[Name Shipper]],Plant_AILN!L:M,2,FALSE),0)</f>
        <v>26037000</v>
      </c>
      <c r="AA905" s="416">
        <v>932</v>
      </c>
      <c r="AB905" s="396" t="str">
        <f>_xlfn.XLOOKUP(Tableau119[[#This Row],[Key(ID-date)]],'DATA BTO'!S:S,'DATA BTO'!E:E,FALSE)</f>
        <v>CNSHA</v>
      </c>
      <c r="AC905" s="3" t="str">
        <f>_xlfn.XLOOKUP(Tableau119[[#This Row],[Key(ID-date)]],'DATA BTO'!S:S,'DATA BTO'!F:F,FALSE)</f>
        <v>MSC</v>
      </c>
      <c r="AD905" s="50">
        <f>_xlfn.XLOOKUP(Tableau119[[#This Row],[Key(ID-date)]],'DATA BTO'!S:S,'DATA BTO'!G:G,FALSE)</f>
        <v>3</v>
      </c>
      <c r="AE905" s="50">
        <f>_xlfn.XLOOKUP(Tableau119[[#This Row],[Key(ID-date)]],'DATA BTO'!S:S,'DATA BTO'!H:H,FALSE)</f>
        <v>5</v>
      </c>
      <c r="AF905" s="447">
        <f>IF(Tableau119[[#This Row],[First Day to POL]]&lt;=Tableau119[[#This Row],[Day Cut Off]],Tableau119[[#This Row],[Day ETD]],Tableau119[[#This Row],[Day ETD]]+7)</f>
        <v>5</v>
      </c>
      <c r="AG905" s="50">
        <f>_xlfn.XLOOKUP(Tableau119[[#This Row],[Key(ID-date)]],'DATA BTO'!S:S,'DATA BTO'!I:I,FALSE)</f>
        <v>50</v>
      </c>
      <c r="AH905" s="3" t="str">
        <f>_xlfn.XLOOKUP(Tableau119[[#This Row],[Key(ID-date)]],'DATA BTO'!S:S,'DATA BTO'!J:J,FALSE)</f>
        <v>ROCND</v>
      </c>
      <c r="AI905" s="3">
        <f>_xlfn.XLOOKUP(Tableau119[[#This Row],[Key(ID-date)]],'DATA BTO'!S:S,'DATA BTO'!K:K,FALSE)</f>
        <v>3</v>
      </c>
      <c r="AJ905" s="50">
        <f>_xlfn.XLOOKUP(Tableau119[[#This Row],[Key(ID-date)]],'DATA BTO'!S:S,'DATA BTO'!L:L,FALSE)</f>
        <v>14</v>
      </c>
      <c r="AK905" s="53" t="str">
        <f>_xlfn.XLOOKUP(Tableau119[[#This Row],[Key(ID-date)]],'DATA BTO'!S:S,'DATA BTO'!N:N,FALSE)</f>
        <v>Marc-Aurele</v>
      </c>
      <c r="AL905" s="54">
        <f>VLOOKUP(Tableau119[[#This Row],[Key(POD -PFI- Usine)]],'DATA Consignee'!A:F,6,FALSE)</f>
        <v>2</v>
      </c>
      <c r="AM905" s="102"/>
      <c r="AN905" s="375" t="str">
        <f>IF(Tableau119[[#This Row],[Name PFI/CDD]]="","-",VLOOKUP(Tableau119[[#This Row],[Name PFI/CDD]],Plant_AILN!I:J,2,FALSE))</f>
        <v>-</v>
      </c>
      <c r="AO90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5" s="110">
        <f>VLOOKUP(Tableau119[[#This Row],[Key(POD -PFI- Usine)]],'DATA Consignee'!A:J,10,FALSE)</f>
        <v>0</v>
      </c>
      <c r="AR905" s="81">
        <f>VLOOKUP(Tableau119[[#This Row],[Key(POD -PFI- Usine)]],'DATA Consignee'!A:N,14,FALSE)</f>
        <v>7</v>
      </c>
      <c r="AS905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905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905" s="81">
        <f>Tableau119[[#This Row],[Transit time]]+Tableau119[[#This Row],[Time for security]]+Tableau119[[#This Row],[Time for security2 buffer]]</f>
        <v>67</v>
      </c>
      <c r="AV90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05" s="50">
        <f>Tableau119[[#This Row],[Leadtime SI2C]]+Tableau119[[#This Row],[First Receipt Days]]-Tableau119[[#This Row],[Day Customer Order]]+1</f>
        <v>106</v>
      </c>
      <c r="AX905" s="119">
        <f>IF(Tableau119[[#This Row],[Name ILN]]&lt;&gt;"SFK Freight Forwarder",Tableau119[[#This Row],[Cust. Leadtime]],Tableau119[[#This Row],[Leadtime SI2C]])</f>
        <v>106</v>
      </c>
      <c r="AY905" s="51" t="str">
        <f>_xlfn.XLOOKUP(Tableau119[[#This Row],[Key(ID-date)]],'DATA BTO'!S:S,'DATA BTO'!P:P,FALSE)</f>
        <v>Renault &gt; Horse BPH</v>
      </c>
      <c r="AZ905" s="388">
        <v>45900</v>
      </c>
      <c r="BA905" s="81"/>
    </row>
    <row r="906" spans="2:53">
      <c r="B906" s="446" t="str">
        <f>_xlfn.CONCAT(Tableau119[[#This Row],[Name ILN]],"-",Tableau119[[#This Row],[Name Shipper]],"-",Tableau119[[#This Row],[Name Site]])</f>
        <v>KWE Shanghai-KWE Shanghai-DACIA MECA</v>
      </c>
      <c r="C906" s="66" t="str">
        <f>_xlfn.CONCAT(Tableau119[[#This Row],[Compte ILN]],"-",Tableau119[[#This Row],[Compte Shipper]],"-",Tableau119[[#This Row],[POL]],"-",Tableau119[[#This Row],[Compte Consignee]])</f>
        <v>26037000-26037000-CNSHA-90012500</v>
      </c>
      <c r="D906" s="66" t="str">
        <f>_xlfn.CONCAT(Tableau119[[#This Row],[Compte ILN]],"-",Tableau119[[#This Row],[Compte Shipper]],"-",Tableau119[[#This Row],[POL]])</f>
        <v>26037000-26037000-CNSHA</v>
      </c>
      <c r="E906" s="130" t="str">
        <f>_xlfn.CONCAT(Tableau119[[#This Row],[POL]],"-",Tableau119[[#This Row],[Carrier]],"-",Tableau119[[#This Row],[POD]])</f>
        <v>CNSHA-CMA-CGM-ROCND</v>
      </c>
      <c r="F906" s="66" t="str">
        <f>_xlfn.CONCAT(Tableau119[[#This Row],[ID]],"-","Actif")</f>
        <v>932-Actif</v>
      </c>
      <c r="G906" s="66" t="str">
        <f>_xlfn.CONCAT(Tableau119[[#This Row],[POD]],"-",Tableau119[[#This Row],[Code PFI]],"-",Tableau119[[#This Row],[Compte Consignee]])</f>
        <v>ROCND---90012500</v>
      </c>
      <c r="H90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ShanghaiCNSHADACIA MECA</v>
      </c>
      <c r="I906" s="434" t="str">
        <f>_xlfn.CONCAT(Tableau119[[#This Row],[ID]],"-",Tableau119[[#This Row],[Expiration Date]])</f>
        <v>932-45777</v>
      </c>
      <c r="J90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MECA-KWE Shanghai-KWE Shanghai-932-CNSHA-CMA-CGM-ROCND--45777</v>
      </c>
      <c r="K906" s="119" t="str">
        <f ca="1">IF(COUNTIF(J:J,Tableau119[[#This Row],[Plant-ILN-shipper-POL-Carrier-POD-PFI]])=1,"Non","Oui")</f>
        <v>Non</v>
      </c>
      <c r="L906" s="128" t="str">
        <f>VLOOKUP(Tableau119[[#This Row],[Name Site]],Plant_AILN!A:D,4,FALSE)</f>
        <v>ROMANIA</v>
      </c>
      <c r="M906" s="411" t="s">
        <v>162</v>
      </c>
      <c r="N906" s="454">
        <f>VLOOKUP(Tableau119[[#This Row],[Name Site]],Plant_AILN!A:C,3,FALSE)</f>
        <v>90012500</v>
      </c>
      <c r="O906" s="55">
        <f>VLOOKUP(Tableau119[[#This Row],[Compte Consignee]],Order!C:D,2,FALSE)</f>
        <v>7</v>
      </c>
      <c r="P906" s="124" t="s">
        <v>62</v>
      </c>
      <c r="Q906" s="365">
        <f>VLOOKUP(Tableau119[[#This Row],[Name ILN]],Plant_AILN!F:G,2,FALSE)</f>
        <v>26037000</v>
      </c>
      <c r="R906" s="50">
        <f>VLOOKUP(Tableau119[[#This Row],[Compte ILN]],'DATA ILN'!D:I,6,FALSE)</f>
        <v>9</v>
      </c>
      <c r="S906" s="50">
        <f>IFERROR(VLOOKUP(Tableau119[[#This Row],[Key(Compte ILN - shipper - POL - plant)]],'DATA ILN'!A:J,10,FALSE),VLOOKUP(Tableau119[[#This Row],[Key(Compte ILN - shipper - POL)]],'DATA ILN'!B:J,9,FALSE))</f>
        <v>14</v>
      </c>
      <c r="T906" s="50">
        <f>IFERROR(VLOOKUP(Tableau119[[#This Row],[Key(Compte ILN - shipper - POL - plant)]],'DATA ILN'!A:K,11,FALSE),VLOOKUP(Tableau119[[#This Row],[Key(Compte ILN - shipper - POL)]],'DATA ILN'!B:K,10,FALSE))</f>
        <v>5</v>
      </c>
      <c r="U906" s="50">
        <f>IFERROR(VLOOKUP(Tableau119[[#This Row],[Key(Compte ILN - shipper - POL - plant)]],'DATA ILN'!A:L,12,FALSE),VLOOKUP(Tableau119[[#This Row],[Key(Compte ILN - shipper - POL)]],'DATA ILN'!B:L,11,FALSE))</f>
        <v>7</v>
      </c>
      <c r="V906" s="50">
        <f>Tableau119[[#This Row],[Day ILN Order]]+Tableau119[[#This Row],[Delivery time to ILN/Shipper]]-1</f>
        <v>22</v>
      </c>
      <c r="W906" s="50">
        <f>IFERROR(VLOOKUP(Tableau119[[#This Row],[Key(Compte ILN - shipper - POL - plant)]],'DATA ILN'!A:N,14,FALSE),VLOOKUP(Tableau119[[#This Row],[Key(Compte ILN - shipper - POL)]],'DATA ILN'!B:N,13,FALSE))</f>
        <v>1</v>
      </c>
      <c r="X906" s="50">
        <f>IFERROR(VLOOKUP(Tableau119[[#This Row],[Key(Compte ILN - shipper - POL - plant)]],'DATA ILN'!A:P,16,FALSE),VLOOKUP(Tableau119[[#This Row],[Key(Compte ILN - shipper - POL)]],'DATA ILN'!B:P,15,FALSE))</f>
        <v>2</v>
      </c>
      <c r="Y906" s="284" t="s">
        <v>62</v>
      </c>
      <c r="Z906" s="430">
        <f>IFERROR(VLOOKUP(Tableau119[[#This Row],[Name Shipper]],Plant_AILN!L:M,2,FALSE),0)</f>
        <v>26037000</v>
      </c>
      <c r="AA906" s="406">
        <v>932</v>
      </c>
      <c r="AB906" s="396" t="str">
        <f>_xlfn.XLOOKUP(Tableau119[[#This Row],[Key(ID-date)]],'DATA BTO'!S:S,'DATA BTO'!E:E,FALSE)</f>
        <v>CNSHA</v>
      </c>
      <c r="AC906" s="3" t="str">
        <f>_xlfn.XLOOKUP(Tableau119[[#This Row],[Key(ID-date)]],'DATA BTO'!S:S,'DATA BTO'!F:F,FALSE)</f>
        <v>CMA-CGM</v>
      </c>
      <c r="AD906" s="50">
        <f>_xlfn.XLOOKUP(Tableau119[[#This Row],[Key(ID-date)]],'DATA BTO'!S:S,'DATA BTO'!G:G,FALSE)</f>
        <v>1</v>
      </c>
      <c r="AE906" s="50">
        <f>_xlfn.XLOOKUP(Tableau119[[#This Row],[Key(ID-date)]],'DATA BTO'!S:S,'DATA BTO'!H:H,FALSE)</f>
        <v>3</v>
      </c>
      <c r="AF906" s="447">
        <f>IF(Tableau119[[#This Row],[First Day to POL]]&lt;=Tableau119[[#This Row],[Day Cut Off]],Tableau119[[#This Row],[Day ETD]],Tableau119[[#This Row],[Day ETD]]+7)</f>
        <v>10</v>
      </c>
      <c r="AG906" s="50">
        <f>_xlfn.XLOOKUP(Tableau119[[#This Row],[Key(ID-date)]],'DATA BTO'!S:S,'DATA BTO'!I:I,FALSE)</f>
        <v>60</v>
      </c>
      <c r="AH906" s="3" t="str">
        <f>_xlfn.XLOOKUP(Tableau119[[#This Row],[Key(ID-date)]],'DATA BTO'!S:S,'DATA BTO'!J:J,FALSE)</f>
        <v>ROCND</v>
      </c>
      <c r="AI906" s="3">
        <f>_xlfn.XLOOKUP(Tableau119[[#This Row],[Key(ID-date)]],'DATA BTO'!S:S,'DATA BTO'!K:K,FALSE)</f>
        <v>3</v>
      </c>
      <c r="AJ906" s="50">
        <f>_xlfn.XLOOKUP(Tableau119[[#This Row],[Key(ID-date)]],'DATA BTO'!S:S,'DATA BTO'!L:L,FALSE)</f>
        <v>0</v>
      </c>
      <c r="AK906" s="53" t="str">
        <f>_xlfn.XLOOKUP(Tableau119[[#This Row],[Key(ID-date)]],'DATA BTO'!S:S,'DATA BTO'!N:N,FALSE)</f>
        <v>Anthony</v>
      </c>
      <c r="AL906" s="54">
        <f>VLOOKUP(Tableau119[[#This Row],[Key(POD -PFI- Usine)]],'DATA Consignee'!A:F,6,FALSE)</f>
        <v>2</v>
      </c>
      <c r="AM906" s="138"/>
      <c r="AN906" s="376" t="str">
        <f>IF(Tableau119[[#This Row],[Name PFI/CDD]]="","-",VLOOKUP(Tableau119[[#This Row],[Name PFI/CDD]],Plant_AILN!I:J,2,FALSE))</f>
        <v>-</v>
      </c>
      <c r="AO90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6" s="2">
        <f>VLOOKUP(Tableau119[[#This Row],[Key(POD -PFI- Usine)]],'DATA Consignee'!A:J,10,FALSE)</f>
        <v>0</v>
      </c>
      <c r="AR906" s="50">
        <f>VLOOKUP(Tableau119[[#This Row],[Key(POD -PFI- Usine)]],'DATA Consignee'!A:N,14,FALSE)</f>
        <v>7</v>
      </c>
      <c r="AS90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0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906" s="50">
        <f>Tableau119[[#This Row],[Transit time]]+Tableau119[[#This Row],[Time for security]]+Tableau119[[#This Row],[Time for security2 buffer]]</f>
        <v>63</v>
      </c>
      <c r="AV90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06" s="50">
        <f>Tableau119[[#This Row],[Leadtime SI2C]]+Tableau119[[#This Row],[First Receipt Days]]-Tableau119[[#This Row],[Day Customer Order]]+1</f>
        <v>106</v>
      </c>
      <c r="AX906" s="119">
        <f>IF(Tableau119[[#This Row],[Name ILN]]&lt;&gt;"SFK Freight Forwarder",Tableau119[[#This Row],[Cust. Leadtime]],Tableau119[[#This Row],[Leadtime SI2C]])</f>
        <v>106</v>
      </c>
      <c r="AY906" s="51" t="str">
        <f>_xlfn.XLOOKUP(Tableau119[[#This Row],[Key(ID-date)]],'DATA BTO'!S:S,'DATA BTO'!P:P,FALSE)</f>
        <v>Renault &gt; Horse BPH</v>
      </c>
      <c r="AZ906" s="338">
        <v>45777</v>
      </c>
      <c r="BA906" s="50"/>
    </row>
    <row r="907" spans="2:53">
      <c r="B907" s="446" t="str">
        <f>_xlfn.CONCAT(Tableau119[[#This Row],[Name ILN]],"-",Tableau119[[#This Row],[Name Shipper]],"-",Tableau119[[#This Row],[Name Site]])</f>
        <v>KWE Shanghai-KWE Shanghai-DACIA MECA</v>
      </c>
      <c r="C907" s="66" t="str">
        <f>_xlfn.CONCAT(Tableau119[[#This Row],[Compte ILN]],"-",Tableau119[[#This Row],[Compte Shipper]],"-",Tableau119[[#This Row],[POL]],"-",Tableau119[[#This Row],[Compte Consignee]])</f>
        <v>26037000-26037000-CNSHA-90012500</v>
      </c>
      <c r="D907" s="66" t="str">
        <f>_xlfn.CONCAT(Tableau119[[#This Row],[Compte ILN]],"-",Tableau119[[#This Row],[Compte Shipper]],"-",Tableau119[[#This Row],[POL]])</f>
        <v>26037000-26037000-CNSHA</v>
      </c>
      <c r="E907" s="130" t="str">
        <f>_xlfn.CONCAT(Tableau119[[#This Row],[POL]],"-",Tableau119[[#This Row],[Carrier]],"-",Tableau119[[#This Row],[POD]])</f>
        <v>CNSHA-CMA-CGM-ROCND</v>
      </c>
      <c r="F907" s="66" t="str">
        <f>_xlfn.CONCAT(Tableau119[[#This Row],[ID]],"-","Actif")</f>
        <v>932-Actif</v>
      </c>
      <c r="G907" s="66" t="str">
        <f>_xlfn.CONCAT(Tableau119[[#This Row],[POD]],"-",Tableau119[[#This Row],[Code PFI]],"-",Tableau119[[#This Row],[Compte Consignee]])</f>
        <v>ROCND---90012500</v>
      </c>
      <c r="H90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KWE ShanghaiCNSHADACIA MECA</v>
      </c>
      <c r="I907" s="434" t="str">
        <f>_xlfn.CONCAT(Tableau119[[#This Row],[ID]],"-",Tableau119[[#This Row],[Expiration Date]])</f>
        <v>932-45690</v>
      </c>
      <c r="J90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MECA-KWE Shanghai-KWE Shanghai-932-CNSHA-CMA-CGM-ROCND--45690</v>
      </c>
      <c r="K907" s="119" t="str">
        <f ca="1">IF(COUNTIF(J:J,Tableau119[[#This Row],[Plant-ILN-shipper-POL-Carrier-POD-PFI]])=1,"Non","Oui")</f>
        <v>Non</v>
      </c>
      <c r="L907" s="128" t="str">
        <f>VLOOKUP(Tableau119[[#This Row],[Name Site]],Plant_AILN!A:D,4,FALSE)</f>
        <v>ROMANIA</v>
      </c>
      <c r="M907" s="415" t="s">
        <v>162</v>
      </c>
      <c r="N907" s="455">
        <f>VLOOKUP(Tableau119[[#This Row],[Name Site]],Plant_AILN!A:C,3,FALSE)</f>
        <v>90012500</v>
      </c>
      <c r="O907" s="104">
        <f>VLOOKUP(Tableau119[[#This Row],[Compte Consignee]],Order!C:D,2,FALSE)</f>
        <v>7</v>
      </c>
      <c r="P907" s="126" t="s">
        <v>62</v>
      </c>
      <c r="Q907" s="366">
        <f>VLOOKUP(Tableau119[[#This Row],[Name ILN]],Plant_AILN!F:G,2,FALSE)</f>
        <v>26037000</v>
      </c>
      <c r="R907" s="81">
        <f>VLOOKUP(Tableau119[[#This Row],[Compte ILN]],'DATA ILN'!D:I,6,FALSE)</f>
        <v>9</v>
      </c>
      <c r="S907" s="81">
        <f>IFERROR(VLOOKUP(Tableau119[[#This Row],[Key(Compte ILN - shipper - POL - plant)]],'DATA ILN'!A:J,10,FALSE),VLOOKUP(Tableau119[[#This Row],[Key(Compte ILN - shipper - POL)]],'DATA ILN'!B:J,9,FALSE))</f>
        <v>14</v>
      </c>
      <c r="T907" s="81">
        <f>IFERROR(VLOOKUP(Tableau119[[#This Row],[Key(Compte ILN - shipper - POL - plant)]],'DATA ILN'!A:K,11,FALSE),VLOOKUP(Tableau119[[#This Row],[Key(Compte ILN - shipper - POL)]],'DATA ILN'!B:K,10,FALSE))</f>
        <v>5</v>
      </c>
      <c r="U907" s="81">
        <f>IFERROR(VLOOKUP(Tableau119[[#This Row],[Key(Compte ILN - shipper - POL - plant)]],'DATA ILN'!A:L,12,FALSE),VLOOKUP(Tableau119[[#This Row],[Key(Compte ILN - shipper - POL)]],'DATA ILN'!B:L,11,FALSE))</f>
        <v>7</v>
      </c>
      <c r="V907" s="81">
        <f>Tableau119[[#This Row],[Day ILN Order]]+Tableau119[[#This Row],[Delivery time to ILN/Shipper]]-1</f>
        <v>22</v>
      </c>
      <c r="W907" s="81">
        <f>IFERROR(VLOOKUP(Tableau119[[#This Row],[Key(Compte ILN - shipper - POL - plant)]],'DATA ILN'!A:N,14,FALSE),VLOOKUP(Tableau119[[#This Row],[Key(Compte ILN - shipper - POL)]],'DATA ILN'!B:N,13,FALSE))</f>
        <v>1</v>
      </c>
      <c r="X907" s="81">
        <f>IFERROR(VLOOKUP(Tableau119[[#This Row],[Key(Compte ILN - shipper - POL - plant)]],'DATA ILN'!A:P,16,FALSE),VLOOKUP(Tableau119[[#This Row],[Key(Compte ILN - shipper - POL)]],'DATA ILN'!B:P,15,FALSE))</f>
        <v>2</v>
      </c>
      <c r="Y907" s="102" t="s">
        <v>62</v>
      </c>
      <c r="Z907" s="417">
        <f>IFERROR(VLOOKUP(Tableau119[[#This Row],[Name Shipper]],Plant_AILN!L:M,2,FALSE),0)</f>
        <v>26037000</v>
      </c>
      <c r="AA907" s="416">
        <v>932</v>
      </c>
      <c r="AB907" s="396" t="str">
        <f>_xlfn.XLOOKUP(Tableau119[[#This Row],[Key(ID-date)]],'DATA BTO'!S:S,'DATA BTO'!E:E,FALSE)</f>
        <v>CNSHA</v>
      </c>
      <c r="AC907" s="3" t="str">
        <f>_xlfn.XLOOKUP(Tableau119[[#This Row],[Key(ID-date)]],'DATA BTO'!S:S,'DATA BTO'!F:F,FALSE)</f>
        <v>CMA-CGM</v>
      </c>
      <c r="AD907" s="50">
        <f>_xlfn.XLOOKUP(Tableau119[[#This Row],[Key(ID-date)]],'DATA BTO'!S:S,'DATA BTO'!G:G,FALSE)</f>
        <v>1</v>
      </c>
      <c r="AE907" s="50">
        <f>_xlfn.XLOOKUP(Tableau119[[#This Row],[Key(ID-date)]],'DATA BTO'!S:S,'DATA BTO'!H:H,FALSE)</f>
        <v>3</v>
      </c>
      <c r="AF907" s="447">
        <f>IF(Tableau119[[#This Row],[First Day to POL]]&lt;=Tableau119[[#This Row],[Day Cut Off]],Tableau119[[#This Row],[Day ETD]],Tableau119[[#This Row],[Day ETD]]+7)</f>
        <v>10</v>
      </c>
      <c r="AG907" s="50">
        <f>_xlfn.XLOOKUP(Tableau119[[#This Row],[Key(ID-date)]],'DATA BTO'!S:S,'DATA BTO'!I:I,FALSE)</f>
        <v>53</v>
      </c>
      <c r="AH907" s="3" t="str">
        <f>_xlfn.XLOOKUP(Tableau119[[#This Row],[Key(ID-date)]],'DATA BTO'!S:S,'DATA BTO'!J:J,FALSE)</f>
        <v>ROCND</v>
      </c>
      <c r="AI907" s="3">
        <f>_xlfn.XLOOKUP(Tableau119[[#This Row],[Key(ID-date)]],'DATA BTO'!S:S,'DATA BTO'!K:K,FALSE)</f>
        <v>3</v>
      </c>
      <c r="AJ907" s="50">
        <f>_xlfn.XLOOKUP(Tableau119[[#This Row],[Key(ID-date)]],'DATA BTO'!S:S,'DATA BTO'!L:L,FALSE)</f>
        <v>0</v>
      </c>
      <c r="AK907" s="53" t="str">
        <f>_xlfn.XLOOKUP(Tableau119[[#This Row],[Key(ID-date)]],'DATA BTO'!S:S,'DATA BTO'!N:N,FALSE)</f>
        <v>Anthony</v>
      </c>
      <c r="AL907" s="54">
        <f>VLOOKUP(Tableau119[[#This Row],[Key(POD -PFI- Usine)]],'DATA Consignee'!A:F,6,FALSE)</f>
        <v>2</v>
      </c>
      <c r="AM907" s="138"/>
      <c r="AN907" s="375" t="str">
        <f>IF(Tableau119[[#This Row],[Name PFI/CDD]]="","-",VLOOKUP(Tableau119[[#This Row],[Name PFI/CDD]],Plant_AILN!I:J,2,FALSE))</f>
        <v>-</v>
      </c>
      <c r="AO90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7" s="110">
        <f>VLOOKUP(Tableau119[[#This Row],[Key(POD -PFI- Usine)]],'DATA Consignee'!A:J,10,FALSE)</f>
        <v>0</v>
      </c>
      <c r="AR907" s="81">
        <f>VLOOKUP(Tableau119[[#This Row],[Key(POD -PFI- Usine)]],'DATA Consignee'!A:N,14,FALSE)</f>
        <v>7</v>
      </c>
      <c r="AS90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0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907" s="81">
        <f>Tableau119[[#This Row],[Transit time]]+Tableau119[[#This Row],[Time for security]]+Tableau119[[#This Row],[Time for security2 buffer]]</f>
        <v>56</v>
      </c>
      <c r="AV90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07" s="50">
        <f>Tableau119[[#This Row],[Leadtime SI2C]]+Tableau119[[#This Row],[First Receipt Days]]-Tableau119[[#This Row],[Day Customer Order]]+1</f>
        <v>99</v>
      </c>
      <c r="AX907" s="119">
        <f>IF(Tableau119[[#This Row],[Name ILN]]&lt;&gt;"SFK Freight Forwarder",Tableau119[[#This Row],[Cust. Leadtime]],Tableau119[[#This Row],[Leadtime SI2C]])</f>
        <v>99</v>
      </c>
      <c r="AY907" s="51" t="str">
        <f>_xlfn.XLOOKUP(Tableau119[[#This Row],[Key(ID-date)]],'DATA BTO'!S:S,'DATA BTO'!P:P,FALSE)</f>
        <v>Renault &gt; Horse BPH</v>
      </c>
      <c r="AZ907" s="388">
        <v>45690</v>
      </c>
      <c r="BA907" s="81"/>
    </row>
    <row r="908" spans="2:53">
      <c r="B908" s="446" t="str">
        <f>_xlfn.CONCAT(Tableau119[[#This Row],[Name ILN]],"-",Tableau119[[#This Row],[Name Shipper]],"-",Tableau119[[#This Row],[Name Site]])</f>
        <v>SFK Freight Forwarder-STEEP SAINT-MAURICE-DE-BEYNOST-CORDOBA</v>
      </c>
      <c r="C908" s="66" t="str">
        <f>_xlfn.CONCAT(Tableau119[[#This Row],[Compte ILN]],"-",Tableau119[[#This Row],[Compte Shipper]],"-",Tableau119[[#This Row],[POL]],"-",Tableau119[[#This Row],[Compte Consignee]])</f>
        <v>0-5915200-FALSO-90016000</v>
      </c>
      <c r="D908" s="66" t="str">
        <f>_xlfn.CONCAT(Tableau119[[#This Row],[Compte ILN]],"-",Tableau119[[#This Row],[Compte Shipper]],"-",Tableau119[[#This Row],[POL]])</f>
        <v>0-5915200-FALSO</v>
      </c>
      <c r="E908" s="130" t="str">
        <f>_xlfn.CONCAT(Tableau119[[#This Row],[POL]],"-",Tableau119[[#This Row],[Carrier]],"-",Tableau119[[#This Row],[POD]])</f>
        <v>FALSO-FALSO-FALSO</v>
      </c>
      <c r="F908" s="66" t="str">
        <f>_xlfn.CONCAT(Tableau119[[#This Row],[ID]],"-","Actif")</f>
        <v>981-Actif</v>
      </c>
      <c r="G908" s="66" t="str">
        <f>_xlfn.CONCAT(Tableau119[[#This Row],[POD]],"-",Tableau119[[#This Row],[Code PFI]],"-",Tableau119[[#This Row],[Compte Consignee]])</f>
        <v>FALSO---90016000</v>
      </c>
      <c r="H90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5915200FALSOCORDOBA</v>
      </c>
      <c r="I908" s="434" t="str">
        <f>_xlfn.CONCAT(Tableau119[[#This Row],[ID]],"-",Tableau119[[#This Row],[Expiration Date]])</f>
        <v>981-46142</v>
      </c>
      <c r="J90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Forwarder-STEEP SAINT-MAURICE-DE-BEYNOST-981-FALSO-FALSO-FALSO--46142</v>
      </c>
      <c r="K908" s="119" t="str">
        <f ca="1">IF(COUNTIF(J:J,Tableau119[[#This Row],[Plant-ILN-shipper-POL-Carrier-POD-PFI]])=1,"Non","Oui")</f>
        <v>Non</v>
      </c>
      <c r="L908" s="128" t="str">
        <f>VLOOKUP(Tableau119[[#This Row],[Name Site]],Plant_AILN!A:D,4,FALSE)</f>
        <v>ARGENTINA</v>
      </c>
      <c r="M908" s="411" t="s">
        <v>158</v>
      </c>
      <c r="N908" s="454">
        <f>VLOOKUP(Tableau119[[#This Row],[Name Site]],Plant_AILN!A:C,3,FALSE)</f>
        <v>90016000</v>
      </c>
      <c r="O908" s="55">
        <f>IF(Tableau119[[#This Row],[Name PFI/CDD]]="PFI VLL",2,VLOOKUP(Tableau119[[#This Row],[Compte Consignee]],Order!C:D,2,FALSE))</f>
        <v>7</v>
      </c>
      <c r="P908" s="124" t="s">
        <v>146</v>
      </c>
      <c r="Q908" s="365">
        <f>VLOOKUP(Tableau119[[#This Row],[Name ILN]],Plant_AILN!F:G,2,FALSE)</f>
        <v>0</v>
      </c>
      <c r="R908" s="50">
        <f>VLOOKUP(Tableau119[[#This Row],[Compte ILN]],'DATA ILN'!D:I,6,FALSE)</f>
        <v>9</v>
      </c>
      <c r="S908" s="50" t="e">
        <f>IFERROR(VLOOKUP(Tableau119[[#This Row],[Key(Compte ILN - shipper - POL - plant)]],'DATA ILN'!A:J,10,FALSE),VLOOKUP(Tableau119[[#This Row],[Key(Compte ILN - shipper - POL)]],'DATA ILN'!B:J,9,FALSE))</f>
        <v>#N/A</v>
      </c>
      <c r="T908" s="50" t="e">
        <f>IFERROR(VLOOKUP(Tableau119[[#This Row],[Key(Compte ILN - shipper - POL - plant)]],'DATA ILN'!A:K,11,FALSE),VLOOKUP(Tableau119[[#This Row],[Key(Compte ILN - shipper - POL)]],'DATA ILN'!B:K,10,FALSE))</f>
        <v>#N/A</v>
      </c>
      <c r="U908" s="50" t="e">
        <f>IFERROR(VLOOKUP(Tableau119[[#This Row],[Key(Compte ILN - shipper - POL - plant)]],'DATA ILN'!A:L,12,FALSE),VLOOKUP(Tableau119[[#This Row],[Key(Compte ILN - shipper - POL)]],'DATA ILN'!B:L,11,FALSE))</f>
        <v>#N/A</v>
      </c>
      <c r="V908" s="50" t="e">
        <f>Tableau119[[#This Row],[Day ILN Order]]+Tableau119[[#This Row],[Delivery time to ILN/Shipper]]-1</f>
        <v>#N/A</v>
      </c>
      <c r="W908" s="50" t="e">
        <f>IFERROR(VLOOKUP(Tableau119[[#This Row],[Key(Compte ILN - shipper - POL - plant)]],'DATA ILN'!A:N,14,FALSE),VLOOKUP(Tableau119[[#This Row],[Key(Compte ILN - shipper - POL)]],'DATA ILN'!B:N,13,FALSE))</f>
        <v>#N/A</v>
      </c>
      <c r="X908" s="50" t="e">
        <f>IFERROR(VLOOKUP(Tableau119[[#This Row],[Key(Compte ILN - shipper - POL - plant)]],'DATA ILN'!A:P,16,FALSE),VLOOKUP(Tableau119[[#This Row],[Key(Compte ILN - shipper - POL)]],'DATA ILN'!B:P,15,FALSE))</f>
        <v>#N/A</v>
      </c>
      <c r="Y908" s="284" t="s">
        <v>464</v>
      </c>
      <c r="Z908" s="430">
        <f>IFERROR(VLOOKUP(Tableau119[[#This Row],[Name Shipper]],Plant_AILN!L:M,2,FALSE),0)</f>
        <v>5915200</v>
      </c>
      <c r="AA908" s="406">
        <v>981</v>
      </c>
      <c r="AB908" s="396" t="b">
        <f>_xlfn.XLOOKUP(Tableau119[[#This Row],[Key(ID-date)]],'DATA BTO'!S:S,'DATA BTO'!E:E,FALSE)</f>
        <v>0</v>
      </c>
      <c r="AC908" s="3" t="b">
        <f>_xlfn.XLOOKUP(Tableau119[[#This Row],[Key(ID-date)]],'DATA BTO'!S:S,'DATA BTO'!F:F,FALSE)</f>
        <v>0</v>
      </c>
      <c r="AD908" s="50" t="b">
        <f>_xlfn.XLOOKUP(Tableau119[[#This Row],[Key(ID-date)]],'DATA BTO'!S:S,'DATA BTO'!G:G,FALSE)</f>
        <v>0</v>
      </c>
      <c r="AE908" s="50" t="b">
        <f>_xlfn.XLOOKUP(Tableau119[[#This Row],[Key(ID-date)]],'DATA BTO'!S:S,'DATA BTO'!H:H,FALSE)</f>
        <v>0</v>
      </c>
      <c r="AF908" s="447" t="e">
        <f>IF(Tableau119[[#This Row],[First Day to POL]]&lt;=Tableau119[[#This Row],[Day Cut Off]],Tableau119[[#This Row],[Day ETD]],Tableau119[[#This Row],[Day ETD]]+7)</f>
        <v>#N/A</v>
      </c>
      <c r="AG908" s="50" t="b">
        <f>_xlfn.XLOOKUP(Tableau119[[#This Row],[Key(ID-date)]],'DATA BTO'!S:S,'DATA BTO'!I:I,FALSE)</f>
        <v>0</v>
      </c>
      <c r="AH908" s="3" t="b">
        <f>_xlfn.XLOOKUP(Tableau119[[#This Row],[Key(ID-date)]],'DATA BTO'!S:S,'DATA BTO'!J:J,FALSE)</f>
        <v>0</v>
      </c>
      <c r="AI908" s="3" t="b">
        <f>_xlfn.XLOOKUP(Tableau119[[#This Row],[Key(ID-date)]],'DATA BTO'!S:S,'DATA BTO'!K:K,FALSE)</f>
        <v>0</v>
      </c>
      <c r="AJ908" s="50" t="b">
        <f>_xlfn.XLOOKUP(Tableau119[[#This Row],[Key(ID-date)]],'DATA BTO'!S:S,'DATA BTO'!L:L,FALSE)</f>
        <v>0</v>
      </c>
      <c r="AK908" s="53" t="b">
        <f>_xlfn.XLOOKUP(Tableau119[[#This Row],[Key(ID-date)]],'DATA BTO'!S:S,'DATA BTO'!N:N,FALSE)</f>
        <v>0</v>
      </c>
      <c r="AL908" s="54" t="e">
        <f>VLOOKUP(Tableau119[[#This Row],[Key(POD -PFI- Usine)]],'DATA Consignee'!A:F,6,FALSE)</f>
        <v>#N/A</v>
      </c>
      <c r="AM908" s="138"/>
      <c r="AN908" s="376" t="str">
        <f>IF(Tableau119[[#This Row],[Name PFI/CDD]]="","-",VLOOKUP(Tableau119[[#This Row],[Name PFI/CDD]],Plant_AILN!I:J,2,FALSE))</f>
        <v>-</v>
      </c>
      <c r="AO90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8" s="2" t="e">
        <f>VLOOKUP(Tableau119[[#This Row],[Key(POD -PFI- Usine)]],'DATA Consignee'!A:J,10,FALSE)</f>
        <v>#N/A</v>
      </c>
      <c r="AR908" s="50" t="e">
        <f>VLOOKUP(Tableau119[[#This Row],[Key(POD -PFI- Usine)]],'DATA Consignee'!A:N,14,FALSE)</f>
        <v>#N/A</v>
      </c>
      <c r="AS90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0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08" s="50">
        <f>Tableau119[[#This Row],[Transit time]]+Tableau119[[#This Row],[Time for security]]+Tableau119[[#This Row],[Time for security2 buffer]]</f>
        <v>0</v>
      </c>
      <c r="AV90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08" s="50" t="e">
        <f>Tableau119[[#This Row],[Leadtime SI2C]]+Tableau119[[#This Row],[First Receipt Days]]-Tableau119[[#This Row],[Day Customer Order]]+1</f>
        <v>#N/A</v>
      </c>
      <c r="AX908" s="119" t="e">
        <f>IF(Tableau119[[#This Row],[Name ILN]]&lt;&gt;"SFK Freight Forwarder",Tableau119[[#This Row],[Cust. Leadtime]],Tableau119[[#This Row],[Leadtime SI2C]])</f>
        <v>#N/A</v>
      </c>
      <c r="AY908" s="51" t="b">
        <f>_xlfn.XLOOKUP(Tableau119[[#This Row],[Key(ID-date)]],'DATA BTO'!S:S,'DATA BTO'!P:P,FALSE)</f>
        <v>0</v>
      </c>
      <c r="AZ908" s="338">
        <v>46142</v>
      </c>
      <c r="BA908" s="50"/>
    </row>
    <row r="909" spans="2:53">
      <c r="B909" s="446" t="str">
        <f>_xlfn.CONCAT(Tableau119[[#This Row],[Name ILN]],"-",Tableau119[[#This Row],[Name Shipper]],"-",Tableau119[[#This Row],[Name Site]])</f>
        <v>SFK Freight Forwarder-Jatco Mexique-RKM</v>
      </c>
      <c r="C909" s="66" t="str">
        <f>_xlfn.CONCAT(Tableau119[[#This Row],[Compte ILN]],"-",Tableau119[[#This Row],[Compte Shipper]],"-",Tableau119[[#This Row],[POL]],"-",Tableau119[[#This Row],[Compte Consignee]])</f>
        <v>0-261427-MXLZC-92002200</v>
      </c>
      <c r="D909" s="66" t="str">
        <f>_xlfn.CONCAT(Tableau119[[#This Row],[Compte ILN]],"-",Tableau119[[#This Row],[Compte Shipper]],"-",Tableau119[[#This Row],[POL]])</f>
        <v>0-261427-MXLZC</v>
      </c>
      <c r="E909" s="130" t="str">
        <f>_xlfn.CONCAT(Tableau119[[#This Row],[POL]],"-",Tableau119[[#This Row],[Carrier]],"-",Tableau119[[#This Row],[POD]])</f>
        <v>MXLZC-Hapag Lloyd-KRPUS</v>
      </c>
      <c r="F909" s="66" t="str">
        <f>_xlfn.CONCAT(Tableau119[[#This Row],[ID]],"-","Actif")</f>
        <v>1000-Actif</v>
      </c>
      <c r="G909" s="66" t="str">
        <f>_xlfn.CONCAT(Tableau119[[#This Row],[POD]],"-",Tableau119[[#This Row],[Code PFI]],"-",Tableau119[[#This Row],[Compte Consignee]])</f>
        <v>KRPUS---92002200</v>
      </c>
      <c r="H90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261427MXLZCRKM</v>
      </c>
      <c r="I909" s="434" t="str">
        <f>_xlfn.CONCAT(Tableau119[[#This Row],[ID]],"-",Tableau119[[#This Row],[Expiration Date]])</f>
        <v>1000-46142</v>
      </c>
      <c r="J90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RKM-SFK Freight Forwarder-Jatco Mexique-1000-MXLZC-Hapag Lloyd-KRPUS--46142</v>
      </c>
      <c r="K909" s="119" t="str">
        <f ca="1">IF(COUNTIF(J:J,Tableau119[[#This Row],[Plant-ILN-shipper-POL-Carrier-POD-PFI]])=1,"Non","Oui")</f>
        <v>Non</v>
      </c>
      <c r="L909" s="128" t="str">
        <f>VLOOKUP(Tableau119[[#This Row],[Name Site]],Plant_AILN!A:D,4,FALSE)</f>
        <v>KOREA</v>
      </c>
      <c r="M909" s="415" t="s">
        <v>145</v>
      </c>
      <c r="N909" s="455">
        <f>VLOOKUP(Tableau119[[#This Row],[Name Site]],Plant_AILN!A:C,3,FALSE)</f>
        <v>92002200</v>
      </c>
      <c r="O909" s="104">
        <f>IF(Tableau119[[#This Row],[Name PFI/CDD]]="PFI VLL",2,VLOOKUP(Tableau119[[#This Row],[Compte Consignee]],Order!C:D,2,FALSE))</f>
        <v>2</v>
      </c>
      <c r="P909" s="126" t="s">
        <v>146</v>
      </c>
      <c r="Q909" s="366">
        <f>VLOOKUP(Tableau119[[#This Row],[Name ILN]],Plant_AILN!F:G,2,FALSE)</f>
        <v>0</v>
      </c>
      <c r="R909" s="81">
        <f>VLOOKUP(Tableau119[[#This Row],[Compte ILN]],'DATA ILN'!D:I,6,FALSE)</f>
        <v>9</v>
      </c>
      <c r="S909" s="81">
        <f>IFERROR(VLOOKUP(Tableau119[[#This Row],[Key(Compte ILN - shipper - POL - plant)]],'DATA ILN'!A:J,10,FALSE),VLOOKUP(Tableau119[[#This Row],[Key(Compte ILN - shipper - POL)]],'DATA ILN'!B:J,9,FALSE))</f>
        <v>14</v>
      </c>
      <c r="T909" s="81">
        <f>IFERROR(VLOOKUP(Tableau119[[#This Row],[Key(Compte ILN - shipper - POL - plant)]],'DATA ILN'!A:K,11,FALSE),VLOOKUP(Tableau119[[#This Row],[Key(Compte ILN - shipper - POL)]],'DATA ILN'!B:K,10,FALSE))</f>
        <v>5</v>
      </c>
      <c r="U909" s="81">
        <f>IFERROR(VLOOKUP(Tableau119[[#This Row],[Key(Compte ILN - shipper - POL - plant)]],'DATA ILN'!A:L,12,FALSE),VLOOKUP(Tableau119[[#This Row],[Key(Compte ILN - shipper - POL)]],'DATA ILN'!B:L,11,FALSE))</f>
        <v>7</v>
      </c>
      <c r="V909" s="81">
        <f>Tableau119[[#This Row],[Day ILN Order]]+Tableau119[[#This Row],[Delivery time to ILN/Shipper]]-1</f>
        <v>22</v>
      </c>
      <c r="W909" s="81">
        <f>IFERROR(VLOOKUP(Tableau119[[#This Row],[Key(Compte ILN - shipper - POL - plant)]],'DATA ILN'!A:N,14,FALSE),VLOOKUP(Tableau119[[#This Row],[Key(Compte ILN - shipper - POL)]],'DATA ILN'!B:N,13,FALSE))</f>
        <v>2</v>
      </c>
      <c r="X909" s="81">
        <f>IFERROR(VLOOKUP(Tableau119[[#This Row],[Key(Compte ILN - shipper - POL - plant)]],'DATA ILN'!A:P,16,FALSE),VLOOKUP(Tableau119[[#This Row],[Key(Compte ILN - shipper - POL)]],'DATA ILN'!B:P,15,FALSE))</f>
        <v>5</v>
      </c>
      <c r="Y909" s="102" t="s">
        <v>176</v>
      </c>
      <c r="Z909" s="417">
        <f>IFERROR(VLOOKUP(Tableau119[[#This Row],[Name Shipper]],Plant_AILN!L:M,2,FALSE),0)</f>
        <v>261427</v>
      </c>
      <c r="AA909" s="416">
        <v>1000</v>
      </c>
      <c r="AB909" s="396" t="str">
        <f>_xlfn.XLOOKUP(Tableau119[[#This Row],[Key(ID-date)]],'DATA BTO'!S:S,'DATA BTO'!E:E,FALSE)</f>
        <v>MXLZC</v>
      </c>
      <c r="AC909" s="3" t="str">
        <f>_xlfn.XLOOKUP(Tableau119[[#This Row],[Key(ID-date)]],'DATA BTO'!S:S,'DATA BTO'!F:F,FALSE)</f>
        <v>Hapag Lloyd</v>
      </c>
      <c r="AD909" s="50">
        <f>_xlfn.XLOOKUP(Tableau119[[#This Row],[Key(ID-date)]],'DATA BTO'!S:S,'DATA BTO'!G:G,FALSE)</f>
        <v>5</v>
      </c>
      <c r="AE909" s="50">
        <f>_xlfn.XLOOKUP(Tableau119[[#This Row],[Key(ID-date)]],'DATA BTO'!S:S,'DATA BTO'!H:H,FALSE)</f>
        <v>7</v>
      </c>
      <c r="AF909" s="447">
        <f>IF(Tableau119[[#This Row],[First Day to POL]]&lt;=Tableau119[[#This Row],[Day Cut Off]],Tableau119[[#This Row],[Day ETD]],Tableau119[[#This Row],[Day ETD]]+7)</f>
        <v>7</v>
      </c>
      <c r="AG909" s="50">
        <f>_xlfn.XLOOKUP(Tableau119[[#This Row],[Key(ID-date)]],'DATA BTO'!S:S,'DATA BTO'!I:I,FALSE)</f>
        <v>22</v>
      </c>
      <c r="AH909" s="3" t="str">
        <f>_xlfn.XLOOKUP(Tableau119[[#This Row],[Key(ID-date)]],'DATA BTO'!S:S,'DATA BTO'!J:J,FALSE)</f>
        <v>KRPUS</v>
      </c>
      <c r="AI909" s="3">
        <f>_xlfn.XLOOKUP(Tableau119[[#This Row],[Key(ID-date)]],'DATA BTO'!S:S,'DATA BTO'!K:K,FALSE)</f>
        <v>3</v>
      </c>
      <c r="AJ909" s="50">
        <f>_xlfn.XLOOKUP(Tableau119[[#This Row],[Key(ID-date)]],'DATA BTO'!S:S,'DATA BTO'!L:L,FALSE)</f>
        <v>0</v>
      </c>
      <c r="AK909" s="53" t="str">
        <f>_xlfn.XLOOKUP(Tableau119[[#This Row],[Key(ID-date)]],'DATA BTO'!S:S,'DATA BTO'!N:N,FALSE)</f>
        <v>Max</v>
      </c>
      <c r="AL909" s="54">
        <f>VLOOKUP(Tableau119[[#This Row],[Key(POD -PFI- Usine)]],'DATA Consignee'!A:F,6,FALSE)</f>
        <v>2</v>
      </c>
      <c r="AM909" s="138"/>
      <c r="AN909" s="375" t="str">
        <f>IF(Tableau119[[#This Row],[Name PFI/CDD]]="","-",VLOOKUP(Tableau119[[#This Row],[Name PFI/CDD]],Plant_AILN!I:J,2,FALSE))</f>
        <v>-</v>
      </c>
      <c r="AO90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0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09" s="110">
        <f>VLOOKUP(Tableau119[[#This Row],[Key(POD -PFI- Usine)]],'DATA Consignee'!A:J,10,FALSE)</f>
        <v>0</v>
      </c>
      <c r="AR909" s="81">
        <f>VLOOKUP(Tableau119[[#This Row],[Key(POD -PFI- Usine)]],'DATA Consignee'!A:N,14,FALSE)</f>
        <v>1</v>
      </c>
      <c r="AS909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09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09" s="81">
        <f>Tableau119[[#This Row],[Transit time]]+Tableau119[[#This Row],[Time for security]]+Tableau119[[#This Row],[Time for security2 buffer]]</f>
        <v>25</v>
      </c>
      <c r="AV90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41</v>
      </c>
      <c r="AW909" s="50">
        <f>Tableau119[[#This Row],[Leadtime SI2C]]+Tableau119[[#This Row],[First Receipt Days]]-Tableau119[[#This Row],[Day Customer Order]]+1</f>
        <v>62</v>
      </c>
      <c r="AX909" s="119">
        <f>IF(Tableau119[[#This Row],[Name ILN]]&lt;&gt;"SFK Freight Forwarder",Tableau119[[#This Row],[Cust. Leadtime]],Tableau119[[#This Row],[Leadtime SI2C]])</f>
        <v>41</v>
      </c>
      <c r="AY909" s="51" t="str">
        <f>_xlfn.XLOOKUP(Tableau119[[#This Row],[Key(ID-date)]],'DATA BTO'!S:S,'DATA BTO'!P:P,FALSE)</f>
        <v>Horse &gt; Renault BPH (MLP)</v>
      </c>
      <c r="AZ909" s="388">
        <v>46142</v>
      </c>
      <c r="BA909" s="81"/>
    </row>
    <row r="910" spans="2:53">
      <c r="B910" s="446" t="str">
        <f>_xlfn.CONCAT(Tableau119[[#This Row],[Name ILN]],"-",Tableau119[[#This Row],[Name Shipper]],"-",Tableau119[[#This Row],[Name Site]])</f>
        <v>SFK Freight Forwarder-Aichikikai Japon-CURITIBA CMO</v>
      </c>
      <c r="C910" s="66" t="str">
        <f>_xlfn.CONCAT(Tableau119[[#This Row],[Compte ILN]],"-",Tableau119[[#This Row],[Compte Shipper]],"-",Tableau119[[#This Row],[POL]],"-",Tableau119[[#This Row],[Compte Consignee]])</f>
        <v>0-11274100-FALSO-90018600</v>
      </c>
      <c r="D910" s="66" t="str">
        <f>_xlfn.CONCAT(Tableau119[[#This Row],[Compte ILN]],"-",Tableau119[[#This Row],[Compte Shipper]],"-",Tableau119[[#This Row],[POL]])</f>
        <v>0-11274100-FALSO</v>
      </c>
      <c r="E910" s="130" t="str">
        <f>_xlfn.CONCAT(Tableau119[[#This Row],[POL]],"-",Tableau119[[#This Row],[Carrier]],"-",Tableau119[[#This Row],[POD]])</f>
        <v>FALSO-FALSO-FALSO</v>
      </c>
      <c r="F910" s="66" t="str">
        <f>_xlfn.CONCAT(Tableau119[[#This Row],[ID]],"-","Actif")</f>
        <v>1001-Actif</v>
      </c>
      <c r="G910" s="66" t="str">
        <f>_xlfn.CONCAT(Tableau119[[#This Row],[POD]],"-",Tableau119[[#This Row],[Code PFI]],"-",Tableau119[[#This Row],[Compte Consignee]])</f>
        <v>FALSO---90018600</v>
      </c>
      <c r="H91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11274100FALSOCURITIBA CMO</v>
      </c>
      <c r="I910" s="434" t="str">
        <f>_xlfn.CONCAT(Tableau119[[#This Row],[ID]],"-",Tableau119[[#This Row],[Expiration Date]])</f>
        <v>1001-46142</v>
      </c>
      <c r="J91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CMO-SFK Freight Forwarder-Aichikikai Japon-1001-FALSO-FALSO-FALSO--46142</v>
      </c>
      <c r="K910" s="119" t="str">
        <f ca="1">IF(COUNTIF(J:J,Tableau119[[#This Row],[Plant-ILN-shipper-POL-Carrier-POD-PFI]])=1,"Non","Oui")</f>
        <v>Non</v>
      </c>
      <c r="L910" s="128" t="str">
        <f>VLOOKUP(Tableau119[[#This Row],[Name Site]],Plant_AILN!A:D,4,FALSE)</f>
        <v>BRAZIL</v>
      </c>
      <c r="M910" s="411" t="s">
        <v>174</v>
      </c>
      <c r="N910" s="454">
        <f>VLOOKUP(Tableau119[[#This Row],[Name Site]],Plant_AILN!A:C,3,FALSE)</f>
        <v>90018600</v>
      </c>
      <c r="O910" s="55">
        <f>IF(Tableau119[[#This Row],[Name PFI/CDD]]="PFI VLL",2,VLOOKUP(Tableau119[[#This Row],[Compte Consignee]],Order!C:D,2,FALSE))</f>
        <v>7</v>
      </c>
      <c r="P910" s="124" t="s">
        <v>146</v>
      </c>
      <c r="Q910" s="365">
        <f>VLOOKUP(Tableau119[[#This Row],[Name ILN]],Plant_AILN!F:G,2,FALSE)</f>
        <v>0</v>
      </c>
      <c r="R910" s="50">
        <f>VLOOKUP(Tableau119[[#This Row],[Compte ILN]],'DATA ILN'!D:I,6,FALSE)</f>
        <v>9</v>
      </c>
      <c r="S910" s="50" t="e">
        <f>IFERROR(VLOOKUP(Tableau119[[#This Row],[Key(Compte ILN - shipper - POL - plant)]],'DATA ILN'!A:J,10,FALSE),VLOOKUP(Tableau119[[#This Row],[Key(Compte ILN - shipper - POL)]],'DATA ILN'!B:J,9,FALSE))</f>
        <v>#N/A</v>
      </c>
      <c r="T910" s="50" t="e">
        <f>IFERROR(VLOOKUP(Tableau119[[#This Row],[Key(Compte ILN - shipper - POL - plant)]],'DATA ILN'!A:K,11,FALSE),VLOOKUP(Tableau119[[#This Row],[Key(Compte ILN - shipper - POL)]],'DATA ILN'!B:K,10,FALSE))</f>
        <v>#N/A</v>
      </c>
      <c r="U910" s="50" t="e">
        <f>IFERROR(VLOOKUP(Tableau119[[#This Row],[Key(Compte ILN - shipper - POL - plant)]],'DATA ILN'!A:L,12,FALSE),VLOOKUP(Tableau119[[#This Row],[Key(Compte ILN - shipper - POL)]],'DATA ILN'!B:L,11,FALSE))</f>
        <v>#N/A</v>
      </c>
      <c r="V910" s="50" t="e">
        <f>Tableau119[[#This Row],[Day ILN Order]]+Tableau119[[#This Row],[Delivery time to ILN/Shipper]]-1</f>
        <v>#N/A</v>
      </c>
      <c r="W910" s="50" t="e">
        <f>IFERROR(VLOOKUP(Tableau119[[#This Row],[Key(Compte ILN - shipper - POL - plant)]],'DATA ILN'!A:N,14,FALSE),VLOOKUP(Tableau119[[#This Row],[Key(Compte ILN - shipper - POL)]],'DATA ILN'!B:N,13,FALSE))</f>
        <v>#N/A</v>
      </c>
      <c r="X910" s="50" t="e">
        <f>IFERROR(VLOOKUP(Tableau119[[#This Row],[Key(Compte ILN - shipper - POL - plant)]],'DATA ILN'!A:P,16,FALSE),VLOOKUP(Tableau119[[#This Row],[Key(Compte ILN - shipper - POL)]],'DATA ILN'!B:P,15,FALSE))</f>
        <v>#N/A</v>
      </c>
      <c r="Y910" s="471" t="s">
        <v>458</v>
      </c>
      <c r="Z910" s="430">
        <f>IFERROR(VLOOKUP(Tableau119[[#This Row],[Name Shipper]],Plant_AILN!L:M,2,FALSE),0)</f>
        <v>11274100</v>
      </c>
      <c r="AA910" s="406">
        <v>1001</v>
      </c>
      <c r="AB910" s="396" t="b">
        <f>_xlfn.XLOOKUP(Tableau119[[#This Row],[Key(ID-date)]],'DATA BTO'!S:S,'DATA BTO'!E:E,FALSE)</f>
        <v>0</v>
      </c>
      <c r="AC910" s="3" t="b">
        <f>_xlfn.XLOOKUP(Tableau119[[#This Row],[Key(ID-date)]],'DATA BTO'!S:S,'DATA BTO'!F:F,FALSE)</f>
        <v>0</v>
      </c>
      <c r="AD910" s="50" t="b">
        <f>_xlfn.XLOOKUP(Tableau119[[#This Row],[Key(ID-date)]],'DATA BTO'!S:S,'DATA BTO'!G:G,FALSE)</f>
        <v>0</v>
      </c>
      <c r="AE910" s="50" t="b">
        <f>_xlfn.XLOOKUP(Tableau119[[#This Row],[Key(ID-date)]],'DATA BTO'!S:S,'DATA BTO'!H:H,FALSE)</f>
        <v>0</v>
      </c>
      <c r="AF910" s="447" t="e">
        <f>IF(Tableau119[[#This Row],[First Day to POL]]&lt;=Tableau119[[#This Row],[Day Cut Off]],Tableau119[[#This Row],[Day ETD]],Tableau119[[#This Row],[Day ETD]]+7)</f>
        <v>#N/A</v>
      </c>
      <c r="AG910" s="50" t="b">
        <f>_xlfn.XLOOKUP(Tableau119[[#This Row],[Key(ID-date)]],'DATA BTO'!S:S,'DATA BTO'!I:I,FALSE)</f>
        <v>0</v>
      </c>
      <c r="AH910" s="3" t="b">
        <f>_xlfn.XLOOKUP(Tableau119[[#This Row],[Key(ID-date)]],'DATA BTO'!S:S,'DATA BTO'!J:J,FALSE)</f>
        <v>0</v>
      </c>
      <c r="AI910" s="3" t="b">
        <f>_xlfn.XLOOKUP(Tableau119[[#This Row],[Key(ID-date)]],'DATA BTO'!S:S,'DATA BTO'!K:K,FALSE)</f>
        <v>0</v>
      </c>
      <c r="AJ910" s="50" t="b">
        <f>_xlfn.XLOOKUP(Tableau119[[#This Row],[Key(ID-date)]],'DATA BTO'!S:S,'DATA BTO'!L:L,FALSE)</f>
        <v>0</v>
      </c>
      <c r="AK910" s="53" t="b">
        <f>_xlfn.XLOOKUP(Tableau119[[#This Row],[Key(ID-date)]],'DATA BTO'!S:S,'DATA BTO'!N:N,FALSE)</f>
        <v>0</v>
      </c>
      <c r="AL910" s="54" t="e">
        <f>VLOOKUP(Tableau119[[#This Row],[Key(POD -PFI- Usine)]],'DATA Consignee'!A:F,6,FALSE)</f>
        <v>#N/A</v>
      </c>
      <c r="AM910" s="284"/>
      <c r="AN910" s="376" t="str">
        <f>IF(Tableau119[[#This Row],[Name PFI/CDD]]="","-",VLOOKUP(Tableau119[[#This Row],[Name PFI/CDD]],Plant_AILN!I:J,2,FALSE))</f>
        <v>-</v>
      </c>
      <c r="AO91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0" s="2" t="e">
        <f>VLOOKUP(Tableau119[[#This Row],[Key(POD -PFI- Usine)]],'DATA Consignee'!A:J,10,FALSE)</f>
        <v>#N/A</v>
      </c>
      <c r="AR910" s="50" t="e">
        <f>VLOOKUP(Tableau119[[#This Row],[Key(POD -PFI- Usine)]],'DATA Consignee'!A:N,14,FALSE)</f>
        <v>#N/A</v>
      </c>
      <c r="AS91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0" s="50">
        <f>Tableau119[[#This Row],[Transit time]]+Tableau119[[#This Row],[Time for security]]+Tableau119[[#This Row],[Time for security2 buffer]]</f>
        <v>0</v>
      </c>
      <c r="AV91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0" s="50" t="e">
        <f>Tableau119[[#This Row],[Leadtime SI2C]]+Tableau119[[#This Row],[First Receipt Days]]-Tableau119[[#This Row],[Day Customer Order]]+1</f>
        <v>#N/A</v>
      </c>
      <c r="AX910" s="119" t="e">
        <f>IF(Tableau119[[#This Row],[Name ILN]]&lt;&gt;"SFK Freight Forwarder",Tableau119[[#This Row],[Cust. Leadtime]],Tableau119[[#This Row],[Leadtime SI2C]])</f>
        <v>#N/A</v>
      </c>
      <c r="AY910" s="51" t="b">
        <f>_xlfn.XLOOKUP(Tableau119[[#This Row],[Key(ID-date)]],'DATA BTO'!S:S,'DATA BTO'!P:P,FALSE)</f>
        <v>0</v>
      </c>
      <c r="AZ910" s="338">
        <v>46142</v>
      </c>
      <c r="BA910" s="50"/>
    </row>
    <row r="911" spans="2:53">
      <c r="B911" s="446" t="str">
        <f>_xlfn.CONCAT(Tableau119[[#This Row],[Name ILN]],"-",Tableau119[[#This Row],[Name Shipper]],"-",Tableau119[[#This Row],[Name Site]])</f>
        <v>SFK Freight Forwarder-Aichikikai Japon-PALENCIA</v>
      </c>
      <c r="C911" s="66" t="str">
        <f>_xlfn.CONCAT(Tableau119[[#This Row],[Compte ILN]],"-",Tableau119[[#This Row],[Compte Shipper]],"-",Tableau119[[#This Row],[POL]],"-",Tableau119[[#This Row],[Compte Consignee]])</f>
        <v>0-11274100-FALSO-91017200</v>
      </c>
      <c r="D911" s="66" t="str">
        <f>_xlfn.CONCAT(Tableau119[[#This Row],[Compte ILN]],"-",Tableau119[[#This Row],[Compte Shipper]],"-",Tableau119[[#This Row],[POL]])</f>
        <v>0-11274100-FALSO</v>
      </c>
      <c r="E911" s="130" t="str">
        <f>_xlfn.CONCAT(Tableau119[[#This Row],[POL]],"-",Tableau119[[#This Row],[Carrier]],"-",Tableau119[[#This Row],[POD]])</f>
        <v>FALSO-FALSO-FALSO</v>
      </c>
      <c r="F911" s="66" t="str">
        <f>_xlfn.CONCAT(Tableau119[[#This Row],[ID]],"-","Actif")</f>
        <v>1002-Actif</v>
      </c>
      <c r="G911" s="66" t="str">
        <f>_xlfn.CONCAT(Tableau119[[#This Row],[POD]],"-",Tableau119[[#This Row],[Code PFI]],"-",Tableau119[[#This Row],[Compte Consignee]])</f>
        <v>FALSO-91018400-91017200</v>
      </c>
      <c r="H91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11274100FALSOPALENCIA</v>
      </c>
      <c r="I911" s="434" t="str">
        <f>_xlfn.CONCAT(Tableau119[[#This Row],[ID]],"-",Tableau119[[#This Row],[Expiration Date]])</f>
        <v>1002-46142</v>
      </c>
      <c r="J91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Forwarder-Aichikikai Japon-1002-FALSO-FALSO-FALSO-CDD VLL-46142</v>
      </c>
      <c r="K911" s="119" t="str">
        <f ca="1">IF(COUNTIF(J:J,Tableau119[[#This Row],[Plant-ILN-shipper-POL-Carrier-POD-PFI]])=1,"Non","Oui")</f>
        <v>Non</v>
      </c>
      <c r="L911" s="128" t="str">
        <f>VLOOKUP(Tableau119[[#This Row],[Name Site]],Plant_AILN!A:D,4,FALSE)</f>
        <v>SPAIN</v>
      </c>
      <c r="M911" s="415" t="s">
        <v>184</v>
      </c>
      <c r="N911" s="455">
        <f>VLOOKUP(Tableau119[[#This Row],[Name Site]],Plant_AILN!A:C,3,FALSE)</f>
        <v>91017200</v>
      </c>
      <c r="O911" s="104">
        <f>IF(Tableau119[[#This Row],[Name PFI/CDD]]="PFI VLL",2,VLOOKUP(Tableau119[[#This Row],[Compte Consignee]],Order!C:D,2,FALSE))</f>
        <v>7</v>
      </c>
      <c r="P911" s="126" t="s">
        <v>146</v>
      </c>
      <c r="Q911" s="366">
        <f>VLOOKUP(Tableau119[[#This Row],[Name ILN]],Plant_AILN!F:G,2,FALSE)</f>
        <v>0</v>
      </c>
      <c r="R911" s="81">
        <f>VLOOKUP(Tableau119[[#This Row],[Compte ILN]],'DATA ILN'!D:I,6,FALSE)</f>
        <v>9</v>
      </c>
      <c r="S911" s="81" t="e">
        <f>IFERROR(VLOOKUP(Tableau119[[#This Row],[Key(Compte ILN - shipper - POL - plant)]],'DATA ILN'!A:J,10,FALSE),VLOOKUP(Tableau119[[#This Row],[Key(Compte ILN - shipper - POL)]],'DATA ILN'!B:J,9,FALSE))</f>
        <v>#N/A</v>
      </c>
      <c r="T911" s="81" t="e">
        <f>IFERROR(VLOOKUP(Tableau119[[#This Row],[Key(Compte ILN - shipper - POL - plant)]],'DATA ILN'!A:K,11,FALSE),VLOOKUP(Tableau119[[#This Row],[Key(Compte ILN - shipper - POL)]],'DATA ILN'!B:K,10,FALSE))</f>
        <v>#N/A</v>
      </c>
      <c r="U911" s="81" t="e">
        <f>IFERROR(VLOOKUP(Tableau119[[#This Row],[Key(Compte ILN - shipper - POL - plant)]],'DATA ILN'!A:L,12,FALSE),VLOOKUP(Tableau119[[#This Row],[Key(Compte ILN - shipper - POL)]],'DATA ILN'!B:L,11,FALSE))</f>
        <v>#N/A</v>
      </c>
      <c r="V911" s="81" t="e">
        <f>Tableau119[[#This Row],[Day ILN Order]]+Tableau119[[#This Row],[Delivery time to ILN/Shipper]]-1</f>
        <v>#N/A</v>
      </c>
      <c r="W911" s="81" t="e">
        <f>IFERROR(VLOOKUP(Tableau119[[#This Row],[Key(Compte ILN - shipper - POL - plant)]],'DATA ILN'!A:N,14,FALSE),VLOOKUP(Tableau119[[#This Row],[Key(Compte ILN - shipper - POL)]],'DATA ILN'!B:N,13,FALSE))</f>
        <v>#N/A</v>
      </c>
      <c r="X911" s="81" t="e">
        <f>IFERROR(VLOOKUP(Tableau119[[#This Row],[Key(Compte ILN - shipper - POL - plant)]],'DATA ILN'!A:P,16,FALSE),VLOOKUP(Tableau119[[#This Row],[Key(Compte ILN - shipper - POL)]],'DATA ILN'!B:P,15,FALSE))</f>
        <v>#N/A</v>
      </c>
      <c r="Y911" s="495" t="s">
        <v>458</v>
      </c>
      <c r="Z911" s="417">
        <f>IFERROR(VLOOKUP(Tableau119[[#This Row],[Name Shipper]],Plant_AILN!L:M,2,FALSE),0)</f>
        <v>11274100</v>
      </c>
      <c r="AA911" s="416">
        <v>1002</v>
      </c>
      <c r="AB911" s="396" t="b">
        <f>_xlfn.XLOOKUP(Tableau119[[#This Row],[Key(ID-date)]],'DATA BTO'!S:S,'DATA BTO'!E:E,FALSE)</f>
        <v>0</v>
      </c>
      <c r="AC911" s="3" t="b">
        <f>_xlfn.XLOOKUP(Tableau119[[#This Row],[Key(ID-date)]],'DATA BTO'!S:S,'DATA BTO'!F:F,FALSE)</f>
        <v>0</v>
      </c>
      <c r="AD911" s="50" t="b">
        <f>_xlfn.XLOOKUP(Tableau119[[#This Row],[Key(ID-date)]],'DATA BTO'!S:S,'DATA BTO'!G:G,FALSE)</f>
        <v>0</v>
      </c>
      <c r="AE911" s="50" t="b">
        <f>_xlfn.XLOOKUP(Tableau119[[#This Row],[Key(ID-date)]],'DATA BTO'!S:S,'DATA BTO'!H:H,FALSE)</f>
        <v>0</v>
      </c>
      <c r="AF911" s="447" t="e">
        <f>IF(Tableau119[[#This Row],[First Day to POL]]&lt;=Tableau119[[#This Row],[Day Cut Off]],Tableau119[[#This Row],[Day ETD]],Tableau119[[#This Row],[Day ETD]]+7)</f>
        <v>#N/A</v>
      </c>
      <c r="AG911" s="50" t="b">
        <f>_xlfn.XLOOKUP(Tableau119[[#This Row],[Key(ID-date)]],'DATA BTO'!S:S,'DATA BTO'!I:I,FALSE)</f>
        <v>0</v>
      </c>
      <c r="AH911" s="3" t="b">
        <f>_xlfn.XLOOKUP(Tableau119[[#This Row],[Key(ID-date)]],'DATA BTO'!S:S,'DATA BTO'!J:J,FALSE)</f>
        <v>0</v>
      </c>
      <c r="AI911" s="3" t="b">
        <f>_xlfn.XLOOKUP(Tableau119[[#This Row],[Key(ID-date)]],'DATA BTO'!S:S,'DATA BTO'!K:K,FALSE)</f>
        <v>0</v>
      </c>
      <c r="AJ911" s="50" t="b">
        <f>_xlfn.XLOOKUP(Tableau119[[#This Row],[Key(ID-date)]],'DATA BTO'!S:S,'DATA BTO'!L:L,FALSE)</f>
        <v>0</v>
      </c>
      <c r="AK911" s="53" t="b">
        <f>_xlfn.XLOOKUP(Tableau119[[#This Row],[Key(ID-date)]],'DATA BTO'!S:S,'DATA BTO'!N:N,FALSE)</f>
        <v>0</v>
      </c>
      <c r="AL911" s="54" t="e">
        <f>VLOOKUP(Tableau119[[#This Row],[Key(POD -PFI- Usine)]],'DATA Consignee'!A:F,6,FALSE)</f>
        <v>#N/A</v>
      </c>
      <c r="AM911" s="102" t="s">
        <v>169</v>
      </c>
      <c r="AN911" s="375">
        <f>IF(Tableau119[[#This Row],[Name PFI/CDD]]="","-",VLOOKUP(Tableau119[[#This Row],[Name PFI/CDD]],Plant_AILN!I:J,2,FALSE))</f>
        <v>91018400</v>
      </c>
      <c r="AO911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11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11" s="110" t="e">
        <f>VLOOKUP(Tableau119[[#This Row],[Key(POD -PFI- Usine)]],'DATA Consignee'!A:J,10,FALSE)</f>
        <v>#N/A</v>
      </c>
      <c r="AR911" s="81" t="e">
        <f>VLOOKUP(Tableau119[[#This Row],[Key(POD -PFI- Usine)]],'DATA Consignee'!A:N,14,FALSE)</f>
        <v>#N/A</v>
      </c>
      <c r="AS91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1" s="81">
        <f>Tableau119[[#This Row],[Transit time]]+Tableau119[[#This Row],[Time for security]]+Tableau119[[#This Row],[Time for security2 buffer]]</f>
        <v>0</v>
      </c>
      <c r="AV91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1" s="50" t="e">
        <f>Tableau119[[#This Row],[Leadtime SI2C]]+Tableau119[[#This Row],[First Receipt Days]]-Tableau119[[#This Row],[Day Customer Order]]+1</f>
        <v>#N/A</v>
      </c>
      <c r="AX911" s="119" t="e">
        <f>IF(Tableau119[[#This Row],[Name ILN]]&lt;&gt;"SFK Freight Forwarder",Tableau119[[#This Row],[Cust. Leadtime]],Tableau119[[#This Row],[Leadtime SI2C]])</f>
        <v>#N/A</v>
      </c>
      <c r="AY911" s="51" t="b">
        <f>_xlfn.XLOOKUP(Tableau119[[#This Row],[Key(ID-date)]],'DATA BTO'!S:S,'DATA BTO'!P:P,FALSE)</f>
        <v>0</v>
      </c>
      <c r="AZ911" s="388">
        <v>46142</v>
      </c>
      <c r="BA911" s="81"/>
    </row>
    <row r="912" spans="2:53">
      <c r="B912" s="446" t="str">
        <f>_xlfn.CONCAT(Tableau119[[#This Row],[Name ILN]],"-",Tableau119[[#This Row],[Name Shipper]],"-",Tableau119[[#This Row],[Name Site]])</f>
        <v>SFK Freight Forwarder-Aichikikai Japon-RKM</v>
      </c>
      <c r="C912" s="66" t="str">
        <f>_xlfn.CONCAT(Tableau119[[#This Row],[Compte ILN]],"-",Tableau119[[#This Row],[Compte Shipper]],"-",Tableau119[[#This Row],[POL]],"-",Tableau119[[#This Row],[Compte Consignee]])</f>
        <v>0-11274100-FALSO-92002200</v>
      </c>
      <c r="D912" s="66" t="str">
        <f>_xlfn.CONCAT(Tableau119[[#This Row],[Compte ILN]],"-",Tableau119[[#This Row],[Compte Shipper]],"-",Tableau119[[#This Row],[POL]])</f>
        <v>0-11274100-FALSO</v>
      </c>
      <c r="E912" s="130" t="str">
        <f>_xlfn.CONCAT(Tableau119[[#This Row],[POL]],"-",Tableau119[[#This Row],[Carrier]],"-",Tableau119[[#This Row],[POD]])</f>
        <v>FALSO-FALSO-FALSO</v>
      </c>
      <c r="F912" s="66" t="str">
        <f>_xlfn.CONCAT(Tableau119[[#This Row],[ID]],"-","Actif")</f>
        <v>1003-Actif</v>
      </c>
      <c r="G912" s="66" t="str">
        <f>_xlfn.CONCAT(Tableau119[[#This Row],[POD]],"-",Tableau119[[#This Row],[Code PFI]],"-",Tableau119[[#This Row],[Compte Consignee]])</f>
        <v>FALSO---92002200</v>
      </c>
      <c r="H91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11274100FALSORKM</v>
      </c>
      <c r="I912" s="434" t="str">
        <f>_xlfn.CONCAT(Tableau119[[#This Row],[ID]],"-",Tableau119[[#This Row],[Expiration Date]])</f>
        <v>1003-46142</v>
      </c>
      <c r="J91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RKM-SFK Freight Forwarder-Aichikikai Japon-1003-FALSO-FALSO-FALSO--46142</v>
      </c>
      <c r="K912" s="119" t="str">
        <f ca="1">IF(COUNTIF(J:J,Tableau119[[#This Row],[Plant-ILN-shipper-POL-Carrier-POD-PFI]])=1,"Non","Oui")</f>
        <v>Non</v>
      </c>
      <c r="L912" s="128" t="str">
        <f>VLOOKUP(Tableau119[[#This Row],[Name Site]],Plant_AILN!A:D,4,FALSE)</f>
        <v>KOREA</v>
      </c>
      <c r="M912" s="411" t="s">
        <v>145</v>
      </c>
      <c r="N912" s="454">
        <f>VLOOKUP(Tableau119[[#This Row],[Name Site]],Plant_AILN!A:C,3,FALSE)</f>
        <v>92002200</v>
      </c>
      <c r="O912" s="55">
        <f>IF(Tableau119[[#This Row],[Name PFI/CDD]]="PFI VLL",2,VLOOKUP(Tableau119[[#This Row],[Compte Consignee]],Order!C:D,2,FALSE))</f>
        <v>2</v>
      </c>
      <c r="P912" s="124" t="s">
        <v>146</v>
      </c>
      <c r="Q912" s="365">
        <f>VLOOKUP(Tableau119[[#This Row],[Name ILN]],Plant_AILN!F:G,2,FALSE)</f>
        <v>0</v>
      </c>
      <c r="R912" s="50">
        <f>VLOOKUP(Tableau119[[#This Row],[Compte ILN]],'DATA ILN'!D:I,6,FALSE)</f>
        <v>9</v>
      </c>
      <c r="S912" s="50" t="e">
        <f>IFERROR(VLOOKUP(Tableau119[[#This Row],[Key(Compte ILN - shipper - POL - plant)]],'DATA ILN'!A:J,10,FALSE),VLOOKUP(Tableau119[[#This Row],[Key(Compte ILN - shipper - POL)]],'DATA ILN'!B:J,9,FALSE))</f>
        <v>#N/A</v>
      </c>
      <c r="T912" s="50" t="e">
        <f>IFERROR(VLOOKUP(Tableau119[[#This Row],[Key(Compte ILN - shipper - POL - plant)]],'DATA ILN'!A:K,11,FALSE),VLOOKUP(Tableau119[[#This Row],[Key(Compte ILN - shipper - POL)]],'DATA ILN'!B:K,10,FALSE))</f>
        <v>#N/A</v>
      </c>
      <c r="U912" s="50" t="e">
        <f>IFERROR(VLOOKUP(Tableau119[[#This Row],[Key(Compte ILN - shipper - POL - plant)]],'DATA ILN'!A:L,12,FALSE),VLOOKUP(Tableau119[[#This Row],[Key(Compte ILN - shipper - POL)]],'DATA ILN'!B:L,11,FALSE))</f>
        <v>#N/A</v>
      </c>
      <c r="V912" s="50" t="e">
        <f>Tableau119[[#This Row],[Day ILN Order]]+Tableau119[[#This Row],[Delivery time to ILN/Shipper]]-1</f>
        <v>#N/A</v>
      </c>
      <c r="W912" s="50" t="e">
        <f>IFERROR(VLOOKUP(Tableau119[[#This Row],[Key(Compte ILN - shipper - POL - plant)]],'DATA ILN'!A:N,14,FALSE),VLOOKUP(Tableau119[[#This Row],[Key(Compte ILN - shipper - POL)]],'DATA ILN'!B:N,13,FALSE))</f>
        <v>#N/A</v>
      </c>
      <c r="X912" s="50" t="e">
        <f>IFERROR(VLOOKUP(Tableau119[[#This Row],[Key(Compte ILN - shipper - POL - plant)]],'DATA ILN'!A:P,16,FALSE),VLOOKUP(Tableau119[[#This Row],[Key(Compte ILN - shipper - POL)]],'DATA ILN'!B:P,15,FALSE))</f>
        <v>#N/A</v>
      </c>
      <c r="Y912" s="471" t="s">
        <v>458</v>
      </c>
      <c r="Z912" s="430">
        <f>IFERROR(VLOOKUP(Tableau119[[#This Row],[Name Shipper]],Plant_AILN!L:M,2,FALSE),0)</f>
        <v>11274100</v>
      </c>
      <c r="AA912" s="406">
        <v>1003</v>
      </c>
      <c r="AB912" s="396" t="b">
        <f>_xlfn.XLOOKUP(Tableau119[[#This Row],[Key(ID-date)]],'DATA BTO'!S:S,'DATA BTO'!E:E,FALSE)</f>
        <v>0</v>
      </c>
      <c r="AC912" s="3" t="b">
        <f>_xlfn.XLOOKUP(Tableau119[[#This Row],[Key(ID-date)]],'DATA BTO'!S:S,'DATA BTO'!F:F,FALSE)</f>
        <v>0</v>
      </c>
      <c r="AD912" s="50" t="b">
        <f>_xlfn.XLOOKUP(Tableau119[[#This Row],[Key(ID-date)]],'DATA BTO'!S:S,'DATA BTO'!G:G,FALSE)</f>
        <v>0</v>
      </c>
      <c r="AE912" s="50" t="b">
        <f>_xlfn.XLOOKUP(Tableau119[[#This Row],[Key(ID-date)]],'DATA BTO'!S:S,'DATA BTO'!H:H,FALSE)</f>
        <v>0</v>
      </c>
      <c r="AF912" s="447" t="e">
        <f>IF(Tableau119[[#This Row],[First Day to POL]]&lt;=Tableau119[[#This Row],[Day Cut Off]],Tableau119[[#This Row],[Day ETD]],Tableau119[[#This Row],[Day ETD]]+7)</f>
        <v>#N/A</v>
      </c>
      <c r="AG912" s="50" t="b">
        <f>_xlfn.XLOOKUP(Tableau119[[#This Row],[Key(ID-date)]],'DATA BTO'!S:S,'DATA BTO'!I:I,FALSE)</f>
        <v>0</v>
      </c>
      <c r="AH912" s="3" t="b">
        <f>_xlfn.XLOOKUP(Tableau119[[#This Row],[Key(ID-date)]],'DATA BTO'!S:S,'DATA BTO'!J:J,FALSE)</f>
        <v>0</v>
      </c>
      <c r="AI912" s="3" t="b">
        <f>_xlfn.XLOOKUP(Tableau119[[#This Row],[Key(ID-date)]],'DATA BTO'!S:S,'DATA BTO'!K:K,FALSE)</f>
        <v>0</v>
      </c>
      <c r="AJ912" s="50" t="b">
        <f>_xlfn.XLOOKUP(Tableau119[[#This Row],[Key(ID-date)]],'DATA BTO'!S:S,'DATA BTO'!L:L,FALSE)</f>
        <v>0</v>
      </c>
      <c r="AK912" s="53" t="b">
        <f>_xlfn.XLOOKUP(Tableau119[[#This Row],[Key(ID-date)]],'DATA BTO'!S:S,'DATA BTO'!N:N,FALSE)</f>
        <v>0</v>
      </c>
      <c r="AL912" s="54" t="e">
        <f>VLOOKUP(Tableau119[[#This Row],[Key(POD -PFI- Usine)]],'DATA Consignee'!A:F,6,FALSE)</f>
        <v>#N/A</v>
      </c>
      <c r="AM912" s="284"/>
      <c r="AN912" s="376" t="str">
        <f>IF(Tableau119[[#This Row],[Name PFI/CDD]]="","-",VLOOKUP(Tableau119[[#This Row],[Name PFI/CDD]],Plant_AILN!I:J,2,FALSE))</f>
        <v>-</v>
      </c>
      <c r="AO91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2" s="2" t="e">
        <f>VLOOKUP(Tableau119[[#This Row],[Key(POD -PFI- Usine)]],'DATA Consignee'!A:J,10,FALSE)</f>
        <v>#N/A</v>
      </c>
      <c r="AR912" s="50" t="e">
        <f>VLOOKUP(Tableau119[[#This Row],[Key(POD -PFI- Usine)]],'DATA Consignee'!A:N,14,FALSE)</f>
        <v>#N/A</v>
      </c>
      <c r="AS91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2" s="50">
        <f>Tableau119[[#This Row],[Transit time]]+Tableau119[[#This Row],[Time for security]]+Tableau119[[#This Row],[Time for security2 buffer]]</f>
        <v>0</v>
      </c>
      <c r="AV91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2" s="50" t="e">
        <f>Tableau119[[#This Row],[Leadtime SI2C]]+Tableau119[[#This Row],[First Receipt Days]]-Tableau119[[#This Row],[Day Customer Order]]+1</f>
        <v>#N/A</v>
      </c>
      <c r="AX912" s="119" t="e">
        <f>IF(Tableau119[[#This Row],[Name ILN]]&lt;&gt;"SFK Freight Forwarder",Tableau119[[#This Row],[Cust. Leadtime]],Tableau119[[#This Row],[Leadtime SI2C]])</f>
        <v>#N/A</v>
      </c>
      <c r="AY912" s="51" t="b">
        <f>_xlfn.XLOOKUP(Tableau119[[#This Row],[Key(ID-date)]],'DATA BTO'!S:S,'DATA BTO'!P:P,FALSE)</f>
        <v>0</v>
      </c>
      <c r="AZ912" s="338">
        <v>46142</v>
      </c>
      <c r="BA912" s="50"/>
    </row>
    <row r="913" spans="2:53">
      <c r="B913" s="446" t="str">
        <f>_xlfn.CONCAT(Tableau119[[#This Row],[Name ILN]],"-",Tableau119[[#This Row],[Name Shipper]],"-",Tableau119[[#This Row],[Name Site]])</f>
        <v>SFK Freight Forwarder-Jatco Japon-SOFASA</v>
      </c>
      <c r="C913" s="66" t="str">
        <f>_xlfn.CONCAT(Tableau119[[#This Row],[Compte ILN]],"-",Tableau119[[#This Row],[Compte Shipper]],"-",Tableau119[[#This Row],[POL]],"-",Tableau119[[#This Row],[Compte Consignee]])</f>
        <v>0-119640-JPSMZ-9510600</v>
      </c>
      <c r="D913" s="66" t="str">
        <f>_xlfn.CONCAT(Tableau119[[#This Row],[Compte ILN]],"-",Tableau119[[#This Row],[Compte Shipper]],"-",Tableau119[[#This Row],[POL]])</f>
        <v>0-119640-JPSMZ</v>
      </c>
      <c r="E913" s="130" t="str">
        <f>_xlfn.CONCAT(Tableau119[[#This Row],[POL]],"-",Tableau119[[#This Row],[Carrier]],"-",Tableau119[[#This Row],[POD]])</f>
        <v>JPSMZ-CMA-CGM-COBUN</v>
      </c>
      <c r="F913" s="66" t="str">
        <f>_xlfn.CONCAT(Tableau119[[#This Row],[ID]],"-","Actif")</f>
        <v>1005-Actif</v>
      </c>
      <c r="G913" s="66" t="str">
        <f>_xlfn.CONCAT(Tableau119[[#This Row],[POD]],"-",Tableau119[[#This Row],[Code PFI]],"-",Tableau119[[#This Row],[Compte Consignee]])</f>
        <v>COBUN---9510600</v>
      </c>
      <c r="H91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119640JPSMZSOFASA</v>
      </c>
      <c r="I913" s="434" t="str">
        <f>_xlfn.CONCAT(Tableau119[[#This Row],[ID]],"-",Tableau119[[#This Row],[Expiration Date]])</f>
        <v>1005-46142</v>
      </c>
      <c r="J91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Forwarder-Jatco Japon-1005-JPSMZ-CMA-CGM-COBUN--46142</v>
      </c>
      <c r="K913" s="119" t="str">
        <f ca="1">IF(COUNTIF(J:J,Tableau119[[#This Row],[Plant-ILN-shipper-POL-Carrier-POD-PFI]])=1,"Non","Oui")</f>
        <v>Non</v>
      </c>
      <c r="L913" s="128" t="str">
        <f>VLOOKUP(Tableau119[[#This Row],[Name Site]],Plant_AILN!A:D,4,FALSE)</f>
        <v>COLOMBIA</v>
      </c>
      <c r="M913" s="411" t="s">
        <v>177</v>
      </c>
      <c r="N913" s="454">
        <f>VLOOKUP(Tableau119[[#This Row],[Name Site]],Plant_AILN!A:C,3,FALSE)</f>
        <v>9510600</v>
      </c>
      <c r="O913" s="55">
        <f>IF(Tableau119[[#This Row],[Name PFI/CDD]]="PFI VLL",2,VLOOKUP(Tableau119[[#This Row],[Compte Consignee]],Order!C:D,2,FALSE))</f>
        <v>7</v>
      </c>
      <c r="P913" s="124" t="s">
        <v>146</v>
      </c>
      <c r="Q913" s="365">
        <f>VLOOKUP(Tableau119[[#This Row],[Name ILN]],Plant_AILN!F:G,2,FALSE)</f>
        <v>0</v>
      </c>
      <c r="R913" s="50">
        <f>VLOOKUP(Tableau119[[#This Row],[Compte ILN]],'DATA ILN'!D:I,6,FALSE)</f>
        <v>9</v>
      </c>
      <c r="S913" s="50">
        <f>IFERROR(VLOOKUP(Tableau119[[#This Row],[Key(Compte ILN - shipper - POL - plant)]],'DATA ILN'!A:J,10,FALSE),VLOOKUP(Tableau119[[#This Row],[Key(Compte ILN - shipper - POL)]],'DATA ILN'!B:J,9,FALSE))</f>
        <v>14</v>
      </c>
      <c r="T913" s="50">
        <f>IFERROR(VLOOKUP(Tableau119[[#This Row],[Key(Compte ILN - shipper - POL - plant)]],'DATA ILN'!A:K,11,FALSE),VLOOKUP(Tableau119[[#This Row],[Key(Compte ILN - shipper - POL)]],'DATA ILN'!B:K,10,FALSE))</f>
        <v>5</v>
      </c>
      <c r="U913" s="50">
        <f>IFERROR(VLOOKUP(Tableau119[[#This Row],[Key(Compte ILN - shipper - POL - plant)]],'DATA ILN'!A:L,12,FALSE),VLOOKUP(Tableau119[[#This Row],[Key(Compte ILN - shipper - POL)]],'DATA ILN'!B:L,11,FALSE))</f>
        <v>7</v>
      </c>
      <c r="V913" s="50">
        <f>Tableau119[[#This Row],[Day ILN Order]]+Tableau119[[#This Row],[Delivery time to ILN/Shipper]]-1</f>
        <v>22</v>
      </c>
      <c r="W913" s="50">
        <f>IFERROR(VLOOKUP(Tableau119[[#This Row],[Key(Compte ILN - shipper - POL - plant)]],'DATA ILN'!A:N,14,FALSE),VLOOKUP(Tableau119[[#This Row],[Key(Compte ILN - shipper - POL)]],'DATA ILN'!B:N,13,FALSE))</f>
        <v>1</v>
      </c>
      <c r="X913" s="50">
        <f>IFERROR(VLOOKUP(Tableau119[[#This Row],[Key(Compte ILN - shipper - POL - plant)]],'DATA ILN'!A:P,16,FALSE),VLOOKUP(Tableau119[[#This Row],[Key(Compte ILN - shipper - POL)]],'DATA ILN'!B:P,15,FALSE))</f>
        <v>3</v>
      </c>
      <c r="Y913" s="284" t="s">
        <v>178</v>
      </c>
      <c r="Z913" s="430">
        <f>IFERROR(VLOOKUP(Tableau119[[#This Row],[Name Shipper]],Plant_AILN!L:M,2,FALSE),0)</f>
        <v>119640</v>
      </c>
      <c r="AA913" s="406">
        <v>1005</v>
      </c>
      <c r="AB913" s="396" t="str">
        <f>_xlfn.XLOOKUP(Tableau119[[#This Row],[Key(ID-date)]],'DATA BTO'!S:S,'DATA BTO'!E:E,FALSE)</f>
        <v>JPSMZ</v>
      </c>
      <c r="AC913" s="3" t="str">
        <f>_xlfn.XLOOKUP(Tableau119[[#This Row],[Key(ID-date)]],'DATA BTO'!S:S,'DATA BTO'!F:F,FALSE)</f>
        <v>CMA-CGM</v>
      </c>
      <c r="AD913" s="50">
        <f>_xlfn.XLOOKUP(Tableau119[[#This Row],[Key(ID-date)]],'DATA BTO'!S:S,'DATA BTO'!G:G,FALSE)</f>
        <v>2</v>
      </c>
      <c r="AE913" s="50">
        <f>_xlfn.XLOOKUP(Tableau119[[#This Row],[Key(ID-date)]],'DATA BTO'!S:S,'DATA BTO'!H:H,FALSE)</f>
        <v>4</v>
      </c>
      <c r="AF913" s="447">
        <f>IF(Tableau119[[#This Row],[First Day to POL]]&lt;=Tableau119[[#This Row],[Day Cut Off]],Tableau119[[#This Row],[Day ETD]],Tableau119[[#This Row],[Day ETD]]+7)</f>
        <v>11</v>
      </c>
      <c r="AG913" s="50">
        <f>_xlfn.XLOOKUP(Tableau119[[#This Row],[Key(ID-date)]],'DATA BTO'!S:S,'DATA BTO'!I:I,FALSE)</f>
        <v>35</v>
      </c>
      <c r="AH913" s="3" t="str">
        <f>_xlfn.XLOOKUP(Tableau119[[#This Row],[Key(ID-date)]],'DATA BTO'!S:S,'DATA BTO'!J:J,FALSE)</f>
        <v>COBUN</v>
      </c>
      <c r="AI913" s="3">
        <f>_xlfn.XLOOKUP(Tableau119[[#This Row],[Key(ID-date)]],'DATA BTO'!S:S,'DATA BTO'!K:K,FALSE)</f>
        <v>3</v>
      </c>
      <c r="AJ913" s="50">
        <f>_xlfn.XLOOKUP(Tableau119[[#This Row],[Key(ID-date)]],'DATA BTO'!S:S,'DATA BTO'!L:L,FALSE)</f>
        <v>7</v>
      </c>
      <c r="AK913" s="53" t="str">
        <f>_xlfn.XLOOKUP(Tableau119[[#This Row],[Key(ID-date)]],'DATA BTO'!S:S,'DATA BTO'!N:N,FALSE)</f>
        <v>Max</v>
      </c>
      <c r="AL913" s="54">
        <f>VLOOKUP(Tableau119[[#This Row],[Key(POD -PFI- Usine)]],'DATA Consignee'!A:F,6,FALSE)</f>
        <v>0</v>
      </c>
      <c r="AM913" s="284"/>
      <c r="AN913" s="376" t="str">
        <f>IF(Tableau119[[#This Row],[Name PFI/CDD]]="","-",VLOOKUP(Tableau119[[#This Row],[Name PFI/CDD]],Plant_AILN!I:J,2,FALSE))</f>
        <v>-</v>
      </c>
      <c r="AO91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3" s="2">
        <f>VLOOKUP(Tableau119[[#This Row],[Key(POD -PFI- Usine)]],'DATA Consignee'!A:J,10,FALSE)</f>
        <v>0</v>
      </c>
      <c r="AR913" s="50">
        <f>VLOOKUP(Tableau119[[#This Row],[Key(POD -PFI- Usine)]],'DATA Consignee'!A:N,14,FALSE)</f>
        <v>0</v>
      </c>
      <c r="AS91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1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13" s="50">
        <f>Tableau119[[#This Row],[Transit time]]+Tableau119[[#This Row],[Time for security]]+Tableau119[[#This Row],[Time for security2 buffer]]</f>
        <v>45</v>
      </c>
      <c r="AV91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13" s="50">
        <f>Tableau119[[#This Row],[Leadtime SI2C]]+Tableau119[[#This Row],[First Receipt Days]]-Tableau119[[#This Row],[Day Customer Order]]+1</f>
        <v>78</v>
      </c>
      <c r="AX913" s="119">
        <f>IF(Tableau119[[#This Row],[Name ILN]]&lt;&gt;"SFK Freight Forwarder",Tableau119[[#This Row],[Cust. Leadtime]],Tableau119[[#This Row],[Leadtime SI2C]])</f>
        <v>62</v>
      </c>
      <c r="AY913" s="51" t="str">
        <f>_xlfn.XLOOKUP(Tableau119[[#This Row],[Key(ID-date)]],'DATA BTO'!S:S,'DATA BTO'!P:P,FALSE)</f>
        <v>Horse &gt; Renault BPH (MLP)</v>
      </c>
      <c r="AZ913" s="338">
        <v>46142</v>
      </c>
      <c r="BA913" s="50"/>
    </row>
    <row r="914" spans="2:53">
      <c r="B914" s="446" t="str">
        <f>_xlfn.CONCAT(Tableau119[[#This Row],[Name ILN]],"-",Tableau119[[#This Row],[Name Shipper]],"-",Tableau119[[#This Row],[Name Site]])</f>
        <v>SFK Freight Forwarder-Jatco Japon-SOMACA</v>
      </c>
      <c r="C914" s="66" t="str">
        <f>_xlfn.CONCAT(Tableau119[[#This Row],[Compte ILN]],"-",Tableau119[[#This Row],[Compte Shipper]],"-",Tableau119[[#This Row],[POL]],"-",Tableau119[[#This Row],[Compte Consignee]])</f>
        <v>0-119640-JPSMZ-90038200</v>
      </c>
      <c r="D914" s="66" t="str">
        <f>_xlfn.CONCAT(Tableau119[[#This Row],[Compte ILN]],"-",Tableau119[[#This Row],[Compte Shipper]],"-",Tableau119[[#This Row],[POL]])</f>
        <v>0-119640-JPSMZ</v>
      </c>
      <c r="E914" s="130" t="str">
        <f>_xlfn.CONCAT(Tableau119[[#This Row],[POL]],"-",Tableau119[[#This Row],[Carrier]],"-",Tableau119[[#This Row],[POD]])</f>
        <v>JPSMZ-CMA-CGM-MACAS</v>
      </c>
      <c r="F914" s="66" t="str">
        <f>_xlfn.CONCAT(Tableau119[[#This Row],[ID]],"-","Actif")</f>
        <v>1006-Actif</v>
      </c>
      <c r="G914" s="66" t="str">
        <f>_xlfn.CONCAT(Tableau119[[#This Row],[POD]],"-",Tableau119[[#This Row],[Code PFI]],"-",Tableau119[[#This Row],[Compte Consignee]])</f>
        <v>MACAS---90038200</v>
      </c>
      <c r="H91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119640JPSMZSOMACA</v>
      </c>
      <c r="I914" s="434" t="str">
        <f>_xlfn.CONCAT(Tableau119[[#This Row],[ID]],"-",Tableau119[[#This Row],[Expiration Date]])</f>
        <v>1006-46142</v>
      </c>
      <c r="J91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Forwarder-Jatco Japon-1006-JPSMZ-CMA-CGM-MACAS--46142</v>
      </c>
      <c r="K914" s="119" t="str">
        <f ca="1">IF(COUNTIF(J:J,Tableau119[[#This Row],[Plant-ILN-shipper-POL-Carrier-POD-PFI]])=1,"Non","Oui")</f>
        <v>Non</v>
      </c>
      <c r="L914" s="128" t="str">
        <f>VLOOKUP(Tableau119[[#This Row],[Name Site]],Plant_AILN!A:D,4,FALSE)</f>
        <v>MOROCCO</v>
      </c>
      <c r="M914" s="415" t="s">
        <v>179</v>
      </c>
      <c r="N914" s="455">
        <f>VLOOKUP(Tableau119[[#This Row],[Name Site]],Plant_AILN!A:C,3,FALSE)</f>
        <v>90038200</v>
      </c>
      <c r="O914" s="104">
        <f>IF(Tableau119[[#This Row],[Name PFI/CDD]]="PFI VLL",2,VLOOKUP(Tableau119[[#This Row],[Compte Consignee]],Order!C:D,2,FALSE))</f>
        <v>7</v>
      </c>
      <c r="P914" s="126" t="s">
        <v>146</v>
      </c>
      <c r="Q914" s="366">
        <f>VLOOKUP(Tableau119[[#This Row],[Name ILN]],Plant_AILN!F:G,2,FALSE)</f>
        <v>0</v>
      </c>
      <c r="R914" s="81">
        <f>VLOOKUP(Tableau119[[#This Row],[Compte ILN]],'DATA ILN'!D:I,6,FALSE)</f>
        <v>9</v>
      </c>
      <c r="S914" s="81">
        <f>IFERROR(VLOOKUP(Tableau119[[#This Row],[Key(Compte ILN - shipper - POL - plant)]],'DATA ILN'!A:J,10,FALSE),VLOOKUP(Tableau119[[#This Row],[Key(Compte ILN - shipper - POL)]],'DATA ILN'!B:J,9,FALSE))</f>
        <v>14</v>
      </c>
      <c r="T914" s="81">
        <f>IFERROR(VLOOKUP(Tableau119[[#This Row],[Key(Compte ILN - shipper - POL - plant)]],'DATA ILN'!A:K,11,FALSE),VLOOKUP(Tableau119[[#This Row],[Key(Compte ILN - shipper - POL)]],'DATA ILN'!B:K,10,FALSE))</f>
        <v>5</v>
      </c>
      <c r="U914" s="81">
        <f>IFERROR(VLOOKUP(Tableau119[[#This Row],[Key(Compte ILN - shipper - POL - plant)]],'DATA ILN'!A:L,12,FALSE),VLOOKUP(Tableau119[[#This Row],[Key(Compte ILN - shipper - POL)]],'DATA ILN'!B:L,11,FALSE))</f>
        <v>7</v>
      </c>
      <c r="V914" s="81">
        <f>Tableau119[[#This Row],[Day ILN Order]]+Tableau119[[#This Row],[Delivery time to ILN/Shipper]]-1</f>
        <v>22</v>
      </c>
      <c r="W914" s="81">
        <f>IFERROR(VLOOKUP(Tableau119[[#This Row],[Key(Compte ILN - shipper - POL - plant)]],'DATA ILN'!A:N,14,FALSE),VLOOKUP(Tableau119[[#This Row],[Key(Compte ILN - shipper - POL)]],'DATA ILN'!B:N,13,FALSE))</f>
        <v>1</v>
      </c>
      <c r="X914" s="81">
        <f>IFERROR(VLOOKUP(Tableau119[[#This Row],[Key(Compte ILN - shipper - POL - plant)]],'DATA ILN'!A:P,16,FALSE),VLOOKUP(Tableau119[[#This Row],[Key(Compte ILN - shipper - POL)]],'DATA ILN'!B:P,15,FALSE))</f>
        <v>3</v>
      </c>
      <c r="Y914" s="102" t="s">
        <v>178</v>
      </c>
      <c r="Z914" s="417">
        <f>IFERROR(VLOOKUP(Tableau119[[#This Row],[Name Shipper]],Plant_AILN!L:M,2,FALSE),0)</f>
        <v>119640</v>
      </c>
      <c r="AA914" s="416">
        <v>1006</v>
      </c>
      <c r="AB914" s="396" t="str">
        <f>_xlfn.XLOOKUP(Tableau119[[#This Row],[Key(ID-date)]],'DATA BTO'!S:S,'DATA BTO'!E:E,FALSE)</f>
        <v>JPSMZ</v>
      </c>
      <c r="AC914" s="3" t="str">
        <f>_xlfn.XLOOKUP(Tableau119[[#This Row],[Key(ID-date)]],'DATA BTO'!S:S,'DATA BTO'!F:F,FALSE)</f>
        <v>CMA-CGM</v>
      </c>
      <c r="AD914" s="50">
        <f>_xlfn.XLOOKUP(Tableau119[[#This Row],[Key(ID-date)]],'DATA BTO'!S:S,'DATA BTO'!G:G,FALSE)</f>
        <v>2</v>
      </c>
      <c r="AE914" s="50">
        <f>_xlfn.XLOOKUP(Tableau119[[#This Row],[Key(ID-date)]],'DATA BTO'!S:S,'DATA BTO'!H:H,FALSE)</f>
        <v>4</v>
      </c>
      <c r="AF914" s="447">
        <f>IF(Tableau119[[#This Row],[First Day to POL]]&lt;=Tableau119[[#This Row],[Day Cut Off]],Tableau119[[#This Row],[Day ETD]],Tableau119[[#This Row],[Day ETD]]+7)</f>
        <v>11</v>
      </c>
      <c r="AG914" s="50">
        <f>_xlfn.XLOOKUP(Tableau119[[#This Row],[Key(ID-date)]],'DATA BTO'!S:S,'DATA BTO'!I:I,FALSE)</f>
        <v>57</v>
      </c>
      <c r="AH914" s="3" t="str">
        <f>_xlfn.XLOOKUP(Tableau119[[#This Row],[Key(ID-date)]],'DATA BTO'!S:S,'DATA BTO'!J:J,FALSE)</f>
        <v>MACAS</v>
      </c>
      <c r="AI914" s="3">
        <f>_xlfn.XLOOKUP(Tableau119[[#This Row],[Key(ID-date)]],'DATA BTO'!S:S,'DATA BTO'!K:K,FALSE)</f>
        <v>3</v>
      </c>
      <c r="AJ914" s="50">
        <f>_xlfn.XLOOKUP(Tableau119[[#This Row],[Key(ID-date)]],'DATA BTO'!S:S,'DATA BTO'!L:L,FALSE)</f>
        <v>0</v>
      </c>
      <c r="AK914" s="53" t="str">
        <f>_xlfn.XLOOKUP(Tableau119[[#This Row],[Key(ID-date)]],'DATA BTO'!S:S,'DATA BTO'!N:N,FALSE)</f>
        <v>Max</v>
      </c>
      <c r="AL914" s="54">
        <f>VLOOKUP(Tableau119[[#This Row],[Key(POD -PFI- Usine)]],'DATA Consignee'!A:F,6,FALSE)</f>
        <v>1</v>
      </c>
      <c r="AM914" s="102"/>
      <c r="AN914" s="375" t="str">
        <f>IF(Tableau119[[#This Row],[Name PFI/CDD]]="","-",VLOOKUP(Tableau119[[#This Row],[Name PFI/CDD]],Plant_AILN!I:J,2,FALSE))</f>
        <v>-</v>
      </c>
      <c r="AO91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4" s="110">
        <f>VLOOKUP(Tableau119[[#This Row],[Key(POD -PFI- Usine)]],'DATA Consignee'!A:J,10,FALSE)</f>
        <v>0</v>
      </c>
      <c r="AR914" s="81">
        <f>VLOOKUP(Tableau119[[#This Row],[Key(POD -PFI- Usine)]],'DATA Consignee'!A:N,14,FALSE)</f>
        <v>4</v>
      </c>
      <c r="AS91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91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14" s="81">
        <f>Tableau119[[#This Row],[Transit time]]+Tableau119[[#This Row],[Time for security]]+Tableau119[[#This Row],[Time for security2 buffer]]</f>
        <v>60</v>
      </c>
      <c r="AV91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14" s="50">
        <f>Tableau119[[#This Row],[Leadtime SI2C]]+Tableau119[[#This Row],[First Receipt Days]]-Tableau119[[#This Row],[Day Customer Order]]+1</f>
        <v>99</v>
      </c>
      <c r="AX914" s="119">
        <f>IF(Tableau119[[#This Row],[Name ILN]]&lt;&gt;"SFK Freight Forwarder",Tableau119[[#This Row],[Cust. Leadtime]],Tableau119[[#This Row],[Leadtime SI2C]])</f>
        <v>83</v>
      </c>
      <c r="AY914" s="51" t="str">
        <f>_xlfn.XLOOKUP(Tableau119[[#This Row],[Key(ID-date)]],'DATA BTO'!S:S,'DATA BTO'!P:P,FALSE)</f>
        <v>Horse &gt; Renault BPH (MLP)</v>
      </c>
      <c r="AZ914" s="388">
        <v>46142</v>
      </c>
      <c r="BA914" s="81"/>
    </row>
    <row r="915" spans="2:53">
      <c r="B915" s="446" t="str">
        <f>_xlfn.CONCAT(Tableau119[[#This Row],[Name ILN]],"-",Tableau119[[#This Row],[Name Shipper]],"-",Tableau119[[#This Row],[Name Site]])</f>
        <v>SFK Freight Forwarder-Jatco Japon-TANGER</v>
      </c>
      <c r="C915" s="66" t="str">
        <f>_xlfn.CONCAT(Tableau119[[#This Row],[Compte ILN]],"-",Tableau119[[#This Row],[Compte Shipper]],"-",Tableau119[[#This Row],[POL]],"-",Tableau119[[#This Row],[Compte Consignee]])</f>
        <v>0-119640-JPSMZ-900383</v>
      </c>
      <c r="D915" s="66" t="str">
        <f>_xlfn.CONCAT(Tableau119[[#This Row],[Compte ILN]],"-",Tableau119[[#This Row],[Compte Shipper]],"-",Tableau119[[#This Row],[POL]])</f>
        <v>0-119640-JPSMZ</v>
      </c>
      <c r="E915" s="130" t="str">
        <f>_xlfn.CONCAT(Tableau119[[#This Row],[POL]],"-",Tableau119[[#This Row],[Carrier]],"-",Tableau119[[#This Row],[POD]])</f>
        <v>JPSMZ-ONE-MAPTM</v>
      </c>
      <c r="F915" s="66" t="str">
        <f>_xlfn.CONCAT(Tableau119[[#This Row],[ID]],"-","Actif")</f>
        <v>1007-Actif</v>
      </c>
      <c r="G915" s="66" t="str">
        <f>_xlfn.CONCAT(Tableau119[[#This Row],[POD]],"-",Tableau119[[#This Row],[Code PFI]],"-",Tableau119[[#This Row],[Compte Consignee]])</f>
        <v>MAPTM---900383</v>
      </c>
      <c r="H91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119640JPSMZTANGER</v>
      </c>
      <c r="I915" s="434" t="str">
        <f>_xlfn.CONCAT(Tableau119[[#This Row],[ID]],"-",Tableau119[[#This Row],[Expiration Date]])</f>
        <v>1007-46142</v>
      </c>
      <c r="J91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Forwarder-Jatco Japon-1007-JPSMZ-ONE-MAPTM--46142</v>
      </c>
      <c r="K915" s="119" t="str">
        <f ca="1">IF(COUNTIF(J:J,Tableau119[[#This Row],[Plant-ILN-shipper-POL-Carrier-POD-PFI]])=1,"Non","Oui")</f>
        <v>Non</v>
      </c>
      <c r="L915" s="128" t="str">
        <f>VLOOKUP(Tableau119[[#This Row],[Name Site]],Plant_AILN!A:D,4,FALSE)</f>
        <v>MOROCCO</v>
      </c>
      <c r="M915" s="411" t="s">
        <v>180</v>
      </c>
      <c r="N915" s="454">
        <f>VLOOKUP(Tableau119[[#This Row],[Name Site]],Plant_AILN!A:C,3,FALSE)</f>
        <v>900383</v>
      </c>
      <c r="O915" s="55">
        <f>IF(Tableau119[[#This Row],[Name PFI/CDD]]="PFI VLL",2,VLOOKUP(Tableau119[[#This Row],[Compte Consignee]],Order!C:D,2,FALSE))</f>
        <v>7</v>
      </c>
      <c r="P915" s="124" t="s">
        <v>146</v>
      </c>
      <c r="Q915" s="365">
        <f>VLOOKUP(Tableau119[[#This Row],[Name ILN]],Plant_AILN!F:G,2,FALSE)</f>
        <v>0</v>
      </c>
      <c r="R915" s="50">
        <f>VLOOKUP(Tableau119[[#This Row],[Compte ILN]],'DATA ILN'!D:I,6,FALSE)</f>
        <v>9</v>
      </c>
      <c r="S915" s="50">
        <f>IFERROR(VLOOKUP(Tableau119[[#This Row],[Key(Compte ILN - shipper - POL - plant)]],'DATA ILN'!A:J,10,FALSE),VLOOKUP(Tableau119[[#This Row],[Key(Compte ILN - shipper - POL)]],'DATA ILN'!B:J,9,FALSE))</f>
        <v>14</v>
      </c>
      <c r="T915" s="50">
        <f>IFERROR(VLOOKUP(Tableau119[[#This Row],[Key(Compte ILN - shipper - POL - plant)]],'DATA ILN'!A:K,11,FALSE),VLOOKUP(Tableau119[[#This Row],[Key(Compte ILN - shipper - POL)]],'DATA ILN'!B:K,10,FALSE))</f>
        <v>5</v>
      </c>
      <c r="U915" s="50">
        <f>IFERROR(VLOOKUP(Tableau119[[#This Row],[Key(Compte ILN - shipper - POL - plant)]],'DATA ILN'!A:L,12,FALSE),VLOOKUP(Tableau119[[#This Row],[Key(Compte ILN - shipper - POL)]],'DATA ILN'!B:L,11,FALSE))</f>
        <v>7</v>
      </c>
      <c r="V915" s="50">
        <f>Tableau119[[#This Row],[Day ILN Order]]+Tableau119[[#This Row],[Delivery time to ILN/Shipper]]-1</f>
        <v>22</v>
      </c>
      <c r="W915" s="50">
        <f>IFERROR(VLOOKUP(Tableau119[[#This Row],[Key(Compte ILN - shipper - POL - plant)]],'DATA ILN'!A:N,14,FALSE),VLOOKUP(Tableau119[[#This Row],[Key(Compte ILN - shipper - POL)]],'DATA ILN'!B:N,13,FALSE))</f>
        <v>1</v>
      </c>
      <c r="X915" s="50">
        <f>IFERROR(VLOOKUP(Tableau119[[#This Row],[Key(Compte ILN - shipper - POL - plant)]],'DATA ILN'!A:P,16,FALSE),VLOOKUP(Tableau119[[#This Row],[Key(Compte ILN - shipper - POL)]],'DATA ILN'!B:P,15,FALSE))</f>
        <v>3</v>
      </c>
      <c r="Y915" s="284" t="s">
        <v>178</v>
      </c>
      <c r="Z915" s="430">
        <f>IFERROR(VLOOKUP(Tableau119[[#This Row],[Name Shipper]],Plant_AILN!L:M,2,FALSE),0)</f>
        <v>119640</v>
      </c>
      <c r="AA915" s="406">
        <v>1007</v>
      </c>
      <c r="AB915" s="396" t="str">
        <f>_xlfn.XLOOKUP(Tableau119[[#This Row],[Key(ID-date)]],'DATA BTO'!S:S,'DATA BTO'!E:E,FALSE)</f>
        <v>JPSMZ</v>
      </c>
      <c r="AC915" s="3" t="str">
        <f>_xlfn.XLOOKUP(Tableau119[[#This Row],[Key(ID-date)]],'DATA BTO'!S:S,'DATA BTO'!F:F,FALSE)</f>
        <v>ONE</v>
      </c>
      <c r="AD915" s="50">
        <f>_xlfn.XLOOKUP(Tableau119[[#This Row],[Key(ID-date)]],'DATA BTO'!S:S,'DATA BTO'!G:G,FALSE)</f>
        <v>6</v>
      </c>
      <c r="AE915" s="50">
        <f>_xlfn.XLOOKUP(Tableau119[[#This Row],[Key(ID-date)]],'DATA BTO'!S:S,'DATA BTO'!H:H,FALSE)</f>
        <v>7</v>
      </c>
      <c r="AF915" s="447">
        <f>IF(Tableau119[[#This Row],[First Day to POL]]&lt;=Tableau119[[#This Row],[Day Cut Off]],Tableau119[[#This Row],[Day ETD]],Tableau119[[#This Row],[Day ETD]]+7)</f>
        <v>7</v>
      </c>
      <c r="AG915" s="50">
        <f>_xlfn.XLOOKUP(Tableau119[[#This Row],[Key(ID-date)]],'DATA BTO'!S:S,'DATA BTO'!I:I,FALSE)</f>
        <v>44</v>
      </c>
      <c r="AH915" s="3" t="str">
        <f>_xlfn.XLOOKUP(Tableau119[[#This Row],[Key(ID-date)]],'DATA BTO'!S:S,'DATA BTO'!J:J,FALSE)</f>
        <v>MAPTM</v>
      </c>
      <c r="AI915" s="3">
        <f>_xlfn.XLOOKUP(Tableau119[[#This Row],[Key(ID-date)]],'DATA BTO'!S:S,'DATA BTO'!K:K,FALSE)</f>
        <v>3</v>
      </c>
      <c r="AJ915" s="50">
        <f>_xlfn.XLOOKUP(Tableau119[[#This Row],[Key(ID-date)]],'DATA BTO'!S:S,'DATA BTO'!L:L,FALSE)</f>
        <v>7</v>
      </c>
      <c r="AK915" s="53" t="str">
        <f>_xlfn.XLOOKUP(Tableau119[[#This Row],[Key(ID-date)]],'DATA BTO'!S:S,'DATA BTO'!N:N,FALSE)</f>
        <v>Max</v>
      </c>
      <c r="AL915" s="54">
        <f>VLOOKUP(Tableau119[[#This Row],[Key(POD -PFI- Usine)]],'DATA Consignee'!A:F,6,FALSE)</f>
        <v>3</v>
      </c>
      <c r="AM915" s="284"/>
      <c r="AN915" s="376" t="str">
        <f>IF(Tableau119[[#This Row],[Name PFI/CDD]]="","-",VLOOKUP(Tableau119[[#This Row],[Name PFI/CDD]],Plant_AILN!I:J,2,FALSE))</f>
        <v>-</v>
      </c>
      <c r="AO91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5" s="2">
        <f>VLOOKUP(Tableau119[[#This Row],[Key(POD -PFI- Usine)]],'DATA Consignee'!A:J,10,FALSE)</f>
        <v>0</v>
      </c>
      <c r="AR915" s="50">
        <f>VLOOKUP(Tableau119[[#This Row],[Key(POD -PFI- Usine)]],'DATA Consignee'!A:N,14,FALSE)</f>
        <v>1</v>
      </c>
      <c r="AS91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91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15" s="50">
        <f>Tableau119[[#This Row],[Transit time]]+Tableau119[[#This Row],[Time for security]]+Tableau119[[#This Row],[Time for security2 buffer]]</f>
        <v>54</v>
      </c>
      <c r="AV91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15" s="50">
        <f>Tableau119[[#This Row],[Leadtime SI2C]]+Tableau119[[#This Row],[First Receipt Days]]-Tableau119[[#This Row],[Day Customer Order]]+1</f>
        <v>92</v>
      </c>
      <c r="AX915" s="119">
        <f>IF(Tableau119[[#This Row],[Name ILN]]&lt;&gt;"SFK Freight Forwarder",Tableau119[[#This Row],[Cust. Leadtime]],Tableau119[[#This Row],[Leadtime SI2C]])</f>
        <v>76</v>
      </c>
      <c r="AY915" s="51" t="str">
        <f>_xlfn.XLOOKUP(Tableau119[[#This Row],[Key(ID-date)]],'DATA BTO'!S:S,'DATA BTO'!P:P,FALSE)</f>
        <v>Horse &gt; Renault BPH (MLP)</v>
      </c>
      <c r="AZ915" s="338">
        <v>46142</v>
      </c>
      <c r="BA915" s="50"/>
    </row>
    <row r="916" spans="2:53">
      <c r="B916" s="446" t="str">
        <f>_xlfn.CONCAT(Tableau119[[#This Row],[Name ILN]],"-",Tableau119[[#This Row],[Name Shipper]],"-",Tableau119[[#This Row],[Name Site]])</f>
        <v>SFK Freight Forwarder-Jatco Japon-DACIA MONT</v>
      </c>
      <c r="C916" s="66" t="str">
        <f>_xlfn.CONCAT(Tableau119[[#This Row],[Compte ILN]],"-",Tableau119[[#This Row],[Compte Shipper]],"-",Tableau119[[#This Row],[POL]],"-",Tableau119[[#This Row],[Compte Consignee]])</f>
        <v>0-119640-FALSO-90016800</v>
      </c>
      <c r="D916" s="66" t="str">
        <f>_xlfn.CONCAT(Tableau119[[#This Row],[Compte ILN]],"-",Tableau119[[#This Row],[Compte Shipper]],"-",Tableau119[[#This Row],[POL]])</f>
        <v>0-119640-FALSO</v>
      </c>
      <c r="E916" s="130" t="str">
        <f>_xlfn.CONCAT(Tableau119[[#This Row],[POL]],"-",Tableau119[[#This Row],[Carrier]],"-",Tableau119[[#This Row],[POD]])</f>
        <v>FALSO-FALSO-FALSO</v>
      </c>
      <c r="F916" s="66" t="str">
        <f>_xlfn.CONCAT(Tableau119[[#This Row],[ID]],"-","Actif")</f>
        <v>1008-Actif</v>
      </c>
      <c r="G916" s="66" t="str">
        <f>_xlfn.CONCAT(Tableau119[[#This Row],[POD]],"-",Tableau119[[#This Row],[Code PFI]],"-",Tableau119[[#This Row],[Compte Consignee]])</f>
        <v>FALSO-2839004-90016800</v>
      </c>
      <c r="H91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119640FALSODACIA MONT</v>
      </c>
      <c r="I916" s="434" t="str">
        <f>_xlfn.CONCAT(Tableau119[[#This Row],[ID]],"-",Tableau119[[#This Row],[Expiration Date]])</f>
        <v>1008-46142</v>
      </c>
      <c r="J91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Forwarder-Jatco Japon-1008-FALSO-FALSO-FALSO-Magasin Dacia-46142</v>
      </c>
      <c r="K916" s="119" t="str">
        <f ca="1">IF(COUNTIF(J:J,Tableau119[[#This Row],[Plant-ILN-shipper-POL-Carrier-POD-PFI]])=1,"Non","Oui")</f>
        <v>Non</v>
      </c>
      <c r="L916" s="128" t="str">
        <f>VLOOKUP(Tableau119[[#This Row],[Name Site]],Plant_AILN!A:D,4,FALSE)</f>
        <v>ROMANIA</v>
      </c>
      <c r="M916" s="411" t="s">
        <v>185</v>
      </c>
      <c r="N916" s="454">
        <f>VLOOKUP(Tableau119[[#This Row],[Name Site]],Plant_AILN!A:C,3,FALSE)</f>
        <v>90016800</v>
      </c>
      <c r="O916" s="55">
        <f>IF(Tableau119[[#This Row],[Name PFI/CDD]]="PFI VLL",2,VLOOKUP(Tableau119[[#This Row],[Compte Consignee]],Order!C:D,2,FALSE))</f>
        <v>7</v>
      </c>
      <c r="P916" s="124" t="s">
        <v>146</v>
      </c>
      <c r="Q916" s="365">
        <f>VLOOKUP(Tableau119[[#This Row],[Name ILN]],Plant_AILN!F:G,2,FALSE)</f>
        <v>0</v>
      </c>
      <c r="R916" s="50">
        <f>VLOOKUP(Tableau119[[#This Row],[Compte ILN]],'DATA ILN'!D:I,6,FALSE)</f>
        <v>9</v>
      </c>
      <c r="S916" s="50" t="e">
        <f>IFERROR(VLOOKUP(Tableau119[[#This Row],[Key(Compte ILN - shipper - POL - plant)]],'DATA ILN'!A:J,10,FALSE),VLOOKUP(Tableau119[[#This Row],[Key(Compte ILN - shipper - POL)]],'DATA ILN'!B:J,9,FALSE))</f>
        <v>#N/A</v>
      </c>
      <c r="T916" s="50" t="e">
        <f>IFERROR(VLOOKUP(Tableau119[[#This Row],[Key(Compte ILN - shipper - POL - plant)]],'DATA ILN'!A:K,11,FALSE),VLOOKUP(Tableau119[[#This Row],[Key(Compte ILN - shipper - POL)]],'DATA ILN'!B:K,10,FALSE))</f>
        <v>#N/A</v>
      </c>
      <c r="U916" s="50" t="e">
        <f>IFERROR(VLOOKUP(Tableau119[[#This Row],[Key(Compte ILN - shipper - POL - plant)]],'DATA ILN'!A:L,12,FALSE),VLOOKUP(Tableau119[[#This Row],[Key(Compte ILN - shipper - POL)]],'DATA ILN'!B:L,11,FALSE))</f>
        <v>#N/A</v>
      </c>
      <c r="V916" s="50" t="e">
        <f>Tableau119[[#This Row],[Day ILN Order]]+Tableau119[[#This Row],[Delivery time to ILN/Shipper]]-1</f>
        <v>#N/A</v>
      </c>
      <c r="W916" s="50" t="e">
        <f>IFERROR(VLOOKUP(Tableau119[[#This Row],[Key(Compte ILN - shipper - POL - plant)]],'DATA ILN'!A:N,14,FALSE),VLOOKUP(Tableau119[[#This Row],[Key(Compte ILN - shipper - POL)]],'DATA ILN'!B:N,13,FALSE))</f>
        <v>#N/A</v>
      </c>
      <c r="X916" s="50" t="e">
        <f>IFERROR(VLOOKUP(Tableau119[[#This Row],[Key(Compte ILN - shipper - POL - plant)]],'DATA ILN'!A:P,16,FALSE),VLOOKUP(Tableau119[[#This Row],[Key(Compte ILN - shipper - POL)]],'DATA ILN'!B:P,15,FALSE))</f>
        <v>#N/A</v>
      </c>
      <c r="Y916" s="284" t="s">
        <v>178</v>
      </c>
      <c r="Z916" s="430">
        <f>IFERROR(VLOOKUP(Tableau119[[#This Row],[Name Shipper]],Plant_AILN!L:M,2,FALSE),0)</f>
        <v>119640</v>
      </c>
      <c r="AA916" s="406">
        <v>1008</v>
      </c>
      <c r="AB916" s="396" t="b">
        <f>_xlfn.XLOOKUP(Tableau119[[#This Row],[Key(ID-date)]],'DATA BTO'!S:S,'DATA BTO'!E:E,FALSE)</f>
        <v>0</v>
      </c>
      <c r="AC916" s="3" t="b">
        <f>_xlfn.XLOOKUP(Tableau119[[#This Row],[Key(ID-date)]],'DATA BTO'!S:S,'DATA BTO'!F:F,FALSE)</f>
        <v>0</v>
      </c>
      <c r="AD916" s="50" t="b">
        <f>_xlfn.XLOOKUP(Tableau119[[#This Row],[Key(ID-date)]],'DATA BTO'!S:S,'DATA BTO'!G:G,FALSE)</f>
        <v>0</v>
      </c>
      <c r="AE916" s="50" t="b">
        <f>_xlfn.XLOOKUP(Tableau119[[#This Row],[Key(ID-date)]],'DATA BTO'!S:S,'DATA BTO'!H:H,FALSE)</f>
        <v>0</v>
      </c>
      <c r="AF916" s="447" t="e">
        <f>IF(Tableau119[[#This Row],[First Day to POL]]&lt;=Tableau119[[#This Row],[Day Cut Off]],Tableau119[[#This Row],[Day ETD]],Tableau119[[#This Row],[Day ETD]]+7)</f>
        <v>#N/A</v>
      </c>
      <c r="AG916" s="50" t="b">
        <f>_xlfn.XLOOKUP(Tableau119[[#This Row],[Key(ID-date)]],'DATA BTO'!S:S,'DATA BTO'!I:I,FALSE)</f>
        <v>0</v>
      </c>
      <c r="AH916" s="3" t="b">
        <f>_xlfn.XLOOKUP(Tableau119[[#This Row],[Key(ID-date)]],'DATA BTO'!S:S,'DATA BTO'!J:J,FALSE)</f>
        <v>0</v>
      </c>
      <c r="AI916" s="3" t="b">
        <f>_xlfn.XLOOKUP(Tableau119[[#This Row],[Key(ID-date)]],'DATA BTO'!S:S,'DATA BTO'!K:K,FALSE)</f>
        <v>0</v>
      </c>
      <c r="AJ916" s="50" t="b">
        <f>_xlfn.XLOOKUP(Tableau119[[#This Row],[Key(ID-date)]],'DATA BTO'!S:S,'DATA BTO'!L:L,FALSE)</f>
        <v>0</v>
      </c>
      <c r="AK916" s="53" t="b">
        <f>_xlfn.XLOOKUP(Tableau119[[#This Row],[Key(ID-date)]],'DATA BTO'!S:S,'DATA BTO'!N:N,FALSE)</f>
        <v>0</v>
      </c>
      <c r="AL916" s="54" t="e">
        <f>VLOOKUP(Tableau119[[#This Row],[Key(POD -PFI- Usine)]],'DATA Consignee'!A:F,6,FALSE)</f>
        <v>#N/A</v>
      </c>
      <c r="AM916" s="284" t="s">
        <v>164</v>
      </c>
      <c r="AN916" s="376">
        <f>IF(Tableau119[[#This Row],[Name PFI/CDD]]="","-",VLOOKUP(Tableau119[[#This Row],[Name PFI/CDD]],Plant_AILN!I:J,2,FALSE))</f>
        <v>2839004</v>
      </c>
      <c r="AO91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6" s="2" t="e">
        <f>VLOOKUP(Tableau119[[#This Row],[Key(POD -PFI- Usine)]],'DATA Consignee'!A:J,10,FALSE)</f>
        <v>#N/A</v>
      </c>
      <c r="AR916" s="50" t="e">
        <f>VLOOKUP(Tableau119[[#This Row],[Key(POD -PFI- Usine)]],'DATA Consignee'!A:N,14,FALSE)</f>
        <v>#N/A</v>
      </c>
      <c r="AS91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6" s="50">
        <f>Tableau119[[#This Row],[Transit time]]+Tableau119[[#This Row],[Time for security]]+Tableau119[[#This Row],[Time for security2 buffer]]</f>
        <v>0</v>
      </c>
      <c r="AV91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6" s="50" t="e">
        <f>Tableau119[[#This Row],[Leadtime SI2C]]+Tableau119[[#This Row],[First Receipt Days]]-Tableau119[[#This Row],[Day Customer Order]]+1</f>
        <v>#N/A</v>
      </c>
      <c r="AX916" s="119" t="e">
        <f>IF(Tableau119[[#This Row],[Name ILN]]&lt;&gt;"SFK Freight Forwarder",Tableau119[[#This Row],[Cust. Leadtime]],Tableau119[[#This Row],[Leadtime SI2C]])</f>
        <v>#N/A</v>
      </c>
      <c r="AY916" s="51" t="b">
        <f>_xlfn.XLOOKUP(Tableau119[[#This Row],[Key(ID-date)]],'DATA BTO'!S:S,'DATA BTO'!P:P,FALSE)</f>
        <v>0</v>
      </c>
      <c r="AZ916" s="338">
        <v>46142</v>
      </c>
      <c r="BA916" s="50"/>
    </row>
    <row r="917" spans="2:53">
      <c r="B917" s="446" t="str">
        <f>_xlfn.CONCAT(Tableau119[[#This Row],[Name ILN]],"-",Tableau119[[#This Row],[Name Shipper]],"-",Tableau119[[#This Row],[Name Site]])</f>
        <v>SFK Freight Forwarder-Jatco Japon-DACIA MONT</v>
      </c>
      <c r="C917" s="66" t="str">
        <f>_xlfn.CONCAT(Tableau119[[#This Row],[Compte ILN]],"-",Tableau119[[#This Row],[Compte Shipper]],"-",Tableau119[[#This Row],[POL]],"-",Tableau119[[#This Row],[Compte Consignee]])</f>
        <v>0-119640-FALSO-90016800</v>
      </c>
      <c r="D917" s="66" t="str">
        <f>_xlfn.CONCAT(Tableau119[[#This Row],[Compte ILN]],"-",Tableau119[[#This Row],[Compte Shipper]],"-",Tableau119[[#This Row],[POL]])</f>
        <v>0-119640-FALSO</v>
      </c>
      <c r="E917" s="130" t="str">
        <f>_xlfn.CONCAT(Tableau119[[#This Row],[POL]],"-",Tableau119[[#This Row],[Carrier]],"-",Tableau119[[#This Row],[POD]])</f>
        <v>FALSO-FALSO-FALSO</v>
      </c>
      <c r="F917" s="66" t="str">
        <f>_xlfn.CONCAT(Tableau119[[#This Row],[ID]],"-","Actif")</f>
        <v>1008-Actif</v>
      </c>
      <c r="G917" s="66" t="str">
        <f>_xlfn.CONCAT(Tableau119[[#This Row],[POD]],"-",Tableau119[[#This Row],[Code PFI]],"-",Tableau119[[#This Row],[Compte Consignee]])</f>
        <v>FALSO---90016800</v>
      </c>
      <c r="H91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119640FALSODACIA MONT</v>
      </c>
      <c r="I917" s="434" t="str">
        <f>_xlfn.CONCAT(Tableau119[[#This Row],[ID]],"-",Tableau119[[#This Row],[Expiration Date]])</f>
        <v>1008-45891</v>
      </c>
      <c r="J91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Forwarder-Jatco Japon-1008-FALSO-FALSO-FALSO--45891</v>
      </c>
      <c r="K917" s="119" t="str">
        <f ca="1">IF(COUNTIF(J:J,Tableau119[[#This Row],[Plant-ILN-shipper-POL-Carrier-POD-PFI]])=1,"Non","Oui")</f>
        <v>Non</v>
      </c>
      <c r="L917" s="128" t="str">
        <f>VLOOKUP(Tableau119[[#This Row],[Name Site]],Plant_AILN!A:D,4,FALSE)</f>
        <v>ROMANIA</v>
      </c>
      <c r="M917" s="415" t="s">
        <v>185</v>
      </c>
      <c r="N917" s="455">
        <f>VLOOKUP(Tableau119[[#This Row],[Name Site]],Plant_AILN!A:C,3,FALSE)</f>
        <v>90016800</v>
      </c>
      <c r="O917" s="104">
        <f>VLOOKUP(Tableau119[[#This Row],[Compte Consignee]],Order!C:D,2,FALSE)</f>
        <v>7</v>
      </c>
      <c r="P917" s="126" t="s">
        <v>146</v>
      </c>
      <c r="Q917" s="366">
        <f>VLOOKUP(Tableau119[[#This Row],[Name ILN]],Plant_AILN!F:G,2,FALSE)</f>
        <v>0</v>
      </c>
      <c r="R917" s="81">
        <f>VLOOKUP(Tableau119[[#This Row],[Compte ILN]],'DATA ILN'!D:I,6,FALSE)</f>
        <v>9</v>
      </c>
      <c r="S917" s="81" t="e">
        <f>IFERROR(VLOOKUP(Tableau119[[#This Row],[Key(Compte ILN - shipper - POL - plant)]],'DATA ILN'!A:J,10,FALSE),VLOOKUP(Tableau119[[#This Row],[Key(Compte ILN - shipper - POL)]],'DATA ILN'!B:J,9,FALSE))</f>
        <v>#N/A</v>
      </c>
      <c r="T917" s="81" t="e">
        <f>IFERROR(VLOOKUP(Tableau119[[#This Row],[Key(Compte ILN - shipper - POL - plant)]],'DATA ILN'!A:K,11,FALSE),VLOOKUP(Tableau119[[#This Row],[Key(Compte ILN - shipper - POL)]],'DATA ILN'!B:K,10,FALSE))</f>
        <v>#N/A</v>
      </c>
      <c r="U917" s="81" t="e">
        <f>IFERROR(VLOOKUP(Tableau119[[#This Row],[Key(Compte ILN - shipper - POL - plant)]],'DATA ILN'!A:L,12,FALSE),VLOOKUP(Tableau119[[#This Row],[Key(Compte ILN - shipper - POL)]],'DATA ILN'!B:L,11,FALSE))</f>
        <v>#N/A</v>
      </c>
      <c r="V917" s="81" t="e">
        <f>Tableau119[[#This Row],[Day ILN Order]]+Tableau119[[#This Row],[Delivery time to ILN/Shipper]]-1</f>
        <v>#N/A</v>
      </c>
      <c r="W917" s="81" t="e">
        <f>IFERROR(VLOOKUP(Tableau119[[#This Row],[Key(Compte ILN - shipper - POL - plant)]],'DATA ILN'!A:N,14,FALSE),VLOOKUP(Tableau119[[#This Row],[Key(Compte ILN - shipper - POL)]],'DATA ILN'!B:N,13,FALSE))</f>
        <v>#N/A</v>
      </c>
      <c r="X917" s="81" t="e">
        <f>IFERROR(VLOOKUP(Tableau119[[#This Row],[Key(Compte ILN - shipper - POL - plant)]],'DATA ILN'!A:P,16,FALSE),VLOOKUP(Tableau119[[#This Row],[Key(Compte ILN - shipper - POL)]],'DATA ILN'!B:P,15,FALSE))</f>
        <v>#N/A</v>
      </c>
      <c r="Y917" s="102" t="s">
        <v>178</v>
      </c>
      <c r="Z917" s="417">
        <f>IFERROR(VLOOKUP(Tableau119[[#This Row],[Name Shipper]],Plant_AILN!L:M,2,FALSE),0)</f>
        <v>119640</v>
      </c>
      <c r="AA917" s="416">
        <v>1008</v>
      </c>
      <c r="AB917" s="396" t="b">
        <f>_xlfn.XLOOKUP(Tableau119[[#This Row],[Key(ID-date)]],'DATA BTO'!S:S,'DATA BTO'!E:E,FALSE)</f>
        <v>0</v>
      </c>
      <c r="AC917" s="3" t="b">
        <f>_xlfn.XLOOKUP(Tableau119[[#This Row],[Key(ID-date)]],'DATA BTO'!S:S,'DATA BTO'!F:F,FALSE)</f>
        <v>0</v>
      </c>
      <c r="AD917" s="50" t="b">
        <f>_xlfn.XLOOKUP(Tableau119[[#This Row],[Key(ID-date)]],'DATA BTO'!S:S,'DATA BTO'!G:G,FALSE)</f>
        <v>0</v>
      </c>
      <c r="AE917" s="50" t="b">
        <f>_xlfn.XLOOKUP(Tableau119[[#This Row],[Key(ID-date)]],'DATA BTO'!S:S,'DATA BTO'!H:H,FALSE)</f>
        <v>0</v>
      </c>
      <c r="AF917" s="447" t="e">
        <f>IF(Tableau119[[#This Row],[First Day to POL]]&lt;=Tableau119[[#This Row],[Day Cut Off]],Tableau119[[#This Row],[Day ETD]],Tableau119[[#This Row],[Day ETD]]+7)</f>
        <v>#N/A</v>
      </c>
      <c r="AG917" s="50" t="b">
        <f>_xlfn.XLOOKUP(Tableau119[[#This Row],[Key(ID-date)]],'DATA BTO'!S:S,'DATA BTO'!I:I,FALSE)</f>
        <v>0</v>
      </c>
      <c r="AH917" s="3" t="b">
        <f>_xlfn.XLOOKUP(Tableau119[[#This Row],[Key(ID-date)]],'DATA BTO'!S:S,'DATA BTO'!J:J,FALSE)</f>
        <v>0</v>
      </c>
      <c r="AI917" s="3" t="b">
        <f>_xlfn.XLOOKUP(Tableau119[[#This Row],[Key(ID-date)]],'DATA BTO'!S:S,'DATA BTO'!K:K,FALSE)</f>
        <v>0</v>
      </c>
      <c r="AJ917" s="50" t="b">
        <f>_xlfn.XLOOKUP(Tableau119[[#This Row],[Key(ID-date)]],'DATA BTO'!S:S,'DATA BTO'!L:L,FALSE)</f>
        <v>0</v>
      </c>
      <c r="AK917" s="53" t="b">
        <f>_xlfn.XLOOKUP(Tableau119[[#This Row],[Key(ID-date)]],'DATA BTO'!S:S,'DATA BTO'!N:N,FALSE)</f>
        <v>0</v>
      </c>
      <c r="AL917" s="54" t="e">
        <f>VLOOKUP(Tableau119[[#This Row],[Key(POD -PFI- Usine)]],'DATA Consignee'!A:F,6,FALSE)</f>
        <v>#N/A</v>
      </c>
      <c r="AM917" s="102"/>
      <c r="AN917" s="375" t="str">
        <f>IF(Tableau119[[#This Row],[Name PFI/CDD]]="","-",VLOOKUP(Tableau119[[#This Row],[Name PFI/CDD]],Plant_AILN!I:J,2,FALSE))</f>
        <v>-</v>
      </c>
      <c r="AO91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7" s="110" t="e">
        <f>VLOOKUP(Tableau119[[#This Row],[Key(POD -PFI- Usine)]],'DATA Consignee'!A:J,10,FALSE)</f>
        <v>#N/A</v>
      </c>
      <c r="AR917" s="81" t="e">
        <f>VLOOKUP(Tableau119[[#This Row],[Key(POD -PFI- Usine)]],'DATA Consignee'!A:N,14,FALSE)</f>
        <v>#N/A</v>
      </c>
      <c r="AS91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1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17" s="81">
        <f>Tableau119[[#This Row],[Transit time]]+Tableau119[[#This Row],[Time for security]]+Tableau119[[#This Row],[Time for security2 buffer]]</f>
        <v>0</v>
      </c>
      <c r="AV91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17" s="50" t="e">
        <f>Tableau119[[#This Row],[Leadtime SI2C]]+Tableau119[[#This Row],[First Receipt Days]]-Tableau119[[#This Row],[Day Customer Order]]+1</f>
        <v>#N/A</v>
      </c>
      <c r="AX917" s="119" t="e">
        <f>IF(Tableau119[[#This Row],[Name ILN]]&lt;&gt;"SFK Freight Forwarder",Tableau119[[#This Row],[Cust. Leadtime]],Tableau119[[#This Row],[Leadtime SI2C]])</f>
        <v>#N/A</v>
      </c>
      <c r="AY917" s="51" t="b">
        <f>_xlfn.XLOOKUP(Tableau119[[#This Row],[Key(ID-date)]],'DATA BTO'!S:S,'DATA BTO'!P:P,FALSE)</f>
        <v>0</v>
      </c>
      <c r="AZ917" s="388">
        <v>45891</v>
      </c>
      <c r="BA917" s="81"/>
    </row>
    <row r="918" spans="2:53">
      <c r="B918" s="446" t="str">
        <f>_xlfn.CONCAT(Tableau119[[#This Row],[Name ILN]],"-",Tableau119[[#This Row],[Name Shipper]],"-",Tableau119[[#This Row],[Name Site]])</f>
        <v>SFK Freight Forwarder-Jatco Japon-REVOZ</v>
      </c>
      <c r="C918" s="66" t="str">
        <f>_xlfn.CONCAT(Tableau119[[#This Row],[Compte ILN]],"-",Tableau119[[#This Row],[Compte Shipper]],"-",Tableau119[[#This Row],[POL]],"-",Tableau119[[#This Row],[Compte Consignee]])</f>
        <v>0-119640-JPSMZ-90016700</v>
      </c>
      <c r="D918" s="66" t="str">
        <f>_xlfn.CONCAT(Tableau119[[#This Row],[Compte ILN]],"-",Tableau119[[#This Row],[Compte Shipper]],"-",Tableau119[[#This Row],[POL]])</f>
        <v>0-119640-JPSMZ</v>
      </c>
      <c r="E918" s="130" t="str">
        <f>_xlfn.CONCAT(Tableau119[[#This Row],[POL]],"-",Tableau119[[#This Row],[Carrier]],"-",Tableau119[[#This Row],[POD]])</f>
        <v>JPSMZ-CMA-CGM-SIKOP</v>
      </c>
      <c r="F918" s="66" t="str">
        <f>_xlfn.CONCAT(Tableau119[[#This Row],[ID]],"-","Actif")</f>
        <v>1009-Actif</v>
      </c>
      <c r="G918" s="66" t="str">
        <f>_xlfn.CONCAT(Tableau119[[#This Row],[POD]],"-",Tableau119[[#This Row],[Code PFI]],"-",Tableau119[[#This Row],[Compte Consignee]])</f>
        <v>SIKOP---90016700</v>
      </c>
      <c r="H91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119640JPSMZREVOZ</v>
      </c>
      <c r="I918" s="434" t="str">
        <f>_xlfn.CONCAT(Tableau119[[#This Row],[ID]],"-",Tableau119[[#This Row],[Expiration Date]])</f>
        <v>1009-46142</v>
      </c>
      <c r="J91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REVOZ-SFK Freight Forwarder-Jatco Japon-1009-JPSMZ-CMA-CGM-SIKOP--46142</v>
      </c>
      <c r="K918" s="119" t="str">
        <f ca="1">IF(COUNTIF(J:J,Tableau119[[#This Row],[Plant-ILN-shipper-POL-Carrier-POD-PFI]])=1,"Non","Oui")</f>
        <v>Non</v>
      </c>
      <c r="L918" s="128" t="str">
        <f>VLOOKUP(Tableau119[[#This Row],[Name Site]],Plant_AILN!A:D,4,FALSE)</f>
        <v>SLOVENIA</v>
      </c>
      <c r="M918" s="411" t="s">
        <v>35</v>
      </c>
      <c r="N918" s="454">
        <f>VLOOKUP(Tableau119[[#This Row],[Name Site]],Plant_AILN!A:C,3,FALSE)</f>
        <v>90016700</v>
      </c>
      <c r="O918" s="55">
        <f>IF(Tableau119[[#This Row],[Name PFI/CDD]]="PFI VLL",2,VLOOKUP(Tableau119[[#This Row],[Compte Consignee]],Order!C:D,2,FALSE))</f>
        <v>7</v>
      </c>
      <c r="P918" s="124" t="s">
        <v>146</v>
      </c>
      <c r="Q918" s="365">
        <f>VLOOKUP(Tableau119[[#This Row],[Name ILN]],Plant_AILN!F:G,2,FALSE)</f>
        <v>0</v>
      </c>
      <c r="R918" s="50">
        <f>VLOOKUP(Tableau119[[#This Row],[Compte ILN]],'DATA ILN'!D:I,6,FALSE)</f>
        <v>9</v>
      </c>
      <c r="S918" s="50">
        <f>IFERROR(VLOOKUP(Tableau119[[#This Row],[Key(Compte ILN - shipper - POL - plant)]],'DATA ILN'!A:J,10,FALSE),VLOOKUP(Tableau119[[#This Row],[Key(Compte ILN - shipper - POL)]],'DATA ILN'!B:J,9,FALSE))</f>
        <v>14</v>
      </c>
      <c r="T918" s="50">
        <f>IFERROR(VLOOKUP(Tableau119[[#This Row],[Key(Compte ILN - shipper - POL - plant)]],'DATA ILN'!A:K,11,FALSE),VLOOKUP(Tableau119[[#This Row],[Key(Compte ILN - shipper - POL)]],'DATA ILN'!B:K,10,FALSE))</f>
        <v>5</v>
      </c>
      <c r="U918" s="50">
        <f>IFERROR(VLOOKUP(Tableau119[[#This Row],[Key(Compte ILN - shipper - POL - plant)]],'DATA ILN'!A:L,12,FALSE),VLOOKUP(Tableau119[[#This Row],[Key(Compte ILN - shipper - POL)]],'DATA ILN'!B:L,11,FALSE))</f>
        <v>7</v>
      </c>
      <c r="V918" s="50">
        <f>Tableau119[[#This Row],[Day ILN Order]]+Tableau119[[#This Row],[Delivery time to ILN/Shipper]]-1</f>
        <v>22</v>
      </c>
      <c r="W918" s="50">
        <f>IFERROR(VLOOKUP(Tableau119[[#This Row],[Key(Compte ILN - shipper - POL - plant)]],'DATA ILN'!A:N,14,FALSE),VLOOKUP(Tableau119[[#This Row],[Key(Compte ILN - shipper - POL)]],'DATA ILN'!B:N,13,FALSE))</f>
        <v>1</v>
      </c>
      <c r="X918" s="50">
        <f>IFERROR(VLOOKUP(Tableau119[[#This Row],[Key(Compte ILN - shipper - POL - plant)]],'DATA ILN'!A:P,16,FALSE),VLOOKUP(Tableau119[[#This Row],[Key(Compte ILN - shipper - POL)]],'DATA ILN'!B:P,15,FALSE))</f>
        <v>3</v>
      </c>
      <c r="Y918" s="284" t="s">
        <v>178</v>
      </c>
      <c r="Z918" s="430">
        <f>IFERROR(VLOOKUP(Tableau119[[#This Row],[Name Shipper]],Plant_AILN!L:M,2,FALSE),0)</f>
        <v>119640</v>
      </c>
      <c r="AA918" s="406">
        <v>1009</v>
      </c>
      <c r="AB918" s="396" t="str">
        <f>_xlfn.XLOOKUP(Tableau119[[#This Row],[Key(ID-date)]],'DATA BTO'!S:S,'DATA BTO'!E:E,FALSE)</f>
        <v>JPSMZ</v>
      </c>
      <c r="AC918" s="3" t="str">
        <f>_xlfn.XLOOKUP(Tableau119[[#This Row],[Key(ID-date)]],'DATA BTO'!S:S,'DATA BTO'!F:F,FALSE)</f>
        <v>CMA-CGM</v>
      </c>
      <c r="AD918" s="50">
        <f>_xlfn.XLOOKUP(Tableau119[[#This Row],[Key(ID-date)]],'DATA BTO'!S:S,'DATA BTO'!G:G,FALSE)</f>
        <v>2</v>
      </c>
      <c r="AE918" s="50">
        <f>_xlfn.XLOOKUP(Tableau119[[#This Row],[Key(ID-date)]],'DATA BTO'!S:S,'DATA BTO'!H:H,FALSE)</f>
        <v>4</v>
      </c>
      <c r="AF918" s="447">
        <f>IF(Tableau119[[#This Row],[First Day to POL]]&lt;=Tableau119[[#This Row],[Day Cut Off]],Tableau119[[#This Row],[Day ETD]],Tableau119[[#This Row],[Day ETD]]+7)</f>
        <v>11</v>
      </c>
      <c r="AG918" s="50">
        <f>_xlfn.XLOOKUP(Tableau119[[#This Row],[Key(ID-date)]],'DATA BTO'!S:S,'DATA BTO'!I:I,FALSE)</f>
        <v>60</v>
      </c>
      <c r="AH918" s="3" t="str">
        <f>_xlfn.XLOOKUP(Tableau119[[#This Row],[Key(ID-date)]],'DATA BTO'!S:S,'DATA BTO'!J:J,FALSE)</f>
        <v>SIKOP</v>
      </c>
      <c r="AI918" s="3">
        <f>_xlfn.XLOOKUP(Tableau119[[#This Row],[Key(ID-date)]],'DATA BTO'!S:S,'DATA BTO'!K:K,FALSE)</f>
        <v>3</v>
      </c>
      <c r="AJ918" s="50">
        <f>_xlfn.XLOOKUP(Tableau119[[#This Row],[Key(ID-date)]],'DATA BTO'!S:S,'DATA BTO'!L:L,FALSE)</f>
        <v>0</v>
      </c>
      <c r="AK918" s="53" t="str">
        <f>_xlfn.XLOOKUP(Tableau119[[#This Row],[Key(ID-date)]],'DATA BTO'!S:S,'DATA BTO'!N:N,FALSE)</f>
        <v>Max</v>
      </c>
      <c r="AL918" s="54">
        <f>VLOOKUP(Tableau119[[#This Row],[Key(POD -PFI- Usine)]],'DATA Consignee'!A:F,6,FALSE)</f>
        <v>2</v>
      </c>
      <c r="AM918" s="284"/>
      <c r="AN918" s="376" t="str">
        <f>IF(Tableau119[[#This Row],[Name PFI/CDD]]="","-",VLOOKUP(Tableau119[[#This Row],[Name PFI/CDD]],Plant_AILN!I:J,2,FALSE))</f>
        <v>-</v>
      </c>
      <c r="AO91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8" s="2">
        <f>VLOOKUP(Tableau119[[#This Row],[Key(POD -PFI- Usine)]],'DATA Consignee'!A:J,10,FALSE)</f>
        <v>0</v>
      </c>
      <c r="AR918" s="50">
        <f>VLOOKUP(Tableau119[[#This Row],[Key(POD -PFI- Usine)]],'DATA Consignee'!A:N,14,FALSE)</f>
        <v>2</v>
      </c>
      <c r="AS91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1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18" s="50">
        <f>Tableau119[[#This Row],[Transit time]]+Tableau119[[#This Row],[Time for security]]+Tableau119[[#This Row],[Time for security2 buffer]]</f>
        <v>63</v>
      </c>
      <c r="AV91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18" s="50">
        <f>Tableau119[[#This Row],[Leadtime SI2C]]+Tableau119[[#This Row],[First Receipt Days]]-Tableau119[[#This Row],[Day Customer Order]]+1</f>
        <v>99</v>
      </c>
      <c r="AX918" s="119">
        <f>IF(Tableau119[[#This Row],[Name ILN]]&lt;&gt;"SFK Freight Forwarder",Tableau119[[#This Row],[Cust. Leadtime]],Tableau119[[#This Row],[Leadtime SI2C]])</f>
        <v>83</v>
      </c>
      <c r="AY918" s="51" t="str">
        <f>_xlfn.XLOOKUP(Tableau119[[#This Row],[Key(ID-date)]],'DATA BTO'!S:S,'DATA BTO'!P:P,FALSE)</f>
        <v>Horse &gt; Renault BPH (MLP)</v>
      </c>
      <c r="AZ918" s="338">
        <v>46142</v>
      </c>
      <c r="BA918" s="50"/>
    </row>
    <row r="919" spans="2:53">
      <c r="B919" s="446" t="str">
        <f>_xlfn.CONCAT(Tableau119[[#This Row],[Name ILN]],"-",Tableau119[[#This Row],[Name Shipper]],"-",Tableau119[[#This Row],[Name Site]])</f>
        <v>SFK Freight Forwarder-Jatco Japon-REVOZ</v>
      </c>
      <c r="C919" s="66" t="str">
        <f>_xlfn.CONCAT(Tableau119[[#This Row],[Compte ILN]],"-",Tableau119[[#This Row],[Compte Shipper]],"-",Tableau119[[#This Row],[POL]],"-",Tableau119[[#This Row],[Compte Consignee]])</f>
        <v>0-119640-JPSMZ-90016700</v>
      </c>
      <c r="D919" s="66" t="str">
        <f>_xlfn.CONCAT(Tableau119[[#This Row],[Compte ILN]],"-",Tableau119[[#This Row],[Compte Shipper]],"-",Tableau119[[#This Row],[POL]])</f>
        <v>0-119640-JPSMZ</v>
      </c>
      <c r="E919" s="130" t="str">
        <f>_xlfn.CONCAT(Tableau119[[#This Row],[POL]],"-",Tableau119[[#This Row],[Carrier]],"-",Tableau119[[#This Row],[POD]])</f>
        <v>JPSMZ-CMA-CGM-SIKOP</v>
      </c>
      <c r="F919" s="66" t="str">
        <f>_xlfn.CONCAT(Tableau119[[#This Row],[ID]],"-","Actif")</f>
        <v>1009-Actif</v>
      </c>
      <c r="G919" s="66" t="str">
        <f>_xlfn.CONCAT(Tableau119[[#This Row],[POD]],"-",Tableau119[[#This Row],[Code PFI]],"-",Tableau119[[#This Row],[Compte Consignee]])</f>
        <v>SIKOP---90016700</v>
      </c>
      <c r="H91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119640JPSMZREVOZ</v>
      </c>
      <c r="I919" s="434" t="str">
        <f>_xlfn.CONCAT(Tableau119[[#This Row],[ID]],"-",Tableau119[[#This Row],[Expiration Date]])</f>
        <v>1009-45777</v>
      </c>
      <c r="J91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REVOZ-SFK Freight Forwarder-Jatco Japon-1009-JPSMZ-CMA-CGM-SIKOP--45777</v>
      </c>
      <c r="K919" s="119" t="str">
        <f ca="1">IF(COUNTIF(J:J,Tableau119[[#This Row],[Plant-ILN-shipper-POL-Carrier-POD-PFI]])=1,"Non","Oui")</f>
        <v>Non</v>
      </c>
      <c r="L919" s="128" t="str">
        <f>VLOOKUP(Tableau119[[#This Row],[Name Site]],Plant_AILN!A:D,4,FALSE)</f>
        <v>SLOVENIA</v>
      </c>
      <c r="M919" s="411" t="s">
        <v>35</v>
      </c>
      <c r="N919" s="454">
        <f>VLOOKUP(Tableau119[[#This Row],[Name Site]],Plant_AILN!A:C,3,FALSE)</f>
        <v>90016700</v>
      </c>
      <c r="O919" s="55">
        <f>VLOOKUP(Tableau119[[#This Row],[Compte Consignee]],Order!C:D,2,FALSE)</f>
        <v>7</v>
      </c>
      <c r="P919" s="124" t="s">
        <v>146</v>
      </c>
      <c r="Q919" s="365">
        <f>VLOOKUP(Tableau119[[#This Row],[Name ILN]],Plant_AILN!F:G,2,FALSE)</f>
        <v>0</v>
      </c>
      <c r="R919" s="50">
        <f>VLOOKUP(Tableau119[[#This Row],[Compte ILN]],'DATA ILN'!D:I,6,FALSE)</f>
        <v>9</v>
      </c>
      <c r="S919" s="50">
        <f>IFERROR(VLOOKUP(Tableau119[[#This Row],[Key(Compte ILN - shipper - POL - plant)]],'DATA ILN'!A:J,10,FALSE),VLOOKUP(Tableau119[[#This Row],[Key(Compte ILN - shipper - POL)]],'DATA ILN'!B:J,9,FALSE))</f>
        <v>14</v>
      </c>
      <c r="T919" s="50">
        <f>IFERROR(VLOOKUP(Tableau119[[#This Row],[Key(Compte ILN - shipper - POL - plant)]],'DATA ILN'!A:K,11,FALSE),VLOOKUP(Tableau119[[#This Row],[Key(Compte ILN - shipper - POL)]],'DATA ILN'!B:K,10,FALSE))</f>
        <v>5</v>
      </c>
      <c r="U919" s="50">
        <f>IFERROR(VLOOKUP(Tableau119[[#This Row],[Key(Compte ILN - shipper - POL - plant)]],'DATA ILN'!A:L,12,FALSE),VLOOKUP(Tableau119[[#This Row],[Key(Compte ILN - shipper - POL)]],'DATA ILN'!B:L,11,FALSE))</f>
        <v>7</v>
      </c>
      <c r="V919" s="50">
        <f>Tableau119[[#This Row],[Day ILN Order]]+Tableau119[[#This Row],[Delivery time to ILN/Shipper]]-1</f>
        <v>22</v>
      </c>
      <c r="W919" s="50">
        <f>IFERROR(VLOOKUP(Tableau119[[#This Row],[Key(Compte ILN - shipper - POL - plant)]],'DATA ILN'!A:N,14,FALSE),VLOOKUP(Tableau119[[#This Row],[Key(Compte ILN - shipper - POL)]],'DATA ILN'!B:N,13,FALSE))</f>
        <v>1</v>
      </c>
      <c r="X919" s="50">
        <f>IFERROR(VLOOKUP(Tableau119[[#This Row],[Key(Compte ILN - shipper - POL - plant)]],'DATA ILN'!A:P,16,FALSE),VLOOKUP(Tableau119[[#This Row],[Key(Compte ILN - shipper - POL)]],'DATA ILN'!B:P,15,FALSE))</f>
        <v>3</v>
      </c>
      <c r="Y919" s="284" t="s">
        <v>178</v>
      </c>
      <c r="Z919" s="430">
        <f>IFERROR(VLOOKUP(Tableau119[[#This Row],[Name Shipper]],Plant_AILN!L:M,2,FALSE),0)</f>
        <v>119640</v>
      </c>
      <c r="AA919" s="406">
        <v>1009</v>
      </c>
      <c r="AB919" s="396" t="str">
        <f>_xlfn.XLOOKUP(Tableau119[[#This Row],[Key(ID-date)]],'DATA BTO'!S:S,'DATA BTO'!E:E,FALSE)</f>
        <v>JPSMZ</v>
      </c>
      <c r="AC919" s="3" t="str">
        <f>_xlfn.XLOOKUP(Tableau119[[#This Row],[Key(ID-date)]],'DATA BTO'!S:S,'DATA BTO'!F:F,FALSE)</f>
        <v>CMA-CGM</v>
      </c>
      <c r="AD919" s="50">
        <f>_xlfn.XLOOKUP(Tableau119[[#This Row],[Key(ID-date)]],'DATA BTO'!S:S,'DATA BTO'!G:G,FALSE)</f>
        <v>2</v>
      </c>
      <c r="AE919" s="50">
        <f>_xlfn.XLOOKUP(Tableau119[[#This Row],[Key(ID-date)]],'DATA BTO'!S:S,'DATA BTO'!H:H,FALSE)</f>
        <v>4</v>
      </c>
      <c r="AF919" s="447">
        <f>IF(Tableau119[[#This Row],[First Day to POL]]&lt;=Tableau119[[#This Row],[Day Cut Off]],Tableau119[[#This Row],[Day ETD]],Tableau119[[#This Row],[Day ETD]]+7)</f>
        <v>11</v>
      </c>
      <c r="AG919" s="50">
        <f>_xlfn.XLOOKUP(Tableau119[[#This Row],[Key(ID-date)]],'DATA BTO'!S:S,'DATA BTO'!I:I,FALSE)</f>
        <v>45</v>
      </c>
      <c r="AH919" s="3" t="str">
        <f>_xlfn.XLOOKUP(Tableau119[[#This Row],[Key(ID-date)]],'DATA BTO'!S:S,'DATA BTO'!J:J,FALSE)</f>
        <v>SIKOP</v>
      </c>
      <c r="AI919" s="3">
        <f>_xlfn.XLOOKUP(Tableau119[[#This Row],[Key(ID-date)]],'DATA BTO'!S:S,'DATA BTO'!K:K,FALSE)</f>
        <v>3</v>
      </c>
      <c r="AJ919" s="50">
        <f>_xlfn.XLOOKUP(Tableau119[[#This Row],[Key(ID-date)]],'DATA BTO'!S:S,'DATA BTO'!L:L,FALSE)</f>
        <v>0</v>
      </c>
      <c r="AK919" s="53" t="str">
        <f>_xlfn.XLOOKUP(Tableau119[[#This Row],[Key(ID-date)]],'DATA BTO'!S:S,'DATA BTO'!N:N,FALSE)</f>
        <v>Max</v>
      </c>
      <c r="AL919" s="54">
        <f>VLOOKUP(Tableau119[[#This Row],[Key(POD -PFI- Usine)]],'DATA Consignee'!A:F,6,FALSE)</f>
        <v>2</v>
      </c>
      <c r="AM919" s="284"/>
      <c r="AN919" s="376" t="str">
        <f>IF(Tableau119[[#This Row],[Name PFI/CDD]]="","-",VLOOKUP(Tableau119[[#This Row],[Name PFI/CDD]],Plant_AILN!I:J,2,FALSE))</f>
        <v>-</v>
      </c>
      <c r="AO91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1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19" s="2">
        <f>VLOOKUP(Tableau119[[#This Row],[Key(POD -PFI- Usine)]],'DATA Consignee'!A:J,10,FALSE)</f>
        <v>0</v>
      </c>
      <c r="AR919" s="50">
        <f>VLOOKUP(Tableau119[[#This Row],[Key(POD -PFI- Usine)]],'DATA Consignee'!A:N,14,FALSE)</f>
        <v>2</v>
      </c>
      <c r="AS91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1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19" s="50">
        <f>Tableau119[[#This Row],[Transit time]]+Tableau119[[#This Row],[Time for security]]+Tableau119[[#This Row],[Time for security2 buffer]]</f>
        <v>48</v>
      </c>
      <c r="AV91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19" s="50">
        <f>Tableau119[[#This Row],[Leadtime SI2C]]+Tableau119[[#This Row],[First Receipt Days]]-Tableau119[[#This Row],[Day Customer Order]]+1</f>
        <v>85</v>
      </c>
      <c r="AX919" s="119">
        <f>IF(Tableau119[[#This Row],[Name ILN]]&lt;&gt;"SFK Freight Forwarder",Tableau119[[#This Row],[Cust. Leadtime]],Tableau119[[#This Row],[Leadtime SI2C]])</f>
        <v>69</v>
      </c>
      <c r="AY919" s="51" t="str">
        <f>_xlfn.XLOOKUP(Tableau119[[#This Row],[Key(ID-date)]],'DATA BTO'!S:S,'DATA BTO'!P:P,FALSE)</f>
        <v>Horse &gt; Renault BPH (MLP)</v>
      </c>
      <c r="AZ919" s="338">
        <v>45777</v>
      </c>
      <c r="BA919" s="50"/>
    </row>
    <row r="920" spans="2:53">
      <c r="B920" s="446" t="str">
        <f>_xlfn.CONCAT(Tableau119[[#This Row],[Name ILN]],"-",Tableau119[[#This Row],[Name Shipper]],"-",Tableau119[[#This Row],[Name Site]])</f>
        <v>SFK Freight Forwarder-Jatco Japon-OYAK MONT</v>
      </c>
      <c r="C920" s="66" t="str">
        <f>_xlfn.CONCAT(Tableau119[[#This Row],[Compte ILN]],"-",Tableau119[[#This Row],[Compte Shipper]],"-",Tableau119[[#This Row],[POL]],"-",Tableau119[[#This Row],[Compte Consignee]])</f>
        <v>0-119640-JPSMZ-90017000</v>
      </c>
      <c r="D920" s="66" t="str">
        <f>_xlfn.CONCAT(Tableau119[[#This Row],[Compte ILN]],"-",Tableau119[[#This Row],[Compte Shipper]],"-",Tableau119[[#This Row],[POL]])</f>
        <v>0-119640-JPSMZ</v>
      </c>
      <c r="E920" s="130" t="str">
        <f>_xlfn.CONCAT(Tableau119[[#This Row],[POL]],"-",Tableau119[[#This Row],[Carrier]],"-",Tableau119[[#This Row],[POD]])</f>
        <v>JPSMZ-CMA-CGM-TRIZT</v>
      </c>
      <c r="F920" s="66" t="str">
        <f>_xlfn.CONCAT(Tableau119[[#This Row],[ID]],"-","Actif")</f>
        <v>1010-Actif</v>
      </c>
      <c r="G920" s="66" t="str">
        <f>_xlfn.CONCAT(Tableau119[[#This Row],[POD]],"-",Tableau119[[#This Row],[Code PFI]],"-",Tableau119[[#This Row],[Compte Consignee]])</f>
        <v>TRIZT---90017000</v>
      </c>
      <c r="H92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119640JPSMZOYAK MONT</v>
      </c>
      <c r="I920" s="434" t="str">
        <f>_xlfn.CONCAT(Tableau119[[#This Row],[ID]],"-",Tableau119[[#This Row],[Expiration Date]])</f>
        <v>1010-46142</v>
      </c>
      <c r="J92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Forwarder-Jatco Japon-1010-JPSMZ-CMA-CGM-TRIZT--46142</v>
      </c>
      <c r="K920" s="119" t="str">
        <f ca="1">IF(COUNTIF(J:J,Tableau119[[#This Row],[Plant-ILN-shipper-POL-Carrier-POD-PFI]])=1,"Non","Oui")</f>
        <v>Non</v>
      </c>
      <c r="L920" s="128" t="str">
        <f>VLOOKUP(Tableau119[[#This Row],[Name Site]],Plant_AILN!A:D,4,FALSE)</f>
        <v>TURKEY</v>
      </c>
      <c r="M920" s="415" t="s">
        <v>173</v>
      </c>
      <c r="N920" s="455">
        <f>VLOOKUP(Tableau119[[#This Row],[Name Site]],Plant_AILN!A:C,3,FALSE)</f>
        <v>90017000</v>
      </c>
      <c r="O920" s="104">
        <f>IF(Tableau119[[#This Row],[Name PFI/CDD]]="PFI VLL",2,VLOOKUP(Tableau119[[#This Row],[Compte Consignee]],Order!C:D,2,FALSE))</f>
        <v>7</v>
      </c>
      <c r="P920" s="126" t="s">
        <v>146</v>
      </c>
      <c r="Q920" s="366">
        <f>VLOOKUP(Tableau119[[#This Row],[Name ILN]],Plant_AILN!F:G,2,FALSE)</f>
        <v>0</v>
      </c>
      <c r="R920" s="81">
        <f>VLOOKUP(Tableau119[[#This Row],[Compte ILN]],'DATA ILN'!D:I,6,FALSE)</f>
        <v>9</v>
      </c>
      <c r="S920" s="81">
        <f>IFERROR(VLOOKUP(Tableau119[[#This Row],[Key(Compte ILN - shipper - POL - plant)]],'DATA ILN'!A:J,10,FALSE),VLOOKUP(Tableau119[[#This Row],[Key(Compte ILN - shipper - POL)]],'DATA ILN'!B:J,9,FALSE))</f>
        <v>14</v>
      </c>
      <c r="T920" s="81">
        <f>IFERROR(VLOOKUP(Tableau119[[#This Row],[Key(Compte ILN - shipper - POL - plant)]],'DATA ILN'!A:K,11,FALSE),VLOOKUP(Tableau119[[#This Row],[Key(Compte ILN - shipper - POL)]],'DATA ILN'!B:K,10,FALSE))</f>
        <v>5</v>
      </c>
      <c r="U920" s="81">
        <f>IFERROR(VLOOKUP(Tableau119[[#This Row],[Key(Compte ILN - shipper - POL - plant)]],'DATA ILN'!A:L,12,FALSE),VLOOKUP(Tableau119[[#This Row],[Key(Compte ILN - shipper - POL)]],'DATA ILN'!B:L,11,FALSE))</f>
        <v>7</v>
      </c>
      <c r="V920" s="81">
        <f>Tableau119[[#This Row],[Day ILN Order]]+Tableau119[[#This Row],[Delivery time to ILN/Shipper]]-1</f>
        <v>22</v>
      </c>
      <c r="W920" s="81">
        <f>IFERROR(VLOOKUP(Tableau119[[#This Row],[Key(Compte ILN - shipper - POL - plant)]],'DATA ILN'!A:N,14,FALSE),VLOOKUP(Tableau119[[#This Row],[Key(Compte ILN - shipper - POL)]],'DATA ILN'!B:N,13,FALSE))</f>
        <v>1</v>
      </c>
      <c r="X920" s="81">
        <f>IFERROR(VLOOKUP(Tableau119[[#This Row],[Key(Compte ILN - shipper - POL - plant)]],'DATA ILN'!A:P,16,FALSE),VLOOKUP(Tableau119[[#This Row],[Key(Compte ILN - shipper - POL)]],'DATA ILN'!B:P,15,FALSE))</f>
        <v>3</v>
      </c>
      <c r="Y920" s="102" t="s">
        <v>178</v>
      </c>
      <c r="Z920" s="417">
        <f>IFERROR(VLOOKUP(Tableau119[[#This Row],[Name Shipper]],Plant_AILN!L:M,2,FALSE),0)</f>
        <v>119640</v>
      </c>
      <c r="AA920" s="416">
        <v>1010</v>
      </c>
      <c r="AB920" s="396" t="str">
        <f>_xlfn.XLOOKUP(Tableau119[[#This Row],[Key(ID-date)]],'DATA BTO'!S:S,'DATA BTO'!E:E,FALSE)</f>
        <v>JPSMZ</v>
      </c>
      <c r="AC920" s="3" t="str">
        <f>_xlfn.XLOOKUP(Tableau119[[#This Row],[Key(ID-date)]],'DATA BTO'!S:S,'DATA BTO'!F:F,FALSE)</f>
        <v>CMA-CGM</v>
      </c>
      <c r="AD920" s="50">
        <f>_xlfn.XLOOKUP(Tableau119[[#This Row],[Key(ID-date)]],'DATA BTO'!S:S,'DATA BTO'!G:G,FALSE)</f>
        <v>2</v>
      </c>
      <c r="AE920" s="50">
        <f>_xlfn.XLOOKUP(Tableau119[[#This Row],[Key(ID-date)]],'DATA BTO'!S:S,'DATA BTO'!H:H,FALSE)</f>
        <v>4</v>
      </c>
      <c r="AF920" s="447">
        <f>IF(Tableau119[[#This Row],[First Day to POL]]&lt;=Tableau119[[#This Row],[Day Cut Off]],Tableau119[[#This Row],[Day ETD]],Tableau119[[#This Row],[Day ETD]]+7)</f>
        <v>11</v>
      </c>
      <c r="AG920" s="50">
        <f>_xlfn.XLOOKUP(Tableau119[[#This Row],[Key(ID-date)]],'DATA BTO'!S:S,'DATA BTO'!I:I,FALSE)</f>
        <v>71</v>
      </c>
      <c r="AH920" s="3" t="str">
        <f>_xlfn.XLOOKUP(Tableau119[[#This Row],[Key(ID-date)]],'DATA BTO'!S:S,'DATA BTO'!J:J,FALSE)</f>
        <v>TRIZT</v>
      </c>
      <c r="AI920" s="3">
        <f>_xlfn.XLOOKUP(Tableau119[[#This Row],[Key(ID-date)]],'DATA BTO'!S:S,'DATA BTO'!K:K,FALSE)</f>
        <v>3</v>
      </c>
      <c r="AJ920" s="50">
        <f>_xlfn.XLOOKUP(Tableau119[[#This Row],[Key(ID-date)]],'DATA BTO'!S:S,'DATA BTO'!L:L,FALSE)</f>
        <v>0</v>
      </c>
      <c r="AK920" s="53" t="str">
        <f>_xlfn.XLOOKUP(Tableau119[[#This Row],[Key(ID-date)]],'DATA BTO'!S:S,'DATA BTO'!N:N,FALSE)</f>
        <v>Max</v>
      </c>
      <c r="AL920" s="54">
        <f>VLOOKUP(Tableau119[[#This Row],[Key(POD -PFI- Usine)]],'DATA Consignee'!A:F,6,FALSE)</f>
        <v>4</v>
      </c>
      <c r="AM920" s="102"/>
      <c r="AN920" s="375" t="str">
        <f>IF(Tableau119[[#This Row],[Name PFI/CDD]]="","-",VLOOKUP(Tableau119[[#This Row],[Name PFI/CDD]],Plant_AILN!I:J,2,FALSE))</f>
        <v>-</v>
      </c>
      <c r="AO92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0" s="110">
        <f>VLOOKUP(Tableau119[[#This Row],[Key(POD -PFI- Usine)]],'DATA Consignee'!A:J,10,FALSE)</f>
        <v>0</v>
      </c>
      <c r="AR920" s="81">
        <f>VLOOKUP(Tableau119[[#This Row],[Key(POD -PFI- Usine)]],'DATA Consignee'!A:N,14,FALSE)</f>
        <v>3</v>
      </c>
      <c r="AS920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20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20" s="81">
        <f>Tableau119[[#This Row],[Transit time]]+Tableau119[[#This Row],[Time for security]]+Tableau119[[#This Row],[Time for security2 buffer]]</f>
        <v>74</v>
      </c>
      <c r="AV92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920" s="50">
        <f>Tableau119[[#This Row],[Leadtime SI2C]]+Tableau119[[#This Row],[First Receipt Days]]-Tableau119[[#This Row],[Day Customer Order]]+1</f>
        <v>113</v>
      </c>
      <c r="AX920" s="119">
        <f>IF(Tableau119[[#This Row],[Name ILN]]&lt;&gt;"SFK Freight Forwarder",Tableau119[[#This Row],[Cust. Leadtime]],Tableau119[[#This Row],[Leadtime SI2C]])</f>
        <v>97</v>
      </c>
      <c r="AY920" s="51" t="str">
        <f>_xlfn.XLOOKUP(Tableau119[[#This Row],[Key(ID-date)]],'DATA BTO'!S:S,'DATA BTO'!P:P,FALSE)</f>
        <v>Horse &gt; Renault BPH (MLP)</v>
      </c>
      <c r="AZ920" s="388">
        <v>46142</v>
      </c>
      <c r="BA920" s="81"/>
    </row>
    <row r="921" spans="2:53">
      <c r="B921" s="446" t="str">
        <f>_xlfn.CONCAT(Tableau119[[#This Row],[Name ILN]],"-",Tableau119[[#This Row],[Name Shipper]],"-",Tableau119[[#This Row],[Name Site]])</f>
        <v>SFK Freight Forwarder-Jatco Japon-OYAK MONT</v>
      </c>
      <c r="C921" s="66" t="str">
        <f>_xlfn.CONCAT(Tableau119[[#This Row],[Compte ILN]],"-",Tableau119[[#This Row],[Compte Shipper]],"-",Tableau119[[#This Row],[POL]],"-",Tableau119[[#This Row],[Compte Consignee]])</f>
        <v>0-119640-JPSMZ-90017000</v>
      </c>
      <c r="D921" s="66" t="str">
        <f>_xlfn.CONCAT(Tableau119[[#This Row],[Compte ILN]],"-",Tableau119[[#This Row],[Compte Shipper]],"-",Tableau119[[#This Row],[POL]])</f>
        <v>0-119640-JPSMZ</v>
      </c>
      <c r="E921" s="130" t="str">
        <f>_xlfn.CONCAT(Tableau119[[#This Row],[POL]],"-",Tableau119[[#This Row],[Carrier]],"-",Tableau119[[#This Row],[POD]])</f>
        <v>JPSMZ-CMA-CGM-TRIZT</v>
      </c>
      <c r="F921" s="66" t="str">
        <f>_xlfn.CONCAT(Tableau119[[#This Row],[ID]],"-","Actif")</f>
        <v>1010-Actif</v>
      </c>
      <c r="G921" s="66" t="str">
        <f>_xlfn.CONCAT(Tableau119[[#This Row],[POD]],"-",Tableau119[[#This Row],[Code PFI]],"-",Tableau119[[#This Row],[Compte Consignee]])</f>
        <v>TRIZT---90017000</v>
      </c>
      <c r="H92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119640JPSMZOYAK MONT</v>
      </c>
      <c r="I921" s="434" t="str">
        <f>_xlfn.CONCAT(Tableau119[[#This Row],[ID]],"-",Tableau119[[#This Row],[Expiration Date]])</f>
        <v>1010-45882</v>
      </c>
      <c r="J92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Forwarder-Jatco Japon-1010-JPSMZ-CMA-CGM-TRIZT--45882</v>
      </c>
      <c r="K921" s="119" t="str">
        <f ca="1">IF(COUNTIF(J:J,Tableau119[[#This Row],[Plant-ILN-shipper-POL-Carrier-POD-PFI]])=1,"Non","Oui")</f>
        <v>Non</v>
      </c>
      <c r="L921" s="128" t="str">
        <f>VLOOKUP(Tableau119[[#This Row],[Name Site]],Plant_AILN!A:D,4,FALSE)</f>
        <v>TURKEY</v>
      </c>
      <c r="M921" s="411" t="s">
        <v>173</v>
      </c>
      <c r="N921" s="454">
        <f>VLOOKUP(Tableau119[[#This Row],[Name Site]],Plant_AILN!A:C,3,FALSE)</f>
        <v>90017000</v>
      </c>
      <c r="O921" s="55">
        <f>VLOOKUP(Tableau119[[#This Row],[Compte Consignee]],Order!C:D,2,FALSE)</f>
        <v>7</v>
      </c>
      <c r="P921" s="124" t="s">
        <v>146</v>
      </c>
      <c r="Q921" s="365">
        <f>VLOOKUP(Tableau119[[#This Row],[Name ILN]],Plant_AILN!F:G,2,FALSE)</f>
        <v>0</v>
      </c>
      <c r="R921" s="50">
        <f>VLOOKUP(Tableau119[[#This Row],[Compte ILN]],'DATA ILN'!D:I,6,FALSE)</f>
        <v>9</v>
      </c>
      <c r="S921" s="50">
        <f>IFERROR(VLOOKUP(Tableau119[[#This Row],[Key(Compte ILN - shipper - POL - plant)]],'DATA ILN'!A:J,10,FALSE),VLOOKUP(Tableau119[[#This Row],[Key(Compte ILN - shipper - POL)]],'DATA ILN'!B:J,9,FALSE))</f>
        <v>14</v>
      </c>
      <c r="T921" s="50">
        <f>IFERROR(VLOOKUP(Tableau119[[#This Row],[Key(Compte ILN - shipper - POL - plant)]],'DATA ILN'!A:K,11,FALSE),VLOOKUP(Tableau119[[#This Row],[Key(Compte ILN - shipper - POL)]],'DATA ILN'!B:K,10,FALSE))</f>
        <v>5</v>
      </c>
      <c r="U921" s="50">
        <f>IFERROR(VLOOKUP(Tableau119[[#This Row],[Key(Compte ILN - shipper - POL - plant)]],'DATA ILN'!A:L,12,FALSE),VLOOKUP(Tableau119[[#This Row],[Key(Compte ILN - shipper - POL)]],'DATA ILN'!B:L,11,FALSE))</f>
        <v>7</v>
      </c>
      <c r="V921" s="50">
        <f>Tableau119[[#This Row],[Day ILN Order]]+Tableau119[[#This Row],[Delivery time to ILN/Shipper]]-1</f>
        <v>22</v>
      </c>
      <c r="W921" s="50">
        <f>IFERROR(VLOOKUP(Tableau119[[#This Row],[Key(Compte ILN - shipper - POL - plant)]],'DATA ILN'!A:N,14,FALSE),VLOOKUP(Tableau119[[#This Row],[Key(Compte ILN - shipper - POL)]],'DATA ILN'!B:N,13,FALSE))</f>
        <v>1</v>
      </c>
      <c r="X921" s="50">
        <f>IFERROR(VLOOKUP(Tableau119[[#This Row],[Key(Compte ILN - shipper - POL - plant)]],'DATA ILN'!A:P,16,FALSE),VLOOKUP(Tableau119[[#This Row],[Key(Compte ILN - shipper - POL)]],'DATA ILN'!B:P,15,FALSE))</f>
        <v>3</v>
      </c>
      <c r="Y921" s="284" t="s">
        <v>178</v>
      </c>
      <c r="Z921" s="430">
        <f>IFERROR(VLOOKUP(Tableau119[[#This Row],[Name Shipper]],Plant_AILN!L:M,2,FALSE),0)</f>
        <v>119640</v>
      </c>
      <c r="AA921" s="406">
        <v>1010</v>
      </c>
      <c r="AB921" s="396" t="str">
        <f>_xlfn.XLOOKUP(Tableau119[[#This Row],[Key(ID-date)]],'DATA BTO'!S:S,'DATA BTO'!E:E,FALSE)</f>
        <v>JPSMZ</v>
      </c>
      <c r="AC921" s="3" t="str">
        <f>_xlfn.XLOOKUP(Tableau119[[#This Row],[Key(ID-date)]],'DATA BTO'!S:S,'DATA BTO'!F:F,FALSE)</f>
        <v>CMA-CGM</v>
      </c>
      <c r="AD921" s="50">
        <f>_xlfn.XLOOKUP(Tableau119[[#This Row],[Key(ID-date)]],'DATA BTO'!S:S,'DATA BTO'!G:G,FALSE)</f>
        <v>2</v>
      </c>
      <c r="AE921" s="50">
        <f>_xlfn.XLOOKUP(Tableau119[[#This Row],[Key(ID-date)]],'DATA BTO'!S:S,'DATA BTO'!H:H,FALSE)</f>
        <v>4</v>
      </c>
      <c r="AF921" s="447">
        <f>IF(Tableau119[[#This Row],[First Day to POL]]&lt;=Tableau119[[#This Row],[Day Cut Off]],Tableau119[[#This Row],[Day ETD]],Tableau119[[#This Row],[Day ETD]]+7)</f>
        <v>11</v>
      </c>
      <c r="AG921" s="50">
        <f>_xlfn.XLOOKUP(Tableau119[[#This Row],[Key(ID-date)]],'DATA BTO'!S:S,'DATA BTO'!I:I,FALSE)</f>
        <v>62</v>
      </c>
      <c r="AH921" s="3" t="str">
        <f>_xlfn.XLOOKUP(Tableau119[[#This Row],[Key(ID-date)]],'DATA BTO'!S:S,'DATA BTO'!J:J,FALSE)</f>
        <v>TRIZT</v>
      </c>
      <c r="AI921" s="3">
        <f>_xlfn.XLOOKUP(Tableau119[[#This Row],[Key(ID-date)]],'DATA BTO'!S:S,'DATA BTO'!K:K,FALSE)</f>
        <v>3</v>
      </c>
      <c r="AJ921" s="50">
        <f>_xlfn.XLOOKUP(Tableau119[[#This Row],[Key(ID-date)]],'DATA BTO'!S:S,'DATA BTO'!L:L,FALSE)</f>
        <v>0</v>
      </c>
      <c r="AK921" s="53" t="str">
        <f>_xlfn.XLOOKUP(Tableau119[[#This Row],[Key(ID-date)]],'DATA BTO'!S:S,'DATA BTO'!N:N,FALSE)</f>
        <v>Max</v>
      </c>
      <c r="AL921" s="54">
        <f>VLOOKUP(Tableau119[[#This Row],[Key(POD -PFI- Usine)]],'DATA Consignee'!A:F,6,FALSE)</f>
        <v>4</v>
      </c>
      <c r="AM921" s="284"/>
      <c r="AN921" s="376" t="str">
        <f>IF(Tableau119[[#This Row],[Name PFI/CDD]]="","-",VLOOKUP(Tableau119[[#This Row],[Name PFI/CDD]],Plant_AILN!I:J,2,FALSE))</f>
        <v>-</v>
      </c>
      <c r="AO92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1" s="2">
        <f>VLOOKUP(Tableau119[[#This Row],[Key(POD -PFI- Usine)]],'DATA Consignee'!A:J,10,FALSE)</f>
        <v>0</v>
      </c>
      <c r="AR921" s="50">
        <f>VLOOKUP(Tableau119[[#This Row],[Key(POD -PFI- Usine)]],'DATA Consignee'!A:N,14,FALSE)</f>
        <v>3</v>
      </c>
      <c r="AS92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92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21" s="50">
        <f>Tableau119[[#This Row],[Transit time]]+Tableau119[[#This Row],[Time for security]]+Tableau119[[#This Row],[Time for security2 buffer]]</f>
        <v>65</v>
      </c>
      <c r="AV92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21" s="50">
        <f>Tableau119[[#This Row],[Leadtime SI2C]]+Tableau119[[#This Row],[First Receipt Days]]-Tableau119[[#This Row],[Day Customer Order]]+1</f>
        <v>106</v>
      </c>
      <c r="AX921" s="119">
        <f>IF(Tableau119[[#This Row],[Name ILN]]&lt;&gt;"SFK Freight Forwarder",Tableau119[[#This Row],[Cust. Leadtime]],Tableau119[[#This Row],[Leadtime SI2C]])</f>
        <v>90</v>
      </c>
      <c r="AY921" s="51" t="str">
        <f>_xlfn.XLOOKUP(Tableau119[[#This Row],[Key(ID-date)]],'DATA BTO'!S:S,'DATA BTO'!P:P,FALSE)</f>
        <v>Horse &gt; Renault BPH (MLP)</v>
      </c>
      <c r="AZ921" s="338">
        <v>45882</v>
      </c>
      <c r="BA921" s="50"/>
    </row>
    <row r="922" spans="2:53">
      <c r="B922" s="446" t="str">
        <f>_xlfn.CONCAT(Tableau119[[#This Row],[Name ILN]],"-",Tableau119[[#This Row],[Name Shipper]],"-",Tableau119[[#This Row],[Name Site]])</f>
        <v>SFK Freight Forwarder-Jatco Japon-OYAK MONT</v>
      </c>
      <c r="C922" s="66" t="str">
        <f>_xlfn.CONCAT(Tableau119[[#This Row],[Compte ILN]],"-",Tableau119[[#This Row],[Compte Shipper]],"-",Tableau119[[#This Row],[POL]],"-",Tableau119[[#This Row],[Compte Consignee]])</f>
        <v>0-119640-JPSMZ-90017000</v>
      </c>
      <c r="D922" s="66" t="str">
        <f>_xlfn.CONCAT(Tableau119[[#This Row],[Compte ILN]],"-",Tableau119[[#This Row],[Compte Shipper]],"-",Tableau119[[#This Row],[POL]])</f>
        <v>0-119640-JPSMZ</v>
      </c>
      <c r="E922" s="130" t="str">
        <f>_xlfn.CONCAT(Tableau119[[#This Row],[POL]],"-",Tableau119[[#This Row],[Carrier]],"-",Tableau119[[#This Row],[POD]])</f>
        <v>JPSMZ-CMA-CGM-TRIZT</v>
      </c>
      <c r="F922" s="66" t="str">
        <f>_xlfn.CONCAT(Tableau119[[#This Row],[ID]],"-","Actif")</f>
        <v>1010-Actif</v>
      </c>
      <c r="G922" s="66" t="str">
        <f>_xlfn.CONCAT(Tableau119[[#This Row],[POD]],"-",Tableau119[[#This Row],[Code PFI]],"-",Tableau119[[#This Row],[Compte Consignee]])</f>
        <v>TRIZT---90017000</v>
      </c>
      <c r="H92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119640JPSMZOYAK MONT</v>
      </c>
      <c r="I922" s="434" t="str">
        <f>_xlfn.CONCAT(Tableau119[[#This Row],[ID]],"-",Tableau119[[#This Row],[Expiration Date]])</f>
        <v>1010-45777</v>
      </c>
      <c r="J92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Forwarder-Jatco Japon-1010-JPSMZ-CMA-CGM-TRIZT--45777</v>
      </c>
      <c r="K922" s="119" t="str">
        <f ca="1">IF(COUNTIF(J:J,Tableau119[[#This Row],[Plant-ILN-shipper-POL-Carrier-POD-PFI]])=1,"Non","Oui")</f>
        <v>Non</v>
      </c>
      <c r="L922" s="128" t="str">
        <f>VLOOKUP(Tableau119[[#This Row],[Name Site]],Plant_AILN!A:D,4,FALSE)</f>
        <v>TURKEY</v>
      </c>
      <c r="M922" s="411" t="s">
        <v>173</v>
      </c>
      <c r="N922" s="454">
        <f>VLOOKUP(Tableau119[[#This Row],[Name Site]],Plant_AILN!A:C,3,FALSE)</f>
        <v>90017000</v>
      </c>
      <c r="O922" s="55">
        <f>VLOOKUP(Tableau119[[#This Row],[Compte Consignee]],Order!C:D,2,FALSE)</f>
        <v>7</v>
      </c>
      <c r="P922" s="124" t="s">
        <v>146</v>
      </c>
      <c r="Q922" s="365">
        <f>VLOOKUP(Tableau119[[#This Row],[Name ILN]],Plant_AILN!F:G,2,FALSE)</f>
        <v>0</v>
      </c>
      <c r="R922" s="50">
        <f>VLOOKUP(Tableau119[[#This Row],[Compte ILN]],'DATA ILN'!D:I,6,FALSE)</f>
        <v>9</v>
      </c>
      <c r="S922" s="50">
        <f>IFERROR(VLOOKUP(Tableau119[[#This Row],[Key(Compte ILN - shipper - POL - plant)]],'DATA ILN'!A:J,10,FALSE),VLOOKUP(Tableau119[[#This Row],[Key(Compte ILN - shipper - POL)]],'DATA ILN'!B:J,9,FALSE))</f>
        <v>14</v>
      </c>
      <c r="T922" s="50">
        <f>IFERROR(VLOOKUP(Tableau119[[#This Row],[Key(Compte ILN - shipper - POL - plant)]],'DATA ILN'!A:K,11,FALSE),VLOOKUP(Tableau119[[#This Row],[Key(Compte ILN - shipper - POL)]],'DATA ILN'!B:K,10,FALSE))</f>
        <v>5</v>
      </c>
      <c r="U922" s="50">
        <f>IFERROR(VLOOKUP(Tableau119[[#This Row],[Key(Compte ILN - shipper - POL - plant)]],'DATA ILN'!A:L,12,FALSE),VLOOKUP(Tableau119[[#This Row],[Key(Compte ILN - shipper - POL)]],'DATA ILN'!B:L,11,FALSE))</f>
        <v>7</v>
      </c>
      <c r="V922" s="50">
        <f>Tableau119[[#This Row],[Day ILN Order]]+Tableau119[[#This Row],[Delivery time to ILN/Shipper]]-1</f>
        <v>22</v>
      </c>
      <c r="W922" s="50">
        <f>IFERROR(VLOOKUP(Tableau119[[#This Row],[Key(Compte ILN - shipper - POL - plant)]],'DATA ILN'!A:N,14,FALSE),VLOOKUP(Tableau119[[#This Row],[Key(Compte ILN - shipper - POL)]],'DATA ILN'!B:N,13,FALSE))</f>
        <v>1</v>
      </c>
      <c r="X922" s="50">
        <f>IFERROR(VLOOKUP(Tableau119[[#This Row],[Key(Compte ILN - shipper - POL - plant)]],'DATA ILN'!A:P,16,FALSE),VLOOKUP(Tableau119[[#This Row],[Key(Compte ILN - shipper - POL)]],'DATA ILN'!B:P,15,FALSE))</f>
        <v>3</v>
      </c>
      <c r="Y922" s="284" t="s">
        <v>178</v>
      </c>
      <c r="Z922" s="430">
        <f>IFERROR(VLOOKUP(Tableau119[[#This Row],[Name Shipper]],Plant_AILN!L:M,2,FALSE),0)</f>
        <v>119640</v>
      </c>
      <c r="AA922" s="406">
        <v>1010</v>
      </c>
      <c r="AB922" s="396" t="str">
        <f>_xlfn.XLOOKUP(Tableau119[[#This Row],[Key(ID-date)]],'DATA BTO'!S:S,'DATA BTO'!E:E,FALSE)</f>
        <v>JPSMZ</v>
      </c>
      <c r="AC922" s="3" t="str">
        <f>_xlfn.XLOOKUP(Tableau119[[#This Row],[Key(ID-date)]],'DATA BTO'!S:S,'DATA BTO'!F:F,FALSE)</f>
        <v>CMA-CGM</v>
      </c>
      <c r="AD922" s="50">
        <f>_xlfn.XLOOKUP(Tableau119[[#This Row],[Key(ID-date)]],'DATA BTO'!S:S,'DATA BTO'!G:G,FALSE)</f>
        <v>2</v>
      </c>
      <c r="AE922" s="50">
        <f>_xlfn.XLOOKUP(Tableau119[[#This Row],[Key(ID-date)]],'DATA BTO'!S:S,'DATA BTO'!H:H,FALSE)</f>
        <v>4</v>
      </c>
      <c r="AF922" s="447">
        <f>IF(Tableau119[[#This Row],[First Day to POL]]&lt;=Tableau119[[#This Row],[Day Cut Off]],Tableau119[[#This Row],[Day ETD]],Tableau119[[#This Row],[Day ETD]]+7)</f>
        <v>11</v>
      </c>
      <c r="AG922" s="50">
        <f>_xlfn.XLOOKUP(Tableau119[[#This Row],[Key(ID-date)]],'DATA BTO'!S:S,'DATA BTO'!I:I,FALSE)</f>
        <v>57</v>
      </c>
      <c r="AH922" s="3" t="str">
        <f>_xlfn.XLOOKUP(Tableau119[[#This Row],[Key(ID-date)]],'DATA BTO'!S:S,'DATA BTO'!J:J,FALSE)</f>
        <v>TRIZT</v>
      </c>
      <c r="AI922" s="3">
        <f>_xlfn.XLOOKUP(Tableau119[[#This Row],[Key(ID-date)]],'DATA BTO'!S:S,'DATA BTO'!K:K,FALSE)</f>
        <v>3</v>
      </c>
      <c r="AJ922" s="50">
        <f>_xlfn.XLOOKUP(Tableau119[[#This Row],[Key(ID-date)]],'DATA BTO'!S:S,'DATA BTO'!L:L,FALSE)</f>
        <v>7</v>
      </c>
      <c r="AK922" s="53" t="str">
        <f>_xlfn.XLOOKUP(Tableau119[[#This Row],[Key(ID-date)]],'DATA BTO'!S:S,'DATA BTO'!N:N,FALSE)</f>
        <v>Max</v>
      </c>
      <c r="AL922" s="54">
        <f>VLOOKUP(Tableau119[[#This Row],[Key(POD -PFI- Usine)]],'DATA Consignee'!A:F,6,FALSE)</f>
        <v>4</v>
      </c>
      <c r="AM922" s="284"/>
      <c r="AN922" s="376" t="str">
        <f>IF(Tableau119[[#This Row],[Name PFI/CDD]]="","-",VLOOKUP(Tableau119[[#This Row],[Name PFI/CDD]],Plant_AILN!I:J,2,FALSE))</f>
        <v>-</v>
      </c>
      <c r="AO92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2" s="2">
        <f>VLOOKUP(Tableau119[[#This Row],[Key(POD -PFI- Usine)]],'DATA Consignee'!A:J,10,FALSE)</f>
        <v>0</v>
      </c>
      <c r="AR922" s="50">
        <f>VLOOKUP(Tableau119[[#This Row],[Key(POD -PFI- Usine)]],'DATA Consignee'!A:N,14,FALSE)</f>
        <v>3</v>
      </c>
      <c r="AS92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2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22" s="50">
        <f>Tableau119[[#This Row],[Transit time]]+Tableau119[[#This Row],[Time for security]]+Tableau119[[#This Row],[Time for security2 buffer]]</f>
        <v>67</v>
      </c>
      <c r="AV92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22" s="50">
        <f>Tableau119[[#This Row],[Leadtime SI2C]]+Tableau119[[#This Row],[First Receipt Days]]-Tableau119[[#This Row],[Day Customer Order]]+1</f>
        <v>106</v>
      </c>
      <c r="AX922" s="119">
        <f>IF(Tableau119[[#This Row],[Name ILN]]&lt;&gt;"SFK Freight Forwarder",Tableau119[[#This Row],[Cust. Leadtime]],Tableau119[[#This Row],[Leadtime SI2C]])</f>
        <v>90</v>
      </c>
      <c r="AY922" s="51" t="str">
        <f>_xlfn.XLOOKUP(Tableau119[[#This Row],[Key(ID-date)]],'DATA BTO'!S:S,'DATA BTO'!P:P,FALSE)</f>
        <v>Horse &gt; Renault BPH (MLP)</v>
      </c>
      <c r="AZ922" s="338">
        <v>45777</v>
      </c>
      <c r="BA922" s="50"/>
    </row>
    <row r="923" spans="2:53">
      <c r="B923" s="446" t="str">
        <f>_xlfn.CONCAT(Tableau119[[#This Row],[Name ILN]],"-",Tableau119[[#This Row],[Name Shipper]],"-",Tableau119[[#This Row],[Name Site]])</f>
        <v>SFK Freight Forwarder-Jatco Japon-RKM</v>
      </c>
      <c r="C923" s="66" t="str">
        <f>_xlfn.CONCAT(Tableau119[[#This Row],[Compte ILN]],"-",Tableau119[[#This Row],[Compte Shipper]],"-",Tableau119[[#This Row],[POL]],"-",Tableau119[[#This Row],[Compte Consignee]])</f>
        <v>0-119640-JPSMZ-92002200</v>
      </c>
      <c r="D923" s="66" t="str">
        <f>_xlfn.CONCAT(Tableau119[[#This Row],[Compte ILN]],"-",Tableau119[[#This Row],[Compte Shipper]],"-",Tableau119[[#This Row],[POL]])</f>
        <v>0-119640-JPSMZ</v>
      </c>
      <c r="E923" s="130" t="str">
        <f>_xlfn.CONCAT(Tableau119[[#This Row],[POL]],"-",Tableau119[[#This Row],[Carrier]],"-",Tableau119[[#This Row],[POD]])</f>
        <v>JPSMZ-ONE-KRPUS</v>
      </c>
      <c r="F923" s="66" t="str">
        <f>_xlfn.CONCAT(Tableau119[[#This Row],[ID]],"-","Actif")</f>
        <v>1011-Actif</v>
      </c>
      <c r="G923" s="66" t="str">
        <f>_xlfn.CONCAT(Tableau119[[#This Row],[POD]],"-",Tableau119[[#This Row],[Code PFI]],"-",Tableau119[[#This Row],[Compte Consignee]])</f>
        <v>KRPUS---92002200</v>
      </c>
      <c r="H92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119640JPSMZRKM</v>
      </c>
      <c r="I923" s="434" t="str">
        <f>_xlfn.CONCAT(Tableau119[[#This Row],[ID]],"-",Tableau119[[#This Row],[Expiration Date]])</f>
        <v>1011-46142</v>
      </c>
      <c r="J92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RKM-SFK Freight Forwarder-Jatco Japon-1011-JPSMZ-ONE-KRPUS--46142</v>
      </c>
      <c r="K923" s="119" t="str">
        <f ca="1">IF(COUNTIF(J:J,Tableau119[[#This Row],[Plant-ILN-shipper-POL-Carrier-POD-PFI]])=1,"Non","Oui")</f>
        <v>Non</v>
      </c>
      <c r="L923" s="128" t="str">
        <f>VLOOKUP(Tableau119[[#This Row],[Name Site]],Plant_AILN!A:D,4,FALSE)</f>
        <v>KOREA</v>
      </c>
      <c r="M923" s="411" t="s">
        <v>145</v>
      </c>
      <c r="N923" s="454">
        <f>VLOOKUP(Tableau119[[#This Row],[Name Site]],Plant_AILN!A:C,3,FALSE)</f>
        <v>92002200</v>
      </c>
      <c r="O923" s="55">
        <f>IF(Tableau119[[#This Row],[Name PFI/CDD]]="PFI VLL",2,VLOOKUP(Tableau119[[#This Row],[Compte Consignee]],Order!C:D,2,FALSE))</f>
        <v>2</v>
      </c>
      <c r="P923" s="124" t="s">
        <v>146</v>
      </c>
      <c r="Q923" s="365">
        <f>VLOOKUP(Tableau119[[#This Row],[Name ILN]],Plant_AILN!F:G,2,FALSE)</f>
        <v>0</v>
      </c>
      <c r="R923" s="50">
        <f>VLOOKUP(Tableau119[[#This Row],[Compte ILN]],'DATA ILN'!D:I,6,FALSE)</f>
        <v>9</v>
      </c>
      <c r="S923" s="50">
        <f>IFERROR(VLOOKUP(Tableau119[[#This Row],[Key(Compte ILN - shipper - POL - plant)]],'DATA ILN'!A:J,10,FALSE),VLOOKUP(Tableau119[[#This Row],[Key(Compte ILN - shipper - POL)]],'DATA ILN'!B:J,9,FALSE))</f>
        <v>14</v>
      </c>
      <c r="T923" s="50">
        <f>IFERROR(VLOOKUP(Tableau119[[#This Row],[Key(Compte ILN - shipper - POL - plant)]],'DATA ILN'!A:K,11,FALSE),VLOOKUP(Tableau119[[#This Row],[Key(Compte ILN - shipper - POL)]],'DATA ILN'!B:K,10,FALSE))</f>
        <v>5</v>
      </c>
      <c r="U923" s="50">
        <f>IFERROR(VLOOKUP(Tableau119[[#This Row],[Key(Compte ILN - shipper - POL - plant)]],'DATA ILN'!A:L,12,FALSE),VLOOKUP(Tableau119[[#This Row],[Key(Compte ILN - shipper - POL)]],'DATA ILN'!B:L,11,FALSE))</f>
        <v>7</v>
      </c>
      <c r="V923" s="50">
        <f>Tableau119[[#This Row],[Day ILN Order]]+Tableau119[[#This Row],[Delivery time to ILN/Shipper]]-1</f>
        <v>22</v>
      </c>
      <c r="W923" s="50">
        <f>IFERROR(VLOOKUP(Tableau119[[#This Row],[Key(Compte ILN - shipper - POL - plant)]],'DATA ILN'!A:N,14,FALSE),VLOOKUP(Tableau119[[#This Row],[Key(Compte ILN - shipper - POL)]],'DATA ILN'!B:N,13,FALSE))</f>
        <v>1</v>
      </c>
      <c r="X923" s="50">
        <f>IFERROR(VLOOKUP(Tableau119[[#This Row],[Key(Compte ILN - shipper - POL - plant)]],'DATA ILN'!A:P,16,FALSE),VLOOKUP(Tableau119[[#This Row],[Key(Compte ILN - shipper - POL)]],'DATA ILN'!B:P,15,FALSE))</f>
        <v>3</v>
      </c>
      <c r="Y923" s="284" t="s">
        <v>178</v>
      </c>
      <c r="Z923" s="430">
        <f>IFERROR(VLOOKUP(Tableau119[[#This Row],[Name Shipper]],Plant_AILN!L:M,2,FALSE),0)</f>
        <v>119640</v>
      </c>
      <c r="AA923" s="406">
        <v>1011</v>
      </c>
      <c r="AB923" s="396" t="str">
        <f>_xlfn.XLOOKUP(Tableau119[[#This Row],[Key(ID-date)]],'DATA BTO'!S:S,'DATA BTO'!E:E,FALSE)</f>
        <v>JPSMZ</v>
      </c>
      <c r="AC923" s="3" t="str">
        <f>_xlfn.XLOOKUP(Tableau119[[#This Row],[Key(ID-date)]],'DATA BTO'!S:S,'DATA BTO'!F:F,FALSE)</f>
        <v>ONE</v>
      </c>
      <c r="AD923" s="50">
        <f>_xlfn.XLOOKUP(Tableau119[[#This Row],[Key(ID-date)]],'DATA BTO'!S:S,'DATA BTO'!G:G,FALSE)</f>
        <v>5</v>
      </c>
      <c r="AE923" s="50">
        <f>_xlfn.XLOOKUP(Tableau119[[#This Row],[Key(ID-date)]],'DATA BTO'!S:S,'DATA BTO'!H:H,FALSE)</f>
        <v>6</v>
      </c>
      <c r="AF923" s="447">
        <f>IF(Tableau119[[#This Row],[First Day to POL]]&lt;=Tableau119[[#This Row],[Day Cut Off]],Tableau119[[#This Row],[Day ETD]],Tableau119[[#This Row],[Day ETD]]+7)</f>
        <v>6</v>
      </c>
      <c r="AG923" s="50">
        <f>_xlfn.XLOOKUP(Tableau119[[#This Row],[Key(ID-date)]],'DATA BTO'!S:S,'DATA BTO'!I:I,FALSE)</f>
        <v>7</v>
      </c>
      <c r="AH923" s="3" t="str">
        <f>_xlfn.XLOOKUP(Tableau119[[#This Row],[Key(ID-date)]],'DATA BTO'!S:S,'DATA BTO'!J:J,FALSE)</f>
        <v>KRPUS</v>
      </c>
      <c r="AI923" s="3">
        <f>_xlfn.XLOOKUP(Tableau119[[#This Row],[Key(ID-date)]],'DATA BTO'!S:S,'DATA BTO'!K:K,FALSE)</f>
        <v>3</v>
      </c>
      <c r="AJ923" s="50">
        <f>_xlfn.XLOOKUP(Tableau119[[#This Row],[Key(ID-date)]],'DATA BTO'!S:S,'DATA BTO'!L:L,FALSE)</f>
        <v>7</v>
      </c>
      <c r="AK923" s="53" t="str">
        <f>_xlfn.XLOOKUP(Tableau119[[#This Row],[Key(ID-date)]],'DATA BTO'!S:S,'DATA BTO'!N:N,FALSE)</f>
        <v>Max</v>
      </c>
      <c r="AL923" s="54">
        <f>VLOOKUP(Tableau119[[#This Row],[Key(POD -PFI- Usine)]],'DATA Consignee'!A:F,6,FALSE)</f>
        <v>2</v>
      </c>
      <c r="AM923" s="284"/>
      <c r="AN923" s="376" t="str">
        <f>IF(Tableau119[[#This Row],[Name PFI/CDD]]="","-",VLOOKUP(Tableau119[[#This Row],[Name PFI/CDD]],Plant_AILN!I:J,2,FALSE))</f>
        <v>-</v>
      </c>
      <c r="AO92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3" s="2">
        <f>VLOOKUP(Tableau119[[#This Row],[Key(POD -PFI- Usine)]],'DATA Consignee'!A:J,10,FALSE)</f>
        <v>0</v>
      </c>
      <c r="AR923" s="50">
        <f>VLOOKUP(Tableau119[[#This Row],[Key(POD -PFI- Usine)]],'DATA Consignee'!A:N,14,FALSE)</f>
        <v>1</v>
      </c>
      <c r="AS92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2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11</v>
      </c>
      <c r="AU923" s="50">
        <f>Tableau119[[#This Row],[Transit time]]+Tableau119[[#This Row],[Time for security]]+Tableau119[[#This Row],[Time for security2 buffer]]</f>
        <v>17</v>
      </c>
      <c r="AV92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34</v>
      </c>
      <c r="AW923" s="50">
        <f>Tableau119[[#This Row],[Leadtime SI2C]]+Tableau119[[#This Row],[First Receipt Days]]-Tableau119[[#This Row],[Day Customer Order]]+1</f>
        <v>55</v>
      </c>
      <c r="AX923" s="119">
        <f>IF(Tableau119[[#This Row],[Name ILN]]&lt;&gt;"SFK Freight Forwarder",Tableau119[[#This Row],[Cust. Leadtime]],Tableau119[[#This Row],[Leadtime SI2C]])</f>
        <v>34</v>
      </c>
      <c r="AY923" s="51" t="str">
        <f>_xlfn.XLOOKUP(Tableau119[[#This Row],[Key(ID-date)]],'DATA BTO'!S:S,'DATA BTO'!P:P,FALSE)</f>
        <v>Horse &gt; Renault BPH (MLP)</v>
      </c>
      <c r="AZ923" s="338">
        <v>46142</v>
      </c>
      <c r="BA923" s="50"/>
    </row>
    <row r="924" spans="2:53">
      <c r="B924" s="446" t="str">
        <f>_xlfn.CONCAT(Tableau119[[#This Row],[Name ILN]],"-",Tableau119[[#This Row],[Name Shipper]],"-",Tableau119[[#This Row],[Name Site]])</f>
        <v>SFK Freight Forwarder-Jatco Japon-CURITIBA CVP</v>
      </c>
      <c r="C924" s="66" t="str">
        <f>_xlfn.CONCAT(Tableau119[[#This Row],[Compte ILN]],"-",Tableau119[[#This Row],[Compte Shipper]],"-",Tableau119[[#This Row],[POL]],"-",Tableau119[[#This Row],[Compte Consignee]])</f>
        <v>0-119640-JPSMZ-90018000</v>
      </c>
      <c r="D924" s="66" t="str">
        <f>_xlfn.CONCAT(Tableau119[[#This Row],[Compte ILN]],"-",Tableau119[[#This Row],[Compte Shipper]],"-",Tableau119[[#This Row],[POL]])</f>
        <v>0-119640-JPSMZ</v>
      </c>
      <c r="E924" s="130" t="str">
        <f>_xlfn.CONCAT(Tableau119[[#This Row],[POL]],"-",Tableau119[[#This Row],[Carrier]],"-",Tableau119[[#This Row],[POD]])</f>
        <v>JPSMZ-CMA-CGM-BRPNG</v>
      </c>
      <c r="F924" s="66" t="str">
        <f>_xlfn.CONCAT(Tableau119[[#This Row],[ID]],"-","Actif")</f>
        <v>1012-Actif</v>
      </c>
      <c r="G924" s="66" t="str">
        <f>_xlfn.CONCAT(Tableau119[[#This Row],[POD]],"-",Tableau119[[#This Row],[Code PFI]],"-",Tableau119[[#This Row],[Compte Consignee]])</f>
        <v>BRPNG---90018000</v>
      </c>
      <c r="H92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119640JPSMZCURITIBA CVP</v>
      </c>
      <c r="I924" s="434" t="str">
        <f>_xlfn.CONCAT(Tableau119[[#This Row],[ID]],"-",Tableau119[[#This Row],[Expiration Date]])</f>
        <v>1012-46142</v>
      </c>
      <c r="J92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Forwarder-Jatco Japon-1012-JPSMZ-CMA-CGM-BRPNG--46142</v>
      </c>
      <c r="K924" s="119" t="str">
        <f ca="1">IF(COUNTIF(J:J,Tableau119[[#This Row],[Plant-ILN-shipper-POL-Carrier-POD-PFI]])=1,"Non","Oui")</f>
        <v>Non</v>
      </c>
      <c r="L924" s="128" t="str">
        <f>VLOOKUP(Tableau119[[#This Row],[Name Site]],Plant_AILN!A:D,4,FALSE)</f>
        <v>BRAZIL</v>
      </c>
      <c r="M924" s="415" t="s">
        <v>181</v>
      </c>
      <c r="N924" s="455">
        <f>VLOOKUP(Tableau119[[#This Row],[Name Site]],Plant_AILN!A:C,3,FALSE)</f>
        <v>90018000</v>
      </c>
      <c r="O924" s="104">
        <f>IF(Tableau119[[#This Row],[Name PFI/CDD]]="PFI VLL",2,VLOOKUP(Tableau119[[#This Row],[Compte Consignee]],Order!C:D,2,FALSE))</f>
        <v>7</v>
      </c>
      <c r="P924" s="126" t="s">
        <v>146</v>
      </c>
      <c r="Q924" s="366">
        <f>VLOOKUP(Tableau119[[#This Row],[Name ILN]],Plant_AILN!F:G,2,FALSE)</f>
        <v>0</v>
      </c>
      <c r="R924" s="81">
        <f>VLOOKUP(Tableau119[[#This Row],[Compte ILN]],'DATA ILN'!D:I,6,FALSE)</f>
        <v>9</v>
      </c>
      <c r="S924" s="81">
        <f>IFERROR(VLOOKUP(Tableau119[[#This Row],[Key(Compte ILN - shipper - POL - plant)]],'DATA ILN'!A:J,10,FALSE),VLOOKUP(Tableau119[[#This Row],[Key(Compte ILN - shipper - POL)]],'DATA ILN'!B:J,9,FALSE))</f>
        <v>14</v>
      </c>
      <c r="T924" s="81">
        <f>IFERROR(VLOOKUP(Tableau119[[#This Row],[Key(Compte ILN - shipper - POL - plant)]],'DATA ILN'!A:K,11,FALSE),VLOOKUP(Tableau119[[#This Row],[Key(Compte ILN - shipper - POL)]],'DATA ILN'!B:K,10,FALSE))</f>
        <v>5</v>
      </c>
      <c r="U924" s="81">
        <f>IFERROR(VLOOKUP(Tableau119[[#This Row],[Key(Compte ILN - shipper - POL - plant)]],'DATA ILN'!A:L,12,FALSE),VLOOKUP(Tableau119[[#This Row],[Key(Compte ILN - shipper - POL)]],'DATA ILN'!B:L,11,FALSE))</f>
        <v>7</v>
      </c>
      <c r="V924" s="81">
        <f>Tableau119[[#This Row],[Day ILN Order]]+Tableau119[[#This Row],[Delivery time to ILN/Shipper]]-1</f>
        <v>22</v>
      </c>
      <c r="W924" s="81">
        <f>IFERROR(VLOOKUP(Tableau119[[#This Row],[Key(Compte ILN - shipper - POL - plant)]],'DATA ILN'!A:N,14,FALSE),VLOOKUP(Tableau119[[#This Row],[Key(Compte ILN - shipper - POL)]],'DATA ILN'!B:N,13,FALSE))</f>
        <v>1</v>
      </c>
      <c r="X924" s="81">
        <f>IFERROR(VLOOKUP(Tableau119[[#This Row],[Key(Compte ILN - shipper - POL - plant)]],'DATA ILN'!A:P,16,FALSE),VLOOKUP(Tableau119[[#This Row],[Key(Compte ILN - shipper - POL)]],'DATA ILN'!B:P,15,FALSE))</f>
        <v>3</v>
      </c>
      <c r="Y924" s="102" t="s">
        <v>178</v>
      </c>
      <c r="Z924" s="417">
        <f>IFERROR(VLOOKUP(Tableau119[[#This Row],[Name Shipper]],Plant_AILN!L:M,2,FALSE),0)</f>
        <v>119640</v>
      </c>
      <c r="AA924" s="416">
        <v>1012</v>
      </c>
      <c r="AB924" s="396" t="str">
        <f>_xlfn.XLOOKUP(Tableau119[[#This Row],[Key(ID-date)]],'DATA BTO'!S:S,'DATA BTO'!E:E,FALSE)</f>
        <v>JPSMZ</v>
      </c>
      <c r="AC924" s="3" t="str">
        <f>_xlfn.XLOOKUP(Tableau119[[#This Row],[Key(ID-date)]],'DATA BTO'!S:S,'DATA BTO'!F:F,FALSE)</f>
        <v>CMA-CGM</v>
      </c>
      <c r="AD924" s="50">
        <f>_xlfn.XLOOKUP(Tableau119[[#This Row],[Key(ID-date)]],'DATA BTO'!S:S,'DATA BTO'!G:G,FALSE)</f>
        <v>2</v>
      </c>
      <c r="AE924" s="50">
        <f>_xlfn.XLOOKUP(Tableau119[[#This Row],[Key(ID-date)]],'DATA BTO'!S:S,'DATA BTO'!H:H,FALSE)</f>
        <v>4</v>
      </c>
      <c r="AF924" s="447">
        <f>IF(Tableau119[[#This Row],[First Day to POL]]&lt;=Tableau119[[#This Row],[Day Cut Off]],Tableau119[[#This Row],[Day ETD]],Tableau119[[#This Row],[Day ETD]]+7)</f>
        <v>11</v>
      </c>
      <c r="AG924" s="50">
        <f>_xlfn.XLOOKUP(Tableau119[[#This Row],[Key(ID-date)]],'DATA BTO'!S:S,'DATA BTO'!I:I,FALSE)</f>
        <v>57</v>
      </c>
      <c r="AH924" s="3" t="str">
        <f>_xlfn.XLOOKUP(Tableau119[[#This Row],[Key(ID-date)]],'DATA BTO'!S:S,'DATA BTO'!J:J,FALSE)</f>
        <v>BRPNG</v>
      </c>
      <c r="AI924" s="3">
        <f>_xlfn.XLOOKUP(Tableau119[[#This Row],[Key(ID-date)]],'DATA BTO'!S:S,'DATA BTO'!K:K,FALSE)</f>
        <v>3</v>
      </c>
      <c r="AJ924" s="50">
        <f>_xlfn.XLOOKUP(Tableau119[[#This Row],[Key(ID-date)]],'DATA BTO'!S:S,'DATA BTO'!L:L,FALSE)</f>
        <v>0</v>
      </c>
      <c r="AK924" s="53" t="str">
        <f>_xlfn.XLOOKUP(Tableau119[[#This Row],[Key(ID-date)]],'DATA BTO'!S:S,'DATA BTO'!N:N,FALSE)</f>
        <v>Max</v>
      </c>
      <c r="AL924" s="54">
        <f>VLOOKUP(Tableau119[[#This Row],[Key(POD -PFI- Usine)]],'DATA Consignee'!A:F,6,FALSE)</f>
        <v>2</v>
      </c>
      <c r="AM924" s="102"/>
      <c r="AN924" s="375" t="str">
        <f>IF(Tableau119[[#This Row],[Name PFI/CDD]]="","-",VLOOKUP(Tableau119[[#This Row],[Name PFI/CDD]],Plant_AILN!I:J,2,FALSE))</f>
        <v>-</v>
      </c>
      <c r="AO92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4" s="110">
        <f>VLOOKUP(Tableau119[[#This Row],[Key(POD -PFI- Usine)]],'DATA Consignee'!A:J,10,FALSE)</f>
        <v>0</v>
      </c>
      <c r="AR924" s="81">
        <f>VLOOKUP(Tableau119[[#This Row],[Key(POD -PFI- Usine)]],'DATA Consignee'!A:N,14,FALSE)</f>
        <v>2</v>
      </c>
      <c r="AS92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2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24" s="81">
        <f>Tableau119[[#This Row],[Transit time]]+Tableau119[[#This Row],[Time for security]]+Tableau119[[#This Row],[Time for security2 buffer]]</f>
        <v>60</v>
      </c>
      <c r="AV92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24" s="50">
        <f>Tableau119[[#This Row],[Leadtime SI2C]]+Tableau119[[#This Row],[First Receipt Days]]-Tableau119[[#This Row],[Day Customer Order]]+1</f>
        <v>99</v>
      </c>
      <c r="AX924" s="119">
        <f>IF(Tableau119[[#This Row],[Name ILN]]&lt;&gt;"SFK Freight Forwarder",Tableau119[[#This Row],[Cust. Leadtime]],Tableau119[[#This Row],[Leadtime SI2C]])</f>
        <v>83</v>
      </c>
      <c r="AY924" s="51" t="str">
        <f>_xlfn.XLOOKUP(Tableau119[[#This Row],[Key(ID-date)]],'DATA BTO'!S:S,'DATA BTO'!P:P,FALSE)</f>
        <v>Horse &gt; Renault BPH (MLP)</v>
      </c>
      <c r="AZ924" s="388">
        <v>46142</v>
      </c>
      <c r="BA924" s="81"/>
    </row>
    <row r="925" spans="2:53">
      <c r="B925" s="446" t="str">
        <f>_xlfn.CONCAT(Tableau119[[#This Row],[Name ILN]],"-",Tableau119[[#This Row],[Name Shipper]],"-",Tableau119[[#This Row],[Name Site]])</f>
        <v>SFK Freight Forwarder-Jatco Japon-CURITIBA CVP</v>
      </c>
      <c r="C925" s="66" t="str">
        <f>_xlfn.CONCAT(Tableau119[[#This Row],[Compte ILN]],"-",Tableau119[[#This Row],[Compte Shipper]],"-",Tableau119[[#This Row],[POL]],"-",Tableau119[[#This Row],[Compte Consignee]])</f>
        <v>0-119640-JPSMZ-90018000</v>
      </c>
      <c r="D925" s="66" t="str">
        <f>_xlfn.CONCAT(Tableau119[[#This Row],[Compte ILN]],"-",Tableau119[[#This Row],[Compte Shipper]],"-",Tableau119[[#This Row],[POL]])</f>
        <v>0-119640-JPSMZ</v>
      </c>
      <c r="E925" s="130" t="str">
        <f>_xlfn.CONCAT(Tableau119[[#This Row],[POL]],"-",Tableau119[[#This Row],[Carrier]],"-",Tableau119[[#This Row],[POD]])</f>
        <v>JPSMZ-CMA-CGM-BRPNG</v>
      </c>
      <c r="F925" s="66" t="str">
        <f>_xlfn.CONCAT(Tableau119[[#This Row],[ID]],"-","Actif")</f>
        <v>1012-Actif</v>
      </c>
      <c r="G925" s="66" t="str">
        <f>_xlfn.CONCAT(Tableau119[[#This Row],[POD]],"-",Tableau119[[#This Row],[Code PFI]],"-",Tableau119[[#This Row],[Compte Consignee]])</f>
        <v>BRPNG---90018000</v>
      </c>
      <c r="H92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119640JPSMZCURITIBA CVP</v>
      </c>
      <c r="I925" s="434" t="str">
        <f>_xlfn.CONCAT(Tableau119[[#This Row],[ID]],"-",Tableau119[[#This Row],[Expiration Date]])</f>
        <v>1012-45777</v>
      </c>
      <c r="J92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Forwarder-Jatco Japon-1012-JPSMZ-CMA-CGM-BRPNG--45777</v>
      </c>
      <c r="K925" s="119" t="str">
        <f ca="1">IF(COUNTIF(J:J,Tableau119[[#This Row],[Plant-ILN-shipper-POL-Carrier-POD-PFI]])=1,"Non","Oui")</f>
        <v>Non</v>
      </c>
      <c r="L925" s="128" t="str">
        <f>VLOOKUP(Tableau119[[#This Row],[Name Site]],Plant_AILN!A:D,4,FALSE)</f>
        <v>BRAZIL</v>
      </c>
      <c r="M925" s="411" t="s">
        <v>181</v>
      </c>
      <c r="N925" s="454">
        <f>VLOOKUP(Tableau119[[#This Row],[Name Site]],Plant_AILN!A:C,3,FALSE)</f>
        <v>90018000</v>
      </c>
      <c r="O925" s="55">
        <f>VLOOKUP(Tableau119[[#This Row],[Compte Consignee]],Order!C:D,2,FALSE)</f>
        <v>7</v>
      </c>
      <c r="P925" s="124" t="s">
        <v>146</v>
      </c>
      <c r="Q925" s="365">
        <f>VLOOKUP(Tableau119[[#This Row],[Name ILN]],Plant_AILN!F:G,2,FALSE)</f>
        <v>0</v>
      </c>
      <c r="R925" s="50">
        <f>VLOOKUP(Tableau119[[#This Row],[Compte ILN]],'DATA ILN'!D:I,6,FALSE)</f>
        <v>9</v>
      </c>
      <c r="S925" s="50">
        <f>IFERROR(VLOOKUP(Tableau119[[#This Row],[Key(Compte ILN - shipper - POL - plant)]],'DATA ILN'!A:J,10,FALSE),VLOOKUP(Tableau119[[#This Row],[Key(Compte ILN - shipper - POL)]],'DATA ILN'!B:J,9,FALSE))</f>
        <v>14</v>
      </c>
      <c r="T925" s="50">
        <f>IFERROR(VLOOKUP(Tableau119[[#This Row],[Key(Compte ILN - shipper - POL - plant)]],'DATA ILN'!A:K,11,FALSE),VLOOKUP(Tableau119[[#This Row],[Key(Compte ILN - shipper - POL)]],'DATA ILN'!B:K,10,FALSE))</f>
        <v>5</v>
      </c>
      <c r="U925" s="50">
        <f>IFERROR(VLOOKUP(Tableau119[[#This Row],[Key(Compte ILN - shipper - POL - plant)]],'DATA ILN'!A:L,12,FALSE),VLOOKUP(Tableau119[[#This Row],[Key(Compte ILN - shipper - POL)]],'DATA ILN'!B:L,11,FALSE))</f>
        <v>7</v>
      </c>
      <c r="V925" s="50">
        <f>Tableau119[[#This Row],[Day ILN Order]]+Tableau119[[#This Row],[Delivery time to ILN/Shipper]]-1</f>
        <v>22</v>
      </c>
      <c r="W925" s="50">
        <f>IFERROR(VLOOKUP(Tableau119[[#This Row],[Key(Compte ILN - shipper - POL - plant)]],'DATA ILN'!A:N,14,FALSE),VLOOKUP(Tableau119[[#This Row],[Key(Compte ILN - shipper - POL)]],'DATA ILN'!B:N,13,FALSE))</f>
        <v>1</v>
      </c>
      <c r="X925" s="50">
        <f>IFERROR(VLOOKUP(Tableau119[[#This Row],[Key(Compte ILN - shipper - POL - plant)]],'DATA ILN'!A:P,16,FALSE),VLOOKUP(Tableau119[[#This Row],[Key(Compte ILN - shipper - POL)]],'DATA ILN'!B:P,15,FALSE))</f>
        <v>3</v>
      </c>
      <c r="Y925" s="284" t="s">
        <v>178</v>
      </c>
      <c r="Z925" s="430">
        <f>IFERROR(VLOOKUP(Tableau119[[#This Row],[Name Shipper]],Plant_AILN!L:M,2,FALSE),0)</f>
        <v>119640</v>
      </c>
      <c r="AA925" s="406">
        <v>1012</v>
      </c>
      <c r="AB925" s="396" t="str">
        <f>_xlfn.XLOOKUP(Tableau119[[#This Row],[Key(ID-date)]],'DATA BTO'!S:S,'DATA BTO'!E:E,FALSE)</f>
        <v>JPSMZ</v>
      </c>
      <c r="AC925" s="3" t="str">
        <f>_xlfn.XLOOKUP(Tableau119[[#This Row],[Key(ID-date)]],'DATA BTO'!S:S,'DATA BTO'!F:F,FALSE)</f>
        <v>CMA-CGM</v>
      </c>
      <c r="AD925" s="50">
        <f>_xlfn.XLOOKUP(Tableau119[[#This Row],[Key(ID-date)]],'DATA BTO'!S:S,'DATA BTO'!G:G,FALSE)</f>
        <v>2</v>
      </c>
      <c r="AE925" s="50">
        <f>_xlfn.XLOOKUP(Tableau119[[#This Row],[Key(ID-date)]],'DATA BTO'!S:S,'DATA BTO'!H:H,FALSE)</f>
        <v>4</v>
      </c>
      <c r="AF925" s="447">
        <f>IF(Tableau119[[#This Row],[First Day to POL]]&lt;=Tableau119[[#This Row],[Day Cut Off]],Tableau119[[#This Row],[Day ETD]],Tableau119[[#This Row],[Day ETD]]+7)</f>
        <v>11</v>
      </c>
      <c r="AG925" s="50">
        <f>_xlfn.XLOOKUP(Tableau119[[#This Row],[Key(ID-date)]],'DATA BTO'!S:S,'DATA BTO'!I:I,FALSE)</f>
        <v>47</v>
      </c>
      <c r="AH925" s="3" t="str">
        <f>_xlfn.XLOOKUP(Tableau119[[#This Row],[Key(ID-date)]],'DATA BTO'!S:S,'DATA BTO'!J:J,FALSE)</f>
        <v>BRPNG</v>
      </c>
      <c r="AI925" s="3">
        <f>_xlfn.XLOOKUP(Tableau119[[#This Row],[Key(ID-date)]],'DATA BTO'!S:S,'DATA BTO'!K:K,FALSE)</f>
        <v>3</v>
      </c>
      <c r="AJ925" s="50">
        <f>_xlfn.XLOOKUP(Tableau119[[#This Row],[Key(ID-date)]],'DATA BTO'!S:S,'DATA BTO'!L:L,FALSE)</f>
        <v>7</v>
      </c>
      <c r="AK925" s="53" t="str">
        <f>_xlfn.XLOOKUP(Tableau119[[#This Row],[Key(ID-date)]],'DATA BTO'!S:S,'DATA BTO'!N:N,FALSE)</f>
        <v>Max</v>
      </c>
      <c r="AL925" s="54">
        <f>VLOOKUP(Tableau119[[#This Row],[Key(POD -PFI- Usine)]],'DATA Consignee'!A:F,6,FALSE)</f>
        <v>2</v>
      </c>
      <c r="AM925" s="284"/>
      <c r="AN925" s="376" t="str">
        <f>IF(Tableau119[[#This Row],[Name PFI/CDD]]="","-",VLOOKUP(Tableau119[[#This Row],[Name PFI/CDD]],Plant_AILN!I:J,2,FALSE))</f>
        <v>-</v>
      </c>
      <c r="AO92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5" s="2">
        <f>VLOOKUP(Tableau119[[#This Row],[Key(POD -PFI- Usine)]],'DATA Consignee'!A:J,10,FALSE)</f>
        <v>0</v>
      </c>
      <c r="AR925" s="50">
        <f>VLOOKUP(Tableau119[[#This Row],[Key(POD -PFI- Usine)]],'DATA Consignee'!A:N,14,FALSE)</f>
        <v>2</v>
      </c>
      <c r="AS92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92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25" s="50">
        <f>Tableau119[[#This Row],[Transit time]]+Tableau119[[#This Row],[Time for security]]+Tableau119[[#This Row],[Time for security2 buffer]]</f>
        <v>57</v>
      </c>
      <c r="AV92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25" s="50">
        <f>Tableau119[[#This Row],[Leadtime SI2C]]+Tableau119[[#This Row],[First Receipt Days]]-Tableau119[[#This Row],[Day Customer Order]]+1</f>
        <v>99</v>
      </c>
      <c r="AX925" s="119">
        <f>IF(Tableau119[[#This Row],[Name ILN]]&lt;&gt;"SFK Freight Forwarder",Tableau119[[#This Row],[Cust. Leadtime]],Tableau119[[#This Row],[Leadtime SI2C]])</f>
        <v>83</v>
      </c>
      <c r="AY925" s="51" t="str">
        <f>_xlfn.XLOOKUP(Tableau119[[#This Row],[Key(ID-date)]],'DATA BTO'!S:S,'DATA BTO'!P:P,FALSE)</f>
        <v>Horse &gt; Renault BPH (MLP)</v>
      </c>
      <c r="AZ925" s="338">
        <v>45777</v>
      </c>
      <c r="BA925" s="50"/>
    </row>
    <row r="926" spans="2:53">
      <c r="B926" s="446" t="str">
        <f>_xlfn.CONCAT(Tableau119[[#This Row],[Name ILN]],"-",Tableau119[[#This Row],[Name Shipper]],"-",Tableau119[[#This Row],[Name Site]])</f>
        <v>SFK Freight Forwarder-Jatco Mexique-SOFASA</v>
      </c>
      <c r="C926" s="66" t="str">
        <f>_xlfn.CONCAT(Tableau119[[#This Row],[Compte ILN]],"-",Tableau119[[#This Row],[Compte Shipper]],"-",Tableau119[[#This Row],[POL]],"-",Tableau119[[#This Row],[Compte Consignee]])</f>
        <v>0-261427-MXATM-9510600</v>
      </c>
      <c r="D926" s="66" t="str">
        <f>_xlfn.CONCAT(Tableau119[[#This Row],[Compte ILN]],"-",Tableau119[[#This Row],[Compte Shipper]],"-",Tableau119[[#This Row],[POL]])</f>
        <v>0-261427-MXATM</v>
      </c>
      <c r="E926" s="130" t="str">
        <f>_xlfn.CONCAT(Tableau119[[#This Row],[POL]],"-",Tableau119[[#This Row],[Carrier]],"-",Tableau119[[#This Row],[POD]])</f>
        <v>MXATM-MSC-COCTG</v>
      </c>
      <c r="F926" s="66" t="str">
        <f>_xlfn.CONCAT(Tableau119[[#This Row],[ID]],"-","Actif")</f>
        <v>1014-Actif</v>
      </c>
      <c r="G926" s="66" t="str">
        <f>_xlfn.CONCAT(Tableau119[[#This Row],[POD]],"-",Tableau119[[#This Row],[Code PFI]],"-",Tableau119[[#This Row],[Compte Consignee]])</f>
        <v>COCTG---9510600</v>
      </c>
      <c r="H92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261427MXATMSOFASA</v>
      </c>
      <c r="I926" s="434" t="str">
        <f>_xlfn.CONCAT(Tableau119[[#This Row],[ID]],"-",Tableau119[[#This Row],[Expiration Date]])</f>
        <v>1014-46142</v>
      </c>
      <c r="J92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Forwarder-Jatco Mexique-1014-MXATM-MSC-COCTG--46142</v>
      </c>
      <c r="K926" s="119" t="str">
        <f ca="1">IF(COUNTIF(J:J,Tableau119[[#This Row],[Plant-ILN-shipper-POL-Carrier-POD-PFI]])=1,"Non","Oui")</f>
        <v>Non</v>
      </c>
      <c r="L926" s="128" t="str">
        <f>VLOOKUP(Tableau119[[#This Row],[Name Site]],Plant_AILN!A:D,4,FALSE)</f>
        <v>COLOMBIA</v>
      </c>
      <c r="M926" s="411" t="s">
        <v>177</v>
      </c>
      <c r="N926" s="454">
        <f>VLOOKUP(Tableau119[[#This Row],[Name Site]],Plant_AILN!A:C,3,FALSE)</f>
        <v>9510600</v>
      </c>
      <c r="O926" s="55">
        <f>IF(Tableau119[[#This Row],[Name PFI/CDD]]="PFI VLL",2,VLOOKUP(Tableau119[[#This Row],[Compte Consignee]],Order!C:D,2,FALSE))</f>
        <v>7</v>
      </c>
      <c r="P926" s="124" t="s">
        <v>146</v>
      </c>
      <c r="Q926" s="365">
        <f>VLOOKUP(Tableau119[[#This Row],[Name ILN]],Plant_AILN!F:G,2,FALSE)</f>
        <v>0</v>
      </c>
      <c r="R926" s="50">
        <f>VLOOKUP(Tableau119[[#This Row],[Compte ILN]],'DATA ILN'!D:I,6,FALSE)</f>
        <v>9</v>
      </c>
      <c r="S926" s="50">
        <f>IFERROR(VLOOKUP(Tableau119[[#This Row],[Key(Compte ILN - shipper - POL - plant)]],'DATA ILN'!A:J,10,FALSE),VLOOKUP(Tableau119[[#This Row],[Key(Compte ILN - shipper - POL)]],'DATA ILN'!B:J,9,FALSE))</f>
        <v>14</v>
      </c>
      <c r="T926" s="50">
        <f>IFERROR(VLOOKUP(Tableau119[[#This Row],[Key(Compte ILN - shipper - POL - plant)]],'DATA ILN'!A:K,11,FALSE),VLOOKUP(Tableau119[[#This Row],[Key(Compte ILN - shipper - POL)]],'DATA ILN'!B:K,10,FALSE))</f>
        <v>5</v>
      </c>
      <c r="U926" s="50">
        <f>IFERROR(VLOOKUP(Tableau119[[#This Row],[Key(Compte ILN - shipper - POL - plant)]],'DATA ILN'!A:L,12,FALSE),VLOOKUP(Tableau119[[#This Row],[Key(Compte ILN - shipper - POL)]],'DATA ILN'!B:L,11,FALSE))</f>
        <v>7</v>
      </c>
      <c r="V926" s="50">
        <f>Tableau119[[#This Row],[Day ILN Order]]+Tableau119[[#This Row],[Delivery time to ILN/Shipper]]-1</f>
        <v>22</v>
      </c>
      <c r="W926" s="50">
        <f>IFERROR(VLOOKUP(Tableau119[[#This Row],[Key(Compte ILN - shipper - POL - plant)]],'DATA ILN'!A:N,14,FALSE),VLOOKUP(Tableau119[[#This Row],[Key(Compte ILN - shipper - POL)]],'DATA ILN'!B:N,13,FALSE))</f>
        <v>2</v>
      </c>
      <c r="X926" s="50">
        <f>IFERROR(VLOOKUP(Tableau119[[#This Row],[Key(Compte ILN - shipper - POL - plant)]],'DATA ILN'!A:P,16,FALSE),VLOOKUP(Tableau119[[#This Row],[Key(Compte ILN - shipper - POL)]],'DATA ILN'!B:P,15,FALSE))</f>
        <v>5</v>
      </c>
      <c r="Y926" s="284" t="s">
        <v>176</v>
      </c>
      <c r="Z926" s="430">
        <f>IFERROR(VLOOKUP(Tableau119[[#This Row],[Name Shipper]],Plant_AILN!L:M,2,FALSE),0)</f>
        <v>261427</v>
      </c>
      <c r="AA926" s="406">
        <v>1014</v>
      </c>
      <c r="AB926" s="396" t="str">
        <f>_xlfn.XLOOKUP(Tableau119[[#This Row],[Key(ID-date)]],'DATA BTO'!S:S,'DATA BTO'!E:E,FALSE)</f>
        <v>MXATM</v>
      </c>
      <c r="AC926" s="3" t="str">
        <f>_xlfn.XLOOKUP(Tableau119[[#This Row],[Key(ID-date)]],'DATA BTO'!S:S,'DATA BTO'!F:F,FALSE)</f>
        <v>MSC</v>
      </c>
      <c r="AD926" s="50">
        <f>_xlfn.XLOOKUP(Tableau119[[#This Row],[Key(ID-date)]],'DATA BTO'!S:S,'DATA BTO'!G:G,FALSE)</f>
        <v>6</v>
      </c>
      <c r="AE926" s="50">
        <f>_xlfn.XLOOKUP(Tableau119[[#This Row],[Key(ID-date)]],'DATA BTO'!S:S,'DATA BTO'!H:H,FALSE)</f>
        <v>8</v>
      </c>
      <c r="AF926" s="447">
        <f>IF(Tableau119[[#This Row],[First Day to POL]]&lt;=Tableau119[[#This Row],[Day Cut Off]],Tableau119[[#This Row],[Day ETD]],Tableau119[[#This Row],[Day ETD]]+7)</f>
        <v>8</v>
      </c>
      <c r="AG926" s="50">
        <f>_xlfn.XLOOKUP(Tableau119[[#This Row],[Key(ID-date)]],'DATA BTO'!S:S,'DATA BTO'!I:I,FALSE)</f>
        <v>13</v>
      </c>
      <c r="AH926" s="3" t="str">
        <f>_xlfn.XLOOKUP(Tableau119[[#This Row],[Key(ID-date)]],'DATA BTO'!S:S,'DATA BTO'!J:J,FALSE)</f>
        <v>COCTG</v>
      </c>
      <c r="AI926" s="3">
        <f>_xlfn.XLOOKUP(Tableau119[[#This Row],[Key(ID-date)]],'DATA BTO'!S:S,'DATA BTO'!K:K,FALSE)</f>
        <v>3</v>
      </c>
      <c r="AJ926" s="50">
        <f>_xlfn.XLOOKUP(Tableau119[[#This Row],[Key(ID-date)]],'DATA BTO'!S:S,'DATA BTO'!L:L,FALSE)</f>
        <v>7</v>
      </c>
      <c r="AK926" s="53" t="str">
        <f>_xlfn.XLOOKUP(Tableau119[[#This Row],[Key(ID-date)]],'DATA BTO'!S:S,'DATA BTO'!N:N,FALSE)</f>
        <v>Max</v>
      </c>
      <c r="AL926" s="54">
        <f>VLOOKUP(Tableau119[[#This Row],[Key(POD -PFI- Usine)]],'DATA Consignee'!A:F,6,FALSE)</f>
        <v>0</v>
      </c>
      <c r="AM926" s="284"/>
      <c r="AN926" s="376" t="str">
        <f>IF(Tableau119[[#This Row],[Name PFI/CDD]]="","-",VLOOKUP(Tableau119[[#This Row],[Name PFI/CDD]],Plant_AILN!I:J,2,FALSE))</f>
        <v>-</v>
      </c>
      <c r="AO92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6" s="2">
        <f>VLOOKUP(Tableau119[[#This Row],[Key(POD -PFI- Usine)]],'DATA Consignee'!A:J,10,FALSE)</f>
        <v>0</v>
      </c>
      <c r="AR926" s="50">
        <f>VLOOKUP(Tableau119[[#This Row],[Key(POD -PFI- Usine)]],'DATA Consignee'!A:N,14,FALSE)</f>
        <v>0</v>
      </c>
      <c r="AS926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926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26" s="50">
        <f>Tableau119[[#This Row],[Transit time]]+Tableau119[[#This Row],[Time for security]]+Tableau119[[#This Row],[Time for security2 buffer]]</f>
        <v>23</v>
      </c>
      <c r="AV92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41</v>
      </c>
      <c r="AW926" s="50">
        <f>Tableau119[[#This Row],[Leadtime SI2C]]+Tableau119[[#This Row],[First Receipt Days]]-Tableau119[[#This Row],[Day Customer Order]]+1</f>
        <v>57</v>
      </c>
      <c r="AX926" s="119">
        <f>IF(Tableau119[[#This Row],[Name ILN]]&lt;&gt;"SFK Freight Forwarder",Tableau119[[#This Row],[Cust. Leadtime]],Tableau119[[#This Row],[Leadtime SI2C]])</f>
        <v>41</v>
      </c>
      <c r="AY926" s="51" t="str">
        <f>_xlfn.XLOOKUP(Tableau119[[#This Row],[Key(ID-date)]],'DATA BTO'!S:S,'DATA BTO'!P:P,FALSE)</f>
        <v>Horse &gt; Renault BPH (MLP)</v>
      </c>
      <c r="AZ926" s="338">
        <v>46142</v>
      </c>
      <c r="BA926" s="50"/>
    </row>
    <row r="927" spans="2:53">
      <c r="B927" s="446" t="str">
        <f>_xlfn.CONCAT(Tableau119[[#This Row],[Name ILN]],"-",Tableau119[[#This Row],[Name Shipper]],"-",Tableau119[[#This Row],[Name Site]])</f>
        <v>SFK Freight Forwarder-Jatco Mexique-CURITIBA CVP</v>
      </c>
      <c r="C927" s="66" t="str">
        <f>_xlfn.CONCAT(Tableau119[[#This Row],[Compte ILN]],"-",Tableau119[[#This Row],[Compte Shipper]],"-",Tableau119[[#This Row],[POL]],"-",Tableau119[[#This Row],[Compte Consignee]])</f>
        <v>0-261427-MXATM-90018000</v>
      </c>
      <c r="D927" s="66" t="str">
        <f>_xlfn.CONCAT(Tableau119[[#This Row],[Compte ILN]],"-",Tableau119[[#This Row],[Compte Shipper]],"-",Tableau119[[#This Row],[POL]])</f>
        <v>0-261427-MXATM</v>
      </c>
      <c r="E927" s="130" t="str">
        <f>_xlfn.CONCAT(Tableau119[[#This Row],[POL]],"-",Tableau119[[#This Row],[Carrier]],"-",Tableau119[[#This Row],[POD]])</f>
        <v>MXATM-MSC-BRPNG</v>
      </c>
      <c r="F927" s="66" t="str">
        <f>_xlfn.CONCAT(Tableau119[[#This Row],[ID]],"-","Actif")</f>
        <v>1015-Actif</v>
      </c>
      <c r="G927" s="66" t="str">
        <f>_xlfn.CONCAT(Tableau119[[#This Row],[POD]],"-",Tableau119[[#This Row],[Code PFI]],"-",Tableau119[[#This Row],[Compte Consignee]])</f>
        <v>BRPNG---90018000</v>
      </c>
      <c r="H92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261427MXATMCURITIBA CVP</v>
      </c>
      <c r="I927" s="434" t="str">
        <f>_xlfn.CONCAT(Tableau119[[#This Row],[ID]],"-",Tableau119[[#This Row],[Expiration Date]])</f>
        <v>1015-46142</v>
      </c>
      <c r="J92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Forwarder-Jatco Mexique-1015-MXATM-MSC-BRPNG--46142</v>
      </c>
      <c r="K927" s="119" t="str">
        <f ca="1">IF(COUNTIF(J:J,Tableau119[[#This Row],[Plant-ILN-shipper-POL-Carrier-POD-PFI]])=1,"Non","Oui")</f>
        <v>Non</v>
      </c>
      <c r="L927" s="128" t="str">
        <f>VLOOKUP(Tableau119[[#This Row],[Name Site]],Plant_AILN!A:D,4,FALSE)</f>
        <v>BRAZIL</v>
      </c>
      <c r="M927" s="415" t="s">
        <v>181</v>
      </c>
      <c r="N927" s="455">
        <f>VLOOKUP(Tableau119[[#This Row],[Name Site]],Plant_AILN!A:C,3,FALSE)</f>
        <v>90018000</v>
      </c>
      <c r="O927" s="104">
        <f>IF(Tableau119[[#This Row],[Name PFI/CDD]]="PFI VLL",2,VLOOKUP(Tableau119[[#This Row],[Compte Consignee]],Order!C:D,2,FALSE))</f>
        <v>7</v>
      </c>
      <c r="P927" s="126" t="s">
        <v>146</v>
      </c>
      <c r="Q927" s="366">
        <f>VLOOKUP(Tableau119[[#This Row],[Name ILN]],Plant_AILN!F:G,2,FALSE)</f>
        <v>0</v>
      </c>
      <c r="R927" s="81">
        <f>VLOOKUP(Tableau119[[#This Row],[Compte ILN]],'DATA ILN'!D:I,6,FALSE)</f>
        <v>9</v>
      </c>
      <c r="S927" s="81">
        <f>IFERROR(VLOOKUP(Tableau119[[#This Row],[Key(Compte ILN - shipper - POL - plant)]],'DATA ILN'!A:J,10,FALSE),VLOOKUP(Tableau119[[#This Row],[Key(Compte ILN - shipper - POL)]],'DATA ILN'!B:J,9,FALSE))</f>
        <v>14</v>
      </c>
      <c r="T927" s="81">
        <f>IFERROR(VLOOKUP(Tableau119[[#This Row],[Key(Compte ILN - shipper - POL - plant)]],'DATA ILN'!A:K,11,FALSE),VLOOKUP(Tableau119[[#This Row],[Key(Compte ILN - shipper - POL)]],'DATA ILN'!B:K,10,FALSE))</f>
        <v>5</v>
      </c>
      <c r="U927" s="81">
        <f>IFERROR(VLOOKUP(Tableau119[[#This Row],[Key(Compte ILN - shipper - POL - plant)]],'DATA ILN'!A:L,12,FALSE),VLOOKUP(Tableau119[[#This Row],[Key(Compte ILN - shipper - POL)]],'DATA ILN'!B:L,11,FALSE))</f>
        <v>7</v>
      </c>
      <c r="V927" s="81">
        <f>Tableau119[[#This Row],[Day ILN Order]]+Tableau119[[#This Row],[Delivery time to ILN/Shipper]]-1</f>
        <v>22</v>
      </c>
      <c r="W927" s="81">
        <f>IFERROR(VLOOKUP(Tableau119[[#This Row],[Key(Compte ILN - shipper - POL - plant)]],'DATA ILN'!A:N,14,FALSE),VLOOKUP(Tableau119[[#This Row],[Key(Compte ILN - shipper - POL)]],'DATA ILN'!B:N,13,FALSE))</f>
        <v>2</v>
      </c>
      <c r="X927" s="81">
        <f>IFERROR(VLOOKUP(Tableau119[[#This Row],[Key(Compte ILN - shipper - POL - plant)]],'DATA ILN'!A:P,16,FALSE),VLOOKUP(Tableau119[[#This Row],[Key(Compte ILN - shipper - POL)]],'DATA ILN'!B:P,15,FALSE))</f>
        <v>5</v>
      </c>
      <c r="Y927" s="102" t="s">
        <v>176</v>
      </c>
      <c r="Z927" s="417">
        <f>IFERROR(VLOOKUP(Tableau119[[#This Row],[Name Shipper]],Plant_AILN!L:M,2,FALSE),0)</f>
        <v>261427</v>
      </c>
      <c r="AA927" s="416">
        <v>1015</v>
      </c>
      <c r="AB927" s="396" t="str">
        <f>_xlfn.XLOOKUP(Tableau119[[#This Row],[Key(ID-date)]],'DATA BTO'!S:S,'DATA BTO'!E:E,FALSE)</f>
        <v>MXATM</v>
      </c>
      <c r="AC927" s="3" t="str">
        <f>_xlfn.XLOOKUP(Tableau119[[#This Row],[Key(ID-date)]],'DATA BTO'!S:S,'DATA BTO'!F:F,FALSE)</f>
        <v>MSC</v>
      </c>
      <c r="AD927" s="50">
        <f>_xlfn.XLOOKUP(Tableau119[[#This Row],[Key(ID-date)]],'DATA BTO'!S:S,'DATA BTO'!G:G,FALSE)</f>
        <v>6</v>
      </c>
      <c r="AE927" s="50">
        <f>_xlfn.XLOOKUP(Tableau119[[#This Row],[Key(ID-date)]],'DATA BTO'!S:S,'DATA BTO'!H:H,FALSE)</f>
        <v>8</v>
      </c>
      <c r="AF927" s="447">
        <f>IF(Tableau119[[#This Row],[First Day to POL]]&lt;=Tableau119[[#This Row],[Day Cut Off]],Tableau119[[#This Row],[Day ETD]],Tableau119[[#This Row],[Day ETD]]+7)</f>
        <v>8</v>
      </c>
      <c r="AG927" s="50">
        <f>_xlfn.XLOOKUP(Tableau119[[#This Row],[Key(ID-date)]],'DATA BTO'!S:S,'DATA BTO'!I:I,FALSE)</f>
        <v>32</v>
      </c>
      <c r="AH927" s="3" t="str">
        <f>_xlfn.XLOOKUP(Tableau119[[#This Row],[Key(ID-date)]],'DATA BTO'!S:S,'DATA BTO'!J:J,FALSE)</f>
        <v>BRPNG</v>
      </c>
      <c r="AI927" s="3">
        <f>_xlfn.XLOOKUP(Tableau119[[#This Row],[Key(ID-date)]],'DATA BTO'!S:S,'DATA BTO'!K:K,FALSE)</f>
        <v>3</v>
      </c>
      <c r="AJ927" s="50">
        <f>_xlfn.XLOOKUP(Tableau119[[#This Row],[Key(ID-date)]],'DATA BTO'!S:S,'DATA BTO'!L:L,FALSE)</f>
        <v>7</v>
      </c>
      <c r="AK927" s="53" t="str">
        <f>_xlfn.XLOOKUP(Tableau119[[#This Row],[Key(ID-date)]],'DATA BTO'!S:S,'DATA BTO'!N:N,FALSE)</f>
        <v>Max</v>
      </c>
      <c r="AL927" s="54">
        <f>VLOOKUP(Tableau119[[#This Row],[Key(POD -PFI- Usine)]],'DATA Consignee'!A:F,6,FALSE)</f>
        <v>2</v>
      </c>
      <c r="AM927" s="102"/>
      <c r="AN927" s="375" t="str">
        <f>IF(Tableau119[[#This Row],[Name PFI/CDD]]="","-",VLOOKUP(Tableau119[[#This Row],[Name PFI/CDD]],Plant_AILN!I:J,2,FALSE))</f>
        <v>-</v>
      </c>
      <c r="AO92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7" s="110">
        <f>VLOOKUP(Tableau119[[#This Row],[Key(POD -PFI- Usine)]],'DATA Consignee'!A:J,10,FALSE)</f>
        <v>0</v>
      </c>
      <c r="AR927" s="81">
        <f>VLOOKUP(Tableau119[[#This Row],[Key(POD -PFI- Usine)]],'DATA Consignee'!A:N,14,FALSE)</f>
        <v>2</v>
      </c>
      <c r="AS927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27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27" s="81">
        <f>Tableau119[[#This Row],[Transit time]]+Tableau119[[#This Row],[Time for security]]+Tableau119[[#This Row],[Time for security2 buffer]]</f>
        <v>42</v>
      </c>
      <c r="AV92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27" s="50">
        <f>Tableau119[[#This Row],[Leadtime SI2C]]+Tableau119[[#This Row],[First Receipt Days]]-Tableau119[[#This Row],[Day Customer Order]]+1</f>
        <v>78</v>
      </c>
      <c r="AX927" s="119">
        <f>IF(Tableau119[[#This Row],[Name ILN]]&lt;&gt;"SFK Freight Forwarder",Tableau119[[#This Row],[Cust. Leadtime]],Tableau119[[#This Row],[Leadtime SI2C]])</f>
        <v>62</v>
      </c>
      <c r="AY927" s="51" t="str">
        <f>_xlfn.XLOOKUP(Tableau119[[#This Row],[Key(ID-date)]],'DATA BTO'!S:S,'DATA BTO'!P:P,FALSE)</f>
        <v>Horse &gt; Renault BPH (MLP)</v>
      </c>
      <c r="AZ927" s="388">
        <v>46142</v>
      </c>
      <c r="BA927" s="81"/>
    </row>
    <row r="928" spans="2:53">
      <c r="B928" s="446" t="str">
        <f>_xlfn.CONCAT(Tableau119[[#This Row],[Name ILN]],"-",Tableau119[[#This Row],[Name Shipper]],"-",Tableau119[[#This Row],[Name Site]])</f>
        <v>SFK Freight Forwarder-Jatco Thailande-CHENNAI Vehicule</v>
      </c>
      <c r="C928" s="66" t="str">
        <f>_xlfn.CONCAT(Tableau119[[#This Row],[Compte ILN]],"-",Tableau119[[#This Row],[Compte Shipper]],"-",Tableau119[[#This Row],[POL]],"-",Tableau119[[#This Row],[Compte Consignee]])</f>
        <v>0-29770601-THLCH-26549502</v>
      </c>
      <c r="D928" s="66" t="str">
        <f>_xlfn.CONCAT(Tableau119[[#This Row],[Compte ILN]],"-",Tableau119[[#This Row],[Compte Shipper]],"-",Tableau119[[#This Row],[POL]])</f>
        <v>0-29770601-THLCH</v>
      </c>
      <c r="E928" s="130" t="str">
        <f>_xlfn.CONCAT(Tableau119[[#This Row],[POL]],"-",Tableau119[[#This Row],[Carrier]],"-",Tableau119[[#This Row],[POD]])</f>
        <v>THLCH-CMA-CGM-INMAA</v>
      </c>
      <c r="F928" s="66" t="str">
        <f>_xlfn.CONCAT(Tableau119[[#This Row],[ID]],"-","Actif")</f>
        <v>1022-Actif</v>
      </c>
      <c r="G928" s="66" t="str">
        <f>_xlfn.CONCAT(Tableau119[[#This Row],[POD]],"-",Tableau119[[#This Row],[Code PFI]],"-",Tableau119[[#This Row],[Compte Consignee]])</f>
        <v>INMAA---26549502</v>
      </c>
      <c r="H92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29770601THLCHCHENNAI Vehicule</v>
      </c>
      <c r="I928" s="434" t="str">
        <f>_xlfn.CONCAT(Tableau119[[#This Row],[ID]],"-",Tableau119[[#This Row],[Expiration Date]])</f>
        <v>1022-46142</v>
      </c>
      <c r="J92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Vehicule-SFK Freight Forwarder-Jatco Thailande-1022-THLCH-CMA-CGM-INMAA--46142</v>
      </c>
      <c r="K928" s="119" t="str">
        <f ca="1">IF(COUNTIF(J:J,Tableau119[[#This Row],[Plant-ILN-shipper-POL-Carrier-POD-PFI]])=1,"Non","Oui")</f>
        <v>Non</v>
      </c>
      <c r="L928" s="128" t="str">
        <f>VLOOKUP(Tableau119[[#This Row],[Name Site]],Plant_AILN!A:D,4,FALSE)</f>
        <v>INDIA</v>
      </c>
      <c r="M928" s="411" t="s">
        <v>159</v>
      </c>
      <c r="N928" s="454">
        <f>VLOOKUP(Tableau119[[#This Row],[Name Site]],Plant_AILN!A:C,3,FALSE)</f>
        <v>26549502</v>
      </c>
      <c r="O928" s="55">
        <f>VLOOKUP(Tableau119[[#This Row],[Compte Consignee]],Order!C:D,2,FALSE)</f>
        <v>5</v>
      </c>
      <c r="P928" s="124" t="s">
        <v>146</v>
      </c>
      <c r="Q928" s="365">
        <f>VLOOKUP(Tableau119[[#This Row],[Name ILN]],Plant_AILN!F:G,2,FALSE)</f>
        <v>0</v>
      </c>
      <c r="R928" s="50">
        <f>VLOOKUP(Tableau119[[#This Row],[Compte ILN]],'DATA ILN'!D:I,6,FALSE)</f>
        <v>9</v>
      </c>
      <c r="S928" s="50">
        <f>IFERROR(VLOOKUP(Tableau119[[#This Row],[Key(Compte ILN - shipper - POL - plant)]],'DATA ILN'!A:J,10,FALSE),VLOOKUP(Tableau119[[#This Row],[Key(Compte ILN - shipper - POL)]],'DATA ILN'!B:J,9,FALSE))</f>
        <v>14</v>
      </c>
      <c r="T928" s="50">
        <f>IFERROR(VLOOKUP(Tableau119[[#This Row],[Key(Compte ILN - shipper - POL - plant)]],'DATA ILN'!A:K,11,FALSE),VLOOKUP(Tableau119[[#This Row],[Key(Compte ILN - shipper - POL)]],'DATA ILN'!B:K,10,FALSE))</f>
        <v>5</v>
      </c>
      <c r="U928" s="50">
        <f>IFERROR(VLOOKUP(Tableau119[[#This Row],[Key(Compte ILN - shipper - POL - plant)]],'DATA ILN'!A:L,12,FALSE),VLOOKUP(Tableau119[[#This Row],[Key(Compte ILN - shipper - POL)]],'DATA ILN'!B:L,11,FALSE))</f>
        <v>7</v>
      </c>
      <c r="V928" s="50">
        <f>Tableau119[[#This Row],[Day ILN Order]]+Tableau119[[#This Row],[Delivery time to ILN/Shipper]]-1</f>
        <v>22</v>
      </c>
      <c r="W928" s="50">
        <f>IFERROR(VLOOKUP(Tableau119[[#This Row],[Key(Compte ILN - shipper - POL - plant)]],'DATA ILN'!A:N,14,FALSE),VLOOKUP(Tableau119[[#This Row],[Key(Compte ILN - shipper - POL)]],'DATA ILN'!B:N,13,FALSE))</f>
        <v>1</v>
      </c>
      <c r="X928" s="50">
        <f>IFERROR(VLOOKUP(Tableau119[[#This Row],[Key(Compte ILN - shipper - POL - plant)]],'DATA ILN'!A:P,16,FALSE),VLOOKUP(Tableau119[[#This Row],[Key(Compte ILN - shipper - POL)]],'DATA ILN'!B:P,15,FALSE))</f>
        <v>3</v>
      </c>
      <c r="Y928" s="284" t="s">
        <v>182</v>
      </c>
      <c r="Z928" s="430">
        <f>IFERROR(VLOOKUP(Tableau119[[#This Row],[Name Shipper]],Plant_AILN!L:M,2,FALSE),0)</f>
        <v>29770601</v>
      </c>
      <c r="AA928" s="406">
        <v>1022</v>
      </c>
      <c r="AB928" s="396" t="str">
        <f>_xlfn.XLOOKUP(Tableau119[[#This Row],[Key(ID-date)]],'DATA BTO'!S:S,'DATA BTO'!E:E,FALSE)</f>
        <v>THLCH</v>
      </c>
      <c r="AC928" s="3" t="str">
        <f>_xlfn.XLOOKUP(Tableau119[[#This Row],[Key(ID-date)]],'DATA BTO'!S:S,'DATA BTO'!F:F,FALSE)</f>
        <v>CMA-CGM</v>
      </c>
      <c r="AD928" s="50">
        <f>_xlfn.XLOOKUP(Tableau119[[#This Row],[Key(ID-date)]],'DATA BTO'!S:S,'DATA BTO'!G:G,FALSE)</f>
        <v>1</v>
      </c>
      <c r="AE928" s="50">
        <f>_xlfn.XLOOKUP(Tableau119[[#This Row],[Key(ID-date)]],'DATA BTO'!S:S,'DATA BTO'!H:H,FALSE)</f>
        <v>5</v>
      </c>
      <c r="AF928" s="447">
        <f>IF(Tableau119[[#This Row],[First Day to POL]]&lt;=Tableau119[[#This Row],[Day Cut Off]],Tableau119[[#This Row],[Day ETD]],Tableau119[[#This Row],[Day ETD]]+7)</f>
        <v>12</v>
      </c>
      <c r="AG928" s="50">
        <f>_xlfn.XLOOKUP(Tableau119[[#This Row],[Key(ID-date)]],'DATA BTO'!S:S,'DATA BTO'!I:I,FALSE)</f>
        <v>11</v>
      </c>
      <c r="AH928" s="3" t="str">
        <f>_xlfn.XLOOKUP(Tableau119[[#This Row],[Key(ID-date)]],'DATA BTO'!S:S,'DATA BTO'!J:J,FALSE)</f>
        <v>INMAA</v>
      </c>
      <c r="AI928" s="3">
        <f>_xlfn.XLOOKUP(Tableau119[[#This Row],[Key(ID-date)]],'DATA BTO'!S:S,'DATA BTO'!K:K,FALSE)</f>
        <v>3</v>
      </c>
      <c r="AJ928" s="50">
        <f>_xlfn.XLOOKUP(Tableau119[[#This Row],[Key(ID-date)]],'DATA BTO'!S:S,'DATA BTO'!L:L,FALSE)</f>
        <v>7</v>
      </c>
      <c r="AK928" s="53" t="str">
        <f>_xlfn.XLOOKUP(Tableau119[[#This Row],[Key(ID-date)]],'DATA BTO'!S:S,'DATA BTO'!N:N,FALSE)</f>
        <v>Max</v>
      </c>
      <c r="AL928" s="54">
        <f>VLOOKUP(Tableau119[[#This Row],[Key(POD -PFI- Usine)]],'DATA Consignee'!A:F,6,FALSE)</f>
        <v>4</v>
      </c>
      <c r="AM928" s="284"/>
      <c r="AN928" s="376" t="str">
        <f>IF(Tableau119[[#This Row],[Name PFI/CDD]]="","-",VLOOKUP(Tableau119[[#This Row],[Name PFI/CDD]],Plant_AILN!I:J,2,FALSE))</f>
        <v>-</v>
      </c>
      <c r="AO92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8" s="2">
        <f>VLOOKUP(Tableau119[[#This Row],[Key(POD -PFI- Usine)]],'DATA Consignee'!A:J,10,FALSE)</f>
        <v>0</v>
      </c>
      <c r="AR928" s="50">
        <f>VLOOKUP(Tableau119[[#This Row],[Key(POD -PFI- Usine)]],'DATA Consignee'!A:N,14,FALSE)</f>
        <v>3</v>
      </c>
      <c r="AS928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28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928" s="50">
        <f>Tableau119[[#This Row],[Transit time]]+Tableau119[[#This Row],[Time for security]]+Tableau119[[#This Row],[Time for security2 buffer]]</f>
        <v>21</v>
      </c>
      <c r="AV92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48</v>
      </c>
      <c r="AW928" s="50">
        <f>Tableau119[[#This Row],[Leadtime SI2C]]+Tableau119[[#This Row],[First Receipt Days]]-Tableau119[[#This Row],[Day Customer Order]]+1</f>
        <v>66</v>
      </c>
      <c r="AX928" s="119">
        <f>IF(Tableau119[[#This Row],[Name ILN]]&lt;&gt;"SFK Freight Forwarder",Tableau119[[#This Row],[Cust. Leadtime]],Tableau119[[#This Row],[Leadtime SI2C]])</f>
        <v>48</v>
      </c>
      <c r="AY928" s="51" t="str">
        <f>_xlfn.XLOOKUP(Tableau119[[#This Row],[Key(ID-date)]],'DATA BTO'!S:S,'DATA BTO'!P:P,FALSE)</f>
        <v>Horse &gt; Renault BPH (MLP)</v>
      </c>
      <c r="AZ928" s="338">
        <v>46142</v>
      </c>
      <c r="BA928" s="50"/>
    </row>
    <row r="929" spans="2:53">
      <c r="B929" s="446" t="str">
        <f>_xlfn.CONCAT(Tableau119[[#This Row],[Name ILN]],"-",Tableau119[[#This Row],[Name Shipper]],"-",Tableau119[[#This Row],[Name Site]])</f>
        <v>ILN Chine -ILN Chine -RKM</v>
      </c>
      <c r="C929" s="66" t="str">
        <f>_xlfn.CONCAT(Tableau119[[#This Row],[Compte ILN]],"-",Tableau119[[#This Row],[Compte Shipper]],"-",Tableau119[[#This Row],[POL]],"-",Tableau119[[#This Row],[Compte Consignee]])</f>
        <v>424479-424479-FALSO-92002200</v>
      </c>
      <c r="D929" s="66" t="str">
        <f>_xlfn.CONCAT(Tableau119[[#This Row],[Compte ILN]],"-",Tableau119[[#This Row],[Compte Shipper]],"-",Tableau119[[#This Row],[POL]])</f>
        <v>424479-424479-FALSO</v>
      </c>
      <c r="E929" s="130" t="str">
        <f>_xlfn.CONCAT(Tableau119[[#This Row],[POL]],"-",Tableau119[[#This Row],[Carrier]],"-",Tableau119[[#This Row],[POD]])</f>
        <v>FALSO-FALSO-FALSO</v>
      </c>
      <c r="F929" s="66" t="str">
        <f>_xlfn.CONCAT(Tableau119[[#This Row],[ID]],"-","Actif")</f>
        <v>1024-Actif</v>
      </c>
      <c r="G929" s="66" t="str">
        <f>_xlfn.CONCAT(Tableau119[[#This Row],[POD]],"-",Tableau119[[#This Row],[Code PFI]],"-",Tableau119[[#This Row],[Compte Consignee]])</f>
        <v>FALSO---92002200</v>
      </c>
      <c r="H92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FALSORKM</v>
      </c>
      <c r="I929" s="434" t="str">
        <f>_xlfn.CONCAT(Tableau119[[#This Row],[ID]],"-",Tableau119[[#This Row],[Expiration Date]])</f>
        <v>1024-46142</v>
      </c>
      <c r="J92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Chine -ILN Chine -1024-FALSO-FALSO-FALSO--46142</v>
      </c>
      <c r="K929" s="119" t="str">
        <f ca="1">IF(COUNTIF(J:J,Tableau119[[#This Row],[Plant-ILN-shipper-POL-Carrier-POD-PFI]])=1,"Non","Oui")</f>
        <v>Non</v>
      </c>
      <c r="L929" s="128" t="str">
        <f>VLOOKUP(Tableau119[[#This Row],[Name Site]],Plant_AILN!A:D,4,FALSE)</f>
        <v>KOREA</v>
      </c>
      <c r="M929" s="411" t="s">
        <v>145</v>
      </c>
      <c r="N929" s="454">
        <f>VLOOKUP(Tableau119[[#This Row],[Name Site]],Plant_AILN!A:C,3,FALSE)</f>
        <v>92002200</v>
      </c>
      <c r="O929" s="55">
        <f>IF(Tableau119[[#This Row],[Name PFI/CDD]]="PFI VLL",2,VLOOKUP(Tableau119[[#This Row],[Compte Consignee]],Order!C:D,2,FALSE))</f>
        <v>2</v>
      </c>
      <c r="P929" s="124" t="s">
        <v>1</v>
      </c>
      <c r="Q929" s="365">
        <f>VLOOKUP(Tableau119[[#This Row],[Name ILN]],Plant_AILN!F:G,2,FALSE)</f>
        <v>424479</v>
      </c>
      <c r="R929" s="50">
        <f>VLOOKUP(Tableau119[[#This Row],[Compte ILN]],'DATA ILN'!D:I,6,FALSE)</f>
        <v>9</v>
      </c>
      <c r="S929" s="50" t="e">
        <f>IFERROR(VLOOKUP(Tableau119[[#This Row],[Key(Compte ILN - shipper - POL - plant)]],'DATA ILN'!A:J,10,FALSE),VLOOKUP(Tableau119[[#This Row],[Key(Compte ILN - shipper - POL)]],'DATA ILN'!B:J,9,FALSE))</f>
        <v>#N/A</v>
      </c>
      <c r="T929" s="50" t="e">
        <f>IFERROR(VLOOKUP(Tableau119[[#This Row],[Key(Compte ILN - shipper - POL - plant)]],'DATA ILN'!A:K,11,FALSE),VLOOKUP(Tableau119[[#This Row],[Key(Compte ILN - shipper - POL)]],'DATA ILN'!B:K,10,FALSE))</f>
        <v>#N/A</v>
      </c>
      <c r="U929" s="50" t="e">
        <f>IFERROR(VLOOKUP(Tableau119[[#This Row],[Key(Compte ILN - shipper - POL - plant)]],'DATA ILN'!A:L,12,FALSE),VLOOKUP(Tableau119[[#This Row],[Key(Compte ILN - shipper - POL)]],'DATA ILN'!B:L,11,FALSE))</f>
        <v>#N/A</v>
      </c>
      <c r="V929" s="50" t="e">
        <f>Tableau119[[#This Row],[Day ILN Order]]+Tableau119[[#This Row],[Delivery time to ILN/Shipper]]-1</f>
        <v>#N/A</v>
      </c>
      <c r="W929" s="50" t="e">
        <f>IFERROR(VLOOKUP(Tableau119[[#This Row],[Key(Compte ILN - shipper - POL - plant)]],'DATA ILN'!A:N,14,FALSE),VLOOKUP(Tableau119[[#This Row],[Key(Compte ILN - shipper - POL)]],'DATA ILN'!B:N,13,FALSE))</f>
        <v>#N/A</v>
      </c>
      <c r="X929" s="50" t="e">
        <f>IFERROR(VLOOKUP(Tableau119[[#This Row],[Key(Compte ILN - shipper - POL - plant)]],'DATA ILN'!A:P,16,FALSE),VLOOKUP(Tableau119[[#This Row],[Key(Compte ILN - shipper - POL)]],'DATA ILN'!B:P,15,FALSE))</f>
        <v>#N/A</v>
      </c>
      <c r="Y929" s="284" t="s">
        <v>1</v>
      </c>
      <c r="Z929" s="430">
        <f>IFERROR(VLOOKUP(Tableau119[[#This Row],[Name Shipper]],Plant_AILN!L:M,2,FALSE),0)</f>
        <v>424479</v>
      </c>
      <c r="AA929" s="406">
        <v>1024</v>
      </c>
      <c r="AB929" s="396" t="b">
        <f>_xlfn.XLOOKUP(Tableau119[[#This Row],[Key(ID-date)]],'DATA BTO'!S:S,'DATA BTO'!E:E,FALSE)</f>
        <v>0</v>
      </c>
      <c r="AC929" s="3" t="b">
        <f>_xlfn.XLOOKUP(Tableau119[[#This Row],[Key(ID-date)]],'DATA BTO'!S:S,'DATA BTO'!F:F,FALSE)</f>
        <v>0</v>
      </c>
      <c r="AD929" s="50" t="b">
        <f>_xlfn.XLOOKUP(Tableau119[[#This Row],[Key(ID-date)]],'DATA BTO'!S:S,'DATA BTO'!G:G,FALSE)</f>
        <v>0</v>
      </c>
      <c r="AE929" s="50" t="b">
        <f>_xlfn.XLOOKUP(Tableau119[[#This Row],[Key(ID-date)]],'DATA BTO'!S:S,'DATA BTO'!H:H,FALSE)</f>
        <v>0</v>
      </c>
      <c r="AF929" s="447" t="e">
        <f>IF(Tableau119[[#This Row],[First Day to POL]]&lt;=Tableau119[[#This Row],[Day Cut Off]],Tableau119[[#This Row],[Day ETD]],Tableau119[[#This Row],[Day ETD]]+7)</f>
        <v>#N/A</v>
      </c>
      <c r="AG929" s="50" t="b">
        <f>_xlfn.XLOOKUP(Tableau119[[#This Row],[Key(ID-date)]],'DATA BTO'!S:S,'DATA BTO'!I:I,FALSE)</f>
        <v>0</v>
      </c>
      <c r="AH929" s="3" t="b">
        <f>_xlfn.XLOOKUP(Tableau119[[#This Row],[Key(ID-date)]],'DATA BTO'!S:S,'DATA BTO'!J:J,FALSE)</f>
        <v>0</v>
      </c>
      <c r="AI929" s="3" t="b">
        <f>_xlfn.XLOOKUP(Tableau119[[#This Row],[Key(ID-date)]],'DATA BTO'!S:S,'DATA BTO'!K:K,FALSE)</f>
        <v>0</v>
      </c>
      <c r="AJ929" s="50" t="b">
        <f>_xlfn.XLOOKUP(Tableau119[[#This Row],[Key(ID-date)]],'DATA BTO'!S:S,'DATA BTO'!L:L,FALSE)</f>
        <v>0</v>
      </c>
      <c r="AK929" s="53" t="b">
        <f>_xlfn.XLOOKUP(Tableau119[[#This Row],[Key(ID-date)]],'DATA BTO'!S:S,'DATA BTO'!N:N,FALSE)</f>
        <v>0</v>
      </c>
      <c r="AL929" s="54" t="e">
        <f>VLOOKUP(Tableau119[[#This Row],[Key(POD -PFI- Usine)]],'DATA Consignee'!A:F,6,FALSE)</f>
        <v>#N/A</v>
      </c>
      <c r="AM929" s="284"/>
      <c r="AN929" s="376" t="str">
        <f>IF(Tableau119[[#This Row],[Name PFI/CDD]]="","-",VLOOKUP(Tableau119[[#This Row],[Name PFI/CDD]],Plant_AILN!I:J,2,FALSE))</f>
        <v>-</v>
      </c>
      <c r="AO92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2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29" s="2" t="e">
        <f>VLOOKUP(Tableau119[[#This Row],[Key(POD -PFI- Usine)]],'DATA Consignee'!A:J,10,FALSE)</f>
        <v>#N/A</v>
      </c>
      <c r="AR929" s="50" t="e">
        <f>VLOOKUP(Tableau119[[#This Row],[Key(POD -PFI- Usine)]],'DATA Consignee'!A:N,14,FALSE)</f>
        <v>#N/A</v>
      </c>
      <c r="AS92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2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29" s="50">
        <f>Tableau119[[#This Row],[Transit time]]+Tableau119[[#This Row],[Time for security]]+Tableau119[[#This Row],[Time for security2 buffer]]</f>
        <v>0</v>
      </c>
      <c r="AV92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29" s="50" t="e">
        <f>Tableau119[[#This Row],[Leadtime SI2C]]+Tableau119[[#This Row],[First Receipt Days]]-Tableau119[[#This Row],[Day Customer Order]]+1</f>
        <v>#N/A</v>
      </c>
      <c r="AX929" s="119" t="e">
        <f>IF(Tableau119[[#This Row],[Name ILN]]&lt;&gt;"SFK Freight Forwarder",Tableau119[[#This Row],[Cust. Leadtime]],Tableau119[[#This Row],[Leadtime SI2C]])</f>
        <v>#N/A</v>
      </c>
      <c r="AY929" s="51" t="b">
        <f>_xlfn.XLOOKUP(Tableau119[[#This Row],[Key(ID-date)]],'DATA BTO'!S:S,'DATA BTO'!P:P,FALSE)</f>
        <v>0</v>
      </c>
      <c r="AZ929" s="338">
        <v>46142</v>
      </c>
      <c r="BA929" s="50"/>
    </row>
    <row r="930" spans="2:53">
      <c r="B930" s="446" t="str">
        <f>_xlfn.CONCAT(Tableau119[[#This Row],[Name ILN]],"-",Tableau119[[#This Row],[Name Shipper]],"-",Tableau119[[#This Row],[Name Site]])</f>
        <v>ILN Chine -ILN Chine -CLEON AMPERE</v>
      </c>
      <c r="C930" s="66" t="str">
        <f>_xlfn.CONCAT(Tableau119[[#This Row],[Compte ILN]],"-",Tableau119[[#This Row],[Compte Shipper]],"-",Tableau119[[#This Row],[POL]],"-",Tableau119[[#This Row],[Compte Consignee]])</f>
        <v>424479-424479-FALSO-90016100</v>
      </c>
      <c r="D930" s="66" t="str">
        <f>_xlfn.CONCAT(Tableau119[[#This Row],[Compte ILN]],"-",Tableau119[[#This Row],[Compte Shipper]],"-",Tableau119[[#This Row],[POL]])</f>
        <v>424479-424479-FALSO</v>
      </c>
      <c r="E930" s="130" t="str">
        <f>_xlfn.CONCAT(Tableau119[[#This Row],[POL]],"-",Tableau119[[#This Row],[Carrier]],"-",Tableau119[[#This Row],[POD]])</f>
        <v>FALSO-FALSO-FALSO</v>
      </c>
      <c r="F930" s="66" t="str">
        <f>_xlfn.CONCAT(Tableau119[[#This Row],[ID]],"-","Actif")</f>
        <v>1026-Actif</v>
      </c>
      <c r="G930" s="66" t="str">
        <f>_xlfn.CONCAT(Tableau119[[#This Row],[POD]],"-",Tableau119[[#This Row],[Code PFI]],"-",Tableau119[[#This Row],[Compte Consignee]])</f>
        <v>FALSO---90016100</v>
      </c>
      <c r="H93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FALSOCLEON AMPERE</v>
      </c>
      <c r="I930" s="434" t="str">
        <f>_xlfn.CONCAT(Tableau119[[#This Row],[ID]],"-",Tableau119[[#This Row],[Expiration Date]])</f>
        <v>1026-46142</v>
      </c>
      <c r="J93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 AMPERE-ILN Chine -ILN Chine -1026-FALSO-FALSO-FALSO--46142</v>
      </c>
      <c r="K930" s="119" t="str">
        <f ca="1">IF(COUNTIF(J:J,Tableau119[[#This Row],[Plant-ILN-shipper-POL-Carrier-POD-PFI]])=1,"Non","Oui")</f>
        <v>Non</v>
      </c>
      <c r="L930" s="128" t="str">
        <f>VLOOKUP(Tableau119[[#This Row],[Name Site]],Plant_AILN!A:D,4,FALSE)</f>
        <v>FRANCE</v>
      </c>
      <c r="M930" s="415" t="s">
        <v>237</v>
      </c>
      <c r="N930" s="455">
        <f>VLOOKUP(Tableau119[[#This Row],[Name Site]],Plant_AILN!A:C,3,FALSE)</f>
        <v>90016100</v>
      </c>
      <c r="O930" s="104">
        <f>IF(Tableau119[[#This Row],[Name PFI/CDD]]="PFI VLL",2,VLOOKUP(Tableau119[[#This Row],[Compte Consignee]],Order!C:D,2,FALSE))</f>
        <v>2</v>
      </c>
      <c r="P930" s="126" t="s">
        <v>1</v>
      </c>
      <c r="Q930" s="366">
        <f>VLOOKUP(Tableau119[[#This Row],[Name ILN]],Plant_AILN!F:G,2,FALSE)</f>
        <v>424479</v>
      </c>
      <c r="R930" s="81">
        <f>VLOOKUP(Tableau119[[#This Row],[Compte ILN]],'DATA ILN'!D:I,6,FALSE)</f>
        <v>9</v>
      </c>
      <c r="S930" s="81" t="e">
        <f>IFERROR(VLOOKUP(Tableau119[[#This Row],[Key(Compte ILN - shipper - POL - plant)]],'DATA ILN'!A:J,10,FALSE),VLOOKUP(Tableau119[[#This Row],[Key(Compte ILN - shipper - POL)]],'DATA ILN'!B:J,9,FALSE))</f>
        <v>#N/A</v>
      </c>
      <c r="T930" s="81" t="e">
        <f>IFERROR(VLOOKUP(Tableau119[[#This Row],[Key(Compte ILN - shipper - POL - plant)]],'DATA ILN'!A:K,11,FALSE),VLOOKUP(Tableau119[[#This Row],[Key(Compte ILN - shipper - POL)]],'DATA ILN'!B:K,10,FALSE))</f>
        <v>#N/A</v>
      </c>
      <c r="U930" s="81" t="e">
        <f>IFERROR(VLOOKUP(Tableau119[[#This Row],[Key(Compte ILN - shipper - POL - plant)]],'DATA ILN'!A:L,12,FALSE),VLOOKUP(Tableau119[[#This Row],[Key(Compte ILN - shipper - POL)]],'DATA ILN'!B:L,11,FALSE))</f>
        <v>#N/A</v>
      </c>
      <c r="V930" s="81" t="e">
        <f>Tableau119[[#This Row],[Day ILN Order]]+Tableau119[[#This Row],[Delivery time to ILN/Shipper]]-1</f>
        <v>#N/A</v>
      </c>
      <c r="W930" s="81" t="e">
        <f>IFERROR(VLOOKUP(Tableau119[[#This Row],[Key(Compte ILN - shipper - POL - plant)]],'DATA ILN'!A:N,14,FALSE),VLOOKUP(Tableau119[[#This Row],[Key(Compte ILN - shipper - POL)]],'DATA ILN'!B:N,13,FALSE))</f>
        <v>#N/A</v>
      </c>
      <c r="X930" s="81" t="e">
        <f>IFERROR(VLOOKUP(Tableau119[[#This Row],[Key(Compte ILN - shipper - POL - plant)]],'DATA ILN'!A:P,16,FALSE),VLOOKUP(Tableau119[[#This Row],[Key(Compte ILN - shipper - POL)]],'DATA ILN'!B:P,15,FALSE))</f>
        <v>#N/A</v>
      </c>
      <c r="Y930" s="102" t="s">
        <v>1</v>
      </c>
      <c r="Z930" s="417">
        <f>IFERROR(VLOOKUP(Tableau119[[#This Row],[Name Shipper]],Plant_AILN!L:M,2,FALSE),0)</f>
        <v>424479</v>
      </c>
      <c r="AA930" s="416">
        <v>1026</v>
      </c>
      <c r="AB930" s="396" t="b">
        <f>_xlfn.XLOOKUP(Tableau119[[#This Row],[Key(ID-date)]],'DATA BTO'!S:S,'DATA BTO'!E:E,FALSE)</f>
        <v>0</v>
      </c>
      <c r="AC930" s="3" t="b">
        <f>_xlfn.XLOOKUP(Tableau119[[#This Row],[Key(ID-date)]],'DATA BTO'!S:S,'DATA BTO'!F:F,FALSE)</f>
        <v>0</v>
      </c>
      <c r="AD930" s="50" t="b">
        <f>_xlfn.XLOOKUP(Tableau119[[#This Row],[Key(ID-date)]],'DATA BTO'!S:S,'DATA BTO'!G:G,FALSE)</f>
        <v>0</v>
      </c>
      <c r="AE930" s="50" t="b">
        <f>_xlfn.XLOOKUP(Tableau119[[#This Row],[Key(ID-date)]],'DATA BTO'!S:S,'DATA BTO'!H:H,FALSE)</f>
        <v>0</v>
      </c>
      <c r="AF930" s="447" t="e">
        <f>IF(Tableau119[[#This Row],[First Day to POL]]&lt;=Tableau119[[#This Row],[Day Cut Off]],Tableau119[[#This Row],[Day ETD]],Tableau119[[#This Row],[Day ETD]]+7)</f>
        <v>#N/A</v>
      </c>
      <c r="AG930" s="50" t="b">
        <f>_xlfn.XLOOKUP(Tableau119[[#This Row],[Key(ID-date)]],'DATA BTO'!S:S,'DATA BTO'!I:I,FALSE)</f>
        <v>0</v>
      </c>
      <c r="AH930" s="3" t="b">
        <f>_xlfn.XLOOKUP(Tableau119[[#This Row],[Key(ID-date)]],'DATA BTO'!S:S,'DATA BTO'!J:J,FALSE)</f>
        <v>0</v>
      </c>
      <c r="AI930" s="3" t="b">
        <f>_xlfn.XLOOKUP(Tableau119[[#This Row],[Key(ID-date)]],'DATA BTO'!S:S,'DATA BTO'!K:K,FALSE)</f>
        <v>0</v>
      </c>
      <c r="AJ930" s="50" t="b">
        <f>_xlfn.XLOOKUP(Tableau119[[#This Row],[Key(ID-date)]],'DATA BTO'!S:S,'DATA BTO'!L:L,FALSE)</f>
        <v>0</v>
      </c>
      <c r="AK930" s="53" t="b">
        <f>_xlfn.XLOOKUP(Tableau119[[#This Row],[Key(ID-date)]],'DATA BTO'!S:S,'DATA BTO'!N:N,FALSE)</f>
        <v>0</v>
      </c>
      <c r="AL930" s="54" t="e">
        <f>VLOOKUP(Tableau119[[#This Row],[Key(POD -PFI- Usine)]],'DATA Consignee'!A:F,6,FALSE)</f>
        <v>#N/A</v>
      </c>
      <c r="AM930" s="102"/>
      <c r="AN930" s="375" t="str">
        <f>IF(Tableau119[[#This Row],[Name PFI/CDD]]="","-",VLOOKUP(Tableau119[[#This Row],[Name PFI/CDD]],Plant_AILN!I:J,2,FALSE))</f>
        <v>-</v>
      </c>
      <c r="AO93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0" s="110" t="e">
        <f>VLOOKUP(Tableau119[[#This Row],[Key(POD -PFI- Usine)]],'DATA Consignee'!A:J,10,FALSE)</f>
        <v>#N/A</v>
      </c>
      <c r="AR930" s="81" t="e">
        <f>VLOOKUP(Tableau119[[#This Row],[Key(POD -PFI- Usine)]],'DATA Consignee'!A:N,14,FALSE)</f>
        <v>#N/A</v>
      </c>
      <c r="AS93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0" s="81">
        <f>Tableau119[[#This Row],[Transit time]]+Tableau119[[#This Row],[Time for security]]+Tableau119[[#This Row],[Time for security2 buffer]]</f>
        <v>0</v>
      </c>
      <c r="AV93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0" s="50" t="e">
        <f>Tableau119[[#This Row],[Leadtime SI2C]]+Tableau119[[#This Row],[First Receipt Days]]-Tableau119[[#This Row],[Day Customer Order]]+1</f>
        <v>#N/A</v>
      </c>
      <c r="AX930" s="119" t="e">
        <f>IF(Tableau119[[#This Row],[Name ILN]]&lt;&gt;"SFK Freight Forwarder",Tableau119[[#This Row],[Cust. Leadtime]],Tableau119[[#This Row],[Leadtime SI2C]])</f>
        <v>#N/A</v>
      </c>
      <c r="AY930" s="51" t="b">
        <f>_xlfn.XLOOKUP(Tableau119[[#This Row],[Key(ID-date)]],'DATA BTO'!S:S,'DATA BTO'!P:P,FALSE)</f>
        <v>0</v>
      </c>
      <c r="AZ930" s="388">
        <v>46142</v>
      </c>
      <c r="BA930" s="81"/>
    </row>
    <row r="931" spans="2:53">
      <c r="B931" s="446" t="str">
        <f>_xlfn.CONCAT(Tableau119[[#This Row],[Name ILN]],"-",Tableau119[[#This Row],[Name Shipper]],"-",Tableau119[[#This Row],[Name Site]])</f>
        <v>ILN Chine -ILN Chine -CLEON HORSE</v>
      </c>
      <c r="C931" s="66" t="str">
        <f>_xlfn.CONCAT(Tableau119[[#This Row],[Compte ILN]],"-",Tableau119[[#This Row],[Compte Shipper]],"-",Tableau119[[#This Row],[POL]],"-",Tableau119[[#This Row],[Compte Consignee]])</f>
        <v>424479-424479-FALSO-90016102</v>
      </c>
      <c r="D931" s="66" t="str">
        <f>_xlfn.CONCAT(Tableau119[[#This Row],[Compte ILN]],"-",Tableau119[[#This Row],[Compte Shipper]],"-",Tableau119[[#This Row],[POL]])</f>
        <v>424479-424479-FALSO</v>
      </c>
      <c r="E931" s="130" t="str">
        <f>_xlfn.CONCAT(Tableau119[[#This Row],[POL]],"-",Tableau119[[#This Row],[Carrier]],"-",Tableau119[[#This Row],[POD]])</f>
        <v>FALSO-FALSO-FALSO</v>
      </c>
      <c r="F931" s="66" t="str">
        <f>_xlfn.CONCAT(Tableau119[[#This Row],[ID]],"-","Actif")</f>
        <v>1026-Actif</v>
      </c>
      <c r="G931" s="66" t="str">
        <f>_xlfn.CONCAT(Tableau119[[#This Row],[POD]],"-",Tableau119[[#This Row],[Code PFI]],"-",Tableau119[[#This Row],[Compte Consignee]])</f>
        <v>FALSO---90016102</v>
      </c>
      <c r="H93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FALSOCLEON HORSE</v>
      </c>
      <c r="I931" s="434" t="str">
        <f>_xlfn.CONCAT(Tableau119[[#This Row],[ID]],"-",Tableau119[[#This Row],[Expiration Date]])</f>
        <v>1026-46142</v>
      </c>
      <c r="J93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 HORSE-ILN Chine -ILN Chine -1026-FALSO-FALSO-FALSO--46142</v>
      </c>
      <c r="K931" s="119" t="str">
        <f ca="1">IF(COUNTIF(J:J,Tableau119[[#This Row],[Plant-ILN-shipper-POL-Carrier-POD-PFI]])=1,"Non","Oui")</f>
        <v>Non</v>
      </c>
      <c r="L931" s="128" t="str">
        <f>VLOOKUP(Tableau119[[#This Row],[Name Site]],Plant_AILN!A:D,4,FALSE)</f>
        <v>FRANCE</v>
      </c>
      <c r="M931" s="411" t="s">
        <v>236</v>
      </c>
      <c r="N931" s="454">
        <f>VLOOKUP(Tableau119[[#This Row],[Name Site]],Plant_AILN!A:C,3,FALSE)</f>
        <v>90016102</v>
      </c>
      <c r="O931" s="55">
        <f>IF(Tableau119[[#This Row],[Name PFI/CDD]]="PFI VLL",2,VLOOKUP(Tableau119[[#This Row],[Compte Consignee]],Order!C:D,2,FALSE))</f>
        <v>2</v>
      </c>
      <c r="P931" s="124" t="s">
        <v>1</v>
      </c>
      <c r="Q931" s="365">
        <f>VLOOKUP(Tableau119[[#This Row],[Name ILN]],Plant_AILN!F:G,2,FALSE)</f>
        <v>424479</v>
      </c>
      <c r="R931" s="50">
        <f>VLOOKUP(Tableau119[[#This Row],[Compte ILN]],'DATA ILN'!D:I,6,FALSE)</f>
        <v>9</v>
      </c>
      <c r="S931" s="50" t="e">
        <f>IFERROR(VLOOKUP(Tableau119[[#This Row],[Key(Compte ILN - shipper - POL - plant)]],'DATA ILN'!A:J,10,FALSE),VLOOKUP(Tableau119[[#This Row],[Key(Compte ILN - shipper - POL)]],'DATA ILN'!B:J,9,FALSE))</f>
        <v>#N/A</v>
      </c>
      <c r="T931" s="50" t="e">
        <f>IFERROR(VLOOKUP(Tableau119[[#This Row],[Key(Compte ILN - shipper - POL - plant)]],'DATA ILN'!A:K,11,FALSE),VLOOKUP(Tableau119[[#This Row],[Key(Compte ILN - shipper - POL)]],'DATA ILN'!B:K,10,FALSE))</f>
        <v>#N/A</v>
      </c>
      <c r="U931" s="50" t="e">
        <f>IFERROR(VLOOKUP(Tableau119[[#This Row],[Key(Compte ILN - shipper - POL - plant)]],'DATA ILN'!A:L,12,FALSE),VLOOKUP(Tableau119[[#This Row],[Key(Compte ILN - shipper - POL)]],'DATA ILN'!B:L,11,FALSE))</f>
        <v>#N/A</v>
      </c>
      <c r="V931" s="50" t="e">
        <f>Tableau119[[#This Row],[Day ILN Order]]+Tableau119[[#This Row],[Delivery time to ILN/Shipper]]-1</f>
        <v>#N/A</v>
      </c>
      <c r="W931" s="50" t="e">
        <f>IFERROR(VLOOKUP(Tableau119[[#This Row],[Key(Compte ILN - shipper - POL - plant)]],'DATA ILN'!A:N,14,FALSE),VLOOKUP(Tableau119[[#This Row],[Key(Compte ILN - shipper - POL)]],'DATA ILN'!B:N,13,FALSE))</f>
        <v>#N/A</v>
      </c>
      <c r="X931" s="50" t="e">
        <f>IFERROR(VLOOKUP(Tableau119[[#This Row],[Key(Compte ILN - shipper - POL - plant)]],'DATA ILN'!A:P,16,FALSE),VLOOKUP(Tableau119[[#This Row],[Key(Compte ILN - shipper - POL)]],'DATA ILN'!B:P,15,FALSE))</f>
        <v>#N/A</v>
      </c>
      <c r="Y931" s="284" t="s">
        <v>1</v>
      </c>
      <c r="Z931" s="430">
        <f>IFERROR(VLOOKUP(Tableau119[[#This Row],[Name Shipper]],Plant_AILN!L:M,2,FALSE),0)</f>
        <v>424479</v>
      </c>
      <c r="AA931" s="406">
        <v>1026</v>
      </c>
      <c r="AB931" s="396" t="b">
        <f>_xlfn.XLOOKUP(Tableau119[[#This Row],[Key(ID-date)]],'DATA BTO'!S:S,'DATA BTO'!E:E,FALSE)</f>
        <v>0</v>
      </c>
      <c r="AC931" s="3" t="b">
        <f>_xlfn.XLOOKUP(Tableau119[[#This Row],[Key(ID-date)]],'DATA BTO'!S:S,'DATA BTO'!F:F,FALSE)</f>
        <v>0</v>
      </c>
      <c r="AD931" s="50" t="b">
        <f>_xlfn.XLOOKUP(Tableau119[[#This Row],[Key(ID-date)]],'DATA BTO'!S:S,'DATA BTO'!G:G,FALSE)</f>
        <v>0</v>
      </c>
      <c r="AE931" s="50" t="b">
        <f>_xlfn.XLOOKUP(Tableau119[[#This Row],[Key(ID-date)]],'DATA BTO'!S:S,'DATA BTO'!H:H,FALSE)</f>
        <v>0</v>
      </c>
      <c r="AF931" s="447" t="e">
        <f>IF(Tableau119[[#This Row],[First Day to POL]]&lt;=Tableau119[[#This Row],[Day Cut Off]],Tableau119[[#This Row],[Day ETD]],Tableau119[[#This Row],[Day ETD]]+7)</f>
        <v>#N/A</v>
      </c>
      <c r="AG931" s="50" t="b">
        <f>_xlfn.XLOOKUP(Tableau119[[#This Row],[Key(ID-date)]],'DATA BTO'!S:S,'DATA BTO'!I:I,FALSE)</f>
        <v>0</v>
      </c>
      <c r="AH931" s="3" t="b">
        <f>_xlfn.XLOOKUP(Tableau119[[#This Row],[Key(ID-date)]],'DATA BTO'!S:S,'DATA BTO'!J:J,FALSE)</f>
        <v>0</v>
      </c>
      <c r="AI931" s="3" t="b">
        <f>_xlfn.XLOOKUP(Tableau119[[#This Row],[Key(ID-date)]],'DATA BTO'!S:S,'DATA BTO'!K:K,FALSE)</f>
        <v>0</v>
      </c>
      <c r="AJ931" s="50" t="b">
        <f>_xlfn.XLOOKUP(Tableau119[[#This Row],[Key(ID-date)]],'DATA BTO'!S:S,'DATA BTO'!L:L,FALSE)</f>
        <v>0</v>
      </c>
      <c r="AK931" s="53" t="b">
        <f>_xlfn.XLOOKUP(Tableau119[[#This Row],[Key(ID-date)]],'DATA BTO'!S:S,'DATA BTO'!N:N,FALSE)</f>
        <v>0</v>
      </c>
      <c r="AL931" s="54" t="e">
        <f>VLOOKUP(Tableau119[[#This Row],[Key(POD -PFI- Usine)]],'DATA Consignee'!A:F,6,FALSE)</f>
        <v>#N/A</v>
      </c>
      <c r="AM931" s="284"/>
      <c r="AN931" s="376" t="str">
        <f>IF(Tableau119[[#This Row],[Name PFI/CDD]]="","-",VLOOKUP(Tableau119[[#This Row],[Name PFI/CDD]],Plant_AILN!I:J,2,FALSE))</f>
        <v>-</v>
      </c>
      <c r="AO93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1" s="2" t="e">
        <f>VLOOKUP(Tableau119[[#This Row],[Key(POD -PFI- Usine)]],'DATA Consignee'!A:J,10,FALSE)</f>
        <v>#N/A</v>
      </c>
      <c r="AR931" s="50" t="e">
        <f>VLOOKUP(Tableau119[[#This Row],[Key(POD -PFI- Usine)]],'DATA Consignee'!A:N,14,FALSE)</f>
        <v>#N/A</v>
      </c>
      <c r="AS93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1" s="50">
        <f>Tableau119[[#This Row],[Transit time]]+Tableau119[[#This Row],[Time for security]]+Tableau119[[#This Row],[Time for security2 buffer]]</f>
        <v>0</v>
      </c>
      <c r="AV93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1" s="50" t="e">
        <f>Tableau119[[#This Row],[Leadtime SI2C]]+Tableau119[[#This Row],[First Receipt Days]]-Tableau119[[#This Row],[Day Customer Order]]+1</f>
        <v>#N/A</v>
      </c>
      <c r="AX931" s="119" t="e">
        <f>IF(Tableau119[[#This Row],[Name ILN]]&lt;&gt;"SFK Freight Forwarder",Tableau119[[#This Row],[Cust. Leadtime]],Tableau119[[#This Row],[Leadtime SI2C]])</f>
        <v>#N/A</v>
      </c>
      <c r="AY931" s="51" t="b">
        <f>_xlfn.XLOOKUP(Tableau119[[#This Row],[Key(ID-date)]],'DATA BTO'!S:S,'DATA BTO'!P:P,FALSE)</f>
        <v>0</v>
      </c>
      <c r="AZ931" s="338">
        <v>46142</v>
      </c>
      <c r="BA931" s="50"/>
    </row>
    <row r="932" spans="2:53">
      <c r="B932" s="446" t="str">
        <f>_xlfn.CONCAT(Tableau119[[#This Row],[Name ILN]],"-",Tableau119[[#This Row],[Name Shipper]],"-",Tableau119[[#This Row],[Name Site]])</f>
        <v>ILN Chine -ILN Chine -ACI Le mans</v>
      </c>
      <c r="C932" s="66" t="str">
        <f>_xlfn.CONCAT(Tableau119[[#This Row],[Compte ILN]],"-",Tableau119[[#This Row],[Compte Shipper]],"-",Tableau119[[#This Row],[POL]],"-",Tableau119[[#This Row],[Compte Consignee]])</f>
        <v>424479-424479-FALSO-9624700</v>
      </c>
      <c r="D932" s="66" t="str">
        <f>_xlfn.CONCAT(Tableau119[[#This Row],[Compte ILN]],"-",Tableau119[[#This Row],[Compte Shipper]],"-",Tableau119[[#This Row],[POL]])</f>
        <v>424479-424479-FALSO</v>
      </c>
      <c r="E932" s="130" t="str">
        <f>_xlfn.CONCAT(Tableau119[[#This Row],[POL]],"-",Tableau119[[#This Row],[Carrier]],"-",Tableau119[[#This Row],[POD]])</f>
        <v>FALSO-FALSO-FALSO</v>
      </c>
      <c r="F932" s="66" t="str">
        <f>_xlfn.CONCAT(Tableau119[[#This Row],[ID]],"-","Actif")</f>
        <v>1026-Actif</v>
      </c>
      <c r="G932" s="66" t="str">
        <f>_xlfn.CONCAT(Tableau119[[#This Row],[POD]],"-",Tableau119[[#This Row],[Code PFI]],"-",Tableau119[[#This Row],[Compte Consignee]])</f>
        <v>FALSO-90016600-9624700</v>
      </c>
      <c r="H93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FALSOACI Le mans</v>
      </c>
      <c r="I932" s="434" t="str">
        <f>_xlfn.CONCAT(Tableau119[[#This Row],[ID]],"-",Tableau119[[#This Row],[Expiration Date]])</f>
        <v>1026-46142</v>
      </c>
      <c r="J93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ACI Le mans-ILN Chine -ILN Chine -1026-FALSO-FALSO-FALSO-CDD FR-46142</v>
      </c>
      <c r="K932" s="119" t="str">
        <f ca="1">IF(COUNTIF(J:J,Tableau119[[#This Row],[Plant-ILN-shipper-POL-Carrier-POD-PFI]])=1,"Non","Oui")</f>
        <v>Non</v>
      </c>
      <c r="L932" s="128" t="str">
        <f>VLOOKUP(Tableau119[[#This Row],[Name Site]],Plant_AILN!A:D,4,FALSE)</f>
        <v>FRANCE</v>
      </c>
      <c r="M932" s="411" t="s">
        <v>218</v>
      </c>
      <c r="N932" s="454">
        <f>VLOOKUP(Tableau119[[#This Row],[Name Site]],Plant_AILN!A:C,3,FALSE)</f>
        <v>9624700</v>
      </c>
      <c r="O932" s="55">
        <f>IF(Tableau119[[#This Row],[Name PFI/CDD]]="PFI VLL",2,VLOOKUP(Tableau119[[#This Row],[Compte Consignee]],Order!C:D,2,FALSE))</f>
        <v>7</v>
      </c>
      <c r="P932" s="124" t="s">
        <v>1</v>
      </c>
      <c r="Q932" s="365">
        <f>VLOOKUP(Tableau119[[#This Row],[Name ILN]],Plant_AILN!F:G,2,FALSE)</f>
        <v>424479</v>
      </c>
      <c r="R932" s="50">
        <f>VLOOKUP(Tableau119[[#This Row],[Compte ILN]],'DATA ILN'!D:I,6,FALSE)</f>
        <v>9</v>
      </c>
      <c r="S932" s="50" t="e">
        <f>IFERROR(VLOOKUP(Tableau119[[#This Row],[Key(Compte ILN - shipper - POL - plant)]],'DATA ILN'!A:J,10,FALSE),VLOOKUP(Tableau119[[#This Row],[Key(Compte ILN - shipper - POL)]],'DATA ILN'!B:J,9,FALSE))</f>
        <v>#N/A</v>
      </c>
      <c r="T932" s="50" t="e">
        <f>IFERROR(VLOOKUP(Tableau119[[#This Row],[Key(Compte ILN - shipper - POL - plant)]],'DATA ILN'!A:K,11,FALSE),VLOOKUP(Tableau119[[#This Row],[Key(Compte ILN - shipper - POL)]],'DATA ILN'!B:K,10,FALSE))</f>
        <v>#N/A</v>
      </c>
      <c r="U932" s="50" t="e">
        <f>IFERROR(VLOOKUP(Tableau119[[#This Row],[Key(Compte ILN - shipper - POL - plant)]],'DATA ILN'!A:L,12,FALSE),VLOOKUP(Tableau119[[#This Row],[Key(Compte ILN - shipper - POL)]],'DATA ILN'!B:L,11,FALSE))</f>
        <v>#N/A</v>
      </c>
      <c r="V932" s="50" t="e">
        <f>Tableau119[[#This Row],[Day ILN Order]]+Tableau119[[#This Row],[Delivery time to ILN/Shipper]]-1</f>
        <v>#N/A</v>
      </c>
      <c r="W932" s="50" t="e">
        <f>IFERROR(VLOOKUP(Tableau119[[#This Row],[Key(Compte ILN - shipper - POL - plant)]],'DATA ILN'!A:N,14,FALSE),VLOOKUP(Tableau119[[#This Row],[Key(Compte ILN - shipper - POL)]],'DATA ILN'!B:N,13,FALSE))</f>
        <v>#N/A</v>
      </c>
      <c r="X932" s="50" t="e">
        <f>IFERROR(VLOOKUP(Tableau119[[#This Row],[Key(Compte ILN - shipper - POL - plant)]],'DATA ILN'!A:P,16,FALSE),VLOOKUP(Tableau119[[#This Row],[Key(Compte ILN - shipper - POL)]],'DATA ILN'!B:P,15,FALSE))</f>
        <v>#N/A</v>
      </c>
      <c r="Y932" s="284" t="s">
        <v>1</v>
      </c>
      <c r="Z932" s="430">
        <f>IFERROR(VLOOKUP(Tableau119[[#This Row],[Name Shipper]],Plant_AILN!L:M,2,FALSE),0)</f>
        <v>424479</v>
      </c>
      <c r="AA932" s="406">
        <v>1026</v>
      </c>
      <c r="AB932" s="396" t="b">
        <f>_xlfn.XLOOKUP(Tableau119[[#This Row],[Key(ID-date)]],'DATA BTO'!S:S,'DATA BTO'!E:E,FALSE)</f>
        <v>0</v>
      </c>
      <c r="AC932" s="3" t="b">
        <f>_xlfn.XLOOKUP(Tableau119[[#This Row],[Key(ID-date)]],'DATA BTO'!S:S,'DATA BTO'!F:F,FALSE)</f>
        <v>0</v>
      </c>
      <c r="AD932" s="50" t="b">
        <f>_xlfn.XLOOKUP(Tableau119[[#This Row],[Key(ID-date)]],'DATA BTO'!S:S,'DATA BTO'!G:G,FALSE)</f>
        <v>0</v>
      </c>
      <c r="AE932" s="50" t="b">
        <f>_xlfn.XLOOKUP(Tableau119[[#This Row],[Key(ID-date)]],'DATA BTO'!S:S,'DATA BTO'!H:H,FALSE)</f>
        <v>0</v>
      </c>
      <c r="AF932" s="447" t="e">
        <f>IF(Tableau119[[#This Row],[First Day to POL]]&lt;=Tableau119[[#This Row],[Day Cut Off]],Tableau119[[#This Row],[Day ETD]],Tableau119[[#This Row],[Day ETD]]+7)</f>
        <v>#N/A</v>
      </c>
      <c r="AG932" s="50" t="b">
        <f>_xlfn.XLOOKUP(Tableau119[[#This Row],[Key(ID-date)]],'DATA BTO'!S:S,'DATA BTO'!I:I,FALSE)</f>
        <v>0</v>
      </c>
      <c r="AH932" s="3" t="b">
        <f>_xlfn.XLOOKUP(Tableau119[[#This Row],[Key(ID-date)]],'DATA BTO'!S:S,'DATA BTO'!J:J,FALSE)</f>
        <v>0</v>
      </c>
      <c r="AI932" s="3" t="b">
        <f>_xlfn.XLOOKUP(Tableau119[[#This Row],[Key(ID-date)]],'DATA BTO'!S:S,'DATA BTO'!K:K,FALSE)</f>
        <v>0</v>
      </c>
      <c r="AJ932" s="50" t="b">
        <f>_xlfn.XLOOKUP(Tableau119[[#This Row],[Key(ID-date)]],'DATA BTO'!S:S,'DATA BTO'!L:L,FALSE)</f>
        <v>0</v>
      </c>
      <c r="AK932" s="53" t="b">
        <f>_xlfn.XLOOKUP(Tableau119[[#This Row],[Key(ID-date)]],'DATA BTO'!S:S,'DATA BTO'!N:N,FALSE)</f>
        <v>0</v>
      </c>
      <c r="AL932" s="54" t="e">
        <f>VLOOKUP(Tableau119[[#This Row],[Key(POD -PFI- Usine)]],'DATA Consignee'!A:F,6,FALSE)</f>
        <v>#N/A</v>
      </c>
      <c r="AM932" s="284" t="s">
        <v>155</v>
      </c>
      <c r="AN932" s="376">
        <f>IF(Tableau119[[#This Row],[Name PFI/CDD]]="","-",VLOOKUP(Tableau119[[#This Row],[Name PFI/CDD]],Plant_AILN!I:J,2,FALSE))</f>
        <v>90016600</v>
      </c>
      <c r="AO93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2" s="2" t="e">
        <f>VLOOKUP(Tableau119[[#This Row],[Key(POD -PFI- Usine)]],'DATA Consignee'!A:J,10,FALSE)</f>
        <v>#N/A</v>
      </c>
      <c r="AR932" s="50" t="e">
        <f>VLOOKUP(Tableau119[[#This Row],[Key(POD -PFI- Usine)]],'DATA Consignee'!A:N,14,FALSE)</f>
        <v>#N/A</v>
      </c>
      <c r="AS93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2" s="50">
        <f>Tableau119[[#This Row],[Transit time]]+Tableau119[[#This Row],[Time for security]]+Tableau119[[#This Row],[Time for security2 buffer]]</f>
        <v>0</v>
      </c>
      <c r="AV93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2" s="50" t="e">
        <f>Tableau119[[#This Row],[Leadtime SI2C]]+Tableau119[[#This Row],[First Receipt Days]]-Tableau119[[#This Row],[Day Customer Order]]+1</f>
        <v>#N/A</v>
      </c>
      <c r="AX932" s="119" t="e">
        <f>IF(Tableau119[[#This Row],[Name ILN]]&lt;&gt;"SFK Freight Forwarder",Tableau119[[#This Row],[Cust. Leadtime]],Tableau119[[#This Row],[Leadtime SI2C]])</f>
        <v>#N/A</v>
      </c>
      <c r="AY932" s="51" t="b">
        <f>_xlfn.XLOOKUP(Tableau119[[#This Row],[Key(ID-date)]],'DATA BTO'!S:S,'DATA BTO'!P:P,FALSE)</f>
        <v>0</v>
      </c>
      <c r="AZ932" s="338">
        <v>46142</v>
      </c>
      <c r="BA932" s="50"/>
    </row>
    <row r="933" spans="2:53">
      <c r="B933" s="446" t="str">
        <f>_xlfn.CONCAT(Tableau119[[#This Row],[Name ILN]],"-",Tableau119[[#This Row],[Name Shipper]],"-",Tableau119[[#This Row],[Name Site]])</f>
        <v>ILN Chine -ILN Chine -FLINS</v>
      </c>
      <c r="C933" s="66" t="str">
        <f>_xlfn.CONCAT(Tableau119[[#This Row],[Compte ILN]],"-",Tableau119[[#This Row],[Compte Shipper]],"-",Tableau119[[#This Row],[POL]],"-",Tableau119[[#This Row],[Compte Consignee]])</f>
        <v>424479-424479-FALSO-90015100</v>
      </c>
      <c r="D933" s="66" t="str">
        <f>_xlfn.CONCAT(Tableau119[[#This Row],[Compte ILN]],"-",Tableau119[[#This Row],[Compte Shipper]],"-",Tableau119[[#This Row],[POL]])</f>
        <v>424479-424479-FALSO</v>
      </c>
      <c r="E933" s="130" t="str">
        <f>_xlfn.CONCAT(Tableau119[[#This Row],[POL]],"-",Tableau119[[#This Row],[Carrier]],"-",Tableau119[[#This Row],[POD]])</f>
        <v>FALSO-FALSO-FALSO</v>
      </c>
      <c r="F933" s="66" t="str">
        <f>_xlfn.CONCAT(Tableau119[[#This Row],[ID]],"-","Actif")</f>
        <v>1026-Actif</v>
      </c>
      <c r="G933" s="66" t="str">
        <f>_xlfn.CONCAT(Tableau119[[#This Row],[POD]],"-",Tableau119[[#This Row],[Code PFI]],"-",Tableau119[[#This Row],[Compte Consignee]])</f>
        <v>FALSO-90016600-90015100</v>
      </c>
      <c r="H93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FALSOFLINS</v>
      </c>
      <c r="I933" s="434" t="str">
        <f>_xlfn.CONCAT(Tableau119[[#This Row],[ID]],"-",Tableau119[[#This Row],[Expiration Date]])</f>
        <v>1026-46142</v>
      </c>
      <c r="J93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Chine -ILN Chine -1026-FALSO-FALSO-FALSO-CDD FR-46142</v>
      </c>
      <c r="K933" s="119" t="str">
        <f ca="1">IF(COUNTIF(J:J,Tableau119[[#This Row],[Plant-ILN-shipper-POL-Carrier-POD-PFI]])=1,"Non","Oui")</f>
        <v>Non</v>
      </c>
      <c r="L933" s="128" t="str">
        <f>VLOOKUP(Tableau119[[#This Row],[Name Site]],Plant_AILN!A:D,4,FALSE)</f>
        <v>FRANCE</v>
      </c>
      <c r="M933" s="411" t="s">
        <v>209</v>
      </c>
      <c r="N933" s="454">
        <f>VLOOKUP(Tableau119[[#This Row],[Name Site]],Plant_AILN!A:C,3,FALSE)</f>
        <v>90015100</v>
      </c>
      <c r="O933" s="55">
        <f>IF(Tableau119[[#This Row],[Name PFI/CDD]]="PFI VLL",2,VLOOKUP(Tableau119[[#This Row],[Compte Consignee]],Order!C:D,2,FALSE))</f>
        <v>7</v>
      </c>
      <c r="P933" s="124" t="s">
        <v>1</v>
      </c>
      <c r="Q933" s="365">
        <f>VLOOKUP(Tableau119[[#This Row],[Name ILN]],Plant_AILN!F:G,2,FALSE)</f>
        <v>424479</v>
      </c>
      <c r="R933" s="50">
        <f>VLOOKUP(Tableau119[[#This Row],[Compte ILN]],'DATA ILN'!D:I,6,FALSE)</f>
        <v>9</v>
      </c>
      <c r="S933" s="50" t="e">
        <f>IFERROR(VLOOKUP(Tableau119[[#This Row],[Key(Compte ILN - shipper - POL - plant)]],'DATA ILN'!A:J,10,FALSE),VLOOKUP(Tableau119[[#This Row],[Key(Compte ILN - shipper - POL)]],'DATA ILN'!B:J,9,FALSE))</f>
        <v>#N/A</v>
      </c>
      <c r="T933" s="50" t="e">
        <f>IFERROR(VLOOKUP(Tableau119[[#This Row],[Key(Compte ILN - shipper - POL - plant)]],'DATA ILN'!A:K,11,FALSE),VLOOKUP(Tableau119[[#This Row],[Key(Compte ILN - shipper - POL)]],'DATA ILN'!B:K,10,FALSE))</f>
        <v>#N/A</v>
      </c>
      <c r="U933" s="50" t="e">
        <f>IFERROR(VLOOKUP(Tableau119[[#This Row],[Key(Compte ILN - shipper - POL - plant)]],'DATA ILN'!A:L,12,FALSE),VLOOKUP(Tableau119[[#This Row],[Key(Compte ILN - shipper - POL)]],'DATA ILN'!B:L,11,FALSE))</f>
        <v>#N/A</v>
      </c>
      <c r="V933" s="50" t="e">
        <f>Tableau119[[#This Row],[Day ILN Order]]+Tableau119[[#This Row],[Delivery time to ILN/Shipper]]-1</f>
        <v>#N/A</v>
      </c>
      <c r="W933" s="50" t="e">
        <f>IFERROR(VLOOKUP(Tableau119[[#This Row],[Key(Compte ILN - shipper - POL - plant)]],'DATA ILN'!A:N,14,FALSE),VLOOKUP(Tableau119[[#This Row],[Key(Compte ILN - shipper - POL)]],'DATA ILN'!B:N,13,FALSE))</f>
        <v>#N/A</v>
      </c>
      <c r="X933" s="50" t="e">
        <f>IFERROR(VLOOKUP(Tableau119[[#This Row],[Key(Compte ILN - shipper - POL - plant)]],'DATA ILN'!A:P,16,FALSE),VLOOKUP(Tableau119[[#This Row],[Key(Compte ILN - shipper - POL)]],'DATA ILN'!B:P,15,FALSE))</f>
        <v>#N/A</v>
      </c>
      <c r="Y933" s="284" t="s">
        <v>1</v>
      </c>
      <c r="Z933" s="430">
        <f>IFERROR(VLOOKUP(Tableau119[[#This Row],[Name Shipper]],Plant_AILN!L:M,2,FALSE),0)</f>
        <v>424479</v>
      </c>
      <c r="AA933" s="406">
        <v>1026</v>
      </c>
      <c r="AB933" s="396" t="b">
        <f>_xlfn.XLOOKUP(Tableau119[[#This Row],[Key(ID-date)]],'DATA BTO'!S:S,'DATA BTO'!E:E,FALSE)</f>
        <v>0</v>
      </c>
      <c r="AC933" s="3" t="b">
        <f>_xlfn.XLOOKUP(Tableau119[[#This Row],[Key(ID-date)]],'DATA BTO'!S:S,'DATA BTO'!F:F,FALSE)</f>
        <v>0</v>
      </c>
      <c r="AD933" s="50" t="b">
        <f>_xlfn.XLOOKUP(Tableau119[[#This Row],[Key(ID-date)]],'DATA BTO'!S:S,'DATA BTO'!G:G,FALSE)</f>
        <v>0</v>
      </c>
      <c r="AE933" s="50" t="b">
        <f>_xlfn.XLOOKUP(Tableau119[[#This Row],[Key(ID-date)]],'DATA BTO'!S:S,'DATA BTO'!H:H,FALSE)</f>
        <v>0</v>
      </c>
      <c r="AF933" s="447" t="e">
        <f>IF(Tableau119[[#This Row],[First Day to POL]]&lt;=Tableau119[[#This Row],[Day Cut Off]],Tableau119[[#This Row],[Day ETD]],Tableau119[[#This Row],[Day ETD]]+7)</f>
        <v>#N/A</v>
      </c>
      <c r="AG933" s="50" t="b">
        <f>_xlfn.XLOOKUP(Tableau119[[#This Row],[Key(ID-date)]],'DATA BTO'!S:S,'DATA BTO'!I:I,FALSE)</f>
        <v>0</v>
      </c>
      <c r="AH933" s="3" t="b">
        <f>_xlfn.XLOOKUP(Tableau119[[#This Row],[Key(ID-date)]],'DATA BTO'!S:S,'DATA BTO'!J:J,FALSE)</f>
        <v>0</v>
      </c>
      <c r="AI933" s="3" t="b">
        <f>_xlfn.XLOOKUP(Tableau119[[#This Row],[Key(ID-date)]],'DATA BTO'!S:S,'DATA BTO'!K:K,FALSE)</f>
        <v>0</v>
      </c>
      <c r="AJ933" s="50" t="b">
        <f>_xlfn.XLOOKUP(Tableau119[[#This Row],[Key(ID-date)]],'DATA BTO'!S:S,'DATA BTO'!L:L,FALSE)</f>
        <v>0</v>
      </c>
      <c r="AK933" s="53" t="b">
        <f>_xlfn.XLOOKUP(Tableau119[[#This Row],[Key(ID-date)]],'DATA BTO'!S:S,'DATA BTO'!N:N,FALSE)</f>
        <v>0</v>
      </c>
      <c r="AL933" s="54" t="e">
        <f>VLOOKUP(Tableau119[[#This Row],[Key(POD -PFI- Usine)]],'DATA Consignee'!A:F,6,FALSE)</f>
        <v>#N/A</v>
      </c>
      <c r="AM933" s="284" t="s">
        <v>155</v>
      </c>
      <c r="AN933" s="376">
        <f>IF(Tableau119[[#This Row],[Name PFI/CDD]]="","-",VLOOKUP(Tableau119[[#This Row],[Name PFI/CDD]],Plant_AILN!I:J,2,FALSE))</f>
        <v>90016600</v>
      </c>
      <c r="AO93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3" s="2" t="e">
        <f>VLOOKUP(Tableau119[[#This Row],[Key(POD -PFI- Usine)]],'DATA Consignee'!A:J,10,FALSE)</f>
        <v>#N/A</v>
      </c>
      <c r="AR933" s="50" t="e">
        <f>VLOOKUP(Tableau119[[#This Row],[Key(POD -PFI- Usine)]],'DATA Consignee'!A:N,14,FALSE)</f>
        <v>#N/A</v>
      </c>
      <c r="AS93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3" s="50">
        <f>Tableau119[[#This Row],[Transit time]]+Tableau119[[#This Row],[Time for security]]+Tableau119[[#This Row],[Time for security2 buffer]]</f>
        <v>0</v>
      </c>
      <c r="AV93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3" s="50" t="e">
        <f>Tableau119[[#This Row],[Leadtime SI2C]]+Tableau119[[#This Row],[First Receipt Days]]-Tableau119[[#This Row],[Day Customer Order]]+1</f>
        <v>#N/A</v>
      </c>
      <c r="AX933" s="119" t="e">
        <f>IF(Tableau119[[#This Row],[Name ILN]]&lt;&gt;"SFK Freight Forwarder",Tableau119[[#This Row],[Cust. Leadtime]],Tableau119[[#This Row],[Leadtime SI2C]])</f>
        <v>#N/A</v>
      </c>
      <c r="AY933" s="51" t="b">
        <f>_xlfn.XLOOKUP(Tableau119[[#This Row],[Key(ID-date)]],'DATA BTO'!S:S,'DATA BTO'!P:P,FALSE)</f>
        <v>0</v>
      </c>
      <c r="AZ933" s="338">
        <v>46142</v>
      </c>
      <c r="BA933" s="50"/>
    </row>
    <row r="934" spans="2:53">
      <c r="B934" s="446" t="str">
        <f>_xlfn.CONCAT(Tableau119[[#This Row],[Name ILN]],"-",Tableau119[[#This Row],[Name Shipper]],"-",Tableau119[[#This Row],[Name Site]])</f>
        <v>ILN Chine -ILN Chine -MAUBEUGE</v>
      </c>
      <c r="C934" s="66" t="str">
        <f>_xlfn.CONCAT(Tableau119[[#This Row],[Compte ILN]],"-",Tableau119[[#This Row],[Compte Shipper]],"-",Tableau119[[#This Row],[POL]],"-",Tableau119[[#This Row],[Compte Consignee]])</f>
        <v>424479-424479-FALSO-90016200</v>
      </c>
      <c r="D934" s="66" t="str">
        <f>_xlfn.CONCAT(Tableau119[[#This Row],[Compte ILN]],"-",Tableau119[[#This Row],[Compte Shipper]],"-",Tableau119[[#This Row],[POL]])</f>
        <v>424479-424479-FALSO</v>
      </c>
      <c r="E934" s="130" t="str">
        <f>_xlfn.CONCAT(Tableau119[[#This Row],[POL]],"-",Tableau119[[#This Row],[Carrier]],"-",Tableau119[[#This Row],[POD]])</f>
        <v>FALSO-FALSO-FALSO</v>
      </c>
      <c r="F934" s="66" t="str">
        <f>_xlfn.CONCAT(Tableau119[[#This Row],[ID]],"-","Actif")</f>
        <v>1026-Actif</v>
      </c>
      <c r="G934" s="66" t="str">
        <f>_xlfn.CONCAT(Tableau119[[#This Row],[POD]],"-",Tableau119[[#This Row],[Code PFI]],"-",Tableau119[[#This Row],[Compte Consignee]])</f>
        <v>FALSO-90016600-90016200</v>
      </c>
      <c r="H93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FALSOMAUBEUGE</v>
      </c>
      <c r="I934" s="434" t="str">
        <f>_xlfn.CONCAT(Tableau119[[#This Row],[ID]],"-",Tableau119[[#This Row],[Expiration Date]])</f>
        <v>1026-46142</v>
      </c>
      <c r="J93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Chine -ILN Chine -1026-FALSO-FALSO-FALSO-CDD FR-46142</v>
      </c>
      <c r="K934" s="119" t="str">
        <f ca="1">IF(COUNTIF(J:J,Tableau119[[#This Row],[Plant-ILN-shipper-POL-Carrier-POD-PFI]])=1,"Non","Oui")</f>
        <v>Non</v>
      </c>
      <c r="L934" s="128" t="str">
        <f>VLOOKUP(Tableau119[[#This Row],[Name Site]],Plant_AILN!A:D,4,FALSE)</f>
        <v>FRANCE</v>
      </c>
      <c r="M934" s="411" t="s">
        <v>210</v>
      </c>
      <c r="N934" s="454">
        <f>VLOOKUP(Tableau119[[#This Row],[Name Site]],Plant_AILN!A:C,3,FALSE)</f>
        <v>90016200</v>
      </c>
      <c r="O934" s="55">
        <f>IF(Tableau119[[#This Row],[Name PFI/CDD]]="PFI VLL",2,VLOOKUP(Tableau119[[#This Row],[Compte Consignee]],Order!C:D,2,FALSE))</f>
        <v>7</v>
      </c>
      <c r="P934" s="124" t="s">
        <v>1</v>
      </c>
      <c r="Q934" s="365">
        <f>VLOOKUP(Tableau119[[#This Row],[Name ILN]],Plant_AILN!F:G,2,FALSE)</f>
        <v>424479</v>
      </c>
      <c r="R934" s="50">
        <f>VLOOKUP(Tableau119[[#This Row],[Compte ILN]],'DATA ILN'!D:I,6,FALSE)</f>
        <v>9</v>
      </c>
      <c r="S934" s="50" t="e">
        <f>IFERROR(VLOOKUP(Tableau119[[#This Row],[Key(Compte ILN - shipper - POL - plant)]],'DATA ILN'!A:J,10,FALSE),VLOOKUP(Tableau119[[#This Row],[Key(Compte ILN - shipper - POL)]],'DATA ILN'!B:J,9,FALSE))</f>
        <v>#N/A</v>
      </c>
      <c r="T934" s="50" t="e">
        <f>IFERROR(VLOOKUP(Tableau119[[#This Row],[Key(Compte ILN - shipper - POL - plant)]],'DATA ILN'!A:K,11,FALSE),VLOOKUP(Tableau119[[#This Row],[Key(Compte ILN - shipper - POL)]],'DATA ILN'!B:K,10,FALSE))</f>
        <v>#N/A</v>
      </c>
      <c r="U934" s="50" t="e">
        <f>IFERROR(VLOOKUP(Tableau119[[#This Row],[Key(Compte ILN - shipper - POL - plant)]],'DATA ILN'!A:L,12,FALSE),VLOOKUP(Tableau119[[#This Row],[Key(Compte ILN - shipper - POL)]],'DATA ILN'!B:L,11,FALSE))</f>
        <v>#N/A</v>
      </c>
      <c r="V934" s="50" t="e">
        <f>Tableau119[[#This Row],[Day ILN Order]]+Tableau119[[#This Row],[Delivery time to ILN/Shipper]]-1</f>
        <v>#N/A</v>
      </c>
      <c r="W934" s="50" t="e">
        <f>IFERROR(VLOOKUP(Tableau119[[#This Row],[Key(Compte ILN - shipper - POL - plant)]],'DATA ILN'!A:N,14,FALSE),VLOOKUP(Tableau119[[#This Row],[Key(Compte ILN - shipper - POL)]],'DATA ILN'!B:N,13,FALSE))</f>
        <v>#N/A</v>
      </c>
      <c r="X934" s="50" t="e">
        <f>IFERROR(VLOOKUP(Tableau119[[#This Row],[Key(Compte ILN - shipper - POL - plant)]],'DATA ILN'!A:P,16,FALSE),VLOOKUP(Tableau119[[#This Row],[Key(Compte ILN - shipper - POL)]],'DATA ILN'!B:P,15,FALSE))</f>
        <v>#N/A</v>
      </c>
      <c r="Y934" s="284" t="s">
        <v>1</v>
      </c>
      <c r="Z934" s="430">
        <f>IFERROR(VLOOKUP(Tableau119[[#This Row],[Name Shipper]],Plant_AILN!L:M,2,FALSE),0)</f>
        <v>424479</v>
      </c>
      <c r="AA934" s="406">
        <v>1026</v>
      </c>
      <c r="AB934" s="396" t="b">
        <f>_xlfn.XLOOKUP(Tableau119[[#This Row],[Key(ID-date)]],'DATA BTO'!S:S,'DATA BTO'!E:E,FALSE)</f>
        <v>0</v>
      </c>
      <c r="AC934" s="3" t="b">
        <f>_xlfn.XLOOKUP(Tableau119[[#This Row],[Key(ID-date)]],'DATA BTO'!S:S,'DATA BTO'!F:F,FALSE)</f>
        <v>0</v>
      </c>
      <c r="AD934" s="50" t="b">
        <f>_xlfn.XLOOKUP(Tableau119[[#This Row],[Key(ID-date)]],'DATA BTO'!S:S,'DATA BTO'!G:G,FALSE)</f>
        <v>0</v>
      </c>
      <c r="AE934" s="50" t="b">
        <f>_xlfn.XLOOKUP(Tableau119[[#This Row],[Key(ID-date)]],'DATA BTO'!S:S,'DATA BTO'!H:H,FALSE)</f>
        <v>0</v>
      </c>
      <c r="AF934" s="447" t="e">
        <f>IF(Tableau119[[#This Row],[First Day to POL]]&lt;=Tableau119[[#This Row],[Day Cut Off]],Tableau119[[#This Row],[Day ETD]],Tableau119[[#This Row],[Day ETD]]+7)</f>
        <v>#N/A</v>
      </c>
      <c r="AG934" s="50" t="b">
        <f>_xlfn.XLOOKUP(Tableau119[[#This Row],[Key(ID-date)]],'DATA BTO'!S:S,'DATA BTO'!I:I,FALSE)</f>
        <v>0</v>
      </c>
      <c r="AH934" s="3" t="b">
        <f>_xlfn.XLOOKUP(Tableau119[[#This Row],[Key(ID-date)]],'DATA BTO'!S:S,'DATA BTO'!J:J,FALSE)</f>
        <v>0</v>
      </c>
      <c r="AI934" s="3" t="b">
        <f>_xlfn.XLOOKUP(Tableau119[[#This Row],[Key(ID-date)]],'DATA BTO'!S:S,'DATA BTO'!K:K,FALSE)</f>
        <v>0</v>
      </c>
      <c r="AJ934" s="50" t="b">
        <f>_xlfn.XLOOKUP(Tableau119[[#This Row],[Key(ID-date)]],'DATA BTO'!S:S,'DATA BTO'!L:L,FALSE)</f>
        <v>0</v>
      </c>
      <c r="AK934" s="53" t="b">
        <f>_xlfn.XLOOKUP(Tableau119[[#This Row],[Key(ID-date)]],'DATA BTO'!S:S,'DATA BTO'!N:N,FALSE)</f>
        <v>0</v>
      </c>
      <c r="AL934" s="54" t="e">
        <f>VLOOKUP(Tableau119[[#This Row],[Key(POD -PFI- Usine)]],'DATA Consignee'!A:F,6,FALSE)</f>
        <v>#N/A</v>
      </c>
      <c r="AM934" s="284" t="s">
        <v>155</v>
      </c>
      <c r="AN934" s="376">
        <f>IF(Tableau119[[#This Row],[Name PFI/CDD]]="","-",VLOOKUP(Tableau119[[#This Row],[Name PFI/CDD]],Plant_AILN!I:J,2,FALSE))</f>
        <v>90016600</v>
      </c>
      <c r="AO93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4" s="2" t="e">
        <f>VLOOKUP(Tableau119[[#This Row],[Key(POD -PFI- Usine)]],'DATA Consignee'!A:J,10,FALSE)</f>
        <v>#N/A</v>
      </c>
      <c r="AR934" s="50" t="e">
        <f>VLOOKUP(Tableau119[[#This Row],[Key(POD -PFI- Usine)]],'DATA Consignee'!A:N,14,FALSE)</f>
        <v>#N/A</v>
      </c>
      <c r="AS93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4" s="50">
        <f>Tableau119[[#This Row],[Transit time]]+Tableau119[[#This Row],[Time for security]]+Tableau119[[#This Row],[Time for security2 buffer]]</f>
        <v>0</v>
      </c>
      <c r="AV93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4" s="50" t="e">
        <f>Tableau119[[#This Row],[Leadtime SI2C]]+Tableau119[[#This Row],[First Receipt Days]]-Tableau119[[#This Row],[Day Customer Order]]+1</f>
        <v>#N/A</v>
      </c>
      <c r="AX934" s="119" t="e">
        <f>IF(Tableau119[[#This Row],[Name ILN]]&lt;&gt;"SFK Freight Forwarder",Tableau119[[#This Row],[Cust. Leadtime]],Tableau119[[#This Row],[Leadtime SI2C]])</f>
        <v>#N/A</v>
      </c>
      <c r="AY934" s="51" t="b">
        <f>_xlfn.XLOOKUP(Tableau119[[#This Row],[Key(ID-date)]],'DATA BTO'!S:S,'DATA BTO'!P:P,FALSE)</f>
        <v>0</v>
      </c>
      <c r="AZ934" s="338">
        <v>46142</v>
      </c>
      <c r="BA934" s="50"/>
    </row>
    <row r="935" spans="2:53">
      <c r="B935" s="446" t="str">
        <f>_xlfn.CONCAT(Tableau119[[#This Row],[Name ILN]],"-",Tableau119[[#This Row],[Name Shipper]],"-",Tableau119[[#This Row],[Name Site]])</f>
        <v>ILN Chine -ILN Chine -SOVAB</v>
      </c>
      <c r="C935" s="66" t="str">
        <f>_xlfn.CONCAT(Tableau119[[#This Row],[Compte ILN]],"-",Tableau119[[#This Row],[Compte Shipper]],"-",Tableau119[[#This Row],[POL]],"-",Tableau119[[#This Row],[Compte Consignee]])</f>
        <v>424479-424479-FALSO-90016900</v>
      </c>
      <c r="D935" s="66" t="str">
        <f>_xlfn.CONCAT(Tableau119[[#This Row],[Compte ILN]],"-",Tableau119[[#This Row],[Compte Shipper]],"-",Tableau119[[#This Row],[POL]])</f>
        <v>424479-424479-FALSO</v>
      </c>
      <c r="E935" s="130" t="str">
        <f>_xlfn.CONCAT(Tableau119[[#This Row],[POL]],"-",Tableau119[[#This Row],[Carrier]],"-",Tableau119[[#This Row],[POD]])</f>
        <v>FALSO-FALSO-FALSO</v>
      </c>
      <c r="F935" s="66" t="str">
        <f>_xlfn.CONCAT(Tableau119[[#This Row],[ID]],"-","Actif")</f>
        <v>1026-Actif</v>
      </c>
      <c r="G935" s="66" t="str">
        <f>_xlfn.CONCAT(Tableau119[[#This Row],[POD]],"-",Tableau119[[#This Row],[Code PFI]],"-",Tableau119[[#This Row],[Compte Consignee]])</f>
        <v>FALSO-90016600-90016900</v>
      </c>
      <c r="H93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FALSOSOVAB</v>
      </c>
      <c r="I935" s="434" t="str">
        <f>_xlfn.CONCAT(Tableau119[[#This Row],[ID]],"-",Tableau119[[#This Row],[Expiration Date]])</f>
        <v>1026-46142</v>
      </c>
      <c r="J93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Chine -ILN Chine -1026-FALSO-FALSO-FALSO-CDD FR-46142</v>
      </c>
      <c r="K935" s="119" t="str">
        <f ca="1">IF(COUNTIF(J:J,Tableau119[[#This Row],[Plant-ILN-shipper-POL-Carrier-POD-PFI]])=1,"Non","Oui")</f>
        <v>Non</v>
      </c>
      <c r="L935" s="128" t="str">
        <f>VLOOKUP(Tableau119[[#This Row],[Name Site]],Plant_AILN!A:D,4,FALSE)</f>
        <v>FRANCE</v>
      </c>
      <c r="M935" s="411" t="s">
        <v>154</v>
      </c>
      <c r="N935" s="454">
        <f>VLOOKUP(Tableau119[[#This Row],[Name Site]],Plant_AILN!A:C,3,FALSE)</f>
        <v>90016900</v>
      </c>
      <c r="O935" s="55">
        <f>IF(Tableau119[[#This Row],[Name PFI/CDD]]="PFI VLL",2,VLOOKUP(Tableau119[[#This Row],[Compte Consignee]],Order!C:D,2,FALSE))</f>
        <v>7</v>
      </c>
      <c r="P935" s="124" t="s">
        <v>1</v>
      </c>
      <c r="Q935" s="365">
        <f>VLOOKUP(Tableau119[[#This Row],[Name ILN]],Plant_AILN!F:G,2,FALSE)</f>
        <v>424479</v>
      </c>
      <c r="R935" s="50">
        <f>VLOOKUP(Tableau119[[#This Row],[Compte ILN]],'DATA ILN'!D:I,6,FALSE)</f>
        <v>9</v>
      </c>
      <c r="S935" s="50" t="e">
        <f>IFERROR(VLOOKUP(Tableau119[[#This Row],[Key(Compte ILN - shipper - POL - plant)]],'DATA ILN'!A:J,10,FALSE),VLOOKUP(Tableau119[[#This Row],[Key(Compte ILN - shipper - POL)]],'DATA ILN'!B:J,9,FALSE))</f>
        <v>#N/A</v>
      </c>
      <c r="T935" s="50" t="e">
        <f>IFERROR(VLOOKUP(Tableau119[[#This Row],[Key(Compte ILN - shipper - POL - plant)]],'DATA ILN'!A:K,11,FALSE),VLOOKUP(Tableau119[[#This Row],[Key(Compte ILN - shipper - POL)]],'DATA ILN'!B:K,10,FALSE))</f>
        <v>#N/A</v>
      </c>
      <c r="U935" s="50" t="e">
        <f>IFERROR(VLOOKUP(Tableau119[[#This Row],[Key(Compte ILN - shipper - POL - plant)]],'DATA ILN'!A:L,12,FALSE),VLOOKUP(Tableau119[[#This Row],[Key(Compte ILN - shipper - POL)]],'DATA ILN'!B:L,11,FALSE))</f>
        <v>#N/A</v>
      </c>
      <c r="V935" s="50" t="e">
        <f>Tableau119[[#This Row],[Day ILN Order]]+Tableau119[[#This Row],[Delivery time to ILN/Shipper]]-1</f>
        <v>#N/A</v>
      </c>
      <c r="W935" s="50" t="e">
        <f>IFERROR(VLOOKUP(Tableau119[[#This Row],[Key(Compte ILN - shipper - POL - plant)]],'DATA ILN'!A:N,14,FALSE),VLOOKUP(Tableau119[[#This Row],[Key(Compte ILN - shipper - POL)]],'DATA ILN'!B:N,13,FALSE))</f>
        <v>#N/A</v>
      </c>
      <c r="X935" s="50" t="e">
        <f>IFERROR(VLOOKUP(Tableau119[[#This Row],[Key(Compte ILN - shipper - POL - plant)]],'DATA ILN'!A:P,16,FALSE),VLOOKUP(Tableau119[[#This Row],[Key(Compte ILN - shipper - POL)]],'DATA ILN'!B:P,15,FALSE))</f>
        <v>#N/A</v>
      </c>
      <c r="Y935" s="284" t="s">
        <v>1</v>
      </c>
      <c r="Z935" s="430">
        <f>IFERROR(VLOOKUP(Tableau119[[#This Row],[Name Shipper]],Plant_AILN!L:M,2,FALSE),0)</f>
        <v>424479</v>
      </c>
      <c r="AA935" s="406">
        <v>1026</v>
      </c>
      <c r="AB935" s="396" t="b">
        <f>_xlfn.XLOOKUP(Tableau119[[#This Row],[Key(ID-date)]],'DATA BTO'!S:S,'DATA BTO'!E:E,FALSE)</f>
        <v>0</v>
      </c>
      <c r="AC935" s="3" t="b">
        <f>_xlfn.XLOOKUP(Tableau119[[#This Row],[Key(ID-date)]],'DATA BTO'!S:S,'DATA BTO'!F:F,FALSE)</f>
        <v>0</v>
      </c>
      <c r="AD935" s="50" t="b">
        <f>_xlfn.XLOOKUP(Tableau119[[#This Row],[Key(ID-date)]],'DATA BTO'!S:S,'DATA BTO'!G:G,FALSE)</f>
        <v>0</v>
      </c>
      <c r="AE935" s="50" t="b">
        <f>_xlfn.XLOOKUP(Tableau119[[#This Row],[Key(ID-date)]],'DATA BTO'!S:S,'DATA BTO'!H:H,FALSE)</f>
        <v>0</v>
      </c>
      <c r="AF935" s="447" t="e">
        <f>IF(Tableau119[[#This Row],[First Day to POL]]&lt;=Tableau119[[#This Row],[Day Cut Off]],Tableau119[[#This Row],[Day ETD]],Tableau119[[#This Row],[Day ETD]]+7)</f>
        <v>#N/A</v>
      </c>
      <c r="AG935" s="50" t="b">
        <f>_xlfn.XLOOKUP(Tableau119[[#This Row],[Key(ID-date)]],'DATA BTO'!S:S,'DATA BTO'!I:I,FALSE)</f>
        <v>0</v>
      </c>
      <c r="AH935" s="3" t="b">
        <f>_xlfn.XLOOKUP(Tableau119[[#This Row],[Key(ID-date)]],'DATA BTO'!S:S,'DATA BTO'!J:J,FALSE)</f>
        <v>0</v>
      </c>
      <c r="AI935" s="3" t="b">
        <f>_xlfn.XLOOKUP(Tableau119[[#This Row],[Key(ID-date)]],'DATA BTO'!S:S,'DATA BTO'!K:K,FALSE)</f>
        <v>0</v>
      </c>
      <c r="AJ935" s="50" t="b">
        <f>_xlfn.XLOOKUP(Tableau119[[#This Row],[Key(ID-date)]],'DATA BTO'!S:S,'DATA BTO'!L:L,FALSE)</f>
        <v>0</v>
      </c>
      <c r="AK935" s="53" t="b">
        <f>_xlfn.XLOOKUP(Tableau119[[#This Row],[Key(ID-date)]],'DATA BTO'!S:S,'DATA BTO'!N:N,FALSE)</f>
        <v>0</v>
      </c>
      <c r="AL935" s="54" t="e">
        <f>VLOOKUP(Tableau119[[#This Row],[Key(POD -PFI- Usine)]],'DATA Consignee'!A:F,6,FALSE)</f>
        <v>#N/A</v>
      </c>
      <c r="AM935" s="284" t="s">
        <v>155</v>
      </c>
      <c r="AN935" s="376">
        <f>IF(Tableau119[[#This Row],[Name PFI/CDD]]="","-",VLOOKUP(Tableau119[[#This Row],[Name PFI/CDD]],Plant_AILN!I:J,2,FALSE))</f>
        <v>90016600</v>
      </c>
      <c r="AO93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3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35" s="2" t="e">
        <f>VLOOKUP(Tableau119[[#This Row],[Key(POD -PFI- Usine)]],'DATA Consignee'!A:J,10,FALSE)</f>
        <v>#N/A</v>
      </c>
      <c r="AR935" s="50" t="e">
        <f>VLOOKUP(Tableau119[[#This Row],[Key(POD -PFI- Usine)]],'DATA Consignee'!A:N,14,FALSE)</f>
        <v>#N/A</v>
      </c>
      <c r="AS93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5" s="50">
        <f>Tableau119[[#This Row],[Transit time]]+Tableau119[[#This Row],[Time for security]]+Tableau119[[#This Row],[Time for security2 buffer]]</f>
        <v>0</v>
      </c>
      <c r="AV93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5" s="50" t="e">
        <f>Tableau119[[#This Row],[Leadtime SI2C]]+Tableau119[[#This Row],[First Receipt Days]]-Tableau119[[#This Row],[Day Customer Order]]+1</f>
        <v>#N/A</v>
      </c>
      <c r="AX935" s="119" t="e">
        <f>IF(Tableau119[[#This Row],[Name ILN]]&lt;&gt;"SFK Freight Forwarder",Tableau119[[#This Row],[Cust. Leadtime]],Tableau119[[#This Row],[Leadtime SI2C]])</f>
        <v>#N/A</v>
      </c>
      <c r="AY935" s="51" t="b">
        <f>_xlfn.XLOOKUP(Tableau119[[#This Row],[Key(ID-date)]],'DATA BTO'!S:S,'DATA BTO'!P:P,FALSE)</f>
        <v>0</v>
      </c>
      <c r="AZ935" s="338">
        <v>46142</v>
      </c>
      <c r="BA935" s="50"/>
    </row>
    <row r="936" spans="2:53">
      <c r="B936" s="446" t="str">
        <f>_xlfn.CONCAT(Tableau119[[#This Row],[Name ILN]],"-",Tableau119[[#This Row],[Name Shipper]],"-",Tableau119[[#This Row],[Name Site]])</f>
        <v>ILN Chine -ILN Chine -ALPINE</v>
      </c>
      <c r="C936" s="66" t="str">
        <f>_xlfn.CONCAT(Tableau119[[#This Row],[Compte ILN]],"-",Tableau119[[#This Row],[Compte Shipper]],"-",Tableau119[[#This Row],[POL]],"-",Tableau119[[#This Row],[Compte Consignee]])</f>
        <v>424479-424479-FALSO-90018300</v>
      </c>
      <c r="D936" s="66" t="str">
        <f>_xlfn.CONCAT(Tableau119[[#This Row],[Compte ILN]],"-",Tableau119[[#This Row],[Compte Shipper]],"-",Tableau119[[#This Row],[POL]])</f>
        <v>424479-424479-FALSO</v>
      </c>
      <c r="E936" s="130" t="str">
        <f>_xlfn.CONCAT(Tableau119[[#This Row],[POL]],"-",Tableau119[[#This Row],[Carrier]],"-",Tableau119[[#This Row],[POD]])</f>
        <v>FALSO-FALSO-FALSO</v>
      </c>
      <c r="F936" s="66" t="str">
        <f>_xlfn.CONCAT(Tableau119[[#This Row],[ID]],"-","Actif")</f>
        <v>1027-Actif</v>
      </c>
      <c r="G936" s="66" t="str">
        <f>_xlfn.CONCAT(Tableau119[[#This Row],[POD]],"-",Tableau119[[#This Row],[Code PFI]],"-",Tableau119[[#This Row],[Compte Consignee]])</f>
        <v>FALSO-91018400-90018300</v>
      </c>
      <c r="H93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FALSOALPINE</v>
      </c>
      <c r="I936" s="434" t="str">
        <f>_xlfn.CONCAT(Tableau119[[#This Row],[ID]],"-",Tableau119[[#This Row],[Expiration Date]])</f>
        <v>1027-46142</v>
      </c>
      <c r="J93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ALPINE-ILN Chine -ILN Chine -1027-FALSO-FALSO-FALSO-PFI VLL-46142</v>
      </c>
      <c r="K936" s="119" t="str">
        <f ca="1">IF(COUNTIF(J:J,Tableau119[[#This Row],[Plant-ILN-shipper-POL-Carrier-POD-PFI]])=1,"Non","Oui")</f>
        <v>Non</v>
      </c>
      <c r="L936" s="128" t="str">
        <f>VLOOKUP(Tableau119[[#This Row],[Name Site]],Plant_AILN!A:D,4,FALSE)</f>
        <v>FRANCE</v>
      </c>
      <c r="M936" s="415" t="s">
        <v>220</v>
      </c>
      <c r="N936" s="455">
        <f>VLOOKUP(Tableau119[[#This Row],[Name Site]],Plant_AILN!A:C,3,FALSE)</f>
        <v>90018300</v>
      </c>
      <c r="O936" s="104">
        <f>IF(Tableau119[[#This Row],[Name PFI/CDD]]="PFI VLL",2,VLOOKUP(Tableau119[[#This Row],[Compte Consignee]],Order!C:D,2,FALSE))</f>
        <v>2</v>
      </c>
      <c r="P936" s="126" t="s">
        <v>1</v>
      </c>
      <c r="Q936" s="366">
        <f>VLOOKUP(Tableau119[[#This Row],[Name ILN]],Plant_AILN!F:G,2,FALSE)</f>
        <v>424479</v>
      </c>
      <c r="R936" s="81">
        <f>VLOOKUP(Tableau119[[#This Row],[Compte ILN]],'DATA ILN'!D:I,6,FALSE)</f>
        <v>9</v>
      </c>
      <c r="S936" s="81" t="e">
        <f>IFERROR(VLOOKUP(Tableau119[[#This Row],[Key(Compte ILN - shipper - POL - plant)]],'DATA ILN'!A:J,10,FALSE),VLOOKUP(Tableau119[[#This Row],[Key(Compte ILN - shipper - POL)]],'DATA ILN'!B:J,9,FALSE))</f>
        <v>#N/A</v>
      </c>
      <c r="T936" s="81" t="e">
        <f>IFERROR(VLOOKUP(Tableau119[[#This Row],[Key(Compte ILN - shipper - POL - plant)]],'DATA ILN'!A:K,11,FALSE),VLOOKUP(Tableau119[[#This Row],[Key(Compte ILN - shipper - POL)]],'DATA ILN'!B:K,10,FALSE))</f>
        <v>#N/A</v>
      </c>
      <c r="U936" s="81" t="e">
        <f>IFERROR(VLOOKUP(Tableau119[[#This Row],[Key(Compte ILN - shipper - POL - plant)]],'DATA ILN'!A:L,12,FALSE),VLOOKUP(Tableau119[[#This Row],[Key(Compte ILN - shipper - POL)]],'DATA ILN'!B:L,11,FALSE))</f>
        <v>#N/A</v>
      </c>
      <c r="V936" s="81" t="e">
        <f>Tableau119[[#This Row],[Day ILN Order]]+Tableau119[[#This Row],[Delivery time to ILN/Shipper]]-1</f>
        <v>#N/A</v>
      </c>
      <c r="W936" s="81" t="e">
        <f>IFERROR(VLOOKUP(Tableau119[[#This Row],[Key(Compte ILN - shipper - POL - plant)]],'DATA ILN'!A:N,14,FALSE),VLOOKUP(Tableau119[[#This Row],[Key(Compte ILN - shipper - POL)]],'DATA ILN'!B:N,13,FALSE))</f>
        <v>#N/A</v>
      </c>
      <c r="X936" s="81" t="e">
        <f>IFERROR(VLOOKUP(Tableau119[[#This Row],[Key(Compte ILN - shipper - POL - plant)]],'DATA ILN'!A:P,16,FALSE),VLOOKUP(Tableau119[[#This Row],[Key(Compte ILN - shipper - POL)]],'DATA ILN'!B:P,15,FALSE))</f>
        <v>#N/A</v>
      </c>
      <c r="Y936" s="102" t="s">
        <v>1</v>
      </c>
      <c r="Z936" s="417">
        <f>IFERROR(VLOOKUP(Tableau119[[#This Row],[Name Shipper]],Plant_AILN!L:M,2,FALSE),0)</f>
        <v>424479</v>
      </c>
      <c r="AA936" s="416">
        <v>1027</v>
      </c>
      <c r="AB936" s="396" t="b">
        <f>_xlfn.XLOOKUP(Tableau119[[#This Row],[Key(ID-date)]],'DATA BTO'!S:S,'DATA BTO'!E:E,FALSE)</f>
        <v>0</v>
      </c>
      <c r="AC936" s="3" t="b">
        <f>_xlfn.XLOOKUP(Tableau119[[#This Row],[Key(ID-date)]],'DATA BTO'!S:S,'DATA BTO'!F:F,FALSE)</f>
        <v>0</v>
      </c>
      <c r="AD936" s="50" t="b">
        <f>_xlfn.XLOOKUP(Tableau119[[#This Row],[Key(ID-date)]],'DATA BTO'!S:S,'DATA BTO'!G:G,FALSE)</f>
        <v>0</v>
      </c>
      <c r="AE936" s="50" t="b">
        <f>_xlfn.XLOOKUP(Tableau119[[#This Row],[Key(ID-date)]],'DATA BTO'!S:S,'DATA BTO'!H:H,FALSE)</f>
        <v>0</v>
      </c>
      <c r="AF936" s="447" t="e">
        <f>IF(Tableau119[[#This Row],[First Day to POL]]&lt;=Tableau119[[#This Row],[Day Cut Off]],Tableau119[[#This Row],[Day ETD]],Tableau119[[#This Row],[Day ETD]]+7)</f>
        <v>#N/A</v>
      </c>
      <c r="AG936" s="50" t="b">
        <f>_xlfn.XLOOKUP(Tableau119[[#This Row],[Key(ID-date)]],'DATA BTO'!S:S,'DATA BTO'!I:I,FALSE)</f>
        <v>0</v>
      </c>
      <c r="AH936" s="3" t="b">
        <f>_xlfn.XLOOKUP(Tableau119[[#This Row],[Key(ID-date)]],'DATA BTO'!S:S,'DATA BTO'!J:J,FALSE)</f>
        <v>0</v>
      </c>
      <c r="AI936" s="3" t="b">
        <f>_xlfn.XLOOKUP(Tableau119[[#This Row],[Key(ID-date)]],'DATA BTO'!S:S,'DATA BTO'!K:K,FALSE)</f>
        <v>0</v>
      </c>
      <c r="AJ936" s="50" t="b">
        <f>_xlfn.XLOOKUP(Tableau119[[#This Row],[Key(ID-date)]],'DATA BTO'!S:S,'DATA BTO'!L:L,FALSE)</f>
        <v>0</v>
      </c>
      <c r="AK936" s="53" t="b">
        <f>_xlfn.XLOOKUP(Tableau119[[#This Row],[Key(ID-date)]],'DATA BTO'!S:S,'DATA BTO'!N:N,FALSE)</f>
        <v>0</v>
      </c>
      <c r="AL936" s="54" t="e">
        <f>VLOOKUP(Tableau119[[#This Row],[Key(POD -PFI- Usine)]],'DATA Consignee'!A:F,6,FALSE)</f>
        <v>#N/A</v>
      </c>
      <c r="AM936" s="102" t="s">
        <v>171</v>
      </c>
      <c r="AN936" s="375">
        <f>IF(Tableau119[[#This Row],[Name PFI/CDD]]="","-",VLOOKUP(Tableau119[[#This Row],[Name PFI/CDD]],Plant_AILN!I:J,2,FALSE))</f>
        <v>91018400</v>
      </c>
      <c r="AO936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36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36" s="110" t="e">
        <f>VLOOKUP(Tableau119[[#This Row],[Key(POD -PFI- Usine)]],'DATA Consignee'!A:J,10,FALSE)</f>
        <v>#N/A</v>
      </c>
      <c r="AR936" s="81" t="e">
        <f>VLOOKUP(Tableau119[[#This Row],[Key(POD -PFI- Usine)]],'DATA Consignee'!A:N,14,FALSE)</f>
        <v>#N/A</v>
      </c>
      <c r="AS93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6" s="81">
        <f>Tableau119[[#This Row],[Transit time]]+Tableau119[[#This Row],[Time for security]]+Tableau119[[#This Row],[Time for security2 buffer]]</f>
        <v>0</v>
      </c>
      <c r="AV93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6" s="50" t="e">
        <f>Tableau119[[#This Row],[Leadtime SI2C]]+Tableau119[[#This Row],[First Receipt Days]]-Tableau119[[#This Row],[Day Customer Order]]+1</f>
        <v>#N/A</v>
      </c>
      <c r="AX936" s="119" t="e">
        <f>IF(Tableau119[[#This Row],[Name ILN]]&lt;&gt;"SFK Freight Forwarder",Tableau119[[#This Row],[Cust. Leadtime]],Tableau119[[#This Row],[Leadtime SI2C]])</f>
        <v>#N/A</v>
      </c>
      <c r="AY936" s="51" t="b">
        <f>_xlfn.XLOOKUP(Tableau119[[#This Row],[Key(ID-date)]],'DATA BTO'!S:S,'DATA BTO'!P:P,FALSE)</f>
        <v>0</v>
      </c>
      <c r="AZ936" s="388">
        <v>46142</v>
      </c>
      <c r="BA936" s="81"/>
    </row>
    <row r="937" spans="2:53">
      <c r="B937" s="446" t="str">
        <f>_xlfn.CONCAT(Tableau119[[#This Row],[Name ILN]],"-",Tableau119[[#This Row],[Name Shipper]],"-",Tableau119[[#This Row],[Name Site]])</f>
        <v>ILN Chine -ILN Chine -CARROCERIAS</v>
      </c>
      <c r="C937" s="66" t="str">
        <f>_xlfn.CONCAT(Tableau119[[#This Row],[Compte ILN]],"-",Tableau119[[#This Row],[Compte Shipper]],"-",Tableau119[[#This Row],[POL]],"-",Tableau119[[#This Row],[Compte Consignee]])</f>
        <v>424479-424479-FALSO-91017600</v>
      </c>
      <c r="D937" s="66" t="str">
        <f>_xlfn.CONCAT(Tableau119[[#This Row],[Compte ILN]],"-",Tableau119[[#This Row],[Compte Shipper]],"-",Tableau119[[#This Row],[POL]])</f>
        <v>424479-424479-FALSO</v>
      </c>
      <c r="E937" s="130" t="str">
        <f>_xlfn.CONCAT(Tableau119[[#This Row],[POL]],"-",Tableau119[[#This Row],[Carrier]],"-",Tableau119[[#This Row],[POD]])</f>
        <v>FALSO-FALSO-FALSO</v>
      </c>
      <c r="F937" s="66" t="str">
        <f>_xlfn.CONCAT(Tableau119[[#This Row],[ID]],"-","Actif")</f>
        <v>1027-Actif</v>
      </c>
      <c r="G937" s="66" t="str">
        <f>_xlfn.CONCAT(Tableau119[[#This Row],[POD]],"-",Tableau119[[#This Row],[Code PFI]],"-",Tableau119[[#This Row],[Compte Consignee]])</f>
        <v>FALSO-91018400-91017600</v>
      </c>
      <c r="H93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FALSOCARROCERIAS</v>
      </c>
      <c r="I937" s="434" t="str">
        <f>_xlfn.CONCAT(Tableau119[[#This Row],[ID]],"-",Tableau119[[#This Row],[Expiration Date]])</f>
        <v>1027-46142</v>
      </c>
      <c r="J93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CARROCERIAS-ILN Chine -ILN Chine -1027-FALSO-FALSO-FALSO-CDD VLL-46142</v>
      </c>
      <c r="K937" s="119" t="str">
        <f ca="1">IF(COUNTIF(J:J,Tableau119[[#This Row],[Plant-ILN-shipper-POL-Carrier-POD-PFI]])=1,"Non","Oui")</f>
        <v>Non</v>
      </c>
      <c r="L937" s="128" t="str">
        <f>VLOOKUP(Tableau119[[#This Row],[Name Site]],Plant_AILN!A:D,4,FALSE)</f>
        <v>SPAIN</v>
      </c>
      <c r="M937" s="411" t="s">
        <v>211</v>
      </c>
      <c r="N937" s="454">
        <f>VLOOKUP(Tableau119[[#This Row],[Name Site]],Plant_AILN!A:C,3,FALSE)</f>
        <v>91017600</v>
      </c>
      <c r="O937" s="55">
        <f>IF(Tableau119[[#This Row],[Name PFI/CDD]]="PFI VLL",2,VLOOKUP(Tableau119[[#This Row],[Compte Consignee]],Order!C:D,2,FALSE))</f>
        <v>7</v>
      </c>
      <c r="P937" s="124" t="s">
        <v>1</v>
      </c>
      <c r="Q937" s="365">
        <f>VLOOKUP(Tableau119[[#This Row],[Name ILN]],Plant_AILN!F:G,2,FALSE)</f>
        <v>424479</v>
      </c>
      <c r="R937" s="50">
        <f>VLOOKUP(Tableau119[[#This Row],[Compte ILN]],'DATA ILN'!D:I,6,FALSE)</f>
        <v>9</v>
      </c>
      <c r="S937" s="50" t="e">
        <f>IFERROR(VLOOKUP(Tableau119[[#This Row],[Key(Compte ILN - shipper - POL - plant)]],'DATA ILN'!A:J,10,FALSE),VLOOKUP(Tableau119[[#This Row],[Key(Compte ILN - shipper - POL)]],'DATA ILN'!B:J,9,FALSE))</f>
        <v>#N/A</v>
      </c>
      <c r="T937" s="50" t="e">
        <f>IFERROR(VLOOKUP(Tableau119[[#This Row],[Key(Compte ILN - shipper - POL - plant)]],'DATA ILN'!A:K,11,FALSE),VLOOKUP(Tableau119[[#This Row],[Key(Compte ILN - shipper - POL)]],'DATA ILN'!B:K,10,FALSE))</f>
        <v>#N/A</v>
      </c>
      <c r="U937" s="50" t="e">
        <f>IFERROR(VLOOKUP(Tableau119[[#This Row],[Key(Compte ILN - shipper - POL - plant)]],'DATA ILN'!A:L,12,FALSE),VLOOKUP(Tableau119[[#This Row],[Key(Compte ILN - shipper - POL)]],'DATA ILN'!B:L,11,FALSE))</f>
        <v>#N/A</v>
      </c>
      <c r="V937" s="50" t="e">
        <f>Tableau119[[#This Row],[Day ILN Order]]+Tableau119[[#This Row],[Delivery time to ILN/Shipper]]-1</f>
        <v>#N/A</v>
      </c>
      <c r="W937" s="50" t="e">
        <f>IFERROR(VLOOKUP(Tableau119[[#This Row],[Key(Compte ILN - shipper - POL - plant)]],'DATA ILN'!A:N,14,FALSE),VLOOKUP(Tableau119[[#This Row],[Key(Compte ILN - shipper - POL)]],'DATA ILN'!B:N,13,FALSE))</f>
        <v>#N/A</v>
      </c>
      <c r="X937" s="50" t="e">
        <f>IFERROR(VLOOKUP(Tableau119[[#This Row],[Key(Compte ILN - shipper - POL - plant)]],'DATA ILN'!A:P,16,FALSE),VLOOKUP(Tableau119[[#This Row],[Key(Compte ILN - shipper - POL)]],'DATA ILN'!B:P,15,FALSE))</f>
        <v>#N/A</v>
      </c>
      <c r="Y937" s="284" t="s">
        <v>1</v>
      </c>
      <c r="Z937" s="430">
        <f>IFERROR(VLOOKUP(Tableau119[[#This Row],[Name Shipper]],Plant_AILN!L:M,2,FALSE),0)</f>
        <v>424479</v>
      </c>
      <c r="AA937" s="406">
        <v>1027</v>
      </c>
      <c r="AB937" s="396" t="b">
        <f>_xlfn.XLOOKUP(Tableau119[[#This Row],[Key(ID-date)]],'DATA BTO'!S:S,'DATA BTO'!E:E,FALSE)</f>
        <v>0</v>
      </c>
      <c r="AC937" s="3" t="b">
        <f>_xlfn.XLOOKUP(Tableau119[[#This Row],[Key(ID-date)]],'DATA BTO'!S:S,'DATA BTO'!F:F,FALSE)</f>
        <v>0</v>
      </c>
      <c r="AD937" s="50" t="b">
        <f>_xlfn.XLOOKUP(Tableau119[[#This Row],[Key(ID-date)]],'DATA BTO'!S:S,'DATA BTO'!G:G,FALSE)</f>
        <v>0</v>
      </c>
      <c r="AE937" s="50" t="b">
        <f>_xlfn.XLOOKUP(Tableau119[[#This Row],[Key(ID-date)]],'DATA BTO'!S:S,'DATA BTO'!H:H,FALSE)</f>
        <v>0</v>
      </c>
      <c r="AF937" s="447" t="e">
        <f>IF(Tableau119[[#This Row],[First Day to POL]]&lt;=Tableau119[[#This Row],[Day Cut Off]],Tableau119[[#This Row],[Day ETD]],Tableau119[[#This Row],[Day ETD]]+7)</f>
        <v>#N/A</v>
      </c>
      <c r="AG937" s="50" t="b">
        <f>_xlfn.XLOOKUP(Tableau119[[#This Row],[Key(ID-date)]],'DATA BTO'!S:S,'DATA BTO'!I:I,FALSE)</f>
        <v>0</v>
      </c>
      <c r="AH937" s="3" t="b">
        <f>_xlfn.XLOOKUP(Tableau119[[#This Row],[Key(ID-date)]],'DATA BTO'!S:S,'DATA BTO'!J:J,FALSE)</f>
        <v>0</v>
      </c>
      <c r="AI937" s="3" t="b">
        <f>_xlfn.XLOOKUP(Tableau119[[#This Row],[Key(ID-date)]],'DATA BTO'!S:S,'DATA BTO'!K:K,FALSE)</f>
        <v>0</v>
      </c>
      <c r="AJ937" s="50" t="b">
        <f>_xlfn.XLOOKUP(Tableau119[[#This Row],[Key(ID-date)]],'DATA BTO'!S:S,'DATA BTO'!L:L,FALSE)</f>
        <v>0</v>
      </c>
      <c r="AK937" s="53" t="b">
        <f>_xlfn.XLOOKUP(Tableau119[[#This Row],[Key(ID-date)]],'DATA BTO'!S:S,'DATA BTO'!N:N,FALSE)</f>
        <v>0</v>
      </c>
      <c r="AL937" s="54" t="e">
        <f>VLOOKUP(Tableau119[[#This Row],[Key(POD -PFI- Usine)]],'DATA Consignee'!A:F,6,FALSE)</f>
        <v>#N/A</v>
      </c>
      <c r="AM937" s="284" t="s">
        <v>169</v>
      </c>
      <c r="AN937" s="376">
        <f>IF(Tableau119[[#This Row],[Name PFI/CDD]]="","-",VLOOKUP(Tableau119[[#This Row],[Name PFI/CDD]],Plant_AILN!I:J,2,FALSE))</f>
        <v>91018400</v>
      </c>
      <c r="AO937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37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37" s="2" t="e">
        <f>VLOOKUP(Tableau119[[#This Row],[Key(POD -PFI- Usine)]],'DATA Consignee'!A:J,10,FALSE)</f>
        <v>#N/A</v>
      </c>
      <c r="AR937" s="50" t="e">
        <f>VLOOKUP(Tableau119[[#This Row],[Key(POD -PFI- Usine)]],'DATA Consignee'!A:N,14,FALSE)</f>
        <v>#N/A</v>
      </c>
      <c r="AS93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7" s="50">
        <f>Tableau119[[#This Row],[Transit time]]+Tableau119[[#This Row],[Time for security]]+Tableau119[[#This Row],[Time for security2 buffer]]</f>
        <v>0</v>
      </c>
      <c r="AV93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7" s="50" t="e">
        <f>Tableau119[[#This Row],[Leadtime SI2C]]+Tableau119[[#This Row],[First Receipt Days]]-Tableau119[[#This Row],[Day Customer Order]]+1</f>
        <v>#N/A</v>
      </c>
      <c r="AX937" s="119" t="e">
        <f>IF(Tableau119[[#This Row],[Name ILN]]&lt;&gt;"SFK Freight Forwarder",Tableau119[[#This Row],[Cust. Leadtime]],Tableau119[[#This Row],[Leadtime SI2C]])</f>
        <v>#N/A</v>
      </c>
      <c r="AY937" s="51" t="b">
        <f>_xlfn.XLOOKUP(Tableau119[[#This Row],[Key(ID-date)]],'DATA BTO'!S:S,'DATA BTO'!P:P,FALSE)</f>
        <v>0</v>
      </c>
      <c r="AZ937" s="338">
        <v>46142</v>
      </c>
      <c r="BA937" s="50"/>
    </row>
    <row r="938" spans="2:53">
      <c r="B938" s="446" t="str">
        <f>_xlfn.CONCAT(Tableau119[[#This Row],[Name ILN]],"-",Tableau119[[#This Row],[Name Shipper]],"-",Tableau119[[#This Row],[Name Site]])</f>
        <v>ILN Chine -ILN Chine -CLEON</v>
      </c>
      <c r="C938" s="66" t="str">
        <f>_xlfn.CONCAT(Tableau119[[#This Row],[Compte ILN]],"-",Tableau119[[#This Row],[Compte Shipper]],"-",Tableau119[[#This Row],[POL]],"-",Tableau119[[#This Row],[Compte Consignee]])</f>
        <v>424479-424479-FALSO-92000100</v>
      </c>
      <c r="D938" s="66" t="str">
        <f>_xlfn.CONCAT(Tableau119[[#This Row],[Compte ILN]],"-",Tableau119[[#This Row],[Compte Shipper]],"-",Tableau119[[#This Row],[POL]])</f>
        <v>424479-424479-FALSO</v>
      </c>
      <c r="E938" s="130" t="str">
        <f>_xlfn.CONCAT(Tableau119[[#This Row],[POL]],"-",Tableau119[[#This Row],[Carrier]],"-",Tableau119[[#This Row],[POD]])</f>
        <v>FALSO-FALSO-FALSO</v>
      </c>
      <c r="F938" s="66" t="str">
        <f>_xlfn.CONCAT(Tableau119[[#This Row],[ID]],"-","Actif")</f>
        <v>1027-Actif</v>
      </c>
      <c r="G938" s="66" t="str">
        <f>_xlfn.CONCAT(Tableau119[[#This Row],[POD]],"-",Tableau119[[#This Row],[Code PFI]],"-",Tableau119[[#This Row],[Compte Consignee]])</f>
        <v>FALSO-91018400-92000100</v>
      </c>
      <c r="H93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FALSOCLEON</v>
      </c>
      <c r="I938" s="434" t="str">
        <f>_xlfn.CONCAT(Tableau119[[#This Row],[ID]],"-",Tableau119[[#This Row],[Expiration Date]])</f>
        <v>1027-46142</v>
      </c>
      <c r="J93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CLEON-ILN Chine -ILN Chine -1027-FALSO-FALSO-FALSO-PFI VLL-46142</v>
      </c>
      <c r="K938" s="119" t="str">
        <f ca="1">IF(COUNTIF(J:J,Tableau119[[#This Row],[Plant-ILN-shipper-POL-Carrier-POD-PFI]])=1,"Non","Oui")</f>
        <v>Non</v>
      </c>
      <c r="L938" s="128" t="str">
        <f>VLOOKUP(Tableau119[[#This Row],[Name Site]],Plant_AILN!A:D,4,FALSE)</f>
        <v>FRANCE</v>
      </c>
      <c r="M938" s="411" t="s">
        <v>183</v>
      </c>
      <c r="N938" s="454">
        <f>VLOOKUP(Tableau119[[#This Row],[Name Site]],Plant_AILN!A:C,3,FALSE)</f>
        <v>92000100</v>
      </c>
      <c r="O938" s="55">
        <f>IF(Tableau119[[#This Row],[Name PFI/CDD]]="PFI VLL",2,VLOOKUP(Tableau119[[#This Row],[Compte Consignee]],Order!C:D,2,FALSE))</f>
        <v>2</v>
      </c>
      <c r="P938" s="124" t="s">
        <v>1</v>
      </c>
      <c r="Q938" s="365">
        <f>VLOOKUP(Tableau119[[#This Row],[Name ILN]],Plant_AILN!F:G,2,FALSE)</f>
        <v>424479</v>
      </c>
      <c r="R938" s="50">
        <f>VLOOKUP(Tableau119[[#This Row],[Compte ILN]],'DATA ILN'!D:I,6,FALSE)</f>
        <v>9</v>
      </c>
      <c r="S938" s="50" t="e">
        <f>IFERROR(VLOOKUP(Tableau119[[#This Row],[Key(Compte ILN - shipper - POL - plant)]],'DATA ILN'!A:J,10,FALSE),VLOOKUP(Tableau119[[#This Row],[Key(Compte ILN - shipper - POL)]],'DATA ILN'!B:J,9,FALSE))</f>
        <v>#N/A</v>
      </c>
      <c r="T938" s="50" t="e">
        <f>IFERROR(VLOOKUP(Tableau119[[#This Row],[Key(Compte ILN - shipper - POL - plant)]],'DATA ILN'!A:K,11,FALSE),VLOOKUP(Tableau119[[#This Row],[Key(Compte ILN - shipper - POL)]],'DATA ILN'!B:K,10,FALSE))</f>
        <v>#N/A</v>
      </c>
      <c r="U938" s="50" t="e">
        <f>IFERROR(VLOOKUP(Tableau119[[#This Row],[Key(Compte ILN - shipper - POL - plant)]],'DATA ILN'!A:L,12,FALSE),VLOOKUP(Tableau119[[#This Row],[Key(Compte ILN - shipper - POL)]],'DATA ILN'!B:L,11,FALSE))</f>
        <v>#N/A</v>
      </c>
      <c r="V938" s="50" t="e">
        <f>Tableau119[[#This Row],[Day ILN Order]]+Tableau119[[#This Row],[Delivery time to ILN/Shipper]]-1</f>
        <v>#N/A</v>
      </c>
      <c r="W938" s="50" t="e">
        <f>IFERROR(VLOOKUP(Tableau119[[#This Row],[Key(Compte ILN - shipper - POL - plant)]],'DATA ILN'!A:N,14,FALSE),VLOOKUP(Tableau119[[#This Row],[Key(Compte ILN - shipper - POL)]],'DATA ILN'!B:N,13,FALSE))</f>
        <v>#N/A</v>
      </c>
      <c r="X938" s="50" t="e">
        <f>IFERROR(VLOOKUP(Tableau119[[#This Row],[Key(Compte ILN - shipper - POL - plant)]],'DATA ILN'!A:P,16,FALSE),VLOOKUP(Tableau119[[#This Row],[Key(Compte ILN - shipper - POL)]],'DATA ILN'!B:P,15,FALSE))</f>
        <v>#N/A</v>
      </c>
      <c r="Y938" s="284" t="s">
        <v>1</v>
      </c>
      <c r="Z938" s="430">
        <f>IFERROR(VLOOKUP(Tableau119[[#This Row],[Name Shipper]],Plant_AILN!L:M,2,FALSE),0)</f>
        <v>424479</v>
      </c>
      <c r="AA938" s="406">
        <v>1027</v>
      </c>
      <c r="AB938" s="396" t="b">
        <f>_xlfn.XLOOKUP(Tableau119[[#This Row],[Key(ID-date)]],'DATA BTO'!S:S,'DATA BTO'!E:E,FALSE)</f>
        <v>0</v>
      </c>
      <c r="AC938" s="3" t="b">
        <f>_xlfn.XLOOKUP(Tableau119[[#This Row],[Key(ID-date)]],'DATA BTO'!S:S,'DATA BTO'!F:F,FALSE)</f>
        <v>0</v>
      </c>
      <c r="AD938" s="50" t="b">
        <f>_xlfn.XLOOKUP(Tableau119[[#This Row],[Key(ID-date)]],'DATA BTO'!S:S,'DATA BTO'!G:G,FALSE)</f>
        <v>0</v>
      </c>
      <c r="AE938" s="50" t="b">
        <f>_xlfn.XLOOKUP(Tableau119[[#This Row],[Key(ID-date)]],'DATA BTO'!S:S,'DATA BTO'!H:H,FALSE)</f>
        <v>0</v>
      </c>
      <c r="AF938" s="447" t="e">
        <f>IF(Tableau119[[#This Row],[First Day to POL]]&lt;=Tableau119[[#This Row],[Day Cut Off]],Tableau119[[#This Row],[Day ETD]],Tableau119[[#This Row],[Day ETD]]+7)</f>
        <v>#N/A</v>
      </c>
      <c r="AG938" s="50" t="b">
        <f>_xlfn.XLOOKUP(Tableau119[[#This Row],[Key(ID-date)]],'DATA BTO'!S:S,'DATA BTO'!I:I,FALSE)</f>
        <v>0</v>
      </c>
      <c r="AH938" s="3" t="b">
        <f>_xlfn.XLOOKUP(Tableau119[[#This Row],[Key(ID-date)]],'DATA BTO'!S:S,'DATA BTO'!J:J,FALSE)</f>
        <v>0</v>
      </c>
      <c r="AI938" s="3" t="b">
        <f>_xlfn.XLOOKUP(Tableau119[[#This Row],[Key(ID-date)]],'DATA BTO'!S:S,'DATA BTO'!K:K,FALSE)</f>
        <v>0</v>
      </c>
      <c r="AJ938" s="50" t="b">
        <f>_xlfn.XLOOKUP(Tableau119[[#This Row],[Key(ID-date)]],'DATA BTO'!S:S,'DATA BTO'!L:L,FALSE)</f>
        <v>0</v>
      </c>
      <c r="AK938" s="53" t="b">
        <f>_xlfn.XLOOKUP(Tableau119[[#This Row],[Key(ID-date)]],'DATA BTO'!S:S,'DATA BTO'!N:N,FALSE)</f>
        <v>0</v>
      </c>
      <c r="AL938" s="54" t="e">
        <f>VLOOKUP(Tableau119[[#This Row],[Key(POD -PFI- Usine)]],'DATA Consignee'!A:F,6,FALSE)</f>
        <v>#N/A</v>
      </c>
      <c r="AM938" s="284" t="s">
        <v>171</v>
      </c>
      <c r="AN938" s="376">
        <f>IF(Tableau119[[#This Row],[Name PFI/CDD]]="","-",VLOOKUP(Tableau119[[#This Row],[Name PFI/CDD]],Plant_AILN!I:J,2,FALSE))</f>
        <v>91018400</v>
      </c>
      <c r="AO938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38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38" s="2" t="e">
        <f>VLOOKUP(Tableau119[[#This Row],[Key(POD -PFI- Usine)]],'DATA Consignee'!A:J,10,FALSE)</f>
        <v>#N/A</v>
      </c>
      <c r="AR938" s="50" t="e">
        <f>VLOOKUP(Tableau119[[#This Row],[Key(POD -PFI- Usine)]],'DATA Consignee'!A:N,14,FALSE)</f>
        <v>#N/A</v>
      </c>
      <c r="AS93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8" s="50">
        <f>Tableau119[[#This Row],[Transit time]]+Tableau119[[#This Row],[Time for security]]+Tableau119[[#This Row],[Time for security2 buffer]]</f>
        <v>0</v>
      </c>
      <c r="AV93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8" s="50" t="e">
        <f>Tableau119[[#This Row],[Leadtime SI2C]]+Tableau119[[#This Row],[First Receipt Days]]-Tableau119[[#This Row],[Day Customer Order]]+1</f>
        <v>#N/A</v>
      </c>
      <c r="AX938" s="119" t="e">
        <f>IF(Tableau119[[#This Row],[Name ILN]]&lt;&gt;"SFK Freight Forwarder",Tableau119[[#This Row],[Cust. Leadtime]],Tableau119[[#This Row],[Leadtime SI2C]])</f>
        <v>#N/A</v>
      </c>
      <c r="AY938" s="51" t="b">
        <f>_xlfn.XLOOKUP(Tableau119[[#This Row],[Key(ID-date)]],'DATA BTO'!S:S,'DATA BTO'!P:P,FALSE)</f>
        <v>0</v>
      </c>
      <c r="AZ938" s="338">
        <v>46142</v>
      </c>
      <c r="BA938" s="50"/>
    </row>
    <row r="939" spans="2:53">
      <c r="B939" s="446" t="str">
        <f>_xlfn.CONCAT(Tableau119[[#This Row],[Name ILN]],"-",Tableau119[[#This Row],[Name Shipper]],"-",Tableau119[[#This Row],[Name Site]])</f>
        <v>ILN Chine -ILN Chine -FLINS</v>
      </c>
      <c r="C939" s="66" t="str">
        <f>_xlfn.CONCAT(Tableau119[[#This Row],[Compte ILN]],"-",Tableau119[[#This Row],[Compte Shipper]],"-",Tableau119[[#This Row],[POL]],"-",Tableau119[[#This Row],[Compte Consignee]])</f>
        <v>424479-424479-FALSO-90015100</v>
      </c>
      <c r="D939" s="66" t="str">
        <f>_xlfn.CONCAT(Tableau119[[#This Row],[Compte ILN]],"-",Tableau119[[#This Row],[Compte Shipper]],"-",Tableau119[[#This Row],[POL]])</f>
        <v>424479-424479-FALSO</v>
      </c>
      <c r="E939" s="130" t="str">
        <f>_xlfn.CONCAT(Tableau119[[#This Row],[POL]],"-",Tableau119[[#This Row],[Carrier]],"-",Tableau119[[#This Row],[POD]])</f>
        <v>FALSO-FALSO-FALSO</v>
      </c>
      <c r="F939" s="66" t="str">
        <f>_xlfn.CONCAT(Tableau119[[#This Row],[ID]],"-","Actif")</f>
        <v>1027-Actif</v>
      </c>
      <c r="G939" s="66" t="str">
        <f>_xlfn.CONCAT(Tableau119[[#This Row],[POD]],"-",Tableau119[[#This Row],[Code PFI]],"-",Tableau119[[#This Row],[Compte Consignee]])</f>
        <v>FALSO-91018400-90015100</v>
      </c>
      <c r="H93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FALSOFLINS</v>
      </c>
      <c r="I939" s="434" t="str">
        <f>_xlfn.CONCAT(Tableau119[[#This Row],[ID]],"-",Tableau119[[#This Row],[Expiration Date]])</f>
        <v>1027-46142</v>
      </c>
      <c r="J93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FLINS-ILN Chine -ILN Chine -1027-FALSO-FALSO-FALSO-PFI VLL-46142</v>
      </c>
      <c r="K939" s="119" t="str">
        <f ca="1">IF(COUNTIF(J:J,Tableau119[[#This Row],[Plant-ILN-shipper-POL-Carrier-POD-PFI]])=1,"Non","Oui")</f>
        <v>Non</v>
      </c>
      <c r="L939" s="128" t="str">
        <f>VLOOKUP(Tableau119[[#This Row],[Name Site]],Plant_AILN!A:D,4,FALSE)</f>
        <v>FRANCE</v>
      </c>
      <c r="M939" s="415" t="s">
        <v>209</v>
      </c>
      <c r="N939" s="455">
        <f>VLOOKUP(Tableau119[[#This Row],[Name Site]],Plant_AILN!A:C,3,FALSE)</f>
        <v>90015100</v>
      </c>
      <c r="O939" s="104">
        <f>IF(Tableau119[[#This Row],[Name PFI/CDD]]="PFI VLL",2,VLOOKUP(Tableau119[[#This Row],[Compte Consignee]],Order!C:D,2,FALSE))</f>
        <v>2</v>
      </c>
      <c r="P939" s="126" t="s">
        <v>1</v>
      </c>
      <c r="Q939" s="366">
        <f>VLOOKUP(Tableau119[[#This Row],[Name ILN]],Plant_AILN!F:G,2,FALSE)</f>
        <v>424479</v>
      </c>
      <c r="R939" s="81">
        <f>VLOOKUP(Tableau119[[#This Row],[Compte ILN]],'DATA ILN'!D:I,6,FALSE)</f>
        <v>9</v>
      </c>
      <c r="S939" s="81" t="e">
        <f>IFERROR(VLOOKUP(Tableau119[[#This Row],[Key(Compte ILN - shipper - POL - plant)]],'DATA ILN'!A:J,10,FALSE),VLOOKUP(Tableau119[[#This Row],[Key(Compte ILN - shipper - POL)]],'DATA ILN'!B:J,9,FALSE))</f>
        <v>#N/A</v>
      </c>
      <c r="T939" s="81" t="e">
        <f>IFERROR(VLOOKUP(Tableau119[[#This Row],[Key(Compte ILN - shipper - POL - plant)]],'DATA ILN'!A:K,11,FALSE),VLOOKUP(Tableau119[[#This Row],[Key(Compte ILN - shipper - POL)]],'DATA ILN'!B:K,10,FALSE))</f>
        <v>#N/A</v>
      </c>
      <c r="U939" s="81" t="e">
        <f>IFERROR(VLOOKUP(Tableau119[[#This Row],[Key(Compte ILN - shipper - POL - plant)]],'DATA ILN'!A:L,12,FALSE),VLOOKUP(Tableau119[[#This Row],[Key(Compte ILN - shipper - POL)]],'DATA ILN'!B:L,11,FALSE))</f>
        <v>#N/A</v>
      </c>
      <c r="V939" s="81" t="e">
        <f>Tableau119[[#This Row],[Day ILN Order]]+Tableau119[[#This Row],[Delivery time to ILN/Shipper]]-1</f>
        <v>#N/A</v>
      </c>
      <c r="W939" s="81" t="e">
        <f>IFERROR(VLOOKUP(Tableau119[[#This Row],[Key(Compte ILN - shipper - POL - plant)]],'DATA ILN'!A:N,14,FALSE),VLOOKUP(Tableau119[[#This Row],[Key(Compte ILN - shipper - POL)]],'DATA ILN'!B:N,13,FALSE))</f>
        <v>#N/A</v>
      </c>
      <c r="X939" s="81" t="e">
        <f>IFERROR(VLOOKUP(Tableau119[[#This Row],[Key(Compte ILN - shipper - POL - plant)]],'DATA ILN'!A:P,16,FALSE),VLOOKUP(Tableau119[[#This Row],[Key(Compte ILN - shipper - POL)]],'DATA ILN'!B:P,15,FALSE))</f>
        <v>#N/A</v>
      </c>
      <c r="Y939" s="102" t="s">
        <v>1</v>
      </c>
      <c r="Z939" s="417">
        <f>IFERROR(VLOOKUP(Tableau119[[#This Row],[Name Shipper]],Plant_AILN!L:M,2,FALSE),0)</f>
        <v>424479</v>
      </c>
      <c r="AA939" s="416">
        <v>1027</v>
      </c>
      <c r="AB939" s="396" t="b">
        <f>_xlfn.XLOOKUP(Tableau119[[#This Row],[Key(ID-date)]],'DATA BTO'!S:S,'DATA BTO'!E:E,FALSE)</f>
        <v>0</v>
      </c>
      <c r="AC939" s="3" t="b">
        <f>_xlfn.XLOOKUP(Tableau119[[#This Row],[Key(ID-date)]],'DATA BTO'!S:S,'DATA BTO'!F:F,FALSE)</f>
        <v>0</v>
      </c>
      <c r="AD939" s="50" t="b">
        <f>_xlfn.XLOOKUP(Tableau119[[#This Row],[Key(ID-date)]],'DATA BTO'!S:S,'DATA BTO'!G:G,FALSE)</f>
        <v>0</v>
      </c>
      <c r="AE939" s="50" t="b">
        <f>_xlfn.XLOOKUP(Tableau119[[#This Row],[Key(ID-date)]],'DATA BTO'!S:S,'DATA BTO'!H:H,FALSE)</f>
        <v>0</v>
      </c>
      <c r="AF939" s="447" t="e">
        <f>IF(Tableau119[[#This Row],[First Day to POL]]&lt;=Tableau119[[#This Row],[Day Cut Off]],Tableau119[[#This Row],[Day ETD]],Tableau119[[#This Row],[Day ETD]]+7)</f>
        <v>#N/A</v>
      </c>
      <c r="AG939" s="50" t="b">
        <f>_xlfn.XLOOKUP(Tableau119[[#This Row],[Key(ID-date)]],'DATA BTO'!S:S,'DATA BTO'!I:I,FALSE)</f>
        <v>0</v>
      </c>
      <c r="AH939" s="3" t="b">
        <f>_xlfn.XLOOKUP(Tableau119[[#This Row],[Key(ID-date)]],'DATA BTO'!S:S,'DATA BTO'!J:J,FALSE)</f>
        <v>0</v>
      </c>
      <c r="AI939" s="3" t="b">
        <f>_xlfn.XLOOKUP(Tableau119[[#This Row],[Key(ID-date)]],'DATA BTO'!S:S,'DATA BTO'!K:K,FALSE)</f>
        <v>0</v>
      </c>
      <c r="AJ939" s="50" t="b">
        <f>_xlfn.XLOOKUP(Tableau119[[#This Row],[Key(ID-date)]],'DATA BTO'!S:S,'DATA BTO'!L:L,FALSE)</f>
        <v>0</v>
      </c>
      <c r="AK939" s="53" t="b">
        <f>_xlfn.XLOOKUP(Tableau119[[#This Row],[Key(ID-date)]],'DATA BTO'!S:S,'DATA BTO'!N:N,FALSE)</f>
        <v>0</v>
      </c>
      <c r="AL939" s="54" t="e">
        <f>VLOOKUP(Tableau119[[#This Row],[Key(POD -PFI- Usine)]],'DATA Consignee'!A:F,6,FALSE)</f>
        <v>#N/A</v>
      </c>
      <c r="AM939" s="102" t="s">
        <v>171</v>
      </c>
      <c r="AN939" s="375">
        <f>IF(Tableau119[[#This Row],[Name PFI/CDD]]="","-",VLOOKUP(Tableau119[[#This Row],[Name PFI/CDD]],Plant_AILN!I:J,2,FALSE))</f>
        <v>91018400</v>
      </c>
      <c r="AO939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39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39" s="110" t="e">
        <f>VLOOKUP(Tableau119[[#This Row],[Key(POD -PFI- Usine)]],'DATA Consignee'!A:J,10,FALSE)</f>
        <v>#N/A</v>
      </c>
      <c r="AR939" s="81" t="e">
        <f>VLOOKUP(Tableau119[[#This Row],[Key(POD -PFI- Usine)]],'DATA Consignee'!A:N,14,FALSE)</f>
        <v>#N/A</v>
      </c>
      <c r="AS93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3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39" s="81">
        <f>Tableau119[[#This Row],[Transit time]]+Tableau119[[#This Row],[Time for security]]+Tableau119[[#This Row],[Time for security2 buffer]]</f>
        <v>0</v>
      </c>
      <c r="AV93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39" s="50" t="e">
        <f>Tableau119[[#This Row],[Leadtime SI2C]]+Tableau119[[#This Row],[First Receipt Days]]-Tableau119[[#This Row],[Day Customer Order]]+1</f>
        <v>#N/A</v>
      </c>
      <c r="AX939" s="119" t="e">
        <f>IF(Tableau119[[#This Row],[Name ILN]]&lt;&gt;"SFK Freight Forwarder",Tableau119[[#This Row],[Cust. Leadtime]],Tableau119[[#This Row],[Leadtime SI2C]])</f>
        <v>#N/A</v>
      </c>
      <c r="AY939" s="51" t="b">
        <f>_xlfn.XLOOKUP(Tableau119[[#This Row],[Key(ID-date)]],'DATA BTO'!S:S,'DATA BTO'!P:P,FALSE)</f>
        <v>0</v>
      </c>
      <c r="AZ939" s="388">
        <v>46142</v>
      </c>
      <c r="BA939" s="81"/>
    </row>
    <row r="940" spans="2:53">
      <c r="B940" s="446" t="str">
        <f>_xlfn.CONCAT(Tableau119[[#This Row],[Name ILN]],"-",Tableau119[[#This Row],[Name Shipper]],"-",Tableau119[[#This Row],[Name Site]])</f>
        <v>ILN Chine -ILN Chine -ILN VLL</v>
      </c>
      <c r="C940" s="66" t="str">
        <f>_xlfn.CONCAT(Tableau119[[#This Row],[Compte ILN]],"-",Tableau119[[#This Row],[Compte Shipper]],"-",Tableau119[[#This Row],[POL]],"-",Tableau119[[#This Row],[Compte Consignee]])</f>
        <v>424479-424479-FALSO-9101840000</v>
      </c>
      <c r="D940" s="66" t="str">
        <f>_xlfn.CONCAT(Tableau119[[#This Row],[Compte ILN]],"-",Tableau119[[#This Row],[Compte Shipper]],"-",Tableau119[[#This Row],[POL]])</f>
        <v>424479-424479-FALSO</v>
      </c>
      <c r="E940" s="130" t="str">
        <f>_xlfn.CONCAT(Tableau119[[#This Row],[POL]],"-",Tableau119[[#This Row],[Carrier]],"-",Tableau119[[#This Row],[POD]])</f>
        <v>FALSO-FALSO-FALSO</v>
      </c>
      <c r="F940" s="66" t="str">
        <f>_xlfn.CONCAT(Tableau119[[#This Row],[ID]],"-","Actif")</f>
        <v>1027-Actif</v>
      </c>
      <c r="G940" s="66" t="str">
        <f>_xlfn.CONCAT(Tableau119[[#This Row],[POD]],"-",Tableau119[[#This Row],[Code PFI]],"-",Tableau119[[#This Row],[Compte Consignee]])</f>
        <v>FALSO---9101840000</v>
      </c>
      <c r="H94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FALSOILN VLL</v>
      </c>
      <c r="I940" s="434" t="str">
        <f>_xlfn.CONCAT(Tableau119[[#This Row],[ID]],"-",Tableau119[[#This Row],[Expiration Date]])</f>
        <v>1027-46142</v>
      </c>
      <c r="J94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ILN VLL-ILN Chine -ILN Chine -1027-FALSO-FALSO-FALSO--46142</v>
      </c>
      <c r="K940" s="119" t="str">
        <f ca="1">IF(COUNTIF(J:J,Tableau119[[#This Row],[Plant-ILN-shipper-POL-Carrier-POD-PFI]])=1,"Non","Oui")</f>
        <v>Non</v>
      </c>
      <c r="L940" s="128" t="str">
        <f>VLOOKUP(Tableau119[[#This Row],[Name Site]],Plant_AILN!A:D,4,FALSE)</f>
        <v>SPAIN</v>
      </c>
      <c r="M940" s="411" t="s">
        <v>151</v>
      </c>
      <c r="N940" s="454">
        <f>VLOOKUP(Tableau119[[#This Row],[Name Site]],Plant_AILN!A:C,3,FALSE)</f>
        <v>9101840000</v>
      </c>
      <c r="O940" s="55">
        <f>VLOOKUP(Tableau119[[#This Row],[Compte Consignee]],Order!C:D,2,FALSE)</f>
        <v>2</v>
      </c>
      <c r="P940" s="124" t="s">
        <v>1</v>
      </c>
      <c r="Q940" s="365">
        <f>VLOOKUP(Tableau119[[#This Row],[Name ILN]],Plant_AILN!F:G,2,FALSE)</f>
        <v>424479</v>
      </c>
      <c r="R940" s="50">
        <f>VLOOKUP(Tableau119[[#This Row],[Compte ILN]],'DATA ILN'!D:I,6,FALSE)</f>
        <v>9</v>
      </c>
      <c r="S940" s="50" t="e">
        <f>IFERROR(VLOOKUP(Tableau119[[#This Row],[Key(Compte ILN - shipper - POL - plant)]],'DATA ILN'!A:J,10,FALSE),VLOOKUP(Tableau119[[#This Row],[Key(Compte ILN - shipper - POL)]],'DATA ILN'!B:J,9,FALSE))</f>
        <v>#N/A</v>
      </c>
      <c r="T940" s="50" t="e">
        <f>IFERROR(VLOOKUP(Tableau119[[#This Row],[Key(Compte ILN - shipper - POL - plant)]],'DATA ILN'!A:K,11,FALSE),VLOOKUP(Tableau119[[#This Row],[Key(Compte ILN - shipper - POL)]],'DATA ILN'!B:K,10,FALSE))</f>
        <v>#N/A</v>
      </c>
      <c r="U940" s="50" t="e">
        <f>IFERROR(VLOOKUP(Tableau119[[#This Row],[Key(Compte ILN - shipper - POL - plant)]],'DATA ILN'!A:L,12,FALSE),VLOOKUP(Tableau119[[#This Row],[Key(Compte ILN - shipper - POL)]],'DATA ILN'!B:L,11,FALSE))</f>
        <v>#N/A</v>
      </c>
      <c r="V940" s="50" t="e">
        <f>Tableau119[[#This Row],[Day ILN Order]]+Tableau119[[#This Row],[Delivery time to ILN/Shipper]]-1</f>
        <v>#N/A</v>
      </c>
      <c r="W940" s="50" t="e">
        <f>IFERROR(VLOOKUP(Tableau119[[#This Row],[Key(Compte ILN - shipper - POL - plant)]],'DATA ILN'!A:N,14,FALSE),VLOOKUP(Tableau119[[#This Row],[Key(Compte ILN - shipper - POL)]],'DATA ILN'!B:N,13,FALSE))</f>
        <v>#N/A</v>
      </c>
      <c r="X940" s="50" t="e">
        <f>IFERROR(VLOOKUP(Tableau119[[#This Row],[Key(Compte ILN - shipper - POL - plant)]],'DATA ILN'!A:P,16,FALSE),VLOOKUP(Tableau119[[#This Row],[Key(Compte ILN - shipper - POL)]],'DATA ILN'!B:P,15,FALSE))</f>
        <v>#N/A</v>
      </c>
      <c r="Y940" s="284" t="s">
        <v>1</v>
      </c>
      <c r="Z940" s="430">
        <f>IFERROR(VLOOKUP(Tableau119[[#This Row],[Name Shipper]],Plant_AILN!L:M,2,FALSE),0)</f>
        <v>424479</v>
      </c>
      <c r="AA940" s="406">
        <v>1027</v>
      </c>
      <c r="AB940" s="396" t="b">
        <f>_xlfn.XLOOKUP(Tableau119[[#This Row],[Key(ID-date)]],'DATA BTO'!S:S,'DATA BTO'!E:E,FALSE)</f>
        <v>0</v>
      </c>
      <c r="AC940" s="3" t="b">
        <f>_xlfn.XLOOKUP(Tableau119[[#This Row],[Key(ID-date)]],'DATA BTO'!S:S,'DATA BTO'!F:F,FALSE)</f>
        <v>0</v>
      </c>
      <c r="AD940" s="50" t="b">
        <f>_xlfn.XLOOKUP(Tableau119[[#This Row],[Key(ID-date)]],'DATA BTO'!S:S,'DATA BTO'!G:G,FALSE)</f>
        <v>0</v>
      </c>
      <c r="AE940" s="50" t="b">
        <f>_xlfn.XLOOKUP(Tableau119[[#This Row],[Key(ID-date)]],'DATA BTO'!S:S,'DATA BTO'!H:H,FALSE)</f>
        <v>0</v>
      </c>
      <c r="AF940" s="447" t="e">
        <f>IF(Tableau119[[#This Row],[First Day to POL]]&lt;=Tableau119[[#This Row],[Day Cut Off]],Tableau119[[#This Row],[Day ETD]],Tableau119[[#This Row],[Day ETD]]+7)</f>
        <v>#N/A</v>
      </c>
      <c r="AG940" s="50" t="b">
        <f>_xlfn.XLOOKUP(Tableau119[[#This Row],[Key(ID-date)]],'DATA BTO'!S:S,'DATA BTO'!I:I,FALSE)</f>
        <v>0</v>
      </c>
      <c r="AH940" s="3" t="b">
        <f>_xlfn.XLOOKUP(Tableau119[[#This Row],[Key(ID-date)]],'DATA BTO'!S:S,'DATA BTO'!J:J,FALSE)</f>
        <v>0</v>
      </c>
      <c r="AI940" s="3" t="b">
        <f>_xlfn.XLOOKUP(Tableau119[[#This Row],[Key(ID-date)]],'DATA BTO'!S:S,'DATA BTO'!K:K,FALSE)</f>
        <v>0</v>
      </c>
      <c r="AJ940" s="50" t="b">
        <f>_xlfn.XLOOKUP(Tableau119[[#This Row],[Key(ID-date)]],'DATA BTO'!S:S,'DATA BTO'!L:L,FALSE)</f>
        <v>0</v>
      </c>
      <c r="AK940" s="53" t="b">
        <f>_xlfn.XLOOKUP(Tableau119[[#This Row],[Key(ID-date)]],'DATA BTO'!S:S,'DATA BTO'!N:N,FALSE)</f>
        <v>0</v>
      </c>
      <c r="AL940" s="54" t="e">
        <f>VLOOKUP(Tableau119[[#This Row],[Key(POD -PFI- Usine)]],'DATA Consignee'!A:F,6,FALSE)</f>
        <v>#N/A</v>
      </c>
      <c r="AM940" s="284"/>
      <c r="AN940" s="376" t="str">
        <f>IF(Tableau119[[#This Row],[Name PFI/CDD]]="","-",VLOOKUP(Tableau119[[#This Row],[Name PFI/CDD]],Plant_AILN!I:J,2,FALSE))</f>
        <v>-</v>
      </c>
      <c r="AO94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0" s="2" t="e">
        <f>VLOOKUP(Tableau119[[#This Row],[Key(POD -PFI- Usine)]],'DATA Consignee'!A:J,10,FALSE)</f>
        <v>#N/A</v>
      </c>
      <c r="AR940" s="50" t="e">
        <f>VLOOKUP(Tableau119[[#This Row],[Key(POD -PFI- Usine)]],'DATA Consignee'!A:N,14,FALSE)</f>
        <v>#N/A</v>
      </c>
      <c r="AS940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0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0" s="50">
        <f>Tableau119[[#This Row],[Transit time]]+Tableau119[[#This Row],[Time for security]]+Tableau119[[#This Row],[Time for security2 buffer]]</f>
        <v>0</v>
      </c>
      <c r="AV94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0" s="50" t="e">
        <f>Tableau119[[#This Row],[Leadtime SI2C]]+Tableau119[[#This Row],[First Receipt Days]]-Tableau119[[#This Row],[Day Customer Order]]+1</f>
        <v>#N/A</v>
      </c>
      <c r="AX940" s="119" t="e">
        <f>IF(Tableau119[[#This Row],[Name ILN]]&lt;&gt;"SFK Freight Forwarder",Tableau119[[#This Row],[Cust. Leadtime]],Tableau119[[#This Row],[Leadtime SI2C]])</f>
        <v>#N/A</v>
      </c>
      <c r="AY940" s="51" t="b">
        <f>_xlfn.XLOOKUP(Tableau119[[#This Row],[Key(ID-date)]],'DATA BTO'!S:S,'DATA BTO'!P:P,FALSE)</f>
        <v>0</v>
      </c>
      <c r="AZ940" s="338">
        <v>46142</v>
      </c>
      <c r="BA940" s="50"/>
    </row>
    <row r="941" spans="2:53">
      <c r="B941" s="446" t="str">
        <f>_xlfn.CONCAT(Tableau119[[#This Row],[Name ILN]],"-",Tableau119[[#This Row],[Name Shipper]],"-",Tableau119[[#This Row],[Name Site]])</f>
        <v>ILN Chine -ILN Chine -MAUBEUGE</v>
      </c>
      <c r="C941" s="66" t="str">
        <f>_xlfn.CONCAT(Tableau119[[#This Row],[Compte ILN]],"-",Tableau119[[#This Row],[Compte Shipper]],"-",Tableau119[[#This Row],[POL]],"-",Tableau119[[#This Row],[Compte Consignee]])</f>
        <v>424479-424479-FALSO-90016200</v>
      </c>
      <c r="D941" s="66" t="str">
        <f>_xlfn.CONCAT(Tableau119[[#This Row],[Compte ILN]],"-",Tableau119[[#This Row],[Compte Shipper]],"-",Tableau119[[#This Row],[POL]])</f>
        <v>424479-424479-FALSO</v>
      </c>
      <c r="E941" s="130" t="str">
        <f>_xlfn.CONCAT(Tableau119[[#This Row],[POL]],"-",Tableau119[[#This Row],[Carrier]],"-",Tableau119[[#This Row],[POD]])</f>
        <v>FALSO-FALSO-FALSO</v>
      </c>
      <c r="F941" s="66" t="str">
        <f>_xlfn.CONCAT(Tableau119[[#This Row],[ID]],"-","Actif")</f>
        <v>1027-Actif</v>
      </c>
      <c r="G941" s="66" t="str">
        <f>_xlfn.CONCAT(Tableau119[[#This Row],[POD]],"-",Tableau119[[#This Row],[Code PFI]],"-",Tableau119[[#This Row],[Compte Consignee]])</f>
        <v>FALSO-91018400-90016200</v>
      </c>
      <c r="H94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FALSOMAUBEUGE</v>
      </c>
      <c r="I941" s="434" t="str">
        <f>_xlfn.CONCAT(Tableau119[[#This Row],[ID]],"-",Tableau119[[#This Row],[Expiration Date]])</f>
        <v>1027-46142</v>
      </c>
      <c r="J94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MAUBEUGE-ILN Chine -ILN Chine -1027-FALSO-FALSO-FALSO-PFI VLL-46142</v>
      </c>
      <c r="K941" s="119" t="str">
        <f ca="1">IF(COUNTIF(J:J,Tableau119[[#This Row],[Plant-ILN-shipper-POL-Carrier-POD-PFI]])=1,"Non","Oui")</f>
        <v>Non</v>
      </c>
      <c r="L941" s="128" t="str">
        <f>VLOOKUP(Tableau119[[#This Row],[Name Site]],Plant_AILN!A:D,4,FALSE)</f>
        <v>FRANCE</v>
      </c>
      <c r="M941" s="411" t="s">
        <v>210</v>
      </c>
      <c r="N941" s="454">
        <f>VLOOKUP(Tableau119[[#This Row],[Name Site]],Plant_AILN!A:C,3,FALSE)</f>
        <v>90016200</v>
      </c>
      <c r="O941" s="55">
        <f>IF(Tableau119[[#This Row],[Name PFI/CDD]]="PFI VLL",2,VLOOKUP(Tableau119[[#This Row],[Compte Consignee]],Order!C:D,2,FALSE))</f>
        <v>2</v>
      </c>
      <c r="P941" s="124" t="s">
        <v>1</v>
      </c>
      <c r="Q941" s="365">
        <f>VLOOKUP(Tableau119[[#This Row],[Name ILN]],Plant_AILN!F:G,2,FALSE)</f>
        <v>424479</v>
      </c>
      <c r="R941" s="50">
        <f>VLOOKUP(Tableau119[[#This Row],[Compte ILN]],'DATA ILN'!D:I,6,FALSE)</f>
        <v>9</v>
      </c>
      <c r="S941" s="50" t="e">
        <f>IFERROR(VLOOKUP(Tableau119[[#This Row],[Key(Compte ILN - shipper - POL - plant)]],'DATA ILN'!A:J,10,FALSE),VLOOKUP(Tableau119[[#This Row],[Key(Compte ILN - shipper - POL)]],'DATA ILN'!B:J,9,FALSE))</f>
        <v>#N/A</v>
      </c>
      <c r="T941" s="50" t="e">
        <f>IFERROR(VLOOKUP(Tableau119[[#This Row],[Key(Compte ILN - shipper - POL - plant)]],'DATA ILN'!A:K,11,FALSE),VLOOKUP(Tableau119[[#This Row],[Key(Compte ILN - shipper - POL)]],'DATA ILN'!B:K,10,FALSE))</f>
        <v>#N/A</v>
      </c>
      <c r="U941" s="50" t="e">
        <f>IFERROR(VLOOKUP(Tableau119[[#This Row],[Key(Compte ILN - shipper - POL - plant)]],'DATA ILN'!A:L,12,FALSE),VLOOKUP(Tableau119[[#This Row],[Key(Compte ILN - shipper - POL)]],'DATA ILN'!B:L,11,FALSE))</f>
        <v>#N/A</v>
      </c>
      <c r="V941" s="50" t="e">
        <f>Tableau119[[#This Row],[Day ILN Order]]+Tableau119[[#This Row],[Delivery time to ILN/Shipper]]-1</f>
        <v>#N/A</v>
      </c>
      <c r="W941" s="50" t="e">
        <f>IFERROR(VLOOKUP(Tableau119[[#This Row],[Key(Compte ILN - shipper - POL - plant)]],'DATA ILN'!A:N,14,FALSE),VLOOKUP(Tableau119[[#This Row],[Key(Compte ILN - shipper - POL)]],'DATA ILN'!B:N,13,FALSE))</f>
        <v>#N/A</v>
      </c>
      <c r="X941" s="50" t="e">
        <f>IFERROR(VLOOKUP(Tableau119[[#This Row],[Key(Compte ILN - shipper - POL - plant)]],'DATA ILN'!A:P,16,FALSE),VLOOKUP(Tableau119[[#This Row],[Key(Compte ILN - shipper - POL)]],'DATA ILN'!B:P,15,FALSE))</f>
        <v>#N/A</v>
      </c>
      <c r="Y941" s="284" t="s">
        <v>1</v>
      </c>
      <c r="Z941" s="430">
        <f>IFERROR(VLOOKUP(Tableau119[[#This Row],[Name Shipper]],Plant_AILN!L:M,2,FALSE),0)</f>
        <v>424479</v>
      </c>
      <c r="AA941" s="406">
        <v>1027</v>
      </c>
      <c r="AB941" s="396" t="b">
        <f>_xlfn.XLOOKUP(Tableau119[[#This Row],[Key(ID-date)]],'DATA BTO'!S:S,'DATA BTO'!E:E,FALSE)</f>
        <v>0</v>
      </c>
      <c r="AC941" s="3" t="b">
        <f>_xlfn.XLOOKUP(Tableau119[[#This Row],[Key(ID-date)]],'DATA BTO'!S:S,'DATA BTO'!F:F,FALSE)</f>
        <v>0</v>
      </c>
      <c r="AD941" s="50" t="b">
        <f>_xlfn.XLOOKUP(Tableau119[[#This Row],[Key(ID-date)]],'DATA BTO'!S:S,'DATA BTO'!G:G,FALSE)</f>
        <v>0</v>
      </c>
      <c r="AE941" s="50" t="b">
        <f>_xlfn.XLOOKUP(Tableau119[[#This Row],[Key(ID-date)]],'DATA BTO'!S:S,'DATA BTO'!H:H,FALSE)</f>
        <v>0</v>
      </c>
      <c r="AF941" s="447" t="e">
        <f>IF(Tableau119[[#This Row],[First Day to POL]]&lt;=Tableau119[[#This Row],[Day Cut Off]],Tableau119[[#This Row],[Day ETD]],Tableau119[[#This Row],[Day ETD]]+7)</f>
        <v>#N/A</v>
      </c>
      <c r="AG941" s="50" t="b">
        <f>_xlfn.XLOOKUP(Tableau119[[#This Row],[Key(ID-date)]],'DATA BTO'!S:S,'DATA BTO'!I:I,FALSE)</f>
        <v>0</v>
      </c>
      <c r="AH941" s="3" t="b">
        <f>_xlfn.XLOOKUP(Tableau119[[#This Row],[Key(ID-date)]],'DATA BTO'!S:S,'DATA BTO'!J:J,FALSE)</f>
        <v>0</v>
      </c>
      <c r="AI941" s="3" t="b">
        <f>_xlfn.XLOOKUP(Tableau119[[#This Row],[Key(ID-date)]],'DATA BTO'!S:S,'DATA BTO'!K:K,FALSE)</f>
        <v>0</v>
      </c>
      <c r="AJ941" s="50" t="b">
        <f>_xlfn.XLOOKUP(Tableau119[[#This Row],[Key(ID-date)]],'DATA BTO'!S:S,'DATA BTO'!L:L,FALSE)</f>
        <v>0</v>
      </c>
      <c r="AK941" s="53" t="b">
        <f>_xlfn.XLOOKUP(Tableau119[[#This Row],[Key(ID-date)]],'DATA BTO'!S:S,'DATA BTO'!N:N,FALSE)</f>
        <v>0</v>
      </c>
      <c r="AL941" s="54" t="e">
        <f>VLOOKUP(Tableau119[[#This Row],[Key(POD -PFI- Usine)]],'DATA Consignee'!A:F,6,FALSE)</f>
        <v>#N/A</v>
      </c>
      <c r="AM941" s="284" t="s">
        <v>171</v>
      </c>
      <c r="AN941" s="376">
        <f>IF(Tableau119[[#This Row],[Name PFI/CDD]]="","-",VLOOKUP(Tableau119[[#This Row],[Name PFI/CDD]],Plant_AILN!I:J,2,FALSE))</f>
        <v>91018400</v>
      </c>
      <c r="AO941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41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41" s="2" t="e">
        <f>VLOOKUP(Tableau119[[#This Row],[Key(POD -PFI- Usine)]],'DATA Consignee'!A:J,10,FALSE)</f>
        <v>#N/A</v>
      </c>
      <c r="AR941" s="50" t="e">
        <f>VLOOKUP(Tableau119[[#This Row],[Key(POD -PFI- Usine)]],'DATA Consignee'!A:N,14,FALSE)</f>
        <v>#N/A</v>
      </c>
      <c r="AS94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1" s="50">
        <f>Tableau119[[#This Row],[Transit time]]+Tableau119[[#This Row],[Time for security]]+Tableau119[[#This Row],[Time for security2 buffer]]</f>
        <v>0</v>
      </c>
      <c r="AV94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1" s="50" t="e">
        <f>Tableau119[[#This Row],[Leadtime SI2C]]+Tableau119[[#This Row],[First Receipt Days]]-Tableau119[[#This Row],[Day Customer Order]]+1</f>
        <v>#N/A</v>
      </c>
      <c r="AX941" s="119" t="e">
        <f>IF(Tableau119[[#This Row],[Name ILN]]&lt;&gt;"SFK Freight Forwarder",Tableau119[[#This Row],[Cust. Leadtime]],Tableau119[[#This Row],[Leadtime SI2C]])</f>
        <v>#N/A</v>
      </c>
      <c r="AY941" s="51" t="b">
        <f>_xlfn.XLOOKUP(Tableau119[[#This Row],[Key(ID-date)]],'DATA BTO'!S:S,'DATA BTO'!P:P,FALSE)</f>
        <v>0</v>
      </c>
      <c r="AZ941" s="338">
        <v>46142</v>
      </c>
      <c r="BA941" s="50"/>
    </row>
    <row r="942" spans="2:53">
      <c r="B942" s="446" t="str">
        <f>_xlfn.CONCAT(Tableau119[[#This Row],[Name ILN]],"-",Tableau119[[#This Row],[Name Shipper]],"-",Tableau119[[#This Row],[Name Site]])</f>
        <v>ILN Chine -ILN Chine -PALENCIA</v>
      </c>
      <c r="C942" s="66" t="str">
        <f>_xlfn.CONCAT(Tableau119[[#This Row],[Compte ILN]],"-",Tableau119[[#This Row],[Compte Shipper]],"-",Tableau119[[#This Row],[POL]],"-",Tableau119[[#This Row],[Compte Consignee]])</f>
        <v>424479-424479-FALSO-91017200</v>
      </c>
      <c r="D942" s="66" t="str">
        <f>_xlfn.CONCAT(Tableau119[[#This Row],[Compte ILN]],"-",Tableau119[[#This Row],[Compte Shipper]],"-",Tableau119[[#This Row],[POL]])</f>
        <v>424479-424479-FALSO</v>
      </c>
      <c r="E942" s="130" t="str">
        <f>_xlfn.CONCAT(Tableau119[[#This Row],[POL]],"-",Tableau119[[#This Row],[Carrier]],"-",Tableau119[[#This Row],[POD]])</f>
        <v>FALSO-FALSO-FALSO</v>
      </c>
      <c r="F942" s="66" t="str">
        <f>_xlfn.CONCAT(Tableau119[[#This Row],[ID]],"-","Actif")</f>
        <v>1027-Actif</v>
      </c>
      <c r="G942" s="66" t="str">
        <f>_xlfn.CONCAT(Tableau119[[#This Row],[POD]],"-",Tableau119[[#This Row],[Code PFI]],"-",Tableau119[[#This Row],[Compte Consignee]])</f>
        <v>FALSO-91018400-91017200</v>
      </c>
      <c r="H94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FALSOPALENCIA</v>
      </c>
      <c r="I942" s="434" t="str">
        <f>_xlfn.CONCAT(Tableau119[[#This Row],[ID]],"-",Tableau119[[#This Row],[Expiration Date]])</f>
        <v>1027-46142</v>
      </c>
      <c r="J94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PALENCIA-ILN Chine -ILN Chine -1027-FALSO-FALSO-FALSO-CDD VLL-46142</v>
      </c>
      <c r="K942" s="119" t="str">
        <f ca="1">IF(COUNTIF(J:J,Tableau119[[#This Row],[Plant-ILN-shipper-POL-Carrier-POD-PFI]])=1,"Non","Oui")</f>
        <v>Non</v>
      </c>
      <c r="L942" s="128" t="str">
        <f>VLOOKUP(Tableau119[[#This Row],[Name Site]],Plant_AILN!A:D,4,FALSE)</f>
        <v>SPAIN</v>
      </c>
      <c r="M942" s="411" t="s">
        <v>184</v>
      </c>
      <c r="N942" s="454">
        <f>VLOOKUP(Tableau119[[#This Row],[Name Site]],Plant_AILN!A:C,3,FALSE)</f>
        <v>91017200</v>
      </c>
      <c r="O942" s="55">
        <f>IF(Tableau119[[#This Row],[Name PFI/CDD]]="PFI VLL",2,VLOOKUP(Tableau119[[#This Row],[Compte Consignee]],Order!C:D,2,FALSE))</f>
        <v>7</v>
      </c>
      <c r="P942" s="124" t="s">
        <v>1</v>
      </c>
      <c r="Q942" s="365">
        <f>VLOOKUP(Tableau119[[#This Row],[Name ILN]],Plant_AILN!F:G,2,FALSE)</f>
        <v>424479</v>
      </c>
      <c r="R942" s="50">
        <f>VLOOKUP(Tableau119[[#This Row],[Compte ILN]],'DATA ILN'!D:I,6,FALSE)</f>
        <v>9</v>
      </c>
      <c r="S942" s="50" t="e">
        <f>IFERROR(VLOOKUP(Tableau119[[#This Row],[Key(Compte ILN - shipper - POL - plant)]],'DATA ILN'!A:J,10,FALSE),VLOOKUP(Tableau119[[#This Row],[Key(Compte ILN - shipper - POL)]],'DATA ILN'!B:J,9,FALSE))</f>
        <v>#N/A</v>
      </c>
      <c r="T942" s="50" t="e">
        <f>IFERROR(VLOOKUP(Tableau119[[#This Row],[Key(Compte ILN - shipper - POL - plant)]],'DATA ILN'!A:K,11,FALSE),VLOOKUP(Tableau119[[#This Row],[Key(Compte ILN - shipper - POL)]],'DATA ILN'!B:K,10,FALSE))</f>
        <v>#N/A</v>
      </c>
      <c r="U942" s="50" t="e">
        <f>IFERROR(VLOOKUP(Tableau119[[#This Row],[Key(Compte ILN - shipper - POL - plant)]],'DATA ILN'!A:L,12,FALSE),VLOOKUP(Tableau119[[#This Row],[Key(Compte ILN - shipper - POL)]],'DATA ILN'!B:L,11,FALSE))</f>
        <v>#N/A</v>
      </c>
      <c r="V942" s="50" t="e">
        <f>Tableau119[[#This Row],[Day ILN Order]]+Tableau119[[#This Row],[Delivery time to ILN/Shipper]]-1</f>
        <v>#N/A</v>
      </c>
      <c r="W942" s="50" t="e">
        <f>IFERROR(VLOOKUP(Tableau119[[#This Row],[Key(Compte ILN - shipper - POL - plant)]],'DATA ILN'!A:N,14,FALSE),VLOOKUP(Tableau119[[#This Row],[Key(Compte ILN - shipper - POL)]],'DATA ILN'!B:N,13,FALSE))</f>
        <v>#N/A</v>
      </c>
      <c r="X942" s="50" t="e">
        <f>IFERROR(VLOOKUP(Tableau119[[#This Row],[Key(Compte ILN - shipper - POL - plant)]],'DATA ILN'!A:P,16,FALSE),VLOOKUP(Tableau119[[#This Row],[Key(Compte ILN - shipper - POL)]],'DATA ILN'!B:P,15,FALSE))</f>
        <v>#N/A</v>
      </c>
      <c r="Y942" s="284" t="s">
        <v>1</v>
      </c>
      <c r="Z942" s="430">
        <f>IFERROR(VLOOKUP(Tableau119[[#This Row],[Name Shipper]],Plant_AILN!L:M,2,FALSE),0)</f>
        <v>424479</v>
      </c>
      <c r="AA942" s="406">
        <v>1027</v>
      </c>
      <c r="AB942" s="396" t="b">
        <f>_xlfn.XLOOKUP(Tableau119[[#This Row],[Key(ID-date)]],'DATA BTO'!S:S,'DATA BTO'!E:E,FALSE)</f>
        <v>0</v>
      </c>
      <c r="AC942" s="3" t="b">
        <f>_xlfn.XLOOKUP(Tableau119[[#This Row],[Key(ID-date)]],'DATA BTO'!S:S,'DATA BTO'!F:F,FALSE)</f>
        <v>0</v>
      </c>
      <c r="AD942" s="50" t="b">
        <f>_xlfn.XLOOKUP(Tableau119[[#This Row],[Key(ID-date)]],'DATA BTO'!S:S,'DATA BTO'!G:G,FALSE)</f>
        <v>0</v>
      </c>
      <c r="AE942" s="50" t="b">
        <f>_xlfn.XLOOKUP(Tableau119[[#This Row],[Key(ID-date)]],'DATA BTO'!S:S,'DATA BTO'!H:H,FALSE)</f>
        <v>0</v>
      </c>
      <c r="AF942" s="447" t="e">
        <f>IF(Tableau119[[#This Row],[First Day to POL]]&lt;=Tableau119[[#This Row],[Day Cut Off]],Tableau119[[#This Row],[Day ETD]],Tableau119[[#This Row],[Day ETD]]+7)</f>
        <v>#N/A</v>
      </c>
      <c r="AG942" s="50" t="b">
        <f>_xlfn.XLOOKUP(Tableau119[[#This Row],[Key(ID-date)]],'DATA BTO'!S:S,'DATA BTO'!I:I,FALSE)</f>
        <v>0</v>
      </c>
      <c r="AH942" s="3" t="b">
        <f>_xlfn.XLOOKUP(Tableau119[[#This Row],[Key(ID-date)]],'DATA BTO'!S:S,'DATA BTO'!J:J,FALSE)</f>
        <v>0</v>
      </c>
      <c r="AI942" s="3" t="b">
        <f>_xlfn.XLOOKUP(Tableau119[[#This Row],[Key(ID-date)]],'DATA BTO'!S:S,'DATA BTO'!K:K,FALSE)</f>
        <v>0</v>
      </c>
      <c r="AJ942" s="50" t="b">
        <f>_xlfn.XLOOKUP(Tableau119[[#This Row],[Key(ID-date)]],'DATA BTO'!S:S,'DATA BTO'!L:L,FALSE)</f>
        <v>0</v>
      </c>
      <c r="AK942" s="53" t="b">
        <f>_xlfn.XLOOKUP(Tableau119[[#This Row],[Key(ID-date)]],'DATA BTO'!S:S,'DATA BTO'!N:N,FALSE)</f>
        <v>0</v>
      </c>
      <c r="AL942" s="54" t="e">
        <f>VLOOKUP(Tableau119[[#This Row],[Key(POD -PFI- Usine)]],'DATA Consignee'!A:F,6,FALSE)</f>
        <v>#N/A</v>
      </c>
      <c r="AM942" s="284" t="s">
        <v>169</v>
      </c>
      <c r="AN942" s="376">
        <f>IF(Tableau119[[#This Row],[Name PFI/CDD]]="","-",VLOOKUP(Tableau119[[#This Row],[Name PFI/CDD]],Plant_AILN!I:J,2,FALSE))</f>
        <v>91018400</v>
      </c>
      <c r="AO942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42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42" s="2" t="e">
        <f>VLOOKUP(Tableau119[[#This Row],[Key(POD -PFI- Usine)]],'DATA Consignee'!A:J,10,FALSE)</f>
        <v>#N/A</v>
      </c>
      <c r="AR942" s="50" t="e">
        <f>VLOOKUP(Tableau119[[#This Row],[Key(POD -PFI- Usine)]],'DATA Consignee'!A:N,14,FALSE)</f>
        <v>#N/A</v>
      </c>
      <c r="AS942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2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2" s="50">
        <f>Tableau119[[#This Row],[Transit time]]+Tableau119[[#This Row],[Time for security]]+Tableau119[[#This Row],[Time for security2 buffer]]</f>
        <v>0</v>
      </c>
      <c r="AV94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2" s="50" t="e">
        <f>Tableau119[[#This Row],[Leadtime SI2C]]+Tableau119[[#This Row],[First Receipt Days]]-Tableau119[[#This Row],[Day Customer Order]]+1</f>
        <v>#N/A</v>
      </c>
      <c r="AX942" s="119" t="e">
        <f>IF(Tableau119[[#This Row],[Name ILN]]&lt;&gt;"SFK Freight Forwarder",Tableau119[[#This Row],[Cust. Leadtime]],Tableau119[[#This Row],[Leadtime SI2C]])</f>
        <v>#N/A</v>
      </c>
      <c r="AY942" s="51" t="b">
        <f>_xlfn.XLOOKUP(Tableau119[[#This Row],[Key(ID-date)]],'DATA BTO'!S:S,'DATA BTO'!P:P,FALSE)</f>
        <v>0</v>
      </c>
      <c r="AZ942" s="338">
        <v>46142</v>
      </c>
      <c r="BA942" s="50"/>
    </row>
    <row r="943" spans="2:53">
      <c r="B943" s="446" t="str">
        <f>_xlfn.CONCAT(Tableau119[[#This Row],[Name ILN]],"-",Tableau119[[#This Row],[Name Shipper]],"-",Tableau119[[#This Row],[Name Site]])</f>
        <v>ILN Chine -ILN Chine -SANDOUVILLE</v>
      </c>
      <c r="C943" s="66" t="str">
        <f>_xlfn.CONCAT(Tableau119[[#This Row],[Compte ILN]],"-",Tableau119[[#This Row],[Compte Shipper]],"-",Tableau119[[#This Row],[POL]],"-",Tableau119[[#This Row],[Compte Consignee]])</f>
        <v>424479-424479-FALSO-90017100</v>
      </c>
      <c r="D943" s="66" t="str">
        <f>_xlfn.CONCAT(Tableau119[[#This Row],[Compte ILN]],"-",Tableau119[[#This Row],[Compte Shipper]],"-",Tableau119[[#This Row],[POL]])</f>
        <v>424479-424479-FALSO</v>
      </c>
      <c r="E943" s="130" t="str">
        <f>_xlfn.CONCAT(Tableau119[[#This Row],[POL]],"-",Tableau119[[#This Row],[Carrier]],"-",Tableau119[[#This Row],[POD]])</f>
        <v>FALSO-FALSO-FALSO</v>
      </c>
      <c r="F943" s="66" t="str">
        <f>_xlfn.CONCAT(Tableau119[[#This Row],[ID]],"-","Actif")</f>
        <v>1027-Actif</v>
      </c>
      <c r="G943" s="66" t="str">
        <f>_xlfn.CONCAT(Tableau119[[#This Row],[POD]],"-",Tableau119[[#This Row],[Code PFI]],"-",Tableau119[[#This Row],[Compte Consignee]])</f>
        <v>FALSO-91018400-90017100</v>
      </c>
      <c r="H94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FALSOSANDOUVILLE</v>
      </c>
      <c r="I943" s="434" t="str">
        <f>_xlfn.CONCAT(Tableau119[[#This Row],[ID]],"-",Tableau119[[#This Row],[Expiration Date]])</f>
        <v>1027-46142</v>
      </c>
      <c r="J94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SANDOUVILLE-ILN Chine -ILN Chine -1027-FALSO-FALSO-FALSO-PFI VLL-46142</v>
      </c>
      <c r="K943" s="119" t="str">
        <f ca="1">IF(COUNTIF(J:J,Tableau119[[#This Row],[Plant-ILN-shipper-POL-Carrier-POD-PFI]])=1,"Non","Oui")</f>
        <v>Non</v>
      </c>
      <c r="L943" s="128" t="str">
        <f>VLOOKUP(Tableau119[[#This Row],[Name Site]],Plant_AILN!A:D,4,FALSE)</f>
        <v>FRANCE</v>
      </c>
      <c r="M943" s="411" t="s">
        <v>196</v>
      </c>
      <c r="N943" s="454">
        <f>VLOOKUP(Tableau119[[#This Row],[Name Site]],Plant_AILN!A:C,3,FALSE)</f>
        <v>90017100</v>
      </c>
      <c r="O943" s="55">
        <f>IF(Tableau119[[#This Row],[Name PFI/CDD]]="PFI VLL",2,VLOOKUP(Tableau119[[#This Row],[Compte Consignee]],Order!C:D,2,FALSE))</f>
        <v>2</v>
      </c>
      <c r="P943" s="124" t="s">
        <v>1</v>
      </c>
      <c r="Q943" s="365">
        <f>VLOOKUP(Tableau119[[#This Row],[Name ILN]],Plant_AILN!F:G,2,FALSE)</f>
        <v>424479</v>
      </c>
      <c r="R943" s="50">
        <f>VLOOKUP(Tableau119[[#This Row],[Compte ILN]],'DATA ILN'!D:I,6,FALSE)</f>
        <v>9</v>
      </c>
      <c r="S943" s="50" t="e">
        <f>IFERROR(VLOOKUP(Tableau119[[#This Row],[Key(Compte ILN - shipper - POL - plant)]],'DATA ILN'!A:J,10,FALSE),VLOOKUP(Tableau119[[#This Row],[Key(Compte ILN - shipper - POL)]],'DATA ILN'!B:J,9,FALSE))</f>
        <v>#N/A</v>
      </c>
      <c r="T943" s="50" t="e">
        <f>IFERROR(VLOOKUP(Tableau119[[#This Row],[Key(Compte ILN - shipper - POL - plant)]],'DATA ILN'!A:K,11,FALSE),VLOOKUP(Tableau119[[#This Row],[Key(Compte ILN - shipper - POL)]],'DATA ILN'!B:K,10,FALSE))</f>
        <v>#N/A</v>
      </c>
      <c r="U943" s="50" t="e">
        <f>IFERROR(VLOOKUP(Tableau119[[#This Row],[Key(Compte ILN - shipper - POL - plant)]],'DATA ILN'!A:L,12,FALSE),VLOOKUP(Tableau119[[#This Row],[Key(Compte ILN - shipper - POL)]],'DATA ILN'!B:L,11,FALSE))</f>
        <v>#N/A</v>
      </c>
      <c r="V943" s="50" t="e">
        <f>Tableau119[[#This Row],[Day ILN Order]]+Tableau119[[#This Row],[Delivery time to ILN/Shipper]]-1</f>
        <v>#N/A</v>
      </c>
      <c r="W943" s="50" t="e">
        <f>IFERROR(VLOOKUP(Tableau119[[#This Row],[Key(Compte ILN - shipper - POL - plant)]],'DATA ILN'!A:N,14,FALSE),VLOOKUP(Tableau119[[#This Row],[Key(Compte ILN - shipper - POL)]],'DATA ILN'!B:N,13,FALSE))</f>
        <v>#N/A</v>
      </c>
      <c r="X943" s="50" t="e">
        <f>IFERROR(VLOOKUP(Tableau119[[#This Row],[Key(Compte ILN - shipper - POL - plant)]],'DATA ILN'!A:P,16,FALSE),VLOOKUP(Tableau119[[#This Row],[Key(Compte ILN - shipper - POL)]],'DATA ILN'!B:P,15,FALSE))</f>
        <v>#N/A</v>
      </c>
      <c r="Y943" s="284" t="s">
        <v>1</v>
      </c>
      <c r="Z943" s="430">
        <f>IFERROR(VLOOKUP(Tableau119[[#This Row],[Name Shipper]],Plant_AILN!L:M,2,FALSE),0)</f>
        <v>424479</v>
      </c>
      <c r="AA943" s="406">
        <v>1027</v>
      </c>
      <c r="AB943" s="396" t="b">
        <f>_xlfn.XLOOKUP(Tableau119[[#This Row],[Key(ID-date)]],'DATA BTO'!S:S,'DATA BTO'!E:E,FALSE)</f>
        <v>0</v>
      </c>
      <c r="AC943" s="3" t="b">
        <f>_xlfn.XLOOKUP(Tableau119[[#This Row],[Key(ID-date)]],'DATA BTO'!S:S,'DATA BTO'!F:F,FALSE)</f>
        <v>0</v>
      </c>
      <c r="AD943" s="50" t="b">
        <f>_xlfn.XLOOKUP(Tableau119[[#This Row],[Key(ID-date)]],'DATA BTO'!S:S,'DATA BTO'!G:G,FALSE)</f>
        <v>0</v>
      </c>
      <c r="AE943" s="50" t="b">
        <f>_xlfn.XLOOKUP(Tableau119[[#This Row],[Key(ID-date)]],'DATA BTO'!S:S,'DATA BTO'!H:H,FALSE)</f>
        <v>0</v>
      </c>
      <c r="AF943" s="447" t="e">
        <f>IF(Tableau119[[#This Row],[First Day to POL]]&lt;=Tableau119[[#This Row],[Day Cut Off]],Tableau119[[#This Row],[Day ETD]],Tableau119[[#This Row],[Day ETD]]+7)</f>
        <v>#N/A</v>
      </c>
      <c r="AG943" s="50" t="b">
        <f>_xlfn.XLOOKUP(Tableau119[[#This Row],[Key(ID-date)]],'DATA BTO'!S:S,'DATA BTO'!I:I,FALSE)</f>
        <v>0</v>
      </c>
      <c r="AH943" s="3" t="b">
        <f>_xlfn.XLOOKUP(Tableau119[[#This Row],[Key(ID-date)]],'DATA BTO'!S:S,'DATA BTO'!J:J,FALSE)</f>
        <v>0</v>
      </c>
      <c r="AI943" s="3" t="b">
        <f>_xlfn.XLOOKUP(Tableau119[[#This Row],[Key(ID-date)]],'DATA BTO'!S:S,'DATA BTO'!K:K,FALSE)</f>
        <v>0</v>
      </c>
      <c r="AJ943" s="50" t="b">
        <f>_xlfn.XLOOKUP(Tableau119[[#This Row],[Key(ID-date)]],'DATA BTO'!S:S,'DATA BTO'!L:L,FALSE)</f>
        <v>0</v>
      </c>
      <c r="AK943" s="53" t="b">
        <f>_xlfn.XLOOKUP(Tableau119[[#This Row],[Key(ID-date)]],'DATA BTO'!S:S,'DATA BTO'!N:N,FALSE)</f>
        <v>0</v>
      </c>
      <c r="AL943" s="54" t="e">
        <f>VLOOKUP(Tableau119[[#This Row],[Key(POD -PFI- Usine)]],'DATA Consignee'!A:F,6,FALSE)</f>
        <v>#N/A</v>
      </c>
      <c r="AM943" s="284" t="s">
        <v>171</v>
      </c>
      <c r="AN943" s="376">
        <f>IF(Tableau119[[#This Row],[Name PFI/CDD]]="","-",VLOOKUP(Tableau119[[#This Row],[Name PFI/CDD]],Plant_AILN!I:J,2,FALSE))</f>
        <v>91018400</v>
      </c>
      <c r="AO943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43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43" s="2" t="e">
        <f>VLOOKUP(Tableau119[[#This Row],[Key(POD -PFI- Usine)]],'DATA Consignee'!A:J,10,FALSE)</f>
        <v>#N/A</v>
      </c>
      <c r="AR943" s="50" t="e">
        <f>VLOOKUP(Tableau119[[#This Row],[Key(POD -PFI- Usine)]],'DATA Consignee'!A:N,14,FALSE)</f>
        <v>#N/A</v>
      </c>
      <c r="AS943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3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3" s="50">
        <f>Tableau119[[#This Row],[Transit time]]+Tableau119[[#This Row],[Time for security]]+Tableau119[[#This Row],[Time for security2 buffer]]</f>
        <v>0</v>
      </c>
      <c r="AV94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3" s="50" t="e">
        <f>Tableau119[[#This Row],[Leadtime SI2C]]+Tableau119[[#This Row],[First Receipt Days]]-Tableau119[[#This Row],[Day Customer Order]]+1</f>
        <v>#N/A</v>
      </c>
      <c r="AX943" s="119" t="e">
        <f>IF(Tableau119[[#This Row],[Name ILN]]&lt;&gt;"SFK Freight Forwarder",Tableau119[[#This Row],[Cust. Leadtime]],Tableau119[[#This Row],[Leadtime SI2C]])</f>
        <v>#N/A</v>
      </c>
      <c r="AY943" s="51" t="b">
        <f>_xlfn.XLOOKUP(Tableau119[[#This Row],[Key(ID-date)]],'DATA BTO'!S:S,'DATA BTO'!P:P,FALSE)</f>
        <v>0</v>
      </c>
      <c r="AZ943" s="338">
        <v>46142</v>
      </c>
      <c r="BA943" s="50"/>
    </row>
    <row r="944" spans="2:53">
      <c r="B944" s="446" t="str">
        <f>_xlfn.CONCAT(Tableau119[[#This Row],[Name ILN]],"-",Tableau119[[#This Row],[Name Shipper]],"-",Tableau119[[#This Row],[Name Site]])</f>
        <v>ILN Chine -ILN Chine -SEVILLA</v>
      </c>
      <c r="C944" s="66" t="str">
        <f>_xlfn.CONCAT(Tableau119[[#This Row],[Compte ILN]],"-",Tableau119[[#This Row],[Compte Shipper]],"-",Tableau119[[#This Row],[POL]],"-",Tableau119[[#This Row],[Compte Consignee]])</f>
        <v>424479-424479-FALSO-91017500</v>
      </c>
      <c r="D944" s="66" t="str">
        <f>_xlfn.CONCAT(Tableau119[[#This Row],[Compte ILN]],"-",Tableau119[[#This Row],[Compte Shipper]],"-",Tableau119[[#This Row],[POL]])</f>
        <v>424479-424479-FALSO</v>
      </c>
      <c r="E944" s="130" t="str">
        <f>_xlfn.CONCAT(Tableau119[[#This Row],[POL]],"-",Tableau119[[#This Row],[Carrier]],"-",Tableau119[[#This Row],[POD]])</f>
        <v>FALSO-FALSO-FALSO</v>
      </c>
      <c r="F944" s="66" t="str">
        <f>_xlfn.CONCAT(Tableau119[[#This Row],[ID]],"-","Actif")</f>
        <v>1027-Actif</v>
      </c>
      <c r="G944" s="66" t="str">
        <f>_xlfn.CONCAT(Tableau119[[#This Row],[POD]],"-",Tableau119[[#This Row],[Code PFI]],"-",Tableau119[[#This Row],[Compte Consignee]])</f>
        <v>FALSO-91018400-91017500</v>
      </c>
      <c r="H94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FALSOSEVILLA</v>
      </c>
      <c r="I944" s="434" t="str">
        <f>_xlfn.CONCAT(Tableau119[[#This Row],[ID]],"-",Tableau119[[#This Row],[Expiration Date]])</f>
        <v>1027-46142</v>
      </c>
      <c r="J94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SEVILLA-ILN Chine -ILN Chine -1027-FALSO-FALSO-FALSO-PFI VLL-46142</v>
      </c>
      <c r="K944" s="119" t="str">
        <f ca="1">IF(COUNTIF(J:J,Tableau119[[#This Row],[Plant-ILN-shipper-POL-Carrier-POD-PFI]])=1,"Non","Oui")</f>
        <v>Non</v>
      </c>
      <c r="L944" s="128" t="str">
        <f>VLOOKUP(Tableau119[[#This Row],[Name Site]],Plant_AILN!A:D,4,FALSE)</f>
        <v>SPAIN</v>
      </c>
      <c r="M944" s="415" t="s">
        <v>172</v>
      </c>
      <c r="N944" s="455">
        <f>VLOOKUP(Tableau119[[#This Row],[Name Site]],Plant_AILN!A:C,3,FALSE)</f>
        <v>91017500</v>
      </c>
      <c r="O944" s="104">
        <f>IF(Tableau119[[#This Row],[Name PFI/CDD]]="PFI VLL",2,VLOOKUP(Tableau119[[#This Row],[Compte Consignee]],Order!C:D,2,FALSE))</f>
        <v>2</v>
      </c>
      <c r="P944" s="126" t="s">
        <v>1</v>
      </c>
      <c r="Q944" s="366">
        <f>VLOOKUP(Tableau119[[#This Row],[Name ILN]],Plant_AILN!F:G,2,FALSE)</f>
        <v>424479</v>
      </c>
      <c r="R944" s="81">
        <f>VLOOKUP(Tableau119[[#This Row],[Compte ILN]],'DATA ILN'!D:I,6,FALSE)</f>
        <v>9</v>
      </c>
      <c r="S944" s="81" t="e">
        <f>IFERROR(VLOOKUP(Tableau119[[#This Row],[Key(Compte ILN - shipper - POL - plant)]],'DATA ILN'!A:J,10,FALSE),VLOOKUP(Tableau119[[#This Row],[Key(Compte ILN - shipper - POL)]],'DATA ILN'!B:J,9,FALSE))</f>
        <v>#N/A</v>
      </c>
      <c r="T944" s="81" t="e">
        <f>IFERROR(VLOOKUP(Tableau119[[#This Row],[Key(Compte ILN - shipper - POL - plant)]],'DATA ILN'!A:K,11,FALSE),VLOOKUP(Tableau119[[#This Row],[Key(Compte ILN - shipper - POL)]],'DATA ILN'!B:K,10,FALSE))</f>
        <v>#N/A</v>
      </c>
      <c r="U944" s="81" t="e">
        <f>IFERROR(VLOOKUP(Tableau119[[#This Row],[Key(Compte ILN - shipper - POL - plant)]],'DATA ILN'!A:L,12,FALSE),VLOOKUP(Tableau119[[#This Row],[Key(Compte ILN - shipper - POL)]],'DATA ILN'!B:L,11,FALSE))</f>
        <v>#N/A</v>
      </c>
      <c r="V944" s="81" t="e">
        <f>Tableau119[[#This Row],[Day ILN Order]]+Tableau119[[#This Row],[Delivery time to ILN/Shipper]]-1</f>
        <v>#N/A</v>
      </c>
      <c r="W944" s="81" t="e">
        <f>IFERROR(VLOOKUP(Tableau119[[#This Row],[Key(Compte ILN - shipper - POL - plant)]],'DATA ILN'!A:N,14,FALSE),VLOOKUP(Tableau119[[#This Row],[Key(Compte ILN - shipper - POL)]],'DATA ILN'!B:N,13,FALSE))</f>
        <v>#N/A</v>
      </c>
      <c r="X944" s="81" t="e">
        <f>IFERROR(VLOOKUP(Tableau119[[#This Row],[Key(Compte ILN - shipper - POL - plant)]],'DATA ILN'!A:P,16,FALSE),VLOOKUP(Tableau119[[#This Row],[Key(Compte ILN - shipper - POL)]],'DATA ILN'!B:P,15,FALSE))</f>
        <v>#N/A</v>
      </c>
      <c r="Y944" s="102" t="s">
        <v>1</v>
      </c>
      <c r="Z944" s="417">
        <f>IFERROR(VLOOKUP(Tableau119[[#This Row],[Name Shipper]],Plant_AILN!L:M,2,FALSE),0)</f>
        <v>424479</v>
      </c>
      <c r="AA944" s="416">
        <v>1027</v>
      </c>
      <c r="AB944" s="396" t="b">
        <f>_xlfn.XLOOKUP(Tableau119[[#This Row],[Key(ID-date)]],'DATA BTO'!S:S,'DATA BTO'!E:E,FALSE)</f>
        <v>0</v>
      </c>
      <c r="AC944" s="3" t="b">
        <f>_xlfn.XLOOKUP(Tableau119[[#This Row],[Key(ID-date)]],'DATA BTO'!S:S,'DATA BTO'!F:F,FALSE)</f>
        <v>0</v>
      </c>
      <c r="AD944" s="50" t="b">
        <f>_xlfn.XLOOKUP(Tableau119[[#This Row],[Key(ID-date)]],'DATA BTO'!S:S,'DATA BTO'!G:G,FALSE)</f>
        <v>0</v>
      </c>
      <c r="AE944" s="50" t="b">
        <f>_xlfn.XLOOKUP(Tableau119[[#This Row],[Key(ID-date)]],'DATA BTO'!S:S,'DATA BTO'!H:H,FALSE)</f>
        <v>0</v>
      </c>
      <c r="AF944" s="447" t="e">
        <f>IF(Tableau119[[#This Row],[First Day to POL]]&lt;=Tableau119[[#This Row],[Day Cut Off]],Tableau119[[#This Row],[Day ETD]],Tableau119[[#This Row],[Day ETD]]+7)</f>
        <v>#N/A</v>
      </c>
      <c r="AG944" s="50" t="b">
        <f>_xlfn.XLOOKUP(Tableau119[[#This Row],[Key(ID-date)]],'DATA BTO'!S:S,'DATA BTO'!I:I,FALSE)</f>
        <v>0</v>
      </c>
      <c r="AH944" s="3" t="b">
        <f>_xlfn.XLOOKUP(Tableau119[[#This Row],[Key(ID-date)]],'DATA BTO'!S:S,'DATA BTO'!J:J,FALSE)</f>
        <v>0</v>
      </c>
      <c r="AI944" s="3" t="b">
        <f>_xlfn.XLOOKUP(Tableau119[[#This Row],[Key(ID-date)]],'DATA BTO'!S:S,'DATA BTO'!K:K,FALSE)</f>
        <v>0</v>
      </c>
      <c r="AJ944" s="50" t="b">
        <f>_xlfn.XLOOKUP(Tableau119[[#This Row],[Key(ID-date)]],'DATA BTO'!S:S,'DATA BTO'!L:L,FALSE)</f>
        <v>0</v>
      </c>
      <c r="AK944" s="53" t="b">
        <f>_xlfn.XLOOKUP(Tableau119[[#This Row],[Key(ID-date)]],'DATA BTO'!S:S,'DATA BTO'!N:N,FALSE)</f>
        <v>0</v>
      </c>
      <c r="AL944" s="54" t="e">
        <f>VLOOKUP(Tableau119[[#This Row],[Key(POD -PFI- Usine)]],'DATA Consignee'!A:F,6,FALSE)</f>
        <v>#N/A</v>
      </c>
      <c r="AM944" s="102" t="s">
        <v>171</v>
      </c>
      <c r="AN944" s="375">
        <f>IF(Tableau119[[#This Row],[Name PFI/CDD]]="","-",VLOOKUP(Tableau119[[#This Row],[Name PFI/CDD]],Plant_AILN!I:J,2,FALSE))</f>
        <v>91018400</v>
      </c>
      <c r="AO944" s="109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44" s="109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44" s="110" t="e">
        <f>VLOOKUP(Tableau119[[#This Row],[Key(POD -PFI- Usine)]],'DATA Consignee'!A:J,10,FALSE)</f>
        <v>#N/A</v>
      </c>
      <c r="AR944" s="81" t="e">
        <f>VLOOKUP(Tableau119[[#This Row],[Key(POD -PFI- Usine)]],'DATA Consignee'!A:N,14,FALSE)</f>
        <v>#N/A</v>
      </c>
      <c r="AS94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4" s="81">
        <f>Tableau119[[#This Row],[Transit time]]+Tableau119[[#This Row],[Time for security]]+Tableau119[[#This Row],[Time for security2 buffer]]</f>
        <v>0</v>
      </c>
      <c r="AV94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4" s="50" t="e">
        <f>Tableau119[[#This Row],[Leadtime SI2C]]+Tableau119[[#This Row],[First Receipt Days]]-Tableau119[[#This Row],[Day Customer Order]]+1</f>
        <v>#N/A</v>
      </c>
      <c r="AX944" s="119" t="e">
        <f>IF(Tableau119[[#This Row],[Name ILN]]&lt;&gt;"SFK Freight Forwarder",Tableau119[[#This Row],[Cust. Leadtime]],Tableau119[[#This Row],[Leadtime SI2C]])</f>
        <v>#N/A</v>
      </c>
      <c r="AY944" s="51" t="b">
        <f>_xlfn.XLOOKUP(Tableau119[[#This Row],[Key(ID-date)]],'DATA BTO'!S:S,'DATA BTO'!P:P,FALSE)</f>
        <v>0</v>
      </c>
      <c r="AZ944" s="388">
        <v>46142</v>
      </c>
      <c r="BA944" s="81"/>
    </row>
    <row r="945" spans="2:53">
      <c r="B945" s="446" t="str">
        <f>_xlfn.CONCAT(Tableau119[[#This Row],[Name ILN]],"-",Tableau119[[#This Row],[Name Shipper]],"-",Tableau119[[#This Row],[Name Site]])</f>
        <v>ILN Chine -ILN Chine -SOVAB</v>
      </c>
      <c r="C945" s="66" t="str">
        <f>_xlfn.CONCAT(Tableau119[[#This Row],[Compte ILN]],"-",Tableau119[[#This Row],[Compte Shipper]],"-",Tableau119[[#This Row],[POL]],"-",Tableau119[[#This Row],[Compte Consignee]])</f>
        <v>424479-424479-FALSO-90016900</v>
      </c>
      <c r="D945" s="66" t="str">
        <f>_xlfn.CONCAT(Tableau119[[#This Row],[Compte ILN]],"-",Tableau119[[#This Row],[Compte Shipper]],"-",Tableau119[[#This Row],[POL]])</f>
        <v>424479-424479-FALSO</v>
      </c>
      <c r="E945" s="130" t="str">
        <f>_xlfn.CONCAT(Tableau119[[#This Row],[POL]],"-",Tableau119[[#This Row],[Carrier]],"-",Tableau119[[#This Row],[POD]])</f>
        <v>FALSO-FALSO-FALSO</v>
      </c>
      <c r="F945" s="66" t="str">
        <f>_xlfn.CONCAT(Tableau119[[#This Row],[ID]],"-","Actif")</f>
        <v>1027-Actif</v>
      </c>
      <c r="G945" s="66" t="str">
        <f>_xlfn.CONCAT(Tableau119[[#This Row],[POD]],"-",Tableau119[[#This Row],[Code PFI]],"-",Tableau119[[#This Row],[Compte Consignee]])</f>
        <v>FALSO-91018400-90016900</v>
      </c>
      <c r="H94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FALSOSOVAB</v>
      </c>
      <c r="I945" s="434" t="str">
        <f>_xlfn.CONCAT(Tableau119[[#This Row],[ID]],"-",Tableau119[[#This Row],[Expiration Date]])</f>
        <v>1027-46142</v>
      </c>
      <c r="J94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SOVAB-ILN Chine -ILN Chine -1027-FALSO-FALSO-FALSO-PFI VLL-46142</v>
      </c>
      <c r="K945" s="119" t="str">
        <f ca="1">IF(COUNTIF(J:J,Tableau119[[#This Row],[Plant-ILN-shipper-POL-Carrier-POD-PFI]])=1,"Non","Oui")</f>
        <v>Non</v>
      </c>
      <c r="L945" s="128" t="str">
        <f>VLOOKUP(Tableau119[[#This Row],[Name Site]],Plant_AILN!A:D,4,FALSE)</f>
        <v>FRANCE</v>
      </c>
      <c r="M945" s="411" t="s">
        <v>154</v>
      </c>
      <c r="N945" s="454">
        <f>VLOOKUP(Tableau119[[#This Row],[Name Site]],Plant_AILN!A:C,3,FALSE)</f>
        <v>90016900</v>
      </c>
      <c r="O945" s="55">
        <f>IF(Tableau119[[#This Row],[Name PFI/CDD]]="PFI VLL",2,VLOOKUP(Tableau119[[#This Row],[Compte Consignee]],Order!C:D,2,FALSE))</f>
        <v>2</v>
      </c>
      <c r="P945" s="124" t="s">
        <v>1</v>
      </c>
      <c r="Q945" s="365">
        <f>VLOOKUP(Tableau119[[#This Row],[Name ILN]],Plant_AILN!F:G,2,FALSE)</f>
        <v>424479</v>
      </c>
      <c r="R945" s="50">
        <f>VLOOKUP(Tableau119[[#This Row],[Compte ILN]],'DATA ILN'!D:I,6,FALSE)</f>
        <v>9</v>
      </c>
      <c r="S945" s="50" t="e">
        <f>IFERROR(VLOOKUP(Tableau119[[#This Row],[Key(Compte ILN - shipper - POL - plant)]],'DATA ILN'!A:J,10,FALSE),VLOOKUP(Tableau119[[#This Row],[Key(Compte ILN - shipper - POL)]],'DATA ILN'!B:J,9,FALSE))</f>
        <v>#N/A</v>
      </c>
      <c r="T945" s="50" t="e">
        <f>IFERROR(VLOOKUP(Tableau119[[#This Row],[Key(Compte ILN - shipper - POL - plant)]],'DATA ILN'!A:K,11,FALSE),VLOOKUP(Tableau119[[#This Row],[Key(Compte ILN - shipper - POL)]],'DATA ILN'!B:K,10,FALSE))</f>
        <v>#N/A</v>
      </c>
      <c r="U945" s="50" t="e">
        <f>IFERROR(VLOOKUP(Tableau119[[#This Row],[Key(Compte ILN - shipper - POL - plant)]],'DATA ILN'!A:L,12,FALSE),VLOOKUP(Tableau119[[#This Row],[Key(Compte ILN - shipper - POL)]],'DATA ILN'!B:L,11,FALSE))</f>
        <v>#N/A</v>
      </c>
      <c r="V945" s="50" t="e">
        <f>Tableau119[[#This Row],[Day ILN Order]]+Tableau119[[#This Row],[Delivery time to ILN/Shipper]]-1</f>
        <v>#N/A</v>
      </c>
      <c r="W945" s="50" t="e">
        <f>IFERROR(VLOOKUP(Tableau119[[#This Row],[Key(Compte ILN - shipper - POL - plant)]],'DATA ILN'!A:N,14,FALSE),VLOOKUP(Tableau119[[#This Row],[Key(Compte ILN - shipper - POL)]],'DATA ILN'!B:N,13,FALSE))</f>
        <v>#N/A</v>
      </c>
      <c r="X945" s="50" t="e">
        <f>IFERROR(VLOOKUP(Tableau119[[#This Row],[Key(Compte ILN - shipper - POL - plant)]],'DATA ILN'!A:P,16,FALSE),VLOOKUP(Tableau119[[#This Row],[Key(Compte ILN - shipper - POL)]],'DATA ILN'!B:P,15,FALSE))</f>
        <v>#N/A</v>
      </c>
      <c r="Y945" s="284" t="s">
        <v>1</v>
      </c>
      <c r="Z945" s="430">
        <f>IFERROR(VLOOKUP(Tableau119[[#This Row],[Name Shipper]],Plant_AILN!L:M,2,FALSE),0)</f>
        <v>424479</v>
      </c>
      <c r="AA945" s="406">
        <v>1027</v>
      </c>
      <c r="AB945" s="396" t="b">
        <f>_xlfn.XLOOKUP(Tableau119[[#This Row],[Key(ID-date)]],'DATA BTO'!S:S,'DATA BTO'!E:E,FALSE)</f>
        <v>0</v>
      </c>
      <c r="AC945" s="3" t="b">
        <f>_xlfn.XLOOKUP(Tableau119[[#This Row],[Key(ID-date)]],'DATA BTO'!S:S,'DATA BTO'!F:F,FALSE)</f>
        <v>0</v>
      </c>
      <c r="AD945" s="50" t="b">
        <f>_xlfn.XLOOKUP(Tableau119[[#This Row],[Key(ID-date)]],'DATA BTO'!S:S,'DATA BTO'!G:G,FALSE)</f>
        <v>0</v>
      </c>
      <c r="AE945" s="50" t="b">
        <f>_xlfn.XLOOKUP(Tableau119[[#This Row],[Key(ID-date)]],'DATA BTO'!S:S,'DATA BTO'!H:H,FALSE)</f>
        <v>0</v>
      </c>
      <c r="AF945" s="447" t="e">
        <f>IF(Tableau119[[#This Row],[First Day to POL]]&lt;=Tableau119[[#This Row],[Day Cut Off]],Tableau119[[#This Row],[Day ETD]],Tableau119[[#This Row],[Day ETD]]+7)</f>
        <v>#N/A</v>
      </c>
      <c r="AG945" s="50" t="b">
        <f>_xlfn.XLOOKUP(Tableau119[[#This Row],[Key(ID-date)]],'DATA BTO'!S:S,'DATA BTO'!I:I,FALSE)</f>
        <v>0</v>
      </c>
      <c r="AH945" s="3" t="b">
        <f>_xlfn.XLOOKUP(Tableau119[[#This Row],[Key(ID-date)]],'DATA BTO'!S:S,'DATA BTO'!J:J,FALSE)</f>
        <v>0</v>
      </c>
      <c r="AI945" s="3" t="b">
        <f>_xlfn.XLOOKUP(Tableau119[[#This Row],[Key(ID-date)]],'DATA BTO'!S:S,'DATA BTO'!K:K,FALSE)</f>
        <v>0</v>
      </c>
      <c r="AJ945" s="50" t="b">
        <f>_xlfn.XLOOKUP(Tableau119[[#This Row],[Key(ID-date)]],'DATA BTO'!S:S,'DATA BTO'!L:L,FALSE)</f>
        <v>0</v>
      </c>
      <c r="AK945" s="53" t="b">
        <f>_xlfn.XLOOKUP(Tableau119[[#This Row],[Key(ID-date)]],'DATA BTO'!S:S,'DATA BTO'!N:N,FALSE)</f>
        <v>0</v>
      </c>
      <c r="AL945" s="54" t="e">
        <f>VLOOKUP(Tableau119[[#This Row],[Key(POD -PFI- Usine)]],'DATA Consignee'!A:F,6,FALSE)</f>
        <v>#N/A</v>
      </c>
      <c r="AM945" s="284" t="s">
        <v>171</v>
      </c>
      <c r="AN945" s="376">
        <f>IF(Tableau119[[#This Row],[Name PFI/CDD]]="","-",VLOOKUP(Tableau119[[#This Row],[Name PFI/CDD]],Plant_AILN!I:J,2,FALSE))</f>
        <v>91018400</v>
      </c>
      <c r="AO945" s="6" t="e">
        <f>IF(COUNTIF(buffer_train[AILN],Tableau119[[#This Row],[Name PFI/CDD]])&gt;0,Tableau119[[#This Row],[First Receipt Days]]+Tableau119[[#This Row],[Cust.]]+Tableau119[[#This Row],[Parts Vanning]]+Tableau119[[#This Row],[Transit Time2]],"-")</f>
        <v>#N/A</v>
      </c>
      <c r="AP945" s="6" t="e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#N/A</v>
      </c>
      <c r="AQ945" s="2" t="e">
        <f>VLOOKUP(Tableau119[[#This Row],[Key(POD -PFI- Usine)]],'DATA Consignee'!A:J,10,FALSE)</f>
        <v>#N/A</v>
      </c>
      <c r="AR945" s="50" t="e">
        <f>VLOOKUP(Tableau119[[#This Row],[Key(POD -PFI- Usine)]],'DATA Consignee'!A:N,14,FALSE)</f>
        <v>#N/A</v>
      </c>
      <c r="AS94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5" s="50">
        <f>Tableau119[[#This Row],[Transit time]]+Tableau119[[#This Row],[Time for security]]+Tableau119[[#This Row],[Time for security2 buffer]]</f>
        <v>0</v>
      </c>
      <c r="AV94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5" s="50" t="e">
        <f>Tableau119[[#This Row],[Leadtime SI2C]]+Tableau119[[#This Row],[First Receipt Days]]-Tableau119[[#This Row],[Day Customer Order]]+1</f>
        <v>#N/A</v>
      </c>
      <c r="AX945" s="119" t="e">
        <f>IF(Tableau119[[#This Row],[Name ILN]]&lt;&gt;"SFK Freight Forwarder",Tableau119[[#This Row],[Cust. Leadtime]],Tableau119[[#This Row],[Leadtime SI2C]])</f>
        <v>#N/A</v>
      </c>
      <c r="AY945" s="51" t="b">
        <f>_xlfn.XLOOKUP(Tableau119[[#This Row],[Key(ID-date)]],'DATA BTO'!S:S,'DATA BTO'!P:P,FALSE)</f>
        <v>0</v>
      </c>
      <c r="AZ945" s="338">
        <v>46142</v>
      </c>
      <c r="BA945" s="50"/>
    </row>
    <row r="946" spans="2:53">
      <c r="B946" s="446" t="str">
        <f>_xlfn.CONCAT(Tableau119[[#This Row],[Name ILN]],"-",Tableau119[[#This Row],[Name Shipper]],"-",Tableau119[[#This Row],[Name Site]])</f>
        <v>ILN Chine -ILN Chine -VALL MONTAGE</v>
      </c>
      <c r="C946" s="66" t="str">
        <f>_xlfn.CONCAT(Tableau119[[#This Row],[Compte ILN]],"-",Tableau119[[#This Row],[Compte Shipper]],"-",Tableau119[[#This Row],[POL]],"-",Tableau119[[#This Row],[Compte Consignee]])</f>
        <v>424479-424479-FALSO-91017300</v>
      </c>
      <c r="D946" s="66" t="str">
        <f>_xlfn.CONCAT(Tableau119[[#This Row],[Compte ILN]],"-",Tableau119[[#This Row],[Compte Shipper]],"-",Tableau119[[#This Row],[POL]])</f>
        <v>424479-424479-FALSO</v>
      </c>
      <c r="E946" s="130" t="str">
        <f>_xlfn.CONCAT(Tableau119[[#This Row],[POL]],"-",Tableau119[[#This Row],[Carrier]],"-",Tableau119[[#This Row],[POD]])</f>
        <v>FALSO-FALSO-FALSO</v>
      </c>
      <c r="F946" s="66" t="str">
        <f>_xlfn.CONCAT(Tableau119[[#This Row],[ID]],"-","Actif")</f>
        <v>1027-Actif</v>
      </c>
      <c r="G946" s="66" t="str">
        <f>_xlfn.CONCAT(Tableau119[[#This Row],[POD]],"-",Tableau119[[#This Row],[Code PFI]],"-",Tableau119[[#This Row],[Compte Consignee]])</f>
        <v>FALSO---91017300</v>
      </c>
      <c r="H94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FALSOVALL MONTAGE</v>
      </c>
      <c r="I946" s="434" t="str">
        <f>_xlfn.CONCAT(Tableau119[[#This Row],[ID]],"-",Tableau119[[#This Row],[Expiration Date]])</f>
        <v>1027-46142</v>
      </c>
      <c r="J94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MONTAGE-ILN Chine -ILN Chine -1027-FALSO-FALSO-FALSO--46142</v>
      </c>
      <c r="K946" s="119" t="str">
        <f ca="1">IF(COUNTIF(J:J,Tableau119[[#This Row],[Plant-ILN-shipper-POL-Carrier-POD-PFI]])=1,"Non","Oui")</f>
        <v>Non</v>
      </c>
      <c r="L946" s="128" t="str">
        <f>VLOOKUP(Tableau119[[#This Row],[Name Site]],Plant_AILN!A:D,4,FALSE)</f>
        <v>SPAIN</v>
      </c>
      <c r="M946" s="411" t="s">
        <v>175</v>
      </c>
      <c r="N946" s="454">
        <f>VLOOKUP(Tableau119[[#This Row],[Name Site]],Plant_AILN!A:C,3,FALSE)</f>
        <v>91017300</v>
      </c>
      <c r="O946" s="55">
        <f>VLOOKUP(Tableau119[[#This Row],[Compte Consignee]],Order!C:D,2,FALSE)</f>
        <v>7</v>
      </c>
      <c r="P946" s="124" t="s">
        <v>1</v>
      </c>
      <c r="Q946" s="365">
        <f>VLOOKUP(Tableau119[[#This Row],[Name ILN]],Plant_AILN!F:G,2,FALSE)</f>
        <v>424479</v>
      </c>
      <c r="R946" s="50">
        <f>VLOOKUP(Tableau119[[#This Row],[Compte ILN]],'DATA ILN'!D:I,6,FALSE)</f>
        <v>9</v>
      </c>
      <c r="S946" s="50" t="e">
        <f>IFERROR(VLOOKUP(Tableau119[[#This Row],[Key(Compte ILN - shipper - POL - plant)]],'DATA ILN'!A:J,10,FALSE),VLOOKUP(Tableau119[[#This Row],[Key(Compte ILN - shipper - POL)]],'DATA ILN'!B:J,9,FALSE))</f>
        <v>#N/A</v>
      </c>
      <c r="T946" s="50" t="e">
        <f>IFERROR(VLOOKUP(Tableau119[[#This Row],[Key(Compte ILN - shipper - POL - plant)]],'DATA ILN'!A:K,11,FALSE),VLOOKUP(Tableau119[[#This Row],[Key(Compte ILN - shipper - POL)]],'DATA ILN'!B:K,10,FALSE))</f>
        <v>#N/A</v>
      </c>
      <c r="U946" s="50" t="e">
        <f>IFERROR(VLOOKUP(Tableau119[[#This Row],[Key(Compte ILN - shipper - POL - plant)]],'DATA ILN'!A:L,12,FALSE),VLOOKUP(Tableau119[[#This Row],[Key(Compte ILN - shipper - POL)]],'DATA ILN'!B:L,11,FALSE))</f>
        <v>#N/A</v>
      </c>
      <c r="V946" s="50" t="e">
        <f>Tableau119[[#This Row],[Day ILN Order]]+Tableau119[[#This Row],[Delivery time to ILN/Shipper]]-1</f>
        <v>#N/A</v>
      </c>
      <c r="W946" s="50" t="e">
        <f>IFERROR(VLOOKUP(Tableau119[[#This Row],[Key(Compte ILN - shipper - POL - plant)]],'DATA ILN'!A:N,14,FALSE),VLOOKUP(Tableau119[[#This Row],[Key(Compte ILN - shipper - POL)]],'DATA ILN'!B:N,13,FALSE))</f>
        <v>#N/A</v>
      </c>
      <c r="X946" s="50" t="e">
        <f>IFERROR(VLOOKUP(Tableau119[[#This Row],[Key(Compte ILN - shipper - POL - plant)]],'DATA ILN'!A:P,16,FALSE),VLOOKUP(Tableau119[[#This Row],[Key(Compte ILN - shipper - POL)]],'DATA ILN'!B:P,15,FALSE))</f>
        <v>#N/A</v>
      </c>
      <c r="Y946" s="284" t="s">
        <v>1</v>
      </c>
      <c r="Z946" s="430">
        <f>IFERROR(VLOOKUP(Tableau119[[#This Row],[Name Shipper]],Plant_AILN!L:M,2,FALSE),0)</f>
        <v>424479</v>
      </c>
      <c r="AA946" s="406">
        <v>1027</v>
      </c>
      <c r="AB946" s="396" t="b">
        <f>_xlfn.XLOOKUP(Tableau119[[#This Row],[Key(ID-date)]],'DATA BTO'!S:S,'DATA BTO'!E:E,FALSE)</f>
        <v>0</v>
      </c>
      <c r="AC946" s="3" t="b">
        <f>_xlfn.XLOOKUP(Tableau119[[#This Row],[Key(ID-date)]],'DATA BTO'!S:S,'DATA BTO'!F:F,FALSE)</f>
        <v>0</v>
      </c>
      <c r="AD946" s="50" t="b">
        <f>_xlfn.XLOOKUP(Tableau119[[#This Row],[Key(ID-date)]],'DATA BTO'!S:S,'DATA BTO'!G:G,FALSE)</f>
        <v>0</v>
      </c>
      <c r="AE946" s="50" t="b">
        <f>_xlfn.XLOOKUP(Tableau119[[#This Row],[Key(ID-date)]],'DATA BTO'!S:S,'DATA BTO'!H:H,FALSE)</f>
        <v>0</v>
      </c>
      <c r="AF946" s="447" t="e">
        <f>IF(Tableau119[[#This Row],[First Day to POL]]&lt;=Tableau119[[#This Row],[Day Cut Off]],Tableau119[[#This Row],[Day ETD]],Tableau119[[#This Row],[Day ETD]]+7)</f>
        <v>#N/A</v>
      </c>
      <c r="AG946" s="50" t="b">
        <f>_xlfn.XLOOKUP(Tableau119[[#This Row],[Key(ID-date)]],'DATA BTO'!S:S,'DATA BTO'!I:I,FALSE)</f>
        <v>0</v>
      </c>
      <c r="AH946" s="3" t="b">
        <f>_xlfn.XLOOKUP(Tableau119[[#This Row],[Key(ID-date)]],'DATA BTO'!S:S,'DATA BTO'!J:J,FALSE)</f>
        <v>0</v>
      </c>
      <c r="AI946" s="3" t="b">
        <f>_xlfn.XLOOKUP(Tableau119[[#This Row],[Key(ID-date)]],'DATA BTO'!S:S,'DATA BTO'!K:K,FALSE)</f>
        <v>0</v>
      </c>
      <c r="AJ946" s="50" t="b">
        <f>_xlfn.XLOOKUP(Tableau119[[#This Row],[Key(ID-date)]],'DATA BTO'!S:S,'DATA BTO'!L:L,FALSE)</f>
        <v>0</v>
      </c>
      <c r="AK946" s="53" t="b">
        <f>_xlfn.XLOOKUP(Tableau119[[#This Row],[Key(ID-date)]],'DATA BTO'!S:S,'DATA BTO'!N:N,FALSE)</f>
        <v>0</v>
      </c>
      <c r="AL946" s="54" t="e">
        <f>VLOOKUP(Tableau119[[#This Row],[Key(POD -PFI- Usine)]],'DATA Consignee'!A:F,6,FALSE)</f>
        <v>#N/A</v>
      </c>
      <c r="AM946" s="284"/>
      <c r="AN946" s="376" t="str">
        <f>IF(Tableau119[[#This Row],[Name PFI/CDD]]="","-",VLOOKUP(Tableau119[[#This Row],[Name PFI/CDD]],Plant_AILN!I:J,2,FALSE))</f>
        <v>-</v>
      </c>
      <c r="AO94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6" s="2" t="e">
        <f>VLOOKUP(Tableau119[[#This Row],[Key(POD -PFI- Usine)]],'DATA Consignee'!A:J,10,FALSE)</f>
        <v>#N/A</v>
      </c>
      <c r="AR946" s="50" t="e">
        <f>VLOOKUP(Tableau119[[#This Row],[Key(POD -PFI- Usine)]],'DATA Consignee'!A:N,14,FALSE)</f>
        <v>#N/A</v>
      </c>
      <c r="AS94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6" s="50">
        <f>Tableau119[[#This Row],[Transit time]]+Tableau119[[#This Row],[Time for security]]+Tableau119[[#This Row],[Time for security2 buffer]]</f>
        <v>0</v>
      </c>
      <c r="AV94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6" s="50" t="e">
        <f>Tableau119[[#This Row],[Leadtime SI2C]]+Tableau119[[#This Row],[First Receipt Days]]-Tableau119[[#This Row],[Day Customer Order]]+1</f>
        <v>#N/A</v>
      </c>
      <c r="AX946" s="119" t="e">
        <f>IF(Tableau119[[#This Row],[Name ILN]]&lt;&gt;"SFK Freight Forwarder",Tableau119[[#This Row],[Cust. Leadtime]],Tableau119[[#This Row],[Leadtime SI2C]])</f>
        <v>#N/A</v>
      </c>
      <c r="AY946" s="51" t="b">
        <f>_xlfn.XLOOKUP(Tableau119[[#This Row],[Key(ID-date)]],'DATA BTO'!S:S,'DATA BTO'!P:P,FALSE)</f>
        <v>0</v>
      </c>
      <c r="AZ946" s="338">
        <v>46142</v>
      </c>
      <c r="BA946" s="50"/>
    </row>
    <row r="947" spans="2:53">
      <c r="B947" s="446" t="str">
        <f>_xlfn.CONCAT(Tableau119[[#This Row],[Name ILN]],"-",Tableau119[[#This Row],[Name Shipper]],"-",Tableau119[[#This Row],[Name Site]])</f>
        <v>SFK Freight Forwarder-NISSAN KANAGAWA -DACIA MECA</v>
      </c>
      <c r="C947" s="66" t="str">
        <f>_xlfn.CONCAT(Tableau119[[#This Row],[Compte ILN]],"-",Tableau119[[#This Row],[Compte Shipper]],"-",Tableau119[[#This Row],[POL]],"-",Tableau119[[#This Row],[Compte Consignee]])</f>
        <v>0-2915910-FALSO-90012500</v>
      </c>
      <c r="D947" s="66" t="str">
        <f>_xlfn.CONCAT(Tableau119[[#This Row],[Compte ILN]],"-",Tableau119[[#This Row],[Compte Shipper]],"-",Tableau119[[#This Row],[POL]])</f>
        <v>0-2915910-FALSO</v>
      </c>
      <c r="E947" s="130" t="str">
        <f>_xlfn.CONCAT(Tableau119[[#This Row],[POL]],"-",Tableau119[[#This Row],[Carrier]],"-",Tableau119[[#This Row],[POD]])</f>
        <v>FALSO-FALSO-FALSO</v>
      </c>
      <c r="F947" s="66" t="str">
        <f>_xlfn.CONCAT(Tableau119[[#This Row],[ID]],"-","Actif")</f>
        <v>1029-Actif</v>
      </c>
      <c r="G947" s="66" t="str">
        <f>_xlfn.CONCAT(Tableau119[[#This Row],[POD]],"-",Tableau119[[#This Row],[Code PFI]],"-",Tableau119[[#This Row],[Compte Consignee]])</f>
        <v>FALSO---90012500</v>
      </c>
      <c r="H94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2915910FALSODACIA MECA</v>
      </c>
      <c r="I947" s="434" t="str">
        <f>_xlfn.CONCAT(Tableau119[[#This Row],[ID]],"-",Tableau119[[#This Row],[Expiration Date]])</f>
        <v>1029-46142</v>
      </c>
      <c r="J94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MECA-SFK Freight Forwarder-NISSAN KANAGAWA -1029-FALSO-FALSO-FALSO--46142</v>
      </c>
      <c r="K947" s="119" t="str">
        <f ca="1">IF(COUNTIF(J:J,Tableau119[[#This Row],[Plant-ILN-shipper-POL-Carrier-POD-PFI]])=1,"Non","Oui")</f>
        <v>Non</v>
      </c>
      <c r="L947" s="128" t="str">
        <f>VLOOKUP(Tableau119[[#This Row],[Name Site]],Plant_AILN!A:D,4,FALSE)</f>
        <v>ROMANIA</v>
      </c>
      <c r="M947" s="411" t="s">
        <v>162</v>
      </c>
      <c r="N947" s="454">
        <f>VLOOKUP(Tableau119[[#This Row],[Name Site]],Plant_AILN!A:C,3,FALSE)</f>
        <v>90012500</v>
      </c>
      <c r="O947" s="55">
        <f>IF(Tableau119[[#This Row],[Name PFI/CDD]]="PFI VLL",2,VLOOKUP(Tableau119[[#This Row],[Compte Consignee]],Order!C:D,2,FALSE))</f>
        <v>7</v>
      </c>
      <c r="P947" s="124" t="s">
        <v>146</v>
      </c>
      <c r="Q947" s="365">
        <f>VLOOKUP(Tableau119[[#This Row],[Name ILN]],Plant_AILN!F:G,2,FALSE)</f>
        <v>0</v>
      </c>
      <c r="R947" s="50">
        <f>VLOOKUP(Tableau119[[#This Row],[Compte ILN]],'DATA ILN'!D:I,6,FALSE)</f>
        <v>9</v>
      </c>
      <c r="S947" s="50" t="e">
        <f>IFERROR(VLOOKUP(Tableau119[[#This Row],[Key(Compte ILN - shipper - POL - plant)]],'DATA ILN'!A:J,10,FALSE),VLOOKUP(Tableau119[[#This Row],[Key(Compte ILN - shipper - POL)]],'DATA ILN'!B:J,9,FALSE))</f>
        <v>#N/A</v>
      </c>
      <c r="T947" s="50" t="e">
        <f>IFERROR(VLOOKUP(Tableau119[[#This Row],[Key(Compte ILN - shipper - POL - plant)]],'DATA ILN'!A:K,11,FALSE),VLOOKUP(Tableau119[[#This Row],[Key(Compte ILN - shipper - POL)]],'DATA ILN'!B:K,10,FALSE))</f>
        <v>#N/A</v>
      </c>
      <c r="U947" s="50" t="e">
        <f>IFERROR(VLOOKUP(Tableau119[[#This Row],[Key(Compte ILN - shipper - POL - plant)]],'DATA ILN'!A:L,12,FALSE),VLOOKUP(Tableau119[[#This Row],[Key(Compte ILN - shipper - POL)]],'DATA ILN'!B:L,11,FALSE))</f>
        <v>#N/A</v>
      </c>
      <c r="V947" s="50" t="e">
        <f>Tableau119[[#This Row],[Day ILN Order]]+Tableau119[[#This Row],[Delivery time to ILN/Shipper]]-1</f>
        <v>#N/A</v>
      </c>
      <c r="W947" s="50" t="e">
        <f>IFERROR(VLOOKUP(Tableau119[[#This Row],[Key(Compte ILN - shipper - POL - plant)]],'DATA ILN'!A:N,14,FALSE),VLOOKUP(Tableau119[[#This Row],[Key(Compte ILN - shipper - POL)]],'DATA ILN'!B:N,13,FALSE))</f>
        <v>#N/A</v>
      </c>
      <c r="X947" s="50" t="e">
        <f>IFERROR(VLOOKUP(Tableau119[[#This Row],[Key(Compte ILN - shipper - POL - plant)]],'DATA ILN'!A:P,16,FALSE),VLOOKUP(Tableau119[[#This Row],[Key(Compte ILN - shipper - POL)]],'DATA ILN'!B:P,15,FALSE))</f>
        <v>#N/A</v>
      </c>
      <c r="Y947" s="284" t="s">
        <v>460</v>
      </c>
      <c r="Z947" s="430">
        <f>IFERROR(VLOOKUP(Tableau119[[#This Row],[Name Shipper]],Plant_AILN!L:M,2,FALSE),0)</f>
        <v>2915910</v>
      </c>
      <c r="AA947" s="406">
        <v>1029</v>
      </c>
      <c r="AB947" s="396" t="b">
        <f>_xlfn.XLOOKUP(Tableau119[[#This Row],[Key(ID-date)]],'DATA BTO'!S:S,'DATA BTO'!E:E,FALSE)</f>
        <v>0</v>
      </c>
      <c r="AC947" s="3" t="b">
        <f>_xlfn.XLOOKUP(Tableau119[[#This Row],[Key(ID-date)]],'DATA BTO'!S:S,'DATA BTO'!F:F,FALSE)</f>
        <v>0</v>
      </c>
      <c r="AD947" s="50" t="b">
        <f>_xlfn.XLOOKUP(Tableau119[[#This Row],[Key(ID-date)]],'DATA BTO'!S:S,'DATA BTO'!G:G,FALSE)</f>
        <v>0</v>
      </c>
      <c r="AE947" s="50" t="b">
        <f>_xlfn.XLOOKUP(Tableau119[[#This Row],[Key(ID-date)]],'DATA BTO'!S:S,'DATA BTO'!H:H,FALSE)</f>
        <v>0</v>
      </c>
      <c r="AF947" s="447" t="e">
        <f>IF(Tableau119[[#This Row],[First Day to POL]]&lt;=Tableau119[[#This Row],[Day Cut Off]],Tableau119[[#This Row],[Day ETD]],Tableau119[[#This Row],[Day ETD]]+7)</f>
        <v>#N/A</v>
      </c>
      <c r="AG947" s="50" t="b">
        <f>_xlfn.XLOOKUP(Tableau119[[#This Row],[Key(ID-date)]],'DATA BTO'!S:S,'DATA BTO'!I:I,FALSE)</f>
        <v>0</v>
      </c>
      <c r="AH947" s="3" t="b">
        <f>_xlfn.XLOOKUP(Tableau119[[#This Row],[Key(ID-date)]],'DATA BTO'!S:S,'DATA BTO'!J:J,FALSE)</f>
        <v>0</v>
      </c>
      <c r="AI947" s="3" t="b">
        <f>_xlfn.XLOOKUP(Tableau119[[#This Row],[Key(ID-date)]],'DATA BTO'!S:S,'DATA BTO'!K:K,FALSE)</f>
        <v>0</v>
      </c>
      <c r="AJ947" s="50" t="b">
        <f>_xlfn.XLOOKUP(Tableau119[[#This Row],[Key(ID-date)]],'DATA BTO'!S:S,'DATA BTO'!L:L,FALSE)</f>
        <v>0</v>
      </c>
      <c r="AK947" s="53" t="b">
        <f>_xlfn.XLOOKUP(Tableau119[[#This Row],[Key(ID-date)]],'DATA BTO'!S:S,'DATA BTO'!N:N,FALSE)</f>
        <v>0</v>
      </c>
      <c r="AL947" s="54" t="e">
        <f>VLOOKUP(Tableau119[[#This Row],[Key(POD -PFI- Usine)]],'DATA Consignee'!A:F,6,FALSE)</f>
        <v>#N/A</v>
      </c>
      <c r="AM947" s="284"/>
      <c r="AN947" s="376" t="str">
        <f>IF(Tableau119[[#This Row],[Name PFI/CDD]]="","-",VLOOKUP(Tableau119[[#This Row],[Name PFI/CDD]],Plant_AILN!I:J,2,FALSE))</f>
        <v>-</v>
      </c>
      <c r="AO94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7" s="2" t="e">
        <f>VLOOKUP(Tableau119[[#This Row],[Key(POD -PFI- Usine)]],'DATA Consignee'!A:J,10,FALSE)</f>
        <v>#N/A</v>
      </c>
      <c r="AR947" s="50" t="e">
        <f>VLOOKUP(Tableau119[[#This Row],[Key(POD -PFI- Usine)]],'DATA Consignee'!A:N,14,FALSE)</f>
        <v>#N/A</v>
      </c>
      <c r="AS94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7" s="50">
        <f>Tableau119[[#This Row],[Transit time]]+Tableau119[[#This Row],[Time for security]]+Tableau119[[#This Row],[Time for security2 buffer]]</f>
        <v>0</v>
      </c>
      <c r="AV94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7" s="50" t="e">
        <f>Tableau119[[#This Row],[Leadtime SI2C]]+Tableau119[[#This Row],[First Receipt Days]]-Tableau119[[#This Row],[Day Customer Order]]+1</f>
        <v>#N/A</v>
      </c>
      <c r="AX947" s="119" t="e">
        <f>IF(Tableau119[[#This Row],[Name ILN]]&lt;&gt;"SFK Freight Forwarder",Tableau119[[#This Row],[Cust. Leadtime]],Tableau119[[#This Row],[Leadtime SI2C]])</f>
        <v>#N/A</v>
      </c>
      <c r="AY947" s="51" t="b">
        <f>_xlfn.XLOOKUP(Tableau119[[#This Row],[Key(ID-date)]],'DATA BTO'!S:S,'DATA BTO'!P:P,FALSE)</f>
        <v>0</v>
      </c>
      <c r="AZ947" s="338">
        <v>46142</v>
      </c>
      <c r="BA947" s="50"/>
    </row>
    <row r="948" spans="2:53">
      <c r="B948" s="446" t="str">
        <f>_xlfn.CONCAT(Tableau119[[#This Row],[Name ILN]],"-",Tableau119[[#This Row],[Name Shipper]],"-",Tableau119[[#This Row],[Name Site]])</f>
        <v>SFK Freight Forwarder-Jatco Japon-CLEON</v>
      </c>
      <c r="C948" s="66" t="str">
        <f>_xlfn.CONCAT(Tableau119[[#This Row],[Compte ILN]],"-",Tableau119[[#This Row],[Compte Shipper]],"-",Tableau119[[#This Row],[POL]],"-",Tableau119[[#This Row],[Compte Consignee]])</f>
        <v>0-119640-JPSMZ-92000100</v>
      </c>
      <c r="D948" s="66" t="str">
        <f>_xlfn.CONCAT(Tableau119[[#This Row],[Compte ILN]],"-",Tableau119[[#This Row],[Compte Shipper]],"-",Tableau119[[#This Row],[POL]])</f>
        <v>0-119640-JPSMZ</v>
      </c>
      <c r="E948" s="130" t="str">
        <f>_xlfn.CONCAT(Tableau119[[#This Row],[POL]],"-",Tableau119[[#This Row],[Carrier]],"-",Tableau119[[#This Row],[POD]])</f>
        <v>JPSMZ-ONE-FRLEH</v>
      </c>
      <c r="F948" s="66" t="str">
        <f>_xlfn.CONCAT(Tableau119[[#This Row],[ID]],"-","Actif")</f>
        <v>1030-Actif</v>
      </c>
      <c r="G948" s="66" t="str">
        <f>_xlfn.CONCAT(Tableau119[[#This Row],[POD]],"-",Tableau119[[#This Row],[Code PFI]],"-",Tableau119[[#This Row],[Compte Consignee]])</f>
        <v>FRLEH---92000100</v>
      </c>
      <c r="H94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119640JPSMZCLEON</v>
      </c>
      <c r="I948" s="434" t="str">
        <f>_xlfn.CONCAT(Tableau119[[#This Row],[ID]],"-",Tableau119[[#This Row],[Expiration Date]])</f>
        <v>1030-46142</v>
      </c>
      <c r="J94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CLEON-SFK Freight Forwarder-Jatco Japon-1030-JPSMZ-ONE-FRLEH--46142</v>
      </c>
      <c r="K948" s="119" t="str">
        <f ca="1">IF(COUNTIF(J:J,Tableau119[[#This Row],[Plant-ILN-shipper-POL-Carrier-POD-PFI]])=1,"Non","Oui")</f>
        <v>Non</v>
      </c>
      <c r="L948" s="128" t="str">
        <f>VLOOKUP(Tableau119[[#This Row],[Name Site]],Plant_AILN!A:D,4,FALSE)</f>
        <v>FRANCE</v>
      </c>
      <c r="M948" s="415" t="s">
        <v>183</v>
      </c>
      <c r="N948" s="455">
        <f>VLOOKUP(Tableau119[[#This Row],[Name Site]],Plant_AILN!A:C,3,FALSE)</f>
        <v>92000100</v>
      </c>
      <c r="O948" s="104">
        <f>VLOOKUP(Tableau119[[#This Row],[Compte Consignee]],Order!C:D,2,FALSE)</f>
        <v>7</v>
      </c>
      <c r="P948" s="126" t="s">
        <v>146</v>
      </c>
      <c r="Q948" s="366">
        <f>VLOOKUP(Tableau119[[#This Row],[Name ILN]],Plant_AILN!F:G,2,FALSE)</f>
        <v>0</v>
      </c>
      <c r="R948" s="81">
        <f>VLOOKUP(Tableau119[[#This Row],[Compte ILN]],'DATA ILN'!D:I,6,FALSE)</f>
        <v>9</v>
      </c>
      <c r="S948" s="81">
        <f>IFERROR(VLOOKUP(Tableau119[[#This Row],[Key(Compte ILN - shipper - POL - plant)]],'DATA ILN'!A:J,10,FALSE),VLOOKUP(Tableau119[[#This Row],[Key(Compte ILN - shipper - POL)]],'DATA ILN'!B:J,9,FALSE))</f>
        <v>14</v>
      </c>
      <c r="T948" s="81">
        <f>IFERROR(VLOOKUP(Tableau119[[#This Row],[Key(Compte ILN - shipper - POL - plant)]],'DATA ILN'!A:K,11,FALSE),VLOOKUP(Tableau119[[#This Row],[Key(Compte ILN - shipper - POL)]],'DATA ILN'!B:K,10,FALSE))</f>
        <v>5</v>
      </c>
      <c r="U948" s="81">
        <f>IFERROR(VLOOKUP(Tableau119[[#This Row],[Key(Compte ILN - shipper - POL - plant)]],'DATA ILN'!A:L,12,FALSE),VLOOKUP(Tableau119[[#This Row],[Key(Compte ILN - shipper - POL)]],'DATA ILN'!B:L,11,FALSE))</f>
        <v>7</v>
      </c>
      <c r="V948" s="81">
        <f>Tableau119[[#This Row],[Day ILN Order]]+Tableau119[[#This Row],[Delivery time to ILN/Shipper]]-1</f>
        <v>22</v>
      </c>
      <c r="W948" s="81">
        <f>IFERROR(VLOOKUP(Tableau119[[#This Row],[Key(Compte ILN - shipper - POL - plant)]],'DATA ILN'!A:N,14,FALSE),VLOOKUP(Tableau119[[#This Row],[Key(Compte ILN - shipper - POL)]],'DATA ILN'!B:N,13,FALSE))</f>
        <v>1</v>
      </c>
      <c r="X948" s="81">
        <f>IFERROR(VLOOKUP(Tableau119[[#This Row],[Key(Compte ILN - shipper - POL - plant)]],'DATA ILN'!A:P,16,FALSE),VLOOKUP(Tableau119[[#This Row],[Key(Compte ILN - shipper - POL)]],'DATA ILN'!B:P,15,FALSE))</f>
        <v>3</v>
      </c>
      <c r="Y948" s="102" t="s">
        <v>178</v>
      </c>
      <c r="Z948" s="417">
        <f>IFERROR(VLOOKUP(Tableau119[[#This Row],[Name Shipper]],Plant_AILN!L:M,2,FALSE),0)</f>
        <v>119640</v>
      </c>
      <c r="AA948" s="416">
        <v>1030</v>
      </c>
      <c r="AB948" s="396" t="str">
        <f>_xlfn.XLOOKUP(Tableau119[[#This Row],[Key(ID-date)]],'DATA BTO'!S:S,'DATA BTO'!E:E,FALSE)</f>
        <v>JPSMZ</v>
      </c>
      <c r="AC948" s="3" t="str">
        <f>_xlfn.XLOOKUP(Tableau119[[#This Row],[Key(ID-date)]],'DATA BTO'!S:S,'DATA BTO'!F:F,FALSE)</f>
        <v>ONE</v>
      </c>
      <c r="AD948" s="50">
        <f>_xlfn.XLOOKUP(Tableau119[[#This Row],[Key(ID-date)]],'DATA BTO'!S:S,'DATA BTO'!G:G,FALSE)</f>
        <v>2</v>
      </c>
      <c r="AE948" s="50">
        <f>_xlfn.XLOOKUP(Tableau119[[#This Row],[Key(ID-date)]],'DATA BTO'!S:S,'DATA BTO'!H:H,FALSE)</f>
        <v>5</v>
      </c>
      <c r="AF948" s="447">
        <f>IF(Tableau119[[#This Row],[First Day to POL]]&lt;=Tableau119[[#This Row],[Day Cut Off]],Tableau119[[#This Row],[Day ETD]],Tableau119[[#This Row],[Day ETD]]+7)</f>
        <v>12</v>
      </c>
      <c r="AG948" s="50">
        <f>_xlfn.XLOOKUP(Tableau119[[#This Row],[Key(ID-date)]],'DATA BTO'!S:S,'DATA BTO'!I:I,FALSE)</f>
        <v>51</v>
      </c>
      <c r="AH948" s="3" t="str">
        <f>_xlfn.XLOOKUP(Tableau119[[#This Row],[Key(ID-date)]],'DATA BTO'!S:S,'DATA BTO'!J:J,FALSE)</f>
        <v>FRLEH</v>
      </c>
      <c r="AI948" s="3">
        <f>_xlfn.XLOOKUP(Tableau119[[#This Row],[Key(ID-date)]],'DATA BTO'!S:S,'DATA BTO'!K:K,FALSE)</f>
        <v>3</v>
      </c>
      <c r="AJ948" s="50">
        <f>_xlfn.XLOOKUP(Tableau119[[#This Row],[Key(ID-date)]],'DATA BTO'!S:S,'DATA BTO'!L:L,FALSE)</f>
        <v>0</v>
      </c>
      <c r="AK948" s="53" t="str">
        <f>_xlfn.XLOOKUP(Tableau119[[#This Row],[Key(ID-date)]],'DATA BTO'!S:S,'DATA BTO'!N:N,FALSE)</f>
        <v>Max</v>
      </c>
      <c r="AL948" s="54">
        <f>VLOOKUP(Tableau119[[#This Row],[Key(POD -PFI- Usine)]],'DATA Consignee'!A:F,6,FALSE)</f>
        <v>3</v>
      </c>
      <c r="AM948" s="102"/>
      <c r="AN948" s="375" t="str">
        <f>IF(Tableau119[[#This Row],[Name PFI/CDD]]="","-",VLOOKUP(Tableau119[[#This Row],[Name PFI/CDD]],Plant_AILN!I:J,2,FALSE))</f>
        <v>-</v>
      </c>
      <c r="AO94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8" s="110">
        <f>VLOOKUP(Tableau119[[#This Row],[Key(POD -PFI- Usine)]],'DATA Consignee'!A:J,10,FALSE)</f>
        <v>0</v>
      </c>
      <c r="AR948" s="81">
        <f>VLOOKUP(Tableau119[[#This Row],[Key(POD -PFI- Usine)]],'DATA Consignee'!A:N,14,FALSE)</f>
        <v>8</v>
      </c>
      <c r="AS94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4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948" s="81">
        <f>Tableau119[[#This Row],[Transit time]]+Tableau119[[#This Row],[Time for security]]+Tableau119[[#This Row],[Time for security2 buffer]]</f>
        <v>54</v>
      </c>
      <c r="AV94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48" s="50">
        <f>Tableau119[[#This Row],[Leadtime SI2C]]+Tableau119[[#This Row],[First Receipt Days]]-Tableau119[[#This Row],[Day Customer Order]]+1</f>
        <v>99</v>
      </c>
      <c r="AX948" s="119">
        <f>IF(Tableau119[[#This Row],[Name ILN]]&lt;&gt;"SFK Freight Forwarder",Tableau119[[#This Row],[Cust. Leadtime]],Tableau119[[#This Row],[Leadtime SI2C]])</f>
        <v>83</v>
      </c>
      <c r="AY948" s="51" t="str">
        <f>_xlfn.XLOOKUP(Tableau119[[#This Row],[Key(ID-date)]],'DATA BTO'!S:S,'DATA BTO'!P:P,FALSE)</f>
        <v>Horse &gt; Renault BPH (MLP)</v>
      </c>
      <c r="AZ948" s="388">
        <v>46142</v>
      </c>
      <c r="BA948" s="81"/>
    </row>
    <row r="949" spans="2:53">
      <c r="B949" s="446" t="str">
        <f>_xlfn.CONCAT(Tableau119[[#This Row],[Name ILN]],"-",Tableau119[[#This Row],[Name Shipper]],"-",Tableau119[[#This Row],[Name Site]])</f>
        <v>SFK Freight Forwarder-NISSAN KANAGAWA -SEVILLA</v>
      </c>
      <c r="C949" s="66" t="str">
        <f>_xlfn.CONCAT(Tableau119[[#This Row],[Compte ILN]],"-",Tableau119[[#This Row],[Compte Shipper]],"-",Tableau119[[#This Row],[POL]],"-",Tableau119[[#This Row],[Compte Consignee]])</f>
        <v>0-2915910-FALSO-91017500</v>
      </c>
      <c r="D949" s="66" t="str">
        <f>_xlfn.CONCAT(Tableau119[[#This Row],[Compte ILN]],"-",Tableau119[[#This Row],[Compte Shipper]],"-",Tableau119[[#This Row],[POL]])</f>
        <v>0-2915910-FALSO</v>
      </c>
      <c r="E949" s="130" t="str">
        <f>_xlfn.CONCAT(Tableau119[[#This Row],[POL]],"-",Tableau119[[#This Row],[Carrier]],"-",Tableau119[[#This Row],[POD]])</f>
        <v>FALSO-FALSO-FALSO</v>
      </c>
      <c r="F949" s="66" t="str">
        <f>_xlfn.CONCAT(Tableau119[[#This Row],[ID]],"-","Actif")</f>
        <v>1032-Actif</v>
      </c>
      <c r="G949" s="66" t="str">
        <f>_xlfn.CONCAT(Tableau119[[#This Row],[POD]],"-",Tableau119[[#This Row],[Code PFI]],"-",Tableau119[[#This Row],[Compte Consignee]])</f>
        <v>FALSO---91017500</v>
      </c>
      <c r="H94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2915910FALSOSEVILLA</v>
      </c>
      <c r="I949" s="434" t="str">
        <f>_xlfn.CONCAT(Tableau119[[#This Row],[ID]],"-",Tableau119[[#This Row],[Expiration Date]])</f>
        <v>1032-46142</v>
      </c>
      <c r="J94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SEVILLA-SFK Freight Forwarder-NISSAN KANAGAWA -1032-FALSO-FALSO-FALSO--46142</v>
      </c>
      <c r="K949" s="119" t="str">
        <f ca="1">IF(COUNTIF(J:J,Tableau119[[#This Row],[Plant-ILN-shipper-POL-Carrier-POD-PFI]])=1,"Non","Oui")</f>
        <v>Non</v>
      </c>
      <c r="L949" s="128" t="str">
        <f>VLOOKUP(Tableau119[[#This Row],[Name Site]],Plant_AILN!A:D,4,FALSE)</f>
        <v>SPAIN</v>
      </c>
      <c r="M949" s="411" t="s">
        <v>172</v>
      </c>
      <c r="N949" s="454">
        <f>VLOOKUP(Tableau119[[#This Row],[Name Site]],Plant_AILN!A:C,3,FALSE)</f>
        <v>91017500</v>
      </c>
      <c r="O949" s="55">
        <f>IF(Tableau119[[#This Row],[Name PFI/CDD]]="PFI VLL",2,VLOOKUP(Tableau119[[#This Row],[Compte Consignee]],Order!C:D,2,FALSE))</f>
        <v>7</v>
      </c>
      <c r="P949" s="124" t="s">
        <v>146</v>
      </c>
      <c r="Q949" s="365">
        <f>VLOOKUP(Tableau119[[#This Row],[Name ILN]],Plant_AILN!F:G,2,FALSE)</f>
        <v>0</v>
      </c>
      <c r="R949" s="50">
        <f>VLOOKUP(Tableau119[[#This Row],[Compte ILN]],'DATA ILN'!D:I,6,FALSE)</f>
        <v>9</v>
      </c>
      <c r="S949" s="50" t="e">
        <f>IFERROR(VLOOKUP(Tableau119[[#This Row],[Key(Compte ILN - shipper - POL - plant)]],'DATA ILN'!A:J,10,FALSE),VLOOKUP(Tableau119[[#This Row],[Key(Compte ILN - shipper - POL)]],'DATA ILN'!B:J,9,FALSE))</f>
        <v>#N/A</v>
      </c>
      <c r="T949" s="50" t="e">
        <f>IFERROR(VLOOKUP(Tableau119[[#This Row],[Key(Compte ILN - shipper - POL - plant)]],'DATA ILN'!A:K,11,FALSE),VLOOKUP(Tableau119[[#This Row],[Key(Compte ILN - shipper - POL)]],'DATA ILN'!B:K,10,FALSE))</f>
        <v>#N/A</v>
      </c>
      <c r="U949" s="50" t="e">
        <f>IFERROR(VLOOKUP(Tableau119[[#This Row],[Key(Compte ILN - shipper - POL - plant)]],'DATA ILN'!A:L,12,FALSE),VLOOKUP(Tableau119[[#This Row],[Key(Compte ILN - shipper - POL)]],'DATA ILN'!B:L,11,FALSE))</f>
        <v>#N/A</v>
      </c>
      <c r="V949" s="50" t="e">
        <f>Tableau119[[#This Row],[Day ILN Order]]+Tableau119[[#This Row],[Delivery time to ILN/Shipper]]-1</f>
        <v>#N/A</v>
      </c>
      <c r="W949" s="50" t="e">
        <f>IFERROR(VLOOKUP(Tableau119[[#This Row],[Key(Compte ILN - shipper - POL - plant)]],'DATA ILN'!A:N,14,FALSE),VLOOKUP(Tableau119[[#This Row],[Key(Compte ILN - shipper - POL)]],'DATA ILN'!B:N,13,FALSE))</f>
        <v>#N/A</v>
      </c>
      <c r="X949" s="50" t="e">
        <f>IFERROR(VLOOKUP(Tableau119[[#This Row],[Key(Compte ILN - shipper - POL - plant)]],'DATA ILN'!A:P,16,FALSE),VLOOKUP(Tableau119[[#This Row],[Key(Compte ILN - shipper - POL)]],'DATA ILN'!B:P,15,FALSE))</f>
        <v>#N/A</v>
      </c>
      <c r="Y949" s="284" t="s">
        <v>460</v>
      </c>
      <c r="Z949" s="430">
        <f>IFERROR(VLOOKUP(Tableau119[[#This Row],[Name Shipper]],Plant_AILN!L:M,2,FALSE),0)</f>
        <v>2915910</v>
      </c>
      <c r="AA949" s="406">
        <v>1032</v>
      </c>
      <c r="AB949" s="396" t="b">
        <f>_xlfn.XLOOKUP(Tableau119[[#This Row],[Key(ID-date)]],'DATA BTO'!S:S,'DATA BTO'!E:E,FALSE)</f>
        <v>0</v>
      </c>
      <c r="AC949" s="3" t="b">
        <f>_xlfn.XLOOKUP(Tableau119[[#This Row],[Key(ID-date)]],'DATA BTO'!S:S,'DATA BTO'!F:F,FALSE)</f>
        <v>0</v>
      </c>
      <c r="AD949" s="50" t="b">
        <f>_xlfn.XLOOKUP(Tableau119[[#This Row],[Key(ID-date)]],'DATA BTO'!S:S,'DATA BTO'!G:G,FALSE)</f>
        <v>0</v>
      </c>
      <c r="AE949" s="50" t="b">
        <f>_xlfn.XLOOKUP(Tableau119[[#This Row],[Key(ID-date)]],'DATA BTO'!S:S,'DATA BTO'!H:H,FALSE)</f>
        <v>0</v>
      </c>
      <c r="AF949" s="447" t="e">
        <f>IF(Tableau119[[#This Row],[First Day to POL]]&lt;=Tableau119[[#This Row],[Day Cut Off]],Tableau119[[#This Row],[Day ETD]],Tableau119[[#This Row],[Day ETD]]+7)</f>
        <v>#N/A</v>
      </c>
      <c r="AG949" s="50" t="b">
        <f>_xlfn.XLOOKUP(Tableau119[[#This Row],[Key(ID-date)]],'DATA BTO'!S:S,'DATA BTO'!I:I,FALSE)</f>
        <v>0</v>
      </c>
      <c r="AH949" s="3" t="b">
        <f>_xlfn.XLOOKUP(Tableau119[[#This Row],[Key(ID-date)]],'DATA BTO'!S:S,'DATA BTO'!J:J,FALSE)</f>
        <v>0</v>
      </c>
      <c r="AI949" s="3" t="b">
        <f>_xlfn.XLOOKUP(Tableau119[[#This Row],[Key(ID-date)]],'DATA BTO'!S:S,'DATA BTO'!K:K,FALSE)</f>
        <v>0</v>
      </c>
      <c r="AJ949" s="50" t="b">
        <f>_xlfn.XLOOKUP(Tableau119[[#This Row],[Key(ID-date)]],'DATA BTO'!S:S,'DATA BTO'!L:L,FALSE)</f>
        <v>0</v>
      </c>
      <c r="AK949" s="53" t="b">
        <f>_xlfn.XLOOKUP(Tableau119[[#This Row],[Key(ID-date)]],'DATA BTO'!S:S,'DATA BTO'!N:N,FALSE)</f>
        <v>0</v>
      </c>
      <c r="AL949" s="54" t="e">
        <f>VLOOKUP(Tableau119[[#This Row],[Key(POD -PFI- Usine)]],'DATA Consignee'!A:F,6,FALSE)</f>
        <v>#N/A</v>
      </c>
      <c r="AM949" s="138"/>
      <c r="AN949" s="376" t="str">
        <f>IF(Tableau119[[#This Row],[Name PFI/CDD]]="","-",VLOOKUP(Tableau119[[#This Row],[Name PFI/CDD]],Plant_AILN!I:J,2,FALSE))</f>
        <v>-</v>
      </c>
      <c r="AO94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4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49" s="2" t="e">
        <f>VLOOKUP(Tableau119[[#This Row],[Key(POD -PFI- Usine)]],'DATA Consignee'!A:J,10,FALSE)</f>
        <v>#N/A</v>
      </c>
      <c r="AR949" s="50" t="e">
        <f>VLOOKUP(Tableau119[[#This Row],[Key(POD -PFI- Usine)]],'DATA Consignee'!A:N,14,FALSE)</f>
        <v>#N/A</v>
      </c>
      <c r="AS94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4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49" s="50">
        <f>Tableau119[[#This Row],[Transit time]]+Tableau119[[#This Row],[Time for security]]+Tableau119[[#This Row],[Time for security2 buffer]]</f>
        <v>0</v>
      </c>
      <c r="AV94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49" s="50" t="e">
        <f>Tableau119[[#This Row],[Leadtime SI2C]]+Tableau119[[#This Row],[First Receipt Days]]-Tableau119[[#This Row],[Day Customer Order]]+1</f>
        <v>#N/A</v>
      </c>
      <c r="AX949" s="119" t="e">
        <f>IF(Tableau119[[#This Row],[Name ILN]]&lt;&gt;"SFK Freight Forwarder",Tableau119[[#This Row],[Cust. Leadtime]],Tableau119[[#This Row],[Leadtime SI2C]])</f>
        <v>#N/A</v>
      </c>
      <c r="AY949" s="51" t="b">
        <f>_xlfn.XLOOKUP(Tableau119[[#This Row],[Key(ID-date)]],'DATA BTO'!S:S,'DATA BTO'!P:P,FALSE)</f>
        <v>0</v>
      </c>
      <c r="AZ949" s="338">
        <v>46142</v>
      </c>
      <c r="BA949" s="50"/>
    </row>
    <row r="950" spans="2:53">
      <c r="B950" s="446" t="str">
        <f>_xlfn.CONCAT(Tableau119[[#This Row],[Name ILN]],"-",Tableau119[[#This Row],[Name Shipper]],"-",Tableau119[[#This Row],[Name Site]])</f>
        <v>SFK Freight Forwarder-NISSAN KANAGAWA -CLEON AMPERE</v>
      </c>
      <c r="C950" s="66" t="str">
        <f>_xlfn.CONCAT(Tableau119[[#This Row],[Compte ILN]],"-",Tableau119[[#This Row],[Compte Shipper]],"-",Tableau119[[#This Row],[POL]],"-",Tableau119[[#This Row],[Compte Consignee]])</f>
        <v>0-2915910-FALSO-90016100</v>
      </c>
      <c r="D950" s="66" t="str">
        <f>_xlfn.CONCAT(Tableau119[[#This Row],[Compte ILN]],"-",Tableau119[[#This Row],[Compte Shipper]],"-",Tableau119[[#This Row],[POL]])</f>
        <v>0-2915910-FALSO</v>
      </c>
      <c r="E950" s="130" t="str">
        <f>_xlfn.CONCAT(Tableau119[[#This Row],[POL]],"-",Tableau119[[#This Row],[Carrier]],"-",Tableau119[[#This Row],[POD]])</f>
        <v>FALSO-FALSO-FALSO</v>
      </c>
      <c r="F950" s="66" t="str">
        <f>_xlfn.CONCAT(Tableau119[[#This Row],[ID]],"-","Actif")</f>
        <v>1033-Actif</v>
      </c>
      <c r="G950" s="66" t="str">
        <f>_xlfn.CONCAT(Tableau119[[#This Row],[POD]],"-",Tableau119[[#This Row],[Code PFI]],"-",Tableau119[[#This Row],[Compte Consignee]])</f>
        <v>FALSO---90016100</v>
      </c>
      <c r="H95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2915910FALSOCLEON AMPERE</v>
      </c>
      <c r="I950" s="434" t="str">
        <f>_xlfn.CONCAT(Tableau119[[#This Row],[ID]],"-",Tableau119[[#This Row],[Expiration Date]])</f>
        <v>1033-46142</v>
      </c>
      <c r="J95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 AMPERE-SFK Freight Forwarder-NISSAN KANAGAWA -1033-FALSO-FALSO-FALSO--46142</v>
      </c>
      <c r="K950" s="119" t="str">
        <f ca="1">IF(COUNTIF(J:J,Tableau119[[#This Row],[Plant-ILN-shipper-POL-Carrier-POD-PFI]])=1,"Non","Oui")</f>
        <v>Non</v>
      </c>
      <c r="L950" s="128" t="str">
        <f>VLOOKUP(Tableau119[[#This Row],[Name Site]],Plant_AILN!A:D,4,FALSE)</f>
        <v>FRANCE</v>
      </c>
      <c r="M950" s="415" t="s">
        <v>237</v>
      </c>
      <c r="N950" s="455">
        <f>VLOOKUP(Tableau119[[#This Row],[Name Site]],Plant_AILN!A:C,3,FALSE)</f>
        <v>90016100</v>
      </c>
      <c r="O950" s="104">
        <f>IF(Tableau119[[#This Row],[Name PFI/CDD]]="PFI VLL",2,VLOOKUP(Tableau119[[#This Row],[Compte Consignee]],Order!C:D,2,FALSE))</f>
        <v>2</v>
      </c>
      <c r="P950" s="126" t="s">
        <v>146</v>
      </c>
      <c r="Q950" s="366">
        <f>VLOOKUP(Tableau119[[#This Row],[Name ILN]],Plant_AILN!F:G,2,FALSE)</f>
        <v>0</v>
      </c>
      <c r="R950" s="81">
        <f>VLOOKUP(Tableau119[[#This Row],[Compte ILN]],'DATA ILN'!D:I,6,FALSE)</f>
        <v>9</v>
      </c>
      <c r="S950" s="81" t="e">
        <f>IFERROR(VLOOKUP(Tableau119[[#This Row],[Key(Compte ILN - shipper - POL - plant)]],'DATA ILN'!A:J,10,FALSE),VLOOKUP(Tableau119[[#This Row],[Key(Compte ILN - shipper - POL)]],'DATA ILN'!B:J,9,FALSE))</f>
        <v>#N/A</v>
      </c>
      <c r="T950" s="81" t="e">
        <f>IFERROR(VLOOKUP(Tableau119[[#This Row],[Key(Compte ILN - shipper - POL - plant)]],'DATA ILN'!A:K,11,FALSE),VLOOKUP(Tableau119[[#This Row],[Key(Compte ILN - shipper - POL)]],'DATA ILN'!B:K,10,FALSE))</f>
        <v>#N/A</v>
      </c>
      <c r="U950" s="81" t="e">
        <f>IFERROR(VLOOKUP(Tableau119[[#This Row],[Key(Compte ILN - shipper - POL - plant)]],'DATA ILN'!A:L,12,FALSE),VLOOKUP(Tableau119[[#This Row],[Key(Compte ILN - shipper - POL)]],'DATA ILN'!B:L,11,FALSE))</f>
        <v>#N/A</v>
      </c>
      <c r="V950" s="81" t="e">
        <f>Tableau119[[#This Row],[Day ILN Order]]+Tableau119[[#This Row],[Delivery time to ILN/Shipper]]-1</f>
        <v>#N/A</v>
      </c>
      <c r="W950" s="81" t="e">
        <f>IFERROR(VLOOKUP(Tableau119[[#This Row],[Key(Compte ILN - shipper - POL - plant)]],'DATA ILN'!A:N,14,FALSE),VLOOKUP(Tableau119[[#This Row],[Key(Compte ILN - shipper - POL)]],'DATA ILN'!B:N,13,FALSE))</f>
        <v>#N/A</v>
      </c>
      <c r="X950" s="81" t="e">
        <f>IFERROR(VLOOKUP(Tableau119[[#This Row],[Key(Compte ILN - shipper - POL - plant)]],'DATA ILN'!A:P,16,FALSE),VLOOKUP(Tableau119[[#This Row],[Key(Compte ILN - shipper - POL)]],'DATA ILN'!B:P,15,FALSE))</f>
        <v>#N/A</v>
      </c>
      <c r="Y950" s="102" t="s">
        <v>460</v>
      </c>
      <c r="Z950" s="417">
        <f>IFERROR(VLOOKUP(Tableau119[[#This Row],[Name Shipper]],Plant_AILN!L:M,2,FALSE),0)</f>
        <v>2915910</v>
      </c>
      <c r="AA950" s="416">
        <v>1033</v>
      </c>
      <c r="AB950" s="396" t="b">
        <f>_xlfn.XLOOKUP(Tableau119[[#This Row],[Key(ID-date)]],'DATA BTO'!S:S,'DATA BTO'!E:E,FALSE)</f>
        <v>0</v>
      </c>
      <c r="AC950" s="3" t="b">
        <f>_xlfn.XLOOKUP(Tableau119[[#This Row],[Key(ID-date)]],'DATA BTO'!S:S,'DATA BTO'!F:F,FALSE)</f>
        <v>0</v>
      </c>
      <c r="AD950" s="50" t="b">
        <f>_xlfn.XLOOKUP(Tableau119[[#This Row],[Key(ID-date)]],'DATA BTO'!S:S,'DATA BTO'!G:G,FALSE)</f>
        <v>0</v>
      </c>
      <c r="AE950" s="50" t="b">
        <f>_xlfn.XLOOKUP(Tableau119[[#This Row],[Key(ID-date)]],'DATA BTO'!S:S,'DATA BTO'!H:H,FALSE)</f>
        <v>0</v>
      </c>
      <c r="AF950" s="447" t="e">
        <f>IF(Tableau119[[#This Row],[First Day to POL]]&lt;=Tableau119[[#This Row],[Day Cut Off]],Tableau119[[#This Row],[Day ETD]],Tableau119[[#This Row],[Day ETD]]+7)</f>
        <v>#N/A</v>
      </c>
      <c r="AG950" s="50" t="b">
        <f>_xlfn.XLOOKUP(Tableau119[[#This Row],[Key(ID-date)]],'DATA BTO'!S:S,'DATA BTO'!I:I,FALSE)</f>
        <v>0</v>
      </c>
      <c r="AH950" s="3" t="b">
        <f>_xlfn.XLOOKUP(Tableau119[[#This Row],[Key(ID-date)]],'DATA BTO'!S:S,'DATA BTO'!J:J,FALSE)</f>
        <v>0</v>
      </c>
      <c r="AI950" s="3" t="b">
        <f>_xlfn.XLOOKUP(Tableau119[[#This Row],[Key(ID-date)]],'DATA BTO'!S:S,'DATA BTO'!K:K,FALSE)</f>
        <v>0</v>
      </c>
      <c r="AJ950" s="50" t="b">
        <f>_xlfn.XLOOKUP(Tableau119[[#This Row],[Key(ID-date)]],'DATA BTO'!S:S,'DATA BTO'!L:L,FALSE)</f>
        <v>0</v>
      </c>
      <c r="AK950" s="53" t="b">
        <f>_xlfn.XLOOKUP(Tableau119[[#This Row],[Key(ID-date)]],'DATA BTO'!S:S,'DATA BTO'!N:N,FALSE)</f>
        <v>0</v>
      </c>
      <c r="AL950" s="54" t="e">
        <f>VLOOKUP(Tableau119[[#This Row],[Key(POD -PFI- Usine)]],'DATA Consignee'!A:F,6,FALSE)</f>
        <v>#N/A</v>
      </c>
      <c r="AM950" s="138"/>
      <c r="AN950" s="375" t="str">
        <f>IF(Tableau119[[#This Row],[Name PFI/CDD]]="","-",VLOOKUP(Tableau119[[#This Row],[Name PFI/CDD]],Plant_AILN!I:J,2,FALSE))</f>
        <v>-</v>
      </c>
      <c r="AO95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0" s="110" t="e">
        <f>VLOOKUP(Tableau119[[#This Row],[Key(POD -PFI- Usine)]],'DATA Consignee'!A:J,10,FALSE)</f>
        <v>#N/A</v>
      </c>
      <c r="AR950" s="81" t="e">
        <f>VLOOKUP(Tableau119[[#This Row],[Key(POD -PFI- Usine)]],'DATA Consignee'!A:N,14,FALSE)</f>
        <v>#N/A</v>
      </c>
      <c r="AS95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5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50" s="81">
        <f>Tableau119[[#This Row],[Transit time]]+Tableau119[[#This Row],[Time for security]]+Tableau119[[#This Row],[Time for security2 buffer]]</f>
        <v>0</v>
      </c>
      <c r="AV95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50" s="50" t="e">
        <f>Tableau119[[#This Row],[Leadtime SI2C]]+Tableau119[[#This Row],[First Receipt Days]]-Tableau119[[#This Row],[Day Customer Order]]+1</f>
        <v>#N/A</v>
      </c>
      <c r="AX950" s="119" t="e">
        <f>IF(Tableau119[[#This Row],[Name ILN]]&lt;&gt;"SFK Freight Forwarder",Tableau119[[#This Row],[Cust. Leadtime]],Tableau119[[#This Row],[Leadtime SI2C]])</f>
        <v>#N/A</v>
      </c>
      <c r="AY950" s="51" t="b">
        <f>_xlfn.XLOOKUP(Tableau119[[#This Row],[Key(ID-date)]],'DATA BTO'!S:S,'DATA BTO'!P:P,FALSE)</f>
        <v>0</v>
      </c>
      <c r="AZ950" s="388">
        <v>46142</v>
      </c>
      <c r="BA950" s="81"/>
    </row>
    <row r="951" spans="2:53">
      <c r="B951" s="446" t="str">
        <f>_xlfn.CONCAT(Tableau119[[#This Row],[Name ILN]],"-",Tableau119[[#This Row],[Name Shipper]],"-",Tableau119[[#This Row],[Name Site]])</f>
        <v>SFK Freight Forwarder-NISSAN KANAGAWA -CLEON AMPERE</v>
      </c>
      <c r="C951" s="66" t="str">
        <f>_xlfn.CONCAT(Tableau119[[#This Row],[Compte ILN]],"-",Tableau119[[#This Row],[Compte Shipper]],"-",Tableau119[[#This Row],[POL]],"-",Tableau119[[#This Row],[Compte Consignee]])</f>
        <v>0-2915910-FALSO-90016100</v>
      </c>
      <c r="D951" s="66" t="str">
        <f>_xlfn.CONCAT(Tableau119[[#This Row],[Compte ILN]],"-",Tableau119[[#This Row],[Compte Shipper]],"-",Tableau119[[#This Row],[POL]])</f>
        <v>0-2915910-FALSO</v>
      </c>
      <c r="E951" s="130" t="str">
        <f>_xlfn.CONCAT(Tableau119[[#This Row],[POL]],"-",Tableau119[[#This Row],[Carrier]],"-",Tableau119[[#This Row],[POD]])</f>
        <v>FALSO-FALSO-FALSO</v>
      </c>
      <c r="F951" s="66" t="str">
        <f>_xlfn.CONCAT(Tableau119[[#This Row],[ID]],"-","Actif")</f>
        <v>1033-Actif</v>
      </c>
      <c r="G951" s="66" t="str">
        <f>_xlfn.CONCAT(Tableau119[[#This Row],[POD]],"-",Tableau119[[#This Row],[Code PFI]],"-",Tableau119[[#This Row],[Compte Consignee]])</f>
        <v>FALSO---90016100</v>
      </c>
      <c r="H95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2915910FALSOCLEON AMPERE</v>
      </c>
      <c r="I951" s="434" t="str">
        <f>_xlfn.CONCAT(Tableau119[[#This Row],[ID]],"-",Tableau119[[#This Row],[Expiration Date]])</f>
        <v>1033-45991</v>
      </c>
      <c r="J95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CLEON AMPERE-SFK Freight Forwarder-NISSAN KANAGAWA -1033-FALSO-FALSO-FALSO--45991</v>
      </c>
      <c r="K951" s="119" t="str">
        <f ca="1">IF(COUNTIF(J:J,Tableau119[[#This Row],[Plant-ILN-shipper-POL-Carrier-POD-PFI]])=1,"Non","Oui")</f>
        <v>Non</v>
      </c>
      <c r="L951" s="128" t="str">
        <f>VLOOKUP(Tableau119[[#This Row],[Name Site]],Plant_AILN!A:D,4,FALSE)</f>
        <v>FRANCE</v>
      </c>
      <c r="M951" s="411" t="s">
        <v>237</v>
      </c>
      <c r="N951" s="454">
        <f>VLOOKUP(Tableau119[[#This Row],[Name Site]],Plant_AILN!A:C,3,FALSE)</f>
        <v>90016100</v>
      </c>
      <c r="O951" s="55">
        <f>VLOOKUP(Tableau119[[#This Row],[Compte Consignee]],Order!C:D,2,FALSE)</f>
        <v>2</v>
      </c>
      <c r="P951" s="124" t="s">
        <v>146</v>
      </c>
      <c r="Q951" s="365">
        <f>VLOOKUP(Tableau119[[#This Row],[Name ILN]],Plant_AILN!F:G,2,FALSE)</f>
        <v>0</v>
      </c>
      <c r="R951" s="50">
        <f>VLOOKUP(Tableau119[[#This Row],[Compte ILN]],'DATA ILN'!D:I,6,FALSE)</f>
        <v>9</v>
      </c>
      <c r="S951" s="50" t="e">
        <f>IFERROR(VLOOKUP(Tableau119[[#This Row],[Key(Compte ILN - shipper - POL - plant)]],'DATA ILN'!A:J,10,FALSE),VLOOKUP(Tableau119[[#This Row],[Key(Compte ILN - shipper - POL)]],'DATA ILN'!B:J,9,FALSE))</f>
        <v>#N/A</v>
      </c>
      <c r="T951" s="50" t="e">
        <f>IFERROR(VLOOKUP(Tableau119[[#This Row],[Key(Compte ILN - shipper - POL - plant)]],'DATA ILN'!A:K,11,FALSE),VLOOKUP(Tableau119[[#This Row],[Key(Compte ILN - shipper - POL)]],'DATA ILN'!B:K,10,FALSE))</f>
        <v>#N/A</v>
      </c>
      <c r="U951" s="50" t="e">
        <f>IFERROR(VLOOKUP(Tableau119[[#This Row],[Key(Compte ILN - shipper - POL - plant)]],'DATA ILN'!A:L,12,FALSE),VLOOKUP(Tableau119[[#This Row],[Key(Compte ILN - shipper - POL)]],'DATA ILN'!B:L,11,FALSE))</f>
        <v>#N/A</v>
      </c>
      <c r="V951" s="50" t="e">
        <f>Tableau119[[#This Row],[Day ILN Order]]+Tableau119[[#This Row],[Delivery time to ILN/Shipper]]-1</f>
        <v>#N/A</v>
      </c>
      <c r="W951" s="50" t="e">
        <f>IFERROR(VLOOKUP(Tableau119[[#This Row],[Key(Compte ILN - shipper - POL - plant)]],'DATA ILN'!A:N,14,FALSE),VLOOKUP(Tableau119[[#This Row],[Key(Compte ILN - shipper - POL)]],'DATA ILN'!B:N,13,FALSE))</f>
        <v>#N/A</v>
      </c>
      <c r="X951" s="50" t="e">
        <f>IFERROR(VLOOKUP(Tableau119[[#This Row],[Key(Compte ILN - shipper - POL - plant)]],'DATA ILN'!A:P,16,FALSE),VLOOKUP(Tableau119[[#This Row],[Key(Compte ILN - shipper - POL)]],'DATA ILN'!B:P,15,FALSE))</f>
        <v>#N/A</v>
      </c>
      <c r="Y951" s="284" t="s">
        <v>460</v>
      </c>
      <c r="Z951" s="430">
        <f>IFERROR(VLOOKUP(Tableau119[[#This Row],[Name Shipper]],Plant_AILN!L:M,2,FALSE),0)</f>
        <v>2915910</v>
      </c>
      <c r="AA951" s="406">
        <v>1033</v>
      </c>
      <c r="AB951" s="396" t="b">
        <f>_xlfn.XLOOKUP(Tableau119[[#This Row],[Key(ID-date)]],'DATA BTO'!S:S,'DATA BTO'!E:E,FALSE)</f>
        <v>0</v>
      </c>
      <c r="AC951" s="3" t="b">
        <f>_xlfn.XLOOKUP(Tableau119[[#This Row],[Key(ID-date)]],'DATA BTO'!S:S,'DATA BTO'!F:F,FALSE)</f>
        <v>0</v>
      </c>
      <c r="AD951" s="50" t="b">
        <f>_xlfn.XLOOKUP(Tableau119[[#This Row],[Key(ID-date)]],'DATA BTO'!S:S,'DATA BTO'!G:G,FALSE)</f>
        <v>0</v>
      </c>
      <c r="AE951" s="50" t="b">
        <f>_xlfn.XLOOKUP(Tableau119[[#This Row],[Key(ID-date)]],'DATA BTO'!S:S,'DATA BTO'!H:H,FALSE)</f>
        <v>0</v>
      </c>
      <c r="AF951" s="447" t="e">
        <f>IF(Tableau119[[#This Row],[First Day to POL]]&lt;=Tableau119[[#This Row],[Day Cut Off]],Tableau119[[#This Row],[Day ETD]],Tableau119[[#This Row],[Day ETD]]+7)</f>
        <v>#N/A</v>
      </c>
      <c r="AG951" s="50" t="b">
        <f>_xlfn.XLOOKUP(Tableau119[[#This Row],[Key(ID-date)]],'DATA BTO'!S:S,'DATA BTO'!I:I,FALSE)</f>
        <v>0</v>
      </c>
      <c r="AH951" s="3" t="b">
        <f>_xlfn.XLOOKUP(Tableau119[[#This Row],[Key(ID-date)]],'DATA BTO'!S:S,'DATA BTO'!J:J,FALSE)</f>
        <v>0</v>
      </c>
      <c r="AI951" s="3" t="b">
        <f>_xlfn.XLOOKUP(Tableau119[[#This Row],[Key(ID-date)]],'DATA BTO'!S:S,'DATA BTO'!K:K,FALSE)</f>
        <v>0</v>
      </c>
      <c r="AJ951" s="50" t="b">
        <f>_xlfn.XLOOKUP(Tableau119[[#This Row],[Key(ID-date)]],'DATA BTO'!S:S,'DATA BTO'!L:L,FALSE)</f>
        <v>0</v>
      </c>
      <c r="AK951" s="53" t="b">
        <f>_xlfn.XLOOKUP(Tableau119[[#This Row],[Key(ID-date)]],'DATA BTO'!S:S,'DATA BTO'!N:N,FALSE)</f>
        <v>0</v>
      </c>
      <c r="AL951" s="54" t="e">
        <f>VLOOKUP(Tableau119[[#This Row],[Key(POD -PFI- Usine)]],'DATA Consignee'!A:F,6,FALSE)</f>
        <v>#N/A</v>
      </c>
      <c r="AM951" s="138"/>
      <c r="AN951" s="376" t="str">
        <f>IF(Tableau119[[#This Row],[Name PFI/CDD]]="","-",VLOOKUP(Tableau119[[#This Row],[Name PFI/CDD]],Plant_AILN!I:J,2,FALSE))</f>
        <v>-</v>
      </c>
      <c r="AO95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1" s="2" t="e">
        <f>VLOOKUP(Tableau119[[#This Row],[Key(POD -PFI- Usine)]],'DATA Consignee'!A:J,10,FALSE)</f>
        <v>#N/A</v>
      </c>
      <c r="AR951" s="50" t="e">
        <f>VLOOKUP(Tableau119[[#This Row],[Key(POD -PFI- Usine)]],'DATA Consignee'!A:N,14,FALSE)</f>
        <v>#N/A</v>
      </c>
      <c r="AS95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5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51" s="50">
        <f>Tableau119[[#This Row],[Transit time]]+Tableau119[[#This Row],[Time for security]]+Tableau119[[#This Row],[Time for security2 buffer]]</f>
        <v>0</v>
      </c>
      <c r="AV95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51" s="50" t="e">
        <f>Tableau119[[#This Row],[Leadtime SI2C]]+Tableau119[[#This Row],[First Receipt Days]]-Tableau119[[#This Row],[Day Customer Order]]+1</f>
        <v>#N/A</v>
      </c>
      <c r="AX951" s="119" t="e">
        <f>IF(Tableau119[[#This Row],[Name ILN]]&lt;&gt;"SFK Freight Forwarder",Tableau119[[#This Row],[Cust. Leadtime]],Tableau119[[#This Row],[Leadtime SI2C]])</f>
        <v>#N/A</v>
      </c>
      <c r="AY951" s="51" t="b">
        <f>_xlfn.XLOOKUP(Tableau119[[#This Row],[Key(ID-date)]],'DATA BTO'!S:S,'DATA BTO'!P:P,FALSE)</f>
        <v>0</v>
      </c>
      <c r="AZ951" s="338">
        <v>45991</v>
      </c>
      <c r="BA951" s="50"/>
    </row>
    <row r="952" spans="2:53">
      <c r="B952" s="446" t="str">
        <f>_xlfn.CONCAT(Tableau119[[#This Row],[Name ILN]],"-",Tableau119[[#This Row],[Name Shipper]],"-",Tableau119[[#This Row],[Name Site]])</f>
        <v>SFK Freight Forwarder-Jatco Japon-VALL MONTAGE</v>
      </c>
      <c r="C952" s="66" t="str">
        <f>_xlfn.CONCAT(Tableau119[[#This Row],[Compte ILN]],"-",Tableau119[[#This Row],[Compte Shipper]],"-",Tableau119[[#This Row],[POL]],"-",Tableau119[[#This Row],[Compte Consignee]])</f>
        <v>0-119640-JPSMZ-91017300</v>
      </c>
      <c r="D952" s="66" t="str">
        <f>_xlfn.CONCAT(Tableau119[[#This Row],[Compte ILN]],"-",Tableau119[[#This Row],[Compte Shipper]],"-",Tableau119[[#This Row],[POL]])</f>
        <v>0-119640-JPSMZ</v>
      </c>
      <c r="E952" s="130" t="str">
        <f>_xlfn.CONCAT(Tableau119[[#This Row],[POL]],"-",Tableau119[[#This Row],[Carrier]],"-",Tableau119[[#This Row],[POD]])</f>
        <v>JPSMZ-CMA-CGM-ESVLC</v>
      </c>
      <c r="F952" s="66" t="str">
        <f>_xlfn.CONCAT(Tableau119[[#This Row],[ID]],"-","Actif")</f>
        <v>1034-Actif</v>
      </c>
      <c r="G952" s="66" t="str">
        <f>_xlfn.CONCAT(Tableau119[[#This Row],[POD]],"-",Tableau119[[#This Row],[Code PFI]],"-",Tableau119[[#This Row],[Compte Consignee]])</f>
        <v>ESVLC-91018400-91017300</v>
      </c>
      <c r="H95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119640JPSMZVALL MONTAGE</v>
      </c>
      <c r="I952" s="434" t="str">
        <f>_xlfn.CONCAT(Tableau119[[#This Row],[ID]],"-",Tableau119[[#This Row],[Expiration Date]])</f>
        <v>1034-46142</v>
      </c>
      <c r="J95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Forwarder-Jatco Japon-1034-JPSMZ-CMA-CGM-ESVLC-CDD VLL-46142</v>
      </c>
      <c r="K952" s="119" t="str">
        <f ca="1">IF(COUNTIF(J:J,Tableau119[[#This Row],[Plant-ILN-shipper-POL-Carrier-POD-PFI]])=1,"Non","Oui")</f>
        <v>Non</v>
      </c>
      <c r="L952" s="128" t="str">
        <f>VLOOKUP(Tableau119[[#This Row],[Name Site]],Plant_AILN!A:D,4,FALSE)</f>
        <v>SPAIN</v>
      </c>
      <c r="M952" s="415" t="s">
        <v>175</v>
      </c>
      <c r="N952" s="455">
        <f>VLOOKUP(Tableau119[[#This Row],[Name Site]],Plant_AILN!A:C,3,FALSE)</f>
        <v>91017300</v>
      </c>
      <c r="O952" s="104">
        <f>IF(Tableau119[[#This Row],[Name PFI/CDD]]="PFI VLL",2,VLOOKUP(Tableau119[[#This Row],[Compte Consignee]],Order!C:D,2,FALSE))</f>
        <v>7</v>
      </c>
      <c r="P952" s="126" t="s">
        <v>146</v>
      </c>
      <c r="Q952" s="366">
        <f>VLOOKUP(Tableau119[[#This Row],[Name ILN]],Plant_AILN!F:G,2,FALSE)</f>
        <v>0</v>
      </c>
      <c r="R952" s="81">
        <f>VLOOKUP(Tableau119[[#This Row],[Compte ILN]],'DATA ILN'!D:I,6,FALSE)</f>
        <v>9</v>
      </c>
      <c r="S952" s="81">
        <f>IFERROR(VLOOKUP(Tableau119[[#This Row],[Key(Compte ILN - shipper - POL - plant)]],'DATA ILN'!A:J,10,FALSE),VLOOKUP(Tableau119[[#This Row],[Key(Compte ILN - shipper - POL)]],'DATA ILN'!B:J,9,FALSE))</f>
        <v>14</v>
      </c>
      <c r="T952" s="81">
        <f>IFERROR(VLOOKUP(Tableau119[[#This Row],[Key(Compte ILN - shipper - POL - plant)]],'DATA ILN'!A:K,11,FALSE),VLOOKUP(Tableau119[[#This Row],[Key(Compte ILN - shipper - POL)]],'DATA ILN'!B:K,10,FALSE))</f>
        <v>5</v>
      </c>
      <c r="U952" s="81">
        <f>IFERROR(VLOOKUP(Tableau119[[#This Row],[Key(Compte ILN - shipper - POL - plant)]],'DATA ILN'!A:L,12,FALSE),VLOOKUP(Tableau119[[#This Row],[Key(Compte ILN - shipper - POL)]],'DATA ILN'!B:L,11,FALSE))</f>
        <v>7</v>
      </c>
      <c r="V952" s="81">
        <f>Tableau119[[#This Row],[Day ILN Order]]+Tableau119[[#This Row],[Delivery time to ILN/Shipper]]-1</f>
        <v>22</v>
      </c>
      <c r="W952" s="81">
        <f>IFERROR(VLOOKUP(Tableau119[[#This Row],[Key(Compte ILN - shipper - POL - plant)]],'DATA ILN'!A:N,14,FALSE),VLOOKUP(Tableau119[[#This Row],[Key(Compte ILN - shipper - POL)]],'DATA ILN'!B:N,13,FALSE))</f>
        <v>1</v>
      </c>
      <c r="X952" s="81">
        <f>IFERROR(VLOOKUP(Tableau119[[#This Row],[Key(Compte ILN - shipper - POL - plant)]],'DATA ILN'!A:P,16,FALSE),VLOOKUP(Tableau119[[#This Row],[Key(Compte ILN - shipper - POL)]],'DATA ILN'!B:P,15,FALSE))</f>
        <v>3</v>
      </c>
      <c r="Y952" s="102" t="s">
        <v>178</v>
      </c>
      <c r="Z952" s="417">
        <f>IFERROR(VLOOKUP(Tableau119[[#This Row],[Name Shipper]],Plant_AILN!L:M,2,FALSE),0)</f>
        <v>119640</v>
      </c>
      <c r="AA952" s="416">
        <v>1034</v>
      </c>
      <c r="AB952" s="396" t="str">
        <f>_xlfn.XLOOKUP(Tableau119[[#This Row],[Key(ID-date)]],'DATA BTO'!S:S,'DATA BTO'!E:E,FALSE)</f>
        <v>JPSMZ</v>
      </c>
      <c r="AC952" s="3" t="str">
        <f>_xlfn.XLOOKUP(Tableau119[[#This Row],[Key(ID-date)]],'DATA BTO'!S:S,'DATA BTO'!F:F,FALSE)</f>
        <v>CMA-CGM</v>
      </c>
      <c r="AD952" s="50">
        <f>_xlfn.XLOOKUP(Tableau119[[#This Row],[Key(ID-date)]],'DATA BTO'!S:S,'DATA BTO'!G:G,FALSE)</f>
        <v>2</v>
      </c>
      <c r="AE952" s="50">
        <f>_xlfn.XLOOKUP(Tableau119[[#This Row],[Key(ID-date)]],'DATA BTO'!S:S,'DATA BTO'!H:H,FALSE)</f>
        <v>4</v>
      </c>
      <c r="AF952" s="447">
        <f>IF(Tableau119[[#This Row],[First Day to POL]]&lt;=Tableau119[[#This Row],[Day Cut Off]],Tableau119[[#This Row],[Day ETD]],Tableau119[[#This Row],[Day ETD]]+7)</f>
        <v>11</v>
      </c>
      <c r="AG952" s="50">
        <f>_xlfn.XLOOKUP(Tableau119[[#This Row],[Key(ID-date)]],'DATA BTO'!S:S,'DATA BTO'!I:I,FALSE)</f>
        <v>52</v>
      </c>
      <c r="AH952" s="3" t="str">
        <f>_xlfn.XLOOKUP(Tableau119[[#This Row],[Key(ID-date)]],'DATA BTO'!S:S,'DATA BTO'!J:J,FALSE)</f>
        <v>ESVLC</v>
      </c>
      <c r="AI952" s="3">
        <f>_xlfn.XLOOKUP(Tableau119[[#This Row],[Key(ID-date)]],'DATA BTO'!S:S,'DATA BTO'!K:K,FALSE)</f>
        <v>3</v>
      </c>
      <c r="AJ952" s="50">
        <f>_xlfn.XLOOKUP(Tableau119[[#This Row],[Key(ID-date)]],'DATA BTO'!S:S,'DATA BTO'!L:L,FALSE)</f>
        <v>0</v>
      </c>
      <c r="AK952" s="53" t="str">
        <f>_xlfn.XLOOKUP(Tableau119[[#This Row],[Key(ID-date)]],'DATA BTO'!S:S,'DATA BTO'!N:N,FALSE)</f>
        <v>Max</v>
      </c>
      <c r="AL952" s="54">
        <f>VLOOKUP(Tableau119[[#This Row],[Key(POD -PFI- Usine)]],'DATA Consignee'!A:F,6,FALSE)</f>
        <v>2</v>
      </c>
      <c r="AM952" s="138" t="s">
        <v>169</v>
      </c>
      <c r="AN952" s="375">
        <f>IF(Tableau119[[#This Row],[Name PFI/CDD]]="","-",VLOOKUP(Tableau119[[#This Row],[Name PFI/CDD]],Plant_AILN!I:J,2,FALSE))</f>
        <v>91018400</v>
      </c>
      <c r="AO952" s="109">
        <f>IF(COUNTIF(buffer_train[AILN],Tableau119[[#This Row],[Name PFI/CDD]])&gt;0,Tableau119[[#This Row],[First Receipt Days]]+Tableau119[[#This Row],[Cust.]]+Tableau119[[#This Row],[Parts Vanning]]+Tableau119[[#This Row],[Transit Time2]],"-")</f>
        <v>95</v>
      </c>
      <c r="AP952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952" s="110">
        <f>VLOOKUP(Tableau119[[#This Row],[Key(POD -PFI- Usine)]],'DATA Consignee'!A:J,10,FALSE)</f>
        <v>3</v>
      </c>
      <c r="AR952" s="81">
        <f>VLOOKUP(Tableau119[[#This Row],[Key(POD -PFI- Usine)]],'DATA Consignee'!A:N,14,FALSE)</f>
        <v>3</v>
      </c>
      <c r="AS952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52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52" s="81">
        <f>Tableau119[[#This Row],[Transit time]]+Tableau119[[#This Row],[Time for security]]+Tableau119[[#This Row],[Time for security2 buffer]]</f>
        <v>55</v>
      </c>
      <c r="AV95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52" s="50">
        <f>Tableau119[[#This Row],[Leadtime SI2C]]+Tableau119[[#This Row],[First Receipt Days]]-Tableau119[[#This Row],[Day Customer Order]]+1</f>
        <v>99</v>
      </c>
      <c r="AX952" s="119">
        <f>IF(Tableau119[[#This Row],[Name ILN]]&lt;&gt;"SFK Freight Forwarder",Tableau119[[#This Row],[Cust. Leadtime]],Tableau119[[#This Row],[Leadtime SI2C]])</f>
        <v>83</v>
      </c>
      <c r="AY952" s="51" t="str">
        <f>_xlfn.XLOOKUP(Tableau119[[#This Row],[Key(ID-date)]],'DATA BTO'!S:S,'DATA BTO'!P:P,FALSE)</f>
        <v>Horse &gt; Renault BPH (MLP)</v>
      </c>
      <c r="AZ952" s="388">
        <v>46142</v>
      </c>
      <c r="BA952" s="81"/>
    </row>
    <row r="953" spans="2:53">
      <c r="B953" s="446" t="str">
        <f>_xlfn.CONCAT(Tableau119[[#This Row],[Name ILN]],"-",Tableau119[[#This Row],[Name Shipper]],"-",Tableau119[[#This Row],[Name Site]])</f>
        <v>SFK Freight Forwarder-Jatco Japon-VALL MONTAGE</v>
      </c>
      <c r="C953" s="66" t="str">
        <f>_xlfn.CONCAT(Tableau119[[#This Row],[Compte ILN]],"-",Tableau119[[#This Row],[Compte Shipper]],"-",Tableau119[[#This Row],[POL]],"-",Tableau119[[#This Row],[Compte Consignee]])</f>
        <v>0-119640-JPSMZ-91017300</v>
      </c>
      <c r="D953" s="66" t="str">
        <f>_xlfn.CONCAT(Tableau119[[#This Row],[Compte ILN]],"-",Tableau119[[#This Row],[Compte Shipper]],"-",Tableau119[[#This Row],[POL]])</f>
        <v>0-119640-JPSMZ</v>
      </c>
      <c r="E953" s="130" t="str">
        <f>_xlfn.CONCAT(Tableau119[[#This Row],[POL]],"-",Tableau119[[#This Row],[Carrier]],"-",Tableau119[[#This Row],[POD]])</f>
        <v>JPSMZ-CMA-CGM-ESVLC</v>
      </c>
      <c r="F953" s="66" t="str">
        <f>_xlfn.CONCAT(Tableau119[[#This Row],[ID]],"-","Actif")</f>
        <v>1034-Actif</v>
      </c>
      <c r="G953" s="66" t="str">
        <f>_xlfn.CONCAT(Tableau119[[#This Row],[POD]],"-",Tableau119[[#This Row],[Code PFI]],"-",Tableau119[[#This Row],[Compte Consignee]])</f>
        <v>ESVLC---91017300</v>
      </c>
      <c r="H95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119640JPSMZVALL MONTAGE</v>
      </c>
      <c r="I953" s="434" t="str">
        <f>_xlfn.CONCAT(Tableau119[[#This Row],[ID]],"-",Tableau119[[#This Row],[Expiration Date]])</f>
        <v>1034-45777</v>
      </c>
      <c r="J95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Forwarder-Jatco Japon-1034-JPSMZ-CMA-CGM-ESVLC--45777</v>
      </c>
      <c r="K953" s="119" t="str">
        <f ca="1">IF(COUNTIF(J:J,Tableau119[[#This Row],[Plant-ILN-shipper-POL-Carrier-POD-PFI]])=1,"Non","Oui")</f>
        <v>Non</v>
      </c>
      <c r="L953" s="128" t="str">
        <f>VLOOKUP(Tableau119[[#This Row],[Name Site]],Plant_AILN!A:D,4,FALSE)</f>
        <v>SPAIN</v>
      </c>
      <c r="M953" s="411" t="s">
        <v>175</v>
      </c>
      <c r="N953" s="454">
        <f>VLOOKUP(Tableau119[[#This Row],[Name Site]],Plant_AILN!A:C,3,FALSE)</f>
        <v>91017300</v>
      </c>
      <c r="O953" s="55">
        <f>VLOOKUP(Tableau119[[#This Row],[Compte Consignee]],Order!C:D,2,FALSE)</f>
        <v>7</v>
      </c>
      <c r="P953" s="124" t="s">
        <v>146</v>
      </c>
      <c r="Q953" s="365">
        <f>VLOOKUP(Tableau119[[#This Row],[Name ILN]],Plant_AILN!F:G,2,FALSE)</f>
        <v>0</v>
      </c>
      <c r="R953" s="50">
        <f>VLOOKUP(Tableau119[[#This Row],[Compte ILN]],'DATA ILN'!D:I,6,FALSE)</f>
        <v>9</v>
      </c>
      <c r="S953" s="50">
        <f>IFERROR(VLOOKUP(Tableau119[[#This Row],[Key(Compte ILN - shipper - POL - plant)]],'DATA ILN'!A:J,10,FALSE),VLOOKUP(Tableau119[[#This Row],[Key(Compte ILN - shipper - POL)]],'DATA ILN'!B:J,9,FALSE))</f>
        <v>14</v>
      </c>
      <c r="T953" s="50">
        <f>IFERROR(VLOOKUP(Tableau119[[#This Row],[Key(Compte ILN - shipper - POL - plant)]],'DATA ILN'!A:K,11,FALSE),VLOOKUP(Tableau119[[#This Row],[Key(Compte ILN - shipper - POL)]],'DATA ILN'!B:K,10,FALSE))</f>
        <v>5</v>
      </c>
      <c r="U953" s="50">
        <f>IFERROR(VLOOKUP(Tableau119[[#This Row],[Key(Compte ILN - shipper - POL - plant)]],'DATA ILN'!A:L,12,FALSE),VLOOKUP(Tableau119[[#This Row],[Key(Compte ILN - shipper - POL)]],'DATA ILN'!B:L,11,FALSE))</f>
        <v>7</v>
      </c>
      <c r="V953" s="50">
        <f>Tableau119[[#This Row],[Day ILN Order]]+Tableau119[[#This Row],[Delivery time to ILN/Shipper]]-1</f>
        <v>22</v>
      </c>
      <c r="W953" s="50">
        <f>IFERROR(VLOOKUP(Tableau119[[#This Row],[Key(Compte ILN - shipper - POL - plant)]],'DATA ILN'!A:N,14,FALSE),VLOOKUP(Tableau119[[#This Row],[Key(Compte ILN - shipper - POL)]],'DATA ILN'!B:N,13,FALSE))</f>
        <v>1</v>
      </c>
      <c r="X953" s="50">
        <f>IFERROR(VLOOKUP(Tableau119[[#This Row],[Key(Compte ILN - shipper - POL - plant)]],'DATA ILN'!A:P,16,FALSE),VLOOKUP(Tableau119[[#This Row],[Key(Compte ILN - shipper - POL)]],'DATA ILN'!B:P,15,FALSE))</f>
        <v>3</v>
      </c>
      <c r="Y953" s="284" t="s">
        <v>178</v>
      </c>
      <c r="Z953" s="430">
        <f>IFERROR(VLOOKUP(Tableau119[[#This Row],[Name Shipper]],Plant_AILN!L:M,2,FALSE),0)</f>
        <v>119640</v>
      </c>
      <c r="AA953" s="406">
        <v>1034</v>
      </c>
      <c r="AB953" s="396" t="str">
        <f>_xlfn.XLOOKUP(Tableau119[[#This Row],[Key(ID-date)]],'DATA BTO'!S:S,'DATA BTO'!E:E,FALSE)</f>
        <v>JPSMZ</v>
      </c>
      <c r="AC953" s="3" t="str">
        <f>_xlfn.XLOOKUP(Tableau119[[#This Row],[Key(ID-date)]],'DATA BTO'!S:S,'DATA BTO'!F:F,FALSE)</f>
        <v>CMA-CGM</v>
      </c>
      <c r="AD953" s="50">
        <f>_xlfn.XLOOKUP(Tableau119[[#This Row],[Key(ID-date)]],'DATA BTO'!S:S,'DATA BTO'!G:G,FALSE)</f>
        <v>2</v>
      </c>
      <c r="AE953" s="50">
        <f>_xlfn.XLOOKUP(Tableau119[[#This Row],[Key(ID-date)]],'DATA BTO'!S:S,'DATA BTO'!H:H,FALSE)</f>
        <v>4</v>
      </c>
      <c r="AF953" s="447">
        <f>IF(Tableau119[[#This Row],[First Day to POL]]&lt;=Tableau119[[#This Row],[Day Cut Off]],Tableau119[[#This Row],[Day ETD]],Tableau119[[#This Row],[Day ETD]]+7)</f>
        <v>11</v>
      </c>
      <c r="AG953" s="50">
        <f>_xlfn.XLOOKUP(Tableau119[[#This Row],[Key(ID-date)]],'DATA BTO'!S:S,'DATA BTO'!I:I,FALSE)</f>
        <v>50</v>
      </c>
      <c r="AH953" s="3" t="str">
        <f>_xlfn.XLOOKUP(Tableau119[[#This Row],[Key(ID-date)]],'DATA BTO'!S:S,'DATA BTO'!J:J,FALSE)</f>
        <v>ESVLC</v>
      </c>
      <c r="AI953" s="3">
        <f>_xlfn.XLOOKUP(Tableau119[[#This Row],[Key(ID-date)]],'DATA BTO'!S:S,'DATA BTO'!K:K,FALSE)</f>
        <v>3</v>
      </c>
      <c r="AJ953" s="50">
        <f>_xlfn.XLOOKUP(Tableau119[[#This Row],[Key(ID-date)]],'DATA BTO'!S:S,'DATA BTO'!L:L,FALSE)</f>
        <v>0</v>
      </c>
      <c r="AK953" s="53" t="str">
        <f>_xlfn.XLOOKUP(Tableau119[[#This Row],[Key(ID-date)]],'DATA BTO'!S:S,'DATA BTO'!N:N,FALSE)</f>
        <v>Max</v>
      </c>
      <c r="AL953" s="54">
        <f>VLOOKUP(Tableau119[[#This Row],[Key(POD -PFI- Usine)]],'DATA Consignee'!A:F,6,FALSE)</f>
        <v>2</v>
      </c>
      <c r="AM953" s="284"/>
      <c r="AN953" s="376" t="str">
        <f>IF(Tableau119[[#This Row],[Name PFI/CDD]]="","-",VLOOKUP(Tableau119[[#This Row],[Name PFI/CDD]],Plant_AILN!I:J,2,FALSE))</f>
        <v>-</v>
      </c>
      <c r="AO95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3" s="2">
        <f>VLOOKUP(Tableau119[[#This Row],[Key(POD -PFI- Usine)]],'DATA Consignee'!A:J,10,FALSE)</f>
        <v>0</v>
      </c>
      <c r="AR953" s="50">
        <f>VLOOKUP(Tableau119[[#This Row],[Key(POD -PFI- Usine)]],'DATA Consignee'!A:N,14,FALSE)</f>
        <v>4</v>
      </c>
      <c r="AS95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5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53" s="50">
        <f>Tableau119[[#This Row],[Transit time]]+Tableau119[[#This Row],[Time for security]]+Tableau119[[#This Row],[Time for security2 buffer]]</f>
        <v>53</v>
      </c>
      <c r="AV95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53" s="50">
        <f>Tableau119[[#This Row],[Leadtime SI2C]]+Tableau119[[#This Row],[First Receipt Days]]-Tableau119[[#This Row],[Day Customer Order]]+1</f>
        <v>92</v>
      </c>
      <c r="AX953" s="119">
        <f>IF(Tableau119[[#This Row],[Name ILN]]&lt;&gt;"SFK Freight Forwarder",Tableau119[[#This Row],[Cust. Leadtime]],Tableau119[[#This Row],[Leadtime SI2C]])</f>
        <v>76</v>
      </c>
      <c r="AY953" s="51" t="str">
        <f>_xlfn.XLOOKUP(Tableau119[[#This Row],[Key(ID-date)]],'DATA BTO'!S:S,'DATA BTO'!P:P,FALSE)</f>
        <v>Horse &gt; Renault BPH (MLP)</v>
      </c>
      <c r="AZ953" s="338">
        <v>45777</v>
      </c>
      <c r="BA953" s="50"/>
    </row>
    <row r="954" spans="2:53">
      <c r="B954" s="446" t="str">
        <f>_xlfn.CONCAT(Tableau119[[#This Row],[Name ILN]],"-",Tableau119[[#This Row],[Name Shipper]],"-",Tableau119[[#This Row],[Name Site]])</f>
        <v>SFK Freight Forwarder-Jatco Mexique-PALENCIA</v>
      </c>
      <c r="C954" s="66" t="str">
        <f>_xlfn.CONCAT(Tableau119[[#This Row],[Compte ILN]],"-",Tableau119[[#This Row],[Compte Shipper]],"-",Tableau119[[#This Row],[POL]],"-",Tableau119[[#This Row],[Compte Consignee]])</f>
        <v>0-261427-MXATM-91017200</v>
      </c>
      <c r="D954" s="66" t="str">
        <f>_xlfn.CONCAT(Tableau119[[#This Row],[Compte ILN]],"-",Tableau119[[#This Row],[Compte Shipper]],"-",Tableau119[[#This Row],[POL]])</f>
        <v>0-261427-MXATM</v>
      </c>
      <c r="E954" s="130" t="str">
        <f>_xlfn.CONCAT(Tableau119[[#This Row],[POL]],"-",Tableau119[[#This Row],[Carrier]],"-",Tableau119[[#This Row],[POD]])</f>
        <v>MXATM-Hapag Lloyd-ESVLC</v>
      </c>
      <c r="F954" s="66" t="str">
        <f>_xlfn.CONCAT(Tableau119[[#This Row],[ID]],"-","Actif")</f>
        <v>1036-Actif</v>
      </c>
      <c r="G954" s="66" t="str">
        <f>_xlfn.CONCAT(Tableau119[[#This Row],[POD]],"-",Tableau119[[#This Row],[Code PFI]],"-",Tableau119[[#This Row],[Compte Consignee]])</f>
        <v>ESVLC-91018400-91017200</v>
      </c>
      <c r="H95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261427MXATMPALENCIA</v>
      </c>
      <c r="I954" s="434" t="str">
        <f>_xlfn.CONCAT(Tableau119[[#This Row],[ID]],"-",Tableau119[[#This Row],[Expiration Date]])</f>
        <v>1036-46142</v>
      </c>
      <c r="J95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Forwarder-Jatco Mexique-1036-MXATM-Hapag Lloyd-ESVLC-CDD VLL-46142</v>
      </c>
      <c r="K954" s="119" t="str">
        <f ca="1">IF(COUNTIF(J:J,Tableau119[[#This Row],[Plant-ILN-shipper-POL-Carrier-POD-PFI]])=1,"Non","Oui")</f>
        <v>Non</v>
      </c>
      <c r="L954" s="128" t="str">
        <f>VLOOKUP(Tableau119[[#This Row],[Name Site]],Plant_AILN!A:D,4,FALSE)</f>
        <v>SPAIN</v>
      </c>
      <c r="M954" s="415" t="s">
        <v>184</v>
      </c>
      <c r="N954" s="455">
        <f>VLOOKUP(Tableau119[[#This Row],[Name Site]],Plant_AILN!A:C,3,FALSE)</f>
        <v>91017200</v>
      </c>
      <c r="O954" s="104">
        <f>IF(Tableau119[[#This Row],[Name PFI/CDD]]="PFI VLL",2,VLOOKUP(Tableau119[[#This Row],[Compte Consignee]],Order!C:D,2,FALSE))</f>
        <v>7</v>
      </c>
      <c r="P954" s="126" t="s">
        <v>146</v>
      </c>
      <c r="Q954" s="366">
        <f>VLOOKUP(Tableau119[[#This Row],[Name ILN]],Plant_AILN!F:G,2,FALSE)</f>
        <v>0</v>
      </c>
      <c r="R954" s="81">
        <f>VLOOKUP(Tableau119[[#This Row],[Compte ILN]],'DATA ILN'!D:I,6,FALSE)</f>
        <v>9</v>
      </c>
      <c r="S954" s="81">
        <f>IFERROR(VLOOKUP(Tableau119[[#This Row],[Key(Compte ILN - shipper - POL - plant)]],'DATA ILN'!A:J,10,FALSE),VLOOKUP(Tableau119[[#This Row],[Key(Compte ILN - shipper - POL)]],'DATA ILN'!B:J,9,FALSE))</f>
        <v>14</v>
      </c>
      <c r="T954" s="81">
        <f>IFERROR(VLOOKUP(Tableau119[[#This Row],[Key(Compte ILN - shipper - POL - plant)]],'DATA ILN'!A:K,11,FALSE),VLOOKUP(Tableau119[[#This Row],[Key(Compte ILN - shipper - POL)]],'DATA ILN'!B:K,10,FALSE))</f>
        <v>5</v>
      </c>
      <c r="U954" s="81">
        <f>IFERROR(VLOOKUP(Tableau119[[#This Row],[Key(Compte ILN - shipper - POL - plant)]],'DATA ILN'!A:L,12,FALSE),VLOOKUP(Tableau119[[#This Row],[Key(Compte ILN - shipper - POL)]],'DATA ILN'!B:L,11,FALSE))</f>
        <v>7</v>
      </c>
      <c r="V954" s="81">
        <f>Tableau119[[#This Row],[Day ILN Order]]+Tableau119[[#This Row],[Delivery time to ILN/Shipper]]-1</f>
        <v>22</v>
      </c>
      <c r="W954" s="81">
        <f>IFERROR(VLOOKUP(Tableau119[[#This Row],[Key(Compte ILN - shipper - POL - plant)]],'DATA ILN'!A:N,14,FALSE),VLOOKUP(Tableau119[[#This Row],[Key(Compte ILN - shipper - POL)]],'DATA ILN'!B:N,13,FALSE))</f>
        <v>2</v>
      </c>
      <c r="X954" s="81">
        <f>IFERROR(VLOOKUP(Tableau119[[#This Row],[Key(Compte ILN - shipper - POL - plant)]],'DATA ILN'!A:P,16,FALSE),VLOOKUP(Tableau119[[#This Row],[Key(Compte ILN - shipper - POL)]],'DATA ILN'!B:P,15,FALSE))</f>
        <v>5</v>
      </c>
      <c r="Y954" s="102" t="s">
        <v>176</v>
      </c>
      <c r="Z954" s="417">
        <f>IFERROR(VLOOKUP(Tableau119[[#This Row],[Name Shipper]],Plant_AILN!L:M,2,FALSE),0)</f>
        <v>261427</v>
      </c>
      <c r="AA954" s="416">
        <v>1036</v>
      </c>
      <c r="AB954" s="396" t="str">
        <f>_xlfn.XLOOKUP(Tableau119[[#This Row],[Key(ID-date)]],'DATA BTO'!S:S,'DATA BTO'!E:E,FALSE)</f>
        <v>MXATM</v>
      </c>
      <c r="AC954" s="3" t="str">
        <f>_xlfn.XLOOKUP(Tableau119[[#This Row],[Key(ID-date)]],'DATA BTO'!S:S,'DATA BTO'!F:F,FALSE)</f>
        <v>Hapag Lloyd</v>
      </c>
      <c r="AD954" s="50">
        <f>_xlfn.XLOOKUP(Tableau119[[#This Row],[Key(ID-date)]],'DATA BTO'!S:S,'DATA BTO'!G:G,FALSE)</f>
        <v>5</v>
      </c>
      <c r="AE954" s="50">
        <f>_xlfn.XLOOKUP(Tableau119[[#This Row],[Key(ID-date)]],'DATA BTO'!S:S,'DATA BTO'!H:H,FALSE)</f>
        <v>7</v>
      </c>
      <c r="AF954" s="447">
        <f>IF(Tableau119[[#This Row],[First Day to POL]]&lt;=Tableau119[[#This Row],[Day Cut Off]],Tableau119[[#This Row],[Day ETD]],Tableau119[[#This Row],[Day ETD]]+7)</f>
        <v>7</v>
      </c>
      <c r="AG954" s="50">
        <f>_xlfn.XLOOKUP(Tableau119[[#This Row],[Key(ID-date)]],'DATA BTO'!S:S,'DATA BTO'!I:I,FALSE)</f>
        <v>28</v>
      </c>
      <c r="AH954" s="3" t="str">
        <f>_xlfn.XLOOKUP(Tableau119[[#This Row],[Key(ID-date)]],'DATA BTO'!S:S,'DATA BTO'!J:J,FALSE)</f>
        <v>ESVLC</v>
      </c>
      <c r="AI954" s="3">
        <f>_xlfn.XLOOKUP(Tableau119[[#This Row],[Key(ID-date)]],'DATA BTO'!S:S,'DATA BTO'!K:K,FALSE)</f>
        <v>3</v>
      </c>
      <c r="AJ954" s="50">
        <f>_xlfn.XLOOKUP(Tableau119[[#This Row],[Key(ID-date)]],'DATA BTO'!S:S,'DATA BTO'!L:L,FALSE)</f>
        <v>0</v>
      </c>
      <c r="AK954" s="53" t="str">
        <f>_xlfn.XLOOKUP(Tableau119[[#This Row],[Key(ID-date)]],'DATA BTO'!S:S,'DATA BTO'!N:N,FALSE)</f>
        <v>Max</v>
      </c>
      <c r="AL954" s="54">
        <f>VLOOKUP(Tableau119[[#This Row],[Key(POD -PFI- Usine)]],'DATA Consignee'!A:F,6,FALSE)</f>
        <v>2</v>
      </c>
      <c r="AM954" s="102" t="s">
        <v>169</v>
      </c>
      <c r="AN954" s="375">
        <f>IF(Tableau119[[#This Row],[Name PFI/CDD]]="","-",VLOOKUP(Tableau119[[#This Row],[Name PFI/CDD]],Plant_AILN!I:J,2,FALSE))</f>
        <v>91018400</v>
      </c>
      <c r="AO954" s="109">
        <f>IF(COUNTIF(buffer_train[AILN],Tableau119[[#This Row],[Name PFI/CDD]])&gt;0,Tableau119[[#This Row],[First Receipt Days]]+Tableau119[[#This Row],[Cust.]]+Tableau119[[#This Row],[Parts Vanning]]+Tableau119[[#This Row],[Transit Time2]],"-")</f>
        <v>67</v>
      </c>
      <c r="AP954" s="109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954" s="110">
        <f>VLOOKUP(Tableau119[[#This Row],[Key(POD -PFI- Usine)]],'DATA Consignee'!A:J,10,FALSE)</f>
        <v>3</v>
      </c>
      <c r="AR954" s="81">
        <f>VLOOKUP(Tableau119[[#This Row],[Key(POD -PFI- Usine)]],'DATA Consignee'!A:N,14,FALSE)</f>
        <v>2</v>
      </c>
      <c r="AS95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5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54" s="81">
        <f>Tableau119[[#This Row],[Transit time]]+Tableau119[[#This Row],[Time for security]]+Tableau119[[#This Row],[Time for security2 buffer]]</f>
        <v>31</v>
      </c>
      <c r="AV95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54" s="50">
        <f>Tableau119[[#This Row],[Leadtime SI2C]]+Tableau119[[#This Row],[First Receipt Days]]-Tableau119[[#This Row],[Day Customer Order]]+1</f>
        <v>71</v>
      </c>
      <c r="AX954" s="119">
        <f>IF(Tableau119[[#This Row],[Name ILN]]&lt;&gt;"SFK Freight Forwarder",Tableau119[[#This Row],[Cust. Leadtime]],Tableau119[[#This Row],[Leadtime SI2C]])</f>
        <v>55</v>
      </c>
      <c r="AY954" s="51" t="str">
        <f>_xlfn.XLOOKUP(Tableau119[[#This Row],[Key(ID-date)]],'DATA BTO'!S:S,'DATA BTO'!P:P,FALSE)</f>
        <v>Horse &gt; Renault BPH (MLP)</v>
      </c>
      <c r="AZ954" s="388">
        <v>46142</v>
      </c>
      <c r="BA954" s="81"/>
    </row>
    <row r="955" spans="2:53">
      <c r="B955" s="446" t="str">
        <f>_xlfn.CONCAT(Tableau119[[#This Row],[Name ILN]],"-",Tableau119[[#This Row],[Name Shipper]],"-",Tableau119[[#This Row],[Name Site]])</f>
        <v>SFK Freight Forwarder-Jatco Mexique-PALENCIA</v>
      </c>
      <c r="C955" s="66" t="str">
        <f>_xlfn.CONCAT(Tableau119[[#This Row],[Compte ILN]],"-",Tableau119[[#This Row],[Compte Shipper]],"-",Tableau119[[#This Row],[POL]],"-",Tableau119[[#This Row],[Compte Consignee]])</f>
        <v>0-261427-MXATM-91017200</v>
      </c>
      <c r="D955" s="66" t="str">
        <f>_xlfn.CONCAT(Tableau119[[#This Row],[Compte ILN]],"-",Tableau119[[#This Row],[Compte Shipper]],"-",Tableau119[[#This Row],[POL]])</f>
        <v>0-261427-MXATM</v>
      </c>
      <c r="E955" s="130" t="str">
        <f>_xlfn.CONCAT(Tableau119[[#This Row],[POL]],"-",Tableau119[[#This Row],[Carrier]],"-",Tableau119[[#This Row],[POD]])</f>
        <v>MXATM-Hapag Lloyd-ESVLC</v>
      </c>
      <c r="F955" s="66" t="str">
        <f>_xlfn.CONCAT(Tableau119[[#This Row],[ID]],"-","Actif")</f>
        <v>1036-Actif</v>
      </c>
      <c r="G955" s="66" t="str">
        <f>_xlfn.CONCAT(Tableau119[[#This Row],[POD]],"-",Tableau119[[#This Row],[Code PFI]],"-",Tableau119[[#This Row],[Compte Consignee]])</f>
        <v>ESVLC---91017200</v>
      </c>
      <c r="H95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261427MXATMPALENCIA</v>
      </c>
      <c r="I955" s="434" t="str">
        <f>_xlfn.CONCAT(Tableau119[[#This Row],[ID]],"-",Tableau119[[#This Row],[Expiration Date]])</f>
        <v>1036-45891</v>
      </c>
      <c r="J95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PALENCIA-SFK Freight Forwarder-Jatco Mexique-1036-MXATM-Hapag Lloyd-ESVLC--45891</v>
      </c>
      <c r="K955" s="119" t="str">
        <f ca="1">IF(COUNTIF(J:J,Tableau119[[#This Row],[Plant-ILN-shipper-POL-Carrier-POD-PFI]])=1,"Non","Oui")</f>
        <v>Non</v>
      </c>
      <c r="L955" s="128" t="str">
        <f>VLOOKUP(Tableau119[[#This Row],[Name Site]],Plant_AILN!A:D,4,FALSE)</f>
        <v>SPAIN</v>
      </c>
      <c r="M955" s="411" t="s">
        <v>184</v>
      </c>
      <c r="N955" s="454">
        <f>VLOOKUP(Tableau119[[#This Row],[Name Site]],Plant_AILN!A:C,3,FALSE)</f>
        <v>91017200</v>
      </c>
      <c r="O955" s="55">
        <f>VLOOKUP(Tableau119[[#This Row],[Compte Consignee]],Order!C:D,2,FALSE)</f>
        <v>7</v>
      </c>
      <c r="P955" s="124" t="s">
        <v>146</v>
      </c>
      <c r="Q955" s="365">
        <f>VLOOKUP(Tableau119[[#This Row],[Name ILN]],Plant_AILN!F:G,2,FALSE)</f>
        <v>0</v>
      </c>
      <c r="R955" s="50">
        <f>VLOOKUP(Tableau119[[#This Row],[Compte ILN]],'DATA ILN'!D:I,6,FALSE)</f>
        <v>9</v>
      </c>
      <c r="S955" s="50">
        <f>IFERROR(VLOOKUP(Tableau119[[#This Row],[Key(Compte ILN - shipper - POL - plant)]],'DATA ILN'!A:J,10,FALSE),VLOOKUP(Tableau119[[#This Row],[Key(Compte ILN - shipper - POL)]],'DATA ILN'!B:J,9,FALSE))</f>
        <v>14</v>
      </c>
      <c r="T955" s="50">
        <f>IFERROR(VLOOKUP(Tableau119[[#This Row],[Key(Compte ILN - shipper - POL - plant)]],'DATA ILN'!A:K,11,FALSE),VLOOKUP(Tableau119[[#This Row],[Key(Compte ILN - shipper - POL)]],'DATA ILN'!B:K,10,FALSE))</f>
        <v>5</v>
      </c>
      <c r="U955" s="50">
        <f>IFERROR(VLOOKUP(Tableau119[[#This Row],[Key(Compte ILN - shipper - POL - plant)]],'DATA ILN'!A:L,12,FALSE),VLOOKUP(Tableau119[[#This Row],[Key(Compte ILN - shipper - POL)]],'DATA ILN'!B:L,11,FALSE))</f>
        <v>7</v>
      </c>
      <c r="V955" s="50">
        <f>Tableau119[[#This Row],[Day ILN Order]]+Tableau119[[#This Row],[Delivery time to ILN/Shipper]]-1</f>
        <v>22</v>
      </c>
      <c r="W955" s="50">
        <f>IFERROR(VLOOKUP(Tableau119[[#This Row],[Key(Compte ILN - shipper - POL - plant)]],'DATA ILN'!A:N,14,FALSE),VLOOKUP(Tableau119[[#This Row],[Key(Compte ILN - shipper - POL)]],'DATA ILN'!B:N,13,FALSE))</f>
        <v>2</v>
      </c>
      <c r="X955" s="50">
        <f>IFERROR(VLOOKUP(Tableau119[[#This Row],[Key(Compte ILN - shipper - POL - plant)]],'DATA ILN'!A:P,16,FALSE),VLOOKUP(Tableau119[[#This Row],[Key(Compte ILN - shipper - POL)]],'DATA ILN'!B:P,15,FALSE))</f>
        <v>5</v>
      </c>
      <c r="Y955" s="284" t="s">
        <v>176</v>
      </c>
      <c r="Z955" s="430">
        <f>IFERROR(VLOOKUP(Tableau119[[#This Row],[Name Shipper]],Plant_AILN!L:M,2,FALSE),0)</f>
        <v>261427</v>
      </c>
      <c r="AA955" s="406">
        <v>1036</v>
      </c>
      <c r="AB955" s="396" t="str">
        <f>_xlfn.XLOOKUP(Tableau119[[#This Row],[Key(ID-date)]],'DATA BTO'!S:S,'DATA BTO'!E:E,FALSE)</f>
        <v>MXATM</v>
      </c>
      <c r="AC955" s="3" t="str">
        <f>_xlfn.XLOOKUP(Tableau119[[#This Row],[Key(ID-date)]],'DATA BTO'!S:S,'DATA BTO'!F:F,FALSE)</f>
        <v>Hapag Lloyd</v>
      </c>
      <c r="AD955" s="50">
        <f>_xlfn.XLOOKUP(Tableau119[[#This Row],[Key(ID-date)]],'DATA BTO'!S:S,'DATA BTO'!G:G,FALSE)</f>
        <v>3</v>
      </c>
      <c r="AE955" s="50">
        <f>_xlfn.XLOOKUP(Tableau119[[#This Row],[Key(ID-date)]],'DATA BTO'!S:S,'DATA BTO'!H:H,FALSE)</f>
        <v>5</v>
      </c>
      <c r="AF955" s="447">
        <f>IF(Tableau119[[#This Row],[First Day to POL]]&lt;=Tableau119[[#This Row],[Day Cut Off]],Tableau119[[#This Row],[Day ETD]],Tableau119[[#This Row],[Day ETD]]+7)</f>
        <v>12</v>
      </c>
      <c r="AG955" s="50">
        <f>_xlfn.XLOOKUP(Tableau119[[#This Row],[Key(ID-date)]],'DATA BTO'!S:S,'DATA BTO'!I:I,FALSE)</f>
        <v>28</v>
      </c>
      <c r="AH955" s="3" t="str">
        <f>_xlfn.XLOOKUP(Tableau119[[#This Row],[Key(ID-date)]],'DATA BTO'!S:S,'DATA BTO'!J:J,FALSE)</f>
        <v>ESVLC</v>
      </c>
      <c r="AI955" s="3">
        <f>_xlfn.XLOOKUP(Tableau119[[#This Row],[Key(ID-date)]],'DATA BTO'!S:S,'DATA BTO'!K:K,FALSE)</f>
        <v>3</v>
      </c>
      <c r="AJ955" s="50">
        <f>_xlfn.XLOOKUP(Tableau119[[#This Row],[Key(ID-date)]],'DATA BTO'!S:S,'DATA BTO'!L:L,FALSE)</f>
        <v>0</v>
      </c>
      <c r="AK955" s="53" t="str">
        <f>_xlfn.XLOOKUP(Tableau119[[#This Row],[Key(ID-date)]],'DATA BTO'!S:S,'DATA BTO'!N:N,FALSE)</f>
        <v>Max</v>
      </c>
      <c r="AL955" s="54">
        <f>VLOOKUP(Tableau119[[#This Row],[Key(POD -PFI- Usine)]],'DATA Consignee'!A:F,6,FALSE)</f>
        <v>2</v>
      </c>
      <c r="AM955" s="284"/>
      <c r="AN955" s="376" t="str">
        <f>IF(Tableau119[[#This Row],[Name PFI/CDD]]="","-",VLOOKUP(Tableau119[[#This Row],[Name PFI/CDD]],Plant_AILN!I:J,2,FALSE))</f>
        <v>-</v>
      </c>
      <c r="AO95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5" s="2">
        <f>VLOOKUP(Tableau119[[#This Row],[Key(POD -PFI- Usine)]],'DATA Consignee'!A:J,10,FALSE)</f>
        <v>0</v>
      </c>
      <c r="AR955" s="50">
        <f>VLOOKUP(Tableau119[[#This Row],[Key(POD -PFI- Usine)]],'DATA Consignee'!A:N,14,FALSE)</f>
        <v>2</v>
      </c>
      <c r="AS95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5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955" s="50">
        <f>Tableau119[[#This Row],[Transit time]]+Tableau119[[#This Row],[Time for security]]+Tableau119[[#This Row],[Time for security2 buffer]]</f>
        <v>31</v>
      </c>
      <c r="AV95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55" s="50">
        <f>Tableau119[[#This Row],[Leadtime SI2C]]+Tableau119[[#This Row],[First Receipt Days]]-Tableau119[[#This Row],[Day Customer Order]]+1</f>
        <v>71</v>
      </c>
      <c r="AX955" s="119">
        <f>IF(Tableau119[[#This Row],[Name ILN]]&lt;&gt;"SFK Freight Forwarder",Tableau119[[#This Row],[Cust. Leadtime]],Tableau119[[#This Row],[Leadtime SI2C]])</f>
        <v>55</v>
      </c>
      <c r="AY955" s="51" t="str">
        <f>_xlfn.XLOOKUP(Tableau119[[#This Row],[Key(ID-date)]],'DATA BTO'!S:S,'DATA BTO'!P:P,FALSE)</f>
        <v>Horse &gt; Renault BPH (MLP)</v>
      </c>
      <c r="AZ955" s="338">
        <v>45891</v>
      </c>
      <c r="BA955" s="50"/>
    </row>
    <row r="956" spans="2:53">
      <c r="B956" s="446" t="str">
        <f>_xlfn.CONCAT(Tableau119[[#This Row],[Name ILN]],"-",Tableau119[[#This Row],[Name Shipper]],"-",Tableau119[[#This Row],[Name Site]])</f>
        <v>SFK Freight Forwarder-Jatco Japon-CORDOBA</v>
      </c>
      <c r="C956" s="66" t="str">
        <f>_xlfn.CONCAT(Tableau119[[#This Row],[Compte ILN]],"-",Tableau119[[#This Row],[Compte Shipper]],"-",Tableau119[[#This Row],[POL]],"-",Tableau119[[#This Row],[Compte Consignee]])</f>
        <v>0-119640-JPSMZ-90016000</v>
      </c>
      <c r="D956" s="66" t="str">
        <f>_xlfn.CONCAT(Tableau119[[#This Row],[Compte ILN]],"-",Tableau119[[#This Row],[Compte Shipper]],"-",Tableau119[[#This Row],[POL]])</f>
        <v>0-119640-JPSMZ</v>
      </c>
      <c r="E956" s="130" t="str">
        <f>_xlfn.CONCAT(Tableau119[[#This Row],[POL]],"-",Tableau119[[#This Row],[Carrier]],"-",Tableau119[[#This Row],[POD]])</f>
        <v>JPSMZ-CMA-CGM-ARBUE</v>
      </c>
      <c r="F956" s="66" t="str">
        <f>_xlfn.CONCAT(Tableau119[[#This Row],[ID]],"-","Actif")</f>
        <v>1037-Actif</v>
      </c>
      <c r="G956" s="66" t="str">
        <f>_xlfn.CONCAT(Tableau119[[#This Row],[POD]],"-",Tableau119[[#This Row],[Code PFI]],"-",Tableau119[[#This Row],[Compte Consignee]])</f>
        <v>ARBUE---90016000</v>
      </c>
      <c r="H95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119640JPSMZCORDOBA</v>
      </c>
      <c r="I956" s="434" t="str">
        <f>_xlfn.CONCAT(Tableau119[[#This Row],[ID]],"-",Tableau119[[#This Row],[Expiration Date]])</f>
        <v>1037-46142</v>
      </c>
      <c r="J95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Forwarder-Jatco Japon-1037-JPSMZ-CMA-CGM-ARBUE--46142</v>
      </c>
      <c r="K956" s="119" t="str">
        <f ca="1">IF(COUNTIF(J:J,Tableau119[[#This Row],[Plant-ILN-shipper-POL-Carrier-POD-PFI]])=1,"Non","Oui")</f>
        <v>Non</v>
      </c>
      <c r="L956" s="128" t="str">
        <f>VLOOKUP(Tableau119[[#This Row],[Name Site]],Plant_AILN!A:D,4,FALSE)</f>
        <v>ARGENTINA</v>
      </c>
      <c r="M956" s="415" t="s">
        <v>158</v>
      </c>
      <c r="N956" s="455">
        <f>VLOOKUP(Tableau119[[#This Row],[Name Site]],Plant_AILN!A:C,3,FALSE)</f>
        <v>90016000</v>
      </c>
      <c r="O956" s="104">
        <f>IF(Tableau119[[#This Row],[Name PFI/CDD]]="PFI VLL",2,VLOOKUP(Tableau119[[#This Row],[Compte Consignee]],Order!C:D,2,FALSE))</f>
        <v>7</v>
      </c>
      <c r="P956" s="126" t="s">
        <v>146</v>
      </c>
      <c r="Q956" s="366">
        <f>VLOOKUP(Tableau119[[#This Row],[Name ILN]],Plant_AILN!F:G,2,FALSE)</f>
        <v>0</v>
      </c>
      <c r="R956" s="81">
        <f>VLOOKUP(Tableau119[[#This Row],[Compte ILN]],'DATA ILN'!D:I,6,FALSE)</f>
        <v>9</v>
      </c>
      <c r="S956" s="81">
        <f>IFERROR(VLOOKUP(Tableau119[[#This Row],[Key(Compte ILN - shipper - POL - plant)]],'DATA ILN'!A:J,10,FALSE),VLOOKUP(Tableau119[[#This Row],[Key(Compte ILN - shipper - POL)]],'DATA ILN'!B:J,9,FALSE))</f>
        <v>14</v>
      </c>
      <c r="T956" s="81">
        <f>IFERROR(VLOOKUP(Tableau119[[#This Row],[Key(Compte ILN - shipper - POL - plant)]],'DATA ILN'!A:K,11,FALSE),VLOOKUP(Tableau119[[#This Row],[Key(Compte ILN - shipper - POL)]],'DATA ILN'!B:K,10,FALSE))</f>
        <v>5</v>
      </c>
      <c r="U956" s="81">
        <f>IFERROR(VLOOKUP(Tableau119[[#This Row],[Key(Compte ILN - shipper - POL - plant)]],'DATA ILN'!A:L,12,FALSE),VLOOKUP(Tableau119[[#This Row],[Key(Compte ILN - shipper - POL)]],'DATA ILN'!B:L,11,FALSE))</f>
        <v>7</v>
      </c>
      <c r="V956" s="81">
        <f>Tableau119[[#This Row],[Day ILN Order]]+Tableau119[[#This Row],[Delivery time to ILN/Shipper]]-1</f>
        <v>22</v>
      </c>
      <c r="W956" s="81">
        <f>IFERROR(VLOOKUP(Tableau119[[#This Row],[Key(Compte ILN - shipper - POL - plant)]],'DATA ILN'!A:N,14,FALSE),VLOOKUP(Tableau119[[#This Row],[Key(Compte ILN - shipper - POL)]],'DATA ILN'!B:N,13,FALSE))</f>
        <v>1</v>
      </c>
      <c r="X956" s="81">
        <f>IFERROR(VLOOKUP(Tableau119[[#This Row],[Key(Compte ILN - shipper - POL - plant)]],'DATA ILN'!A:P,16,FALSE),VLOOKUP(Tableau119[[#This Row],[Key(Compte ILN - shipper - POL)]],'DATA ILN'!B:P,15,FALSE))</f>
        <v>3</v>
      </c>
      <c r="Y956" s="102" t="s">
        <v>178</v>
      </c>
      <c r="Z956" s="417">
        <f>IFERROR(VLOOKUP(Tableau119[[#This Row],[Name Shipper]],Plant_AILN!L:M,2,FALSE),0)</f>
        <v>119640</v>
      </c>
      <c r="AA956" s="416">
        <v>1037</v>
      </c>
      <c r="AB956" s="396" t="str">
        <f>_xlfn.XLOOKUP(Tableau119[[#This Row],[Key(ID-date)]],'DATA BTO'!S:S,'DATA BTO'!E:E,FALSE)</f>
        <v>JPSMZ</v>
      </c>
      <c r="AC956" s="3" t="str">
        <f>_xlfn.XLOOKUP(Tableau119[[#This Row],[Key(ID-date)]],'DATA BTO'!S:S,'DATA BTO'!F:F,FALSE)</f>
        <v>CMA-CGM</v>
      </c>
      <c r="AD956" s="50">
        <f>_xlfn.XLOOKUP(Tableau119[[#This Row],[Key(ID-date)]],'DATA BTO'!S:S,'DATA BTO'!G:G,FALSE)</f>
        <v>2</v>
      </c>
      <c r="AE956" s="50">
        <f>_xlfn.XLOOKUP(Tableau119[[#This Row],[Key(ID-date)]],'DATA BTO'!S:S,'DATA BTO'!H:H,FALSE)</f>
        <v>4</v>
      </c>
      <c r="AF956" s="447">
        <f>IF(Tableau119[[#This Row],[First Day to POL]]&lt;=Tableau119[[#This Row],[Day Cut Off]],Tableau119[[#This Row],[Day ETD]],Tableau119[[#This Row],[Day ETD]]+7)</f>
        <v>11</v>
      </c>
      <c r="AG956" s="50">
        <f>_xlfn.XLOOKUP(Tableau119[[#This Row],[Key(ID-date)]],'DATA BTO'!S:S,'DATA BTO'!I:I,FALSE)</f>
        <v>62</v>
      </c>
      <c r="AH956" s="3" t="str">
        <f>_xlfn.XLOOKUP(Tableau119[[#This Row],[Key(ID-date)]],'DATA BTO'!S:S,'DATA BTO'!J:J,FALSE)</f>
        <v>ARBUE</v>
      </c>
      <c r="AI956" s="3">
        <f>_xlfn.XLOOKUP(Tableau119[[#This Row],[Key(ID-date)]],'DATA BTO'!S:S,'DATA BTO'!K:K,FALSE)</f>
        <v>3</v>
      </c>
      <c r="AJ956" s="50">
        <f>_xlfn.XLOOKUP(Tableau119[[#This Row],[Key(ID-date)]],'DATA BTO'!S:S,'DATA BTO'!L:L,FALSE)</f>
        <v>7</v>
      </c>
      <c r="AK956" s="53" t="str">
        <f>_xlfn.XLOOKUP(Tableau119[[#This Row],[Key(ID-date)]],'DATA BTO'!S:S,'DATA BTO'!N:N,FALSE)</f>
        <v>Max</v>
      </c>
      <c r="AL956" s="54">
        <f>VLOOKUP(Tableau119[[#This Row],[Key(POD -PFI- Usine)]],'DATA Consignee'!A:F,6,FALSE)</f>
        <v>3</v>
      </c>
      <c r="AM956" s="102"/>
      <c r="AN956" s="375" t="str">
        <f>IF(Tableau119[[#This Row],[Name PFI/CDD]]="","-",VLOOKUP(Tableau119[[#This Row],[Name PFI/CDD]],Plant_AILN!I:J,2,FALSE))</f>
        <v>-</v>
      </c>
      <c r="AO95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6" s="110">
        <f>VLOOKUP(Tableau119[[#This Row],[Key(POD -PFI- Usine)]],'DATA Consignee'!A:J,10,FALSE)</f>
        <v>0</v>
      </c>
      <c r="AR956" s="81">
        <f>VLOOKUP(Tableau119[[#This Row],[Key(POD -PFI- Usine)]],'DATA Consignee'!A:N,14,FALSE)</f>
        <v>3</v>
      </c>
      <c r="AS95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5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56" s="81">
        <f>Tableau119[[#This Row],[Transit time]]+Tableau119[[#This Row],[Time for security]]+Tableau119[[#This Row],[Time for security2 buffer]]</f>
        <v>72</v>
      </c>
      <c r="AV95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97</v>
      </c>
      <c r="AW956" s="50">
        <f>Tableau119[[#This Row],[Leadtime SI2C]]+Tableau119[[#This Row],[First Receipt Days]]-Tableau119[[#This Row],[Day Customer Order]]+1</f>
        <v>113</v>
      </c>
      <c r="AX956" s="119">
        <f>IF(Tableau119[[#This Row],[Name ILN]]&lt;&gt;"SFK Freight Forwarder",Tableau119[[#This Row],[Cust. Leadtime]],Tableau119[[#This Row],[Leadtime SI2C]])</f>
        <v>97</v>
      </c>
      <c r="AY956" s="51" t="str">
        <f>_xlfn.XLOOKUP(Tableau119[[#This Row],[Key(ID-date)]],'DATA BTO'!S:S,'DATA BTO'!P:P,FALSE)</f>
        <v>Horse &gt; Renault BPH (MLP)</v>
      </c>
      <c r="AZ956" s="388">
        <v>46142</v>
      </c>
      <c r="BA956" s="81"/>
    </row>
    <row r="957" spans="2:53">
      <c r="B957" s="446" t="str">
        <f>_xlfn.CONCAT(Tableau119[[#This Row],[Name ILN]],"-",Tableau119[[#This Row],[Name Shipper]],"-",Tableau119[[#This Row],[Name Site]])</f>
        <v>ILN Chine -ILN Chine -DOUAI</v>
      </c>
      <c r="C957" s="66" t="str">
        <f>_xlfn.CONCAT(Tableau119[[#This Row],[Compte ILN]],"-",Tableau119[[#This Row],[Compte Shipper]],"-",Tableau119[[#This Row],[POL]],"-",Tableau119[[#This Row],[Compte Consignee]])</f>
        <v>424479-424479-FALSO-90019100</v>
      </c>
      <c r="D957" s="66" t="str">
        <f>_xlfn.CONCAT(Tableau119[[#This Row],[Compte ILN]],"-",Tableau119[[#This Row],[Compte Shipper]],"-",Tableau119[[#This Row],[POL]])</f>
        <v>424479-424479-FALSO</v>
      </c>
      <c r="E957" s="130" t="str">
        <f>_xlfn.CONCAT(Tableau119[[#This Row],[POL]],"-",Tableau119[[#This Row],[Carrier]],"-",Tableau119[[#This Row],[POD]])</f>
        <v>FALSO-FALSO-FALSO</v>
      </c>
      <c r="F957" s="66" t="str">
        <f>_xlfn.CONCAT(Tableau119[[#This Row],[ID]],"-","Actif")</f>
        <v>1038-Actif</v>
      </c>
      <c r="G957" s="66" t="str">
        <f>_xlfn.CONCAT(Tableau119[[#This Row],[POD]],"-",Tableau119[[#This Row],[Code PFI]],"-",Tableau119[[#This Row],[Compte Consignee]])</f>
        <v>FALSO---90019100</v>
      </c>
      <c r="H95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FALSODOUAI</v>
      </c>
      <c r="I957" s="434" t="str">
        <f>_xlfn.CONCAT(Tableau119[[#This Row],[ID]],"-",Tableau119[[#This Row],[Expiration Date]])</f>
        <v>1038-46142</v>
      </c>
      <c r="J95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DOUAI-ILN Chine -ILN Chine -1038-FALSO-FALSO-FALSO--46142</v>
      </c>
      <c r="K957" s="119" t="str">
        <f ca="1">IF(COUNTIF(J:J,Tableau119[[#This Row],[Plant-ILN-shipper-POL-Carrier-POD-PFI]])=1,"Non","Oui")</f>
        <v>Non</v>
      </c>
      <c r="L957" s="128" t="str">
        <f>VLOOKUP(Tableau119[[#This Row],[Name Site]],Plant_AILN!A:D,4,FALSE)</f>
        <v>FRANCE</v>
      </c>
      <c r="M957" s="411" t="s">
        <v>188</v>
      </c>
      <c r="N957" s="454">
        <f>VLOOKUP(Tableau119[[#This Row],[Name Site]],Plant_AILN!A:C,3,FALSE)</f>
        <v>90019100</v>
      </c>
      <c r="O957" s="55">
        <f>IF(Tableau119[[#This Row],[Name PFI/CDD]]="PFI VLL",2,VLOOKUP(Tableau119[[#This Row],[Compte Consignee]],Order!C:D,2,FALSE))</f>
        <v>7</v>
      </c>
      <c r="P957" s="124" t="s">
        <v>1</v>
      </c>
      <c r="Q957" s="365">
        <f>VLOOKUP(Tableau119[[#This Row],[Name ILN]],Plant_AILN!F:G,2,FALSE)</f>
        <v>424479</v>
      </c>
      <c r="R957" s="50">
        <f>VLOOKUP(Tableau119[[#This Row],[Compte ILN]],'DATA ILN'!D:I,6,FALSE)</f>
        <v>9</v>
      </c>
      <c r="S957" s="50" t="e">
        <f>IFERROR(VLOOKUP(Tableau119[[#This Row],[Key(Compte ILN - shipper - POL - plant)]],'DATA ILN'!A:J,10,FALSE),VLOOKUP(Tableau119[[#This Row],[Key(Compte ILN - shipper - POL)]],'DATA ILN'!B:J,9,FALSE))</f>
        <v>#N/A</v>
      </c>
      <c r="T957" s="50" t="e">
        <f>IFERROR(VLOOKUP(Tableau119[[#This Row],[Key(Compte ILN - shipper - POL - plant)]],'DATA ILN'!A:K,11,FALSE),VLOOKUP(Tableau119[[#This Row],[Key(Compte ILN - shipper - POL)]],'DATA ILN'!B:K,10,FALSE))</f>
        <v>#N/A</v>
      </c>
      <c r="U957" s="50" t="e">
        <f>IFERROR(VLOOKUP(Tableau119[[#This Row],[Key(Compte ILN - shipper - POL - plant)]],'DATA ILN'!A:L,12,FALSE),VLOOKUP(Tableau119[[#This Row],[Key(Compte ILN - shipper - POL)]],'DATA ILN'!B:L,11,FALSE))</f>
        <v>#N/A</v>
      </c>
      <c r="V957" s="50" t="e">
        <f>Tableau119[[#This Row],[Day ILN Order]]+Tableau119[[#This Row],[Delivery time to ILN/Shipper]]-1</f>
        <v>#N/A</v>
      </c>
      <c r="W957" s="50" t="e">
        <f>IFERROR(VLOOKUP(Tableau119[[#This Row],[Key(Compte ILN - shipper - POL - plant)]],'DATA ILN'!A:N,14,FALSE),VLOOKUP(Tableau119[[#This Row],[Key(Compte ILN - shipper - POL)]],'DATA ILN'!B:N,13,FALSE))</f>
        <v>#N/A</v>
      </c>
      <c r="X957" s="50" t="e">
        <f>IFERROR(VLOOKUP(Tableau119[[#This Row],[Key(Compte ILN - shipper - POL - plant)]],'DATA ILN'!A:P,16,FALSE),VLOOKUP(Tableau119[[#This Row],[Key(Compte ILN - shipper - POL)]],'DATA ILN'!B:P,15,FALSE))</f>
        <v>#N/A</v>
      </c>
      <c r="Y957" s="284" t="s">
        <v>1</v>
      </c>
      <c r="Z957" s="430">
        <f>IFERROR(VLOOKUP(Tableau119[[#This Row],[Name Shipper]],Plant_AILN!L:M,2,FALSE),0)</f>
        <v>424479</v>
      </c>
      <c r="AA957" s="406">
        <v>1038</v>
      </c>
      <c r="AB957" s="396" t="b">
        <f>_xlfn.XLOOKUP(Tableau119[[#This Row],[Key(ID-date)]],'DATA BTO'!S:S,'DATA BTO'!E:E,FALSE)</f>
        <v>0</v>
      </c>
      <c r="AC957" s="3" t="b">
        <f>_xlfn.XLOOKUP(Tableau119[[#This Row],[Key(ID-date)]],'DATA BTO'!S:S,'DATA BTO'!F:F,FALSE)</f>
        <v>0</v>
      </c>
      <c r="AD957" s="50" t="b">
        <f>_xlfn.XLOOKUP(Tableau119[[#This Row],[Key(ID-date)]],'DATA BTO'!S:S,'DATA BTO'!G:G,FALSE)</f>
        <v>0</v>
      </c>
      <c r="AE957" s="50" t="b">
        <f>_xlfn.XLOOKUP(Tableau119[[#This Row],[Key(ID-date)]],'DATA BTO'!S:S,'DATA BTO'!H:H,FALSE)</f>
        <v>0</v>
      </c>
      <c r="AF957" s="447" t="e">
        <f>IF(Tableau119[[#This Row],[First Day to POL]]&lt;=Tableau119[[#This Row],[Day Cut Off]],Tableau119[[#This Row],[Day ETD]],Tableau119[[#This Row],[Day ETD]]+7)</f>
        <v>#N/A</v>
      </c>
      <c r="AG957" s="50" t="b">
        <f>_xlfn.XLOOKUP(Tableau119[[#This Row],[Key(ID-date)]],'DATA BTO'!S:S,'DATA BTO'!I:I,FALSE)</f>
        <v>0</v>
      </c>
      <c r="AH957" s="3" t="b">
        <f>_xlfn.XLOOKUP(Tableau119[[#This Row],[Key(ID-date)]],'DATA BTO'!S:S,'DATA BTO'!J:J,FALSE)</f>
        <v>0</v>
      </c>
      <c r="AI957" s="3" t="b">
        <f>_xlfn.XLOOKUP(Tableau119[[#This Row],[Key(ID-date)]],'DATA BTO'!S:S,'DATA BTO'!K:K,FALSE)</f>
        <v>0</v>
      </c>
      <c r="AJ957" s="50" t="b">
        <f>_xlfn.XLOOKUP(Tableau119[[#This Row],[Key(ID-date)]],'DATA BTO'!S:S,'DATA BTO'!L:L,FALSE)</f>
        <v>0</v>
      </c>
      <c r="AK957" s="53" t="b">
        <f>_xlfn.XLOOKUP(Tableau119[[#This Row],[Key(ID-date)]],'DATA BTO'!S:S,'DATA BTO'!N:N,FALSE)</f>
        <v>0</v>
      </c>
      <c r="AL957" s="54" t="e">
        <f>VLOOKUP(Tableau119[[#This Row],[Key(POD -PFI- Usine)]],'DATA Consignee'!A:F,6,FALSE)</f>
        <v>#N/A</v>
      </c>
      <c r="AM957" s="284"/>
      <c r="AN957" s="376" t="str">
        <f>IF(Tableau119[[#This Row],[Name PFI/CDD]]="","-",VLOOKUP(Tableau119[[#This Row],[Name PFI/CDD]],Plant_AILN!I:J,2,FALSE))</f>
        <v>-</v>
      </c>
      <c r="AO95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7" s="2" t="e">
        <f>VLOOKUP(Tableau119[[#This Row],[Key(POD -PFI- Usine)]],'DATA Consignee'!A:J,10,FALSE)</f>
        <v>#N/A</v>
      </c>
      <c r="AR957" s="50" t="e">
        <f>VLOOKUP(Tableau119[[#This Row],[Key(POD -PFI- Usine)]],'DATA Consignee'!A:N,14,FALSE)</f>
        <v>#N/A</v>
      </c>
      <c r="AS957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57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57" s="50">
        <f>Tableau119[[#This Row],[Transit time]]+Tableau119[[#This Row],[Time for security]]+Tableau119[[#This Row],[Time for security2 buffer]]</f>
        <v>0</v>
      </c>
      <c r="AV95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57" s="50" t="e">
        <f>Tableau119[[#This Row],[Leadtime SI2C]]+Tableau119[[#This Row],[First Receipt Days]]-Tableau119[[#This Row],[Day Customer Order]]+1</f>
        <v>#N/A</v>
      </c>
      <c r="AX957" s="119" t="e">
        <f>IF(Tableau119[[#This Row],[Name ILN]]&lt;&gt;"SFK Freight Forwarder",Tableau119[[#This Row],[Cust. Leadtime]],Tableau119[[#This Row],[Leadtime SI2C]])</f>
        <v>#N/A</v>
      </c>
      <c r="AY957" s="51" t="b">
        <f>_xlfn.XLOOKUP(Tableau119[[#This Row],[Key(ID-date)]],'DATA BTO'!S:S,'DATA BTO'!P:P,FALSE)</f>
        <v>0</v>
      </c>
      <c r="AZ957" s="338">
        <v>46142</v>
      </c>
      <c r="BA957" s="50"/>
    </row>
    <row r="958" spans="2:53">
      <c r="B958" s="446" t="str">
        <f>_xlfn.CONCAT(Tableau119[[#This Row],[Name ILN]],"-",Tableau119[[#This Row],[Name Shipper]],"-",Tableau119[[#This Row],[Name Site]])</f>
        <v>ILN Chine -ILN Chine -MOTORES</v>
      </c>
      <c r="C958" s="66" t="str">
        <f>_xlfn.CONCAT(Tableau119[[#This Row],[Compte ILN]],"-",Tableau119[[#This Row],[Compte Shipper]],"-",Tableau119[[#This Row],[POL]],"-",Tableau119[[#This Row],[Compte Consignee]])</f>
        <v>424479-424479-CNSHA-91017700</v>
      </c>
      <c r="D958" s="66" t="str">
        <f>_xlfn.CONCAT(Tableau119[[#This Row],[Compte ILN]],"-",Tableau119[[#This Row],[Compte Shipper]],"-",Tableau119[[#This Row],[POL]])</f>
        <v>424479-424479-CNSHA</v>
      </c>
      <c r="E958" s="130" t="str">
        <f>_xlfn.CONCAT(Tableau119[[#This Row],[POL]],"-",Tableau119[[#This Row],[Carrier]],"-",Tableau119[[#This Row],[POD]])</f>
        <v>CNSHA-CMA-CGM-ESVLC</v>
      </c>
      <c r="F958" s="66" t="str">
        <f>_xlfn.CONCAT(Tableau119[[#This Row],[ID]],"-","Actif")</f>
        <v>1039-Actif</v>
      </c>
      <c r="G958" s="66" t="str">
        <f>_xlfn.CONCAT(Tableau119[[#This Row],[POD]],"-",Tableau119[[#This Row],[Code PFI]],"-",Tableau119[[#This Row],[Compte Consignee]])</f>
        <v>ESVLC---91017700</v>
      </c>
      <c r="H95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CNSHAMOTORES</v>
      </c>
      <c r="I958" s="434" t="str">
        <f>_xlfn.CONCAT(Tableau119[[#This Row],[ID]],"-",Tableau119[[#This Row],[Expiration Date]])</f>
        <v>1039-46142</v>
      </c>
      <c r="J95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MOTORES-ILN Chine -ILN Chine -1039-CNSHA-CMA-CGM-ESVLC--46142</v>
      </c>
      <c r="K958" s="119" t="str">
        <f ca="1">IF(COUNTIF(J:J,Tableau119[[#This Row],[Plant-ILN-shipper-POL-Carrier-POD-PFI]])=1,"Non","Oui")</f>
        <v>Non</v>
      </c>
      <c r="L958" s="128" t="str">
        <f>VLOOKUP(Tableau119[[#This Row],[Name Site]],Plant_AILN!A:D,4,FALSE)</f>
        <v>SPAIN</v>
      </c>
      <c r="M958" s="415" t="s">
        <v>63</v>
      </c>
      <c r="N958" s="455">
        <f>VLOOKUP(Tableau119[[#This Row],[Name Site]],Plant_AILN!A:C,3,FALSE)</f>
        <v>91017700</v>
      </c>
      <c r="O958" s="104">
        <f>IF(Tableau119[[#This Row],[Name PFI/CDD]]="PFI VLL",2,VLOOKUP(Tableau119[[#This Row],[Compte Consignee]],Order!C:D,2,FALSE))</f>
        <v>7</v>
      </c>
      <c r="P958" s="126" t="s">
        <v>1</v>
      </c>
      <c r="Q958" s="366">
        <f>VLOOKUP(Tableau119[[#This Row],[Name ILN]],Plant_AILN!F:G,2,FALSE)</f>
        <v>424479</v>
      </c>
      <c r="R958" s="81">
        <f>VLOOKUP(Tableau119[[#This Row],[Compte ILN]],'DATA ILN'!D:I,6,FALSE)</f>
        <v>9</v>
      </c>
      <c r="S958" s="81">
        <f>IFERROR(VLOOKUP(Tableau119[[#This Row],[Key(Compte ILN - shipper - POL - plant)]],'DATA ILN'!A:J,10,FALSE),VLOOKUP(Tableau119[[#This Row],[Key(Compte ILN - shipper - POL)]],'DATA ILN'!B:J,9,FALSE))</f>
        <v>21</v>
      </c>
      <c r="T958" s="81">
        <f>IFERROR(VLOOKUP(Tableau119[[#This Row],[Key(Compte ILN - shipper - POL - plant)]],'DATA ILN'!A:K,11,FALSE),VLOOKUP(Tableau119[[#This Row],[Key(Compte ILN - shipper - POL)]],'DATA ILN'!B:K,10,FALSE))</f>
        <v>5</v>
      </c>
      <c r="U958" s="81">
        <f>IFERROR(VLOOKUP(Tableau119[[#This Row],[Key(Compte ILN - shipper - POL - plant)]],'DATA ILN'!A:L,12,FALSE),VLOOKUP(Tableau119[[#This Row],[Key(Compte ILN - shipper - POL)]],'DATA ILN'!B:L,11,FALSE))</f>
        <v>7</v>
      </c>
      <c r="V958" s="81">
        <f>Tableau119[[#This Row],[Day ILN Order]]+Tableau119[[#This Row],[Delivery time to ILN/Shipper]]-1</f>
        <v>29</v>
      </c>
      <c r="W958" s="81">
        <f>IFERROR(VLOOKUP(Tableau119[[#This Row],[Key(Compte ILN - shipper - POL - plant)]],'DATA ILN'!A:N,14,FALSE),VLOOKUP(Tableau119[[#This Row],[Key(Compte ILN - shipper - POL)]],'DATA ILN'!B:N,13,FALSE))</f>
        <v>1</v>
      </c>
      <c r="X958" s="81">
        <f>IFERROR(VLOOKUP(Tableau119[[#This Row],[Key(Compte ILN - shipper - POL - plant)]],'DATA ILN'!A:P,16,FALSE),VLOOKUP(Tableau119[[#This Row],[Key(Compte ILN - shipper - POL)]],'DATA ILN'!B:P,15,FALSE))</f>
        <v>2</v>
      </c>
      <c r="Y958" s="102" t="s">
        <v>1</v>
      </c>
      <c r="Z958" s="417">
        <f>IFERROR(VLOOKUP(Tableau119[[#This Row],[Name Shipper]],Plant_AILN!L:M,2,FALSE),0)</f>
        <v>424479</v>
      </c>
      <c r="AA958" s="416">
        <v>1039</v>
      </c>
      <c r="AB958" s="396" t="str">
        <f>_xlfn.XLOOKUP(Tableau119[[#This Row],[Key(ID-date)]],'DATA BTO'!S:S,'DATA BTO'!E:E,FALSE)</f>
        <v>CNSHA</v>
      </c>
      <c r="AC958" s="3" t="str">
        <f>_xlfn.XLOOKUP(Tableau119[[#This Row],[Key(ID-date)]],'DATA BTO'!S:S,'DATA BTO'!F:F,FALSE)</f>
        <v>CMA-CGM</v>
      </c>
      <c r="AD958" s="50">
        <f>_xlfn.XLOOKUP(Tableau119[[#This Row],[Key(ID-date)]],'DATA BTO'!S:S,'DATA BTO'!G:G,FALSE)</f>
        <v>2</v>
      </c>
      <c r="AE958" s="50">
        <f>_xlfn.XLOOKUP(Tableau119[[#This Row],[Key(ID-date)]],'DATA BTO'!S:S,'DATA BTO'!H:H,FALSE)</f>
        <v>4</v>
      </c>
      <c r="AF958" s="447">
        <f>IF(Tableau119[[#This Row],[First Day to POL]]&lt;=Tableau119[[#This Row],[Day Cut Off]],Tableau119[[#This Row],[Day ETD]],Tableau119[[#This Row],[Day ETD]]+7)</f>
        <v>4</v>
      </c>
      <c r="AG958" s="50">
        <f>_xlfn.XLOOKUP(Tableau119[[#This Row],[Key(ID-date)]],'DATA BTO'!S:S,'DATA BTO'!I:I,FALSE)</f>
        <v>38</v>
      </c>
      <c r="AH958" s="3" t="str">
        <f>_xlfn.XLOOKUP(Tableau119[[#This Row],[Key(ID-date)]],'DATA BTO'!S:S,'DATA BTO'!J:J,FALSE)</f>
        <v>ESVLC</v>
      </c>
      <c r="AI958" s="3">
        <f>_xlfn.XLOOKUP(Tableau119[[#This Row],[Key(ID-date)]],'DATA BTO'!S:S,'DATA BTO'!K:K,FALSE)</f>
        <v>3</v>
      </c>
      <c r="AJ958" s="50">
        <f>_xlfn.XLOOKUP(Tableau119[[#This Row],[Key(ID-date)]],'DATA BTO'!S:S,'DATA BTO'!L:L,FALSE)</f>
        <v>0</v>
      </c>
      <c r="AK958" s="53" t="str">
        <f>_xlfn.XLOOKUP(Tableau119[[#This Row],[Key(ID-date)]],'DATA BTO'!S:S,'DATA BTO'!N:N,FALSE)</f>
        <v>Marc-Aurele</v>
      </c>
      <c r="AL958" s="54">
        <f>VLOOKUP(Tableau119[[#This Row],[Key(POD -PFI- Usine)]],'DATA Consignee'!A:F,6,FALSE)</f>
        <v>2</v>
      </c>
      <c r="AM958" s="102"/>
      <c r="AN958" s="375" t="str">
        <f>IF(Tableau119[[#This Row],[Name PFI/CDD]]="","-",VLOOKUP(Tableau119[[#This Row],[Name PFI/CDD]],Plant_AILN!I:J,2,FALSE))</f>
        <v>-</v>
      </c>
      <c r="AO95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8" s="110">
        <f>VLOOKUP(Tableau119[[#This Row],[Key(POD -PFI- Usine)]],'DATA Consignee'!A:J,10,FALSE)</f>
        <v>0</v>
      </c>
      <c r="AR958" s="81">
        <f>VLOOKUP(Tableau119[[#This Row],[Key(POD -PFI- Usine)]],'DATA Consignee'!A:N,14,FALSE)</f>
        <v>3</v>
      </c>
      <c r="AS95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5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9</v>
      </c>
      <c r="AU958" s="81">
        <f>Tableau119[[#This Row],[Transit time]]+Tableau119[[#This Row],[Time for security]]+Tableau119[[#This Row],[Time for security2 buffer]]</f>
        <v>41</v>
      </c>
      <c r="AV95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55</v>
      </c>
      <c r="AW958" s="50">
        <f>Tableau119[[#This Row],[Leadtime SI2C]]+Tableau119[[#This Row],[First Receipt Days]]-Tableau119[[#This Row],[Day Customer Order]]+1</f>
        <v>78</v>
      </c>
      <c r="AX958" s="119">
        <f>IF(Tableau119[[#This Row],[Name ILN]]&lt;&gt;"SFK Freight Forwarder",Tableau119[[#This Row],[Cust. Leadtime]],Tableau119[[#This Row],[Leadtime SI2C]])</f>
        <v>78</v>
      </c>
      <c r="AY958" s="51" t="str">
        <f>_xlfn.XLOOKUP(Tableau119[[#This Row],[Key(ID-date)]],'DATA BTO'!S:S,'DATA BTO'!P:P,FALSE)</f>
        <v>Renault &gt; Horse BPH</v>
      </c>
      <c r="AZ958" s="388">
        <v>46142</v>
      </c>
      <c r="BA958" s="81"/>
    </row>
    <row r="959" spans="2:53">
      <c r="B959" s="446" t="str">
        <f>_xlfn.CONCAT(Tableau119[[#This Row],[Name ILN]],"-",Tableau119[[#This Row],[Name Shipper]],"-",Tableau119[[#This Row],[Name Site]])</f>
        <v>SFK Freight Forwarder-Jatco Japon-CHENNAI Vehicule</v>
      </c>
      <c r="C959" s="66" t="str">
        <f>_xlfn.CONCAT(Tableau119[[#This Row],[Compte ILN]],"-",Tableau119[[#This Row],[Compte Shipper]],"-",Tableau119[[#This Row],[POL]],"-",Tableau119[[#This Row],[Compte Consignee]])</f>
        <v>0-119640-JPSMZ-26549502</v>
      </c>
      <c r="D959" s="66" t="str">
        <f>_xlfn.CONCAT(Tableau119[[#This Row],[Compte ILN]],"-",Tableau119[[#This Row],[Compte Shipper]],"-",Tableau119[[#This Row],[POL]])</f>
        <v>0-119640-JPSMZ</v>
      </c>
      <c r="E959" s="130" t="str">
        <f>_xlfn.CONCAT(Tableau119[[#This Row],[POL]],"-",Tableau119[[#This Row],[Carrier]],"-",Tableau119[[#This Row],[POD]])</f>
        <v>JPSMZ-ONE-INMAA</v>
      </c>
      <c r="F959" s="66" t="str">
        <f>_xlfn.CONCAT(Tableau119[[#This Row],[ID]],"-","Actif")</f>
        <v>1040-Actif</v>
      </c>
      <c r="G959" s="66" t="str">
        <f>_xlfn.CONCAT(Tableau119[[#This Row],[POD]],"-",Tableau119[[#This Row],[Code PFI]],"-",Tableau119[[#This Row],[Compte Consignee]])</f>
        <v>INMAA---26549502</v>
      </c>
      <c r="H95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119640JPSMZCHENNAI Vehicule</v>
      </c>
      <c r="I959" s="434" t="str">
        <f>_xlfn.CONCAT(Tableau119[[#This Row],[ID]],"-",Tableau119[[#This Row],[Expiration Date]])</f>
        <v>1040-46142</v>
      </c>
      <c r="J95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Vehicule-SFK Freight Forwarder-Jatco Japon-1040-JPSMZ-ONE-INMAA--46142</v>
      </c>
      <c r="K959" s="119" t="str">
        <f ca="1">IF(COUNTIF(J:J,Tableau119[[#This Row],[Plant-ILN-shipper-POL-Carrier-POD-PFI]])=1,"Non","Oui")</f>
        <v>Non</v>
      </c>
      <c r="L959" s="128" t="str">
        <f>VLOOKUP(Tableau119[[#This Row],[Name Site]],Plant_AILN!A:D,4,FALSE)</f>
        <v>INDIA</v>
      </c>
      <c r="M959" s="411" t="s">
        <v>159</v>
      </c>
      <c r="N959" s="454">
        <f>VLOOKUP(Tableau119[[#This Row],[Name Site]],Plant_AILN!A:C,3,FALSE)</f>
        <v>26549502</v>
      </c>
      <c r="O959" s="55">
        <f>IF(Tableau119[[#This Row],[Name PFI/CDD]]="PFI VLL",2,VLOOKUP(Tableau119[[#This Row],[Compte Consignee]],Order!C:D,2,FALSE))</f>
        <v>5</v>
      </c>
      <c r="P959" s="124" t="s">
        <v>146</v>
      </c>
      <c r="Q959" s="365">
        <f>VLOOKUP(Tableau119[[#This Row],[Name ILN]],Plant_AILN!F:G,2,FALSE)</f>
        <v>0</v>
      </c>
      <c r="R959" s="50">
        <f>VLOOKUP(Tableau119[[#This Row],[Compte ILN]],'DATA ILN'!D:I,6,FALSE)</f>
        <v>9</v>
      </c>
      <c r="S959" s="50">
        <f>IFERROR(VLOOKUP(Tableau119[[#This Row],[Key(Compte ILN - shipper - POL - plant)]],'DATA ILN'!A:J,10,FALSE),VLOOKUP(Tableau119[[#This Row],[Key(Compte ILN - shipper - POL)]],'DATA ILN'!B:J,9,FALSE))</f>
        <v>14</v>
      </c>
      <c r="T959" s="50">
        <f>IFERROR(VLOOKUP(Tableau119[[#This Row],[Key(Compte ILN - shipper - POL - plant)]],'DATA ILN'!A:K,11,FALSE),VLOOKUP(Tableau119[[#This Row],[Key(Compte ILN - shipper - POL)]],'DATA ILN'!B:K,10,FALSE))</f>
        <v>5</v>
      </c>
      <c r="U959" s="50">
        <f>IFERROR(VLOOKUP(Tableau119[[#This Row],[Key(Compte ILN - shipper - POL - plant)]],'DATA ILN'!A:L,12,FALSE),VLOOKUP(Tableau119[[#This Row],[Key(Compte ILN - shipper - POL)]],'DATA ILN'!B:L,11,FALSE))</f>
        <v>7</v>
      </c>
      <c r="V959" s="50">
        <f>Tableau119[[#This Row],[Day ILN Order]]+Tableau119[[#This Row],[Delivery time to ILN/Shipper]]-1</f>
        <v>22</v>
      </c>
      <c r="W959" s="50">
        <f>IFERROR(VLOOKUP(Tableau119[[#This Row],[Key(Compte ILN - shipper - POL - plant)]],'DATA ILN'!A:N,14,FALSE),VLOOKUP(Tableau119[[#This Row],[Key(Compte ILN - shipper - POL)]],'DATA ILN'!B:N,13,FALSE))</f>
        <v>1</v>
      </c>
      <c r="X959" s="50">
        <f>IFERROR(VLOOKUP(Tableau119[[#This Row],[Key(Compte ILN - shipper - POL - plant)]],'DATA ILN'!A:P,16,FALSE),VLOOKUP(Tableau119[[#This Row],[Key(Compte ILN - shipper - POL)]],'DATA ILN'!B:P,15,FALSE))</f>
        <v>3</v>
      </c>
      <c r="Y959" s="284" t="s">
        <v>178</v>
      </c>
      <c r="Z959" s="430">
        <f>IFERROR(VLOOKUP(Tableau119[[#This Row],[Name Shipper]],Plant_AILN!L:M,2,FALSE),0)</f>
        <v>119640</v>
      </c>
      <c r="AA959" s="406">
        <v>1040</v>
      </c>
      <c r="AB959" s="396" t="str">
        <f>_xlfn.XLOOKUP(Tableau119[[#This Row],[Key(ID-date)]],'DATA BTO'!S:S,'DATA BTO'!E:E,FALSE)</f>
        <v>JPSMZ</v>
      </c>
      <c r="AC959" s="3" t="str">
        <f>_xlfn.XLOOKUP(Tableau119[[#This Row],[Key(ID-date)]],'DATA BTO'!S:S,'DATA BTO'!F:F,FALSE)</f>
        <v>ONE</v>
      </c>
      <c r="AD959" s="50">
        <f>_xlfn.XLOOKUP(Tableau119[[#This Row],[Key(ID-date)]],'DATA BTO'!S:S,'DATA BTO'!G:G,FALSE)</f>
        <v>5</v>
      </c>
      <c r="AE959" s="50">
        <f>_xlfn.XLOOKUP(Tableau119[[#This Row],[Key(ID-date)]],'DATA BTO'!S:S,'DATA BTO'!H:H,FALSE)</f>
        <v>11</v>
      </c>
      <c r="AF959" s="447">
        <f>IF(Tableau119[[#This Row],[First Day to POL]]&lt;=Tableau119[[#This Row],[Day Cut Off]],Tableau119[[#This Row],[Day ETD]],Tableau119[[#This Row],[Day ETD]]+7)</f>
        <v>11</v>
      </c>
      <c r="AG959" s="50">
        <f>_xlfn.XLOOKUP(Tableau119[[#This Row],[Key(ID-date)]],'DATA BTO'!S:S,'DATA BTO'!I:I,FALSE)</f>
        <v>32</v>
      </c>
      <c r="AH959" s="3" t="str">
        <f>_xlfn.XLOOKUP(Tableau119[[#This Row],[Key(ID-date)]],'DATA BTO'!S:S,'DATA BTO'!J:J,FALSE)</f>
        <v>INMAA</v>
      </c>
      <c r="AI959" s="3">
        <f>_xlfn.XLOOKUP(Tableau119[[#This Row],[Key(ID-date)]],'DATA BTO'!S:S,'DATA BTO'!K:K,FALSE)</f>
        <v>3</v>
      </c>
      <c r="AJ959" s="50">
        <f>_xlfn.XLOOKUP(Tableau119[[#This Row],[Key(ID-date)]],'DATA BTO'!S:S,'DATA BTO'!L:L,FALSE)</f>
        <v>0</v>
      </c>
      <c r="AK959" s="53" t="str">
        <f>_xlfn.XLOOKUP(Tableau119[[#This Row],[Key(ID-date)]],'DATA BTO'!S:S,'DATA BTO'!N:N,FALSE)</f>
        <v>Max</v>
      </c>
      <c r="AL959" s="54">
        <f>VLOOKUP(Tableau119[[#This Row],[Key(POD -PFI- Usine)]],'DATA Consignee'!A:F,6,FALSE)</f>
        <v>4</v>
      </c>
      <c r="AM959" s="284"/>
      <c r="AN959" s="376" t="str">
        <f>IF(Tableau119[[#This Row],[Name PFI/CDD]]="","-",VLOOKUP(Tableau119[[#This Row],[Name PFI/CDD]],Plant_AILN!I:J,2,FALSE))</f>
        <v>-</v>
      </c>
      <c r="AO95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5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59" s="2">
        <f>VLOOKUP(Tableau119[[#This Row],[Key(POD -PFI- Usine)]],'DATA Consignee'!A:J,10,FALSE)</f>
        <v>0</v>
      </c>
      <c r="AR959" s="50">
        <f>VLOOKUP(Tableau119[[#This Row],[Key(POD -PFI- Usine)]],'DATA Consignee'!A:N,14,FALSE)</f>
        <v>3</v>
      </c>
      <c r="AS95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95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59" s="50">
        <f>Tableau119[[#This Row],[Transit time]]+Tableau119[[#This Row],[Time for security]]+Tableau119[[#This Row],[Time for security2 buffer]]</f>
        <v>35</v>
      </c>
      <c r="AV95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59" s="50">
        <f>Tableau119[[#This Row],[Leadtime SI2C]]+Tableau119[[#This Row],[First Receipt Days]]-Tableau119[[#This Row],[Day Customer Order]]+1</f>
        <v>80</v>
      </c>
      <c r="AX959" s="119">
        <f>IF(Tableau119[[#This Row],[Name ILN]]&lt;&gt;"SFK Freight Forwarder",Tableau119[[#This Row],[Cust. Leadtime]],Tableau119[[#This Row],[Leadtime SI2C]])</f>
        <v>62</v>
      </c>
      <c r="AY959" s="51" t="str">
        <f>_xlfn.XLOOKUP(Tableau119[[#This Row],[Key(ID-date)]],'DATA BTO'!S:S,'DATA BTO'!P:P,FALSE)</f>
        <v>Horse &gt; Renault BPH (MLP)</v>
      </c>
      <c r="AZ959" s="338">
        <v>46142</v>
      </c>
      <c r="BA959" s="50"/>
    </row>
    <row r="960" spans="2:53">
      <c r="B960" s="446" t="str">
        <f>_xlfn.CONCAT(Tableau119[[#This Row],[Name ILN]],"-",Tableau119[[#This Row],[Name Shipper]],"-",Tableau119[[#This Row],[Name Site]])</f>
        <v>ILN Chine -ILN Chine -OYAK MEKA</v>
      </c>
      <c r="C960" s="66" t="str">
        <f>_xlfn.CONCAT(Tableau119[[#This Row],[Compte ILN]],"-",Tableau119[[#This Row],[Compte Shipper]],"-",Tableau119[[#This Row],[POL]],"-",Tableau119[[#This Row],[Compte Consignee]])</f>
        <v>424479-424479-CNSHA-90014400</v>
      </c>
      <c r="D960" s="66" t="str">
        <f>_xlfn.CONCAT(Tableau119[[#This Row],[Compte ILN]],"-",Tableau119[[#This Row],[Compte Shipper]],"-",Tableau119[[#This Row],[POL]])</f>
        <v>424479-424479-CNSHA</v>
      </c>
      <c r="E960" s="130" t="str">
        <f>_xlfn.CONCAT(Tableau119[[#This Row],[POL]],"-",Tableau119[[#This Row],[Carrier]],"-",Tableau119[[#This Row],[POD]])</f>
        <v>CNSHA-ONE-TRIZT</v>
      </c>
      <c r="F960" s="66" t="str">
        <f>_xlfn.CONCAT(Tableau119[[#This Row],[ID]],"-","Actif")</f>
        <v>1045-Actif</v>
      </c>
      <c r="G960" s="66" t="str">
        <f>_xlfn.CONCAT(Tableau119[[#This Row],[POD]],"-",Tableau119[[#This Row],[Code PFI]],"-",Tableau119[[#This Row],[Compte Consignee]])</f>
        <v>TRIZT---90014400</v>
      </c>
      <c r="H96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CNSHAOYAK MEKA</v>
      </c>
      <c r="I960" s="434" t="str">
        <f>_xlfn.CONCAT(Tableau119[[#This Row],[ID]],"-",Tableau119[[#This Row],[Expiration Date]])</f>
        <v>1045-46142</v>
      </c>
      <c r="J96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Chine -ILN Chine -1045-CNSHA-ONE-TRIZT--46142</v>
      </c>
      <c r="K960" s="119" t="str">
        <f ca="1">IF(COUNTIF(J:J,Tableau119[[#This Row],[Plant-ILN-shipper-POL-Carrier-POD-PFI]])=1,"Non","Oui")</f>
        <v>Non</v>
      </c>
      <c r="L960" s="128" t="str">
        <f>VLOOKUP(Tableau119[[#This Row],[Name Site]],Plant_AILN!A:D,4,FALSE)</f>
        <v>TURKEY</v>
      </c>
      <c r="M960" s="411" t="s">
        <v>165</v>
      </c>
      <c r="N960" s="454">
        <f>VLOOKUP(Tableau119[[#This Row],[Name Site]],Plant_AILN!A:C,3,FALSE)</f>
        <v>90014400</v>
      </c>
      <c r="O960" s="55">
        <f>IF(Tableau119[[#This Row],[Name PFI/CDD]]="PFI VLL",2,VLOOKUP(Tableau119[[#This Row],[Compte Consignee]],Order!C:D,2,FALSE))</f>
        <v>2</v>
      </c>
      <c r="P960" s="124" t="s">
        <v>1</v>
      </c>
      <c r="Q960" s="365">
        <f>VLOOKUP(Tableau119[[#This Row],[Name ILN]],Plant_AILN!F:G,2,FALSE)</f>
        <v>424479</v>
      </c>
      <c r="R960" s="50">
        <f>VLOOKUP(Tableau119[[#This Row],[Compte ILN]],'DATA ILN'!D:I,6,FALSE)</f>
        <v>9</v>
      </c>
      <c r="S960" s="50">
        <f>IFERROR(VLOOKUP(Tableau119[[#This Row],[Key(Compte ILN - shipper - POL - plant)]],'DATA ILN'!A:J,10,FALSE),VLOOKUP(Tableau119[[#This Row],[Key(Compte ILN - shipper - POL)]],'DATA ILN'!B:J,9,FALSE))</f>
        <v>21</v>
      </c>
      <c r="T960" s="50">
        <f>IFERROR(VLOOKUP(Tableau119[[#This Row],[Key(Compte ILN - shipper - POL - plant)]],'DATA ILN'!A:K,11,FALSE),VLOOKUP(Tableau119[[#This Row],[Key(Compte ILN - shipper - POL)]],'DATA ILN'!B:K,10,FALSE))</f>
        <v>5</v>
      </c>
      <c r="U960" s="50">
        <f>IFERROR(VLOOKUP(Tableau119[[#This Row],[Key(Compte ILN - shipper - POL - plant)]],'DATA ILN'!A:L,12,FALSE),VLOOKUP(Tableau119[[#This Row],[Key(Compte ILN - shipper - POL)]],'DATA ILN'!B:L,11,FALSE))</f>
        <v>7</v>
      </c>
      <c r="V960" s="50">
        <f>Tableau119[[#This Row],[Day ILN Order]]+Tableau119[[#This Row],[Delivery time to ILN/Shipper]]-1</f>
        <v>29</v>
      </c>
      <c r="W960" s="50">
        <f>IFERROR(VLOOKUP(Tableau119[[#This Row],[Key(Compte ILN - shipper - POL - plant)]],'DATA ILN'!A:N,14,FALSE),VLOOKUP(Tableau119[[#This Row],[Key(Compte ILN - shipper - POL)]],'DATA ILN'!B:N,13,FALSE))</f>
        <v>1</v>
      </c>
      <c r="X960" s="50">
        <f>IFERROR(VLOOKUP(Tableau119[[#This Row],[Key(Compte ILN - shipper - POL - plant)]],'DATA ILN'!A:P,16,FALSE),VLOOKUP(Tableau119[[#This Row],[Key(Compte ILN - shipper - POL)]],'DATA ILN'!B:P,15,FALSE))</f>
        <v>2</v>
      </c>
      <c r="Y960" s="284" t="s">
        <v>1</v>
      </c>
      <c r="Z960" s="430">
        <f>IFERROR(VLOOKUP(Tableau119[[#This Row],[Name Shipper]],Plant_AILN!L:M,2,FALSE),0)</f>
        <v>424479</v>
      </c>
      <c r="AA960" s="406">
        <v>1045</v>
      </c>
      <c r="AB960" s="396" t="str">
        <f>_xlfn.XLOOKUP(Tableau119[[#This Row],[Key(ID-date)]],'DATA BTO'!S:S,'DATA BTO'!E:E,FALSE)</f>
        <v>CNSHA</v>
      </c>
      <c r="AC960" s="3" t="str">
        <f>_xlfn.XLOOKUP(Tableau119[[#This Row],[Key(ID-date)]],'DATA BTO'!S:S,'DATA BTO'!F:F,FALSE)</f>
        <v>ONE</v>
      </c>
      <c r="AD960" s="50">
        <f>_xlfn.XLOOKUP(Tableau119[[#This Row],[Key(ID-date)]],'DATA BTO'!S:S,'DATA BTO'!G:G,FALSE)</f>
        <v>3</v>
      </c>
      <c r="AE960" s="50">
        <f>_xlfn.XLOOKUP(Tableau119[[#This Row],[Key(ID-date)]],'DATA BTO'!S:S,'DATA BTO'!H:H,FALSE)</f>
        <v>5</v>
      </c>
      <c r="AF960" s="447">
        <f>IF(Tableau119[[#This Row],[First Day to POL]]&lt;=Tableau119[[#This Row],[Day Cut Off]],Tableau119[[#This Row],[Day ETD]],Tableau119[[#This Row],[Day ETD]]+7)</f>
        <v>5</v>
      </c>
      <c r="AG960" s="50">
        <f>_xlfn.XLOOKUP(Tableau119[[#This Row],[Key(ID-date)]],'DATA BTO'!S:S,'DATA BTO'!I:I,FALSE)</f>
        <v>53</v>
      </c>
      <c r="AH960" s="3" t="str">
        <f>_xlfn.XLOOKUP(Tableau119[[#This Row],[Key(ID-date)]],'DATA BTO'!S:S,'DATA BTO'!J:J,FALSE)</f>
        <v>TRIZT</v>
      </c>
      <c r="AI960" s="3">
        <f>_xlfn.XLOOKUP(Tableau119[[#This Row],[Key(ID-date)]],'DATA BTO'!S:S,'DATA BTO'!K:K,FALSE)</f>
        <v>3</v>
      </c>
      <c r="AJ960" s="50">
        <f>_xlfn.XLOOKUP(Tableau119[[#This Row],[Key(ID-date)]],'DATA BTO'!S:S,'DATA BTO'!L:L,FALSE)</f>
        <v>0</v>
      </c>
      <c r="AK960" s="53" t="str">
        <f>_xlfn.XLOOKUP(Tableau119[[#This Row],[Key(ID-date)]],'DATA BTO'!S:S,'DATA BTO'!N:N,FALSE)</f>
        <v>Marc-Aurele</v>
      </c>
      <c r="AL960" s="54">
        <f>VLOOKUP(Tableau119[[#This Row],[Key(POD -PFI- Usine)]],'DATA Consignee'!A:F,6,FALSE)</f>
        <v>4</v>
      </c>
      <c r="AM960" s="284"/>
      <c r="AN960" s="376" t="str">
        <f>IF(Tableau119[[#This Row],[Name PFI/CDD]]="","-",VLOOKUP(Tableau119[[#This Row],[Name PFI/CDD]],Plant_AILN!I:J,2,FALSE))</f>
        <v>-</v>
      </c>
      <c r="AO96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0" s="2">
        <f>VLOOKUP(Tableau119[[#This Row],[Key(POD -PFI- Usine)]],'DATA Consignee'!A:J,10,FALSE)</f>
        <v>0</v>
      </c>
      <c r="AR960" s="50">
        <f>VLOOKUP(Tableau119[[#This Row],[Key(POD -PFI- Usine)]],'DATA Consignee'!A:N,14,FALSE)</f>
        <v>3</v>
      </c>
      <c r="AS96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6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960" s="50">
        <f>Tableau119[[#This Row],[Transit time]]+Tableau119[[#This Row],[Time for security]]+Tableau119[[#This Row],[Time for security2 buffer]]</f>
        <v>56</v>
      </c>
      <c r="AV96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60" s="50">
        <f>Tableau119[[#This Row],[Leadtime SI2C]]+Tableau119[[#This Row],[First Receipt Days]]-Tableau119[[#This Row],[Day Customer Order]]+1</f>
        <v>104</v>
      </c>
      <c r="AX960" s="119">
        <f>IF(Tableau119[[#This Row],[Name ILN]]&lt;&gt;"SFK Freight Forwarder",Tableau119[[#This Row],[Cust. Leadtime]],Tableau119[[#This Row],[Leadtime SI2C]])</f>
        <v>104</v>
      </c>
      <c r="AY960" s="51" t="str">
        <f>_xlfn.XLOOKUP(Tableau119[[#This Row],[Key(ID-date)]],'DATA BTO'!S:S,'DATA BTO'!P:P,FALSE)</f>
        <v>Renault &gt; Horse BPH</v>
      </c>
      <c r="AZ960" s="338">
        <v>46142</v>
      </c>
      <c r="BA960" s="50"/>
    </row>
    <row r="961" spans="2:53">
      <c r="B961" s="446" t="str">
        <f>_xlfn.CONCAT(Tableau119[[#This Row],[Name ILN]],"-",Tableau119[[#This Row],[Name Shipper]],"-",Tableau119[[#This Row],[Name Site]])</f>
        <v>ILN Chine -ILN Chine -OYAK MONT</v>
      </c>
      <c r="C961" s="66" t="str">
        <f>_xlfn.CONCAT(Tableau119[[#This Row],[Compte ILN]],"-",Tableau119[[#This Row],[Compte Shipper]],"-",Tableau119[[#This Row],[POL]],"-",Tableau119[[#This Row],[Compte Consignee]])</f>
        <v>424479-424479-CNSHA-90017000</v>
      </c>
      <c r="D961" s="66" t="str">
        <f>_xlfn.CONCAT(Tableau119[[#This Row],[Compte ILN]],"-",Tableau119[[#This Row],[Compte Shipper]],"-",Tableau119[[#This Row],[POL]])</f>
        <v>424479-424479-CNSHA</v>
      </c>
      <c r="E961" s="130" t="str">
        <f>_xlfn.CONCAT(Tableau119[[#This Row],[POL]],"-",Tableau119[[#This Row],[Carrier]],"-",Tableau119[[#This Row],[POD]])</f>
        <v>CNSHA-ONE-TRIZT</v>
      </c>
      <c r="F961" s="66" t="str">
        <f>_xlfn.CONCAT(Tableau119[[#This Row],[ID]],"-","Actif")</f>
        <v>1045-Actif</v>
      </c>
      <c r="G961" s="66" t="str">
        <f>_xlfn.CONCAT(Tableau119[[#This Row],[POD]],"-",Tableau119[[#This Row],[Code PFI]],"-",Tableau119[[#This Row],[Compte Consignee]])</f>
        <v>TRIZT---90017000</v>
      </c>
      <c r="H96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CNSHAOYAK MONT</v>
      </c>
      <c r="I961" s="434" t="str">
        <f>_xlfn.CONCAT(Tableau119[[#This Row],[ID]],"-",Tableau119[[#This Row],[Expiration Date]])</f>
        <v>1045-46142</v>
      </c>
      <c r="J96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Chine -ILN Chine -1045-CNSHA-ONE-TRIZT--46142</v>
      </c>
      <c r="K961" s="119" t="str">
        <f ca="1">IF(COUNTIF(J:J,Tableau119[[#This Row],[Plant-ILN-shipper-POL-Carrier-POD-PFI]])=1,"Non","Oui")</f>
        <v>Non</v>
      </c>
      <c r="L961" s="128" t="str">
        <f>VLOOKUP(Tableau119[[#This Row],[Name Site]],Plant_AILN!A:D,4,FALSE)</f>
        <v>TURKEY</v>
      </c>
      <c r="M961" s="411" t="s">
        <v>173</v>
      </c>
      <c r="N961" s="454">
        <f>VLOOKUP(Tableau119[[#This Row],[Name Site]],Plant_AILN!A:C,3,FALSE)</f>
        <v>90017000</v>
      </c>
      <c r="O961" s="55">
        <f>VLOOKUP(Tableau119[[#This Row],[Compte Consignee]],Order!C:D,2,FALSE)</f>
        <v>7</v>
      </c>
      <c r="P961" s="124" t="s">
        <v>1</v>
      </c>
      <c r="Q961" s="365">
        <f>VLOOKUP(Tableau119[[#This Row],[Name ILN]],Plant_AILN!F:G,2,FALSE)</f>
        <v>424479</v>
      </c>
      <c r="R961" s="50">
        <f>VLOOKUP(Tableau119[[#This Row],[Compte ILN]],'DATA ILN'!D:I,6,FALSE)</f>
        <v>9</v>
      </c>
      <c r="S961" s="50">
        <f>IFERROR(VLOOKUP(Tableau119[[#This Row],[Key(Compte ILN - shipper - POL - plant)]],'DATA ILN'!A:J,10,FALSE),VLOOKUP(Tableau119[[#This Row],[Key(Compte ILN - shipper - POL)]],'DATA ILN'!B:J,9,FALSE))</f>
        <v>21</v>
      </c>
      <c r="T961" s="50">
        <f>IFERROR(VLOOKUP(Tableau119[[#This Row],[Key(Compte ILN - shipper - POL - plant)]],'DATA ILN'!A:K,11,FALSE),VLOOKUP(Tableau119[[#This Row],[Key(Compte ILN - shipper - POL)]],'DATA ILN'!B:K,10,FALSE))</f>
        <v>5</v>
      </c>
      <c r="U961" s="50">
        <f>IFERROR(VLOOKUP(Tableau119[[#This Row],[Key(Compte ILN - shipper - POL - plant)]],'DATA ILN'!A:L,12,FALSE),VLOOKUP(Tableau119[[#This Row],[Key(Compte ILN - shipper - POL)]],'DATA ILN'!B:L,11,FALSE))</f>
        <v>7</v>
      </c>
      <c r="V961" s="50">
        <f>Tableau119[[#This Row],[Day ILN Order]]+Tableau119[[#This Row],[Delivery time to ILN/Shipper]]-1</f>
        <v>29</v>
      </c>
      <c r="W961" s="50">
        <f>IFERROR(VLOOKUP(Tableau119[[#This Row],[Key(Compte ILN - shipper - POL - plant)]],'DATA ILN'!A:N,14,FALSE),VLOOKUP(Tableau119[[#This Row],[Key(Compte ILN - shipper - POL)]],'DATA ILN'!B:N,13,FALSE))</f>
        <v>1</v>
      </c>
      <c r="X961" s="50">
        <f>IFERROR(VLOOKUP(Tableau119[[#This Row],[Key(Compte ILN - shipper - POL - plant)]],'DATA ILN'!A:P,16,FALSE),VLOOKUP(Tableau119[[#This Row],[Key(Compte ILN - shipper - POL)]],'DATA ILN'!B:P,15,FALSE))</f>
        <v>2</v>
      </c>
      <c r="Y961" s="284" t="s">
        <v>1</v>
      </c>
      <c r="Z961" s="430">
        <f>IFERROR(VLOOKUP(Tableau119[[#This Row],[Name Shipper]],Plant_AILN!L:M,2,FALSE),0)</f>
        <v>424479</v>
      </c>
      <c r="AA961" s="406">
        <v>1045</v>
      </c>
      <c r="AB961" s="396" t="str">
        <f>_xlfn.XLOOKUP(Tableau119[[#This Row],[Key(ID-date)]],'DATA BTO'!S:S,'DATA BTO'!E:E,FALSE)</f>
        <v>CNSHA</v>
      </c>
      <c r="AC961" s="3" t="str">
        <f>_xlfn.XLOOKUP(Tableau119[[#This Row],[Key(ID-date)]],'DATA BTO'!S:S,'DATA BTO'!F:F,FALSE)</f>
        <v>ONE</v>
      </c>
      <c r="AD961" s="50">
        <f>_xlfn.XLOOKUP(Tableau119[[#This Row],[Key(ID-date)]],'DATA BTO'!S:S,'DATA BTO'!G:G,FALSE)</f>
        <v>3</v>
      </c>
      <c r="AE961" s="50">
        <f>_xlfn.XLOOKUP(Tableau119[[#This Row],[Key(ID-date)]],'DATA BTO'!S:S,'DATA BTO'!H:H,FALSE)</f>
        <v>5</v>
      </c>
      <c r="AF961" s="447">
        <f>IF(Tableau119[[#This Row],[First Day to POL]]&lt;=Tableau119[[#This Row],[Day Cut Off]],Tableau119[[#This Row],[Day ETD]],Tableau119[[#This Row],[Day ETD]]+7)</f>
        <v>5</v>
      </c>
      <c r="AG961" s="50">
        <f>_xlfn.XLOOKUP(Tableau119[[#This Row],[Key(ID-date)]],'DATA BTO'!S:S,'DATA BTO'!I:I,FALSE)</f>
        <v>53</v>
      </c>
      <c r="AH961" s="3" t="str">
        <f>_xlfn.XLOOKUP(Tableau119[[#This Row],[Key(ID-date)]],'DATA BTO'!S:S,'DATA BTO'!J:J,FALSE)</f>
        <v>TRIZT</v>
      </c>
      <c r="AI961" s="3">
        <f>_xlfn.XLOOKUP(Tableau119[[#This Row],[Key(ID-date)]],'DATA BTO'!S:S,'DATA BTO'!K:K,FALSE)</f>
        <v>3</v>
      </c>
      <c r="AJ961" s="50">
        <f>_xlfn.XLOOKUP(Tableau119[[#This Row],[Key(ID-date)]],'DATA BTO'!S:S,'DATA BTO'!L:L,FALSE)</f>
        <v>0</v>
      </c>
      <c r="AK961" s="53" t="str">
        <f>_xlfn.XLOOKUP(Tableau119[[#This Row],[Key(ID-date)]],'DATA BTO'!S:S,'DATA BTO'!N:N,FALSE)</f>
        <v>Marc-Aurele</v>
      </c>
      <c r="AL961" s="54">
        <f>VLOOKUP(Tableau119[[#This Row],[Key(POD -PFI- Usine)]],'DATA Consignee'!A:F,6,FALSE)</f>
        <v>4</v>
      </c>
      <c r="AM961" s="284"/>
      <c r="AN961" s="376" t="str">
        <f>IF(Tableau119[[#This Row],[Name PFI/CDD]]="","-",VLOOKUP(Tableau119[[#This Row],[Name PFI/CDD]],Plant_AILN!I:J,2,FALSE))</f>
        <v>-</v>
      </c>
      <c r="AO96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1" s="2">
        <f>VLOOKUP(Tableau119[[#This Row],[Key(POD -PFI- Usine)]],'DATA Consignee'!A:J,10,FALSE)</f>
        <v>0</v>
      </c>
      <c r="AR961" s="50">
        <f>VLOOKUP(Tableau119[[#This Row],[Key(POD -PFI- Usine)]],'DATA Consignee'!A:N,14,FALSE)</f>
        <v>3</v>
      </c>
      <c r="AS961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61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961" s="50">
        <f>Tableau119[[#This Row],[Transit time]]+Tableau119[[#This Row],[Time for security]]+Tableau119[[#This Row],[Time for security2 buffer]]</f>
        <v>56</v>
      </c>
      <c r="AV96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61" s="50">
        <f>Tableau119[[#This Row],[Leadtime SI2C]]+Tableau119[[#This Row],[First Receipt Days]]-Tableau119[[#This Row],[Day Customer Order]]+1</f>
        <v>99</v>
      </c>
      <c r="AX961" s="119">
        <f>IF(Tableau119[[#This Row],[Name ILN]]&lt;&gt;"SFK Freight Forwarder",Tableau119[[#This Row],[Cust. Leadtime]],Tableau119[[#This Row],[Leadtime SI2C]])</f>
        <v>99</v>
      </c>
      <c r="AY961" s="51" t="str">
        <f>_xlfn.XLOOKUP(Tableau119[[#This Row],[Key(ID-date)]],'DATA BTO'!S:S,'DATA BTO'!P:P,FALSE)</f>
        <v>Renault &gt; Horse BPH</v>
      </c>
      <c r="AZ961" s="338">
        <v>46142</v>
      </c>
      <c r="BA961" s="50"/>
    </row>
    <row r="962" spans="2:53">
      <c r="B962" s="446" t="str">
        <f>_xlfn.CONCAT(Tableau119[[#This Row],[Name ILN]],"-",Tableau119[[#This Row],[Name Shipper]],"-",Tableau119[[#This Row],[Name Site]])</f>
        <v>ILN Chine -ILN Chine -OYAK MEKA</v>
      </c>
      <c r="C962" s="66" t="str">
        <f>_xlfn.CONCAT(Tableau119[[#This Row],[Compte ILN]],"-",Tableau119[[#This Row],[Compte Shipper]],"-",Tableau119[[#This Row],[POL]],"-",Tableau119[[#This Row],[Compte Consignee]])</f>
        <v>424479-424479-CNSHA-90014400</v>
      </c>
      <c r="D962" s="66" t="str">
        <f>_xlfn.CONCAT(Tableau119[[#This Row],[Compte ILN]],"-",Tableau119[[#This Row],[Compte Shipper]],"-",Tableau119[[#This Row],[POL]])</f>
        <v>424479-424479-CNSHA</v>
      </c>
      <c r="E962" s="130" t="str">
        <f>_xlfn.CONCAT(Tableau119[[#This Row],[POL]],"-",Tableau119[[#This Row],[Carrier]],"-",Tableau119[[#This Row],[POD]])</f>
        <v>CNSHA-MSC-TRIZT</v>
      </c>
      <c r="F962" s="66" t="str">
        <f>_xlfn.CONCAT(Tableau119[[#This Row],[ID]],"-","Actif")</f>
        <v>1045-Actif</v>
      </c>
      <c r="G962" s="66" t="str">
        <f>_xlfn.CONCAT(Tableau119[[#This Row],[POD]],"-",Tableau119[[#This Row],[Code PFI]],"-",Tableau119[[#This Row],[Compte Consignee]])</f>
        <v>TRIZT---90014400</v>
      </c>
      <c r="H96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CNSHAOYAK MEKA</v>
      </c>
      <c r="I962" s="434" t="str">
        <f>_xlfn.CONCAT(Tableau119[[#This Row],[ID]],"-",Tableau119[[#This Row],[Expiration Date]])</f>
        <v>1045-45961</v>
      </c>
      <c r="J96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MEKA-ILN Chine -ILN Chine -1045-CNSHA-MSC-TRIZT--45961</v>
      </c>
      <c r="K962" s="119" t="str">
        <f ca="1">IF(COUNTIF(J:J,Tableau119[[#This Row],[Plant-ILN-shipper-POL-Carrier-POD-PFI]])=1,"Non","Oui")</f>
        <v>Non</v>
      </c>
      <c r="L962" s="128" t="str">
        <f>VLOOKUP(Tableau119[[#This Row],[Name Site]],Plant_AILN!A:D,4,FALSE)</f>
        <v>TURKEY</v>
      </c>
      <c r="M962" s="411" t="s">
        <v>165</v>
      </c>
      <c r="N962" s="454">
        <f>VLOOKUP(Tableau119[[#This Row],[Name Site]],Plant_AILN!A:C,3,FALSE)</f>
        <v>90014400</v>
      </c>
      <c r="O962" s="55">
        <f>VLOOKUP(Tableau119[[#This Row],[Compte Consignee]],Order!C:D,2,FALSE)</f>
        <v>2</v>
      </c>
      <c r="P962" s="124" t="s">
        <v>1</v>
      </c>
      <c r="Q962" s="365">
        <f>VLOOKUP(Tableau119[[#This Row],[Name ILN]],Plant_AILN!F:G,2,FALSE)</f>
        <v>424479</v>
      </c>
      <c r="R962" s="50">
        <f>VLOOKUP(Tableau119[[#This Row],[Compte ILN]],'DATA ILN'!D:I,6,FALSE)</f>
        <v>9</v>
      </c>
      <c r="S962" s="50">
        <f>IFERROR(VLOOKUP(Tableau119[[#This Row],[Key(Compte ILN - shipper - POL - plant)]],'DATA ILN'!A:J,10,FALSE),VLOOKUP(Tableau119[[#This Row],[Key(Compte ILN - shipper - POL)]],'DATA ILN'!B:J,9,FALSE))</f>
        <v>21</v>
      </c>
      <c r="T962" s="50">
        <f>IFERROR(VLOOKUP(Tableau119[[#This Row],[Key(Compte ILN - shipper - POL - plant)]],'DATA ILN'!A:K,11,FALSE),VLOOKUP(Tableau119[[#This Row],[Key(Compte ILN - shipper - POL)]],'DATA ILN'!B:K,10,FALSE))</f>
        <v>5</v>
      </c>
      <c r="U962" s="50">
        <f>IFERROR(VLOOKUP(Tableau119[[#This Row],[Key(Compte ILN - shipper - POL - plant)]],'DATA ILN'!A:L,12,FALSE),VLOOKUP(Tableau119[[#This Row],[Key(Compte ILN - shipper - POL)]],'DATA ILN'!B:L,11,FALSE))</f>
        <v>7</v>
      </c>
      <c r="V962" s="50">
        <f>Tableau119[[#This Row],[Day ILN Order]]+Tableau119[[#This Row],[Delivery time to ILN/Shipper]]-1</f>
        <v>29</v>
      </c>
      <c r="W962" s="50">
        <f>IFERROR(VLOOKUP(Tableau119[[#This Row],[Key(Compte ILN - shipper - POL - plant)]],'DATA ILN'!A:N,14,FALSE),VLOOKUP(Tableau119[[#This Row],[Key(Compte ILN - shipper - POL)]],'DATA ILN'!B:N,13,FALSE))</f>
        <v>1</v>
      </c>
      <c r="X962" s="50">
        <f>IFERROR(VLOOKUP(Tableau119[[#This Row],[Key(Compte ILN - shipper - POL - plant)]],'DATA ILN'!A:P,16,FALSE),VLOOKUP(Tableau119[[#This Row],[Key(Compte ILN - shipper - POL)]],'DATA ILN'!B:P,15,FALSE))</f>
        <v>2</v>
      </c>
      <c r="Y962" s="284" t="s">
        <v>1</v>
      </c>
      <c r="Z962" s="430">
        <f>IFERROR(VLOOKUP(Tableau119[[#This Row],[Name Shipper]],Plant_AILN!L:M,2,FALSE),0)</f>
        <v>424479</v>
      </c>
      <c r="AA962" s="406">
        <v>1045</v>
      </c>
      <c r="AB962" s="396" t="str">
        <f>_xlfn.XLOOKUP(Tableau119[[#This Row],[Key(ID-date)]],'DATA BTO'!S:S,'DATA BTO'!E:E,FALSE)</f>
        <v>CNSHA</v>
      </c>
      <c r="AC962" s="3" t="str">
        <f>_xlfn.XLOOKUP(Tableau119[[#This Row],[Key(ID-date)]],'DATA BTO'!S:S,'DATA BTO'!F:F,FALSE)</f>
        <v>MSC</v>
      </c>
      <c r="AD962" s="50">
        <f>_xlfn.XLOOKUP(Tableau119[[#This Row],[Key(ID-date)]],'DATA BTO'!S:S,'DATA BTO'!G:G,FALSE)</f>
        <v>3</v>
      </c>
      <c r="AE962" s="50">
        <f>_xlfn.XLOOKUP(Tableau119[[#This Row],[Key(ID-date)]],'DATA BTO'!S:S,'DATA BTO'!H:H,FALSE)</f>
        <v>5</v>
      </c>
      <c r="AF962" s="447">
        <f>IF(Tableau119[[#This Row],[First Day to POL]]&lt;=Tableau119[[#This Row],[Day Cut Off]],Tableau119[[#This Row],[Day ETD]],Tableau119[[#This Row],[Day ETD]]+7)</f>
        <v>5</v>
      </c>
      <c r="AG962" s="50">
        <f>_xlfn.XLOOKUP(Tableau119[[#This Row],[Key(ID-date)]],'DATA BTO'!S:S,'DATA BTO'!I:I,FALSE)</f>
        <v>44</v>
      </c>
      <c r="AH962" s="3" t="str">
        <f>_xlfn.XLOOKUP(Tableau119[[#This Row],[Key(ID-date)]],'DATA BTO'!S:S,'DATA BTO'!J:J,FALSE)</f>
        <v>TRIZT</v>
      </c>
      <c r="AI962" s="3">
        <f>_xlfn.XLOOKUP(Tableau119[[#This Row],[Key(ID-date)]],'DATA BTO'!S:S,'DATA BTO'!K:K,FALSE)</f>
        <v>3</v>
      </c>
      <c r="AJ962" s="50">
        <f>_xlfn.XLOOKUP(Tableau119[[#This Row],[Key(ID-date)]],'DATA BTO'!S:S,'DATA BTO'!L:L,FALSE)</f>
        <v>0</v>
      </c>
      <c r="AK962" s="53" t="str">
        <f>_xlfn.XLOOKUP(Tableau119[[#This Row],[Key(ID-date)]],'DATA BTO'!S:S,'DATA BTO'!N:N,FALSE)</f>
        <v>Marc-Aurele</v>
      </c>
      <c r="AL962" s="54">
        <f>VLOOKUP(Tableau119[[#This Row],[Key(POD -PFI- Usine)]],'DATA Consignee'!A:F,6,FALSE)</f>
        <v>4</v>
      </c>
      <c r="AM962" s="284"/>
      <c r="AN962" s="376" t="str">
        <f>IF(Tableau119[[#This Row],[Name PFI/CDD]]="","-",VLOOKUP(Tableau119[[#This Row],[Name PFI/CDD]],Plant_AILN!I:J,2,FALSE))</f>
        <v>-</v>
      </c>
      <c r="AO962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2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2" s="2">
        <f>VLOOKUP(Tableau119[[#This Row],[Key(POD -PFI- Usine)]],'DATA Consignee'!A:J,10,FALSE)</f>
        <v>0</v>
      </c>
      <c r="AR962" s="50">
        <f>VLOOKUP(Tableau119[[#This Row],[Key(POD -PFI- Usine)]],'DATA Consignee'!A:N,14,FALSE)</f>
        <v>3</v>
      </c>
      <c r="AS962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962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962" s="50">
        <f>Tableau119[[#This Row],[Transit time]]+Tableau119[[#This Row],[Time for security]]+Tableau119[[#This Row],[Time for security2 buffer]]</f>
        <v>47</v>
      </c>
      <c r="AV96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62" s="50">
        <f>Tableau119[[#This Row],[Leadtime SI2C]]+Tableau119[[#This Row],[First Receipt Days]]-Tableau119[[#This Row],[Day Customer Order]]+1</f>
        <v>97</v>
      </c>
      <c r="AX962" s="119">
        <f>IF(Tableau119[[#This Row],[Name ILN]]&lt;&gt;"SFK Freight Forwarder",Tableau119[[#This Row],[Cust. Leadtime]],Tableau119[[#This Row],[Leadtime SI2C]])</f>
        <v>97</v>
      </c>
      <c r="AY962" s="51" t="str">
        <f>_xlfn.XLOOKUP(Tableau119[[#This Row],[Key(ID-date)]],'DATA BTO'!S:S,'DATA BTO'!P:P,FALSE)</f>
        <v>Renault &gt; Horse BPH</v>
      </c>
      <c r="AZ962" s="338">
        <v>45961</v>
      </c>
      <c r="BA962" s="50"/>
    </row>
    <row r="963" spans="2:53">
      <c r="B963" s="446" t="str">
        <f>_xlfn.CONCAT(Tableau119[[#This Row],[Name ILN]],"-",Tableau119[[#This Row],[Name Shipper]],"-",Tableau119[[#This Row],[Name Site]])</f>
        <v>ILN Chine -ILN Chine -OYAK MONT</v>
      </c>
      <c r="C963" s="66" t="str">
        <f>_xlfn.CONCAT(Tableau119[[#This Row],[Compte ILN]],"-",Tableau119[[#This Row],[Compte Shipper]],"-",Tableau119[[#This Row],[POL]],"-",Tableau119[[#This Row],[Compte Consignee]])</f>
        <v>424479-424479-CNSHA-90017000</v>
      </c>
      <c r="D963" s="66" t="str">
        <f>_xlfn.CONCAT(Tableau119[[#This Row],[Compte ILN]],"-",Tableau119[[#This Row],[Compte Shipper]],"-",Tableau119[[#This Row],[POL]])</f>
        <v>424479-424479-CNSHA</v>
      </c>
      <c r="E963" s="130" t="str">
        <f>_xlfn.CONCAT(Tableau119[[#This Row],[POL]],"-",Tableau119[[#This Row],[Carrier]],"-",Tableau119[[#This Row],[POD]])</f>
        <v>CNSHA-MSC-TRIZT</v>
      </c>
      <c r="F963" s="66" t="str">
        <f>_xlfn.CONCAT(Tableau119[[#This Row],[ID]],"-","Actif")</f>
        <v>1045-Actif</v>
      </c>
      <c r="G963" s="66" t="str">
        <f>_xlfn.CONCAT(Tableau119[[#This Row],[POD]],"-",Tableau119[[#This Row],[Code PFI]],"-",Tableau119[[#This Row],[Compte Consignee]])</f>
        <v>TRIZT---90017000</v>
      </c>
      <c r="H96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CNSHAOYAK MONT</v>
      </c>
      <c r="I963" s="434" t="str">
        <f>_xlfn.CONCAT(Tableau119[[#This Row],[ID]],"-",Tableau119[[#This Row],[Expiration Date]])</f>
        <v>1045-45961</v>
      </c>
      <c r="J96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MONT-ILN Chine -ILN Chine -1045-CNSHA-MSC-TRIZT--45961</v>
      </c>
      <c r="K963" s="119" t="str">
        <f ca="1">IF(COUNTIF(J:J,Tableau119[[#This Row],[Plant-ILN-shipper-POL-Carrier-POD-PFI]])=1,"Non","Oui")</f>
        <v>Non</v>
      </c>
      <c r="L963" s="128" t="str">
        <f>VLOOKUP(Tableau119[[#This Row],[Name Site]],Plant_AILN!A:D,4,FALSE)</f>
        <v>TURKEY</v>
      </c>
      <c r="M963" s="411" t="s">
        <v>173</v>
      </c>
      <c r="N963" s="454">
        <f>VLOOKUP(Tableau119[[#This Row],[Name Site]],Plant_AILN!A:C,3,FALSE)</f>
        <v>90017000</v>
      </c>
      <c r="O963" s="55">
        <f>VLOOKUP(Tableau119[[#This Row],[Compte Consignee]],Order!C:D,2,FALSE)</f>
        <v>7</v>
      </c>
      <c r="P963" s="124" t="s">
        <v>1</v>
      </c>
      <c r="Q963" s="365">
        <f>VLOOKUP(Tableau119[[#This Row],[Name ILN]],Plant_AILN!F:G,2,FALSE)</f>
        <v>424479</v>
      </c>
      <c r="R963" s="50">
        <f>VLOOKUP(Tableau119[[#This Row],[Compte ILN]],'DATA ILN'!D:I,6,FALSE)</f>
        <v>9</v>
      </c>
      <c r="S963" s="50">
        <f>IFERROR(VLOOKUP(Tableau119[[#This Row],[Key(Compte ILN - shipper - POL - plant)]],'DATA ILN'!A:J,10,FALSE),VLOOKUP(Tableau119[[#This Row],[Key(Compte ILN - shipper - POL)]],'DATA ILN'!B:J,9,FALSE))</f>
        <v>21</v>
      </c>
      <c r="T963" s="50">
        <f>IFERROR(VLOOKUP(Tableau119[[#This Row],[Key(Compte ILN - shipper - POL - plant)]],'DATA ILN'!A:K,11,FALSE),VLOOKUP(Tableau119[[#This Row],[Key(Compte ILN - shipper - POL)]],'DATA ILN'!B:K,10,FALSE))</f>
        <v>5</v>
      </c>
      <c r="U963" s="50">
        <f>IFERROR(VLOOKUP(Tableau119[[#This Row],[Key(Compte ILN - shipper - POL - plant)]],'DATA ILN'!A:L,12,FALSE),VLOOKUP(Tableau119[[#This Row],[Key(Compte ILN - shipper - POL)]],'DATA ILN'!B:L,11,FALSE))</f>
        <v>7</v>
      </c>
      <c r="V963" s="50">
        <f>Tableau119[[#This Row],[Day ILN Order]]+Tableau119[[#This Row],[Delivery time to ILN/Shipper]]-1</f>
        <v>29</v>
      </c>
      <c r="W963" s="50">
        <f>IFERROR(VLOOKUP(Tableau119[[#This Row],[Key(Compte ILN - shipper - POL - plant)]],'DATA ILN'!A:N,14,FALSE),VLOOKUP(Tableau119[[#This Row],[Key(Compte ILN - shipper - POL)]],'DATA ILN'!B:N,13,FALSE))</f>
        <v>1</v>
      </c>
      <c r="X963" s="50">
        <f>IFERROR(VLOOKUP(Tableau119[[#This Row],[Key(Compte ILN - shipper - POL - plant)]],'DATA ILN'!A:P,16,FALSE),VLOOKUP(Tableau119[[#This Row],[Key(Compte ILN - shipper - POL)]],'DATA ILN'!B:P,15,FALSE))</f>
        <v>2</v>
      </c>
      <c r="Y963" s="284" t="s">
        <v>1</v>
      </c>
      <c r="Z963" s="430">
        <f>IFERROR(VLOOKUP(Tableau119[[#This Row],[Name Shipper]],Plant_AILN!L:M,2,FALSE),0)</f>
        <v>424479</v>
      </c>
      <c r="AA963" s="406">
        <v>1045</v>
      </c>
      <c r="AB963" s="396" t="str">
        <f>_xlfn.XLOOKUP(Tableau119[[#This Row],[Key(ID-date)]],'DATA BTO'!S:S,'DATA BTO'!E:E,FALSE)</f>
        <v>CNSHA</v>
      </c>
      <c r="AC963" s="3" t="str">
        <f>_xlfn.XLOOKUP(Tableau119[[#This Row],[Key(ID-date)]],'DATA BTO'!S:S,'DATA BTO'!F:F,FALSE)</f>
        <v>MSC</v>
      </c>
      <c r="AD963" s="50">
        <f>_xlfn.XLOOKUP(Tableau119[[#This Row],[Key(ID-date)]],'DATA BTO'!S:S,'DATA BTO'!G:G,FALSE)</f>
        <v>3</v>
      </c>
      <c r="AE963" s="50">
        <f>_xlfn.XLOOKUP(Tableau119[[#This Row],[Key(ID-date)]],'DATA BTO'!S:S,'DATA BTO'!H:H,FALSE)</f>
        <v>5</v>
      </c>
      <c r="AF963" s="447">
        <f>IF(Tableau119[[#This Row],[First Day to POL]]&lt;=Tableau119[[#This Row],[Day Cut Off]],Tableau119[[#This Row],[Day ETD]],Tableau119[[#This Row],[Day ETD]]+7)</f>
        <v>5</v>
      </c>
      <c r="AG963" s="50">
        <f>_xlfn.XLOOKUP(Tableau119[[#This Row],[Key(ID-date)]],'DATA BTO'!S:S,'DATA BTO'!I:I,FALSE)</f>
        <v>44</v>
      </c>
      <c r="AH963" s="3" t="str">
        <f>_xlfn.XLOOKUP(Tableau119[[#This Row],[Key(ID-date)]],'DATA BTO'!S:S,'DATA BTO'!J:J,FALSE)</f>
        <v>TRIZT</v>
      </c>
      <c r="AI963" s="3">
        <f>_xlfn.XLOOKUP(Tableau119[[#This Row],[Key(ID-date)]],'DATA BTO'!S:S,'DATA BTO'!K:K,FALSE)</f>
        <v>3</v>
      </c>
      <c r="AJ963" s="50">
        <f>_xlfn.XLOOKUP(Tableau119[[#This Row],[Key(ID-date)]],'DATA BTO'!S:S,'DATA BTO'!L:L,FALSE)</f>
        <v>0</v>
      </c>
      <c r="AK963" s="53" t="str">
        <f>_xlfn.XLOOKUP(Tableau119[[#This Row],[Key(ID-date)]],'DATA BTO'!S:S,'DATA BTO'!N:N,FALSE)</f>
        <v>Marc-Aurele</v>
      </c>
      <c r="AL963" s="54">
        <f>VLOOKUP(Tableau119[[#This Row],[Key(POD -PFI- Usine)]],'DATA Consignee'!A:F,6,FALSE)</f>
        <v>4</v>
      </c>
      <c r="AM963" s="284"/>
      <c r="AN963" s="376" t="str">
        <f>IF(Tableau119[[#This Row],[Name PFI/CDD]]="","-",VLOOKUP(Tableau119[[#This Row],[Name PFI/CDD]],Plant_AILN!I:J,2,FALSE))</f>
        <v>-</v>
      </c>
      <c r="AO96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3" s="2">
        <f>VLOOKUP(Tableau119[[#This Row],[Key(POD -PFI- Usine)]],'DATA Consignee'!A:J,10,FALSE)</f>
        <v>0</v>
      </c>
      <c r="AR963" s="50">
        <f>VLOOKUP(Tableau119[[#This Row],[Key(POD -PFI- Usine)]],'DATA Consignee'!A:N,14,FALSE)</f>
        <v>3</v>
      </c>
      <c r="AS96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5</v>
      </c>
      <c r="AT96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10</v>
      </c>
      <c r="AU963" s="50">
        <f>Tableau119[[#This Row],[Transit time]]+Tableau119[[#This Row],[Time for security]]+Tableau119[[#This Row],[Time for security2 buffer]]</f>
        <v>47</v>
      </c>
      <c r="AV96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63" s="50">
        <f>Tableau119[[#This Row],[Leadtime SI2C]]+Tableau119[[#This Row],[First Receipt Days]]-Tableau119[[#This Row],[Day Customer Order]]+1</f>
        <v>92</v>
      </c>
      <c r="AX963" s="119">
        <f>IF(Tableau119[[#This Row],[Name ILN]]&lt;&gt;"SFK Freight Forwarder",Tableau119[[#This Row],[Cust. Leadtime]],Tableau119[[#This Row],[Leadtime SI2C]])</f>
        <v>92</v>
      </c>
      <c r="AY963" s="51" t="str">
        <f>_xlfn.XLOOKUP(Tableau119[[#This Row],[Key(ID-date)]],'DATA BTO'!S:S,'DATA BTO'!P:P,FALSE)</f>
        <v>Renault &gt; Horse BPH</v>
      </c>
      <c r="AZ963" s="338">
        <v>45961</v>
      </c>
      <c r="BA963" s="50"/>
    </row>
    <row r="964" spans="2:53">
      <c r="B964" s="446" t="str">
        <f>_xlfn.CONCAT(Tableau119[[#This Row],[Name ILN]],"-",Tableau119[[#This Row],[Name Shipper]],"-",Tableau119[[#This Row],[Name Site]])</f>
        <v>ILN Chine -ILN Chine -REVOZ</v>
      </c>
      <c r="C964" s="66" t="str">
        <f>_xlfn.CONCAT(Tableau119[[#This Row],[Compte ILN]],"-",Tableau119[[#This Row],[Compte Shipper]],"-",Tableau119[[#This Row],[POL]],"-",Tableau119[[#This Row],[Compte Consignee]])</f>
        <v>424479-424479-FALSO-90016700</v>
      </c>
      <c r="D964" s="66" t="str">
        <f>_xlfn.CONCAT(Tableau119[[#This Row],[Compte ILN]],"-",Tableau119[[#This Row],[Compte Shipper]],"-",Tableau119[[#This Row],[POL]])</f>
        <v>424479-424479-FALSO</v>
      </c>
      <c r="E964" s="130" t="str">
        <f>_xlfn.CONCAT(Tableau119[[#This Row],[POL]],"-",Tableau119[[#This Row],[Carrier]],"-",Tableau119[[#This Row],[POD]])</f>
        <v>FALSO-FALSO-FALSO</v>
      </c>
      <c r="F964" s="66" t="str">
        <f>_xlfn.CONCAT(Tableau119[[#This Row],[ID]],"-","Actif")</f>
        <v>1047-Actif</v>
      </c>
      <c r="G964" s="66" t="str">
        <f>_xlfn.CONCAT(Tableau119[[#This Row],[POD]],"-",Tableau119[[#This Row],[Code PFI]],"-",Tableau119[[#This Row],[Compte Consignee]])</f>
        <v>FALSO---90016700</v>
      </c>
      <c r="H96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FALSOREVOZ</v>
      </c>
      <c r="I964" s="434" t="str">
        <f>_xlfn.CONCAT(Tableau119[[#This Row],[ID]],"-",Tableau119[[#This Row],[Expiration Date]])</f>
        <v>1047-46142</v>
      </c>
      <c r="J96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Chine -ILN Chine -1047-FALSO-FALSO-FALSO--46142</v>
      </c>
      <c r="K964" s="119" t="str">
        <f ca="1">IF(COUNTIF(J:J,Tableau119[[#This Row],[Plant-ILN-shipper-POL-Carrier-POD-PFI]])=1,"Non","Oui")</f>
        <v>Non</v>
      </c>
      <c r="L964" s="128" t="str">
        <f>VLOOKUP(Tableau119[[#This Row],[Name Site]],Plant_AILN!A:D,4,FALSE)</f>
        <v>SLOVENIA</v>
      </c>
      <c r="M964" s="415" t="s">
        <v>35</v>
      </c>
      <c r="N964" s="455">
        <f>VLOOKUP(Tableau119[[#This Row],[Name Site]],Plant_AILN!A:C,3,FALSE)</f>
        <v>90016700</v>
      </c>
      <c r="O964" s="104">
        <f>IF(Tableau119[[#This Row],[Name PFI/CDD]]="PFI VLL",2,VLOOKUP(Tableau119[[#This Row],[Compte Consignee]],Order!C:D,2,FALSE))</f>
        <v>7</v>
      </c>
      <c r="P964" s="126" t="s">
        <v>1</v>
      </c>
      <c r="Q964" s="366">
        <f>VLOOKUP(Tableau119[[#This Row],[Name ILN]],Plant_AILN!F:G,2,FALSE)</f>
        <v>424479</v>
      </c>
      <c r="R964" s="81">
        <f>VLOOKUP(Tableau119[[#This Row],[Compte ILN]],'DATA ILN'!D:I,6,FALSE)</f>
        <v>9</v>
      </c>
      <c r="S964" s="81" t="e">
        <f>IFERROR(VLOOKUP(Tableau119[[#This Row],[Key(Compte ILN - shipper - POL - plant)]],'DATA ILN'!A:J,10,FALSE),VLOOKUP(Tableau119[[#This Row],[Key(Compte ILN - shipper - POL)]],'DATA ILN'!B:J,9,FALSE))</f>
        <v>#N/A</v>
      </c>
      <c r="T964" s="81" t="e">
        <f>IFERROR(VLOOKUP(Tableau119[[#This Row],[Key(Compte ILN - shipper - POL - plant)]],'DATA ILN'!A:K,11,FALSE),VLOOKUP(Tableau119[[#This Row],[Key(Compte ILN - shipper - POL)]],'DATA ILN'!B:K,10,FALSE))</f>
        <v>#N/A</v>
      </c>
      <c r="U964" s="81" t="e">
        <f>IFERROR(VLOOKUP(Tableau119[[#This Row],[Key(Compte ILN - shipper - POL - plant)]],'DATA ILN'!A:L,12,FALSE),VLOOKUP(Tableau119[[#This Row],[Key(Compte ILN - shipper - POL)]],'DATA ILN'!B:L,11,FALSE))</f>
        <v>#N/A</v>
      </c>
      <c r="V964" s="81" t="e">
        <f>Tableau119[[#This Row],[Day ILN Order]]+Tableau119[[#This Row],[Delivery time to ILN/Shipper]]-1</f>
        <v>#N/A</v>
      </c>
      <c r="W964" s="81" t="e">
        <f>IFERROR(VLOOKUP(Tableau119[[#This Row],[Key(Compte ILN - shipper - POL - plant)]],'DATA ILN'!A:N,14,FALSE),VLOOKUP(Tableau119[[#This Row],[Key(Compte ILN - shipper - POL)]],'DATA ILN'!B:N,13,FALSE))</f>
        <v>#N/A</v>
      </c>
      <c r="X964" s="81" t="e">
        <f>IFERROR(VLOOKUP(Tableau119[[#This Row],[Key(Compte ILN - shipper - POL - plant)]],'DATA ILN'!A:P,16,FALSE),VLOOKUP(Tableau119[[#This Row],[Key(Compte ILN - shipper - POL)]],'DATA ILN'!B:P,15,FALSE))</f>
        <v>#N/A</v>
      </c>
      <c r="Y964" s="102" t="s">
        <v>1</v>
      </c>
      <c r="Z964" s="417">
        <f>IFERROR(VLOOKUP(Tableau119[[#This Row],[Name Shipper]],Plant_AILN!L:M,2,FALSE),0)</f>
        <v>424479</v>
      </c>
      <c r="AA964" s="416">
        <v>1047</v>
      </c>
      <c r="AB964" s="396" t="b">
        <f>_xlfn.XLOOKUP(Tableau119[[#This Row],[Key(ID-date)]],'DATA BTO'!S:S,'DATA BTO'!E:E,FALSE)</f>
        <v>0</v>
      </c>
      <c r="AC964" s="3" t="b">
        <f>_xlfn.XLOOKUP(Tableau119[[#This Row],[Key(ID-date)]],'DATA BTO'!S:S,'DATA BTO'!F:F,FALSE)</f>
        <v>0</v>
      </c>
      <c r="AD964" s="50" t="b">
        <f>_xlfn.XLOOKUP(Tableau119[[#This Row],[Key(ID-date)]],'DATA BTO'!S:S,'DATA BTO'!G:G,FALSE)</f>
        <v>0</v>
      </c>
      <c r="AE964" s="50" t="b">
        <f>_xlfn.XLOOKUP(Tableau119[[#This Row],[Key(ID-date)]],'DATA BTO'!S:S,'DATA BTO'!H:H,FALSE)</f>
        <v>0</v>
      </c>
      <c r="AF964" s="447" t="e">
        <f>IF(Tableau119[[#This Row],[First Day to POL]]&lt;=Tableau119[[#This Row],[Day Cut Off]],Tableau119[[#This Row],[Day ETD]],Tableau119[[#This Row],[Day ETD]]+7)</f>
        <v>#N/A</v>
      </c>
      <c r="AG964" s="50" t="b">
        <f>_xlfn.XLOOKUP(Tableau119[[#This Row],[Key(ID-date)]],'DATA BTO'!S:S,'DATA BTO'!I:I,FALSE)</f>
        <v>0</v>
      </c>
      <c r="AH964" s="3" t="b">
        <f>_xlfn.XLOOKUP(Tableau119[[#This Row],[Key(ID-date)]],'DATA BTO'!S:S,'DATA BTO'!J:J,FALSE)</f>
        <v>0</v>
      </c>
      <c r="AI964" s="3" t="b">
        <f>_xlfn.XLOOKUP(Tableau119[[#This Row],[Key(ID-date)]],'DATA BTO'!S:S,'DATA BTO'!K:K,FALSE)</f>
        <v>0</v>
      </c>
      <c r="AJ964" s="50" t="b">
        <f>_xlfn.XLOOKUP(Tableau119[[#This Row],[Key(ID-date)]],'DATA BTO'!S:S,'DATA BTO'!L:L,FALSE)</f>
        <v>0</v>
      </c>
      <c r="AK964" s="53" t="b">
        <f>_xlfn.XLOOKUP(Tableau119[[#This Row],[Key(ID-date)]],'DATA BTO'!S:S,'DATA BTO'!N:N,FALSE)</f>
        <v>0</v>
      </c>
      <c r="AL964" s="54" t="e">
        <f>VLOOKUP(Tableau119[[#This Row],[Key(POD -PFI- Usine)]],'DATA Consignee'!A:F,6,FALSE)</f>
        <v>#N/A</v>
      </c>
      <c r="AM964" s="102"/>
      <c r="AN964" s="375" t="str">
        <f>IF(Tableau119[[#This Row],[Name PFI/CDD]]="","-",VLOOKUP(Tableau119[[#This Row],[Name PFI/CDD]],Plant_AILN!I:J,2,FALSE))</f>
        <v>-</v>
      </c>
      <c r="AO96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4" s="110" t="e">
        <f>VLOOKUP(Tableau119[[#This Row],[Key(POD -PFI- Usine)]],'DATA Consignee'!A:J,10,FALSE)</f>
        <v>#N/A</v>
      </c>
      <c r="AR964" s="81" t="e">
        <f>VLOOKUP(Tableau119[[#This Row],[Key(POD -PFI- Usine)]],'DATA Consignee'!A:N,14,FALSE)</f>
        <v>#N/A</v>
      </c>
      <c r="AS964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4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4" s="81">
        <f>Tableau119[[#This Row],[Transit time]]+Tableau119[[#This Row],[Time for security]]+Tableau119[[#This Row],[Time for security2 buffer]]</f>
        <v>0</v>
      </c>
      <c r="AV96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4" s="50" t="e">
        <f>Tableau119[[#This Row],[Leadtime SI2C]]+Tableau119[[#This Row],[First Receipt Days]]-Tableau119[[#This Row],[Day Customer Order]]+1</f>
        <v>#N/A</v>
      </c>
      <c r="AX964" s="119" t="e">
        <f>IF(Tableau119[[#This Row],[Name ILN]]&lt;&gt;"SFK Freight Forwarder",Tableau119[[#This Row],[Cust. Leadtime]],Tableau119[[#This Row],[Leadtime SI2C]])</f>
        <v>#N/A</v>
      </c>
      <c r="AY964" s="51" t="b">
        <f>_xlfn.XLOOKUP(Tableau119[[#This Row],[Key(ID-date)]],'DATA BTO'!S:S,'DATA BTO'!P:P,FALSE)</f>
        <v>0</v>
      </c>
      <c r="AZ964" s="388">
        <v>46142</v>
      </c>
      <c r="BA964" s="81"/>
    </row>
    <row r="965" spans="2:53">
      <c r="B965" s="446" t="str">
        <f>_xlfn.CONCAT(Tableau119[[#This Row],[Name ILN]],"-",Tableau119[[#This Row],[Name Shipper]],"-",Tableau119[[#This Row],[Name Site]])</f>
        <v>ILN Chine -ILN Chine -REVOZ</v>
      </c>
      <c r="C965" s="66" t="str">
        <f>_xlfn.CONCAT(Tableau119[[#This Row],[Compte ILN]],"-",Tableau119[[#This Row],[Compte Shipper]],"-",Tableau119[[#This Row],[POL]],"-",Tableau119[[#This Row],[Compte Consignee]])</f>
        <v>424479-424479-FALSO-90016700</v>
      </c>
      <c r="D965" s="66" t="str">
        <f>_xlfn.CONCAT(Tableau119[[#This Row],[Compte ILN]],"-",Tableau119[[#This Row],[Compte Shipper]],"-",Tableau119[[#This Row],[POL]])</f>
        <v>424479-424479-FALSO</v>
      </c>
      <c r="E965" s="130" t="str">
        <f>_xlfn.CONCAT(Tableau119[[#This Row],[POL]],"-",Tableau119[[#This Row],[Carrier]],"-",Tableau119[[#This Row],[POD]])</f>
        <v>FALSO-FALSO-FALSO</v>
      </c>
      <c r="F965" s="66" t="str">
        <f>_xlfn.CONCAT(Tableau119[[#This Row],[ID]],"-","Actif")</f>
        <v>1047-Actif</v>
      </c>
      <c r="G965" s="66" t="str">
        <f>_xlfn.CONCAT(Tableau119[[#This Row],[POD]],"-",Tableau119[[#This Row],[Code PFI]],"-",Tableau119[[#This Row],[Compte Consignee]])</f>
        <v>FALSO---90016700</v>
      </c>
      <c r="H96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FALSOREVOZ</v>
      </c>
      <c r="I965" s="434" t="str">
        <f>_xlfn.CONCAT(Tableau119[[#This Row],[ID]],"-",Tableau119[[#This Row],[Expiration Date]])</f>
        <v>1047-45747</v>
      </c>
      <c r="J96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REVOZ-ILN Chine -ILN Chine -1047-FALSO-FALSO-FALSO--45747</v>
      </c>
      <c r="K965" s="119" t="str">
        <f ca="1">IF(COUNTIF(J:J,Tableau119[[#This Row],[Plant-ILN-shipper-POL-Carrier-POD-PFI]])=1,"Non","Oui")</f>
        <v>Non</v>
      </c>
      <c r="L965" s="128" t="str">
        <f>VLOOKUP(Tableau119[[#This Row],[Name Site]],Plant_AILN!A:D,4,FALSE)</f>
        <v>SLOVENIA</v>
      </c>
      <c r="M965" s="411" t="s">
        <v>35</v>
      </c>
      <c r="N965" s="454">
        <f>VLOOKUP(Tableau119[[#This Row],[Name Site]],Plant_AILN!A:C,3,FALSE)</f>
        <v>90016700</v>
      </c>
      <c r="O965" s="55">
        <f>VLOOKUP(Tableau119[[#This Row],[Compte Consignee]],Order!C:D,2,FALSE)</f>
        <v>7</v>
      </c>
      <c r="P965" s="124" t="s">
        <v>1</v>
      </c>
      <c r="Q965" s="365">
        <f>VLOOKUP(Tableau119[[#This Row],[Name ILN]],Plant_AILN!F:G,2,FALSE)</f>
        <v>424479</v>
      </c>
      <c r="R965" s="50">
        <f>VLOOKUP(Tableau119[[#This Row],[Compte ILN]],'DATA ILN'!D:I,6,FALSE)</f>
        <v>9</v>
      </c>
      <c r="S965" s="50" t="e">
        <f>IFERROR(VLOOKUP(Tableau119[[#This Row],[Key(Compte ILN - shipper - POL - plant)]],'DATA ILN'!A:J,10,FALSE),VLOOKUP(Tableau119[[#This Row],[Key(Compte ILN - shipper - POL)]],'DATA ILN'!B:J,9,FALSE))</f>
        <v>#N/A</v>
      </c>
      <c r="T965" s="50" t="e">
        <f>IFERROR(VLOOKUP(Tableau119[[#This Row],[Key(Compte ILN - shipper - POL - plant)]],'DATA ILN'!A:K,11,FALSE),VLOOKUP(Tableau119[[#This Row],[Key(Compte ILN - shipper - POL)]],'DATA ILN'!B:K,10,FALSE))</f>
        <v>#N/A</v>
      </c>
      <c r="U965" s="50" t="e">
        <f>IFERROR(VLOOKUP(Tableau119[[#This Row],[Key(Compte ILN - shipper - POL - plant)]],'DATA ILN'!A:L,12,FALSE),VLOOKUP(Tableau119[[#This Row],[Key(Compte ILN - shipper - POL)]],'DATA ILN'!B:L,11,FALSE))</f>
        <v>#N/A</v>
      </c>
      <c r="V965" s="50" t="e">
        <f>Tableau119[[#This Row],[Day ILN Order]]+Tableau119[[#This Row],[Delivery time to ILN/Shipper]]-1</f>
        <v>#N/A</v>
      </c>
      <c r="W965" s="50" t="e">
        <f>IFERROR(VLOOKUP(Tableau119[[#This Row],[Key(Compte ILN - shipper - POL - plant)]],'DATA ILN'!A:N,14,FALSE),VLOOKUP(Tableau119[[#This Row],[Key(Compte ILN - shipper - POL)]],'DATA ILN'!B:N,13,FALSE))</f>
        <v>#N/A</v>
      </c>
      <c r="X965" s="50" t="e">
        <f>IFERROR(VLOOKUP(Tableau119[[#This Row],[Key(Compte ILN - shipper - POL - plant)]],'DATA ILN'!A:P,16,FALSE),VLOOKUP(Tableau119[[#This Row],[Key(Compte ILN - shipper - POL)]],'DATA ILN'!B:P,15,FALSE))</f>
        <v>#N/A</v>
      </c>
      <c r="Y965" s="284" t="s">
        <v>1</v>
      </c>
      <c r="Z965" s="430">
        <f>IFERROR(VLOOKUP(Tableau119[[#This Row],[Name Shipper]],Plant_AILN!L:M,2,FALSE),0)</f>
        <v>424479</v>
      </c>
      <c r="AA965" s="406">
        <v>1047</v>
      </c>
      <c r="AB965" s="396" t="b">
        <f>_xlfn.XLOOKUP(Tableau119[[#This Row],[Key(ID-date)]],'DATA BTO'!S:S,'DATA BTO'!E:E,FALSE)</f>
        <v>0</v>
      </c>
      <c r="AC965" s="3" t="b">
        <f>_xlfn.XLOOKUP(Tableau119[[#This Row],[Key(ID-date)]],'DATA BTO'!S:S,'DATA BTO'!F:F,FALSE)</f>
        <v>0</v>
      </c>
      <c r="AD965" s="50" t="b">
        <f>_xlfn.XLOOKUP(Tableau119[[#This Row],[Key(ID-date)]],'DATA BTO'!S:S,'DATA BTO'!G:G,FALSE)</f>
        <v>0</v>
      </c>
      <c r="AE965" s="50" t="b">
        <f>_xlfn.XLOOKUP(Tableau119[[#This Row],[Key(ID-date)]],'DATA BTO'!S:S,'DATA BTO'!H:H,FALSE)</f>
        <v>0</v>
      </c>
      <c r="AF965" s="447" t="e">
        <f>IF(Tableau119[[#This Row],[First Day to POL]]&lt;=Tableau119[[#This Row],[Day Cut Off]],Tableau119[[#This Row],[Day ETD]],Tableau119[[#This Row],[Day ETD]]+7)</f>
        <v>#N/A</v>
      </c>
      <c r="AG965" s="50" t="b">
        <f>_xlfn.XLOOKUP(Tableau119[[#This Row],[Key(ID-date)]],'DATA BTO'!S:S,'DATA BTO'!I:I,FALSE)</f>
        <v>0</v>
      </c>
      <c r="AH965" s="3" t="b">
        <f>_xlfn.XLOOKUP(Tableau119[[#This Row],[Key(ID-date)]],'DATA BTO'!S:S,'DATA BTO'!J:J,FALSE)</f>
        <v>0</v>
      </c>
      <c r="AI965" s="3" t="b">
        <f>_xlfn.XLOOKUP(Tableau119[[#This Row],[Key(ID-date)]],'DATA BTO'!S:S,'DATA BTO'!K:K,FALSE)</f>
        <v>0</v>
      </c>
      <c r="AJ965" s="50" t="b">
        <f>_xlfn.XLOOKUP(Tableau119[[#This Row],[Key(ID-date)]],'DATA BTO'!S:S,'DATA BTO'!L:L,FALSE)</f>
        <v>0</v>
      </c>
      <c r="AK965" s="53" t="b">
        <f>_xlfn.XLOOKUP(Tableau119[[#This Row],[Key(ID-date)]],'DATA BTO'!S:S,'DATA BTO'!N:N,FALSE)</f>
        <v>0</v>
      </c>
      <c r="AL965" s="54" t="e">
        <f>VLOOKUP(Tableau119[[#This Row],[Key(POD -PFI- Usine)]],'DATA Consignee'!A:F,6,FALSE)</f>
        <v>#N/A</v>
      </c>
      <c r="AM965" s="284"/>
      <c r="AN965" s="376" t="str">
        <f>IF(Tableau119[[#This Row],[Name PFI/CDD]]="","-",VLOOKUP(Tableau119[[#This Row],[Name PFI/CDD]],Plant_AILN!I:J,2,FALSE))</f>
        <v>-</v>
      </c>
      <c r="AO96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5" s="2" t="e">
        <f>VLOOKUP(Tableau119[[#This Row],[Key(POD -PFI- Usine)]],'DATA Consignee'!A:J,10,FALSE)</f>
        <v>#N/A</v>
      </c>
      <c r="AR965" s="50" t="e">
        <f>VLOOKUP(Tableau119[[#This Row],[Key(POD -PFI- Usine)]],'DATA Consignee'!A:N,14,FALSE)</f>
        <v>#N/A</v>
      </c>
      <c r="AS965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5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5" s="50">
        <f>Tableau119[[#This Row],[Transit time]]+Tableau119[[#This Row],[Time for security]]+Tableau119[[#This Row],[Time for security2 buffer]]</f>
        <v>0</v>
      </c>
      <c r="AV96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5" s="50" t="e">
        <f>Tableau119[[#This Row],[Leadtime SI2C]]+Tableau119[[#This Row],[First Receipt Days]]-Tableau119[[#This Row],[Day Customer Order]]+1</f>
        <v>#N/A</v>
      </c>
      <c r="AX965" s="119" t="e">
        <f>IF(Tableau119[[#This Row],[Name ILN]]&lt;&gt;"SFK Freight Forwarder",Tableau119[[#This Row],[Cust. Leadtime]],Tableau119[[#This Row],[Leadtime SI2C]])</f>
        <v>#N/A</v>
      </c>
      <c r="AY965" s="51" t="b">
        <f>_xlfn.XLOOKUP(Tableau119[[#This Row],[Key(ID-date)]],'DATA BTO'!S:S,'DATA BTO'!P:P,FALSE)</f>
        <v>0</v>
      </c>
      <c r="AZ965" s="338">
        <v>45747</v>
      </c>
      <c r="BA965" s="50"/>
    </row>
    <row r="966" spans="2:53">
      <c r="B966" s="446" t="str">
        <f>_xlfn.CONCAT(Tableau119[[#This Row],[Name ILN]],"-",Tableau119[[#This Row],[Name Shipper]],"-",Tableau119[[#This Row],[Name Site]])</f>
        <v>SFK Freight Forwarder-E-DRIVE-REVOZ</v>
      </c>
      <c r="C966" s="66" t="str">
        <f>_xlfn.CONCAT(Tableau119[[#This Row],[Compte ILN]],"-",Tableau119[[#This Row],[Compte Shipper]],"-",Tableau119[[#This Row],[POL]],"-",Tableau119[[#This Row],[Compte Consignee]])</f>
        <v>0-41447500-FALSO-90016700</v>
      </c>
      <c r="D966" s="66" t="str">
        <f>_xlfn.CONCAT(Tableau119[[#This Row],[Compte ILN]],"-",Tableau119[[#This Row],[Compte Shipper]],"-",Tableau119[[#This Row],[POL]])</f>
        <v>0-41447500-FALSO</v>
      </c>
      <c r="E966" s="130" t="str">
        <f>_xlfn.CONCAT(Tableau119[[#This Row],[POL]],"-",Tableau119[[#This Row],[Carrier]],"-",Tableau119[[#This Row],[POD]])</f>
        <v>FALSO-FALSO-FALSO</v>
      </c>
      <c r="F966" s="66" t="str">
        <f>_xlfn.CONCAT(Tableau119[[#This Row],[ID]],"-","Actif")</f>
        <v>1058-Actif</v>
      </c>
      <c r="G966" s="66" t="str">
        <f>_xlfn.CONCAT(Tableau119[[#This Row],[POD]],"-",Tableau119[[#This Row],[Code PFI]],"-",Tableau119[[#This Row],[Compte Consignee]])</f>
        <v>FALSO---90016700</v>
      </c>
      <c r="H96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41447500FALSOREVOZ</v>
      </c>
      <c r="I966" s="434" t="str">
        <f>_xlfn.CONCAT(Tableau119[[#This Row],[ID]],"-",Tableau119[[#This Row],[Expiration Date]])</f>
        <v>1058-46142</v>
      </c>
      <c r="J96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REVOZ-SFK Freight Forwarder-E-DRIVE-1058-FALSO-FALSO-FALSO--46142</v>
      </c>
      <c r="K966" s="119" t="str">
        <f ca="1">IF(COUNTIF(J:J,Tableau119[[#This Row],[Plant-ILN-shipper-POL-Carrier-POD-PFI]])=1,"Non","Oui")</f>
        <v>Non</v>
      </c>
      <c r="L966" s="128" t="str">
        <f>VLOOKUP(Tableau119[[#This Row],[Name Site]],Plant_AILN!A:D,4,FALSE)</f>
        <v>SLOVENIA</v>
      </c>
      <c r="M966" s="411" t="s">
        <v>35</v>
      </c>
      <c r="N966" s="454">
        <f>VLOOKUP(Tableau119[[#This Row],[Name Site]],Plant_AILN!A:C,3,FALSE)</f>
        <v>90016700</v>
      </c>
      <c r="O966" s="55">
        <f>IF(Tableau119[[#This Row],[Name PFI/CDD]]="PFI VLL",2,VLOOKUP(Tableau119[[#This Row],[Compte Consignee]],Order!C:D,2,FALSE))</f>
        <v>7</v>
      </c>
      <c r="P966" s="124" t="s">
        <v>146</v>
      </c>
      <c r="Q966" s="365">
        <f>VLOOKUP(Tableau119[[#This Row],[Name ILN]],Plant_AILN!F:G,2,FALSE)</f>
        <v>0</v>
      </c>
      <c r="R966" s="50">
        <f>VLOOKUP(Tableau119[[#This Row],[Compte ILN]],'DATA ILN'!D:I,6,FALSE)</f>
        <v>9</v>
      </c>
      <c r="S966" s="50" t="e">
        <f>IFERROR(VLOOKUP(Tableau119[[#This Row],[Key(Compte ILN - shipper - POL - plant)]],'DATA ILN'!A:J,10,FALSE),VLOOKUP(Tableau119[[#This Row],[Key(Compte ILN - shipper - POL)]],'DATA ILN'!B:J,9,FALSE))</f>
        <v>#N/A</v>
      </c>
      <c r="T966" s="50" t="e">
        <f>IFERROR(VLOOKUP(Tableau119[[#This Row],[Key(Compte ILN - shipper - POL - plant)]],'DATA ILN'!A:K,11,FALSE),VLOOKUP(Tableau119[[#This Row],[Key(Compte ILN - shipper - POL)]],'DATA ILN'!B:K,10,FALSE))</f>
        <v>#N/A</v>
      </c>
      <c r="U966" s="50" t="e">
        <f>IFERROR(VLOOKUP(Tableau119[[#This Row],[Key(Compte ILN - shipper - POL - plant)]],'DATA ILN'!A:L,12,FALSE),VLOOKUP(Tableau119[[#This Row],[Key(Compte ILN - shipper - POL)]],'DATA ILN'!B:L,11,FALSE))</f>
        <v>#N/A</v>
      </c>
      <c r="V966" s="50" t="e">
        <f>Tableau119[[#This Row],[Day ILN Order]]+Tableau119[[#This Row],[Delivery time to ILN/Shipper]]-1</f>
        <v>#N/A</v>
      </c>
      <c r="W966" s="50" t="e">
        <f>IFERROR(VLOOKUP(Tableau119[[#This Row],[Key(Compte ILN - shipper - POL - plant)]],'DATA ILN'!A:N,14,FALSE),VLOOKUP(Tableau119[[#This Row],[Key(Compte ILN - shipper - POL)]],'DATA ILN'!B:N,13,FALSE))</f>
        <v>#N/A</v>
      </c>
      <c r="X966" s="50" t="e">
        <f>IFERROR(VLOOKUP(Tableau119[[#This Row],[Key(Compte ILN - shipper - POL - plant)]],'DATA ILN'!A:P,16,FALSE),VLOOKUP(Tableau119[[#This Row],[Key(Compte ILN - shipper - POL)]],'DATA ILN'!B:P,15,FALSE))</f>
        <v>#N/A</v>
      </c>
      <c r="Y966" s="284" t="s">
        <v>454</v>
      </c>
      <c r="Z966" s="430">
        <f>IFERROR(VLOOKUP(Tableau119[[#This Row],[Name Shipper]],Plant_AILN!L:M,2,FALSE),0)</f>
        <v>41447500</v>
      </c>
      <c r="AA966" s="406">
        <v>1058</v>
      </c>
      <c r="AB966" s="396" t="b">
        <f>_xlfn.XLOOKUP(Tableau119[[#This Row],[Key(ID-date)]],'DATA BTO'!S:S,'DATA BTO'!E:E,FALSE)</f>
        <v>0</v>
      </c>
      <c r="AC966" s="3" t="b">
        <f>_xlfn.XLOOKUP(Tableau119[[#This Row],[Key(ID-date)]],'DATA BTO'!S:S,'DATA BTO'!F:F,FALSE)</f>
        <v>0</v>
      </c>
      <c r="AD966" s="50" t="b">
        <f>_xlfn.XLOOKUP(Tableau119[[#This Row],[Key(ID-date)]],'DATA BTO'!S:S,'DATA BTO'!G:G,FALSE)</f>
        <v>0</v>
      </c>
      <c r="AE966" s="50" t="b">
        <f>_xlfn.XLOOKUP(Tableau119[[#This Row],[Key(ID-date)]],'DATA BTO'!S:S,'DATA BTO'!H:H,FALSE)</f>
        <v>0</v>
      </c>
      <c r="AF966" s="447" t="e">
        <f>IF(Tableau119[[#This Row],[First Day to POL]]&lt;=Tableau119[[#This Row],[Day Cut Off]],Tableau119[[#This Row],[Day ETD]],Tableau119[[#This Row],[Day ETD]]+7)</f>
        <v>#N/A</v>
      </c>
      <c r="AG966" s="50" t="b">
        <f>_xlfn.XLOOKUP(Tableau119[[#This Row],[Key(ID-date)]],'DATA BTO'!S:S,'DATA BTO'!I:I,FALSE)</f>
        <v>0</v>
      </c>
      <c r="AH966" s="3" t="b">
        <f>_xlfn.XLOOKUP(Tableau119[[#This Row],[Key(ID-date)]],'DATA BTO'!S:S,'DATA BTO'!J:J,FALSE)</f>
        <v>0</v>
      </c>
      <c r="AI966" s="3" t="b">
        <f>_xlfn.XLOOKUP(Tableau119[[#This Row],[Key(ID-date)]],'DATA BTO'!S:S,'DATA BTO'!K:K,FALSE)</f>
        <v>0</v>
      </c>
      <c r="AJ966" s="50" t="b">
        <f>_xlfn.XLOOKUP(Tableau119[[#This Row],[Key(ID-date)]],'DATA BTO'!S:S,'DATA BTO'!L:L,FALSE)</f>
        <v>0</v>
      </c>
      <c r="AK966" s="53" t="b">
        <f>_xlfn.XLOOKUP(Tableau119[[#This Row],[Key(ID-date)]],'DATA BTO'!S:S,'DATA BTO'!N:N,FALSE)</f>
        <v>0</v>
      </c>
      <c r="AL966" s="54" t="e">
        <f>VLOOKUP(Tableau119[[#This Row],[Key(POD -PFI- Usine)]],'DATA Consignee'!A:F,6,FALSE)</f>
        <v>#N/A</v>
      </c>
      <c r="AM966" s="284"/>
      <c r="AN966" s="376" t="str">
        <f>IF(Tableau119[[#This Row],[Name PFI/CDD]]="","-",VLOOKUP(Tableau119[[#This Row],[Name PFI/CDD]],Plant_AILN!I:J,2,FALSE))</f>
        <v>-</v>
      </c>
      <c r="AO966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6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6" s="2" t="e">
        <f>VLOOKUP(Tableau119[[#This Row],[Key(POD -PFI- Usine)]],'DATA Consignee'!A:J,10,FALSE)</f>
        <v>#N/A</v>
      </c>
      <c r="AR966" s="50" t="e">
        <f>VLOOKUP(Tableau119[[#This Row],[Key(POD -PFI- Usine)]],'DATA Consignee'!A:N,14,FALSE)</f>
        <v>#N/A</v>
      </c>
      <c r="AS966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6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6" s="50">
        <f>Tableau119[[#This Row],[Transit time]]+Tableau119[[#This Row],[Time for security]]+Tableau119[[#This Row],[Time for security2 buffer]]</f>
        <v>0</v>
      </c>
      <c r="AV96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6" s="50" t="e">
        <f>Tableau119[[#This Row],[Leadtime SI2C]]+Tableau119[[#This Row],[First Receipt Days]]-Tableau119[[#This Row],[Day Customer Order]]+1</f>
        <v>#N/A</v>
      </c>
      <c r="AX966" s="119" t="e">
        <f>IF(Tableau119[[#This Row],[Name ILN]]&lt;&gt;"SFK Freight Forwarder",Tableau119[[#This Row],[Cust. Leadtime]],Tableau119[[#This Row],[Leadtime SI2C]])</f>
        <v>#N/A</v>
      </c>
      <c r="AY966" s="51" t="b">
        <f>_xlfn.XLOOKUP(Tableau119[[#This Row],[Key(ID-date)]],'DATA BTO'!S:S,'DATA BTO'!P:P,FALSE)</f>
        <v>0</v>
      </c>
      <c r="AZ966" s="338">
        <v>46142</v>
      </c>
      <c r="BA966" s="50"/>
    </row>
    <row r="967" spans="2:53">
      <c r="B967" s="446" t="str">
        <f>_xlfn.CONCAT(Tableau119[[#This Row],[Name ILN]],"-",Tableau119[[#This Row],[Name Shipper]],"-",Tableau119[[#This Row],[Name Site]])</f>
        <v>SFK Freight Forwarder-E-DRIVE-REVOZ</v>
      </c>
      <c r="C967" s="66" t="str">
        <f>_xlfn.CONCAT(Tableau119[[#This Row],[Compte ILN]],"-",Tableau119[[#This Row],[Compte Shipper]],"-",Tableau119[[#This Row],[POL]],"-",Tableau119[[#This Row],[Compte Consignee]])</f>
        <v>0-41447500-FALSO-90016700</v>
      </c>
      <c r="D967" s="66" t="str">
        <f>_xlfn.CONCAT(Tableau119[[#This Row],[Compte ILN]],"-",Tableau119[[#This Row],[Compte Shipper]],"-",Tableau119[[#This Row],[POL]])</f>
        <v>0-41447500-FALSO</v>
      </c>
      <c r="E967" s="130" t="str">
        <f>_xlfn.CONCAT(Tableau119[[#This Row],[POL]],"-",Tableau119[[#This Row],[Carrier]],"-",Tableau119[[#This Row],[POD]])</f>
        <v>FALSO-FALSO-FALSO</v>
      </c>
      <c r="F967" s="66" t="str">
        <f>_xlfn.CONCAT(Tableau119[[#This Row],[ID]],"-","Actif")</f>
        <v>1058-Actif</v>
      </c>
      <c r="G967" s="66" t="str">
        <f>_xlfn.CONCAT(Tableau119[[#This Row],[POD]],"-",Tableau119[[#This Row],[Code PFI]],"-",Tableau119[[#This Row],[Compte Consignee]])</f>
        <v>FALSO---90016700</v>
      </c>
      <c r="H96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41447500FALSOREVOZ</v>
      </c>
      <c r="I967" s="434" t="str">
        <f>_xlfn.CONCAT(Tableau119[[#This Row],[ID]],"-",Tableau119[[#This Row],[Expiration Date]])</f>
        <v>1058-45778</v>
      </c>
      <c r="J96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REVOZ-SFK Freight Forwarder-E-DRIVE-1058-FALSO-FALSO-FALSO--45778</v>
      </c>
      <c r="K967" s="119" t="str">
        <f ca="1">IF(COUNTIF(J:J,Tableau119[[#This Row],[Plant-ILN-shipper-POL-Carrier-POD-PFI]])=1,"Non","Oui")</f>
        <v>Non</v>
      </c>
      <c r="L967" s="128" t="str">
        <f>VLOOKUP(Tableau119[[#This Row],[Name Site]],Plant_AILN!A:D,4,FALSE)</f>
        <v>SLOVENIA</v>
      </c>
      <c r="M967" s="415" t="s">
        <v>35</v>
      </c>
      <c r="N967" s="455">
        <f>VLOOKUP(Tableau119[[#This Row],[Name Site]],Plant_AILN!A:C,3,FALSE)</f>
        <v>90016700</v>
      </c>
      <c r="O967" s="104">
        <f>VLOOKUP(Tableau119[[#This Row],[Compte Consignee]],Order!C:D,2,FALSE)</f>
        <v>7</v>
      </c>
      <c r="P967" s="126" t="s">
        <v>146</v>
      </c>
      <c r="Q967" s="366">
        <f>VLOOKUP(Tableau119[[#This Row],[Name ILN]],Plant_AILN!F:G,2,FALSE)</f>
        <v>0</v>
      </c>
      <c r="R967" s="81">
        <f>VLOOKUP(Tableau119[[#This Row],[Compte ILN]],'DATA ILN'!D:I,6,FALSE)</f>
        <v>9</v>
      </c>
      <c r="S967" s="81" t="e">
        <f>IFERROR(VLOOKUP(Tableau119[[#This Row],[Key(Compte ILN - shipper - POL - plant)]],'DATA ILN'!A:J,10,FALSE),VLOOKUP(Tableau119[[#This Row],[Key(Compte ILN - shipper - POL)]],'DATA ILN'!B:J,9,FALSE))</f>
        <v>#N/A</v>
      </c>
      <c r="T967" s="81" t="e">
        <f>IFERROR(VLOOKUP(Tableau119[[#This Row],[Key(Compte ILN - shipper - POL - plant)]],'DATA ILN'!A:K,11,FALSE),VLOOKUP(Tableau119[[#This Row],[Key(Compte ILN - shipper - POL)]],'DATA ILN'!B:K,10,FALSE))</f>
        <v>#N/A</v>
      </c>
      <c r="U967" s="81" t="e">
        <f>IFERROR(VLOOKUP(Tableau119[[#This Row],[Key(Compte ILN - shipper - POL - plant)]],'DATA ILN'!A:L,12,FALSE),VLOOKUP(Tableau119[[#This Row],[Key(Compte ILN - shipper - POL)]],'DATA ILN'!B:L,11,FALSE))</f>
        <v>#N/A</v>
      </c>
      <c r="V967" s="81" t="e">
        <f>Tableau119[[#This Row],[Day ILN Order]]+Tableau119[[#This Row],[Delivery time to ILN/Shipper]]-1</f>
        <v>#N/A</v>
      </c>
      <c r="W967" s="81" t="e">
        <f>IFERROR(VLOOKUP(Tableau119[[#This Row],[Key(Compte ILN - shipper - POL - plant)]],'DATA ILN'!A:N,14,FALSE),VLOOKUP(Tableau119[[#This Row],[Key(Compte ILN - shipper - POL)]],'DATA ILN'!B:N,13,FALSE))</f>
        <v>#N/A</v>
      </c>
      <c r="X967" s="81" t="e">
        <f>IFERROR(VLOOKUP(Tableau119[[#This Row],[Key(Compte ILN - shipper - POL - plant)]],'DATA ILN'!A:P,16,FALSE),VLOOKUP(Tableau119[[#This Row],[Key(Compte ILN - shipper - POL)]],'DATA ILN'!B:P,15,FALSE))</f>
        <v>#N/A</v>
      </c>
      <c r="Y967" s="102" t="s">
        <v>454</v>
      </c>
      <c r="Z967" s="417">
        <f>IFERROR(VLOOKUP(Tableau119[[#This Row],[Name Shipper]],Plant_AILN!L:M,2,FALSE),0)</f>
        <v>41447500</v>
      </c>
      <c r="AA967" s="416">
        <v>1058</v>
      </c>
      <c r="AB967" s="396" t="b">
        <f>_xlfn.XLOOKUP(Tableau119[[#This Row],[Key(ID-date)]],'DATA BTO'!S:S,'DATA BTO'!E:E,FALSE)</f>
        <v>0</v>
      </c>
      <c r="AC967" s="3" t="b">
        <f>_xlfn.XLOOKUP(Tableau119[[#This Row],[Key(ID-date)]],'DATA BTO'!S:S,'DATA BTO'!F:F,FALSE)</f>
        <v>0</v>
      </c>
      <c r="AD967" s="50" t="b">
        <f>_xlfn.XLOOKUP(Tableau119[[#This Row],[Key(ID-date)]],'DATA BTO'!S:S,'DATA BTO'!G:G,FALSE)</f>
        <v>0</v>
      </c>
      <c r="AE967" s="50" t="b">
        <f>_xlfn.XLOOKUP(Tableau119[[#This Row],[Key(ID-date)]],'DATA BTO'!S:S,'DATA BTO'!H:H,FALSE)</f>
        <v>0</v>
      </c>
      <c r="AF967" s="447" t="e">
        <f>IF(Tableau119[[#This Row],[First Day to POL]]&lt;=Tableau119[[#This Row],[Day Cut Off]],Tableau119[[#This Row],[Day ETD]],Tableau119[[#This Row],[Day ETD]]+7)</f>
        <v>#N/A</v>
      </c>
      <c r="AG967" s="50" t="b">
        <f>_xlfn.XLOOKUP(Tableau119[[#This Row],[Key(ID-date)]],'DATA BTO'!S:S,'DATA BTO'!I:I,FALSE)</f>
        <v>0</v>
      </c>
      <c r="AH967" s="3" t="b">
        <f>_xlfn.XLOOKUP(Tableau119[[#This Row],[Key(ID-date)]],'DATA BTO'!S:S,'DATA BTO'!J:J,FALSE)</f>
        <v>0</v>
      </c>
      <c r="AI967" s="3" t="b">
        <f>_xlfn.XLOOKUP(Tableau119[[#This Row],[Key(ID-date)]],'DATA BTO'!S:S,'DATA BTO'!K:K,FALSE)</f>
        <v>0</v>
      </c>
      <c r="AJ967" s="50" t="b">
        <f>_xlfn.XLOOKUP(Tableau119[[#This Row],[Key(ID-date)]],'DATA BTO'!S:S,'DATA BTO'!L:L,FALSE)</f>
        <v>0</v>
      </c>
      <c r="AK967" s="53" t="b">
        <f>_xlfn.XLOOKUP(Tableau119[[#This Row],[Key(ID-date)]],'DATA BTO'!S:S,'DATA BTO'!N:N,FALSE)</f>
        <v>0</v>
      </c>
      <c r="AL967" s="54" t="e">
        <f>VLOOKUP(Tableau119[[#This Row],[Key(POD -PFI- Usine)]],'DATA Consignee'!A:F,6,FALSE)</f>
        <v>#N/A</v>
      </c>
      <c r="AM967" s="102"/>
      <c r="AN967" s="375" t="str">
        <f>IF(Tableau119[[#This Row],[Name PFI/CDD]]="","-",VLOOKUP(Tableau119[[#This Row],[Name PFI/CDD]],Plant_AILN!I:J,2,FALSE))</f>
        <v>-</v>
      </c>
      <c r="AO96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7" s="110" t="e">
        <f>VLOOKUP(Tableau119[[#This Row],[Key(POD -PFI- Usine)]],'DATA Consignee'!A:J,10,FALSE)</f>
        <v>#N/A</v>
      </c>
      <c r="AR967" s="81" t="e">
        <f>VLOOKUP(Tableau119[[#This Row],[Key(POD -PFI- Usine)]],'DATA Consignee'!A:N,14,FALSE)</f>
        <v>#N/A</v>
      </c>
      <c r="AS96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7" s="81">
        <f>Tableau119[[#This Row],[Transit time]]+Tableau119[[#This Row],[Time for security]]+Tableau119[[#This Row],[Time for security2 buffer]]</f>
        <v>0</v>
      </c>
      <c r="AV96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7" s="50" t="e">
        <f>Tableau119[[#This Row],[Leadtime SI2C]]+Tableau119[[#This Row],[First Receipt Days]]-Tableau119[[#This Row],[Day Customer Order]]+1</f>
        <v>#N/A</v>
      </c>
      <c r="AX967" s="119" t="e">
        <f>IF(Tableau119[[#This Row],[Name ILN]]&lt;&gt;"SFK Freight Forwarder",Tableau119[[#This Row],[Cust. Leadtime]],Tableau119[[#This Row],[Leadtime SI2C]])</f>
        <v>#N/A</v>
      </c>
      <c r="AY967" s="51" t="b">
        <f>_xlfn.XLOOKUP(Tableau119[[#This Row],[Key(ID-date)]],'DATA BTO'!S:S,'DATA BTO'!P:P,FALSE)</f>
        <v>0</v>
      </c>
      <c r="AZ967" s="388">
        <v>45778</v>
      </c>
      <c r="BA967" s="81"/>
    </row>
    <row r="968" spans="2:53">
      <c r="B968" s="446" t="str">
        <f>_xlfn.CONCAT(Tableau119[[#This Row],[Name ILN]],"-",Tableau119[[#This Row],[Name Shipper]],"-",Tableau119[[#This Row],[Name Site]])</f>
        <v>ILN Chine -ILN Chine -CHENNAI Vehicule</v>
      </c>
      <c r="C968" s="66" t="str">
        <f>_xlfn.CONCAT(Tableau119[[#This Row],[Compte ILN]],"-",Tableau119[[#This Row],[Compte Shipper]],"-",Tableau119[[#This Row],[POL]],"-",Tableau119[[#This Row],[Compte Consignee]])</f>
        <v>424479-424479-FALSO-26549502</v>
      </c>
      <c r="D968" s="66" t="str">
        <f>_xlfn.CONCAT(Tableau119[[#This Row],[Compte ILN]],"-",Tableau119[[#This Row],[Compte Shipper]],"-",Tableau119[[#This Row],[POL]])</f>
        <v>424479-424479-FALSO</v>
      </c>
      <c r="E968" s="130" t="str">
        <f>_xlfn.CONCAT(Tableau119[[#This Row],[POL]],"-",Tableau119[[#This Row],[Carrier]],"-",Tableau119[[#This Row],[POD]])</f>
        <v>FALSO-FALSO-FALSO</v>
      </c>
      <c r="F968" s="66" t="str">
        <f>_xlfn.CONCAT(Tableau119[[#This Row],[ID]],"-","Actif")</f>
        <v>1060-Actif</v>
      </c>
      <c r="G968" s="66" t="str">
        <f>_xlfn.CONCAT(Tableau119[[#This Row],[POD]],"-",Tableau119[[#This Row],[Code PFI]],"-",Tableau119[[#This Row],[Compte Consignee]])</f>
        <v>FALSO---26549502</v>
      </c>
      <c r="H96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Chine FALSOCHENNAI Vehicule</v>
      </c>
      <c r="I968" s="434" t="str">
        <f>_xlfn.CONCAT(Tableau119[[#This Row],[ID]],"-",Tableau119[[#This Row],[Expiration Date]])</f>
        <v>1060-46142</v>
      </c>
      <c r="J96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CHENNAI Vehicule-ILN Chine -ILN Chine -1060-FALSO-FALSO-FALSO--46142</v>
      </c>
      <c r="K968" s="119" t="str">
        <f ca="1">IF(COUNTIF(J:J,Tableau119[[#This Row],[Plant-ILN-shipper-POL-Carrier-POD-PFI]])=1,"Non","Oui")</f>
        <v>Non</v>
      </c>
      <c r="L968" s="128" t="str">
        <f>VLOOKUP(Tableau119[[#This Row],[Name Site]],Plant_AILN!A:D,4,FALSE)</f>
        <v>INDIA</v>
      </c>
      <c r="M968" s="411" t="s">
        <v>159</v>
      </c>
      <c r="N968" s="454">
        <f>VLOOKUP(Tableau119[[#This Row],[Name Site]],Plant_AILN!A:C,3,FALSE)</f>
        <v>26549502</v>
      </c>
      <c r="O968" s="55">
        <f>IF(Tableau119[[#This Row],[Name PFI/CDD]]="PFI VLL",2,VLOOKUP(Tableau119[[#This Row],[Compte Consignee]],Order!C:D,2,FALSE))</f>
        <v>5</v>
      </c>
      <c r="P968" s="124" t="s">
        <v>1</v>
      </c>
      <c r="Q968" s="365">
        <f>VLOOKUP(Tableau119[[#This Row],[Name ILN]],Plant_AILN!F:G,2,FALSE)</f>
        <v>424479</v>
      </c>
      <c r="R968" s="50">
        <f>VLOOKUP(Tableau119[[#This Row],[Compte ILN]],'DATA ILN'!D:I,6,FALSE)</f>
        <v>9</v>
      </c>
      <c r="S968" s="50" t="e">
        <f>IFERROR(VLOOKUP(Tableau119[[#This Row],[Key(Compte ILN - shipper - POL - plant)]],'DATA ILN'!A:J,10,FALSE),VLOOKUP(Tableau119[[#This Row],[Key(Compte ILN - shipper - POL)]],'DATA ILN'!B:J,9,FALSE))</f>
        <v>#N/A</v>
      </c>
      <c r="T968" s="50" t="e">
        <f>IFERROR(VLOOKUP(Tableau119[[#This Row],[Key(Compte ILN - shipper - POL - plant)]],'DATA ILN'!A:K,11,FALSE),VLOOKUP(Tableau119[[#This Row],[Key(Compte ILN - shipper - POL)]],'DATA ILN'!B:K,10,FALSE))</f>
        <v>#N/A</v>
      </c>
      <c r="U968" s="50" t="e">
        <f>IFERROR(VLOOKUP(Tableau119[[#This Row],[Key(Compte ILN - shipper - POL - plant)]],'DATA ILN'!A:L,12,FALSE),VLOOKUP(Tableau119[[#This Row],[Key(Compte ILN - shipper - POL)]],'DATA ILN'!B:L,11,FALSE))</f>
        <v>#N/A</v>
      </c>
      <c r="V968" s="50" t="e">
        <f>Tableau119[[#This Row],[Day ILN Order]]+Tableau119[[#This Row],[Delivery time to ILN/Shipper]]-1</f>
        <v>#N/A</v>
      </c>
      <c r="W968" s="50" t="e">
        <f>IFERROR(VLOOKUP(Tableau119[[#This Row],[Key(Compte ILN - shipper - POL - plant)]],'DATA ILN'!A:N,14,FALSE),VLOOKUP(Tableau119[[#This Row],[Key(Compte ILN - shipper - POL)]],'DATA ILN'!B:N,13,FALSE))</f>
        <v>#N/A</v>
      </c>
      <c r="X968" s="50" t="e">
        <f>IFERROR(VLOOKUP(Tableau119[[#This Row],[Key(Compte ILN - shipper - POL - plant)]],'DATA ILN'!A:P,16,FALSE),VLOOKUP(Tableau119[[#This Row],[Key(Compte ILN - shipper - POL)]],'DATA ILN'!B:P,15,FALSE))</f>
        <v>#N/A</v>
      </c>
      <c r="Y968" s="284" t="s">
        <v>1</v>
      </c>
      <c r="Z968" s="430">
        <f>IFERROR(VLOOKUP(Tableau119[[#This Row],[Name Shipper]],Plant_AILN!L:M,2,FALSE),0)</f>
        <v>424479</v>
      </c>
      <c r="AA968" s="406">
        <v>1060</v>
      </c>
      <c r="AB968" s="396" t="b">
        <f>_xlfn.XLOOKUP(Tableau119[[#This Row],[Key(ID-date)]],'DATA BTO'!S:S,'DATA BTO'!E:E,FALSE)</f>
        <v>0</v>
      </c>
      <c r="AC968" s="3" t="b">
        <f>_xlfn.XLOOKUP(Tableau119[[#This Row],[Key(ID-date)]],'DATA BTO'!S:S,'DATA BTO'!F:F,FALSE)</f>
        <v>0</v>
      </c>
      <c r="AD968" s="50" t="b">
        <f>_xlfn.XLOOKUP(Tableau119[[#This Row],[Key(ID-date)]],'DATA BTO'!S:S,'DATA BTO'!G:G,FALSE)</f>
        <v>0</v>
      </c>
      <c r="AE968" s="50" t="b">
        <f>_xlfn.XLOOKUP(Tableau119[[#This Row],[Key(ID-date)]],'DATA BTO'!S:S,'DATA BTO'!H:H,FALSE)</f>
        <v>0</v>
      </c>
      <c r="AF968" s="447" t="e">
        <f>IF(Tableau119[[#This Row],[First Day to POL]]&lt;=Tableau119[[#This Row],[Day Cut Off]],Tableau119[[#This Row],[Day ETD]],Tableau119[[#This Row],[Day ETD]]+7)</f>
        <v>#N/A</v>
      </c>
      <c r="AG968" s="50" t="b">
        <f>_xlfn.XLOOKUP(Tableau119[[#This Row],[Key(ID-date)]],'DATA BTO'!S:S,'DATA BTO'!I:I,FALSE)</f>
        <v>0</v>
      </c>
      <c r="AH968" s="3" t="b">
        <f>_xlfn.XLOOKUP(Tableau119[[#This Row],[Key(ID-date)]],'DATA BTO'!S:S,'DATA BTO'!J:J,FALSE)</f>
        <v>0</v>
      </c>
      <c r="AI968" s="3" t="b">
        <f>_xlfn.XLOOKUP(Tableau119[[#This Row],[Key(ID-date)]],'DATA BTO'!S:S,'DATA BTO'!K:K,FALSE)</f>
        <v>0</v>
      </c>
      <c r="AJ968" s="50" t="b">
        <f>_xlfn.XLOOKUP(Tableau119[[#This Row],[Key(ID-date)]],'DATA BTO'!S:S,'DATA BTO'!L:L,FALSE)</f>
        <v>0</v>
      </c>
      <c r="AK968" s="53" t="b">
        <f>_xlfn.XLOOKUP(Tableau119[[#This Row],[Key(ID-date)]],'DATA BTO'!S:S,'DATA BTO'!N:N,FALSE)</f>
        <v>0</v>
      </c>
      <c r="AL968" s="54" t="e">
        <f>VLOOKUP(Tableau119[[#This Row],[Key(POD -PFI- Usine)]],'DATA Consignee'!A:F,6,FALSE)</f>
        <v>#N/A</v>
      </c>
      <c r="AM968" s="284"/>
      <c r="AN968" s="376" t="str">
        <f>IF(Tableau119[[#This Row],[Name PFI/CDD]]="","-",VLOOKUP(Tableau119[[#This Row],[Name PFI/CDD]],Plant_AILN!I:J,2,FALSE))</f>
        <v>-</v>
      </c>
      <c r="AO968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8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8" s="2" t="e">
        <f>VLOOKUP(Tableau119[[#This Row],[Key(POD -PFI- Usine)]],'DATA Consignee'!A:J,10,FALSE)</f>
        <v>#N/A</v>
      </c>
      <c r="AR968" s="50" t="e">
        <f>VLOOKUP(Tableau119[[#This Row],[Key(POD -PFI- Usine)]],'DATA Consignee'!A:N,14,FALSE)</f>
        <v>#N/A</v>
      </c>
      <c r="AS968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8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8" s="50">
        <f>Tableau119[[#This Row],[Transit time]]+Tableau119[[#This Row],[Time for security]]+Tableau119[[#This Row],[Time for security2 buffer]]</f>
        <v>0</v>
      </c>
      <c r="AV96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8" s="50" t="e">
        <f>Tableau119[[#This Row],[Leadtime SI2C]]+Tableau119[[#This Row],[First Receipt Days]]-Tableau119[[#This Row],[Day Customer Order]]+1</f>
        <v>#N/A</v>
      </c>
      <c r="AX968" s="119" t="e">
        <f>IF(Tableau119[[#This Row],[Name ILN]]&lt;&gt;"SFK Freight Forwarder",Tableau119[[#This Row],[Cust. Leadtime]],Tableau119[[#This Row],[Leadtime SI2C]])</f>
        <v>#N/A</v>
      </c>
      <c r="AY968" s="51" t="b">
        <f>_xlfn.XLOOKUP(Tableau119[[#This Row],[Key(ID-date)]],'DATA BTO'!S:S,'DATA BTO'!P:P,FALSE)</f>
        <v>0</v>
      </c>
      <c r="AZ968" s="338">
        <v>46142</v>
      </c>
      <c r="BA968" s="50"/>
    </row>
    <row r="969" spans="2:53">
      <c r="B969" s="446" t="str">
        <f>_xlfn.CONCAT(Tableau119[[#This Row],[Name ILN]],"-",Tableau119[[#This Row],[Name Shipper]],"-",Tableau119[[#This Row],[Name Site]])</f>
        <v>SFK Freight Forwarder-NISSAN KANAGAWA -CACIA</v>
      </c>
      <c r="C969" s="66" t="str">
        <f>_xlfn.CONCAT(Tableau119[[#This Row],[Compte ILN]],"-",Tableau119[[#This Row],[Compte Shipper]],"-",Tableau119[[#This Row],[POL]],"-",Tableau119[[#This Row],[Compte Consignee]])</f>
        <v>0-2915910-FALSO-90016500</v>
      </c>
      <c r="D969" s="66" t="str">
        <f>_xlfn.CONCAT(Tableau119[[#This Row],[Compte ILN]],"-",Tableau119[[#This Row],[Compte Shipper]],"-",Tableau119[[#This Row],[POL]])</f>
        <v>0-2915910-FALSO</v>
      </c>
      <c r="E969" s="130" t="str">
        <f>_xlfn.CONCAT(Tableau119[[#This Row],[POL]],"-",Tableau119[[#This Row],[Carrier]],"-",Tableau119[[#This Row],[POD]])</f>
        <v>FALSO-FALSO-FALSO</v>
      </c>
      <c r="F969" s="66" t="str">
        <f>_xlfn.CONCAT(Tableau119[[#This Row],[ID]],"-","Actif")</f>
        <v>1061-Actif</v>
      </c>
      <c r="G969" s="66" t="str">
        <f>_xlfn.CONCAT(Tableau119[[#This Row],[POD]],"-",Tableau119[[#This Row],[Code PFI]],"-",Tableau119[[#This Row],[Compte Consignee]])</f>
        <v>FALSO---90016500</v>
      </c>
      <c r="H96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2915910FALSOCACIA</v>
      </c>
      <c r="I969" s="434" t="str">
        <f>_xlfn.CONCAT(Tableau119[[#This Row],[ID]],"-",Tableau119[[#This Row],[Expiration Date]])</f>
        <v>1061-46142</v>
      </c>
      <c r="J96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CACIA-SFK Freight Forwarder-NISSAN KANAGAWA -1061-FALSO-FALSO-FALSO--46142</v>
      </c>
      <c r="K969" s="119" t="str">
        <f ca="1">IF(COUNTIF(J:J,Tableau119[[#This Row],[Plant-ILN-shipper-POL-Carrier-POD-PFI]])=1,"Non","Oui")</f>
        <v>Non</v>
      </c>
      <c r="L969" s="128" t="str">
        <f>VLOOKUP(Tableau119[[#This Row],[Name Site]],Plant_AILN!A:D,4,FALSE)</f>
        <v>PORTUGAL</v>
      </c>
      <c r="M969" s="411" t="s">
        <v>170</v>
      </c>
      <c r="N969" s="454">
        <f>VLOOKUP(Tableau119[[#This Row],[Name Site]],Plant_AILN!A:C,3,FALSE)</f>
        <v>90016500</v>
      </c>
      <c r="O969" s="55">
        <f>IF(Tableau119[[#This Row],[Name PFI/CDD]]="PFI VLL",2,VLOOKUP(Tableau119[[#This Row],[Compte Consignee]],Order!C:D,2,FALSE))</f>
        <v>5</v>
      </c>
      <c r="P969" s="124" t="s">
        <v>146</v>
      </c>
      <c r="Q969" s="365">
        <f>VLOOKUP(Tableau119[[#This Row],[Name ILN]],Plant_AILN!F:G,2,FALSE)</f>
        <v>0</v>
      </c>
      <c r="R969" s="50">
        <f>VLOOKUP(Tableau119[[#This Row],[Compte ILN]],'DATA ILN'!D:I,6,FALSE)</f>
        <v>9</v>
      </c>
      <c r="S969" s="50" t="e">
        <f>IFERROR(VLOOKUP(Tableau119[[#This Row],[Key(Compte ILN - shipper - POL - plant)]],'DATA ILN'!A:J,10,FALSE),VLOOKUP(Tableau119[[#This Row],[Key(Compte ILN - shipper - POL)]],'DATA ILN'!B:J,9,FALSE))</f>
        <v>#N/A</v>
      </c>
      <c r="T969" s="50" t="e">
        <f>IFERROR(VLOOKUP(Tableau119[[#This Row],[Key(Compte ILN - shipper - POL - plant)]],'DATA ILN'!A:K,11,FALSE),VLOOKUP(Tableau119[[#This Row],[Key(Compte ILN - shipper - POL)]],'DATA ILN'!B:K,10,FALSE))</f>
        <v>#N/A</v>
      </c>
      <c r="U969" s="50" t="e">
        <f>IFERROR(VLOOKUP(Tableau119[[#This Row],[Key(Compte ILN - shipper - POL - plant)]],'DATA ILN'!A:L,12,FALSE),VLOOKUP(Tableau119[[#This Row],[Key(Compte ILN - shipper - POL)]],'DATA ILN'!B:L,11,FALSE))</f>
        <v>#N/A</v>
      </c>
      <c r="V969" s="50" t="e">
        <f>Tableau119[[#This Row],[Day ILN Order]]+Tableau119[[#This Row],[Delivery time to ILN/Shipper]]-1</f>
        <v>#N/A</v>
      </c>
      <c r="W969" s="50" t="e">
        <f>IFERROR(VLOOKUP(Tableau119[[#This Row],[Key(Compte ILN - shipper - POL - plant)]],'DATA ILN'!A:N,14,FALSE),VLOOKUP(Tableau119[[#This Row],[Key(Compte ILN - shipper - POL)]],'DATA ILN'!B:N,13,FALSE))</f>
        <v>#N/A</v>
      </c>
      <c r="X969" s="50" t="e">
        <f>IFERROR(VLOOKUP(Tableau119[[#This Row],[Key(Compte ILN - shipper - POL - plant)]],'DATA ILN'!A:P,16,FALSE),VLOOKUP(Tableau119[[#This Row],[Key(Compte ILN - shipper - POL)]],'DATA ILN'!B:P,15,FALSE))</f>
        <v>#N/A</v>
      </c>
      <c r="Y969" s="284" t="s">
        <v>460</v>
      </c>
      <c r="Z969" s="430">
        <f>IFERROR(VLOOKUP(Tableau119[[#This Row],[Name Shipper]],Plant_AILN!L:M,2,FALSE),0)</f>
        <v>2915910</v>
      </c>
      <c r="AA969" s="406">
        <v>1061</v>
      </c>
      <c r="AB969" s="396" t="b">
        <f>_xlfn.XLOOKUP(Tableau119[[#This Row],[Key(ID-date)]],'DATA BTO'!S:S,'DATA BTO'!E:E,FALSE)</f>
        <v>0</v>
      </c>
      <c r="AC969" s="3" t="b">
        <f>_xlfn.XLOOKUP(Tableau119[[#This Row],[Key(ID-date)]],'DATA BTO'!S:S,'DATA BTO'!F:F,FALSE)</f>
        <v>0</v>
      </c>
      <c r="AD969" s="50" t="b">
        <f>_xlfn.XLOOKUP(Tableau119[[#This Row],[Key(ID-date)]],'DATA BTO'!S:S,'DATA BTO'!G:G,FALSE)</f>
        <v>0</v>
      </c>
      <c r="AE969" s="50" t="b">
        <f>_xlfn.XLOOKUP(Tableau119[[#This Row],[Key(ID-date)]],'DATA BTO'!S:S,'DATA BTO'!H:H,FALSE)</f>
        <v>0</v>
      </c>
      <c r="AF969" s="447" t="e">
        <f>IF(Tableau119[[#This Row],[First Day to POL]]&lt;=Tableau119[[#This Row],[Day Cut Off]],Tableau119[[#This Row],[Day ETD]],Tableau119[[#This Row],[Day ETD]]+7)</f>
        <v>#N/A</v>
      </c>
      <c r="AG969" s="50" t="b">
        <f>_xlfn.XLOOKUP(Tableau119[[#This Row],[Key(ID-date)]],'DATA BTO'!S:S,'DATA BTO'!I:I,FALSE)</f>
        <v>0</v>
      </c>
      <c r="AH969" s="3" t="b">
        <f>_xlfn.XLOOKUP(Tableau119[[#This Row],[Key(ID-date)]],'DATA BTO'!S:S,'DATA BTO'!J:J,FALSE)</f>
        <v>0</v>
      </c>
      <c r="AI969" s="3" t="b">
        <f>_xlfn.XLOOKUP(Tableau119[[#This Row],[Key(ID-date)]],'DATA BTO'!S:S,'DATA BTO'!K:K,FALSE)</f>
        <v>0</v>
      </c>
      <c r="AJ969" s="50" t="b">
        <f>_xlfn.XLOOKUP(Tableau119[[#This Row],[Key(ID-date)]],'DATA BTO'!S:S,'DATA BTO'!L:L,FALSE)</f>
        <v>0</v>
      </c>
      <c r="AK969" s="53" t="b">
        <f>_xlfn.XLOOKUP(Tableau119[[#This Row],[Key(ID-date)]],'DATA BTO'!S:S,'DATA BTO'!N:N,FALSE)</f>
        <v>0</v>
      </c>
      <c r="AL969" s="54" t="e">
        <f>VLOOKUP(Tableau119[[#This Row],[Key(POD -PFI- Usine)]],'DATA Consignee'!A:F,6,FALSE)</f>
        <v>#N/A</v>
      </c>
      <c r="AM969" s="284"/>
      <c r="AN969" s="376" t="str">
        <f>IF(Tableau119[[#This Row],[Name PFI/CDD]]="","-",VLOOKUP(Tableau119[[#This Row],[Name PFI/CDD]],Plant_AILN!I:J,2,FALSE))</f>
        <v>-</v>
      </c>
      <c r="AO96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6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69" s="2" t="e">
        <f>VLOOKUP(Tableau119[[#This Row],[Key(POD -PFI- Usine)]],'DATA Consignee'!A:J,10,FALSE)</f>
        <v>#N/A</v>
      </c>
      <c r="AR969" s="50" t="e">
        <f>VLOOKUP(Tableau119[[#This Row],[Key(POD -PFI- Usine)]],'DATA Consignee'!A:N,14,FALSE)</f>
        <v>#N/A</v>
      </c>
      <c r="AS969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69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69" s="50">
        <f>Tableau119[[#This Row],[Transit time]]+Tableau119[[#This Row],[Time for security]]+Tableau119[[#This Row],[Time for security2 buffer]]</f>
        <v>0</v>
      </c>
      <c r="AV96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69" s="50" t="e">
        <f>Tableau119[[#This Row],[Leadtime SI2C]]+Tableau119[[#This Row],[First Receipt Days]]-Tableau119[[#This Row],[Day Customer Order]]+1</f>
        <v>#N/A</v>
      </c>
      <c r="AX969" s="119" t="e">
        <f>IF(Tableau119[[#This Row],[Name ILN]]&lt;&gt;"SFK Freight Forwarder",Tableau119[[#This Row],[Cust. Leadtime]],Tableau119[[#This Row],[Leadtime SI2C]])</f>
        <v>#N/A</v>
      </c>
      <c r="AY969" s="51" t="b">
        <f>_xlfn.XLOOKUP(Tableau119[[#This Row],[Key(ID-date)]],'DATA BTO'!S:S,'DATA BTO'!P:P,FALSE)</f>
        <v>0</v>
      </c>
      <c r="AZ969" s="338">
        <v>46142</v>
      </c>
      <c r="BA969" s="50"/>
    </row>
    <row r="970" spans="2:53">
      <c r="B970" s="446" t="str">
        <f>_xlfn.CONCAT(Tableau119[[#This Row],[Name ILN]],"-",Tableau119[[#This Row],[Name Shipper]],"-",Tableau119[[#This Row],[Name Site]])</f>
        <v>SFK Freight Forwarder-Aichikikai Japon-OYAK MEKA</v>
      </c>
      <c r="C970" s="66" t="str">
        <f>_xlfn.CONCAT(Tableau119[[#This Row],[Compte ILN]],"-",Tableau119[[#This Row],[Compte Shipper]],"-",Tableau119[[#This Row],[POL]],"-",Tableau119[[#This Row],[Compte Consignee]])</f>
        <v>0-11274100-FALSO-90014400</v>
      </c>
      <c r="D970" s="66" t="str">
        <f>_xlfn.CONCAT(Tableau119[[#This Row],[Compte ILN]],"-",Tableau119[[#This Row],[Compte Shipper]],"-",Tableau119[[#This Row],[POL]])</f>
        <v>0-11274100-FALSO</v>
      </c>
      <c r="E970" s="130" t="str">
        <f>_xlfn.CONCAT(Tableau119[[#This Row],[POL]],"-",Tableau119[[#This Row],[Carrier]],"-",Tableau119[[#This Row],[POD]])</f>
        <v>FALSO-FALSO-FALSO</v>
      </c>
      <c r="F970" s="66" t="str">
        <f>_xlfn.CONCAT(Tableau119[[#This Row],[ID]],"-","Actif")</f>
        <v>1063-Actif</v>
      </c>
      <c r="G970" s="66" t="str">
        <f>_xlfn.CONCAT(Tableau119[[#This Row],[POD]],"-",Tableau119[[#This Row],[Code PFI]],"-",Tableau119[[#This Row],[Compte Consignee]])</f>
        <v>FALSO---90014400</v>
      </c>
      <c r="H97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11274100FALSOOYAK MEKA</v>
      </c>
      <c r="I970" s="434" t="str">
        <f>_xlfn.CONCAT(Tableau119[[#This Row],[ID]],"-",Tableau119[[#This Row],[Expiration Date]])</f>
        <v>1063-46142</v>
      </c>
      <c r="J97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MEKA-SFK Freight Forwarder-Aichikikai Japon-1063-FALSO-FALSO-FALSO--46142</v>
      </c>
      <c r="K970" s="119" t="str">
        <f ca="1">IF(COUNTIF(J:J,Tableau119[[#This Row],[Plant-ILN-shipper-POL-Carrier-POD-PFI]])=1,"Non","Oui")</f>
        <v>Non</v>
      </c>
      <c r="L970" s="128" t="str">
        <f>VLOOKUP(Tableau119[[#This Row],[Name Site]],Plant_AILN!A:D,4,FALSE)</f>
        <v>TURKEY</v>
      </c>
      <c r="M970" s="415" t="s">
        <v>165</v>
      </c>
      <c r="N970" s="455">
        <f>VLOOKUP(Tableau119[[#This Row],[Name Site]],Plant_AILN!A:C,3,FALSE)</f>
        <v>90014400</v>
      </c>
      <c r="O970" s="104">
        <f>IF(Tableau119[[#This Row],[Name PFI/CDD]]="PFI VLL",2,VLOOKUP(Tableau119[[#This Row],[Compte Consignee]],Order!C:D,2,FALSE))</f>
        <v>2</v>
      </c>
      <c r="P970" s="126" t="s">
        <v>146</v>
      </c>
      <c r="Q970" s="366">
        <f>VLOOKUP(Tableau119[[#This Row],[Name ILN]],Plant_AILN!F:G,2,FALSE)</f>
        <v>0</v>
      </c>
      <c r="R970" s="81">
        <f>VLOOKUP(Tableau119[[#This Row],[Compte ILN]],'DATA ILN'!D:I,6,FALSE)</f>
        <v>9</v>
      </c>
      <c r="S970" s="81" t="e">
        <f>IFERROR(VLOOKUP(Tableau119[[#This Row],[Key(Compte ILN - shipper - POL - plant)]],'DATA ILN'!A:J,10,FALSE),VLOOKUP(Tableau119[[#This Row],[Key(Compte ILN - shipper - POL)]],'DATA ILN'!B:J,9,FALSE))</f>
        <v>#N/A</v>
      </c>
      <c r="T970" s="81" t="e">
        <f>IFERROR(VLOOKUP(Tableau119[[#This Row],[Key(Compte ILN - shipper - POL - plant)]],'DATA ILN'!A:K,11,FALSE),VLOOKUP(Tableau119[[#This Row],[Key(Compte ILN - shipper - POL)]],'DATA ILN'!B:K,10,FALSE))</f>
        <v>#N/A</v>
      </c>
      <c r="U970" s="81" t="e">
        <f>IFERROR(VLOOKUP(Tableau119[[#This Row],[Key(Compte ILN - shipper - POL - plant)]],'DATA ILN'!A:L,12,FALSE),VLOOKUP(Tableau119[[#This Row],[Key(Compte ILN - shipper - POL)]],'DATA ILN'!B:L,11,FALSE))</f>
        <v>#N/A</v>
      </c>
      <c r="V970" s="81" t="e">
        <f>Tableau119[[#This Row],[Day ILN Order]]+Tableau119[[#This Row],[Delivery time to ILN/Shipper]]-1</f>
        <v>#N/A</v>
      </c>
      <c r="W970" s="81" t="e">
        <f>IFERROR(VLOOKUP(Tableau119[[#This Row],[Key(Compte ILN - shipper - POL - plant)]],'DATA ILN'!A:N,14,FALSE),VLOOKUP(Tableau119[[#This Row],[Key(Compte ILN - shipper - POL)]],'DATA ILN'!B:N,13,FALSE))</f>
        <v>#N/A</v>
      </c>
      <c r="X970" s="81" t="e">
        <f>IFERROR(VLOOKUP(Tableau119[[#This Row],[Key(Compte ILN - shipper - POL - plant)]],'DATA ILN'!A:P,16,FALSE),VLOOKUP(Tableau119[[#This Row],[Key(Compte ILN - shipper - POL)]],'DATA ILN'!B:P,15,FALSE))</f>
        <v>#N/A</v>
      </c>
      <c r="Y970" s="495" t="s">
        <v>458</v>
      </c>
      <c r="Z970" s="417">
        <f>IFERROR(VLOOKUP(Tableau119[[#This Row],[Name Shipper]],Plant_AILN!L:M,2,FALSE),0)</f>
        <v>11274100</v>
      </c>
      <c r="AA970" s="416">
        <v>1063</v>
      </c>
      <c r="AB970" s="396" t="b">
        <f>_xlfn.XLOOKUP(Tableau119[[#This Row],[Key(ID-date)]],'DATA BTO'!S:S,'DATA BTO'!E:E,FALSE)</f>
        <v>0</v>
      </c>
      <c r="AC970" s="3" t="b">
        <f>_xlfn.XLOOKUP(Tableau119[[#This Row],[Key(ID-date)]],'DATA BTO'!S:S,'DATA BTO'!F:F,FALSE)</f>
        <v>0</v>
      </c>
      <c r="AD970" s="50" t="b">
        <f>_xlfn.XLOOKUP(Tableau119[[#This Row],[Key(ID-date)]],'DATA BTO'!S:S,'DATA BTO'!G:G,FALSE)</f>
        <v>0</v>
      </c>
      <c r="AE970" s="50" t="b">
        <f>_xlfn.XLOOKUP(Tableau119[[#This Row],[Key(ID-date)]],'DATA BTO'!S:S,'DATA BTO'!H:H,FALSE)</f>
        <v>0</v>
      </c>
      <c r="AF970" s="447" t="e">
        <f>IF(Tableau119[[#This Row],[First Day to POL]]&lt;=Tableau119[[#This Row],[Day Cut Off]],Tableau119[[#This Row],[Day ETD]],Tableau119[[#This Row],[Day ETD]]+7)</f>
        <v>#N/A</v>
      </c>
      <c r="AG970" s="50" t="b">
        <f>_xlfn.XLOOKUP(Tableau119[[#This Row],[Key(ID-date)]],'DATA BTO'!S:S,'DATA BTO'!I:I,FALSE)</f>
        <v>0</v>
      </c>
      <c r="AH970" s="3" t="b">
        <f>_xlfn.XLOOKUP(Tableau119[[#This Row],[Key(ID-date)]],'DATA BTO'!S:S,'DATA BTO'!J:J,FALSE)</f>
        <v>0</v>
      </c>
      <c r="AI970" s="3" t="b">
        <f>_xlfn.XLOOKUP(Tableau119[[#This Row],[Key(ID-date)]],'DATA BTO'!S:S,'DATA BTO'!K:K,FALSE)</f>
        <v>0</v>
      </c>
      <c r="AJ970" s="50" t="b">
        <f>_xlfn.XLOOKUP(Tableau119[[#This Row],[Key(ID-date)]],'DATA BTO'!S:S,'DATA BTO'!L:L,FALSE)</f>
        <v>0</v>
      </c>
      <c r="AK970" s="53" t="b">
        <f>_xlfn.XLOOKUP(Tableau119[[#This Row],[Key(ID-date)]],'DATA BTO'!S:S,'DATA BTO'!N:N,FALSE)</f>
        <v>0</v>
      </c>
      <c r="AL970" s="54" t="e">
        <f>VLOOKUP(Tableau119[[#This Row],[Key(POD -PFI- Usine)]],'DATA Consignee'!A:F,6,FALSE)</f>
        <v>#N/A</v>
      </c>
      <c r="AM970" s="102"/>
      <c r="AN970" s="375" t="str">
        <f>IF(Tableau119[[#This Row],[Name PFI/CDD]]="","-",VLOOKUP(Tableau119[[#This Row],[Name PFI/CDD]],Plant_AILN!I:J,2,FALSE))</f>
        <v>-</v>
      </c>
      <c r="AO970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0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0" s="110" t="e">
        <f>VLOOKUP(Tableau119[[#This Row],[Key(POD -PFI- Usine)]],'DATA Consignee'!A:J,10,FALSE)</f>
        <v>#N/A</v>
      </c>
      <c r="AR970" s="81" t="e">
        <f>VLOOKUP(Tableau119[[#This Row],[Key(POD -PFI- Usine)]],'DATA Consignee'!A:N,14,FALSE)</f>
        <v>#N/A</v>
      </c>
      <c r="AS970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70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70" s="81">
        <f>Tableau119[[#This Row],[Transit time]]+Tableau119[[#This Row],[Time for security]]+Tableau119[[#This Row],[Time for security2 buffer]]</f>
        <v>0</v>
      </c>
      <c r="AV970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70" s="50" t="e">
        <f>Tableau119[[#This Row],[Leadtime SI2C]]+Tableau119[[#This Row],[First Receipt Days]]-Tableau119[[#This Row],[Day Customer Order]]+1</f>
        <v>#N/A</v>
      </c>
      <c r="AX970" s="119" t="e">
        <f>IF(Tableau119[[#This Row],[Name ILN]]&lt;&gt;"SFK Freight Forwarder",Tableau119[[#This Row],[Cust. Leadtime]],Tableau119[[#This Row],[Leadtime SI2C]])</f>
        <v>#N/A</v>
      </c>
      <c r="AY970" s="51" t="b">
        <f>_xlfn.XLOOKUP(Tableau119[[#This Row],[Key(ID-date)]],'DATA BTO'!S:S,'DATA BTO'!P:P,FALSE)</f>
        <v>0</v>
      </c>
      <c r="AZ970" s="388">
        <v>46142</v>
      </c>
      <c r="BA970" s="81"/>
    </row>
    <row r="971" spans="2:53">
      <c r="B971" s="446" t="str">
        <f>_xlfn.CONCAT(Tableau119[[#This Row],[Name ILN]],"-",Tableau119[[#This Row],[Name Shipper]],"-",Tableau119[[#This Row],[Name Site]])</f>
        <v>SFK Freight Forwarder-Aichikikai Japon-OYAK MEKA</v>
      </c>
      <c r="C971" s="66" t="str">
        <f>_xlfn.CONCAT(Tableau119[[#This Row],[Compte ILN]],"-",Tableau119[[#This Row],[Compte Shipper]],"-",Tableau119[[#This Row],[POL]],"-",Tableau119[[#This Row],[Compte Consignee]])</f>
        <v>0-11274100-FALSO-90014400</v>
      </c>
      <c r="D971" s="66" t="str">
        <f>_xlfn.CONCAT(Tableau119[[#This Row],[Compte ILN]],"-",Tableau119[[#This Row],[Compte Shipper]],"-",Tableau119[[#This Row],[POL]])</f>
        <v>0-11274100-FALSO</v>
      </c>
      <c r="E971" s="130" t="str">
        <f>_xlfn.CONCAT(Tableau119[[#This Row],[POL]],"-",Tableau119[[#This Row],[Carrier]],"-",Tableau119[[#This Row],[POD]])</f>
        <v>FALSO-FALSO-FALSO</v>
      </c>
      <c r="F971" s="66" t="str">
        <f>_xlfn.CONCAT(Tableau119[[#This Row],[ID]],"-","Actif")</f>
        <v>1063-Actif</v>
      </c>
      <c r="G971" s="66" t="str">
        <f>_xlfn.CONCAT(Tableau119[[#This Row],[POD]],"-",Tableau119[[#This Row],[Code PFI]],"-",Tableau119[[#This Row],[Compte Consignee]])</f>
        <v>FALSO---90014400</v>
      </c>
      <c r="H97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11274100FALSOOYAK MEKA</v>
      </c>
      <c r="I971" s="434" t="str">
        <f>_xlfn.CONCAT(Tableau119[[#This Row],[ID]],"-",Tableau119[[#This Row],[Expiration Date]])</f>
        <v>1063-45944</v>
      </c>
      <c r="J97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MEKA-SFK Freight Forwarder-Aichikikai Japon-1063-FALSO-FALSO-FALSO--45944</v>
      </c>
      <c r="K971" s="119" t="str">
        <f ca="1">IF(COUNTIF(J:J,Tableau119[[#This Row],[Plant-ILN-shipper-POL-Carrier-POD-PFI]])=1,"Non","Oui")</f>
        <v>Non</v>
      </c>
      <c r="L971" s="128" t="str">
        <f>VLOOKUP(Tableau119[[#This Row],[Name Site]],Plant_AILN!A:D,4,FALSE)</f>
        <v>TURKEY</v>
      </c>
      <c r="M971" s="411" t="s">
        <v>165</v>
      </c>
      <c r="N971" s="454">
        <f>VLOOKUP(Tableau119[[#This Row],[Name Site]],Plant_AILN!A:C,3,FALSE)</f>
        <v>90014400</v>
      </c>
      <c r="O971" s="55">
        <f>VLOOKUP(Tableau119[[#This Row],[Compte Consignee]],Order!C:D,2,FALSE)</f>
        <v>2</v>
      </c>
      <c r="P971" s="124" t="s">
        <v>146</v>
      </c>
      <c r="Q971" s="365">
        <f>VLOOKUP(Tableau119[[#This Row],[Name ILN]],Plant_AILN!F:G,2,FALSE)</f>
        <v>0</v>
      </c>
      <c r="R971" s="50">
        <f>VLOOKUP(Tableau119[[#This Row],[Compte ILN]],'DATA ILN'!D:I,6,FALSE)</f>
        <v>9</v>
      </c>
      <c r="S971" s="50" t="e">
        <f>IFERROR(VLOOKUP(Tableau119[[#This Row],[Key(Compte ILN - shipper - POL - plant)]],'DATA ILN'!A:J,10,FALSE),VLOOKUP(Tableau119[[#This Row],[Key(Compte ILN - shipper - POL)]],'DATA ILN'!B:J,9,FALSE))</f>
        <v>#N/A</v>
      </c>
      <c r="T971" s="50" t="e">
        <f>IFERROR(VLOOKUP(Tableau119[[#This Row],[Key(Compte ILN - shipper - POL - plant)]],'DATA ILN'!A:K,11,FALSE),VLOOKUP(Tableau119[[#This Row],[Key(Compte ILN - shipper - POL)]],'DATA ILN'!B:K,10,FALSE))</f>
        <v>#N/A</v>
      </c>
      <c r="U971" s="50" t="e">
        <f>IFERROR(VLOOKUP(Tableau119[[#This Row],[Key(Compte ILN - shipper - POL - plant)]],'DATA ILN'!A:L,12,FALSE),VLOOKUP(Tableau119[[#This Row],[Key(Compte ILN - shipper - POL)]],'DATA ILN'!B:L,11,FALSE))</f>
        <v>#N/A</v>
      </c>
      <c r="V971" s="50" t="e">
        <f>Tableau119[[#This Row],[Day ILN Order]]+Tableau119[[#This Row],[Delivery time to ILN/Shipper]]-1</f>
        <v>#N/A</v>
      </c>
      <c r="W971" s="50" t="e">
        <f>IFERROR(VLOOKUP(Tableau119[[#This Row],[Key(Compte ILN - shipper - POL - plant)]],'DATA ILN'!A:N,14,FALSE),VLOOKUP(Tableau119[[#This Row],[Key(Compte ILN - shipper - POL)]],'DATA ILN'!B:N,13,FALSE))</f>
        <v>#N/A</v>
      </c>
      <c r="X971" s="50" t="e">
        <f>IFERROR(VLOOKUP(Tableau119[[#This Row],[Key(Compte ILN - shipper - POL - plant)]],'DATA ILN'!A:P,16,FALSE),VLOOKUP(Tableau119[[#This Row],[Key(Compte ILN - shipper - POL)]],'DATA ILN'!B:P,15,FALSE))</f>
        <v>#N/A</v>
      </c>
      <c r="Y971" s="284" t="s">
        <v>458</v>
      </c>
      <c r="Z971" s="430">
        <f>IFERROR(VLOOKUP(Tableau119[[#This Row],[Name Shipper]],Plant_AILN!L:M,2,FALSE),0)</f>
        <v>11274100</v>
      </c>
      <c r="AA971" s="406">
        <v>1063</v>
      </c>
      <c r="AB971" s="396" t="b">
        <f>_xlfn.XLOOKUP(Tableau119[[#This Row],[Key(ID-date)]],'DATA BTO'!S:S,'DATA BTO'!E:E,FALSE)</f>
        <v>0</v>
      </c>
      <c r="AC971" s="3" t="b">
        <f>_xlfn.XLOOKUP(Tableau119[[#This Row],[Key(ID-date)]],'DATA BTO'!S:S,'DATA BTO'!F:F,FALSE)</f>
        <v>0</v>
      </c>
      <c r="AD971" s="50" t="b">
        <f>_xlfn.XLOOKUP(Tableau119[[#This Row],[Key(ID-date)]],'DATA BTO'!S:S,'DATA BTO'!G:G,FALSE)</f>
        <v>0</v>
      </c>
      <c r="AE971" s="50" t="b">
        <f>_xlfn.XLOOKUP(Tableau119[[#This Row],[Key(ID-date)]],'DATA BTO'!S:S,'DATA BTO'!H:H,FALSE)</f>
        <v>0</v>
      </c>
      <c r="AF971" s="447" t="e">
        <f>IF(Tableau119[[#This Row],[First Day to POL]]&lt;=Tableau119[[#This Row],[Day Cut Off]],Tableau119[[#This Row],[Day ETD]],Tableau119[[#This Row],[Day ETD]]+7)</f>
        <v>#N/A</v>
      </c>
      <c r="AG971" s="50" t="b">
        <f>_xlfn.XLOOKUP(Tableau119[[#This Row],[Key(ID-date)]],'DATA BTO'!S:S,'DATA BTO'!I:I,FALSE)</f>
        <v>0</v>
      </c>
      <c r="AH971" s="3" t="b">
        <f>_xlfn.XLOOKUP(Tableau119[[#This Row],[Key(ID-date)]],'DATA BTO'!S:S,'DATA BTO'!J:J,FALSE)</f>
        <v>0</v>
      </c>
      <c r="AI971" s="3" t="b">
        <f>_xlfn.XLOOKUP(Tableau119[[#This Row],[Key(ID-date)]],'DATA BTO'!S:S,'DATA BTO'!K:K,FALSE)</f>
        <v>0</v>
      </c>
      <c r="AJ971" s="50" t="b">
        <f>_xlfn.XLOOKUP(Tableau119[[#This Row],[Key(ID-date)]],'DATA BTO'!S:S,'DATA BTO'!L:L,FALSE)</f>
        <v>0</v>
      </c>
      <c r="AK971" s="53" t="b">
        <f>_xlfn.XLOOKUP(Tableau119[[#This Row],[Key(ID-date)]],'DATA BTO'!S:S,'DATA BTO'!N:N,FALSE)</f>
        <v>0</v>
      </c>
      <c r="AL971" s="54" t="e">
        <f>VLOOKUP(Tableau119[[#This Row],[Key(POD -PFI- Usine)]],'DATA Consignee'!A:F,6,FALSE)</f>
        <v>#N/A</v>
      </c>
      <c r="AM971" s="284"/>
      <c r="AN971" s="376" t="str">
        <f>IF(Tableau119[[#This Row],[Name PFI/CDD]]="","-",VLOOKUP(Tableau119[[#This Row],[Name PFI/CDD]],Plant_AILN!I:J,2,FALSE))</f>
        <v>-</v>
      </c>
      <c r="AO971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1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1" s="2" t="e">
        <f>VLOOKUP(Tableau119[[#This Row],[Key(POD -PFI- Usine)]],'DATA Consignee'!A:J,10,FALSE)</f>
        <v>#N/A</v>
      </c>
      <c r="AR971" s="50" t="e">
        <f>VLOOKUP(Tableau119[[#This Row],[Key(POD -PFI- Usine)]],'DATA Consignee'!A:N,14,FALSE)</f>
        <v>#N/A</v>
      </c>
      <c r="AS971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71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71" s="50">
        <f>Tableau119[[#This Row],[Transit time]]+Tableau119[[#This Row],[Time for security]]+Tableau119[[#This Row],[Time for security2 buffer]]</f>
        <v>0</v>
      </c>
      <c r="AV97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71" s="50" t="e">
        <f>Tableau119[[#This Row],[Leadtime SI2C]]+Tableau119[[#This Row],[First Receipt Days]]-Tableau119[[#This Row],[Day Customer Order]]+1</f>
        <v>#N/A</v>
      </c>
      <c r="AX971" s="119" t="e">
        <f>IF(Tableau119[[#This Row],[Name ILN]]&lt;&gt;"SFK Freight Forwarder",Tableau119[[#This Row],[Cust. Leadtime]],Tableau119[[#This Row],[Leadtime SI2C]])</f>
        <v>#N/A</v>
      </c>
      <c r="AY971" s="51" t="b">
        <f>_xlfn.XLOOKUP(Tableau119[[#This Row],[Key(ID-date)]],'DATA BTO'!S:S,'DATA BTO'!P:P,FALSE)</f>
        <v>0</v>
      </c>
      <c r="AZ971" s="338">
        <v>45944</v>
      </c>
      <c r="BA971" s="50"/>
    </row>
    <row r="972" spans="2:53">
      <c r="B972" s="446" t="str">
        <f>_xlfn.CONCAT(Tableau119[[#This Row],[Name ILN]],"-",Tableau119[[#This Row],[Name Shipper]],"-",Tableau119[[#This Row],[Name Site]])</f>
        <v>SFK Freight Forwarder-Aichikikai Japon-OYAK MEKA</v>
      </c>
      <c r="C972" s="66" t="str">
        <f>_xlfn.CONCAT(Tableau119[[#This Row],[Compte ILN]],"-",Tableau119[[#This Row],[Compte Shipper]],"-",Tableau119[[#This Row],[POL]],"-",Tableau119[[#This Row],[Compte Consignee]])</f>
        <v>0-11274100-FALSO-90014400</v>
      </c>
      <c r="D972" s="66" t="str">
        <f>_xlfn.CONCAT(Tableau119[[#This Row],[Compte ILN]],"-",Tableau119[[#This Row],[Compte Shipper]],"-",Tableau119[[#This Row],[POL]])</f>
        <v>0-11274100-FALSO</v>
      </c>
      <c r="E972" s="130" t="str">
        <f>_xlfn.CONCAT(Tableau119[[#This Row],[POL]],"-",Tableau119[[#This Row],[Carrier]],"-",Tableau119[[#This Row],[POD]])</f>
        <v>FALSO-FALSO-FALSO</v>
      </c>
      <c r="F972" s="66" t="str">
        <f>_xlfn.CONCAT(Tableau119[[#This Row],[ID]],"-","Actif")</f>
        <v>1063-Actif</v>
      </c>
      <c r="G972" s="66" t="str">
        <f>_xlfn.CONCAT(Tableau119[[#This Row],[POD]],"-",Tableau119[[#This Row],[Code PFI]],"-",Tableau119[[#This Row],[Compte Consignee]])</f>
        <v>FALSO---90014400</v>
      </c>
      <c r="H97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11274100FALSOOYAK MEKA</v>
      </c>
      <c r="I972" s="434" t="str">
        <f>_xlfn.CONCAT(Tableau119[[#This Row],[ID]],"-",Tableau119[[#This Row],[Expiration Date]])</f>
        <v>1063-45900</v>
      </c>
      <c r="J97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MEKA-SFK Freight Forwarder-Aichikikai Japon-1063-FALSO-FALSO-FALSO--45900</v>
      </c>
      <c r="K972" s="119" t="str">
        <f ca="1">IF(COUNTIF(J:J,Tableau119[[#This Row],[Plant-ILN-shipper-POL-Carrier-POD-PFI]])=1,"Non","Oui")</f>
        <v>Non</v>
      </c>
      <c r="L972" s="128" t="str">
        <f>VLOOKUP(Tableau119[[#This Row],[Name Site]],Plant_AILN!A:D,4,FALSE)</f>
        <v>TURKEY</v>
      </c>
      <c r="M972" s="415" t="s">
        <v>165</v>
      </c>
      <c r="N972" s="455">
        <f>VLOOKUP(Tableau119[[#This Row],[Name Site]],Plant_AILN!A:C,3,FALSE)</f>
        <v>90014400</v>
      </c>
      <c r="O972" s="104">
        <f>VLOOKUP(Tableau119[[#This Row],[Compte Consignee]],Order!C:D,2,FALSE)</f>
        <v>2</v>
      </c>
      <c r="P972" s="126" t="s">
        <v>146</v>
      </c>
      <c r="Q972" s="366">
        <f>VLOOKUP(Tableau119[[#This Row],[Name ILN]],Plant_AILN!F:G,2,FALSE)</f>
        <v>0</v>
      </c>
      <c r="R972" s="81">
        <f>VLOOKUP(Tableau119[[#This Row],[Compte ILN]],'DATA ILN'!D:I,6,FALSE)</f>
        <v>9</v>
      </c>
      <c r="S972" s="81" t="e">
        <f>IFERROR(VLOOKUP(Tableau119[[#This Row],[Key(Compte ILN - shipper - POL - plant)]],'DATA ILN'!A:J,10,FALSE),VLOOKUP(Tableau119[[#This Row],[Key(Compte ILN - shipper - POL)]],'DATA ILN'!B:J,9,FALSE))</f>
        <v>#N/A</v>
      </c>
      <c r="T972" s="81" t="e">
        <f>IFERROR(VLOOKUP(Tableau119[[#This Row],[Key(Compte ILN - shipper - POL - plant)]],'DATA ILN'!A:K,11,FALSE),VLOOKUP(Tableau119[[#This Row],[Key(Compte ILN - shipper - POL)]],'DATA ILN'!B:K,10,FALSE))</f>
        <v>#N/A</v>
      </c>
      <c r="U972" s="81" t="e">
        <f>IFERROR(VLOOKUP(Tableau119[[#This Row],[Key(Compte ILN - shipper - POL - plant)]],'DATA ILN'!A:L,12,FALSE),VLOOKUP(Tableau119[[#This Row],[Key(Compte ILN - shipper - POL)]],'DATA ILN'!B:L,11,FALSE))</f>
        <v>#N/A</v>
      </c>
      <c r="V972" s="81" t="e">
        <f>Tableau119[[#This Row],[Day ILN Order]]+Tableau119[[#This Row],[Delivery time to ILN/Shipper]]-1</f>
        <v>#N/A</v>
      </c>
      <c r="W972" s="81" t="e">
        <f>IFERROR(VLOOKUP(Tableau119[[#This Row],[Key(Compte ILN - shipper - POL - plant)]],'DATA ILN'!A:N,14,FALSE),VLOOKUP(Tableau119[[#This Row],[Key(Compte ILN - shipper - POL)]],'DATA ILN'!B:N,13,FALSE))</f>
        <v>#N/A</v>
      </c>
      <c r="X972" s="81" t="e">
        <f>IFERROR(VLOOKUP(Tableau119[[#This Row],[Key(Compte ILN - shipper - POL - plant)]],'DATA ILN'!A:P,16,FALSE),VLOOKUP(Tableau119[[#This Row],[Key(Compte ILN - shipper - POL)]],'DATA ILN'!B:P,15,FALSE))</f>
        <v>#N/A</v>
      </c>
      <c r="Y972" s="102" t="s">
        <v>458</v>
      </c>
      <c r="Z972" s="417">
        <f>IFERROR(VLOOKUP(Tableau119[[#This Row],[Name Shipper]],Plant_AILN!L:M,2,FALSE),0)</f>
        <v>11274100</v>
      </c>
      <c r="AA972" s="416">
        <v>1063</v>
      </c>
      <c r="AB972" s="396" t="b">
        <f>_xlfn.XLOOKUP(Tableau119[[#This Row],[Key(ID-date)]],'DATA BTO'!S:S,'DATA BTO'!E:E,FALSE)</f>
        <v>0</v>
      </c>
      <c r="AC972" s="3" t="b">
        <f>_xlfn.XLOOKUP(Tableau119[[#This Row],[Key(ID-date)]],'DATA BTO'!S:S,'DATA BTO'!F:F,FALSE)</f>
        <v>0</v>
      </c>
      <c r="AD972" s="50" t="b">
        <f>_xlfn.XLOOKUP(Tableau119[[#This Row],[Key(ID-date)]],'DATA BTO'!S:S,'DATA BTO'!G:G,FALSE)</f>
        <v>0</v>
      </c>
      <c r="AE972" s="50" t="b">
        <f>_xlfn.XLOOKUP(Tableau119[[#This Row],[Key(ID-date)]],'DATA BTO'!S:S,'DATA BTO'!H:H,FALSE)</f>
        <v>0</v>
      </c>
      <c r="AF972" s="447" t="e">
        <f>IF(Tableau119[[#This Row],[First Day to POL]]&lt;=Tableau119[[#This Row],[Day Cut Off]],Tableau119[[#This Row],[Day ETD]],Tableau119[[#This Row],[Day ETD]]+7)</f>
        <v>#N/A</v>
      </c>
      <c r="AG972" s="50" t="b">
        <f>_xlfn.XLOOKUP(Tableau119[[#This Row],[Key(ID-date)]],'DATA BTO'!S:S,'DATA BTO'!I:I,FALSE)</f>
        <v>0</v>
      </c>
      <c r="AH972" s="3" t="b">
        <f>_xlfn.XLOOKUP(Tableau119[[#This Row],[Key(ID-date)]],'DATA BTO'!S:S,'DATA BTO'!J:J,FALSE)</f>
        <v>0</v>
      </c>
      <c r="AI972" s="3" t="b">
        <f>_xlfn.XLOOKUP(Tableau119[[#This Row],[Key(ID-date)]],'DATA BTO'!S:S,'DATA BTO'!K:K,FALSE)</f>
        <v>0</v>
      </c>
      <c r="AJ972" s="50" t="b">
        <f>_xlfn.XLOOKUP(Tableau119[[#This Row],[Key(ID-date)]],'DATA BTO'!S:S,'DATA BTO'!L:L,FALSE)</f>
        <v>0</v>
      </c>
      <c r="AK972" s="53" t="b">
        <f>_xlfn.XLOOKUP(Tableau119[[#This Row],[Key(ID-date)]],'DATA BTO'!S:S,'DATA BTO'!N:N,FALSE)</f>
        <v>0</v>
      </c>
      <c r="AL972" s="54" t="e">
        <f>VLOOKUP(Tableau119[[#This Row],[Key(POD -PFI- Usine)]],'DATA Consignee'!A:F,6,FALSE)</f>
        <v>#N/A</v>
      </c>
      <c r="AM972" s="102"/>
      <c r="AN972" s="375" t="str">
        <f>IF(Tableau119[[#This Row],[Name PFI/CDD]]="","-",VLOOKUP(Tableau119[[#This Row],[Name PFI/CDD]],Plant_AILN!I:J,2,FALSE))</f>
        <v>-</v>
      </c>
      <c r="AO97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2" s="110" t="e">
        <f>VLOOKUP(Tableau119[[#This Row],[Key(POD -PFI- Usine)]],'DATA Consignee'!A:J,10,FALSE)</f>
        <v>#N/A</v>
      </c>
      <c r="AR972" s="81" t="e">
        <f>VLOOKUP(Tableau119[[#This Row],[Key(POD -PFI- Usine)]],'DATA Consignee'!A:N,14,FALSE)</f>
        <v>#N/A</v>
      </c>
      <c r="AS97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7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72" s="81">
        <f>Tableau119[[#This Row],[Transit time]]+Tableau119[[#This Row],[Time for security]]+Tableau119[[#This Row],[Time for security2 buffer]]</f>
        <v>0</v>
      </c>
      <c r="AV97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72" s="50" t="e">
        <f>Tableau119[[#This Row],[Leadtime SI2C]]+Tableau119[[#This Row],[First Receipt Days]]-Tableau119[[#This Row],[Day Customer Order]]+1</f>
        <v>#N/A</v>
      </c>
      <c r="AX972" s="119" t="e">
        <f>IF(Tableau119[[#This Row],[Name ILN]]&lt;&gt;"SFK Freight Forwarder",Tableau119[[#This Row],[Cust. Leadtime]],Tableau119[[#This Row],[Leadtime SI2C]])</f>
        <v>#N/A</v>
      </c>
      <c r="AY972" s="51" t="b">
        <f>_xlfn.XLOOKUP(Tableau119[[#This Row],[Key(ID-date)]],'DATA BTO'!S:S,'DATA BTO'!P:P,FALSE)</f>
        <v>0</v>
      </c>
      <c r="AZ972" s="388">
        <v>45900</v>
      </c>
      <c r="BA972" s="81"/>
    </row>
    <row r="973" spans="2:53">
      <c r="B973" s="446" t="str">
        <f>_xlfn.CONCAT(Tableau119[[#This Row],[Name ILN]],"-",Tableau119[[#This Row],[Name Shipper]],"-",Tableau119[[#This Row],[Name Site]])</f>
        <v>SFK Freight Forwarder-Jatco Thailande-SOFASA</v>
      </c>
      <c r="C973" s="66" t="str">
        <f>_xlfn.CONCAT(Tableau119[[#This Row],[Compte ILN]],"-",Tableau119[[#This Row],[Compte Shipper]],"-",Tableau119[[#This Row],[POL]],"-",Tableau119[[#This Row],[Compte Consignee]])</f>
        <v>0-29770601-THLCH-9510600</v>
      </c>
      <c r="D973" s="66" t="str">
        <f>_xlfn.CONCAT(Tableau119[[#This Row],[Compte ILN]],"-",Tableau119[[#This Row],[Compte Shipper]],"-",Tableau119[[#This Row],[POL]])</f>
        <v>0-29770601-THLCH</v>
      </c>
      <c r="E973" s="130" t="str">
        <f>_xlfn.CONCAT(Tableau119[[#This Row],[POL]],"-",Tableau119[[#This Row],[Carrier]],"-",Tableau119[[#This Row],[POD]])</f>
        <v>THLCH-CMA-CGM-COBUN</v>
      </c>
      <c r="F973" s="66" t="str">
        <f>_xlfn.CONCAT(Tableau119[[#This Row],[ID]],"-","Actif")</f>
        <v>1065-Actif</v>
      </c>
      <c r="G973" s="66" t="str">
        <f>_xlfn.CONCAT(Tableau119[[#This Row],[POD]],"-",Tableau119[[#This Row],[Code PFI]],"-",Tableau119[[#This Row],[Compte Consignee]])</f>
        <v>COBUN---9510600</v>
      </c>
      <c r="H97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29770601THLCHSOFASA</v>
      </c>
      <c r="I973" s="434" t="str">
        <f>_xlfn.CONCAT(Tableau119[[#This Row],[ID]],"-",Tableau119[[#This Row],[Expiration Date]])</f>
        <v>1065-46142</v>
      </c>
      <c r="J97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Forwarder-Jatco Thailande-1065-THLCH-CMA-CGM-COBUN--46142</v>
      </c>
      <c r="K973" s="119" t="str">
        <f ca="1">IF(COUNTIF(J:J,Tableau119[[#This Row],[Plant-ILN-shipper-POL-Carrier-POD-PFI]])=1,"Non","Oui")</f>
        <v>Non</v>
      </c>
      <c r="L973" s="128" t="str">
        <f>VLOOKUP(Tableau119[[#This Row],[Name Site]],Plant_AILN!A:D,4,FALSE)</f>
        <v>COLOMBIA</v>
      </c>
      <c r="M973" s="411" t="s">
        <v>177</v>
      </c>
      <c r="N973" s="454">
        <f>VLOOKUP(Tableau119[[#This Row],[Name Site]],Plant_AILN!A:C,3,FALSE)</f>
        <v>9510600</v>
      </c>
      <c r="O973" s="55">
        <f>IF(Tableau119[[#This Row],[Name PFI/CDD]]="PFI VLL",2,VLOOKUP(Tableau119[[#This Row],[Compte Consignee]],Order!C:D,2,FALSE))</f>
        <v>7</v>
      </c>
      <c r="P973" s="124" t="s">
        <v>146</v>
      </c>
      <c r="Q973" s="365">
        <f>VLOOKUP(Tableau119[[#This Row],[Name ILN]],Plant_AILN!F:G,2,FALSE)</f>
        <v>0</v>
      </c>
      <c r="R973" s="50">
        <f>VLOOKUP(Tableau119[[#This Row],[Compte ILN]],'DATA ILN'!D:I,6,FALSE)</f>
        <v>9</v>
      </c>
      <c r="S973" s="50">
        <f>IFERROR(VLOOKUP(Tableau119[[#This Row],[Key(Compte ILN - shipper - POL - plant)]],'DATA ILN'!A:J,10,FALSE),VLOOKUP(Tableau119[[#This Row],[Key(Compte ILN - shipper - POL)]],'DATA ILN'!B:J,9,FALSE))</f>
        <v>14</v>
      </c>
      <c r="T973" s="50">
        <f>IFERROR(VLOOKUP(Tableau119[[#This Row],[Key(Compte ILN - shipper - POL - plant)]],'DATA ILN'!A:K,11,FALSE),VLOOKUP(Tableau119[[#This Row],[Key(Compte ILN - shipper - POL)]],'DATA ILN'!B:K,10,FALSE))</f>
        <v>5</v>
      </c>
      <c r="U973" s="50">
        <f>IFERROR(VLOOKUP(Tableau119[[#This Row],[Key(Compte ILN - shipper - POL - plant)]],'DATA ILN'!A:L,12,FALSE),VLOOKUP(Tableau119[[#This Row],[Key(Compte ILN - shipper - POL)]],'DATA ILN'!B:L,11,FALSE))</f>
        <v>7</v>
      </c>
      <c r="V973" s="50">
        <f>Tableau119[[#This Row],[Day ILN Order]]+Tableau119[[#This Row],[Delivery time to ILN/Shipper]]-1</f>
        <v>22</v>
      </c>
      <c r="W973" s="50">
        <f>IFERROR(VLOOKUP(Tableau119[[#This Row],[Key(Compte ILN - shipper - POL - plant)]],'DATA ILN'!A:N,14,FALSE),VLOOKUP(Tableau119[[#This Row],[Key(Compte ILN - shipper - POL)]],'DATA ILN'!B:N,13,FALSE))</f>
        <v>1</v>
      </c>
      <c r="X973" s="50">
        <f>IFERROR(VLOOKUP(Tableau119[[#This Row],[Key(Compte ILN - shipper - POL - plant)]],'DATA ILN'!A:P,16,FALSE),VLOOKUP(Tableau119[[#This Row],[Key(Compte ILN - shipper - POL)]],'DATA ILN'!B:P,15,FALSE))</f>
        <v>3</v>
      </c>
      <c r="Y973" s="284" t="s">
        <v>182</v>
      </c>
      <c r="Z973" s="430">
        <f>IFERROR(VLOOKUP(Tableau119[[#This Row],[Name Shipper]],Plant_AILN!L:M,2,FALSE),0)</f>
        <v>29770601</v>
      </c>
      <c r="AA973" s="406">
        <v>1065</v>
      </c>
      <c r="AB973" s="396" t="str">
        <f>_xlfn.XLOOKUP(Tableau119[[#This Row],[Key(ID-date)]],'DATA BTO'!S:S,'DATA BTO'!E:E,FALSE)</f>
        <v>THLCH</v>
      </c>
      <c r="AC973" s="3" t="str">
        <f>_xlfn.XLOOKUP(Tableau119[[#This Row],[Key(ID-date)]],'DATA BTO'!S:S,'DATA BTO'!F:F,FALSE)</f>
        <v>CMA-CGM</v>
      </c>
      <c r="AD973" s="50">
        <f>_xlfn.XLOOKUP(Tableau119[[#This Row],[Key(ID-date)]],'DATA BTO'!S:S,'DATA BTO'!G:G,FALSE)</f>
        <v>1</v>
      </c>
      <c r="AE973" s="50">
        <f>_xlfn.XLOOKUP(Tableau119[[#This Row],[Key(ID-date)]],'DATA BTO'!S:S,'DATA BTO'!H:H,FALSE)</f>
        <v>3</v>
      </c>
      <c r="AF973" s="447">
        <f>IF(Tableau119[[#This Row],[First Day to POL]]&lt;=Tableau119[[#This Row],[Day Cut Off]],Tableau119[[#This Row],[Day ETD]],Tableau119[[#This Row],[Day ETD]]+7)</f>
        <v>10</v>
      </c>
      <c r="AG973" s="50">
        <f>_xlfn.XLOOKUP(Tableau119[[#This Row],[Key(ID-date)]],'DATA BTO'!S:S,'DATA BTO'!I:I,FALSE)</f>
        <v>50</v>
      </c>
      <c r="AH973" s="3" t="str">
        <f>_xlfn.XLOOKUP(Tableau119[[#This Row],[Key(ID-date)]],'DATA BTO'!S:S,'DATA BTO'!J:J,FALSE)</f>
        <v>COBUN</v>
      </c>
      <c r="AI973" s="3">
        <f>_xlfn.XLOOKUP(Tableau119[[#This Row],[Key(ID-date)]],'DATA BTO'!S:S,'DATA BTO'!K:K,FALSE)</f>
        <v>3</v>
      </c>
      <c r="AJ973" s="50">
        <f>_xlfn.XLOOKUP(Tableau119[[#This Row],[Key(ID-date)]],'DATA BTO'!S:S,'DATA BTO'!L:L,FALSE)</f>
        <v>0</v>
      </c>
      <c r="AK973" s="53" t="str">
        <f>_xlfn.XLOOKUP(Tableau119[[#This Row],[Key(ID-date)]],'DATA BTO'!S:S,'DATA BTO'!N:N,FALSE)</f>
        <v>Max</v>
      </c>
      <c r="AL973" s="54">
        <f>VLOOKUP(Tableau119[[#This Row],[Key(POD -PFI- Usine)]],'DATA Consignee'!A:F,6,FALSE)</f>
        <v>0</v>
      </c>
      <c r="AM973" s="102"/>
      <c r="AN973" s="376" t="str">
        <f>IF(Tableau119[[#This Row],[Name PFI/CDD]]="","-",VLOOKUP(Tableau119[[#This Row],[Name PFI/CDD]],Plant_AILN!I:J,2,FALSE))</f>
        <v>-</v>
      </c>
      <c r="AO973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3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3" s="2">
        <f>VLOOKUP(Tableau119[[#This Row],[Key(POD -PFI- Usine)]],'DATA Consignee'!A:J,10,FALSE)</f>
        <v>0</v>
      </c>
      <c r="AR973" s="50">
        <f>VLOOKUP(Tableau119[[#This Row],[Key(POD -PFI- Usine)]],'DATA Consignee'!A:N,14,FALSE)</f>
        <v>0</v>
      </c>
      <c r="AS973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73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973" s="50">
        <f>Tableau119[[#This Row],[Transit time]]+Tableau119[[#This Row],[Time for security]]+Tableau119[[#This Row],[Time for security2 buffer]]</f>
        <v>53</v>
      </c>
      <c r="AV97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73" s="50">
        <f>Tableau119[[#This Row],[Leadtime SI2C]]+Tableau119[[#This Row],[First Receipt Days]]-Tableau119[[#This Row],[Day Customer Order]]+1</f>
        <v>85</v>
      </c>
      <c r="AX973" s="119">
        <f>IF(Tableau119[[#This Row],[Name ILN]]&lt;&gt;"SFK Freight Forwarder",Tableau119[[#This Row],[Cust. Leadtime]],Tableau119[[#This Row],[Leadtime SI2C]])</f>
        <v>69</v>
      </c>
      <c r="AY973" s="51" t="str">
        <f>_xlfn.XLOOKUP(Tableau119[[#This Row],[Key(ID-date)]],'DATA BTO'!S:S,'DATA BTO'!P:P,FALSE)</f>
        <v>Horse &gt; Renault BPH (MLP)</v>
      </c>
      <c r="AZ973" s="338">
        <v>46142</v>
      </c>
      <c r="BA973" s="50"/>
    </row>
    <row r="974" spans="2:53">
      <c r="B974" s="446" t="str">
        <f>_xlfn.CONCAT(Tableau119[[#This Row],[Name ILN]],"-",Tableau119[[#This Row],[Name Shipper]],"-",Tableau119[[#This Row],[Name Site]])</f>
        <v>SFK Freight Forwarder-Jatco Thailande-SOFASA</v>
      </c>
      <c r="C974" s="66" t="str">
        <f>_xlfn.CONCAT(Tableau119[[#This Row],[Compte ILN]],"-",Tableau119[[#This Row],[Compte Shipper]],"-",Tableau119[[#This Row],[POL]],"-",Tableau119[[#This Row],[Compte Consignee]])</f>
        <v>0-29770601-THLCH-9510600</v>
      </c>
      <c r="D974" s="66" t="str">
        <f>_xlfn.CONCAT(Tableau119[[#This Row],[Compte ILN]],"-",Tableau119[[#This Row],[Compte Shipper]],"-",Tableau119[[#This Row],[POL]])</f>
        <v>0-29770601-THLCH</v>
      </c>
      <c r="E974" s="130" t="str">
        <f>_xlfn.CONCAT(Tableau119[[#This Row],[POL]],"-",Tableau119[[#This Row],[Carrier]],"-",Tableau119[[#This Row],[POD]])</f>
        <v>THLCH-CMA-CGM-COBUN</v>
      </c>
      <c r="F974" s="66" t="str">
        <f>_xlfn.CONCAT(Tableau119[[#This Row],[ID]],"-","Actif")</f>
        <v>1065-Actif</v>
      </c>
      <c r="G974" s="66" t="str">
        <f>_xlfn.CONCAT(Tableau119[[#This Row],[POD]],"-",Tableau119[[#This Row],[Code PFI]],"-",Tableau119[[#This Row],[Compte Consignee]])</f>
        <v>COBUN---9510600</v>
      </c>
      <c r="H97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29770601THLCHSOFASA</v>
      </c>
      <c r="I974" s="434" t="str">
        <f>_xlfn.CONCAT(Tableau119[[#This Row],[ID]],"-",Tableau119[[#This Row],[Expiration Date]])</f>
        <v>1065-45900</v>
      </c>
      <c r="J97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Forwarder-Jatco Thailande-1065-THLCH-CMA-CGM-COBUN--45900</v>
      </c>
      <c r="K974" s="119" t="str">
        <f ca="1">IF(COUNTIF(J:J,Tableau119[[#This Row],[Plant-ILN-shipper-POL-Carrier-POD-PFI]])=1,"Non","Oui")</f>
        <v>Non</v>
      </c>
      <c r="L974" s="128" t="str">
        <f>VLOOKUP(Tableau119[[#This Row],[Name Site]],Plant_AILN!A:D,4,FALSE)</f>
        <v>COLOMBIA</v>
      </c>
      <c r="M974" s="415" t="s">
        <v>177</v>
      </c>
      <c r="N974" s="455">
        <f>VLOOKUP(Tableau119[[#This Row],[Name Site]],Plant_AILN!A:C,3,FALSE)</f>
        <v>9510600</v>
      </c>
      <c r="O974" s="104">
        <f>VLOOKUP(Tableau119[[#This Row],[Compte Consignee]],Order!C:D,2,FALSE)</f>
        <v>7</v>
      </c>
      <c r="P974" s="126" t="s">
        <v>146</v>
      </c>
      <c r="Q974" s="366">
        <f>VLOOKUP(Tableau119[[#This Row],[Name ILN]],Plant_AILN!F:G,2,FALSE)</f>
        <v>0</v>
      </c>
      <c r="R974" s="81">
        <f>VLOOKUP(Tableau119[[#This Row],[Compte ILN]],'DATA ILN'!D:I,6,FALSE)</f>
        <v>9</v>
      </c>
      <c r="S974" s="81">
        <f>IFERROR(VLOOKUP(Tableau119[[#This Row],[Key(Compte ILN - shipper - POL - plant)]],'DATA ILN'!A:J,10,FALSE),VLOOKUP(Tableau119[[#This Row],[Key(Compte ILN - shipper - POL)]],'DATA ILN'!B:J,9,FALSE))</f>
        <v>14</v>
      </c>
      <c r="T974" s="81">
        <f>IFERROR(VLOOKUP(Tableau119[[#This Row],[Key(Compte ILN - shipper - POL - plant)]],'DATA ILN'!A:K,11,FALSE),VLOOKUP(Tableau119[[#This Row],[Key(Compte ILN - shipper - POL)]],'DATA ILN'!B:K,10,FALSE))</f>
        <v>5</v>
      </c>
      <c r="U974" s="81">
        <f>IFERROR(VLOOKUP(Tableau119[[#This Row],[Key(Compte ILN - shipper - POL - plant)]],'DATA ILN'!A:L,12,FALSE),VLOOKUP(Tableau119[[#This Row],[Key(Compte ILN - shipper - POL)]],'DATA ILN'!B:L,11,FALSE))</f>
        <v>7</v>
      </c>
      <c r="V974" s="81">
        <f>Tableau119[[#This Row],[Day ILN Order]]+Tableau119[[#This Row],[Delivery time to ILN/Shipper]]-1</f>
        <v>22</v>
      </c>
      <c r="W974" s="81">
        <f>IFERROR(VLOOKUP(Tableau119[[#This Row],[Key(Compte ILN - shipper - POL - plant)]],'DATA ILN'!A:N,14,FALSE),VLOOKUP(Tableau119[[#This Row],[Key(Compte ILN - shipper - POL)]],'DATA ILN'!B:N,13,FALSE))</f>
        <v>1</v>
      </c>
      <c r="X974" s="81">
        <f>IFERROR(VLOOKUP(Tableau119[[#This Row],[Key(Compte ILN - shipper - POL - plant)]],'DATA ILN'!A:P,16,FALSE),VLOOKUP(Tableau119[[#This Row],[Key(Compte ILN - shipper - POL)]],'DATA ILN'!B:P,15,FALSE))</f>
        <v>3</v>
      </c>
      <c r="Y974" s="102" t="s">
        <v>182</v>
      </c>
      <c r="Z974" s="417">
        <f>IFERROR(VLOOKUP(Tableau119[[#This Row],[Name Shipper]],Plant_AILN!L:M,2,FALSE),0)</f>
        <v>29770601</v>
      </c>
      <c r="AA974" s="416">
        <v>1065</v>
      </c>
      <c r="AB974" s="396" t="str">
        <f>_xlfn.XLOOKUP(Tableau119[[#This Row],[Key(ID-date)]],'DATA BTO'!S:S,'DATA BTO'!E:E,FALSE)</f>
        <v>THLCH</v>
      </c>
      <c r="AC974" s="3" t="str">
        <f>_xlfn.XLOOKUP(Tableau119[[#This Row],[Key(ID-date)]],'DATA BTO'!S:S,'DATA BTO'!F:F,FALSE)</f>
        <v>CMA-CGM</v>
      </c>
      <c r="AD974" s="50">
        <f>_xlfn.XLOOKUP(Tableau119[[#This Row],[Key(ID-date)]],'DATA BTO'!S:S,'DATA BTO'!G:G,FALSE)</f>
        <v>1</v>
      </c>
      <c r="AE974" s="50">
        <f>_xlfn.XLOOKUP(Tableau119[[#This Row],[Key(ID-date)]],'DATA BTO'!S:S,'DATA BTO'!H:H,FALSE)</f>
        <v>3</v>
      </c>
      <c r="AF974" s="447">
        <f>IF(Tableau119[[#This Row],[First Day to POL]]&lt;=Tableau119[[#This Row],[Day Cut Off]],Tableau119[[#This Row],[Day ETD]],Tableau119[[#This Row],[Day ETD]]+7)</f>
        <v>10</v>
      </c>
      <c r="AG974" s="50">
        <f>_xlfn.XLOOKUP(Tableau119[[#This Row],[Key(ID-date)]],'DATA BTO'!S:S,'DATA BTO'!I:I,FALSE)</f>
        <v>55</v>
      </c>
      <c r="AH974" s="3" t="str">
        <f>_xlfn.XLOOKUP(Tableau119[[#This Row],[Key(ID-date)]],'DATA BTO'!S:S,'DATA BTO'!J:J,FALSE)</f>
        <v>COBUN</v>
      </c>
      <c r="AI974" s="3">
        <f>_xlfn.XLOOKUP(Tableau119[[#This Row],[Key(ID-date)]],'DATA BTO'!S:S,'DATA BTO'!K:K,FALSE)</f>
        <v>3</v>
      </c>
      <c r="AJ974" s="50">
        <f>_xlfn.XLOOKUP(Tableau119[[#This Row],[Key(ID-date)]],'DATA BTO'!S:S,'DATA BTO'!L:L,FALSE)</f>
        <v>0</v>
      </c>
      <c r="AK974" s="53" t="str">
        <f>_xlfn.XLOOKUP(Tableau119[[#This Row],[Key(ID-date)]],'DATA BTO'!S:S,'DATA BTO'!N:N,FALSE)</f>
        <v>Max</v>
      </c>
      <c r="AL974" s="54">
        <f>VLOOKUP(Tableau119[[#This Row],[Key(POD -PFI- Usine)]],'DATA Consignee'!A:F,6,FALSE)</f>
        <v>0</v>
      </c>
      <c r="AM974" s="102"/>
      <c r="AN974" s="375" t="str">
        <f>IF(Tableau119[[#This Row],[Name PFI/CDD]]="","-",VLOOKUP(Tableau119[[#This Row],[Name PFI/CDD]],Plant_AILN!I:J,2,FALSE))</f>
        <v>-</v>
      </c>
      <c r="AO974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4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4" s="110">
        <f>VLOOKUP(Tableau119[[#This Row],[Key(POD -PFI- Usine)]],'DATA Consignee'!A:J,10,FALSE)</f>
        <v>0</v>
      </c>
      <c r="AR974" s="81">
        <f>VLOOKUP(Tableau119[[#This Row],[Key(POD -PFI- Usine)]],'DATA Consignee'!A:N,14,FALSE)</f>
        <v>0</v>
      </c>
      <c r="AS974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74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15</v>
      </c>
      <c r="AU974" s="81">
        <f>Tableau119[[#This Row],[Transit time]]+Tableau119[[#This Row],[Time for security]]+Tableau119[[#This Row],[Time for security2 buffer]]</f>
        <v>58</v>
      </c>
      <c r="AV97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74" s="50">
        <f>Tableau119[[#This Row],[Leadtime SI2C]]+Tableau119[[#This Row],[First Receipt Days]]-Tableau119[[#This Row],[Day Customer Order]]+1</f>
        <v>92</v>
      </c>
      <c r="AX974" s="119">
        <f>IF(Tableau119[[#This Row],[Name ILN]]&lt;&gt;"SFK Freight Forwarder",Tableau119[[#This Row],[Cust. Leadtime]],Tableau119[[#This Row],[Leadtime SI2C]])</f>
        <v>76</v>
      </c>
      <c r="AY974" s="51" t="str">
        <f>_xlfn.XLOOKUP(Tableau119[[#This Row],[Key(ID-date)]],'DATA BTO'!S:S,'DATA BTO'!P:P,FALSE)</f>
        <v>Horse &gt; Renault BPH (MLP)</v>
      </c>
      <c r="AZ974" s="388">
        <v>45900</v>
      </c>
      <c r="BA974" s="81"/>
    </row>
    <row r="975" spans="2:53">
      <c r="B975" s="446" t="str">
        <f>_xlfn.CONCAT(Tableau119[[#This Row],[Name ILN]],"-",Tableau119[[#This Row],[Name Shipper]],"-",Tableau119[[#This Row],[Name Site]])</f>
        <v>SFK Freight Forwarder-Jatco Thailande-SOMACA</v>
      </c>
      <c r="C975" s="66" t="str">
        <f>_xlfn.CONCAT(Tableau119[[#This Row],[Compte ILN]],"-",Tableau119[[#This Row],[Compte Shipper]],"-",Tableau119[[#This Row],[POL]],"-",Tableau119[[#This Row],[Compte Consignee]])</f>
        <v>0-29770601-THLCH-90038200</v>
      </c>
      <c r="D975" s="66" t="str">
        <f>_xlfn.CONCAT(Tableau119[[#This Row],[Compte ILN]],"-",Tableau119[[#This Row],[Compte Shipper]],"-",Tableau119[[#This Row],[POL]])</f>
        <v>0-29770601-THLCH</v>
      </c>
      <c r="E975" s="130" t="str">
        <f>_xlfn.CONCAT(Tableau119[[#This Row],[POL]],"-",Tableau119[[#This Row],[Carrier]],"-",Tableau119[[#This Row],[POD]])</f>
        <v>THLCH-CMA-CGM-MACAS</v>
      </c>
      <c r="F975" s="66" t="str">
        <f>_xlfn.CONCAT(Tableau119[[#This Row],[ID]],"-","Actif")</f>
        <v>1066-Actif</v>
      </c>
      <c r="G975" s="66" t="str">
        <f>_xlfn.CONCAT(Tableau119[[#This Row],[POD]],"-",Tableau119[[#This Row],[Code PFI]],"-",Tableau119[[#This Row],[Compte Consignee]])</f>
        <v>MACAS---90038200</v>
      </c>
      <c r="H97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29770601THLCHSOMACA</v>
      </c>
      <c r="I975" s="434" t="str">
        <f>_xlfn.CONCAT(Tableau119[[#This Row],[ID]],"-",Tableau119[[#This Row],[Expiration Date]])</f>
        <v>1066-46142</v>
      </c>
      <c r="J97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SOMACA-SFK Freight Forwarder-Jatco Thailande-1066-THLCH-CMA-CGM-MACAS--46142</v>
      </c>
      <c r="K975" s="119" t="str">
        <f ca="1">IF(COUNTIF(J:J,Tableau119[[#This Row],[Plant-ILN-shipper-POL-Carrier-POD-PFI]])=1,"Non","Oui")</f>
        <v>Non</v>
      </c>
      <c r="L975" s="128" t="str">
        <f>VLOOKUP(Tableau119[[#This Row],[Name Site]],Plant_AILN!A:D,4,FALSE)</f>
        <v>MOROCCO</v>
      </c>
      <c r="M975" s="411" t="s">
        <v>179</v>
      </c>
      <c r="N975" s="454">
        <f>VLOOKUP(Tableau119[[#This Row],[Name Site]],Plant_AILN!A:C,3,FALSE)</f>
        <v>90038200</v>
      </c>
      <c r="O975" s="55">
        <f>IF(Tableau119[[#This Row],[Name PFI/CDD]]="PFI VLL",2,VLOOKUP(Tableau119[[#This Row],[Compte Consignee]],Order!C:D,2,FALSE))</f>
        <v>7</v>
      </c>
      <c r="P975" s="124" t="s">
        <v>146</v>
      </c>
      <c r="Q975" s="365">
        <f>VLOOKUP(Tableau119[[#This Row],[Name ILN]],Plant_AILN!F:G,2,FALSE)</f>
        <v>0</v>
      </c>
      <c r="R975" s="50">
        <f>VLOOKUP(Tableau119[[#This Row],[Compte ILN]],'DATA ILN'!D:I,6,FALSE)</f>
        <v>9</v>
      </c>
      <c r="S975" s="50">
        <f>IFERROR(VLOOKUP(Tableau119[[#This Row],[Key(Compte ILN - shipper - POL - plant)]],'DATA ILN'!A:J,10,FALSE),VLOOKUP(Tableau119[[#This Row],[Key(Compte ILN - shipper - POL)]],'DATA ILN'!B:J,9,FALSE))</f>
        <v>14</v>
      </c>
      <c r="T975" s="50">
        <f>IFERROR(VLOOKUP(Tableau119[[#This Row],[Key(Compte ILN - shipper - POL - plant)]],'DATA ILN'!A:K,11,FALSE),VLOOKUP(Tableau119[[#This Row],[Key(Compte ILN - shipper - POL)]],'DATA ILN'!B:K,10,FALSE))</f>
        <v>5</v>
      </c>
      <c r="U975" s="50">
        <f>IFERROR(VLOOKUP(Tableau119[[#This Row],[Key(Compte ILN - shipper - POL - plant)]],'DATA ILN'!A:L,12,FALSE),VLOOKUP(Tableau119[[#This Row],[Key(Compte ILN - shipper - POL)]],'DATA ILN'!B:L,11,FALSE))</f>
        <v>7</v>
      </c>
      <c r="V975" s="50">
        <f>Tableau119[[#This Row],[Day ILN Order]]+Tableau119[[#This Row],[Delivery time to ILN/Shipper]]-1</f>
        <v>22</v>
      </c>
      <c r="W975" s="50">
        <f>IFERROR(VLOOKUP(Tableau119[[#This Row],[Key(Compte ILN - shipper - POL - plant)]],'DATA ILN'!A:N,14,FALSE),VLOOKUP(Tableau119[[#This Row],[Key(Compte ILN - shipper - POL)]],'DATA ILN'!B:N,13,FALSE))</f>
        <v>1</v>
      </c>
      <c r="X975" s="50">
        <f>IFERROR(VLOOKUP(Tableau119[[#This Row],[Key(Compte ILN - shipper - POL - plant)]],'DATA ILN'!A:P,16,FALSE),VLOOKUP(Tableau119[[#This Row],[Key(Compte ILN - shipper - POL)]],'DATA ILN'!B:P,15,FALSE))</f>
        <v>3</v>
      </c>
      <c r="Y975" s="284" t="s">
        <v>182</v>
      </c>
      <c r="Z975" s="430">
        <f>IFERROR(VLOOKUP(Tableau119[[#This Row],[Name Shipper]],Plant_AILN!L:M,2,FALSE),0)</f>
        <v>29770601</v>
      </c>
      <c r="AA975" s="406">
        <v>1066</v>
      </c>
      <c r="AB975" s="396" t="str">
        <f>_xlfn.XLOOKUP(Tableau119[[#This Row],[Key(ID-date)]],'DATA BTO'!S:S,'DATA BTO'!E:E,FALSE)</f>
        <v>THLCH</v>
      </c>
      <c r="AC975" s="3" t="str">
        <f>_xlfn.XLOOKUP(Tableau119[[#This Row],[Key(ID-date)]],'DATA BTO'!S:S,'DATA BTO'!F:F,FALSE)</f>
        <v>CMA-CGM</v>
      </c>
      <c r="AD975" s="50">
        <f>_xlfn.XLOOKUP(Tableau119[[#This Row],[Key(ID-date)]],'DATA BTO'!S:S,'DATA BTO'!G:G,FALSE)</f>
        <v>5</v>
      </c>
      <c r="AE975" s="50">
        <f>_xlfn.XLOOKUP(Tableau119[[#This Row],[Key(ID-date)]],'DATA BTO'!S:S,'DATA BTO'!H:H,FALSE)</f>
        <v>8</v>
      </c>
      <c r="AF975" s="447">
        <f>IF(Tableau119[[#This Row],[First Day to POL]]&lt;=Tableau119[[#This Row],[Day Cut Off]],Tableau119[[#This Row],[Day ETD]],Tableau119[[#This Row],[Day ETD]]+7)</f>
        <v>8</v>
      </c>
      <c r="AG975" s="50">
        <f>_xlfn.XLOOKUP(Tableau119[[#This Row],[Key(ID-date)]],'DATA BTO'!S:S,'DATA BTO'!I:I,FALSE)</f>
        <v>56</v>
      </c>
      <c r="AH975" s="3" t="str">
        <f>_xlfn.XLOOKUP(Tableau119[[#This Row],[Key(ID-date)]],'DATA BTO'!S:S,'DATA BTO'!J:J,FALSE)</f>
        <v>MACAS</v>
      </c>
      <c r="AI975" s="3">
        <f>_xlfn.XLOOKUP(Tableau119[[#This Row],[Key(ID-date)]],'DATA BTO'!S:S,'DATA BTO'!K:K,FALSE)</f>
        <v>3</v>
      </c>
      <c r="AJ975" s="50">
        <f>_xlfn.XLOOKUP(Tableau119[[#This Row],[Key(ID-date)]],'DATA BTO'!S:S,'DATA BTO'!L:L,FALSE)</f>
        <v>0</v>
      </c>
      <c r="AK975" s="53" t="str">
        <f>_xlfn.XLOOKUP(Tableau119[[#This Row],[Key(ID-date)]],'DATA BTO'!S:S,'DATA BTO'!N:N,FALSE)</f>
        <v>Max</v>
      </c>
      <c r="AL975" s="54">
        <f>VLOOKUP(Tableau119[[#This Row],[Key(POD -PFI- Usine)]],'DATA Consignee'!A:F,6,FALSE)</f>
        <v>1</v>
      </c>
      <c r="AM975" s="102"/>
      <c r="AN975" s="376" t="str">
        <f>IF(Tableau119[[#This Row],[Name PFI/CDD]]="","-",VLOOKUP(Tableau119[[#This Row],[Name PFI/CDD]],Plant_AILN!I:J,2,FALSE))</f>
        <v>-</v>
      </c>
      <c r="AO975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5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5" s="2">
        <f>VLOOKUP(Tableau119[[#This Row],[Key(POD -PFI- Usine)]],'DATA Consignee'!A:J,10,FALSE)</f>
        <v>0</v>
      </c>
      <c r="AR975" s="50">
        <f>VLOOKUP(Tableau119[[#This Row],[Key(POD -PFI- Usine)]],'DATA Consignee'!A:N,14,FALSE)</f>
        <v>4</v>
      </c>
      <c r="AS975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975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75" s="50">
        <f>Tableau119[[#This Row],[Transit time]]+Tableau119[[#This Row],[Time for security]]+Tableau119[[#This Row],[Time for security2 buffer]]</f>
        <v>59</v>
      </c>
      <c r="AV97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75" s="50">
        <f>Tableau119[[#This Row],[Leadtime SI2C]]+Tableau119[[#This Row],[First Receipt Days]]-Tableau119[[#This Row],[Day Customer Order]]+1</f>
        <v>99</v>
      </c>
      <c r="AX975" s="119">
        <f>IF(Tableau119[[#This Row],[Name ILN]]&lt;&gt;"SFK Freight Forwarder",Tableau119[[#This Row],[Cust. Leadtime]],Tableau119[[#This Row],[Leadtime SI2C]])</f>
        <v>83</v>
      </c>
      <c r="AY975" s="51" t="str">
        <f>_xlfn.XLOOKUP(Tableau119[[#This Row],[Key(ID-date)]],'DATA BTO'!S:S,'DATA BTO'!P:P,FALSE)</f>
        <v>Horse &gt; Renault BPH (MLP)</v>
      </c>
      <c r="AZ975" s="338">
        <v>46142</v>
      </c>
      <c r="BA975" s="50"/>
    </row>
    <row r="976" spans="2:53">
      <c r="B976" s="446" t="str">
        <f>_xlfn.CONCAT(Tableau119[[#This Row],[Name ILN]],"-",Tableau119[[#This Row],[Name Shipper]],"-",Tableau119[[#This Row],[Name Site]])</f>
        <v>SFK Freight Forwarder-Jatco Thailande-TANGER</v>
      </c>
      <c r="C976" s="66" t="str">
        <f>_xlfn.CONCAT(Tableau119[[#This Row],[Compte ILN]],"-",Tableau119[[#This Row],[Compte Shipper]],"-",Tableau119[[#This Row],[POL]],"-",Tableau119[[#This Row],[Compte Consignee]])</f>
        <v>0-29770601-THLCH-900383</v>
      </c>
      <c r="D976" s="66" t="str">
        <f>_xlfn.CONCAT(Tableau119[[#This Row],[Compte ILN]],"-",Tableau119[[#This Row],[Compte Shipper]],"-",Tableau119[[#This Row],[POL]])</f>
        <v>0-29770601-THLCH</v>
      </c>
      <c r="E976" s="130" t="str">
        <f>_xlfn.CONCAT(Tableau119[[#This Row],[POL]],"-",Tableau119[[#This Row],[Carrier]],"-",Tableau119[[#This Row],[POD]])</f>
        <v>THLCH-ONE-MAPTM</v>
      </c>
      <c r="F976" s="66" t="str">
        <f>_xlfn.CONCAT(Tableau119[[#This Row],[ID]],"-","Actif")</f>
        <v>1067-Actif</v>
      </c>
      <c r="G976" s="66" t="str">
        <f>_xlfn.CONCAT(Tableau119[[#This Row],[POD]],"-",Tableau119[[#This Row],[Code PFI]],"-",Tableau119[[#This Row],[Compte Consignee]])</f>
        <v>MAPTM---900383</v>
      </c>
      <c r="H97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29770601THLCHTANGER</v>
      </c>
      <c r="I976" s="434" t="str">
        <f>_xlfn.CONCAT(Tableau119[[#This Row],[ID]],"-",Tableau119[[#This Row],[Expiration Date]])</f>
        <v>1067-46142</v>
      </c>
      <c r="J97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TANGER-SFK Freight Forwarder-Jatco Thailande-1067-THLCH-ONE-MAPTM--46142</v>
      </c>
      <c r="K976" s="119" t="str">
        <f ca="1">IF(COUNTIF(J:J,Tableau119[[#This Row],[Plant-ILN-shipper-POL-Carrier-POD-PFI]])=1,"Non","Oui")</f>
        <v>Non</v>
      </c>
      <c r="L976" s="128" t="str">
        <f>VLOOKUP(Tableau119[[#This Row],[Name Site]],Plant_AILN!A:D,4,FALSE)</f>
        <v>MOROCCO</v>
      </c>
      <c r="M976" s="415" t="s">
        <v>180</v>
      </c>
      <c r="N976" s="455">
        <f>VLOOKUP(Tableau119[[#This Row],[Name Site]],Plant_AILN!A:C,3,FALSE)</f>
        <v>900383</v>
      </c>
      <c r="O976" s="104">
        <f>IF(Tableau119[[#This Row],[Name PFI/CDD]]="PFI VLL",2,VLOOKUP(Tableau119[[#This Row],[Compte Consignee]],Order!C:D,2,FALSE))</f>
        <v>7</v>
      </c>
      <c r="P976" s="126" t="s">
        <v>146</v>
      </c>
      <c r="Q976" s="366">
        <f>VLOOKUP(Tableau119[[#This Row],[Name ILN]],Plant_AILN!F:G,2,FALSE)</f>
        <v>0</v>
      </c>
      <c r="R976" s="81">
        <f>VLOOKUP(Tableau119[[#This Row],[Compte ILN]],'DATA ILN'!D:I,6,FALSE)</f>
        <v>9</v>
      </c>
      <c r="S976" s="81">
        <f>IFERROR(VLOOKUP(Tableau119[[#This Row],[Key(Compte ILN - shipper - POL - plant)]],'DATA ILN'!A:J,10,FALSE),VLOOKUP(Tableau119[[#This Row],[Key(Compte ILN - shipper - POL)]],'DATA ILN'!B:J,9,FALSE))</f>
        <v>14</v>
      </c>
      <c r="T976" s="81">
        <f>IFERROR(VLOOKUP(Tableau119[[#This Row],[Key(Compte ILN - shipper - POL - plant)]],'DATA ILN'!A:K,11,FALSE),VLOOKUP(Tableau119[[#This Row],[Key(Compte ILN - shipper - POL)]],'DATA ILN'!B:K,10,FALSE))</f>
        <v>5</v>
      </c>
      <c r="U976" s="81">
        <f>IFERROR(VLOOKUP(Tableau119[[#This Row],[Key(Compte ILN - shipper - POL - plant)]],'DATA ILN'!A:L,12,FALSE),VLOOKUP(Tableau119[[#This Row],[Key(Compte ILN - shipper - POL)]],'DATA ILN'!B:L,11,FALSE))</f>
        <v>7</v>
      </c>
      <c r="V976" s="81">
        <f>Tableau119[[#This Row],[Day ILN Order]]+Tableau119[[#This Row],[Delivery time to ILN/Shipper]]-1</f>
        <v>22</v>
      </c>
      <c r="W976" s="81">
        <f>IFERROR(VLOOKUP(Tableau119[[#This Row],[Key(Compte ILN - shipper - POL - plant)]],'DATA ILN'!A:N,14,FALSE),VLOOKUP(Tableau119[[#This Row],[Key(Compte ILN - shipper - POL)]],'DATA ILN'!B:N,13,FALSE))</f>
        <v>1</v>
      </c>
      <c r="X976" s="81">
        <f>IFERROR(VLOOKUP(Tableau119[[#This Row],[Key(Compte ILN - shipper - POL - plant)]],'DATA ILN'!A:P,16,FALSE),VLOOKUP(Tableau119[[#This Row],[Key(Compte ILN - shipper - POL)]],'DATA ILN'!B:P,15,FALSE))</f>
        <v>3</v>
      </c>
      <c r="Y976" s="102" t="s">
        <v>182</v>
      </c>
      <c r="Z976" s="417">
        <f>IFERROR(VLOOKUP(Tableau119[[#This Row],[Name Shipper]],Plant_AILN!L:M,2,FALSE),0)</f>
        <v>29770601</v>
      </c>
      <c r="AA976" s="416">
        <v>1067</v>
      </c>
      <c r="AB976" s="396" t="str">
        <f>_xlfn.XLOOKUP(Tableau119[[#This Row],[Key(ID-date)]],'DATA BTO'!S:S,'DATA BTO'!E:E,FALSE)</f>
        <v>THLCH</v>
      </c>
      <c r="AC976" s="3" t="str">
        <f>_xlfn.XLOOKUP(Tableau119[[#This Row],[Key(ID-date)]],'DATA BTO'!S:S,'DATA BTO'!F:F,FALSE)</f>
        <v>ONE</v>
      </c>
      <c r="AD976" s="50">
        <f>_xlfn.XLOOKUP(Tableau119[[#This Row],[Key(ID-date)]],'DATA BTO'!S:S,'DATA BTO'!G:G,FALSE)</f>
        <v>6</v>
      </c>
      <c r="AE976" s="50">
        <f>_xlfn.XLOOKUP(Tableau119[[#This Row],[Key(ID-date)]],'DATA BTO'!S:S,'DATA BTO'!H:H,FALSE)</f>
        <v>7</v>
      </c>
      <c r="AF976" s="447">
        <f>IF(Tableau119[[#This Row],[First Day to POL]]&lt;=Tableau119[[#This Row],[Day Cut Off]],Tableau119[[#This Row],[Day ETD]],Tableau119[[#This Row],[Day ETD]]+7)</f>
        <v>7</v>
      </c>
      <c r="AG976" s="50">
        <f>_xlfn.XLOOKUP(Tableau119[[#This Row],[Key(ID-date)]],'DATA BTO'!S:S,'DATA BTO'!I:I,FALSE)</f>
        <v>41</v>
      </c>
      <c r="AH976" s="3" t="str">
        <f>_xlfn.XLOOKUP(Tableau119[[#This Row],[Key(ID-date)]],'DATA BTO'!S:S,'DATA BTO'!J:J,FALSE)</f>
        <v>MAPTM</v>
      </c>
      <c r="AI976" s="3">
        <f>_xlfn.XLOOKUP(Tableau119[[#This Row],[Key(ID-date)]],'DATA BTO'!S:S,'DATA BTO'!K:K,FALSE)</f>
        <v>3</v>
      </c>
      <c r="AJ976" s="50">
        <f>_xlfn.XLOOKUP(Tableau119[[#This Row],[Key(ID-date)]],'DATA BTO'!S:S,'DATA BTO'!L:L,FALSE)</f>
        <v>14</v>
      </c>
      <c r="AK976" s="53" t="str">
        <f>_xlfn.XLOOKUP(Tableau119[[#This Row],[Key(ID-date)]],'DATA BTO'!S:S,'DATA BTO'!N:N,FALSE)</f>
        <v>Max</v>
      </c>
      <c r="AL976" s="54">
        <f>VLOOKUP(Tableau119[[#This Row],[Key(POD -PFI- Usine)]],'DATA Consignee'!A:F,6,FALSE)</f>
        <v>3</v>
      </c>
      <c r="AM976" s="102"/>
      <c r="AN976" s="375" t="str">
        <f>IF(Tableau119[[#This Row],[Name PFI/CDD]]="","-",VLOOKUP(Tableau119[[#This Row],[Name PFI/CDD]],Plant_AILN!I:J,2,FALSE))</f>
        <v>-</v>
      </c>
      <c r="AO97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6" s="110">
        <f>VLOOKUP(Tableau119[[#This Row],[Key(POD -PFI- Usine)]],'DATA Consignee'!A:J,10,FALSE)</f>
        <v>0</v>
      </c>
      <c r="AR976" s="81">
        <f>VLOOKUP(Tableau119[[#This Row],[Key(POD -PFI- Usine)]],'DATA Consignee'!A:N,14,FALSE)</f>
        <v>1</v>
      </c>
      <c r="AS976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2</v>
      </c>
      <c r="AT976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76" s="81">
        <f>Tableau119[[#This Row],[Transit time]]+Tableau119[[#This Row],[Time for security]]+Tableau119[[#This Row],[Time for security2 buffer]]</f>
        <v>58</v>
      </c>
      <c r="AV976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76" s="50">
        <f>Tableau119[[#This Row],[Leadtime SI2C]]+Tableau119[[#This Row],[First Receipt Days]]-Tableau119[[#This Row],[Day Customer Order]]+1</f>
        <v>92</v>
      </c>
      <c r="AX976" s="119">
        <f>IF(Tableau119[[#This Row],[Name ILN]]&lt;&gt;"SFK Freight Forwarder",Tableau119[[#This Row],[Cust. Leadtime]],Tableau119[[#This Row],[Leadtime SI2C]])</f>
        <v>76</v>
      </c>
      <c r="AY976" s="51" t="str">
        <f>_xlfn.XLOOKUP(Tableau119[[#This Row],[Key(ID-date)]],'DATA BTO'!S:S,'DATA BTO'!P:P,FALSE)</f>
        <v>Horse &gt; Renault BPH (MLP)</v>
      </c>
      <c r="AZ976" s="388">
        <v>46142</v>
      </c>
      <c r="BA976" s="81"/>
    </row>
    <row r="977" spans="2:53">
      <c r="B977" s="446" t="str">
        <f>_xlfn.CONCAT(Tableau119[[#This Row],[Name ILN]],"-",Tableau119[[#This Row],[Name Shipper]],"-",Tableau119[[#This Row],[Name Site]])</f>
        <v>SFK Freight Forwarder-Jatco Thailande-DACIA MONT</v>
      </c>
      <c r="C977" s="66" t="str">
        <f>_xlfn.CONCAT(Tableau119[[#This Row],[Compte ILN]],"-",Tableau119[[#This Row],[Compte Shipper]],"-",Tableau119[[#This Row],[POL]],"-",Tableau119[[#This Row],[Compte Consignee]])</f>
        <v>0-29770601-THLCH-90016800</v>
      </c>
      <c r="D977" s="66" t="str">
        <f>_xlfn.CONCAT(Tableau119[[#This Row],[Compte ILN]],"-",Tableau119[[#This Row],[Compte Shipper]],"-",Tableau119[[#This Row],[POL]])</f>
        <v>0-29770601-THLCH</v>
      </c>
      <c r="E977" s="130" t="str">
        <f>_xlfn.CONCAT(Tableau119[[#This Row],[POL]],"-",Tableau119[[#This Row],[Carrier]],"-",Tableau119[[#This Row],[POD]])</f>
        <v>THLCH-MSC-ROCND</v>
      </c>
      <c r="F977" s="66" t="str">
        <f>_xlfn.CONCAT(Tableau119[[#This Row],[ID]],"-","Actif")</f>
        <v>1068-Actif</v>
      </c>
      <c r="G977" s="66" t="str">
        <f>_xlfn.CONCAT(Tableau119[[#This Row],[POD]],"-",Tableau119[[#This Row],[Code PFI]],"-",Tableau119[[#This Row],[Compte Consignee]])</f>
        <v>ROCND-2839004-90016800</v>
      </c>
      <c r="H97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29770601THLCHDACIA MONT</v>
      </c>
      <c r="I977" s="434" t="str">
        <f>_xlfn.CONCAT(Tableau119[[#This Row],[ID]],"-",Tableau119[[#This Row],[Expiration Date]])</f>
        <v>1068-46142</v>
      </c>
      <c r="J97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DACIA MONT-SFK Freight Forwarder-Jatco Thailande-1068-THLCH-MSC-ROCND-Magasin Dacia-46142</v>
      </c>
      <c r="K977" s="119" t="str">
        <f ca="1">IF(COUNTIF(J:J,Tableau119[[#This Row],[Plant-ILN-shipper-POL-Carrier-POD-PFI]])=1,"Non","Oui")</f>
        <v>Non</v>
      </c>
      <c r="L977" s="128" t="str">
        <f>VLOOKUP(Tableau119[[#This Row],[Name Site]],Plant_AILN!A:D,4,FALSE)</f>
        <v>ROMANIA</v>
      </c>
      <c r="M977" s="411" t="s">
        <v>185</v>
      </c>
      <c r="N977" s="454">
        <f>VLOOKUP(Tableau119[[#This Row],[Name Site]],Plant_AILN!A:C,3,FALSE)</f>
        <v>90016800</v>
      </c>
      <c r="O977" s="55">
        <f>IF(Tableau119[[#This Row],[Name PFI/CDD]]="PFI VLL",2,VLOOKUP(Tableau119[[#This Row],[Compte Consignee]],Order!C:D,2,FALSE))</f>
        <v>7</v>
      </c>
      <c r="P977" s="124" t="s">
        <v>146</v>
      </c>
      <c r="Q977" s="365">
        <f>VLOOKUP(Tableau119[[#This Row],[Name ILN]],Plant_AILN!F:G,2,FALSE)</f>
        <v>0</v>
      </c>
      <c r="R977" s="50">
        <f>VLOOKUP(Tableau119[[#This Row],[Compte ILN]],'DATA ILN'!D:I,6,FALSE)</f>
        <v>9</v>
      </c>
      <c r="S977" s="50">
        <f>IFERROR(VLOOKUP(Tableau119[[#This Row],[Key(Compte ILN - shipper - POL - plant)]],'DATA ILN'!A:J,10,FALSE),VLOOKUP(Tableau119[[#This Row],[Key(Compte ILN - shipper - POL)]],'DATA ILN'!B:J,9,FALSE))</f>
        <v>14</v>
      </c>
      <c r="T977" s="50">
        <f>IFERROR(VLOOKUP(Tableau119[[#This Row],[Key(Compte ILN - shipper - POL - plant)]],'DATA ILN'!A:K,11,FALSE),VLOOKUP(Tableau119[[#This Row],[Key(Compte ILN - shipper - POL)]],'DATA ILN'!B:K,10,FALSE))</f>
        <v>5</v>
      </c>
      <c r="U977" s="50">
        <f>IFERROR(VLOOKUP(Tableau119[[#This Row],[Key(Compte ILN - shipper - POL - plant)]],'DATA ILN'!A:L,12,FALSE),VLOOKUP(Tableau119[[#This Row],[Key(Compte ILN - shipper - POL)]],'DATA ILN'!B:L,11,FALSE))</f>
        <v>7</v>
      </c>
      <c r="V977" s="50">
        <f>Tableau119[[#This Row],[Day ILN Order]]+Tableau119[[#This Row],[Delivery time to ILN/Shipper]]-1</f>
        <v>22</v>
      </c>
      <c r="W977" s="50">
        <f>IFERROR(VLOOKUP(Tableau119[[#This Row],[Key(Compte ILN - shipper - POL - plant)]],'DATA ILN'!A:N,14,FALSE),VLOOKUP(Tableau119[[#This Row],[Key(Compte ILN - shipper - POL)]],'DATA ILN'!B:N,13,FALSE))</f>
        <v>1</v>
      </c>
      <c r="X977" s="50">
        <f>IFERROR(VLOOKUP(Tableau119[[#This Row],[Key(Compte ILN - shipper - POL - plant)]],'DATA ILN'!A:P,16,FALSE),VLOOKUP(Tableau119[[#This Row],[Key(Compte ILN - shipper - POL)]],'DATA ILN'!B:P,15,FALSE))</f>
        <v>3</v>
      </c>
      <c r="Y977" s="284" t="s">
        <v>182</v>
      </c>
      <c r="Z977" s="430">
        <f>IFERROR(VLOOKUP(Tableau119[[#This Row],[Name Shipper]],Plant_AILN!L:M,2,FALSE),0)</f>
        <v>29770601</v>
      </c>
      <c r="AA977" s="406">
        <v>1068</v>
      </c>
      <c r="AB977" s="396" t="str">
        <f>_xlfn.XLOOKUP(Tableau119[[#This Row],[Key(ID-date)]],'DATA BTO'!S:S,'DATA BTO'!E:E,FALSE)</f>
        <v>THLCH</v>
      </c>
      <c r="AC977" s="3" t="str">
        <f>_xlfn.XLOOKUP(Tableau119[[#This Row],[Key(ID-date)]],'DATA BTO'!S:S,'DATA BTO'!F:F,FALSE)</f>
        <v>MSC</v>
      </c>
      <c r="AD977" s="50">
        <f>_xlfn.XLOOKUP(Tableau119[[#This Row],[Key(ID-date)]],'DATA BTO'!S:S,'DATA BTO'!G:G,FALSE)</f>
        <v>2</v>
      </c>
      <c r="AE977" s="50">
        <f>_xlfn.XLOOKUP(Tableau119[[#This Row],[Key(ID-date)]],'DATA BTO'!S:S,'DATA BTO'!H:H,FALSE)</f>
        <v>4</v>
      </c>
      <c r="AF977" s="447">
        <f>IF(Tableau119[[#This Row],[First Day to POL]]&lt;=Tableau119[[#This Row],[Day Cut Off]],Tableau119[[#This Row],[Day ETD]],Tableau119[[#This Row],[Day ETD]]+7)</f>
        <v>11</v>
      </c>
      <c r="AG977" s="50">
        <f>_xlfn.XLOOKUP(Tableau119[[#This Row],[Key(ID-date)]],'DATA BTO'!S:S,'DATA BTO'!I:I,FALSE)</f>
        <v>48</v>
      </c>
      <c r="AH977" s="3" t="str">
        <f>_xlfn.XLOOKUP(Tableau119[[#This Row],[Key(ID-date)]],'DATA BTO'!S:S,'DATA BTO'!J:J,FALSE)</f>
        <v>ROCND</v>
      </c>
      <c r="AI977" s="3">
        <f>_xlfn.XLOOKUP(Tableau119[[#This Row],[Key(ID-date)]],'DATA BTO'!S:S,'DATA BTO'!K:K,FALSE)</f>
        <v>3</v>
      </c>
      <c r="AJ977" s="50">
        <f>_xlfn.XLOOKUP(Tableau119[[#This Row],[Key(ID-date)]],'DATA BTO'!S:S,'DATA BTO'!L:L,FALSE)</f>
        <v>14</v>
      </c>
      <c r="AK977" s="53" t="str">
        <f>_xlfn.XLOOKUP(Tableau119[[#This Row],[Key(ID-date)]],'DATA BTO'!S:S,'DATA BTO'!N:N,FALSE)</f>
        <v>Max</v>
      </c>
      <c r="AL977" s="54">
        <f>VLOOKUP(Tableau119[[#This Row],[Key(POD -PFI- Usine)]],'DATA Consignee'!A:F,6,FALSE)</f>
        <v>1</v>
      </c>
      <c r="AM977" s="102" t="s">
        <v>164</v>
      </c>
      <c r="AN977" s="376">
        <f>IF(Tableau119[[#This Row],[Name PFI/CDD]]="","-",VLOOKUP(Tableau119[[#This Row],[Name PFI/CDD]],Plant_AILN!I:J,2,FALSE))</f>
        <v>2839004</v>
      </c>
      <c r="AO977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7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7" s="2">
        <f>VLOOKUP(Tableau119[[#This Row],[Key(POD -PFI- Usine)]],'DATA Consignee'!A:J,10,FALSE)</f>
        <v>7</v>
      </c>
      <c r="AR977" s="50">
        <f>VLOOKUP(Tableau119[[#This Row],[Key(POD -PFI- Usine)]],'DATA Consignee'!A:N,14,FALSE)</f>
        <v>1</v>
      </c>
      <c r="AS977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77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16</v>
      </c>
      <c r="AU977" s="50">
        <f>Tableau119[[#This Row],[Transit time]]+Tableau119[[#This Row],[Time for security]]+Tableau119[[#This Row],[Time for security2 buffer]]</f>
        <v>65</v>
      </c>
      <c r="AV977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90</v>
      </c>
      <c r="AW977" s="50">
        <f>Tableau119[[#This Row],[Leadtime SI2C]]+Tableau119[[#This Row],[First Receipt Days]]-Tableau119[[#This Row],[Day Customer Order]]+1</f>
        <v>106</v>
      </c>
      <c r="AX977" s="119">
        <f>IF(Tableau119[[#This Row],[Name ILN]]&lt;&gt;"SFK Freight Forwarder",Tableau119[[#This Row],[Cust. Leadtime]],Tableau119[[#This Row],[Leadtime SI2C]])</f>
        <v>90</v>
      </c>
      <c r="AY977" s="51" t="str">
        <f>_xlfn.XLOOKUP(Tableau119[[#This Row],[Key(ID-date)]],'DATA BTO'!S:S,'DATA BTO'!P:P,FALSE)</f>
        <v>Horse &gt; Renault BPH (MLP)</v>
      </c>
      <c r="AZ977" s="338">
        <v>46142</v>
      </c>
      <c r="BA977" s="50"/>
    </row>
    <row r="978" spans="2:53">
      <c r="B978" s="446" t="str">
        <f>_xlfn.CONCAT(Tableau119[[#This Row],[Name ILN]],"-",Tableau119[[#This Row],[Name Shipper]],"-",Tableau119[[#This Row],[Name Site]])</f>
        <v>SFK Freight Forwarder-Jatco Thailande-REVOZ</v>
      </c>
      <c r="C978" s="66" t="str">
        <f>_xlfn.CONCAT(Tableau119[[#This Row],[Compte ILN]],"-",Tableau119[[#This Row],[Compte Shipper]],"-",Tableau119[[#This Row],[POL]],"-",Tableau119[[#This Row],[Compte Consignee]])</f>
        <v>0-29770601-THLCH-90016700</v>
      </c>
      <c r="D978" s="66" t="str">
        <f>_xlfn.CONCAT(Tableau119[[#This Row],[Compte ILN]],"-",Tableau119[[#This Row],[Compte Shipper]],"-",Tableau119[[#This Row],[POL]])</f>
        <v>0-29770601-THLCH</v>
      </c>
      <c r="E978" s="130" t="str">
        <f>_xlfn.CONCAT(Tableau119[[#This Row],[POL]],"-",Tableau119[[#This Row],[Carrier]],"-",Tableau119[[#This Row],[POD]])</f>
        <v>THLCH-CMA-CGM-SIKOP</v>
      </c>
      <c r="F978" s="66" t="str">
        <f>_xlfn.CONCAT(Tableau119[[#This Row],[ID]],"-","Actif")</f>
        <v>1069-Actif</v>
      </c>
      <c r="G978" s="66" t="str">
        <f>_xlfn.CONCAT(Tableau119[[#This Row],[POD]],"-",Tableau119[[#This Row],[Code PFI]],"-",Tableau119[[#This Row],[Compte Consignee]])</f>
        <v>SIKOP---90016700</v>
      </c>
      <c r="H97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29770601THLCHREVOZ</v>
      </c>
      <c r="I978" s="434" t="str">
        <f>_xlfn.CONCAT(Tableau119[[#This Row],[ID]],"-",Tableau119[[#This Row],[Expiration Date]])</f>
        <v>1069-46142</v>
      </c>
      <c r="J97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REVOZ-SFK Freight Forwarder-Jatco Thailande-1069-THLCH-CMA-CGM-SIKOP--46142</v>
      </c>
      <c r="K978" s="119" t="str">
        <f ca="1">IF(COUNTIF(J:J,Tableau119[[#This Row],[Plant-ILN-shipper-POL-Carrier-POD-PFI]])=1,"Non","Oui")</f>
        <v>Non</v>
      </c>
      <c r="L978" s="128" t="str">
        <f>VLOOKUP(Tableau119[[#This Row],[Name Site]],Plant_AILN!A:D,4,FALSE)</f>
        <v>SLOVENIA</v>
      </c>
      <c r="M978" s="415" t="s">
        <v>35</v>
      </c>
      <c r="N978" s="455">
        <f>VLOOKUP(Tableau119[[#This Row],[Name Site]],Plant_AILN!A:C,3,FALSE)</f>
        <v>90016700</v>
      </c>
      <c r="O978" s="104">
        <f>IF(Tableau119[[#This Row],[Name PFI/CDD]]="PFI VLL",2,VLOOKUP(Tableau119[[#This Row],[Compte Consignee]],Order!C:D,2,FALSE))</f>
        <v>7</v>
      </c>
      <c r="P978" s="126" t="s">
        <v>146</v>
      </c>
      <c r="Q978" s="366">
        <f>VLOOKUP(Tableau119[[#This Row],[Name ILN]],Plant_AILN!F:G,2,FALSE)</f>
        <v>0</v>
      </c>
      <c r="R978" s="81">
        <f>VLOOKUP(Tableau119[[#This Row],[Compte ILN]],'DATA ILN'!D:I,6,FALSE)</f>
        <v>9</v>
      </c>
      <c r="S978" s="81">
        <f>IFERROR(VLOOKUP(Tableau119[[#This Row],[Key(Compte ILN - shipper - POL - plant)]],'DATA ILN'!A:J,10,FALSE),VLOOKUP(Tableau119[[#This Row],[Key(Compte ILN - shipper - POL)]],'DATA ILN'!B:J,9,FALSE))</f>
        <v>14</v>
      </c>
      <c r="T978" s="81">
        <f>IFERROR(VLOOKUP(Tableau119[[#This Row],[Key(Compte ILN - shipper - POL - plant)]],'DATA ILN'!A:K,11,FALSE),VLOOKUP(Tableau119[[#This Row],[Key(Compte ILN - shipper - POL)]],'DATA ILN'!B:K,10,FALSE))</f>
        <v>5</v>
      </c>
      <c r="U978" s="81">
        <f>IFERROR(VLOOKUP(Tableau119[[#This Row],[Key(Compte ILN - shipper - POL - plant)]],'DATA ILN'!A:L,12,FALSE),VLOOKUP(Tableau119[[#This Row],[Key(Compte ILN - shipper - POL)]],'DATA ILN'!B:L,11,FALSE))</f>
        <v>7</v>
      </c>
      <c r="V978" s="81">
        <f>Tableau119[[#This Row],[Day ILN Order]]+Tableau119[[#This Row],[Delivery time to ILN/Shipper]]-1</f>
        <v>22</v>
      </c>
      <c r="W978" s="81">
        <f>IFERROR(VLOOKUP(Tableau119[[#This Row],[Key(Compte ILN - shipper - POL - plant)]],'DATA ILN'!A:N,14,FALSE),VLOOKUP(Tableau119[[#This Row],[Key(Compte ILN - shipper - POL)]],'DATA ILN'!B:N,13,FALSE))</f>
        <v>1</v>
      </c>
      <c r="X978" s="81">
        <f>IFERROR(VLOOKUP(Tableau119[[#This Row],[Key(Compte ILN - shipper - POL - plant)]],'DATA ILN'!A:P,16,FALSE),VLOOKUP(Tableau119[[#This Row],[Key(Compte ILN - shipper - POL)]],'DATA ILN'!B:P,15,FALSE))</f>
        <v>3</v>
      </c>
      <c r="Y978" s="102" t="s">
        <v>182</v>
      </c>
      <c r="Z978" s="417">
        <f>IFERROR(VLOOKUP(Tableau119[[#This Row],[Name Shipper]],Plant_AILN!L:M,2,FALSE),0)</f>
        <v>29770601</v>
      </c>
      <c r="AA978" s="416">
        <v>1069</v>
      </c>
      <c r="AB978" s="396" t="str">
        <f>_xlfn.XLOOKUP(Tableau119[[#This Row],[Key(ID-date)]],'DATA BTO'!S:S,'DATA BTO'!E:E,FALSE)</f>
        <v>THLCH</v>
      </c>
      <c r="AC978" s="3" t="str">
        <f>_xlfn.XLOOKUP(Tableau119[[#This Row],[Key(ID-date)]],'DATA BTO'!S:S,'DATA BTO'!F:F,FALSE)</f>
        <v>CMA-CGM</v>
      </c>
      <c r="AD978" s="50">
        <f>_xlfn.XLOOKUP(Tableau119[[#This Row],[Key(ID-date)]],'DATA BTO'!S:S,'DATA BTO'!G:G,FALSE)</f>
        <v>5</v>
      </c>
      <c r="AE978" s="50">
        <f>_xlfn.XLOOKUP(Tableau119[[#This Row],[Key(ID-date)]],'DATA BTO'!S:S,'DATA BTO'!H:H,FALSE)</f>
        <v>8</v>
      </c>
      <c r="AF978" s="447">
        <f>IF(Tableau119[[#This Row],[First Day to POL]]&lt;=Tableau119[[#This Row],[Day Cut Off]],Tableau119[[#This Row],[Day ETD]],Tableau119[[#This Row],[Day ETD]]+7)</f>
        <v>8</v>
      </c>
      <c r="AG978" s="50">
        <f>_xlfn.XLOOKUP(Tableau119[[#This Row],[Key(ID-date)]],'DATA BTO'!S:S,'DATA BTO'!I:I,FALSE)</f>
        <v>34</v>
      </c>
      <c r="AH978" s="3" t="str">
        <f>_xlfn.XLOOKUP(Tableau119[[#This Row],[Key(ID-date)]],'DATA BTO'!S:S,'DATA BTO'!J:J,FALSE)</f>
        <v>SIKOP</v>
      </c>
      <c r="AI978" s="3">
        <f>_xlfn.XLOOKUP(Tableau119[[#This Row],[Key(ID-date)]],'DATA BTO'!S:S,'DATA BTO'!K:K,FALSE)</f>
        <v>3</v>
      </c>
      <c r="AJ978" s="50">
        <f>_xlfn.XLOOKUP(Tableau119[[#This Row],[Key(ID-date)]],'DATA BTO'!S:S,'DATA BTO'!L:L,FALSE)</f>
        <v>14</v>
      </c>
      <c r="AK978" s="53" t="str">
        <f>_xlfn.XLOOKUP(Tableau119[[#This Row],[Key(ID-date)]],'DATA BTO'!S:S,'DATA BTO'!N:N,FALSE)</f>
        <v>Max</v>
      </c>
      <c r="AL978" s="54">
        <f>VLOOKUP(Tableau119[[#This Row],[Key(POD -PFI- Usine)]],'DATA Consignee'!A:F,6,FALSE)</f>
        <v>2</v>
      </c>
      <c r="AM978" s="102"/>
      <c r="AN978" s="375" t="str">
        <f>IF(Tableau119[[#This Row],[Name PFI/CDD]]="","-",VLOOKUP(Tableau119[[#This Row],[Name PFI/CDD]],Plant_AILN!I:J,2,FALSE))</f>
        <v>-</v>
      </c>
      <c r="AO97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8" s="110">
        <f>VLOOKUP(Tableau119[[#This Row],[Key(POD -PFI- Usine)]],'DATA Consignee'!A:J,10,FALSE)</f>
        <v>0</v>
      </c>
      <c r="AR978" s="81">
        <f>VLOOKUP(Tableau119[[#This Row],[Key(POD -PFI- Usine)]],'DATA Consignee'!A:N,14,FALSE)</f>
        <v>2</v>
      </c>
      <c r="AS978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1</v>
      </c>
      <c r="AT978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78" s="81">
        <f>Tableau119[[#This Row],[Transit time]]+Tableau119[[#This Row],[Time for security]]+Tableau119[[#This Row],[Time for security2 buffer]]</f>
        <v>51</v>
      </c>
      <c r="AV978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78" s="50">
        <f>Tableau119[[#This Row],[Leadtime SI2C]]+Tableau119[[#This Row],[First Receipt Days]]-Tableau119[[#This Row],[Day Customer Order]]+1</f>
        <v>85</v>
      </c>
      <c r="AX978" s="119">
        <f>IF(Tableau119[[#This Row],[Name ILN]]&lt;&gt;"SFK Freight Forwarder",Tableau119[[#This Row],[Cust. Leadtime]],Tableau119[[#This Row],[Leadtime SI2C]])</f>
        <v>69</v>
      </c>
      <c r="AY978" s="51" t="str">
        <f>_xlfn.XLOOKUP(Tableau119[[#This Row],[Key(ID-date)]],'DATA BTO'!S:S,'DATA BTO'!P:P,FALSE)</f>
        <v>Horse &gt; Renault BPH (MLP)</v>
      </c>
      <c r="AZ978" s="388">
        <v>46142</v>
      </c>
      <c r="BA978" s="81"/>
    </row>
    <row r="979" spans="2:53">
      <c r="B979" s="446" t="str">
        <f>_xlfn.CONCAT(Tableau119[[#This Row],[Name ILN]],"-",Tableau119[[#This Row],[Name Shipper]],"-",Tableau119[[#This Row],[Name Site]])</f>
        <v>SFK Freight Forwarder-Jatco Thailande-OYAK MONT</v>
      </c>
      <c r="C979" s="66" t="str">
        <f>_xlfn.CONCAT(Tableau119[[#This Row],[Compte ILN]],"-",Tableau119[[#This Row],[Compte Shipper]],"-",Tableau119[[#This Row],[POL]],"-",Tableau119[[#This Row],[Compte Consignee]])</f>
        <v>0-29770601-THLCH-90017000</v>
      </c>
      <c r="D979" s="66" t="str">
        <f>_xlfn.CONCAT(Tableau119[[#This Row],[Compte ILN]],"-",Tableau119[[#This Row],[Compte Shipper]],"-",Tableau119[[#This Row],[POL]])</f>
        <v>0-29770601-THLCH</v>
      </c>
      <c r="E979" s="130" t="str">
        <f>_xlfn.CONCAT(Tableau119[[#This Row],[POL]],"-",Tableau119[[#This Row],[Carrier]],"-",Tableau119[[#This Row],[POD]])</f>
        <v>THLCH-CMA-CGM-TRIZT</v>
      </c>
      <c r="F979" s="66" t="str">
        <f>_xlfn.CONCAT(Tableau119[[#This Row],[ID]],"-","Actif")</f>
        <v>1070-Actif</v>
      </c>
      <c r="G979" s="66" t="str">
        <f>_xlfn.CONCAT(Tableau119[[#This Row],[POD]],"-",Tableau119[[#This Row],[Code PFI]],"-",Tableau119[[#This Row],[Compte Consignee]])</f>
        <v>TRIZT---90017000</v>
      </c>
      <c r="H97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29770601THLCHOYAK MONT</v>
      </c>
      <c r="I979" s="434" t="str">
        <f>_xlfn.CONCAT(Tableau119[[#This Row],[ID]],"-",Tableau119[[#This Row],[Expiration Date]])</f>
        <v>1070-46142</v>
      </c>
      <c r="J97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Forwarder-Jatco Thailande-1070-THLCH-CMA-CGM-TRIZT--46142</v>
      </c>
      <c r="K979" s="119" t="str">
        <f ca="1">IF(COUNTIF(J:J,Tableau119[[#This Row],[Plant-ILN-shipper-POL-Carrier-POD-PFI]])=1,"Non","Oui")</f>
        <v>Non</v>
      </c>
      <c r="L979" s="128" t="str">
        <f>VLOOKUP(Tableau119[[#This Row],[Name Site]],Plant_AILN!A:D,4,FALSE)</f>
        <v>TURKEY</v>
      </c>
      <c r="M979" s="411" t="s">
        <v>173</v>
      </c>
      <c r="N979" s="454">
        <f>VLOOKUP(Tableau119[[#This Row],[Name Site]],Plant_AILN!A:C,3,FALSE)</f>
        <v>90017000</v>
      </c>
      <c r="O979" s="55">
        <f>IF(Tableau119[[#This Row],[Name PFI/CDD]]="PFI VLL",2,VLOOKUP(Tableau119[[#This Row],[Compte Consignee]],Order!C:D,2,FALSE))</f>
        <v>7</v>
      </c>
      <c r="P979" s="124" t="s">
        <v>146</v>
      </c>
      <c r="Q979" s="365">
        <f>VLOOKUP(Tableau119[[#This Row],[Name ILN]],Plant_AILN!F:G,2,FALSE)</f>
        <v>0</v>
      </c>
      <c r="R979" s="50">
        <f>VLOOKUP(Tableau119[[#This Row],[Compte ILN]],'DATA ILN'!D:I,6,FALSE)</f>
        <v>9</v>
      </c>
      <c r="S979" s="50">
        <f>IFERROR(VLOOKUP(Tableau119[[#This Row],[Key(Compte ILN - shipper - POL - plant)]],'DATA ILN'!A:J,10,FALSE),VLOOKUP(Tableau119[[#This Row],[Key(Compte ILN - shipper - POL)]],'DATA ILN'!B:J,9,FALSE))</f>
        <v>14</v>
      </c>
      <c r="T979" s="50">
        <f>IFERROR(VLOOKUP(Tableau119[[#This Row],[Key(Compte ILN - shipper - POL - plant)]],'DATA ILN'!A:K,11,FALSE),VLOOKUP(Tableau119[[#This Row],[Key(Compte ILN - shipper - POL)]],'DATA ILN'!B:K,10,FALSE))</f>
        <v>5</v>
      </c>
      <c r="U979" s="50">
        <f>IFERROR(VLOOKUP(Tableau119[[#This Row],[Key(Compte ILN - shipper - POL - plant)]],'DATA ILN'!A:L,12,FALSE),VLOOKUP(Tableau119[[#This Row],[Key(Compte ILN - shipper - POL)]],'DATA ILN'!B:L,11,FALSE))</f>
        <v>7</v>
      </c>
      <c r="V979" s="50">
        <f>Tableau119[[#This Row],[Day ILN Order]]+Tableau119[[#This Row],[Delivery time to ILN/Shipper]]-1</f>
        <v>22</v>
      </c>
      <c r="W979" s="50">
        <f>IFERROR(VLOOKUP(Tableau119[[#This Row],[Key(Compte ILN - shipper - POL - plant)]],'DATA ILN'!A:N,14,FALSE),VLOOKUP(Tableau119[[#This Row],[Key(Compte ILN - shipper - POL)]],'DATA ILN'!B:N,13,FALSE))</f>
        <v>1</v>
      </c>
      <c r="X979" s="50">
        <f>IFERROR(VLOOKUP(Tableau119[[#This Row],[Key(Compte ILN - shipper - POL - plant)]],'DATA ILN'!A:P,16,FALSE),VLOOKUP(Tableau119[[#This Row],[Key(Compte ILN - shipper - POL)]],'DATA ILN'!B:P,15,FALSE))</f>
        <v>3</v>
      </c>
      <c r="Y979" s="284" t="s">
        <v>182</v>
      </c>
      <c r="Z979" s="430">
        <f>IFERROR(VLOOKUP(Tableau119[[#This Row],[Name Shipper]],Plant_AILN!L:M,2,FALSE),0)</f>
        <v>29770601</v>
      </c>
      <c r="AA979" s="406">
        <v>1070</v>
      </c>
      <c r="AB979" s="396" t="str">
        <f>_xlfn.XLOOKUP(Tableau119[[#This Row],[Key(ID-date)]],'DATA BTO'!S:S,'DATA BTO'!E:E,FALSE)</f>
        <v>THLCH</v>
      </c>
      <c r="AC979" s="3" t="str">
        <f>_xlfn.XLOOKUP(Tableau119[[#This Row],[Key(ID-date)]],'DATA BTO'!S:S,'DATA BTO'!F:F,FALSE)</f>
        <v>CMA-CGM</v>
      </c>
      <c r="AD979" s="50">
        <f>_xlfn.XLOOKUP(Tableau119[[#This Row],[Key(ID-date)]],'DATA BTO'!S:S,'DATA BTO'!G:G,FALSE)</f>
        <v>5</v>
      </c>
      <c r="AE979" s="50">
        <f>_xlfn.XLOOKUP(Tableau119[[#This Row],[Key(ID-date)]],'DATA BTO'!S:S,'DATA BTO'!H:H,FALSE)</f>
        <v>8</v>
      </c>
      <c r="AF979" s="447">
        <f>IF(Tableau119[[#This Row],[First Day to POL]]&lt;=Tableau119[[#This Row],[Day Cut Off]],Tableau119[[#This Row],[Day ETD]],Tableau119[[#This Row],[Day ETD]]+7)</f>
        <v>8</v>
      </c>
      <c r="AG979" s="50">
        <f>_xlfn.XLOOKUP(Tableau119[[#This Row],[Key(ID-date)]],'DATA BTO'!S:S,'DATA BTO'!I:I,FALSE)</f>
        <v>49</v>
      </c>
      <c r="AH979" s="3" t="str">
        <f>_xlfn.XLOOKUP(Tableau119[[#This Row],[Key(ID-date)]],'DATA BTO'!S:S,'DATA BTO'!J:J,FALSE)</f>
        <v>TRIZT</v>
      </c>
      <c r="AI979" s="3">
        <f>_xlfn.XLOOKUP(Tableau119[[#This Row],[Key(ID-date)]],'DATA BTO'!S:S,'DATA BTO'!K:K,FALSE)</f>
        <v>3</v>
      </c>
      <c r="AJ979" s="50">
        <f>_xlfn.XLOOKUP(Tableau119[[#This Row],[Key(ID-date)]],'DATA BTO'!S:S,'DATA BTO'!L:L,FALSE)</f>
        <v>7</v>
      </c>
      <c r="AK979" s="53" t="str">
        <f>_xlfn.XLOOKUP(Tableau119[[#This Row],[Key(ID-date)]],'DATA BTO'!S:S,'DATA BTO'!N:N,FALSE)</f>
        <v>Max</v>
      </c>
      <c r="AL979" s="54">
        <f>VLOOKUP(Tableau119[[#This Row],[Key(POD -PFI- Usine)]],'DATA Consignee'!A:F,6,FALSE)</f>
        <v>4</v>
      </c>
      <c r="AM979" s="284"/>
      <c r="AN979" s="376" t="str">
        <f>IF(Tableau119[[#This Row],[Name PFI/CDD]]="","-",VLOOKUP(Tableau119[[#This Row],[Name PFI/CDD]],Plant_AILN!I:J,2,FALSE))</f>
        <v>-</v>
      </c>
      <c r="AO979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79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79" s="2">
        <f>VLOOKUP(Tableau119[[#This Row],[Key(POD -PFI- Usine)]],'DATA Consignee'!A:J,10,FALSE)</f>
        <v>0</v>
      </c>
      <c r="AR979" s="50">
        <f>VLOOKUP(Tableau119[[#This Row],[Key(POD -PFI- Usine)]],'DATA Consignee'!A:N,14,FALSE)</f>
        <v>3</v>
      </c>
      <c r="AS979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4</v>
      </c>
      <c r="AT979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79" s="50">
        <f>Tableau119[[#This Row],[Transit time]]+Tableau119[[#This Row],[Time for security]]+Tableau119[[#This Row],[Time for security2 buffer]]</f>
        <v>59</v>
      </c>
      <c r="AV979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79" s="50">
        <f>Tableau119[[#This Row],[Leadtime SI2C]]+Tableau119[[#This Row],[First Receipt Days]]-Tableau119[[#This Row],[Day Customer Order]]+1</f>
        <v>99</v>
      </c>
      <c r="AX979" s="119">
        <f>IF(Tableau119[[#This Row],[Name ILN]]&lt;&gt;"SFK Freight Forwarder",Tableau119[[#This Row],[Cust. Leadtime]],Tableau119[[#This Row],[Leadtime SI2C]])</f>
        <v>83</v>
      </c>
      <c r="AY979" s="51" t="str">
        <f>_xlfn.XLOOKUP(Tableau119[[#This Row],[Key(ID-date)]],'DATA BTO'!S:S,'DATA BTO'!P:P,FALSE)</f>
        <v>Horse &gt; Renault BPH (MLP)</v>
      </c>
      <c r="AZ979" s="338">
        <v>46142</v>
      </c>
      <c r="BA979" s="50"/>
    </row>
    <row r="980" spans="2:53">
      <c r="B980" s="446" t="str">
        <f>_xlfn.CONCAT(Tableau119[[#This Row],[Name ILN]],"-",Tableau119[[#This Row],[Name Shipper]],"-",Tableau119[[#This Row],[Name Site]])</f>
        <v>SFK Freight Forwarder-Jatco Thailande-OYAK MONT</v>
      </c>
      <c r="C980" s="66" t="str">
        <f>_xlfn.CONCAT(Tableau119[[#This Row],[Compte ILN]],"-",Tableau119[[#This Row],[Compte Shipper]],"-",Tableau119[[#This Row],[POL]],"-",Tableau119[[#This Row],[Compte Consignee]])</f>
        <v>0-29770601-THLCH-90017000</v>
      </c>
      <c r="D980" s="66" t="str">
        <f>_xlfn.CONCAT(Tableau119[[#This Row],[Compte ILN]],"-",Tableau119[[#This Row],[Compte Shipper]],"-",Tableau119[[#This Row],[POL]])</f>
        <v>0-29770601-THLCH</v>
      </c>
      <c r="E980" s="130" t="str">
        <f>_xlfn.CONCAT(Tableau119[[#This Row],[POL]],"-",Tableau119[[#This Row],[Carrier]],"-",Tableau119[[#This Row],[POD]])</f>
        <v>THLCH-CMA-CGM-TRIZT</v>
      </c>
      <c r="F980" s="66" t="str">
        <f>_xlfn.CONCAT(Tableau119[[#This Row],[ID]],"-","Actif")</f>
        <v>1070-Actif</v>
      </c>
      <c r="G980" s="66" t="str">
        <f>_xlfn.CONCAT(Tableau119[[#This Row],[POD]],"-",Tableau119[[#This Row],[Code PFI]],"-",Tableau119[[#This Row],[Compte Consignee]])</f>
        <v>TRIZT---90017000</v>
      </c>
      <c r="H98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29770601THLCHOYAK MONT</v>
      </c>
      <c r="I980" s="434" t="str">
        <f>_xlfn.CONCAT(Tableau119[[#This Row],[ID]],"-",Tableau119[[#This Row],[Expiration Date]])</f>
        <v>1070-45900</v>
      </c>
      <c r="J98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Forwarder-Jatco Thailande-1070-THLCH-CMA-CGM-TRIZT--45900</v>
      </c>
      <c r="K980" s="119" t="str">
        <f ca="1">IF(COUNTIF(J:J,Tableau119[[#This Row],[Plant-ILN-shipper-POL-Carrier-POD-PFI]])=1,"Non","Oui")</f>
        <v>Non</v>
      </c>
      <c r="L980" s="128" t="str">
        <f>VLOOKUP(Tableau119[[#This Row],[Name Site]],Plant_AILN!A:D,4,FALSE)</f>
        <v>TURKEY</v>
      </c>
      <c r="M980" s="411" t="s">
        <v>173</v>
      </c>
      <c r="N980" s="454">
        <f>VLOOKUP(Tableau119[[#This Row],[Name Site]],Plant_AILN!A:C,3,FALSE)</f>
        <v>90017000</v>
      </c>
      <c r="O980" s="55">
        <f>VLOOKUP(Tableau119[[#This Row],[Compte Consignee]],Order!C:D,2,FALSE)</f>
        <v>7</v>
      </c>
      <c r="P980" s="124" t="s">
        <v>146</v>
      </c>
      <c r="Q980" s="365">
        <f>VLOOKUP(Tableau119[[#This Row],[Name ILN]],Plant_AILN!F:G,2,FALSE)</f>
        <v>0</v>
      </c>
      <c r="R980" s="50">
        <f>VLOOKUP(Tableau119[[#This Row],[Compte ILN]],'DATA ILN'!D:I,6,FALSE)</f>
        <v>9</v>
      </c>
      <c r="S980" s="50">
        <f>IFERROR(VLOOKUP(Tableau119[[#This Row],[Key(Compte ILN - shipper - POL - plant)]],'DATA ILN'!A:J,10,FALSE),VLOOKUP(Tableau119[[#This Row],[Key(Compte ILN - shipper - POL)]],'DATA ILN'!B:J,9,FALSE))</f>
        <v>14</v>
      </c>
      <c r="T980" s="50">
        <f>IFERROR(VLOOKUP(Tableau119[[#This Row],[Key(Compte ILN - shipper - POL - plant)]],'DATA ILN'!A:K,11,FALSE),VLOOKUP(Tableau119[[#This Row],[Key(Compte ILN - shipper - POL)]],'DATA ILN'!B:K,10,FALSE))</f>
        <v>5</v>
      </c>
      <c r="U980" s="50">
        <f>IFERROR(VLOOKUP(Tableau119[[#This Row],[Key(Compte ILN - shipper - POL - plant)]],'DATA ILN'!A:L,12,FALSE),VLOOKUP(Tableau119[[#This Row],[Key(Compte ILN - shipper - POL)]],'DATA ILN'!B:L,11,FALSE))</f>
        <v>7</v>
      </c>
      <c r="V980" s="50">
        <f>Tableau119[[#This Row],[Day ILN Order]]+Tableau119[[#This Row],[Delivery time to ILN/Shipper]]-1</f>
        <v>22</v>
      </c>
      <c r="W980" s="50">
        <f>IFERROR(VLOOKUP(Tableau119[[#This Row],[Key(Compte ILN - shipper - POL - plant)]],'DATA ILN'!A:N,14,FALSE),VLOOKUP(Tableau119[[#This Row],[Key(Compte ILN - shipper - POL)]],'DATA ILN'!B:N,13,FALSE))</f>
        <v>1</v>
      </c>
      <c r="X980" s="50">
        <f>IFERROR(VLOOKUP(Tableau119[[#This Row],[Key(Compte ILN - shipper - POL - plant)]],'DATA ILN'!A:P,16,FALSE),VLOOKUP(Tableau119[[#This Row],[Key(Compte ILN - shipper - POL)]],'DATA ILN'!B:P,15,FALSE))</f>
        <v>3</v>
      </c>
      <c r="Y980" s="284" t="s">
        <v>182</v>
      </c>
      <c r="Z980" s="430">
        <f>IFERROR(VLOOKUP(Tableau119[[#This Row],[Name Shipper]],Plant_AILN!L:M,2,FALSE),0)</f>
        <v>29770601</v>
      </c>
      <c r="AA980" s="406">
        <v>1070</v>
      </c>
      <c r="AB980" s="396" t="str">
        <f>_xlfn.XLOOKUP(Tableau119[[#This Row],[Key(ID-date)]],'DATA BTO'!S:S,'DATA BTO'!E:E,FALSE)</f>
        <v>THLCH</v>
      </c>
      <c r="AC980" s="3" t="str">
        <f>_xlfn.XLOOKUP(Tableau119[[#This Row],[Key(ID-date)]],'DATA BTO'!S:S,'DATA BTO'!F:F,FALSE)</f>
        <v>CMA-CGM</v>
      </c>
      <c r="AD980" s="50">
        <f>_xlfn.XLOOKUP(Tableau119[[#This Row],[Key(ID-date)]],'DATA BTO'!S:S,'DATA BTO'!G:G,FALSE)</f>
        <v>5</v>
      </c>
      <c r="AE980" s="50">
        <f>_xlfn.XLOOKUP(Tableau119[[#This Row],[Key(ID-date)]],'DATA BTO'!S:S,'DATA BTO'!H:H,FALSE)</f>
        <v>8</v>
      </c>
      <c r="AF980" s="447">
        <f>IF(Tableau119[[#This Row],[First Day to POL]]&lt;=Tableau119[[#This Row],[Day Cut Off]],Tableau119[[#This Row],[Day ETD]],Tableau119[[#This Row],[Day ETD]]+7)</f>
        <v>8</v>
      </c>
      <c r="AG980" s="50">
        <f>_xlfn.XLOOKUP(Tableau119[[#This Row],[Key(ID-date)]],'DATA BTO'!S:S,'DATA BTO'!I:I,FALSE)</f>
        <v>46</v>
      </c>
      <c r="AH980" s="3" t="str">
        <f>_xlfn.XLOOKUP(Tableau119[[#This Row],[Key(ID-date)]],'DATA BTO'!S:S,'DATA BTO'!J:J,FALSE)</f>
        <v>TRIZT</v>
      </c>
      <c r="AI980" s="3">
        <f>_xlfn.XLOOKUP(Tableau119[[#This Row],[Key(ID-date)]],'DATA BTO'!S:S,'DATA BTO'!K:K,FALSE)</f>
        <v>3</v>
      </c>
      <c r="AJ980" s="50">
        <f>_xlfn.XLOOKUP(Tableau119[[#This Row],[Key(ID-date)]],'DATA BTO'!S:S,'DATA BTO'!L:L,FALSE)</f>
        <v>14</v>
      </c>
      <c r="AK980" s="53" t="str">
        <f>_xlfn.XLOOKUP(Tableau119[[#This Row],[Key(ID-date)]],'DATA BTO'!S:S,'DATA BTO'!N:N,FALSE)</f>
        <v>Max</v>
      </c>
      <c r="AL980" s="54">
        <f>VLOOKUP(Tableau119[[#This Row],[Key(POD -PFI- Usine)]],'DATA Consignee'!A:F,6,FALSE)</f>
        <v>4</v>
      </c>
      <c r="AM980" s="284"/>
      <c r="AN980" s="376" t="str">
        <f>IF(Tableau119[[#This Row],[Name PFI/CDD]]="","-",VLOOKUP(Tableau119[[#This Row],[Name PFI/CDD]],Plant_AILN!I:J,2,FALSE))</f>
        <v>-</v>
      </c>
      <c r="AO98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0" s="2">
        <f>VLOOKUP(Tableau119[[#This Row],[Key(POD -PFI- Usine)]],'DATA Consignee'!A:J,10,FALSE)</f>
        <v>0</v>
      </c>
      <c r="AR980" s="50">
        <f>VLOOKUP(Tableau119[[#This Row],[Key(POD -PFI- Usine)]],'DATA Consignee'!A:N,14,FALSE)</f>
        <v>3</v>
      </c>
      <c r="AS98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8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80" s="50">
        <f>Tableau119[[#This Row],[Transit time]]+Tableau119[[#This Row],[Time for security]]+Tableau119[[#This Row],[Time for security2 buffer]]</f>
        <v>63</v>
      </c>
      <c r="AV98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83</v>
      </c>
      <c r="AW980" s="50">
        <f>Tableau119[[#This Row],[Leadtime SI2C]]+Tableau119[[#This Row],[First Receipt Days]]-Tableau119[[#This Row],[Day Customer Order]]+1</f>
        <v>99</v>
      </c>
      <c r="AX980" s="119">
        <f>IF(Tableau119[[#This Row],[Name ILN]]&lt;&gt;"SFK Freight Forwarder",Tableau119[[#This Row],[Cust. Leadtime]],Tableau119[[#This Row],[Leadtime SI2C]])</f>
        <v>83</v>
      </c>
      <c r="AY980" s="51" t="str">
        <f>_xlfn.XLOOKUP(Tableau119[[#This Row],[Key(ID-date)]],'DATA BTO'!S:S,'DATA BTO'!P:P,FALSE)</f>
        <v>Horse &gt; Renault BPH (MLP)</v>
      </c>
      <c r="AZ980" s="338">
        <v>45900</v>
      </c>
      <c r="BA980" s="50"/>
    </row>
    <row r="981" spans="2:53">
      <c r="B981" s="446" t="str">
        <f>_xlfn.CONCAT(Tableau119[[#This Row],[Name ILN]],"-",Tableau119[[#This Row],[Name Shipper]],"-",Tableau119[[#This Row],[Name Site]])</f>
        <v>SFK Freight Forwarder-Jatco Thailande-RKM</v>
      </c>
      <c r="C981" s="66" t="str">
        <f>_xlfn.CONCAT(Tableau119[[#This Row],[Compte ILN]],"-",Tableau119[[#This Row],[Compte Shipper]],"-",Tableau119[[#This Row],[POL]],"-",Tableau119[[#This Row],[Compte Consignee]])</f>
        <v>0-29770601-THLCH-92002200</v>
      </c>
      <c r="D981" s="66" t="str">
        <f>_xlfn.CONCAT(Tableau119[[#This Row],[Compte ILN]],"-",Tableau119[[#This Row],[Compte Shipper]],"-",Tableau119[[#This Row],[POL]])</f>
        <v>0-29770601-THLCH</v>
      </c>
      <c r="E981" s="130" t="str">
        <f>_xlfn.CONCAT(Tableau119[[#This Row],[POL]],"-",Tableau119[[#This Row],[Carrier]],"-",Tableau119[[#This Row],[POD]])</f>
        <v>THLCH-ONE-KRPUS</v>
      </c>
      <c r="F981" s="66" t="str">
        <f>_xlfn.CONCAT(Tableau119[[#This Row],[ID]],"-","Actif")</f>
        <v>1071-Actif</v>
      </c>
      <c r="G981" s="66" t="str">
        <f>_xlfn.CONCAT(Tableau119[[#This Row],[POD]],"-",Tableau119[[#This Row],[Code PFI]],"-",Tableau119[[#This Row],[Compte Consignee]])</f>
        <v>KRPUS---92002200</v>
      </c>
      <c r="H98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29770601THLCHRKM</v>
      </c>
      <c r="I981" s="434" t="str">
        <f>_xlfn.CONCAT(Tableau119[[#This Row],[ID]],"-",Tableau119[[#This Row],[Expiration Date]])</f>
        <v>1071-46142</v>
      </c>
      <c r="J98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RKM-SFK Freight Forwarder-Jatco Thailande-1071-THLCH-ONE-KRPUS--46142</v>
      </c>
      <c r="K981" s="119" t="str">
        <f ca="1">IF(COUNTIF(J:J,Tableau119[[#This Row],[Plant-ILN-shipper-POL-Carrier-POD-PFI]])=1,"Non","Oui")</f>
        <v>Non</v>
      </c>
      <c r="L981" s="128" t="str">
        <f>VLOOKUP(Tableau119[[#This Row],[Name Site]],Plant_AILN!A:D,4,FALSE)</f>
        <v>KOREA</v>
      </c>
      <c r="M981" s="415" t="s">
        <v>145</v>
      </c>
      <c r="N981" s="455">
        <f>VLOOKUP(Tableau119[[#This Row],[Name Site]],Plant_AILN!A:C,3,FALSE)</f>
        <v>92002200</v>
      </c>
      <c r="O981" s="104">
        <f>IF(Tableau119[[#This Row],[Name PFI/CDD]]="PFI VLL",2,VLOOKUP(Tableau119[[#This Row],[Compte Consignee]],Order!C:D,2,FALSE))</f>
        <v>2</v>
      </c>
      <c r="P981" s="126" t="s">
        <v>146</v>
      </c>
      <c r="Q981" s="366">
        <f>VLOOKUP(Tableau119[[#This Row],[Name ILN]],Plant_AILN!F:G,2,FALSE)</f>
        <v>0</v>
      </c>
      <c r="R981" s="81">
        <f>VLOOKUP(Tableau119[[#This Row],[Compte ILN]],'DATA ILN'!D:I,6,FALSE)</f>
        <v>9</v>
      </c>
      <c r="S981" s="81">
        <f>IFERROR(VLOOKUP(Tableau119[[#This Row],[Key(Compte ILN - shipper - POL - plant)]],'DATA ILN'!A:J,10,FALSE),VLOOKUP(Tableau119[[#This Row],[Key(Compte ILN - shipper - POL)]],'DATA ILN'!B:J,9,FALSE))</f>
        <v>14</v>
      </c>
      <c r="T981" s="81">
        <f>IFERROR(VLOOKUP(Tableau119[[#This Row],[Key(Compte ILN - shipper - POL - plant)]],'DATA ILN'!A:K,11,FALSE),VLOOKUP(Tableau119[[#This Row],[Key(Compte ILN - shipper - POL)]],'DATA ILN'!B:K,10,FALSE))</f>
        <v>5</v>
      </c>
      <c r="U981" s="81">
        <f>IFERROR(VLOOKUP(Tableau119[[#This Row],[Key(Compte ILN - shipper - POL - plant)]],'DATA ILN'!A:L,12,FALSE),VLOOKUP(Tableau119[[#This Row],[Key(Compte ILN - shipper - POL)]],'DATA ILN'!B:L,11,FALSE))</f>
        <v>7</v>
      </c>
      <c r="V981" s="81">
        <f>Tableau119[[#This Row],[Day ILN Order]]+Tableau119[[#This Row],[Delivery time to ILN/Shipper]]-1</f>
        <v>22</v>
      </c>
      <c r="W981" s="81">
        <f>IFERROR(VLOOKUP(Tableau119[[#This Row],[Key(Compte ILN - shipper - POL - plant)]],'DATA ILN'!A:N,14,FALSE),VLOOKUP(Tableau119[[#This Row],[Key(Compte ILN - shipper - POL)]],'DATA ILN'!B:N,13,FALSE))</f>
        <v>1</v>
      </c>
      <c r="X981" s="81">
        <f>IFERROR(VLOOKUP(Tableau119[[#This Row],[Key(Compte ILN - shipper - POL - plant)]],'DATA ILN'!A:P,16,FALSE),VLOOKUP(Tableau119[[#This Row],[Key(Compte ILN - shipper - POL)]],'DATA ILN'!B:P,15,FALSE))</f>
        <v>3</v>
      </c>
      <c r="Y981" s="102" t="s">
        <v>182</v>
      </c>
      <c r="Z981" s="417">
        <f>IFERROR(VLOOKUP(Tableau119[[#This Row],[Name Shipper]],Plant_AILN!L:M,2,FALSE),0)</f>
        <v>29770601</v>
      </c>
      <c r="AA981" s="416">
        <v>1071</v>
      </c>
      <c r="AB981" s="396" t="str">
        <f>_xlfn.XLOOKUP(Tableau119[[#This Row],[Key(ID-date)]],'DATA BTO'!S:S,'DATA BTO'!E:E,FALSE)</f>
        <v>THLCH</v>
      </c>
      <c r="AC981" s="3" t="str">
        <f>_xlfn.XLOOKUP(Tableau119[[#This Row],[Key(ID-date)]],'DATA BTO'!S:S,'DATA BTO'!F:F,FALSE)</f>
        <v>ONE</v>
      </c>
      <c r="AD981" s="50">
        <f>_xlfn.XLOOKUP(Tableau119[[#This Row],[Key(ID-date)]],'DATA BTO'!S:S,'DATA BTO'!G:G,FALSE)</f>
        <v>3</v>
      </c>
      <c r="AE981" s="50">
        <f>_xlfn.XLOOKUP(Tableau119[[#This Row],[Key(ID-date)]],'DATA BTO'!S:S,'DATA BTO'!H:H,FALSE)</f>
        <v>7</v>
      </c>
      <c r="AF981" s="447">
        <f>IF(Tableau119[[#This Row],[First Day to POL]]&lt;=Tableau119[[#This Row],[Day Cut Off]],Tableau119[[#This Row],[Day ETD]],Tableau119[[#This Row],[Day ETD]]+7)</f>
        <v>7</v>
      </c>
      <c r="AG981" s="50">
        <f>_xlfn.XLOOKUP(Tableau119[[#This Row],[Key(ID-date)]],'DATA BTO'!S:S,'DATA BTO'!I:I,FALSE)</f>
        <v>10</v>
      </c>
      <c r="AH981" s="3" t="str">
        <f>_xlfn.XLOOKUP(Tableau119[[#This Row],[Key(ID-date)]],'DATA BTO'!S:S,'DATA BTO'!J:J,FALSE)</f>
        <v>KRPUS</v>
      </c>
      <c r="AI981" s="3">
        <f>_xlfn.XLOOKUP(Tableau119[[#This Row],[Key(ID-date)]],'DATA BTO'!S:S,'DATA BTO'!K:K,FALSE)</f>
        <v>3</v>
      </c>
      <c r="AJ981" s="50">
        <f>_xlfn.XLOOKUP(Tableau119[[#This Row],[Key(ID-date)]],'DATA BTO'!S:S,'DATA BTO'!L:L,FALSE)</f>
        <v>0</v>
      </c>
      <c r="AK981" s="53" t="str">
        <f>_xlfn.XLOOKUP(Tableau119[[#This Row],[Key(ID-date)]],'DATA BTO'!S:S,'DATA BTO'!N:N,FALSE)</f>
        <v>Max</v>
      </c>
      <c r="AL981" s="54">
        <f>VLOOKUP(Tableau119[[#This Row],[Key(POD -PFI- Usine)]],'DATA Consignee'!A:F,6,FALSE)</f>
        <v>2</v>
      </c>
      <c r="AM981" s="102"/>
      <c r="AN981" s="375" t="str">
        <f>IF(Tableau119[[#This Row],[Name PFI/CDD]]="","-",VLOOKUP(Tableau119[[#This Row],[Name PFI/CDD]],Plant_AILN!I:J,2,FALSE))</f>
        <v>-</v>
      </c>
      <c r="AO98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1" s="110">
        <f>VLOOKUP(Tableau119[[#This Row],[Key(POD -PFI- Usine)]],'DATA Consignee'!A:J,10,FALSE)</f>
        <v>0</v>
      </c>
      <c r="AR981" s="81">
        <f>VLOOKUP(Tableau119[[#This Row],[Key(POD -PFI- Usine)]],'DATA Consignee'!A:N,14,FALSE)</f>
        <v>1</v>
      </c>
      <c r="AS981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6</v>
      </c>
      <c r="AT981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12</v>
      </c>
      <c r="AU981" s="81">
        <f>Tableau119[[#This Row],[Transit time]]+Tableau119[[#This Row],[Time for security]]+Tableau119[[#This Row],[Time for security2 buffer]]</f>
        <v>13</v>
      </c>
      <c r="AV981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34</v>
      </c>
      <c r="AW981" s="50">
        <f>Tableau119[[#This Row],[Leadtime SI2C]]+Tableau119[[#This Row],[First Receipt Days]]-Tableau119[[#This Row],[Day Customer Order]]+1</f>
        <v>55</v>
      </c>
      <c r="AX981" s="119">
        <f>IF(Tableau119[[#This Row],[Name ILN]]&lt;&gt;"SFK Freight Forwarder",Tableau119[[#This Row],[Cust. Leadtime]],Tableau119[[#This Row],[Leadtime SI2C]])</f>
        <v>34</v>
      </c>
      <c r="AY981" s="51" t="str">
        <f>_xlfn.XLOOKUP(Tableau119[[#This Row],[Key(ID-date)]],'DATA BTO'!S:S,'DATA BTO'!P:P,FALSE)</f>
        <v>Horse &gt; Renault BPH (MLP)</v>
      </c>
      <c r="AZ981" s="388">
        <v>46142</v>
      </c>
      <c r="BA981" s="81"/>
    </row>
    <row r="982" spans="2:53">
      <c r="B982" s="446" t="str">
        <f>_xlfn.CONCAT(Tableau119[[#This Row],[Name ILN]],"-",Tableau119[[#This Row],[Name Shipper]],"-",Tableau119[[#This Row],[Name Site]])</f>
        <v>SFK Freight Forwarder-Jatco Thailande-CURITIBA CVP</v>
      </c>
      <c r="C982" s="66" t="str">
        <f>_xlfn.CONCAT(Tableau119[[#This Row],[Compte ILN]],"-",Tableau119[[#This Row],[Compte Shipper]],"-",Tableau119[[#This Row],[POL]],"-",Tableau119[[#This Row],[Compte Consignee]])</f>
        <v>0-29770601-THLCH-90018000</v>
      </c>
      <c r="D982" s="66" t="str">
        <f>_xlfn.CONCAT(Tableau119[[#This Row],[Compte ILN]],"-",Tableau119[[#This Row],[Compte Shipper]],"-",Tableau119[[#This Row],[POL]])</f>
        <v>0-29770601-THLCH</v>
      </c>
      <c r="E982" s="130" t="str">
        <f>_xlfn.CONCAT(Tableau119[[#This Row],[POL]],"-",Tableau119[[#This Row],[Carrier]],"-",Tableau119[[#This Row],[POD]])</f>
        <v>THLCH-CMA-CGM-BRPNG</v>
      </c>
      <c r="F982" s="66" t="str">
        <f>_xlfn.CONCAT(Tableau119[[#This Row],[ID]],"-","Actif")</f>
        <v>1072-Actif</v>
      </c>
      <c r="G982" s="66" t="str">
        <f>_xlfn.CONCAT(Tableau119[[#This Row],[POD]],"-",Tableau119[[#This Row],[Code PFI]],"-",Tableau119[[#This Row],[Compte Consignee]])</f>
        <v>BRPNG---90018000</v>
      </c>
      <c r="H98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29770601THLCHCURITIBA CVP</v>
      </c>
      <c r="I982" s="434" t="str">
        <f>_xlfn.CONCAT(Tableau119[[#This Row],[ID]],"-",Tableau119[[#This Row],[Expiration Date]])</f>
        <v>1072-46142</v>
      </c>
      <c r="J98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Forwarder-Jatco Thailande-1072-THLCH-CMA-CGM-BRPNG--46142</v>
      </c>
      <c r="K982" s="119" t="str">
        <f ca="1">IF(COUNTIF(J:J,Tableau119[[#This Row],[Plant-ILN-shipper-POL-Carrier-POD-PFI]])=1,"Non","Oui")</f>
        <v>Non</v>
      </c>
      <c r="L982" s="128" t="str">
        <f>VLOOKUP(Tableau119[[#This Row],[Name Site]],Plant_AILN!A:D,4,FALSE)</f>
        <v>BRAZIL</v>
      </c>
      <c r="M982" s="415" t="s">
        <v>181</v>
      </c>
      <c r="N982" s="455">
        <f>VLOOKUP(Tableau119[[#This Row],[Name Site]],Plant_AILN!A:C,3,FALSE)</f>
        <v>90018000</v>
      </c>
      <c r="O982" s="104">
        <f>IF(Tableau119[[#This Row],[Name PFI/CDD]]="PFI VLL",2,VLOOKUP(Tableau119[[#This Row],[Compte Consignee]],Order!C:D,2,FALSE))</f>
        <v>7</v>
      </c>
      <c r="P982" s="126" t="s">
        <v>146</v>
      </c>
      <c r="Q982" s="366">
        <f>VLOOKUP(Tableau119[[#This Row],[Name ILN]],Plant_AILN!F:G,2,FALSE)</f>
        <v>0</v>
      </c>
      <c r="R982" s="81">
        <f>VLOOKUP(Tableau119[[#This Row],[Compte ILN]],'DATA ILN'!D:I,6,FALSE)</f>
        <v>9</v>
      </c>
      <c r="S982" s="81">
        <f>IFERROR(VLOOKUP(Tableau119[[#This Row],[Key(Compte ILN - shipper - POL - plant)]],'DATA ILN'!A:J,10,FALSE),VLOOKUP(Tableau119[[#This Row],[Key(Compte ILN - shipper - POL)]],'DATA ILN'!B:J,9,FALSE))</f>
        <v>14</v>
      </c>
      <c r="T982" s="81">
        <f>IFERROR(VLOOKUP(Tableau119[[#This Row],[Key(Compte ILN - shipper - POL - plant)]],'DATA ILN'!A:K,11,FALSE),VLOOKUP(Tableau119[[#This Row],[Key(Compte ILN - shipper - POL)]],'DATA ILN'!B:K,10,FALSE))</f>
        <v>5</v>
      </c>
      <c r="U982" s="81">
        <f>IFERROR(VLOOKUP(Tableau119[[#This Row],[Key(Compte ILN - shipper - POL - plant)]],'DATA ILN'!A:L,12,FALSE),VLOOKUP(Tableau119[[#This Row],[Key(Compte ILN - shipper - POL)]],'DATA ILN'!B:L,11,FALSE))</f>
        <v>7</v>
      </c>
      <c r="V982" s="81">
        <f>Tableau119[[#This Row],[Day ILN Order]]+Tableau119[[#This Row],[Delivery time to ILN/Shipper]]-1</f>
        <v>22</v>
      </c>
      <c r="W982" s="81">
        <f>IFERROR(VLOOKUP(Tableau119[[#This Row],[Key(Compte ILN - shipper - POL - plant)]],'DATA ILN'!A:N,14,FALSE),VLOOKUP(Tableau119[[#This Row],[Key(Compte ILN - shipper - POL)]],'DATA ILN'!B:N,13,FALSE))</f>
        <v>1</v>
      </c>
      <c r="X982" s="81">
        <f>IFERROR(VLOOKUP(Tableau119[[#This Row],[Key(Compte ILN - shipper - POL - plant)]],'DATA ILN'!A:P,16,FALSE),VLOOKUP(Tableau119[[#This Row],[Key(Compte ILN - shipper - POL)]],'DATA ILN'!B:P,15,FALSE))</f>
        <v>3</v>
      </c>
      <c r="Y982" s="102" t="s">
        <v>182</v>
      </c>
      <c r="Z982" s="417">
        <f>IFERROR(VLOOKUP(Tableau119[[#This Row],[Name Shipper]],Plant_AILN!L:M,2,FALSE),0)</f>
        <v>29770601</v>
      </c>
      <c r="AA982" s="416">
        <v>1072</v>
      </c>
      <c r="AB982" s="396" t="str">
        <f>_xlfn.XLOOKUP(Tableau119[[#This Row],[Key(ID-date)]],'DATA BTO'!S:S,'DATA BTO'!E:E,FALSE)</f>
        <v>THLCH</v>
      </c>
      <c r="AC982" s="3" t="str">
        <f>_xlfn.XLOOKUP(Tableau119[[#This Row],[Key(ID-date)]],'DATA BTO'!S:S,'DATA BTO'!F:F,FALSE)</f>
        <v>CMA-CGM</v>
      </c>
      <c r="AD982" s="50">
        <f>_xlfn.XLOOKUP(Tableau119[[#This Row],[Key(ID-date)]],'DATA BTO'!S:S,'DATA BTO'!G:G,FALSE)</f>
        <v>5</v>
      </c>
      <c r="AE982" s="50">
        <f>_xlfn.XLOOKUP(Tableau119[[#This Row],[Key(ID-date)]],'DATA BTO'!S:S,'DATA BTO'!H:H,FALSE)</f>
        <v>8</v>
      </c>
      <c r="AF982" s="447">
        <f>IF(Tableau119[[#This Row],[First Day to POL]]&lt;=Tableau119[[#This Row],[Day Cut Off]],Tableau119[[#This Row],[Day ETD]],Tableau119[[#This Row],[Day ETD]]+7)</f>
        <v>8</v>
      </c>
      <c r="AG982" s="50">
        <f>_xlfn.XLOOKUP(Tableau119[[#This Row],[Key(ID-date)]],'DATA BTO'!S:S,'DATA BTO'!I:I,FALSE)</f>
        <v>35</v>
      </c>
      <c r="AH982" s="3" t="str">
        <f>_xlfn.XLOOKUP(Tableau119[[#This Row],[Key(ID-date)]],'DATA BTO'!S:S,'DATA BTO'!J:J,FALSE)</f>
        <v>BRPNG</v>
      </c>
      <c r="AI982" s="3">
        <f>_xlfn.XLOOKUP(Tableau119[[#This Row],[Key(ID-date)]],'DATA BTO'!S:S,'DATA BTO'!K:K,FALSE)</f>
        <v>3</v>
      </c>
      <c r="AJ982" s="50">
        <f>_xlfn.XLOOKUP(Tableau119[[#This Row],[Key(ID-date)]],'DATA BTO'!S:S,'DATA BTO'!L:L,FALSE)</f>
        <v>7</v>
      </c>
      <c r="AK982" s="53" t="str">
        <f>_xlfn.XLOOKUP(Tableau119[[#This Row],[Key(ID-date)]],'DATA BTO'!S:S,'DATA BTO'!N:N,FALSE)</f>
        <v>Max</v>
      </c>
      <c r="AL982" s="54">
        <f>VLOOKUP(Tableau119[[#This Row],[Key(POD -PFI- Usine)]],'DATA Consignee'!A:F,6,FALSE)</f>
        <v>2</v>
      </c>
      <c r="AM982" s="102"/>
      <c r="AN982" s="375" t="str">
        <f>IF(Tableau119[[#This Row],[Name PFI/CDD]]="","-",VLOOKUP(Tableau119[[#This Row],[Name PFI/CDD]],Plant_AILN!I:J,2,FALSE))</f>
        <v>-</v>
      </c>
      <c r="AO98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2" s="110">
        <f>VLOOKUP(Tableau119[[#This Row],[Key(POD -PFI- Usine)]],'DATA Consignee'!A:J,10,FALSE)</f>
        <v>0</v>
      </c>
      <c r="AR982" s="81">
        <f>VLOOKUP(Tableau119[[#This Row],[Key(POD -PFI- Usine)]],'DATA Consignee'!A:N,14,FALSE)</f>
        <v>2</v>
      </c>
      <c r="AS982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82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82" s="81">
        <f>Tableau119[[#This Row],[Transit time]]+Tableau119[[#This Row],[Time for security]]+Tableau119[[#This Row],[Time for security2 buffer]]</f>
        <v>45</v>
      </c>
      <c r="AV982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82" s="50">
        <f>Tableau119[[#This Row],[Leadtime SI2C]]+Tableau119[[#This Row],[First Receipt Days]]-Tableau119[[#This Row],[Day Customer Order]]+1</f>
        <v>78</v>
      </c>
      <c r="AX982" s="119">
        <f>IF(Tableau119[[#This Row],[Name ILN]]&lt;&gt;"SFK Freight Forwarder",Tableau119[[#This Row],[Cust. Leadtime]],Tableau119[[#This Row],[Leadtime SI2C]])</f>
        <v>62</v>
      </c>
      <c r="AY982" s="51" t="str">
        <f>_xlfn.XLOOKUP(Tableau119[[#This Row],[Key(ID-date)]],'DATA BTO'!S:S,'DATA BTO'!P:P,FALSE)</f>
        <v>Horse &gt; Renault BPH (MLP)</v>
      </c>
      <c r="AZ982" s="388">
        <v>46142</v>
      </c>
      <c r="BA982" s="81"/>
    </row>
    <row r="983" spans="2:53">
      <c r="B983" s="446" t="str">
        <f>_xlfn.CONCAT(Tableau119[[#This Row],[Name ILN]],"-",Tableau119[[#This Row],[Name Shipper]],"-",Tableau119[[#This Row],[Name Site]])</f>
        <v>SFK Freight Forwarder-Jatco Thailande-CURITIBA CVP</v>
      </c>
      <c r="C983" s="66" t="str">
        <f>_xlfn.CONCAT(Tableau119[[#This Row],[Compte ILN]],"-",Tableau119[[#This Row],[Compte Shipper]],"-",Tableau119[[#This Row],[POL]],"-",Tableau119[[#This Row],[Compte Consignee]])</f>
        <v>0-29770601-THLCH-90018000</v>
      </c>
      <c r="D983" s="66" t="str">
        <f>_xlfn.CONCAT(Tableau119[[#This Row],[Compte ILN]],"-",Tableau119[[#This Row],[Compte Shipper]],"-",Tableau119[[#This Row],[POL]])</f>
        <v>0-29770601-THLCH</v>
      </c>
      <c r="E983" s="130" t="str">
        <f>_xlfn.CONCAT(Tableau119[[#This Row],[POL]],"-",Tableau119[[#This Row],[Carrier]],"-",Tableau119[[#This Row],[POD]])</f>
        <v>THLCH-CMA-CGM-BRPNG</v>
      </c>
      <c r="F983" s="66" t="str">
        <f>_xlfn.CONCAT(Tableau119[[#This Row],[ID]],"-","Actif")</f>
        <v>1072-Actif</v>
      </c>
      <c r="G983" s="66" t="str">
        <f>_xlfn.CONCAT(Tableau119[[#This Row],[POD]],"-",Tableau119[[#This Row],[Code PFI]],"-",Tableau119[[#This Row],[Compte Consignee]])</f>
        <v>BRPNG---90018000</v>
      </c>
      <c r="H98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29770601THLCHCURITIBA CVP</v>
      </c>
      <c r="I983" s="434" t="str">
        <f>_xlfn.CONCAT(Tableau119[[#This Row],[ID]],"-",Tableau119[[#This Row],[Expiration Date]])</f>
        <v>1072-45869</v>
      </c>
      <c r="J98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Forwarder-Jatco Thailande-1072-THLCH-CMA-CGM-BRPNG--45869</v>
      </c>
      <c r="K983" s="119" t="str">
        <f ca="1">IF(COUNTIF(J:J,Tableau119[[#This Row],[Plant-ILN-shipper-POL-Carrier-POD-PFI]])=1,"Non","Oui")</f>
        <v>Non</v>
      </c>
      <c r="L983" s="128" t="str">
        <f>VLOOKUP(Tableau119[[#This Row],[Name Site]],Plant_AILN!A:D,4,FALSE)</f>
        <v>BRAZIL</v>
      </c>
      <c r="M983" s="415" t="s">
        <v>181</v>
      </c>
      <c r="N983" s="455">
        <f>VLOOKUP(Tableau119[[#This Row],[Name Site]],Plant_AILN!A:C,3,FALSE)</f>
        <v>90018000</v>
      </c>
      <c r="O983" s="104">
        <f>VLOOKUP(Tableau119[[#This Row],[Compte Consignee]],Order!C:D,2,FALSE)</f>
        <v>7</v>
      </c>
      <c r="P983" s="126" t="s">
        <v>146</v>
      </c>
      <c r="Q983" s="366">
        <f>VLOOKUP(Tableau119[[#This Row],[Name ILN]],Plant_AILN!F:G,2,FALSE)</f>
        <v>0</v>
      </c>
      <c r="R983" s="81">
        <f>VLOOKUP(Tableau119[[#This Row],[Compte ILN]],'DATA ILN'!D:I,6,FALSE)</f>
        <v>9</v>
      </c>
      <c r="S983" s="81">
        <f>IFERROR(VLOOKUP(Tableau119[[#This Row],[Key(Compte ILN - shipper - POL - plant)]],'DATA ILN'!A:J,10,FALSE),VLOOKUP(Tableau119[[#This Row],[Key(Compte ILN - shipper - POL)]],'DATA ILN'!B:J,9,FALSE))</f>
        <v>14</v>
      </c>
      <c r="T983" s="81">
        <f>IFERROR(VLOOKUP(Tableau119[[#This Row],[Key(Compte ILN - shipper - POL - plant)]],'DATA ILN'!A:K,11,FALSE),VLOOKUP(Tableau119[[#This Row],[Key(Compte ILN - shipper - POL)]],'DATA ILN'!B:K,10,FALSE))</f>
        <v>5</v>
      </c>
      <c r="U983" s="81">
        <f>IFERROR(VLOOKUP(Tableau119[[#This Row],[Key(Compte ILN - shipper - POL - plant)]],'DATA ILN'!A:L,12,FALSE),VLOOKUP(Tableau119[[#This Row],[Key(Compte ILN - shipper - POL)]],'DATA ILN'!B:L,11,FALSE))</f>
        <v>7</v>
      </c>
      <c r="V983" s="81">
        <f>Tableau119[[#This Row],[Day ILN Order]]+Tableau119[[#This Row],[Delivery time to ILN/Shipper]]-1</f>
        <v>22</v>
      </c>
      <c r="W983" s="81">
        <f>IFERROR(VLOOKUP(Tableau119[[#This Row],[Key(Compte ILN - shipper - POL - plant)]],'DATA ILN'!A:N,14,FALSE),VLOOKUP(Tableau119[[#This Row],[Key(Compte ILN - shipper - POL)]],'DATA ILN'!B:N,13,FALSE))</f>
        <v>1</v>
      </c>
      <c r="X983" s="81">
        <f>IFERROR(VLOOKUP(Tableau119[[#This Row],[Key(Compte ILN - shipper - POL - plant)]],'DATA ILN'!A:P,16,FALSE),VLOOKUP(Tableau119[[#This Row],[Key(Compte ILN - shipper - POL)]],'DATA ILN'!B:P,15,FALSE))</f>
        <v>3</v>
      </c>
      <c r="Y983" s="102" t="s">
        <v>182</v>
      </c>
      <c r="Z983" s="417">
        <f>IFERROR(VLOOKUP(Tableau119[[#This Row],[Name Shipper]],Plant_AILN!L:M,2,FALSE),0)</f>
        <v>29770601</v>
      </c>
      <c r="AA983" s="416">
        <v>1072</v>
      </c>
      <c r="AB983" s="396" t="str">
        <f>_xlfn.XLOOKUP(Tableau119[[#This Row],[Key(ID-date)]],'DATA BTO'!S:S,'DATA BTO'!E:E,FALSE)</f>
        <v>THLCH</v>
      </c>
      <c r="AC983" s="3" t="str">
        <f>_xlfn.XLOOKUP(Tableau119[[#This Row],[Key(ID-date)]],'DATA BTO'!S:S,'DATA BTO'!F:F,FALSE)</f>
        <v>CMA-CGM</v>
      </c>
      <c r="AD983" s="50">
        <f>_xlfn.XLOOKUP(Tableau119[[#This Row],[Key(ID-date)]],'DATA BTO'!S:S,'DATA BTO'!G:G,FALSE)</f>
        <v>5</v>
      </c>
      <c r="AE983" s="50">
        <f>_xlfn.XLOOKUP(Tableau119[[#This Row],[Key(ID-date)]],'DATA BTO'!S:S,'DATA BTO'!H:H,FALSE)</f>
        <v>8</v>
      </c>
      <c r="AF983" s="447">
        <f>IF(Tableau119[[#This Row],[First Day to POL]]&lt;=Tableau119[[#This Row],[Day Cut Off]],Tableau119[[#This Row],[Day ETD]],Tableau119[[#This Row],[Day ETD]]+7)</f>
        <v>8</v>
      </c>
      <c r="AG983" s="50">
        <f>_xlfn.XLOOKUP(Tableau119[[#This Row],[Key(ID-date)]],'DATA BTO'!S:S,'DATA BTO'!I:I,FALSE)</f>
        <v>35</v>
      </c>
      <c r="AH983" s="3" t="str">
        <f>_xlfn.XLOOKUP(Tableau119[[#This Row],[Key(ID-date)]],'DATA BTO'!S:S,'DATA BTO'!J:J,FALSE)</f>
        <v>BRPNG</v>
      </c>
      <c r="AI983" s="3">
        <f>_xlfn.XLOOKUP(Tableau119[[#This Row],[Key(ID-date)]],'DATA BTO'!S:S,'DATA BTO'!K:K,FALSE)</f>
        <v>3</v>
      </c>
      <c r="AJ983" s="50">
        <f>_xlfn.XLOOKUP(Tableau119[[#This Row],[Key(ID-date)]],'DATA BTO'!S:S,'DATA BTO'!L:L,FALSE)</f>
        <v>14</v>
      </c>
      <c r="AK983" s="53" t="str">
        <f>_xlfn.XLOOKUP(Tableau119[[#This Row],[Key(ID-date)]],'DATA BTO'!S:S,'DATA BTO'!N:N,FALSE)</f>
        <v>Max</v>
      </c>
      <c r="AL983" s="54">
        <f>VLOOKUP(Tableau119[[#This Row],[Key(POD -PFI- Usine)]],'DATA Consignee'!A:F,6,FALSE)</f>
        <v>2</v>
      </c>
      <c r="AM983" s="102"/>
      <c r="AN983" s="375" t="str">
        <f>IF(Tableau119[[#This Row],[Name PFI/CDD]]="","-",VLOOKUP(Tableau119[[#This Row],[Name PFI/CDD]],Plant_AILN!I:J,2,FALSE))</f>
        <v>-</v>
      </c>
      <c r="AO98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3" s="110">
        <f>VLOOKUP(Tableau119[[#This Row],[Key(POD -PFI- Usine)]],'DATA Consignee'!A:J,10,FALSE)</f>
        <v>0</v>
      </c>
      <c r="AR983" s="81">
        <f>VLOOKUP(Tableau119[[#This Row],[Key(POD -PFI- Usine)]],'DATA Consignee'!A:N,14,FALSE)</f>
        <v>2</v>
      </c>
      <c r="AS983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83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83" s="81">
        <f>Tableau119[[#This Row],[Transit time]]+Tableau119[[#This Row],[Time for security]]+Tableau119[[#This Row],[Time for security2 buffer]]</f>
        <v>52</v>
      </c>
      <c r="AV983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69</v>
      </c>
      <c r="AW983" s="50">
        <f>Tableau119[[#This Row],[Leadtime SI2C]]+Tableau119[[#This Row],[First Receipt Days]]-Tableau119[[#This Row],[Day Customer Order]]+1</f>
        <v>85</v>
      </c>
      <c r="AX983" s="119">
        <f>IF(Tableau119[[#This Row],[Name ILN]]&lt;&gt;"SFK Freight Forwarder",Tableau119[[#This Row],[Cust. Leadtime]],Tableau119[[#This Row],[Leadtime SI2C]])</f>
        <v>69</v>
      </c>
      <c r="AY983" s="51" t="str">
        <f>_xlfn.XLOOKUP(Tableau119[[#This Row],[Key(ID-date)]],'DATA BTO'!S:S,'DATA BTO'!P:P,FALSE)</f>
        <v>Horse &gt; Renault BPH (MLP)</v>
      </c>
      <c r="AZ983" s="388">
        <v>45869</v>
      </c>
      <c r="BA983" s="81"/>
    </row>
    <row r="984" spans="2:53">
      <c r="B984" s="446" t="str">
        <f>_xlfn.CONCAT(Tableau119[[#This Row],[Name ILN]],"-",Tableau119[[#This Row],[Name Shipper]],"-",Tableau119[[#This Row],[Name Site]])</f>
        <v>SFK Freight Forwarder-Jatco Thailande-VALL MONTAGE</v>
      </c>
      <c r="C984" s="66" t="str">
        <f>_xlfn.CONCAT(Tableau119[[#This Row],[Compte ILN]],"-",Tableau119[[#This Row],[Compte Shipper]],"-",Tableau119[[#This Row],[POL]],"-",Tableau119[[#This Row],[Compte Consignee]])</f>
        <v>0-29770601-THLCH-91017300</v>
      </c>
      <c r="D984" s="66" t="str">
        <f>_xlfn.CONCAT(Tableau119[[#This Row],[Compte ILN]],"-",Tableau119[[#This Row],[Compte Shipper]],"-",Tableau119[[#This Row],[POL]])</f>
        <v>0-29770601-THLCH</v>
      </c>
      <c r="E984" s="130" t="str">
        <f>_xlfn.CONCAT(Tableau119[[#This Row],[POL]],"-",Tableau119[[#This Row],[Carrier]],"-",Tableau119[[#This Row],[POD]])</f>
        <v>THLCH-CMA-CGM-ESVLC</v>
      </c>
      <c r="F984" s="66" t="str">
        <f>_xlfn.CONCAT(Tableau119[[#This Row],[ID]],"-","Actif")</f>
        <v>1073-Actif</v>
      </c>
      <c r="G984" s="66" t="str">
        <f>_xlfn.CONCAT(Tableau119[[#This Row],[POD]],"-",Tableau119[[#This Row],[Code PFI]],"-",Tableau119[[#This Row],[Compte Consignee]])</f>
        <v>ESVLC-91018400-91017300</v>
      </c>
      <c r="H98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29770601THLCHVALL MONTAGE</v>
      </c>
      <c r="I984" s="434" t="str">
        <f>_xlfn.CONCAT(Tableau119[[#This Row],[ID]],"-",Tableau119[[#This Row],[Expiration Date]])</f>
        <v>1073-46142</v>
      </c>
      <c r="J98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VALL MONTAGE-SFK Freight Forwarder-Jatco Thailande-1073-THLCH-CMA-CGM-ESVLC-CDD VLL-46142</v>
      </c>
      <c r="K984" s="119" t="str">
        <f ca="1">IF(COUNTIF(J:J,Tableau119[[#This Row],[Plant-ILN-shipper-POL-Carrier-POD-PFI]])=1,"Non","Oui")</f>
        <v>Non</v>
      </c>
      <c r="L984" s="128" t="str">
        <f>VLOOKUP(Tableau119[[#This Row],[Name Site]],Plant_AILN!A:D,4,FALSE)</f>
        <v>SPAIN</v>
      </c>
      <c r="M984" s="411" t="s">
        <v>175</v>
      </c>
      <c r="N984" s="454">
        <f>VLOOKUP(Tableau119[[#This Row],[Name Site]],Plant_AILN!A:C,3,FALSE)</f>
        <v>91017300</v>
      </c>
      <c r="O984" s="55">
        <f>IF(Tableau119[[#This Row],[Name PFI/CDD]]="PFI VLL",2,VLOOKUP(Tableau119[[#This Row],[Compte Consignee]],Order!C:D,2,FALSE))</f>
        <v>7</v>
      </c>
      <c r="P984" s="124" t="s">
        <v>146</v>
      </c>
      <c r="Q984" s="365">
        <f>VLOOKUP(Tableau119[[#This Row],[Name ILN]],Plant_AILN!F:G,2,FALSE)</f>
        <v>0</v>
      </c>
      <c r="R984" s="50">
        <f>VLOOKUP(Tableau119[[#This Row],[Compte ILN]],'DATA ILN'!D:I,6,FALSE)</f>
        <v>9</v>
      </c>
      <c r="S984" s="50">
        <f>IFERROR(VLOOKUP(Tableau119[[#This Row],[Key(Compte ILN - shipper - POL - plant)]],'DATA ILN'!A:J,10,FALSE),VLOOKUP(Tableau119[[#This Row],[Key(Compte ILN - shipper - POL)]],'DATA ILN'!B:J,9,FALSE))</f>
        <v>14</v>
      </c>
      <c r="T984" s="50">
        <f>IFERROR(VLOOKUP(Tableau119[[#This Row],[Key(Compte ILN - shipper - POL - plant)]],'DATA ILN'!A:K,11,FALSE),VLOOKUP(Tableau119[[#This Row],[Key(Compte ILN - shipper - POL)]],'DATA ILN'!B:K,10,FALSE))</f>
        <v>5</v>
      </c>
      <c r="U984" s="50">
        <f>IFERROR(VLOOKUP(Tableau119[[#This Row],[Key(Compte ILN - shipper - POL - plant)]],'DATA ILN'!A:L,12,FALSE),VLOOKUP(Tableau119[[#This Row],[Key(Compte ILN - shipper - POL)]],'DATA ILN'!B:L,11,FALSE))</f>
        <v>7</v>
      </c>
      <c r="V984" s="50">
        <f>Tableau119[[#This Row],[Day ILN Order]]+Tableau119[[#This Row],[Delivery time to ILN/Shipper]]-1</f>
        <v>22</v>
      </c>
      <c r="W984" s="50">
        <f>IFERROR(VLOOKUP(Tableau119[[#This Row],[Key(Compte ILN - shipper - POL - plant)]],'DATA ILN'!A:N,14,FALSE),VLOOKUP(Tableau119[[#This Row],[Key(Compte ILN - shipper - POL)]],'DATA ILN'!B:N,13,FALSE))</f>
        <v>1</v>
      </c>
      <c r="X984" s="50">
        <f>IFERROR(VLOOKUP(Tableau119[[#This Row],[Key(Compte ILN - shipper - POL - plant)]],'DATA ILN'!A:P,16,FALSE),VLOOKUP(Tableau119[[#This Row],[Key(Compte ILN - shipper - POL)]],'DATA ILN'!B:P,15,FALSE))</f>
        <v>3</v>
      </c>
      <c r="Y984" s="284" t="s">
        <v>182</v>
      </c>
      <c r="Z984" s="430">
        <f>IFERROR(VLOOKUP(Tableau119[[#This Row],[Name Shipper]],Plant_AILN!L:M,2,FALSE),0)</f>
        <v>29770601</v>
      </c>
      <c r="AA984" s="406">
        <v>1073</v>
      </c>
      <c r="AB984" s="396" t="str">
        <f>_xlfn.XLOOKUP(Tableau119[[#This Row],[Key(ID-date)]],'DATA BTO'!S:S,'DATA BTO'!E:E,FALSE)</f>
        <v>THLCH</v>
      </c>
      <c r="AC984" s="3" t="str">
        <f>_xlfn.XLOOKUP(Tableau119[[#This Row],[Key(ID-date)]],'DATA BTO'!S:S,'DATA BTO'!F:F,FALSE)</f>
        <v>CMA-CGM</v>
      </c>
      <c r="AD984" s="50">
        <f>_xlfn.XLOOKUP(Tableau119[[#This Row],[Key(ID-date)]],'DATA BTO'!S:S,'DATA BTO'!G:G,FALSE)</f>
        <v>6</v>
      </c>
      <c r="AE984" s="50">
        <f>_xlfn.XLOOKUP(Tableau119[[#This Row],[Key(ID-date)]],'DATA BTO'!S:S,'DATA BTO'!H:H,FALSE)</f>
        <v>8</v>
      </c>
      <c r="AF984" s="447">
        <f>IF(Tableau119[[#This Row],[First Day to POL]]&lt;=Tableau119[[#This Row],[Day Cut Off]],Tableau119[[#This Row],[Day ETD]],Tableau119[[#This Row],[Day ETD]]+7)</f>
        <v>8</v>
      </c>
      <c r="AG984" s="50">
        <f>_xlfn.XLOOKUP(Tableau119[[#This Row],[Key(ID-date)]],'DATA BTO'!S:S,'DATA BTO'!I:I,FALSE)</f>
        <v>34</v>
      </c>
      <c r="AH984" s="3" t="str">
        <f>_xlfn.XLOOKUP(Tableau119[[#This Row],[Key(ID-date)]],'DATA BTO'!S:S,'DATA BTO'!J:J,FALSE)</f>
        <v>ESVLC</v>
      </c>
      <c r="AI984" s="3">
        <f>_xlfn.XLOOKUP(Tableau119[[#This Row],[Key(ID-date)]],'DATA BTO'!S:S,'DATA BTO'!K:K,FALSE)</f>
        <v>3</v>
      </c>
      <c r="AJ984" s="50">
        <f>_xlfn.XLOOKUP(Tableau119[[#This Row],[Key(ID-date)]],'DATA BTO'!S:S,'DATA BTO'!L:L,FALSE)</f>
        <v>14</v>
      </c>
      <c r="AK984" s="53" t="str">
        <f>_xlfn.XLOOKUP(Tableau119[[#This Row],[Key(ID-date)]],'DATA BTO'!S:S,'DATA BTO'!N:N,FALSE)</f>
        <v>Max</v>
      </c>
      <c r="AL984" s="54">
        <f>VLOOKUP(Tableau119[[#This Row],[Key(POD -PFI- Usine)]],'DATA Consignee'!A:F,6,FALSE)</f>
        <v>2</v>
      </c>
      <c r="AM984" s="284" t="s">
        <v>169</v>
      </c>
      <c r="AN984" s="376">
        <f>IF(Tableau119[[#This Row],[Name PFI/CDD]]="","-",VLOOKUP(Tableau119[[#This Row],[Name PFI/CDD]],Plant_AILN!I:J,2,FALSE))</f>
        <v>91018400</v>
      </c>
      <c r="AO984" s="6">
        <f>IF(COUNTIF(buffer_train[AILN],Tableau119[[#This Row],[Name PFI/CDD]])&gt;0,Tableau119[[#This Row],[First Receipt Days]]+Tableau119[[#This Row],[Cust.]]+Tableau119[[#This Row],[Parts Vanning]]+Tableau119[[#This Row],[Transit Time2]],"-")</f>
        <v>88</v>
      </c>
      <c r="AP984" s="6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4</v>
      </c>
      <c r="AQ984" s="2">
        <f>VLOOKUP(Tableau119[[#This Row],[Key(POD -PFI- Usine)]],'DATA Consignee'!A:J,10,FALSE)</f>
        <v>3</v>
      </c>
      <c r="AR984" s="50">
        <f>VLOOKUP(Tableau119[[#This Row],[Key(POD -PFI- Usine)]],'DATA Consignee'!A:N,14,FALSE)</f>
        <v>3</v>
      </c>
      <c r="AS984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84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84" s="50">
        <f>Tableau119[[#This Row],[Transit time]]+Tableau119[[#This Row],[Time for security]]+Tableau119[[#This Row],[Time for security2 buffer]]</f>
        <v>51</v>
      </c>
      <c r="AV984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84" s="50">
        <f>Tableau119[[#This Row],[Leadtime SI2C]]+Tableau119[[#This Row],[First Receipt Days]]-Tableau119[[#This Row],[Day Customer Order]]+1</f>
        <v>92</v>
      </c>
      <c r="AX984" s="119">
        <f>IF(Tableau119[[#This Row],[Name ILN]]&lt;&gt;"SFK Freight Forwarder",Tableau119[[#This Row],[Cust. Leadtime]],Tableau119[[#This Row],[Leadtime SI2C]])</f>
        <v>76</v>
      </c>
      <c r="AY984" s="51" t="str">
        <f>_xlfn.XLOOKUP(Tableau119[[#This Row],[Key(ID-date)]],'DATA BTO'!S:S,'DATA BTO'!P:P,FALSE)</f>
        <v>Horse &gt; Renault BPH (MLP)</v>
      </c>
      <c r="AZ984" s="338">
        <v>46142</v>
      </c>
      <c r="BA984" s="50"/>
    </row>
    <row r="985" spans="2:53">
      <c r="B985" s="446" t="str">
        <f>_xlfn.CONCAT(Tableau119[[#This Row],[Name ILN]],"-",Tableau119[[#This Row],[Name Shipper]],"-",Tableau119[[#This Row],[Name Site]])</f>
        <v>SFK Freight Forwarder-Jatco Thailande-CORDOBA</v>
      </c>
      <c r="C985" s="66" t="str">
        <f>_xlfn.CONCAT(Tableau119[[#This Row],[Compte ILN]],"-",Tableau119[[#This Row],[Compte Shipper]],"-",Tableau119[[#This Row],[POL]],"-",Tableau119[[#This Row],[Compte Consignee]])</f>
        <v>0-29770601-THLCH-90016000</v>
      </c>
      <c r="D985" s="66" t="str">
        <f>_xlfn.CONCAT(Tableau119[[#This Row],[Compte ILN]],"-",Tableau119[[#This Row],[Compte Shipper]],"-",Tableau119[[#This Row],[POL]])</f>
        <v>0-29770601-THLCH</v>
      </c>
      <c r="E985" s="130" t="str">
        <f>_xlfn.CONCAT(Tableau119[[#This Row],[POL]],"-",Tableau119[[#This Row],[Carrier]],"-",Tableau119[[#This Row],[POD]])</f>
        <v>THLCH-CMA-CGM-ARBUE</v>
      </c>
      <c r="F985" s="66" t="str">
        <f>_xlfn.CONCAT(Tableau119[[#This Row],[ID]],"-","Actif")</f>
        <v>1074-Actif</v>
      </c>
      <c r="G985" s="66" t="str">
        <f>_xlfn.CONCAT(Tableau119[[#This Row],[POD]],"-",Tableau119[[#This Row],[Code PFI]],"-",Tableau119[[#This Row],[Compte Consignee]])</f>
        <v>ARBUE---90016000</v>
      </c>
      <c r="H98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29770601THLCHCORDOBA</v>
      </c>
      <c r="I985" s="434" t="str">
        <f>_xlfn.CONCAT(Tableau119[[#This Row],[ID]],"-",Tableau119[[#This Row],[Expiration Date]])</f>
        <v>1074-46142</v>
      </c>
      <c r="J98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CORDOBA-SFK Freight Forwarder-Jatco Thailande-1074-THLCH-CMA-CGM-ARBUE--46142</v>
      </c>
      <c r="K985" s="119" t="str">
        <f ca="1">IF(COUNTIF(J:J,Tableau119[[#This Row],[Plant-ILN-shipper-POL-Carrier-POD-PFI]])=1,"Non","Oui")</f>
        <v>Non</v>
      </c>
      <c r="L985" s="128" t="str">
        <f>VLOOKUP(Tableau119[[#This Row],[Name Site]],Plant_AILN!A:D,4,FALSE)</f>
        <v>ARGENTINA</v>
      </c>
      <c r="M985" s="415" t="s">
        <v>158</v>
      </c>
      <c r="N985" s="455">
        <f>VLOOKUP(Tableau119[[#This Row],[Name Site]],Plant_AILN!A:C,3,FALSE)</f>
        <v>90016000</v>
      </c>
      <c r="O985" s="104">
        <f>IF(Tableau119[[#This Row],[Name PFI/CDD]]="PFI VLL",2,VLOOKUP(Tableau119[[#This Row],[Compte Consignee]],Order!C:D,2,FALSE))</f>
        <v>7</v>
      </c>
      <c r="P985" s="126" t="s">
        <v>146</v>
      </c>
      <c r="Q985" s="366">
        <f>VLOOKUP(Tableau119[[#This Row],[Name ILN]],Plant_AILN!F:G,2,FALSE)</f>
        <v>0</v>
      </c>
      <c r="R985" s="81">
        <f>VLOOKUP(Tableau119[[#This Row],[Compte ILN]],'DATA ILN'!D:I,6,FALSE)</f>
        <v>9</v>
      </c>
      <c r="S985" s="81">
        <f>IFERROR(VLOOKUP(Tableau119[[#This Row],[Key(Compte ILN - shipper - POL - plant)]],'DATA ILN'!A:J,10,FALSE),VLOOKUP(Tableau119[[#This Row],[Key(Compte ILN - shipper - POL)]],'DATA ILN'!B:J,9,FALSE))</f>
        <v>14</v>
      </c>
      <c r="T985" s="81">
        <f>IFERROR(VLOOKUP(Tableau119[[#This Row],[Key(Compte ILN - shipper - POL - plant)]],'DATA ILN'!A:K,11,FALSE),VLOOKUP(Tableau119[[#This Row],[Key(Compte ILN - shipper - POL)]],'DATA ILN'!B:K,10,FALSE))</f>
        <v>5</v>
      </c>
      <c r="U985" s="81">
        <f>IFERROR(VLOOKUP(Tableau119[[#This Row],[Key(Compte ILN - shipper - POL - plant)]],'DATA ILN'!A:L,12,FALSE),VLOOKUP(Tableau119[[#This Row],[Key(Compte ILN - shipper - POL)]],'DATA ILN'!B:L,11,FALSE))</f>
        <v>7</v>
      </c>
      <c r="V985" s="81">
        <f>Tableau119[[#This Row],[Day ILN Order]]+Tableau119[[#This Row],[Delivery time to ILN/Shipper]]-1</f>
        <v>22</v>
      </c>
      <c r="W985" s="81">
        <f>IFERROR(VLOOKUP(Tableau119[[#This Row],[Key(Compte ILN - shipper - POL - plant)]],'DATA ILN'!A:N,14,FALSE),VLOOKUP(Tableau119[[#This Row],[Key(Compte ILN - shipper - POL)]],'DATA ILN'!B:N,13,FALSE))</f>
        <v>1</v>
      </c>
      <c r="X985" s="81">
        <f>IFERROR(VLOOKUP(Tableau119[[#This Row],[Key(Compte ILN - shipper - POL - plant)]],'DATA ILN'!A:P,16,FALSE),VLOOKUP(Tableau119[[#This Row],[Key(Compte ILN - shipper - POL)]],'DATA ILN'!B:P,15,FALSE))</f>
        <v>3</v>
      </c>
      <c r="Y985" s="102" t="s">
        <v>182</v>
      </c>
      <c r="Z985" s="417">
        <f>IFERROR(VLOOKUP(Tableau119[[#This Row],[Name Shipper]],Plant_AILN!L:M,2,FALSE),0)</f>
        <v>29770601</v>
      </c>
      <c r="AA985" s="416">
        <v>1074</v>
      </c>
      <c r="AB985" s="396" t="str">
        <f>_xlfn.XLOOKUP(Tableau119[[#This Row],[Key(ID-date)]],'DATA BTO'!S:S,'DATA BTO'!E:E,FALSE)</f>
        <v>THLCH</v>
      </c>
      <c r="AC985" s="3" t="str">
        <f>_xlfn.XLOOKUP(Tableau119[[#This Row],[Key(ID-date)]],'DATA BTO'!S:S,'DATA BTO'!F:F,FALSE)</f>
        <v>CMA-CGM</v>
      </c>
      <c r="AD985" s="50">
        <f>_xlfn.XLOOKUP(Tableau119[[#This Row],[Key(ID-date)]],'DATA BTO'!S:S,'DATA BTO'!G:G,FALSE)</f>
        <v>5</v>
      </c>
      <c r="AE985" s="50">
        <f>_xlfn.XLOOKUP(Tableau119[[#This Row],[Key(ID-date)]],'DATA BTO'!S:S,'DATA BTO'!H:H,FALSE)</f>
        <v>8</v>
      </c>
      <c r="AF985" s="447">
        <f>IF(Tableau119[[#This Row],[First Day to POL]]&lt;=Tableau119[[#This Row],[Day Cut Off]],Tableau119[[#This Row],[Day ETD]],Tableau119[[#This Row],[Day ETD]]+7)</f>
        <v>8</v>
      </c>
      <c r="AG985" s="50">
        <f>_xlfn.XLOOKUP(Tableau119[[#This Row],[Key(ID-date)]],'DATA BTO'!S:S,'DATA BTO'!I:I,FALSE)</f>
        <v>40</v>
      </c>
      <c r="AH985" s="3" t="str">
        <f>_xlfn.XLOOKUP(Tableau119[[#This Row],[Key(ID-date)]],'DATA BTO'!S:S,'DATA BTO'!J:J,FALSE)</f>
        <v>ARBUE</v>
      </c>
      <c r="AI985" s="3">
        <f>_xlfn.XLOOKUP(Tableau119[[#This Row],[Key(ID-date)]],'DATA BTO'!S:S,'DATA BTO'!K:K,FALSE)</f>
        <v>3</v>
      </c>
      <c r="AJ985" s="50">
        <f>_xlfn.XLOOKUP(Tableau119[[#This Row],[Key(ID-date)]],'DATA BTO'!S:S,'DATA BTO'!L:L,FALSE)</f>
        <v>14</v>
      </c>
      <c r="AK985" s="53" t="str">
        <f>_xlfn.XLOOKUP(Tableau119[[#This Row],[Key(ID-date)]],'DATA BTO'!S:S,'DATA BTO'!N:N,FALSE)</f>
        <v>Max</v>
      </c>
      <c r="AL985" s="54">
        <f>VLOOKUP(Tableau119[[#This Row],[Key(POD -PFI- Usine)]],'DATA Consignee'!A:F,6,FALSE)</f>
        <v>3</v>
      </c>
      <c r="AM985" s="102"/>
      <c r="AN985" s="375" t="str">
        <f>IF(Tableau119[[#This Row],[Name PFI/CDD]]="","-",VLOOKUP(Tableau119[[#This Row],[Name PFI/CDD]],Plant_AILN!I:J,2,FALSE))</f>
        <v>-</v>
      </c>
      <c r="AO98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5" s="110">
        <f>VLOOKUP(Tableau119[[#This Row],[Key(POD -PFI- Usine)]],'DATA Consignee'!A:J,10,FALSE)</f>
        <v>0</v>
      </c>
      <c r="AR985" s="81">
        <f>VLOOKUP(Tableau119[[#This Row],[Key(POD -PFI- Usine)]],'DATA Consignee'!A:N,14,FALSE)</f>
        <v>3</v>
      </c>
      <c r="AS985" s="104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0</v>
      </c>
      <c r="AT985" s="107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13</v>
      </c>
      <c r="AU985" s="81">
        <f>Tableau119[[#This Row],[Transit time]]+Tableau119[[#This Row],[Time for security]]+Tableau119[[#This Row],[Time for security2 buffer]]</f>
        <v>57</v>
      </c>
      <c r="AV985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76</v>
      </c>
      <c r="AW985" s="50">
        <f>Tableau119[[#This Row],[Leadtime SI2C]]+Tableau119[[#This Row],[First Receipt Days]]-Tableau119[[#This Row],[Day Customer Order]]+1</f>
        <v>92</v>
      </c>
      <c r="AX985" s="119">
        <f>IF(Tableau119[[#This Row],[Name ILN]]&lt;&gt;"SFK Freight Forwarder",Tableau119[[#This Row],[Cust. Leadtime]],Tableau119[[#This Row],[Leadtime SI2C]])</f>
        <v>76</v>
      </c>
      <c r="AY985" s="51" t="str">
        <f>_xlfn.XLOOKUP(Tableau119[[#This Row],[Key(ID-date)]],'DATA BTO'!S:S,'DATA BTO'!P:P,FALSE)</f>
        <v>Horse &gt; Renault BPH (MLP)</v>
      </c>
      <c r="AZ985" s="388">
        <v>46142</v>
      </c>
      <c r="BA985" s="81"/>
    </row>
    <row r="986" spans="2:53">
      <c r="B986" s="446" t="str">
        <f>_xlfn.CONCAT(Tableau119[[#This Row],[Name ILN]],"-",Tableau119[[#This Row],[Name Shipper]],"-",Tableau119[[#This Row],[Name Site]])</f>
        <v>ILN Mexique-ILN Mexique-SOFASA</v>
      </c>
      <c r="C986" s="66" t="str">
        <f>_xlfn.CONCAT(Tableau119[[#This Row],[Compte ILN]],"-",Tableau119[[#This Row],[Compte Shipper]],"-",Tableau119[[#This Row],[POL]],"-",Tableau119[[#This Row],[Compte Consignee]])</f>
        <v>333333-333333-FALSO-9510600</v>
      </c>
      <c r="D986" s="66" t="str">
        <f>_xlfn.CONCAT(Tableau119[[#This Row],[Compte ILN]],"-",Tableau119[[#This Row],[Compte Shipper]],"-",Tableau119[[#This Row],[POL]])</f>
        <v>333333-333333-FALSO</v>
      </c>
      <c r="E986" s="130" t="str">
        <f>_xlfn.CONCAT(Tableau119[[#This Row],[POL]],"-",Tableau119[[#This Row],[Carrier]],"-",Tableau119[[#This Row],[POD]])</f>
        <v>FALSO-FALSO-FALSO</v>
      </c>
      <c r="F986" s="66" t="str">
        <f>_xlfn.CONCAT(Tableau119[[#This Row],[ID]],"-","Actif")</f>
        <v>1080-Actif</v>
      </c>
      <c r="G986" s="66" t="str">
        <f>_xlfn.CONCAT(Tableau119[[#This Row],[POD]],"-",Tableau119[[#This Row],[Code PFI]],"-",Tableau119[[#This Row],[Compte Consignee]])</f>
        <v>FALSO---9510600</v>
      </c>
      <c r="H98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MexiqueFALSOSOFASA</v>
      </c>
      <c r="I986" s="434" t="str">
        <f>_xlfn.CONCAT(Tableau119[[#This Row],[ID]],"-",Tableau119[[#This Row],[Expiration Date]])</f>
        <v>1080-46142</v>
      </c>
      <c r="J98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SOFASA-ILN Mexique-ILN Mexique-1080-FALSO-FALSO-FALSO--46142</v>
      </c>
      <c r="K986" s="119" t="str">
        <f ca="1">IF(COUNTIF(J:J,Tableau119[[#This Row],[Plant-ILN-shipper-POL-Carrier-POD-PFI]])=1,"Non","Oui")</f>
        <v>Non</v>
      </c>
      <c r="L986" s="128" t="str">
        <f>VLOOKUP(Tableau119[[#This Row],[Name Site]],Plant_AILN!A:D,4,FALSE)</f>
        <v>COLOMBIA</v>
      </c>
      <c r="M986" s="415" t="s">
        <v>177</v>
      </c>
      <c r="N986" s="455">
        <f>VLOOKUP(Tableau119[[#This Row],[Name Site]],Plant_AILN!A:C,3,FALSE)</f>
        <v>9510600</v>
      </c>
      <c r="O986" s="104">
        <f>IF(Tableau119[[#This Row],[Name PFI/CDD]]="PFI VLL",2,VLOOKUP(Tableau119[[#This Row],[Compte Consignee]],Order!C:D,2,FALSE))</f>
        <v>7</v>
      </c>
      <c r="P986" s="126" t="s">
        <v>186</v>
      </c>
      <c r="Q986" s="366">
        <f>VLOOKUP(Tableau119[[#This Row],[Name ILN]],Plant_AILN!F:G,2,FALSE)</f>
        <v>333333</v>
      </c>
      <c r="R986" s="81">
        <f>VLOOKUP(Tableau119[[#This Row],[Compte ILN]],'DATA ILN'!D:I,6,FALSE)</f>
        <v>9</v>
      </c>
      <c r="S986" s="81" t="e">
        <f>IFERROR(VLOOKUP(Tableau119[[#This Row],[Key(Compte ILN - shipper - POL - plant)]],'DATA ILN'!A:J,10,FALSE),VLOOKUP(Tableau119[[#This Row],[Key(Compte ILN - shipper - POL)]],'DATA ILN'!B:J,9,FALSE))</f>
        <v>#N/A</v>
      </c>
      <c r="T986" s="81" t="e">
        <f>IFERROR(VLOOKUP(Tableau119[[#This Row],[Key(Compte ILN - shipper - POL - plant)]],'DATA ILN'!A:K,11,FALSE),VLOOKUP(Tableau119[[#This Row],[Key(Compte ILN - shipper - POL)]],'DATA ILN'!B:K,10,FALSE))</f>
        <v>#N/A</v>
      </c>
      <c r="U986" s="81" t="e">
        <f>IFERROR(VLOOKUP(Tableau119[[#This Row],[Key(Compte ILN - shipper - POL - plant)]],'DATA ILN'!A:L,12,FALSE),VLOOKUP(Tableau119[[#This Row],[Key(Compte ILN - shipper - POL)]],'DATA ILN'!B:L,11,FALSE))</f>
        <v>#N/A</v>
      </c>
      <c r="V986" s="81" t="e">
        <f>Tableau119[[#This Row],[Day ILN Order]]+Tableau119[[#This Row],[Delivery time to ILN/Shipper]]-1</f>
        <v>#N/A</v>
      </c>
      <c r="W986" s="81" t="e">
        <f>IFERROR(VLOOKUP(Tableau119[[#This Row],[Key(Compte ILN - shipper - POL - plant)]],'DATA ILN'!A:N,14,FALSE),VLOOKUP(Tableau119[[#This Row],[Key(Compte ILN - shipper - POL)]],'DATA ILN'!B:N,13,FALSE))</f>
        <v>#N/A</v>
      </c>
      <c r="X986" s="81" t="e">
        <f>IFERROR(VLOOKUP(Tableau119[[#This Row],[Key(Compte ILN - shipper - POL - plant)]],'DATA ILN'!A:P,16,FALSE),VLOOKUP(Tableau119[[#This Row],[Key(Compte ILN - shipper - POL)]],'DATA ILN'!B:P,15,FALSE))</f>
        <v>#N/A</v>
      </c>
      <c r="Y986" s="102" t="s">
        <v>186</v>
      </c>
      <c r="Z986" s="417">
        <f>IFERROR(VLOOKUP(Tableau119[[#This Row],[Name Shipper]],Plant_AILN!L:M,2,FALSE),0)</f>
        <v>333333</v>
      </c>
      <c r="AA986" s="416">
        <v>1080</v>
      </c>
      <c r="AB986" s="396" t="b">
        <f>_xlfn.XLOOKUP(Tableau119[[#This Row],[Key(ID-date)]],'DATA BTO'!S:S,'DATA BTO'!E:E,FALSE)</f>
        <v>0</v>
      </c>
      <c r="AC986" s="3" t="b">
        <f>_xlfn.XLOOKUP(Tableau119[[#This Row],[Key(ID-date)]],'DATA BTO'!S:S,'DATA BTO'!F:F,FALSE)</f>
        <v>0</v>
      </c>
      <c r="AD986" s="50" t="b">
        <f>_xlfn.XLOOKUP(Tableau119[[#This Row],[Key(ID-date)]],'DATA BTO'!S:S,'DATA BTO'!G:G,FALSE)</f>
        <v>0</v>
      </c>
      <c r="AE986" s="50" t="b">
        <f>_xlfn.XLOOKUP(Tableau119[[#This Row],[Key(ID-date)]],'DATA BTO'!S:S,'DATA BTO'!H:H,FALSE)</f>
        <v>0</v>
      </c>
      <c r="AF986" s="447" t="e">
        <f>IF(Tableau119[[#This Row],[First Day to POL]]&lt;=Tableau119[[#This Row],[Day Cut Off]],Tableau119[[#This Row],[Day ETD]],Tableau119[[#This Row],[Day ETD]]+7)</f>
        <v>#N/A</v>
      </c>
      <c r="AG986" s="50" t="b">
        <f>_xlfn.XLOOKUP(Tableau119[[#This Row],[Key(ID-date)]],'DATA BTO'!S:S,'DATA BTO'!I:I,FALSE)</f>
        <v>0</v>
      </c>
      <c r="AH986" s="3" t="b">
        <f>_xlfn.XLOOKUP(Tableau119[[#This Row],[Key(ID-date)]],'DATA BTO'!S:S,'DATA BTO'!J:J,FALSE)</f>
        <v>0</v>
      </c>
      <c r="AI986" s="3" t="b">
        <f>_xlfn.XLOOKUP(Tableau119[[#This Row],[Key(ID-date)]],'DATA BTO'!S:S,'DATA BTO'!K:K,FALSE)</f>
        <v>0</v>
      </c>
      <c r="AJ986" s="50" t="b">
        <f>_xlfn.XLOOKUP(Tableau119[[#This Row],[Key(ID-date)]],'DATA BTO'!S:S,'DATA BTO'!L:L,FALSE)</f>
        <v>0</v>
      </c>
      <c r="AK986" s="53" t="b">
        <f>_xlfn.XLOOKUP(Tableau119[[#This Row],[Key(ID-date)]],'DATA BTO'!S:S,'DATA BTO'!N:N,FALSE)</f>
        <v>0</v>
      </c>
      <c r="AL986" s="54" t="e">
        <f>VLOOKUP(Tableau119[[#This Row],[Key(POD -PFI- Usine)]],'DATA Consignee'!A:F,6,FALSE)</f>
        <v>#N/A</v>
      </c>
      <c r="AM986" s="102"/>
      <c r="AN986" s="375" t="str">
        <f>IF(Tableau119[[#This Row],[Name PFI/CDD]]="","-",VLOOKUP(Tableau119[[#This Row],[Name PFI/CDD]],Plant_AILN!I:J,2,FALSE))</f>
        <v>-</v>
      </c>
      <c r="AO98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6" s="110" t="e">
        <f>VLOOKUP(Tableau119[[#This Row],[Key(POD -PFI- Usine)]],'DATA Consignee'!A:J,10,FALSE)</f>
        <v>#N/A</v>
      </c>
      <c r="AR986" s="81" t="e">
        <f>VLOOKUP(Tableau119[[#This Row],[Key(POD -PFI- Usine)]],'DATA Consignee'!A:N,14,FALSE)</f>
        <v>#N/A</v>
      </c>
      <c r="AS98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8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86" s="81">
        <f>Tableau119[[#This Row],[Transit time]]+Tableau119[[#This Row],[Time for security]]+Tableau119[[#This Row],[Time for security2 buffer]]</f>
        <v>0</v>
      </c>
      <c r="AV98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86" s="50" t="e">
        <f>Tableau119[[#This Row],[Leadtime SI2C]]+Tableau119[[#This Row],[First Receipt Days]]-Tableau119[[#This Row],[Day Customer Order]]+1</f>
        <v>#N/A</v>
      </c>
      <c r="AX986" s="119" t="e">
        <f>IF(Tableau119[[#This Row],[Name ILN]]&lt;&gt;"SFK Freight Forwarder",Tableau119[[#This Row],[Cust. Leadtime]],Tableau119[[#This Row],[Leadtime SI2C]])</f>
        <v>#N/A</v>
      </c>
      <c r="AY986" s="51" t="b">
        <f>_xlfn.XLOOKUP(Tableau119[[#This Row],[Key(ID-date)]],'DATA BTO'!S:S,'DATA BTO'!P:P,FALSE)</f>
        <v>0</v>
      </c>
      <c r="AZ986" s="388">
        <v>46142</v>
      </c>
      <c r="BA986" s="81"/>
    </row>
    <row r="987" spans="2:53">
      <c r="B987" s="446" t="str">
        <f>_xlfn.CONCAT(Tableau119[[#This Row],[Name ILN]],"-",Tableau119[[#This Row],[Name Shipper]],"-",Tableau119[[#This Row],[Name Site]])</f>
        <v>ILN Mexique-ILN Mexique-CURITIBA CVP</v>
      </c>
      <c r="C987" s="66" t="str">
        <f>_xlfn.CONCAT(Tableau119[[#This Row],[Compte ILN]],"-",Tableau119[[#This Row],[Compte Shipper]],"-",Tableau119[[#This Row],[POL]],"-",Tableau119[[#This Row],[Compte Consignee]])</f>
        <v>333333-333333-FALSO-90018000</v>
      </c>
      <c r="D987" s="66" t="str">
        <f>_xlfn.CONCAT(Tableau119[[#This Row],[Compte ILN]],"-",Tableau119[[#This Row],[Compte Shipper]],"-",Tableau119[[#This Row],[POL]])</f>
        <v>333333-333333-FALSO</v>
      </c>
      <c r="E987" s="130" t="str">
        <f>_xlfn.CONCAT(Tableau119[[#This Row],[POL]],"-",Tableau119[[#This Row],[Carrier]],"-",Tableau119[[#This Row],[POD]])</f>
        <v>FALSO-FALSO-FALSO</v>
      </c>
      <c r="F987" s="66" t="str">
        <f>_xlfn.CONCAT(Tableau119[[#This Row],[ID]],"-","Actif")</f>
        <v>1081-Actif</v>
      </c>
      <c r="G987" s="66" t="str">
        <f>_xlfn.CONCAT(Tableau119[[#This Row],[POD]],"-",Tableau119[[#This Row],[Code PFI]],"-",Tableau119[[#This Row],[Compte Consignee]])</f>
        <v>FALSO---90018000</v>
      </c>
      <c r="H98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MexiqueFALSOCURITIBA CVP</v>
      </c>
      <c r="I987" s="434" t="str">
        <f>_xlfn.CONCAT(Tableau119[[#This Row],[ID]],"-",Tableau119[[#This Row],[Expiration Date]])</f>
        <v>1081-46142</v>
      </c>
      <c r="J98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CVP-ILN Mexique-ILN Mexique-1081-FALSO-FALSO-FALSO--46142</v>
      </c>
      <c r="K987" s="119" t="str">
        <f ca="1">IF(COUNTIF(J:J,Tableau119[[#This Row],[Plant-ILN-shipper-POL-Carrier-POD-PFI]])=1,"Non","Oui")</f>
        <v>Non</v>
      </c>
      <c r="L987" s="128" t="str">
        <f>VLOOKUP(Tableau119[[#This Row],[Name Site]],Plant_AILN!A:D,4,FALSE)</f>
        <v>BRAZIL</v>
      </c>
      <c r="M987" s="415" t="s">
        <v>181</v>
      </c>
      <c r="N987" s="455">
        <f>VLOOKUP(Tableau119[[#This Row],[Name Site]],Plant_AILN!A:C,3,FALSE)</f>
        <v>90018000</v>
      </c>
      <c r="O987" s="104">
        <f>IF(Tableau119[[#This Row],[Name PFI/CDD]]="PFI VLL",2,VLOOKUP(Tableau119[[#This Row],[Compte Consignee]],Order!C:D,2,FALSE))</f>
        <v>7</v>
      </c>
      <c r="P987" s="126" t="s">
        <v>186</v>
      </c>
      <c r="Q987" s="366">
        <f>VLOOKUP(Tableau119[[#This Row],[Name ILN]],Plant_AILN!F:G,2,FALSE)</f>
        <v>333333</v>
      </c>
      <c r="R987" s="81">
        <f>VLOOKUP(Tableau119[[#This Row],[Compte ILN]],'DATA ILN'!D:I,6,FALSE)</f>
        <v>9</v>
      </c>
      <c r="S987" s="81" t="e">
        <f>IFERROR(VLOOKUP(Tableau119[[#This Row],[Key(Compte ILN - shipper - POL - plant)]],'DATA ILN'!A:J,10,FALSE),VLOOKUP(Tableau119[[#This Row],[Key(Compte ILN - shipper - POL)]],'DATA ILN'!B:J,9,FALSE))</f>
        <v>#N/A</v>
      </c>
      <c r="T987" s="81" t="e">
        <f>IFERROR(VLOOKUP(Tableau119[[#This Row],[Key(Compte ILN - shipper - POL - plant)]],'DATA ILN'!A:K,11,FALSE),VLOOKUP(Tableau119[[#This Row],[Key(Compte ILN - shipper - POL)]],'DATA ILN'!B:K,10,FALSE))</f>
        <v>#N/A</v>
      </c>
      <c r="U987" s="81" t="e">
        <f>IFERROR(VLOOKUP(Tableau119[[#This Row],[Key(Compte ILN - shipper - POL - plant)]],'DATA ILN'!A:L,12,FALSE),VLOOKUP(Tableau119[[#This Row],[Key(Compte ILN - shipper - POL)]],'DATA ILN'!B:L,11,FALSE))</f>
        <v>#N/A</v>
      </c>
      <c r="V987" s="81" t="e">
        <f>Tableau119[[#This Row],[Day ILN Order]]+Tableau119[[#This Row],[Delivery time to ILN/Shipper]]-1</f>
        <v>#N/A</v>
      </c>
      <c r="W987" s="81" t="e">
        <f>IFERROR(VLOOKUP(Tableau119[[#This Row],[Key(Compte ILN - shipper - POL - plant)]],'DATA ILN'!A:N,14,FALSE),VLOOKUP(Tableau119[[#This Row],[Key(Compte ILN - shipper - POL)]],'DATA ILN'!B:N,13,FALSE))</f>
        <v>#N/A</v>
      </c>
      <c r="X987" s="81" t="e">
        <f>IFERROR(VLOOKUP(Tableau119[[#This Row],[Key(Compte ILN - shipper - POL - plant)]],'DATA ILN'!A:P,16,FALSE),VLOOKUP(Tableau119[[#This Row],[Key(Compte ILN - shipper - POL)]],'DATA ILN'!B:P,15,FALSE))</f>
        <v>#N/A</v>
      </c>
      <c r="Y987" s="102" t="s">
        <v>186</v>
      </c>
      <c r="Z987" s="417">
        <f>IFERROR(VLOOKUP(Tableau119[[#This Row],[Name Shipper]],Plant_AILN!L:M,2,FALSE),0)</f>
        <v>333333</v>
      </c>
      <c r="AA987" s="416">
        <v>1081</v>
      </c>
      <c r="AB987" s="396" t="b">
        <f>_xlfn.XLOOKUP(Tableau119[[#This Row],[Key(ID-date)]],'DATA BTO'!S:S,'DATA BTO'!E:E,FALSE)</f>
        <v>0</v>
      </c>
      <c r="AC987" s="3" t="b">
        <f>_xlfn.XLOOKUP(Tableau119[[#This Row],[Key(ID-date)]],'DATA BTO'!S:S,'DATA BTO'!F:F,FALSE)</f>
        <v>0</v>
      </c>
      <c r="AD987" s="50" t="b">
        <f>_xlfn.XLOOKUP(Tableau119[[#This Row],[Key(ID-date)]],'DATA BTO'!S:S,'DATA BTO'!G:G,FALSE)</f>
        <v>0</v>
      </c>
      <c r="AE987" s="50" t="b">
        <f>_xlfn.XLOOKUP(Tableau119[[#This Row],[Key(ID-date)]],'DATA BTO'!S:S,'DATA BTO'!H:H,FALSE)</f>
        <v>0</v>
      </c>
      <c r="AF987" s="447" t="e">
        <f>IF(Tableau119[[#This Row],[First Day to POL]]&lt;=Tableau119[[#This Row],[Day Cut Off]],Tableau119[[#This Row],[Day ETD]],Tableau119[[#This Row],[Day ETD]]+7)</f>
        <v>#N/A</v>
      </c>
      <c r="AG987" s="50" t="b">
        <f>_xlfn.XLOOKUP(Tableau119[[#This Row],[Key(ID-date)]],'DATA BTO'!S:S,'DATA BTO'!I:I,FALSE)</f>
        <v>0</v>
      </c>
      <c r="AH987" s="3" t="b">
        <f>_xlfn.XLOOKUP(Tableau119[[#This Row],[Key(ID-date)]],'DATA BTO'!S:S,'DATA BTO'!J:J,FALSE)</f>
        <v>0</v>
      </c>
      <c r="AI987" s="3" t="b">
        <f>_xlfn.XLOOKUP(Tableau119[[#This Row],[Key(ID-date)]],'DATA BTO'!S:S,'DATA BTO'!K:K,FALSE)</f>
        <v>0</v>
      </c>
      <c r="AJ987" s="50" t="b">
        <f>_xlfn.XLOOKUP(Tableau119[[#This Row],[Key(ID-date)]],'DATA BTO'!S:S,'DATA BTO'!L:L,FALSE)</f>
        <v>0</v>
      </c>
      <c r="AK987" s="53" t="b">
        <f>_xlfn.XLOOKUP(Tableau119[[#This Row],[Key(ID-date)]],'DATA BTO'!S:S,'DATA BTO'!N:N,FALSE)</f>
        <v>0</v>
      </c>
      <c r="AL987" s="54" t="e">
        <f>VLOOKUP(Tableau119[[#This Row],[Key(POD -PFI- Usine)]],'DATA Consignee'!A:F,6,FALSE)</f>
        <v>#N/A</v>
      </c>
      <c r="AM987" s="102"/>
      <c r="AN987" s="375" t="str">
        <f>IF(Tableau119[[#This Row],[Name PFI/CDD]]="","-",VLOOKUP(Tableau119[[#This Row],[Name PFI/CDD]],Plant_AILN!I:J,2,FALSE))</f>
        <v>-</v>
      </c>
      <c r="AO98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7" s="110" t="e">
        <f>VLOOKUP(Tableau119[[#This Row],[Key(POD -PFI- Usine)]],'DATA Consignee'!A:J,10,FALSE)</f>
        <v>#N/A</v>
      </c>
      <c r="AR987" s="81" t="e">
        <f>VLOOKUP(Tableau119[[#This Row],[Key(POD -PFI- Usine)]],'DATA Consignee'!A:N,14,FALSE)</f>
        <v>#N/A</v>
      </c>
      <c r="AS98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8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87" s="81">
        <f>Tableau119[[#This Row],[Transit time]]+Tableau119[[#This Row],[Time for security]]+Tableau119[[#This Row],[Time for security2 buffer]]</f>
        <v>0</v>
      </c>
      <c r="AV98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87" s="50" t="e">
        <f>Tableau119[[#This Row],[Leadtime SI2C]]+Tableau119[[#This Row],[First Receipt Days]]-Tableau119[[#This Row],[Day Customer Order]]+1</f>
        <v>#N/A</v>
      </c>
      <c r="AX987" s="119" t="e">
        <f>IF(Tableau119[[#This Row],[Name ILN]]&lt;&gt;"SFK Freight Forwarder",Tableau119[[#This Row],[Cust. Leadtime]],Tableau119[[#This Row],[Leadtime SI2C]])</f>
        <v>#N/A</v>
      </c>
      <c r="AY987" s="51" t="b">
        <f>_xlfn.XLOOKUP(Tableau119[[#This Row],[Key(ID-date)]],'DATA BTO'!S:S,'DATA BTO'!P:P,FALSE)</f>
        <v>0</v>
      </c>
      <c r="AZ987" s="388">
        <v>46142</v>
      </c>
      <c r="BA987" s="81"/>
    </row>
    <row r="988" spans="2:53">
      <c r="B988" s="446" t="str">
        <f>_xlfn.CONCAT(Tableau119[[#This Row],[Name ILN]],"-",Tableau119[[#This Row],[Name Shipper]],"-",Tableau119[[#This Row],[Name Site]])</f>
        <v>ILN Mexique-ILN Mexique-CORDOBA</v>
      </c>
      <c r="C988" s="66" t="str">
        <f>_xlfn.CONCAT(Tableau119[[#This Row],[Compte ILN]],"-",Tableau119[[#This Row],[Compte Shipper]],"-",Tableau119[[#This Row],[POL]],"-",Tableau119[[#This Row],[Compte Consignee]])</f>
        <v>333333-333333-FALSO-90016000</v>
      </c>
      <c r="D988" s="66" t="str">
        <f>_xlfn.CONCAT(Tableau119[[#This Row],[Compte ILN]],"-",Tableau119[[#This Row],[Compte Shipper]],"-",Tableau119[[#This Row],[POL]])</f>
        <v>333333-333333-FALSO</v>
      </c>
      <c r="E988" s="130" t="str">
        <f>_xlfn.CONCAT(Tableau119[[#This Row],[POL]],"-",Tableau119[[#This Row],[Carrier]],"-",Tableau119[[#This Row],[POD]])</f>
        <v>FALSO-FALSO-FALSO</v>
      </c>
      <c r="F988" s="66" t="str">
        <f>_xlfn.CONCAT(Tableau119[[#This Row],[ID]],"-","Actif")</f>
        <v>1082-Actif</v>
      </c>
      <c r="G988" s="66" t="str">
        <f>_xlfn.CONCAT(Tableau119[[#This Row],[POD]],"-",Tableau119[[#This Row],[Code PFI]],"-",Tableau119[[#This Row],[Compte Consignee]])</f>
        <v>FALSO---90016000</v>
      </c>
      <c r="H98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MexiqueFALSOCORDOBA</v>
      </c>
      <c r="I988" s="434" t="str">
        <f>_xlfn.CONCAT(Tableau119[[#This Row],[ID]],"-",Tableau119[[#This Row],[Expiration Date]])</f>
        <v>1082-46142</v>
      </c>
      <c r="J98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CORDOBA-ILN Mexique-ILN Mexique-1082-FALSO-FALSO-FALSO--46142</v>
      </c>
      <c r="K988" s="119" t="str">
        <f ca="1">IF(COUNTIF(J:J,Tableau119[[#This Row],[Plant-ILN-shipper-POL-Carrier-POD-PFI]])=1,"Non","Oui")</f>
        <v>Non</v>
      </c>
      <c r="L988" s="128" t="str">
        <f>VLOOKUP(Tableau119[[#This Row],[Name Site]],Plant_AILN!A:D,4,FALSE)</f>
        <v>ARGENTINA</v>
      </c>
      <c r="M988" s="415" t="s">
        <v>158</v>
      </c>
      <c r="N988" s="455">
        <f>VLOOKUP(Tableau119[[#This Row],[Name Site]],Plant_AILN!A:C,3,FALSE)</f>
        <v>90016000</v>
      </c>
      <c r="O988" s="104">
        <f>IF(Tableau119[[#This Row],[Name PFI/CDD]]="PFI VLL",2,VLOOKUP(Tableau119[[#This Row],[Compte Consignee]],Order!C:D,2,FALSE))</f>
        <v>7</v>
      </c>
      <c r="P988" s="126" t="s">
        <v>186</v>
      </c>
      <c r="Q988" s="366">
        <f>VLOOKUP(Tableau119[[#This Row],[Name ILN]],Plant_AILN!F:G,2,FALSE)</f>
        <v>333333</v>
      </c>
      <c r="R988" s="81">
        <f>VLOOKUP(Tableau119[[#This Row],[Compte ILN]],'DATA ILN'!D:I,6,FALSE)</f>
        <v>9</v>
      </c>
      <c r="S988" s="81" t="e">
        <f>IFERROR(VLOOKUP(Tableau119[[#This Row],[Key(Compte ILN - shipper - POL - plant)]],'DATA ILN'!A:J,10,FALSE),VLOOKUP(Tableau119[[#This Row],[Key(Compte ILN - shipper - POL)]],'DATA ILN'!B:J,9,FALSE))</f>
        <v>#N/A</v>
      </c>
      <c r="T988" s="81" t="e">
        <f>IFERROR(VLOOKUP(Tableau119[[#This Row],[Key(Compte ILN - shipper - POL - plant)]],'DATA ILN'!A:K,11,FALSE),VLOOKUP(Tableau119[[#This Row],[Key(Compte ILN - shipper - POL)]],'DATA ILN'!B:K,10,FALSE))</f>
        <v>#N/A</v>
      </c>
      <c r="U988" s="81" t="e">
        <f>IFERROR(VLOOKUP(Tableau119[[#This Row],[Key(Compte ILN - shipper - POL - plant)]],'DATA ILN'!A:L,12,FALSE),VLOOKUP(Tableau119[[#This Row],[Key(Compte ILN - shipper - POL)]],'DATA ILN'!B:L,11,FALSE))</f>
        <v>#N/A</v>
      </c>
      <c r="V988" s="81" t="e">
        <f>Tableau119[[#This Row],[Day ILN Order]]+Tableau119[[#This Row],[Delivery time to ILN/Shipper]]-1</f>
        <v>#N/A</v>
      </c>
      <c r="W988" s="81" t="e">
        <f>IFERROR(VLOOKUP(Tableau119[[#This Row],[Key(Compte ILN - shipper - POL - plant)]],'DATA ILN'!A:N,14,FALSE),VLOOKUP(Tableau119[[#This Row],[Key(Compte ILN - shipper - POL)]],'DATA ILN'!B:N,13,FALSE))</f>
        <v>#N/A</v>
      </c>
      <c r="X988" s="81" t="e">
        <f>IFERROR(VLOOKUP(Tableau119[[#This Row],[Key(Compte ILN - shipper - POL - plant)]],'DATA ILN'!A:P,16,FALSE),VLOOKUP(Tableau119[[#This Row],[Key(Compte ILN - shipper - POL)]],'DATA ILN'!B:P,15,FALSE))</f>
        <v>#N/A</v>
      </c>
      <c r="Y988" s="102" t="s">
        <v>186</v>
      </c>
      <c r="Z988" s="417">
        <f>IFERROR(VLOOKUP(Tableau119[[#This Row],[Name Shipper]],Plant_AILN!L:M,2,FALSE),0)</f>
        <v>333333</v>
      </c>
      <c r="AA988" s="416">
        <v>1082</v>
      </c>
      <c r="AB988" s="396" t="b">
        <f>_xlfn.XLOOKUP(Tableau119[[#This Row],[Key(ID-date)]],'DATA BTO'!S:S,'DATA BTO'!E:E,FALSE)</f>
        <v>0</v>
      </c>
      <c r="AC988" s="3" t="b">
        <f>_xlfn.XLOOKUP(Tableau119[[#This Row],[Key(ID-date)]],'DATA BTO'!S:S,'DATA BTO'!F:F,FALSE)</f>
        <v>0</v>
      </c>
      <c r="AD988" s="50" t="b">
        <f>_xlfn.XLOOKUP(Tableau119[[#This Row],[Key(ID-date)]],'DATA BTO'!S:S,'DATA BTO'!G:G,FALSE)</f>
        <v>0</v>
      </c>
      <c r="AE988" s="50" t="b">
        <f>_xlfn.XLOOKUP(Tableau119[[#This Row],[Key(ID-date)]],'DATA BTO'!S:S,'DATA BTO'!H:H,FALSE)</f>
        <v>0</v>
      </c>
      <c r="AF988" s="447" t="e">
        <f>IF(Tableau119[[#This Row],[First Day to POL]]&lt;=Tableau119[[#This Row],[Day Cut Off]],Tableau119[[#This Row],[Day ETD]],Tableau119[[#This Row],[Day ETD]]+7)</f>
        <v>#N/A</v>
      </c>
      <c r="AG988" s="50" t="b">
        <f>_xlfn.XLOOKUP(Tableau119[[#This Row],[Key(ID-date)]],'DATA BTO'!S:S,'DATA BTO'!I:I,FALSE)</f>
        <v>0</v>
      </c>
      <c r="AH988" s="3" t="b">
        <f>_xlfn.XLOOKUP(Tableau119[[#This Row],[Key(ID-date)]],'DATA BTO'!S:S,'DATA BTO'!J:J,FALSE)</f>
        <v>0</v>
      </c>
      <c r="AI988" s="3" t="b">
        <f>_xlfn.XLOOKUP(Tableau119[[#This Row],[Key(ID-date)]],'DATA BTO'!S:S,'DATA BTO'!K:K,FALSE)</f>
        <v>0</v>
      </c>
      <c r="AJ988" s="50" t="b">
        <f>_xlfn.XLOOKUP(Tableau119[[#This Row],[Key(ID-date)]],'DATA BTO'!S:S,'DATA BTO'!L:L,FALSE)</f>
        <v>0</v>
      </c>
      <c r="AK988" s="53" t="b">
        <f>_xlfn.XLOOKUP(Tableau119[[#This Row],[Key(ID-date)]],'DATA BTO'!S:S,'DATA BTO'!N:N,FALSE)</f>
        <v>0</v>
      </c>
      <c r="AL988" s="54" t="e">
        <f>VLOOKUP(Tableau119[[#This Row],[Key(POD -PFI- Usine)]],'DATA Consignee'!A:F,6,FALSE)</f>
        <v>#N/A</v>
      </c>
      <c r="AM988" s="102"/>
      <c r="AN988" s="375" t="str">
        <f>IF(Tableau119[[#This Row],[Name PFI/CDD]]="","-",VLOOKUP(Tableau119[[#This Row],[Name PFI/CDD]],Plant_AILN!I:J,2,FALSE))</f>
        <v>-</v>
      </c>
      <c r="AO98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8" s="110" t="e">
        <f>VLOOKUP(Tableau119[[#This Row],[Key(POD -PFI- Usine)]],'DATA Consignee'!A:J,10,FALSE)</f>
        <v>#N/A</v>
      </c>
      <c r="AR988" s="81" t="e">
        <f>VLOOKUP(Tableau119[[#This Row],[Key(POD -PFI- Usine)]],'DATA Consignee'!A:N,14,FALSE)</f>
        <v>#N/A</v>
      </c>
      <c r="AS98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8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88" s="81">
        <f>Tableau119[[#This Row],[Transit time]]+Tableau119[[#This Row],[Time for security]]+Tableau119[[#This Row],[Time for security2 buffer]]</f>
        <v>0</v>
      </c>
      <c r="AV98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88" s="50" t="e">
        <f>Tableau119[[#This Row],[Leadtime SI2C]]+Tableau119[[#This Row],[First Receipt Days]]-Tableau119[[#This Row],[Day Customer Order]]+1</f>
        <v>#N/A</v>
      </c>
      <c r="AX988" s="119" t="e">
        <f>IF(Tableau119[[#This Row],[Name ILN]]&lt;&gt;"SFK Freight Forwarder",Tableau119[[#This Row],[Cust. Leadtime]],Tableau119[[#This Row],[Leadtime SI2C]])</f>
        <v>#N/A</v>
      </c>
      <c r="AY988" s="51" t="b">
        <f>_xlfn.XLOOKUP(Tableau119[[#This Row],[Key(ID-date)]],'DATA BTO'!S:S,'DATA BTO'!P:P,FALSE)</f>
        <v>0</v>
      </c>
      <c r="AZ988" s="388">
        <v>46142</v>
      </c>
      <c r="BA988" s="81"/>
    </row>
    <row r="989" spans="2:53">
      <c r="B989" s="446" t="str">
        <f>_xlfn.CONCAT(Tableau119[[#This Row],[Name ILN]],"-",Tableau119[[#This Row],[Name Shipper]],"-",Tableau119[[#This Row],[Name Site]])</f>
        <v>ILN Mexique-ILN Mexique-RKM</v>
      </c>
      <c r="C989" s="66" t="str">
        <f>_xlfn.CONCAT(Tableau119[[#This Row],[Compte ILN]],"-",Tableau119[[#This Row],[Compte Shipper]],"-",Tableau119[[#This Row],[POL]],"-",Tableau119[[#This Row],[Compte Consignee]])</f>
        <v>333333-333333-FALSO-92002200</v>
      </c>
      <c r="D989" s="66" t="str">
        <f>_xlfn.CONCAT(Tableau119[[#This Row],[Compte ILN]],"-",Tableau119[[#This Row],[Compte Shipper]],"-",Tableau119[[#This Row],[POL]])</f>
        <v>333333-333333-FALSO</v>
      </c>
      <c r="E989" s="130" t="str">
        <f>_xlfn.CONCAT(Tableau119[[#This Row],[POL]],"-",Tableau119[[#This Row],[Carrier]],"-",Tableau119[[#This Row],[POD]])</f>
        <v>FALSO-FALSO-FALSO</v>
      </c>
      <c r="F989" s="66" t="str">
        <f>_xlfn.CONCAT(Tableau119[[#This Row],[ID]],"-","Actif")</f>
        <v>1083-Actif</v>
      </c>
      <c r="G989" s="66" t="str">
        <f>_xlfn.CONCAT(Tableau119[[#This Row],[POD]],"-",Tableau119[[#This Row],[Code PFI]],"-",Tableau119[[#This Row],[Compte Consignee]])</f>
        <v>FALSO---92002200</v>
      </c>
      <c r="H989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MexiqueFALSORKM</v>
      </c>
      <c r="I989" s="434" t="str">
        <f>_xlfn.CONCAT(Tableau119[[#This Row],[ID]],"-",Tableau119[[#This Row],[Expiration Date]])</f>
        <v>1083-46142</v>
      </c>
      <c r="J989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RKM-ILN Mexique-ILN Mexique-1083-FALSO-FALSO-FALSO--46142</v>
      </c>
      <c r="K989" s="119" t="str">
        <f ca="1">IF(COUNTIF(J:J,Tableau119[[#This Row],[Plant-ILN-shipper-POL-Carrier-POD-PFI]])=1,"Non","Oui")</f>
        <v>Non</v>
      </c>
      <c r="L989" s="128" t="str">
        <f>VLOOKUP(Tableau119[[#This Row],[Name Site]],Plant_AILN!A:D,4,FALSE)</f>
        <v>KOREA</v>
      </c>
      <c r="M989" s="415" t="s">
        <v>145</v>
      </c>
      <c r="N989" s="455">
        <f>VLOOKUP(Tableau119[[#This Row],[Name Site]],Plant_AILN!A:C,3,FALSE)</f>
        <v>92002200</v>
      </c>
      <c r="O989" s="104">
        <f>IF(Tableau119[[#This Row],[Name PFI/CDD]]="PFI VLL",2,VLOOKUP(Tableau119[[#This Row],[Compte Consignee]],Order!C:D,2,FALSE))</f>
        <v>2</v>
      </c>
      <c r="P989" s="126" t="s">
        <v>186</v>
      </c>
      <c r="Q989" s="366">
        <f>VLOOKUP(Tableau119[[#This Row],[Name ILN]],Plant_AILN!F:G,2,FALSE)</f>
        <v>333333</v>
      </c>
      <c r="R989" s="81">
        <f>VLOOKUP(Tableau119[[#This Row],[Compte ILN]],'DATA ILN'!D:I,6,FALSE)</f>
        <v>9</v>
      </c>
      <c r="S989" s="81" t="e">
        <f>IFERROR(VLOOKUP(Tableau119[[#This Row],[Key(Compte ILN - shipper - POL - plant)]],'DATA ILN'!A:J,10,FALSE),VLOOKUP(Tableau119[[#This Row],[Key(Compte ILN - shipper - POL)]],'DATA ILN'!B:J,9,FALSE))</f>
        <v>#N/A</v>
      </c>
      <c r="T989" s="81" t="e">
        <f>IFERROR(VLOOKUP(Tableau119[[#This Row],[Key(Compte ILN - shipper - POL - plant)]],'DATA ILN'!A:K,11,FALSE),VLOOKUP(Tableau119[[#This Row],[Key(Compte ILN - shipper - POL)]],'DATA ILN'!B:K,10,FALSE))</f>
        <v>#N/A</v>
      </c>
      <c r="U989" s="81" t="e">
        <f>IFERROR(VLOOKUP(Tableau119[[#This Row],[Key(Compte ILN - shipper - POL - plant)]],'DATA ILN'!A:L,12,FALSE),VLOOKUP(Tableau119[[#This Row],[Key(Compte ILN - shipper - POL)]],'DATA ILN'!B:L,11,FALSE))</f>
        <v>#N/A</v>
      </c>
      <c r="V989" s="81" t="e">
        <f>Tableau119[[#This Row],[Day ILN Order]]+Tableau119[[#This Row],[Delivery time to ILN/Shipper]]-1</f>
        <v>#N/A</v>
      </c>
      <c r="W989" s="81" t="e">
        <f>IFERROR(VLOOKUP(Tableau119[[#This Row],[Key(Compte ILN - shipper - POL - plant)]],'DATA ILN'!A:N,14,FALSE),VLOOKUP(Tableau119[[#This Row],[Key(Compte ILN - shipper - POL)]],'DATA ILN'!B:N,13,FALSE))</f>
        <v>#N/A</v>
      </c>
      <c r="X989" s="81" t="e">
        <f>IFERROR(VLOOKUP(Tableau119[[#This Row],[Key(Compte ILN - shipper - POL - plant)]],'DATA ILN'!A:P,16,FALSE),VLOOKUP(Tableau119[[#This Row],[Key(Compte ILN - shipper - POL)]],'DATA ILN'!B:P,15,FALSE))</f>
        <v>#N/A</v>
      </c>
      <c r="Y989" s="102" t="s">
        <v>186</v>
      </c>
      <c r="Z989" s="417">
        <f>IFERROR(VLOOKUP(Tableau119[[#This Row],[Name Shipper]],Plant_AILN!L:M,2,FALSE),0)</f>
        <v>333333</v>
      </c>
      <c r="AA989" s="416">
        <v>1083</v>
      </c>
      <c r="AB989" s="396" t="b">
        <f>_xlfn.XLOOKUP(Tableau119[[#This Row],[Key(ID-date)]],'DATA BTO'!S:S,'DATA BTO'!E:E,FALSE)</f>
        <v>0</v>
      </c>
      <c r="AC989" s="3" t="b">
        <f>_xlfn.XLOOKUP(Tableau119[[#This Row],[Key(ID-date)]],'DATA BTO'!S:S,'DATA BTO'!F:F,FALSE)</f>
        <v>0</v>
      </c>
      <c r="AD989" s="50" t="b">
        <f>_xlfn.XLOOKUP(Tableau119[[#This Row],[Key(ID-date)]],'DATA BTO'!S:S,'DATA BTO'!G:G,FALSE)</f>
        <v>0</v>
      </c>
      <c r="AE989" s="50" t="b">
        <f>_xlfn.XLOOKUP(Tableau119[[#This Row],[Key(ID-date)]],'DATA BTO'!S:S,'DATA BTO'!H:H,FALSE)</f>
        <v>0</v>
      </c>
      <c r="AF989" s="447" t="e">
        <f>IF(Tableau119[[#This Row],[First Day to POL]]&lt;=Tableau119[[#This Row],[Day Cut Off]],Tableau119[[#This Row],[Day ETD]],Tableau119[[#This Row],[Day ETD]]+7)</f>
        <v>#N/A</v>
      </c>
      <c r="AG989" s="50" t="b">
        <f>_xlfn.XLOOKUP(Tableau119[[#This Row],[Key(ID-date)]],'DATA BTO'!S:S,'DATA BTO'!I:I,FALSE)</f>
        <v>0</v>
      </c>
      <c r="AH989" s="3" t="b">
        <f>_xlfn.XLOOKUP(Tableau119[[#This Row],[Key(ID-date)]],'DATA BTO'!S:S,'DATA BTO'!J:J,FALSE)</f>
        <v>0</v>
      </c>
      <c r="AI989" s="3" t="b">
        <f>_xlfn.XLOOKUP(Tableau119[[#This Row],[Key(ID-date)]],'DATA BTO'!S:S,'DATA BTO'!K:K,FALSE)</f>
        <v>0</v>
      </c>
      <c r="AJ989" s="50" t="b">
        <f>_xlfn.XLOOKUP(Tableau119[[#This Row],[Key(ID-date)]],'DATA BTO'!S:S,'DATA BTO'!L:L,FALSE)</f>
        <v>0</v>
      </c>
      <c r="AK989" s="53" t="b">
        <f>_xlfn.XLOOKUP(Tableau119[[#This Row],[Key(ID-date)]],'DATA BTO'!S:S,'DATA BTO'!N:N,FALSE)</f>
        <v>0</v>
      </c>
      <c r="AL989" s="54" t="e">
        <f>VLOOKUP(Tableau119[[#This Row],[Key(POD -PFI- Usine)]],'DATA Consignee'!A:F,6,FALSE)</f>
        <v>#N/A</v>
      </c>
      <c r="AM989" s="102"/>
      <c r="AN989" s="375" t="str">
        <f>IF(Tableau119[[#This Row],[Name PFI/CDD]]="","-",VLOOKUP(Tableau119[[#This Row],[Name PFI/CDD]],Plant_AILN!I:J,2,FALSE))</f>
        <v>-</v>
      </c>
      <c r="AO98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8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89" s="110" t="e">
        <f>VLOOKUP(Tableau119[[#This Row],[Key(POD -PFI- Usine)]],'DATA Consignee'!A:J,10,FALSE)</f>
        <v>#N/A</v>
      </c>
      <c r="AR989" s="81" t="e">
        <f>VLOOKUP(Tableau119[[#This Row],[Key(POD -PFI- Usine)]],'DATA Consignee'!A:N,14,FALSE)</f>
        <v>#N/A</v>
      </c>
      <c r="AS989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89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89" s="81">
        <f>Tableau119[[#This Row],[Transit time]]+Tableau119[[#This Row],[Time for security]]+Tableau119[[#This Row],[Time for security2 buffer]]</f>
        <v>0</v>
      </c>
      <c r="AV989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89" s="50" t="e">
        <f>Tableau119[[#This Row],[Leadtime SI2C]]+Tableau119[[#This Row],[First Receipt Days]]-Tableau119[[#This Row],[Day Customer Order]]+1</f>
        <v>#N/A</v>
      </c>
      <c r="AX989" s="119" t="e">
        <f>IF(Tableau119[[#This Row],[Name ILN]]&lt;&gt;"SFK Freight Forwarder",Tableau119[[#This Row],[Cust. Leadtime]],Tableau119[[#This Row],[Leadtime SI2C]])</f>
        <v>#N/A</v>
      </c>
      <c r="AY989" s="51" t="b">
        <f>_xlfn.XLOOKUP(Tableau119[[#This Row],[Key(ID-date)]],'DATA BTO'!S:S,'DATA BTO'!P:P,FALSE)</f>
        <v>0</v>
      </c>
      <c r="AZ989" s="388">
        <v>46142</v>
      </c>
      <c r="BA989" s="81"/>
    </row>
    <row r="990" spans="2:53">
      <c r="B990" s="446" t="str">
        <f>_xlfn.CONCAT(Tableau119[[#This Row],[Name ILN]],"-",Tableau119[[#This Row],[Name Shipper]],"-",Tableau119[[#This Row],[Name Site]])</f>
        <v>ILN Mexique-ILN Mexique-CURITIBA CMO</v>
      </c>
      <c r="C990" s="66" t="str">
        <f>_xlfn.CONCAT(Tableau119[[#This Row],[Compte ILN]],"-",Tableau119[[#This Row],[Compte Shipper]],"-",Tableau119[[#This Row],[POL]],"-",Tableau119[[#This Row],[Compte Consignee]])</f>
        <v>333333-333333-MXVER-90018600</v>
      </c>
      <c r="D990" s="66" t="str">
        <f>_xlfn.CONCAT(Tableau119[[#This Row],[Compte ILN]],"-",Tableau119[[#This Row],[Compte Shipper]],"-",Tableau119[[#This Row],[POL]])</f>
        <v>333333-333333-MXVER</v>
      </c>
      <c r="E990" s="130" t="str">
        <f>_xlfn.CONCAT(Tableau119[[#This Row],[POL]],"-",Tableau119[[#This Row],[Carrier]],"-",Tableau119[[#This Row],[POD]])</f>
        <v>MXVER-MSC-BRPNG</v>
      </c>
      <c r="F990" s="66" t="str">
        <f>_xlfn.CONCAT(Tableau119[[#This Row],[ID]],"-","Actif")</f>
        <v>1084-Actif</v>
      </c>
      <c r="G990" s="66" t="str">
        <f>_xlfn.CONCAT(Tableau119[[#This Row],[POD]],"-",Tableau119[[#This Row],[Code PFI]],"-",Tableau119[[#This Row],[Compte Consignee]])</f>
        <v>BRPNG---90018600</v>
      </c>
      <c r="H990" s="131" t="str">
        <f>_xlfn.CONCAT(IF(Tableau119[[#This Row],[Name ILN]]=Tableau119[[#This Row],[Name Shipper]],Tableau119[[#This Row],[Name ILN]],Tableau119[[#This Row],[Compte Shipper]]),Tableau119[[#This Row],[POL]],Tableau119[[#This Row],[Name Site]])</f>
        <v>ILN MexiqueMXVERCURITIBA CMO</v>
      </c>
      <c r="I990" s="434" t="str">
        <f>_xlfn.CONCAT(Tableau119[[#This Row],[ID]],"-",Tableau119[[#This Row],[Expiration Date]])</f>
        <v>1084-46142</v>
      </c>
      <c r="J990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CMO-ILN Mexique-ILN Mexique-1084-MXVER-MSC-BRPNG--46142</v>
      </c>
      <c r="K990" s="119" t="str">
        <f ca="1">IF(COUNTIF(J:J,Tableau119[[#This Row],[Plant-ILN-shipper-POL-Carrier-POD-PFI]])=1,"Non","Oui")</f>
        <v>Non</v>
      </c>
      <c r="L990" s="128" t="str">
        <f>VLOOKUP(Tableau119[[#This Row],[Name Site]],Plant_AILN!A:D,4,FALSE)</f>
        <v>BRAZIL</v>
      </c>
      <c r="M990" s="411" t="s">
        <v>174</v>
      </c>
      <c r="N990" s="454">
        <f>VLOOKUP(Tableau119[[#This Row],[Name Site]],Plant_AILN!A:C,3,FALSE)</f>
        <v>90018600</v>
      </c>
      <c r="O990" s="55">
        <f>IF(Tableau119[[#This Row],[Name PFI/CDD]]="PFI VLL",2,VLOOKUP(Tableau119[[#This Row],[Compte Consignee]],Order!C:D,2,FALSE))</f>
        <v>7</v>
      </c>
      <c r="P990" s="124" t="s">
        <v>186</v>
      </c>
      <c r="Q990" s="365">
        <f>VLOOKUP(Tableau119[[#This Row],[Name ILN]],Plant_AILN!F:G,2,FALSE)</f>
        <v>333333</v>
      </c>
      <c r="R990" s="50">
        <f>VLOOKUP(Tableau119[[#This Row],[Compte ILN]],'DATA ILN'!D:I,6,FALSE)</f>
        <v>9</v>
      </c>
      <c r="S990" s="50">
        <f>IFERROR(VLOOKUP(Tableau119[[#This Row],[Key(Compte ILN - shipper - POL - plant)]],'DATA ILN'!A:J,10,FALSE),VLOOKUP(Tableau119[[#This Row],[Key(Compte ILN - shipper - POL)]],'DATA ILN'!B:J,9,FALSE))</f>
        <v>14</v>
      </c>
      <c r="T990" s="50">
        <f>IFERROR(VLOOKUP(Tableau119[[#This Row],[Key(Compte ILN - shipper - POL - plant)]],'DATA ILN'!A:K,11,FALSE),VLOOKUP(Tableau119[[#This Row],[Key(Compte ILN - shipper - POL)]],'DATA ILN'!B:K,10,FALSE))</f>
        <v>5</v>
      </c>
      <c r="U990" s="50">
        <f>IFERROR(VLOOKUP(Tableau119[[#This Row],[Key(Compte ILN - shipper - POL - plant)]],'DATA ILN'!A:L,12,FALSE),VLOOKUP(Tableau119[[#This Row],[Key(Compte ILN - shipper - POL)]],'DATA ILN'!B:L,11,FALSE))</f>
        <v>7</v>
      </c>
      <c r="V990" s="50">
        <f>Tableau119[[#This Row],[Day ILN Order]]+Tableau119[[#This Row],[Delivery time to ILN/Shipper]]-1</f>
        <v>22</v>
      </c>
      <c r="W990" s="50">
        <f>IFERROR(VLOOKUP(Tableau119[[#This Row],[Key(Compte ILN - shipper - POL - plant)]],'DATA ILN'!A:N,14,FALSE),VLOOKUP(Tableau119[[#This Row],[Key(Compte ILN - shipper - POL)]],'DATA ILN'!B:N,13,FALSE))</f>
        <v>2</v>
      </c>
      <c r="X990" s="50">
        <f>IFERROR(VLOOKUP(Tableau119[[#This Row],[Key(Compte ILN - shipper - POL - plant)]],'DATA ILN'!A:P,16,FALSE),VLOOKUP(Tableau119[[#This Row],[Key(Compte ILN - shipper - POL)]],'DATA ILN'!B:P,15,FALSE))</f>
        <v>1</v>
      </c>
      <c r="Y990" s="284" t="s">
        <v>186</v>
      </c>
      <c r="Z990" s="430">
        <f>IFERROR(VLOOKUP(Tableau119[[#This Row],[Name Shipper]],Plant_AILN!L:M,2,FALSE),0)</f>
        <v>333333</v>
      </c>
      <c r="AA990" s="406">
        <v>1084</v>
      </c>
      <c r="AB990" s="396" t="str">
        <f>_xlfn.XLOOKUP(Tableau119[[#This Row],[Key(ID-date)]],'DATA BTO'!S:S,'DATA BTO'!E:E,FALSE)</f>
        <v>MXVER</v>
      </c>
      <c r="AC990" s="3" t="str">
        <f>_xlfn.XLOOKUP(Tableau119[[#This Row],[Key(ID-date)]],'DATA BTO'!S:S,'DATA BTO'!F:F,FALSE)</f>
        <v>MSC</v>
      </c>
      <c r="AD990" s="50">
        <f>_xlfn.XLOOKUP(Tableau119[[#This Row],[Key(ID-date)]],'DATA BTO'!S:S,'DATA BTO'!G:G,FALSE)</f>
        <v>3</v>
      </c>
      <c r="AE990" s="50">
        <f>_xlfn.XLOOKUP(Tableau119[[#This Row],[Key(ID-date)]],'DATA BTO'!S:S,'DATA BTO'!H:H,FALSE)</f>
        <v>5</v>
      </c>
      <c r="AF990" s="447">
        <f>IF(Tableau119[[#This Row],[First Day to POL]]&lt;=Tableau119[[#This Row],[Day Cut Off]],Tableau119[[#This Row],[Day ETD]],Tableau119[[#This Row],[Day ETD]]+7)</f>
        <v>5</v>
      </c>
      <c r="AG990" s="50">
        <f>_xlfn.XLOOKUP(Tableau119[[#This Row],[Key(ID-date)]],'DATA BTO'!S:S,'DATA BTO'!I:I,FALSE)</f>
        <v>35</v>
      </c>
      <c r="AH990" s="3" t="str">
        <f>_xlfn.XLOOKUP(Tableau119[[#This Row],[Key(ID-date)]],'DATA BTO'!S:S,'DATA BTO'!J:J,FALSE)</f>
        <v>BRPNG</v>
      </c>
      <c r="AI990" s="3">
        <f>_xlfn.XLOOKUP(Tableau119[[#This Row],[Key(ID-date)]],'DATA BTO'!S:S,'DATA BTO'!K:K,FALSE)</f>
        <v>3</v>
      </c>
      <c r="AJ990" s="50">
        <f>_xlfn.XLOOKUP(Tableau119[[#This Row],[Key(ID-date)]],'DATA BTO'!S:S,'DATA BTO'!L:L,FALSE)</f>
        <v>0</v>
      </c>
      <c r="AK990" s="53" t="str">
        <f>_xlfn.XLOOKUP(Tableau119[[#This Row],[Key(ID-date)]],'DATA BTO'!S:S,'DATA BTO'!N:N,FALSE)</f>
        <v>Jocelyn</v>
      </c>
      <c r="AL990" s="54">
        <f>VLOOKUP(Tableau119[[#This Row],[Key(POD -PFI- Usine)]],'DATA Consignee'!A:F,6,FALSE)</f>
        <v>2</v>
      </c>
      <c r="AM990" s="284"/>
      <c r="AN990" s="376" t="str">
        <f>IF(Tableau119[[#This Row],[Name PFI/CDD]]="","-",VLOOKUP(Tableau119[[#This Row],[Name PFI/CDD]],Plant_AILN!I:J,2,FALSE))</f>
        <v>-</v>
      </c>
      <c r="AO990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0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0" s="2">
        <f>VLOOKUP(Tableau119[[#This Row],[Key(POD -PFI- Usine)]],'DATA Consignee'!A:J,10,FALSE)</f>
        <v>0</v>
      </c>
      <c r="AR990" s="50">
        <f>VLOOKUP(Tableau119[[#This Row],[Key(POD -PFI- Usine)]],'DATA Consignee'!A:N,14,FALSE)</f>
        <v>2</v>
      </c>
      <c r="AS990" s="55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3</v>
      </c>
      <c r="AT990" s="54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17</v>
      </c>
      <c r="AU990" s="50">
        <f>Tableau119[[#This Row],[Transit time]]+Tableau119[[#This Row],[Time for security]]+Tableau119[[#This Row],[Time for security2 buffer]]</f>
        <v>38</v>
      </c>
      <c r="AV990" s="50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62</v>
      </c>
      <c r="AW990" s="50">
        <f>Tableau119[[#This Row],[Leadtime SI2C]]+Tableau119[[#This Row],[First Receipt Days]]-Tableau119[[#This Row],[Day Customer Order]]+1</f>
        <v>78</v>
      </c>
      <c r="AX990" s="119">
        <f>IF(Tableau119[[#This Row],[Name ILN]]&lt;&gt;"SFK Freight Forwarder",Tableau119[[#This Row],[Cust. Leadtime]],Tableau119[[#This Row],[Leadtime SI2C]])</f>
        <v>78</v>
      </c>
      <c r="AY990" s="51" t="str">
        <f>_xlfn.XLOOKUP(Tableau119[[#This Row],[Key(ID-date)]],'DATA BTO'!S:S,'DATA BTO'!P:P,FALSE)</f>
        <v>Renault &gt; Horse BPH</v>
      </c>
      <c r="AZ990" s="338">
        <v>46142</v>
      </c>
      <c r="BA990" s="50"/>
    </row>
    <row r="991" spans="2:53">
      <c r="B991" s="446" t="str">
        <f>_xlfn.CONCAT(Tableau119[[#This Row],[Name ILN]],"-",Tableau119[[#This Row],[Name Shipper]],"-",Tableau119[[#This Row],[Name Site]])</f>
        <v>SFK Freight Forwarder-INFIMOTION-CACIA</v>
      </c>
      <c r="C991" s="66" t="str">
        <f>_xlfn.CONCAT(Tableau119[[#This Row],[Compte ILN]],"-",Tableau119[[#This Row],[Compte Shipper]],"-",Tableau119[[#This Row],[POL]],"-",Tableau119[[#This Row],[Compte Consignee]])</f>
        <v>0-43919900-FALSO-90016500</v>
      </c>
      <c r="D991" s="66" t="str">
        <f>_xlfn.CONCAT(Tableau119[[#This Row],[Compte ILN]],"-",Tableau119[[#This Row],[Compte Shipper]],"-",Tableau119[[#This Row],[POL]])</f>
        <v>0-43919900-FALSO</v>
      </c>
      <c r="E991" s="130" t="str">
        <f>_xlfn.CONCAT(Tableau119[[#This Row],[POL]],"-",Tableau119[[#This Row],[Carrier]],"-",Tableau119[[#This Row],[POD]])</f>
        <v>FALSO-FALSO-FALSO</v>
      </c>
      <c r="F991" s="66" t="str">
        <f>_xlfn.CONCAT(Tableau119[[#This Row],[ID]],"-","Actif")</f>
        <v>1085-Actif</v>
      </c>
      <c r="G991" s="66" t="str">
        <f>_xlfn.CONCAT(Tableau119[[#This Row],[POD]],"-",Tableau119[[#This Row],[Code PFI]],"-",Tableau119[[#This Row],[Compte Consignee]])</f>
        <v>FALSO---90016500</v>
      </c>
      <c r="H991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43919900FALSOCACIA</v>
      </c>
      <c r="I991" s="434" t="str">
        <f>_xlfn.CONCAT(Tableau119[[#This Row],[ID]],"-",Tableau119[[#This Row],[Expiration Date]])</f>
        <v>1085-46142</v>
      </c>
      <c r="J991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CACIA-SFK Freight Forwarder-INFIMOTION-1085-FALSO-FALSO-FALSO--46142</v>
      </c>
      <c r="K991" s="119" t="str">
        <f ca="1">IF(COUNTIF(J:J,Tableau119[[#This Row],[Plant-ILN-shipper-POL-Carrier-POD-PFI]])=1,"Non","Oui")</f>
        <v>Non</v>
      </c>
      <c r="L991" s="128" t="str">
        <f>VLOOKUP(Tableau119[[#This Row],[Name Site]],Plant_AILN!A:D,4,FALSE)</f>
        <v>PORTUGAL</v>
      </c>
      <c r="M991" s="415" t="s">
        <v>170</v>
      </c>
      <c r="N991" s="455">
        <f>VLOOKUP(Tableau119[[#This Row],[Name Site]],Plant_AILN!A:C,3,FALSE)</f>
        <v>90016500</v>
      </c>
      <c r="O991" s="104">
        <f>IF(Tableau119[[#This Row],[Name PFI/CDD]]="PFI VLL",2,VLOOKUP(Tableau119[[#This Row],[Compte Consignee]],Order!C:D,2,FALSE))</f>
        <v>5</v>
      </c>
      <c r="P991" s="126" t="s">
        <v>146</v>
      </c>
      <c r="Q991" s="366">
        <f>VLOOKUP(Tableau119[[#This Row],[Name ILN]],Plant_AILN!F:G,2,FALSE)</f>
        <v>0</v>
      </c>
      <c r="R991" s="81">
        <f>VLOOKUP(Tableau119[[#This Row],[Compte ILN]],'DATA ILN'!D:I,6,FALSE)</f>
        <v>9</v>
      </c>
      <c r="S991" s="81" t="e">
        <f>IFERROR(VLOOKUP(Tableau119[[#This Row],[Key(Compte ILN - shipper - POL - plant)]],'DATA ILN'!A:J,10,FALSE),VLOOKUP(Tableau119[[#This Row],[Key(Compte ILN - shipper - POL)]],'DATA ILN'!B:J,9,FALSE))</f>
        <v>#N/A</v>
      </c>
      <c r="T991" s="81" t="e">
        <f>IFERROR(VLOOKUP(Tableau119[[#This Row],[Key(Compte ILN - shipper - POL - plant)]],'DATA ILN'!A:K,11,FALSE),VLOOKUP(Tableau119[[#This Row],[Key(Compte ILN - shipper - POL)]],'DATA ILN'!B:K,10,FALSE))</f>
        <v>#N/A</v>
      </c>
      <c r="U991" s="81" t="e">
        <f>IFERROR(VLOOKUP(Tableau119[[#This Row],[Key(Compte ILN - shipper - POL - plant)]],'DATA ILN'!A:L,12,FALSE),VLOOKUP(Tableau119[[#This Row],[Key(Compte ILN - shipper - POL)]],'DATA ILN'!B:L,11,FALSE))</f>
        <v>#N/A</v>
      </c>
      <c r="V991" s="81" t="e">
        <f>Tableau119[[#This Row],[Day ILN Order]]+Tableau119[[#This Row],[Delivery time to ILN/Shipper]]-1</f>
        <v>#N/A</v>
      </c>
      <c r="W991" s="81" t="e">
        <f>IFERROR(VLOOKUP(Tableau119[[#This Row],[Key(Compte ILN - shipper - POL - plant)]],'DATA ILN'!A:N,14,FALSE),VLOOKUP(Tableau119[[#This Row],[Key(Compte ILN - shipper - POL)]],'DATA ILN'!B:N,13,FALSE))</f>
        <v>#N/A</v>
      </c>
      <c r="X991" s="81" t="e">
        <f>IFERROR(VLOOKUP(Tableau119[[#This Row],[Key(Compte ILN - shipper - POL - plant)]],'DATA ILN'!A:P,16,FALSE),VLOOKUP(Tableau119[[#This Row],[Key(Compte ILN - shipper - POL)]],'DATA ILN'!B:P,15,FALSE))</f>
        <v>#N/A</v>
      </c>
      <c r="Y991" s="102" t="s">
        <v>469</v>
      </c>
      <c r="Z991" s="417">
        <f>IFERROR(VLOOKUP(Tableau119[[#This Row],[Name Shipper]],Plant_AILN!L:M,2,FALSE),0)</f>
        <v>43919900</v>
      </c>
      <c r="AA991" s="416">
        <v>1085</v>
      </c>
      <c r="AB991" s="396" t="b">
        <f>_xlfn.XLOOKUP(Tableau119[[#This Row],[Key(ID-date)]],'DATA BTO'!S:S,'DATA BTO'!E:E,FALSE)</f>
        <v>0</v>
      </c>
      <c r="AC991" s="3" t="b">
        <f>_xlfn.XLOOKUP(Tableau119[[#This Row],[Key(ID-date)]],'DATA BTO'!S:S,'DATA BTO'!F:F,FALSE)</f>
        <v>0</v>
      </c>
      <c r="AD991" s="50" t="b">
        <f>_xlfn.XLOOKUP(Tableau119[[#This Row],[Key(ID-date)]],'DATA BTO'!S:S,'DATA BTO'!G:G,FALSE)</f>
        <v>0</v>
      </c>
      <c r="AE991" s="50" t="b">
        <f>_xlfn.XLOOKUP(Tableau119[[#This Row],[Key(ID-date)]],'DATA BTO'!S:S,'DATA BTO'!H:H,FALSE)</f>
        <v>0</v>
      </c>
      <c r="AF991" s="447" t="e">
        <f>IF(Tableau119[[#This Row],[First Day to POL]]&lt;=Tableau119[[#This Row],[Day Cut Off]],Tableau119[[#This Row],[Day ETD]],Tableau119[[#This Row],[Day ETD]]+7)</f>
        <v>#N/A</v>
      </c>
      <c r="AG991" s="50" t="b">
        <f>_xlfn.XLOOKUP(Tableau119[[#This Row],[Key(ID-date)]],'DATA BTO'!S:S,'DATA BTO'!I:I,FALSE)</f>
        <v>0</v>
      </c>
      <c r="AH991" s="3" t="b">
        <f>_xlfn.XLOOKUP(Tableau119[[#This Row],[Key(ID-date)]],'DATA BTO'!S:S,'DATA BTO'!J:J,FALSE)</f>
        <v>0</v>
      </c>
      <c r="AI991" s="3" t="b">
        <f>_xlfn.XLOOKUP(Tableau119[[#This Row],[Key(ID-date)]],'DATA BTO'!S:S,'DATA BTO'!K:K,FALSE)</f>
        <v>0</v>
      </c>
      <c r="AJ991" s="50" t="b">
        <f>_xlfn.XLOOKUP(Tableau119[[#This Row],[Key(ID-date)]],'DATA BTO'!S:S,'DATA BTO'!L:L,FALSE)</f>
        <v>0</v>
      </c>
      <c r="AK991" s="53" t="b">
        <f>_xlfn.XLOOKUP(Tableau119[[#This Row],[Key(ID-date)]],'DATA BTO'!S:S,'DATA BTO'!N:N,FALSE)</f>
        <v>0</v>
      </c>
      <c r="AL991" s="54" t="e">
        <f>VLOOKUP(Tableau119[[#This Row],[Key(POD -PFI- Usine)]],'DATA Consignee'!A:F,6,FALSE)</f>
        <v>#N/A</v>
      </c>
      <c r="AM991" s="102"/>
      <c r="AN991" s="375" t="str">
        <f>IF(Tableau119[[#This Row],[Name PFI/CDD]]="","-",VLOOKUP(Tableau119[[#This Row],[Name PFI/CDD]],Plant_AILN!I:J,2,FALSE))</f>
        <v>-</v>
      </c>
      <c r="AO991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1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1" s="110" t="e">
        <f>VLOOKUP(Tableau119[[#This Row],[Key(POD -PFI- Usine)]],'DATA Consignee'!A:J,10,FALSE)</f>
        <v>#N/A</v>
      </c>
      <c r="AR991" s="81" t="e">
        <f>VLOOKUP(Tableau119[[#This Row],[Key(POD -PFI- Usine)]],'DATA Consignee'!A:N,14,FALSE)</f>
        <v>#N/A</v>
      </c>
      <c r="AS991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1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1" s="81">
        <f>Tableau119[[#This Row],[Transit time]]+Tableau119[[#This Row],[Time for security]]+Tableau119[[#This Row],[Time for security2 buffer]]</f>
        <v>0</v>
      </c>
      <c r="AV991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1" s="50" t="e">
        <f>Tableau119[[#This Row],[Leadtime SI2C]]+Tableau119[[#This Row],[First Receipt Days]]-Tableau119[[#This Row],[Day Customer Order]]+1</f>
        <v>#N/A</v>
      </c>
      <c r="AX991" s="119" t="e">
        <f>IF(Tableau119[[#This Row],[Name ILN]]&lt;&gt;"SFK Freight Forwarder",Tableau119[[#This Row],[Cust. Leadtime]],Tableau119[[#This Row],[Leadtime SI2C]])</f>
        <v>#N/A</v>
      </c>
      <c r="AY991" s="51" t="b">
        <f>_xlfn.XLOOKUP(Tableau119[[#This Row],[Key(ID-date)]],'DATA BTO'!S:S,'DATA BTO'!P:P,FALSE)</f>
        <v>0</v>
      </c>
      <c r="AZ991" s="388">
        <v>46142</v>
      </c>
      <c r="BA991" s="81"/>
    </row>
    <row r="992" spans="2:53">
      <c r="B992" s="446" t="str">
        <f>_xlfn.CONCAT(Tableau119[[#This Row],[Name ILN]],"-",Tableau119[[#This Row],[Name Shipper]],"-",Tableau119[[#This Row],[Name Site]])</f>
        <v>SFK Freight Forwarder-linlong serbie-SOFASA</v>
      </c>
      <c r="C992" s="66" t="str">
        <f>_xlfn.CONCAT(Tableau119[[#This Row],[Compte ILN]],"-",Tableau119[[#This Row],[Compte Shipper]],"-",Tableau119[[#This Row],[POL]],"-",Tableau119[[#This Row],[Compte Consignee]])</f>
        <v>0-43763900-FALSO-9510600</v>
      </c>
      <c r="D992" s="66" t="str">
        <f>_xlfn.CONCAT(Tableau119[[#This Row],[Compte ILN]],"-",Tableau119[[#This Row],[Compte Shipper]],"-",Tableau119[[#This Row],[POL]])</f>
        <v>0-43763900-FALSO</v>
      </c>
      <c r="E992" s="130" t="str">
        <f>_xlfn.CONCAT(Tableau119[[#This Row],[POL]],"-",Tableau119[[#This Row],[Carrier]],"-",Tableau119[[#This Row],[POD]])</f>
        <v>FALSO-FALSO-FALSO</v>
      </c>
      <c r="F992" s="66" t="str">
        <f>_xlfn.CONCAT(Tableau119[[#This Row],[ID]],"-","Actif")</f>
        <v>1086-Actif</v>
      </c>
      <c r="G992" s="66" t="str">
        <f>_xlfn.CONCAT(Tableau119[[#This Row],[POD]],"-",Tableau119[[#This Row],[Code PFI]],"-",Tableau119[[#This Row],[Compte Consignee]])</f>
        <v>FALSO---9510600</v>
      </c>
      <c r="H992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43763900FALSOSOFASA</v>
      </c>
      <c r="I992" s="434" t="str">
        <f>_xlfn.CONCAT(Tableau119[[#This Row],[ID]],"-",Tableau119[[#This Row],[Expiration Date]])</f>
        <v>1086-46142</v>
      </c>
      <c r="J992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SOFASA-SFK Freight Forwarder-linlong serbie-1086-FALSO-FALSO-FALSO--46142</v>
      </c>
      <c r="K992" s="119" t="str">
        <f ca="1">IF(COUNTIF(J:J,Tableau119[[#This Row],[Plant-ILN-shipper-POL-Carrier-POD-PFI]])=1,"Non","Oui")</f>
        <v>Non</v>
      </c>
      <c r="L992" s="128" t="str">
        <f>VLOOKUP(Tableau119[[#This Row],[Name Site]],Plant_AILN!A:D,4,FALSE)</f>
        <v>COLOMBIA</v>
      </c>
      <c r="M992" s="504" t="s">
        <v>177</v>
      </c>
      <c r="N992" s="455">
        <f>VLOOKUP(Tableau119[[#This Row],[Name Site]],Plant_AILN!A:C,3,FALSE)</f>
        <v>9510600</v>
      </c>
      <c r="O992" s="104">
        <f>VLOOKUP(Tableau119[[#This Row],[Compte Consignee]],Order!C:D,2,FALSE)</f>
        <v>7</v>
      </c>
      <c r="P992" s="126" t="s">
        <v>146</v>
      </c>
      <c r="Q992" s="366">
        <f>VLOOKUP(Tableau119[[#This Row],[Name ILN]],Plant_AILN!F:G,2,FALSE)</f>
        <v>0</v>
      </c>
      <c r="R992" s="81">
        <f>VLOOKUP(Tableau119[[#This Row],[Compte ILN]],'DATA ILN'!D:I,6,FALSE)</f>
        <v>9</v>
      </c>
      <c r="S992" s="81" t="e">
        <f>IFERROR(VLOOKUP(Tableau119[[#This Row],[Key(Compte ILN - shipper - POL - plant)]],'DATA ILN'!A:J,10,FALSE),VLOOKUP(Tableau119[[#This Row],[Key(Compte ILN - shipper - POL)]],'DATA ILN'!B:J,9,FALSE))</f>
        <v>#N/A</v>
      </c>
      <c r="T992" s="81" t="e">
        <f>IFERROR(VLOOKUP(Tableau119[[#This Row],[Key(Compte ILN - shipper - POL - plant)]],'DATA ILN'!A:K,11,FALSE),VLOOKUP(Tableau119[[#This Row],[Key(Compte ILN - shipper - POL)]],'DATA ILN'!B:K,10,FALSE))</f>
        <v>#N/A</v>
      </c>
      <c r="U992" s="81" t="e">
        <f>IFERROR(VLOOKUP(Tableau119[[#This Row],[Key(Compte ILN - shipper - POL - plant)]],'DATA ILN'!A:L,12,FALSE),VLOOKUP(Tableau119[[#This Row],[Key(Compte ILN - shipper - POL)]],'DATA ILN'!B:L,11,FALSE))</f>
        <v>#N/A</v>
      </c>
      <c r="V992" s="81" t="e">
        <f>Tableau119[[#This Row],[Day ILN Order]]+Tableau119[[#This Row],[Delivery time to ILN/Shipper]]-1</f>
        <v>#N/A</v>
      </c>
      <c r="W992" s="81" t="e">
        <f>IFERROR(VLOOKUP(Tableau119[[#This Row],[Key(Compte ILN - shipper - POL - plant)]],'DATA ILN'!A:N,14,FALSE),VLOOKUP(Tableau119[[#This Row],[Key(Compte ILN - shipper - POL)]],'DATA ILN'!B:N,13,FALSE))</f>
        <v>#N/A</v>
      </c>
      <c r="X992" s="81" t="e">
        <f>IFERROR(VLOOKUP(Tableau119[[#This Row],[Key(Compte ILN - shipper - POL - plant)]],'DATA ILN'!A:P,16,FALSE),VLOOKUP(Tableau119[[#This Row],[Key(Compte ILN - shipper - POL)]],'DATA ILN'!B:P,15,FALSE))</f>
        <v>#N/A</v>
      </c>
      <c r="Y992" s="102" t="s">
        <v>434</v>
      </c>
      <c r="Z992" s="417">
        <f>IFERROR(VLOOKUP(Tableau119[[#This Row],[Name Shipper]],Plant_AILN!L:M,2,FALSE),0)</f>
        <v>43763900</v>
      </c>
      <c r="AA992" s="416">
        <v>1086</v>
      </c>
      <c r="AB992" s="396" t="b">
        <f>_xlfn.XLOOKUP(Tableau119[[#This Row],[Key(ID-date)]],'DATA BTO'!S:S,'DATA BTO'!E:E,FALSE)</f>
        <v>0</v>
      </c>
      <c r="AC992" s="3" t="b">
        <f>_xlfn.XLOOKUP(Tableau119[[#This Row],[Key(ID-date)]],'DATA BTO'!S:S,'DATA BTO'!F:F,FALSE)</f>
        <v>0</v>
      </c>
      <c r="AD992" s="50" t="b">
        <f>_xlfn.XLOOKUP(Tableau119[[#This Row],[Key(ID-date)]],'DATA BTO'!S:S,'DATA BTO'!G:G,FALSE)</f>
        <v>0</v>
      </c>
      <c r="AE992" s="50" t="b">
        <f>_xlfn.XLOOKUP(Tableau119[[#This Row],[Key(ID-date)]],'DATA BTO'!S:S,'DATA BTO'!H:H,FALSE)</f>
        <v>0</v>
      </c>
      <c r="AF992" s="447" t="e">
        <f>IF(Tableau119[[#This Row],[First Day to POL]]&lt;=Tableau119[[#This Row],[Day Cut Off]],Tableau119[[#This Row],[Day ETD]],Tableau119[[#This Row],[Day ETD]]+7)</f>
        <v>#N/A</v>
      </c>
      <c r="AG992" s="50" t="b">
        <f>_xlfn.XLOOKUP(Tableau119[[#This Row],[Key(ID-date)]],'DATA BTO'!S:S,'DATA BTO'!I:I,FALSE)</f>
        <v>0</v>
      </c>
      <c r="AH992" s="3" t="b">
        <f>_xlfn.XLOOKUP(Tableau119[[#This Row],[Key(ID-date)]],'DATA BTO'!S:S,'DATA BTO'!J:J,FALSE)</f>
        <v>0</v>
      </c>
      <c r="AI992" s="3" t="b">
        <f>_xlfn.XLOOKUP(Tableau119[[#This Row],[Key(ID-date)]],'DATA BTO'!S:S,'DATA BTO'!K:K,FALSE)</f>
        <v>0</v>
      </c>
      <c r="AJ992" s="50" t="b">
        <f>_xlfn.XLOOKUP(Tableau119[[#This Row],[Key(ID-date)]],'DATA BTO'!S:S,'DATA BTO'!L:L,FALSE)</f>
        <v>0</v>
      </c>
      <c r="AK992" s="53" t="b">
        <f>_xlfn.XLOOKUP(Tableau119[[#This Row],[Key(ID-date)]],'DATA BTO'!S:S,'DATA BTO'!N:N,FALSE)</f>
        <v>0</v>
      </c>
      <c r="AL992" s="54" t="e">
        <f>VLOOKUP(Tableau119[[#This Row],[Key(POD -PFI- Usine)]],'DATA Consignee'!A:F,6,FALSE)</f>
        <v>#N/A</v>
      </c>
      <c r="AM992" s="102"/>
      <c r="AN992" s="375" t="str">
        <f>IF(Tableau119[[#This Row],[Name PFI/CDD]]="","-",VLOOKUP(Tableau119[[#This Row],[Name PFI/CDD]],Plant_AILN!I:J,2,FALSE))</f>
        <v>-</v>
      </c>
      <c r="AO992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2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2" s="110" t="e">
        <f>VLOOKUP(Tableau119[[#This Row],[Key(POD -PFI- Usine)]],'DATA Consignee'!A:J,10,FALSE)</f>
        <v>#N/A</v>
      </c>
      <c r="AR992" s="81" t="e">
        <f>VLOOKUP(Tableau119[[#This Row],[Key(POD -PFI- Usine)]],'DATA Consignee'!A:N,14,FALSE)</f>
        <v>#N/A</v>
      </c>
      <c r="AS992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2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2" s="81">
        <f>Tableau119[[#This Row],[Transit time]]+Tableau119[[#This Row],[Time for security]]+Tableau119[[#This Row],[Time for security2 buffer]]</f>
        <v>0</v>
      </c>
      <c r="AV992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2" s="50" t="e">
        <f>Tableau119[[#This Row],[Leadtime SI2C]]+Tableau119[[#This Row],[First Receipt Days]]-Tableau119[[#This Row],[Day Customer Order]]+1</f>
        <v>#N/A</v>
      </c>
      <c r="AX992" s="119" t="e">
        <f>IF(Tableau119[[#This Row],[Name ILN]]&lt;&gt;"SFK Freight Forwarder",Tableau119[[#This Row],[Cust. Leadtime]],Tableau119[[#This Row],[Leadtime SI2C]])</f>
        <v>#N/A</v>
      </c>
      <c r="AY992" s="51" t="b">
        <f>_xlfn.XLOOKUP(Tableau119[[#This Row],[Key(ID-date)]],'DATA BTO'!S:S,'DATA BTO'!P:P,FALSE)</f>
        <v>0</v>
      </c>
      <c r="AZ992" s="388">
        <v>46142</v>
      </c>
      <c r="BA992" s="81"/>
    </row>
    <row r="993" spans="2:53" ht="30">
      <c r="B993" s="446" t="str">
        <f>_xlfn.CONCAT(Tableau119[[#This Row],[Name ILN]],"-",Tableau119[[#This Row],[Name Shipper]],"-",Tableau119[[#This Row],[Name Site]])</f>
        <v>SFK Freight Forwarder-linlong serbie-CURITIBA CVP</v>
      </c>
      <c r="C993" s="66" t="str">
        <f>_xlfn.CONCAT(Tableau119[[#This Row],[Compte ILN]],"-",Tableau119[[#This Row],[Compte Shipper]],"-",Tableau119[[#This Row],[POL]],"-",Tableau119[[#This Row],[Compte Consignee]])</f>
        <v>0-43763900-FALSO-90018000</v>
      </c>
      <c r="D993" s="66" t="str">
        <f>_xlfn.CONCAT(Tableau119[[#This Row],[Compte ILN]],"-",Tableau119[[#This Row],[Compte Shipper]],"-",Tableau119[[#This Row],[POL]])</f>
        <v>0-43763900-FALSO</v>
      </c>
      <c r="E993" s="130" t="str">
        <f>_xlfn.CONCAT(Tableau119[[#This Row],[POL]],"-",Tableau119[[#This Row],[Carrier]],"-",Tableau119[[#This Row],[POD]])</f>
        <v>FALSO-FALSO-FALSO</v>
      </c>
      <c r="F993" s="66" t="str">
        <f>_xlfn.CONCAT(Tableau119[[#This Row],[ID]],"-","Actif")</f>
        <v>1087-Actif</v>
      </c>
      <c r="G993" s="66" t="str">
        <f>_xlfn.CONCAT(Tableau119[[#This Row],[POD]],"-",Tableau119[[#This Row],[Code PFI]],"-",Tableau119[[#This Row],[Compte Consignee]])</f>
        <v>FALSO---90018000</v>
      </c>
      <c r="H993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43763900FALSOCURITIBA CVP</v>
      </c>
      <c r="I993" s="434" t="str">
        <f>_xlfn.CONCAT(Tableau119[[#This Row],[ID]],"-",Tableau119[[#This Row],[Expiration Date]])</f>
        <v>1087-46142</v>
      </c>
      <c r="J993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CURITIBA CVP-SFK Freight Forwarder-linlong serbie-1087-FALSO-FALSO-FALSO--46142</v>
      </c>
      <c r="K993" s="119" t="str">
        <f ca="1">IF(COUNTIF(J:J,Tableau119[[#This Row],[Plant-ILN-shipper-POL-Carrier-POD-PFI]])=1,"Non","Oui")</f>
        <v>Non</v>
      </c>
      <c r="L993" s="128" t="str">
        <f>VLOOKUP(Tableau119[[#This Row],[Name Site]],Plant_AILN!A:D,4,FALSE)</f>
        <v>BRAZIL</v>
      </c>
      <c r="M993" s="504" t="s">
        <v>181</v>
      </c>
      <c r="N993" s="455">
        <f>VLOOKUP(Tableau119[[#This Row],[Name Site]],Plant_AILN!A:C,3,FALSE)</f>
        <v>90018000</v>
      </c>
      <c r="O993" s="104">
        <f>VLOOKUP(Tableau119[[#This Row],[Compte Consignee]],Order!C:D,2,FALSE)</f>
        <v>7</v>
      </c>
      <c r="P993" s="126" t="s">
        <v>146</v>
      </c>
      <c r="Q993" s="366">
        <f>VLOOKUP(Tableau119[[#This Row],[Name ILN]],Plant_AILN!F:G,2,FALSE)</f>
        <v>0</v>
      </c>
      <c r="R993" s="81">
        <f>VLOOKUP(Tableau119[[#This Row],[Compte ILN]],'DATA ILN'!D:I,6,FALSE)</f>
        <v>9</v>
      </c>
      <c r="S993" s="81" t="e">
        <f>IFERROR(VLOOKUP(Tableau119[[#This Row],[Key(Compte ILN - shipper - POL - plant)]],'DATA ILN'!A:J,10,FALSE),VLOOKUP(Tableau119[[#This Row],[Key(Compte ILN - shipper - POL)]],'DATA ILN'!B:J,9,FALSE))</f>
        <v>#N/A</v>
      </c>
      <c r="T993" s="81" t="e">
        <f>IFERROR(VLOOKUP(Tableau119[[#This Row],[Key(Compte ILN - shipper - POL - plant)]],'DATA ILN'!A:K,11,FALSE),VLOOKUP(Tableau119[[#This Row],[Key(Compte ILN - shipper - POL)]],'DATA ILN'!B:K,10,FALSE))</f>
        <v>#N/A</v>
      </c>
      <c r="U993" s="81" t="e">
        <f>IFERROR(VLOOKUP(Tableau119[[#This Row],[Key(Compte ILN - shipper - POL - plant)]],'DATA ILN'!A:L,12,FALSE),VLOOKUP(Tableau119[[#This Row],[Key(Compte ILN - shipper - POL)]],'DATA ILN'!B:L,11,FALSE))</f>
        <v>#N/A</v>
      </c>
      <c r="V993" s="81" t="e">
        <f>Tableau119[[#This Row],[Day ILN Order]]+Tableau119[[#This Row],[Delivery time to ILN/Shipper]]-1</f>
        <v>#N/A</v>
      </c>
      <c r="W993" s="81" t="e">
        <f>IFERROR(VLOOKUP(Tableau119[[#This Row],[Key(Compte ILN - shipper - POL - plant)]],'DATA ILN'!A:N,14,FALSE),VLOOKUP(Tableau119[[#This Row],[Key(Compte ILN - shipper - POL)]],'DATA ILN'!B:N,13,FALSE))</f>
        <v>#N/A</v>
      </c>
      <c r="X993" s="81" t="e">
        <f>IFERROR(VLOOKUP(Tableau119[[#This Row],[Key(Compte ILN - shipper - POL - plant)]],'DATA ILN'!A:P,16,FALSE),VLOOKUP(Tableau119[[#This Row],[Key(Compte ILN - shipper - POL)]],'DATA ILN'!B:P,15,FALSE))</f>
        <v>#N/A</v>
      </c>
      <c r="Y993" s="102" t="s">
        <v>434</v>
      </c>
      <c r="Z993" s="417">
        <f>IFERROR(VLOOKUP(Tableau119[[#This Row],[Name Shipper]],Plant_AILN!L:M,2,FALSE),0)</f>
        <v>43763900</v>
      </c>
      <c r="AA993" s="416">
        <v>1087</v>
      </c>
      <c r="AB993" s="396" t="b">
        <f>_xlfn.XLOOKUP(Tableau119[[#This Row],[Key(ID-date)]],'DATA BTO'!S:S,'DATA BTO'!E:E,FALSE)</f>
        <v>0</v>
      </c>
      <c r="AC993" s="3" t="b">
        <f>_xlfn.XLOOKUP(Tableau119[[#This Row],[Key(ID-date)]],'DATA BTO'!S:S,'DATA BTO'!F:F,FALSE)</f>
        <v>0</v>
      </c>
      <c r="AD993" s="50" t="b">
        <f>_xlfn.XLOOKUP(Tableau119[[#This Row],[Key(ID-date)]],'DATA BTO'!S:S,'DATA BTO'!G:G,FALSE)</f>
        <v>0</v>
      </c>
      <c r="AE993" s="50" t="b">
        <f>_xlfn.XLOOKUP(Tableau119[[#This Row],[Key(ID-date)]],'DATA BTO'!S:S,'DATA BTO'!H:H,FALSE)</f>
        <v>0</v>
      </c>
      <c r="AF993" s="447" t="e">
        <f>IF(Tableau119[[#This Row],[First Day to POL]]&lt;=Tableau119[[#This Row],[Day Cut Off]],Tableau119[[#This Row],[Day ETD]],Tableau119[[#This Row],[Day ETD]]+7)</f>
        <v>#N/A</v>
      </c>
      <c r="AG993" s="50" t="b">
        <f>_xlfn.XLOOKUP(Tableau119[[#This Row],[Key(ID-date)]],'DATA BTO'!S:S,'DATA BTO'!I:I,FALSE)</f>
        <v>0</v>
      </c>
      <c r="AH993" s="3" t="b">
        <f>_xlfn.XLOOKUP(Tableau119[[#This Row],[Key(ID-date)]],'DATA BTO'!S:S,'DATA BTO'!J:J,FALSE)</f>
        <v>0</v>
      </c>
      <c r="AI993" s="3" t="b">
        <f>_xlfn.XLOOKUP(Tableau119[[#This Row],[Key(ID-date)]],'DATA BTO'!S:S,'DATA BTO'!K:K,FALSE)</f>
        <v>0</v>
      </c>
      <c r="AJ993" s="50" t="b">
        <f>_xlfn.XLOOKUP(Tableau119[[#This Row],[Key(ID-date)]],'DATA BTO'!S:S,'DATA BTO'!L:L,FALSE)</f>
        <v>0</v>
      </c>
      <c r="AK993" s="53" t="b">
        <f>_xlfn.XLOOKUP(Tableau119[[#This Row],[Key(ID-date)]],'DATA BTO'!S:S,'DATA BTO'!N:N,FALSE)</f>
        <v>0</v>
      </c>
      <c r="AL993" s="54" t="e">
        <f>VLOOKUP(Tableau119[[#This Row],[Key(POD -PFI- Usine)]],'DATA Consignee'!A:F,6,FALSE)</f>
        <v>#N/A</v>
      </c>
      <c r="AM993" s="102"/>
      <c r="AN993" s="375" t="str">
        <f>IF(Tableau119[[#This Row],[Name PFI/CDD]]="","-",VLOOKUP(Tableau119[[#This Row],[Name PFI/CDD]],Plant_AILN!I:J,2,FALSE))</f>
        <v>-</v>
      </c>
      <c r="AO993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3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3" s="110" t="e">
        <f>VLOOKUP(Tableau119[[#This Row],[Key(POD -PFI- Usine)]],'DATA Consignee'!A:J,10,FALSE)</f>
        <v>#N/A</v>
      </c>
      <c r="AR993" s="81" t="e">
        <f>VLOOKUP(Tableau119[[#This Row],[Key(POD -PFI- Usine)]],'DATA Consignee'!A:N,14,FALSE)</f>
        <v>#N/A</v>
      </c>
      <c r="AS993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3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3" s="81">
        <f>Tableau119[[#This Row],[Transit time]]+Tableau119[[#This Row],[Time for security]]+Tableau119[[#This Row],[Time for security2 buffer]]</f>
        <v>0</v>
      </c>
      <c r="AV993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3" s="50" t="e">
        <f>Tableau119[[#This Row],[Leadtime SI2C]]+Tableau119[[#This Row],[First Receipt Days]]-Tableau119[[#This Row],[Day Customer Order]]+1</f>
        <v>#N/A</v>
      </c>
      <c r="AX993" s="119" t="e">
        <f>IF(Tableau119[[#This Row],[Name ILN]]&lt;&gt;"SFK Freight Forwarder",Tableau119[[#This Row],[Cust. Leadtime]],Tableau119[[#This Row],[Leadtime SI2C]])</f>
        <v>#N/A</v>
      </c>
      <c r="AY993" s="51" t="b">
        <f>_xlfn.XLOOKUP(Tableau119[[#This Row],[Key(ID-date)]],'DATA BTO'!S:S,'DATA BTO'!P:P,FALSE)</f>
        <v>0</v>
      </c>
      <c r="AZ993" s="388">
        <v>46142</v>
      </c>
      <c r="BA993" s="81"/>
    </row>
    <row r="994" spans="2:53">
      <c r="B994" s="446" t="str">
        <f>_xlfn.CONCAT(Tableau119[[#This Row],[Name ILN]],"-",Tableau119[[#This Row],[Name Shipper]],"-",Tableau119[[#This Row],[Name Site]])</f>
        <v>SFK Freight Forwarder-FUYAO-OYAK MONT</v>
      </c>
      <c r="C994" s="66" t="str">
        <f>_xlfn.CONCAT(Tableau119[[#This Row],[Compte ILN]],"-",Tableau119[[#This Row],[Compte Shipper]],"-",Tableau119[[#This Row],[POL]],"-",Tableau119[[#This Row],[Compte Consignee]])</f>
        <v>0-28265100-FALSO-90017000</v>
      </c>
      <c r="D994" s="66" t="str">
        <f>_xlfn.CONCAT(Tableau119[[#This Row],[Compte ILN]],"-",Tableau119[[#This Row],[Compte Shipper]],"-",Tableau119[[#This Row],[POL]])</f>
        <v>0-28265100-FALSO</v>
      </c>
      <c r="E994" s="130" t="str">
        <f>_xlfn.CONCAT(Tableau119[[#This Row],[POL]],"-",Tableau119[[#This Row],[Carrier]],"-",Tableau119[[#This Row],[POD]])</f>
        <v>FALSO-FALSO-FALSO</v>
      </c>
      <c r="F994" s="66" t="str">
        <f>_xlfn.CONCAT(Tableau119[[#This Row],[ID]],"-","Actif")</f>
        <v>1088-Actif</v>
      </c>
      <c r="G994" s="66" t="str">
        <f>_xlfn.CONCAT(Tableau119[[#This Row],[POD]],"-",Tableau119[[#This Row],[Code PFI]],"-",Tableau119[[#This Row],[Compte Consignee]])</f>
        <v>FALSO---90017000</v>
      </c>
      <c r="H994" s="131" t="str">
        <f>_xlfn.CONCAT(IF(Tableau119[[#This Row],[Name ILN]]=Tableau119[[#This Row],[Name Shipper]],Tableau119[[#This Row],[Name ILN]],Tableau119[[#This Row],[Compte Shipper]]),Tableau119[[#This Row],[POL]],Tableau119[[#This Row],[Name Site]])</f>
        <v>28265100FALSOOYAK MONT</v>
      </c>
      <c r="I994" s="434" t="str">
        <f>_xlfn.CONCAT(Tableau119[[#This Row],[ID]],"-",Tableau119[[#This Row],[Expiration Date]])</f>
        <v>1088-46142</v>
      </c>
      <c r="J994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OYAK MONT-SFK Freight Forwarder-FUYAO-1088-FALSO-FALSO-FALSO--46142</v>
      </c>
      <c r="K994" s="119" t="str">
        <f ca="1">IF(COUNTIF(J:J,Tableau119[[#This Row],[Plant-ILN-shipper-POL-Carrier-POD-PFI]])=1,"Non","Oui")</f>
        <v>Non</v>
      </c>
      <c r="L994" s="128" t="str">
        <f>VLOOKUP(Tableau119[[#This Row],[Name Site]],Plant_AILN!A:D,4,FALSE)</f>
        <v>TURKEY</v>
      </c>
      <c r="M994" s="411" t="s">
        <v>173</v>
      </c>
      <c r="N994" s="454">
        <f>VLOOKUP(Tableau119[[#This Row],[Name Site]],Plant_AILN!A:C,3,FALSE)</f>
        <v>90017000</v>
      </c>
      <c r="O994" s="55">
        <f>VLOOKUP(Tableau119[[#This Row],[Compte Consignee]],Order!C:D,2,FALSE)</f>
        <v>7</v>
      </c>
      <c r="P994" s="124" t="s">
        <v>146</v>
      </c>
      <c r="Q994" s="365">
        <f>VLOOKUP(Tableau119[[#This Row],[Name ILN]],Plant_AILN!F:G,2,FALSE)</f>
        <v>0</v>
      </c>
      <c r="R994" s="50">
        <f>VLOOKUP(Tableau119[[#This Row],[Compte ILN]],'DATA ILN'!D:I,6,FALSE)</f>
        <v>9</v>
      </c>
      <c r="S994" s="50" t="e">
        <f>IFERROR(VLOOKUP(Tableau119[[#This Row],[Key(Compte ILN - shipper - POL - plant)]],'DATA ILN'!A:J,10,FALSE),VLOOKUP(Tableau119[[#This Row],[Key(Compte ILN - shipper - POL)]],'DATA ILN'!B:J,9,FALSE))</f>
        <v>#N/A</v>
      </c>
      <c r="T994" s="50" t="e">
        <f>IFERROR(VLOOKUP(Tableau119[[#This Row],[Key(Compte ILN - shipper - POL - plant)]],'DATA ILN'!A:K,11,FALSE),VLOOKUP(Tableau119[[#This Row],[Key(Compte ILN - shipper - POL)]],'DATA ILN'!B:K,10,FALSE))</f>
        <v>#N/A</v>
      </c>
      <c r="U994" s="50" t="e">
        <f>IFERROR(VLOOKUP(Tableau119[[#This Row],[Key(Compte ILN - shipper - POL - plant)]],'DATA ILN'!A:L,12,FALSE),VLOOKUP(Tableau119[[#This Row],[Key(Compte ILN - shipper - POL)]],'DATA ILN'!B:L,11,FALSE))</f>
        <v>#N/A</v>
      </c>
      <c r="V994" s="50" t="e">
        <f>Tableau119[[#This Row],[Day ILN Order]]+Tableau119[[#This Row],[Delivery time to ILN/Shipper]]-1</f>
        <v>#N/A</v>
      </c>
      <c r="W994" s="50" t="e">
        <f>IFERROR(VLOOKUP(Tableau119[[#This Row],[Key(Compte ILN - shipper - POL - plant)]],'DATA ILN'!A:N,14,FALSE),VLOOKUP(Tableau119[[#This Row],[Key(Compte ILN - shipper - POL)]],'DATA ILN'!B:N,13,FALSE))</f>
        <v>#N/A</v>
      </c>
      <c r="X994" s="50" t="e">
        <f>IFERROR(VLOOKUP(Tableau119[[#This Row],[Key(Compte ILN - shipper - POL - plant)]],'DATA ILN'!A:P,16,FALSE),VLOOKUP(Tableau119[[#This Row],[Key(Compte ILN - shipper - POL)]],'DATA ILN'!B:P,15,FALSE))</f>
        <v>#N/A</v>
      </c>
      <c r="Y994" s="284" t="s">
        <v>466</v>
      </c>
      <c r="Z994" s="430">
        <f>IFERROR(VLOOKUP(Tableau119[[#This Row],[Name Shipper]],Plant_AILN!L:M,2,FALSE),0)</f>
        <v>28265100</v>
      </c>
      <c r="AA994" s="406">
        <v>1088</v>
      </c>
      <c r="AB994" s="396" t="b">
        <f>_xlfn.XLOOKUP(Tableau119[[#This Row],[Key(ID-date)]],'DATA BTO'!S:S,'DATA BTO'!E:E,FALSE)</f>
        <v>0</v>
      </c>
      <c r="AC994" s="3" t="b">
        <f>_xlfn.XLOOKUP(Tableau119[[#This Row],[Key(ID-date)]],'DATA BTO'!S:S,'DATA BTO'!F:F,FALSE)</f>
        <v>0</v>
      </c>
      <c r="AD994" s="50" t="b">
        <f>_xlfn.XLOOKUP(Tableau119[[#This Row],[Key(ID-date)]],'DATA BTO'!S:S,'DATA BTO'!G:G,FALSE)</f>
        <v>0</v>
      </c>
      <c r="AE994" s="50" t="b">
        <f>_xlfn.XLOOKUP(Tableau119[[#This Row],[Key(ID-date)]],'DATA BTO'!S:S,'DATA BTO'!H:H,FALSE)</f>
        <v>0</v>
      </c>
      <c r="AF994" s="447" t="e">
        <f>IF(Tableau119[[#This Row],[First Day to POL]]&lt;=Tableau119[[#This Row],[Day Cut Off]],Tableau119[[#This Row],[Day ETD]],Tableau119[[#This Row],[Day ETD]]+7)</f>
        <v>#N/A</v>
      </c>
      <c r="AG994" s="50" t="b">
        <f>_xlfn.XLOOKUP(Tableau119[[#This Row],[Key(ID-date)]],'DATA BTO'!S:S,'DATA BTO'!I:I,FALSE)</f>
        <v>0</v>
      </c>
      <c r="AH994" s="3" t="b">
        <f>_xlfn.XLOOKUP(Tableau119[[#This Row],[Key(ID-date)]],'DATA BTO'!S:S,'DATA BTO'!J:J,FALSE)</f>
        <v>0</v>
      </c>
      <c r="AI994" s="3" t="b">
        <f>_xlfn.XLOOKUP(Tableau119[[#This Row],[Key(ID-date)]],'DATA BTO'!S:S,'DATA BTO'!K:K,FALSE)</f>
        <v>0</v>
      </c>
      <c r="AJ994" s="50" t="b">
        <f>_xlfn.XLOOKUP(Tableau119[[#This Row],[Key(ID-date)]],'DATA BTO'!S:S,'DATA BTO'!L:L,FALSE)</f>
        <v>0</v>
      </c>
      <c r="AK994" s="53" t="b">
        <f>_xlfn.XLOOKUP(Tableau119[[#This Row],[Key(ID-date)]],'DATA BTO'!S:S,'DATA BTO'!N:N,FALSE)</f>
        <v>0</v>
      </c>
      <c r="AL994" s="54" t="e">
        <f>VLOOKUP(Tableau119[[#This Row],[Key(POD -PFI- Usine)]],'DATA Consignee'!A:F,6,FALSE)</f>
        <v>#N/A</v>
      </c>
      <c r="AM994" s="284"/>
      <c r="AN994" s="376" t="str">
        <f>IF(Tableau119[[#This Row],[Name PFI/CDD]]="","-",VLOOKUP(Tableau119[[#This Row],[Name PFI/CDD]],Plant_AILN!I:J,2,FALSE))</f>
        <v>-</v>
      </c>
      <c r="AO994" s="6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4" s="6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4" s="2" t="e">
        <f>VLOOKUP(Tableau119[[#This Row],[Key(POD -PFI- Usine)]],'DATA Consignee'!A:J,10,FALSE)</f>
        <v>#N/A</v>
      </c>
      <c r="AR994" s="50" t="e">
        <f>VLOOKUP(Tableau119[[#This Row],[Key(POD -PFI- Usine)]],'DATA Consignee'!A:N,14,FALSE)</f>
        <v>#N/A</v>
      </c>
      <c r="AS994" s="55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4" s="54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4" s="50">
        <f>Tableau119[[#This Row],[Transit time]]+Tableau119[[#This Row],[Time for security]]+Tableau119[[#This Row],[Time for security2 buffer]]</f>
        <v>0</v>
      </c>
      <c r="AV994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4" s="50" t="e">
        <f>Tableau119[[#This Row],[Leadtime SI2C]]+Tableau119[[#This Row],[First Receipt Days]]-Tableau119[[#This Row],[Day Customer Order]]+1</f>
        <v>#N/A</v>
      </c>
      <c r="AX994" s="119" t="e">
        <f>IF(Tableau119[[#This Row],[Name ILN]]&lt;&gt;"SFK Freight Forwarder",Tableau119[[#This Row],[Cust. Leadtime]],Tableau119[[#This Row],[Leadtime SI2C]])</f>
        <v>#N/A</v>
      </c>
      <c r="AY994" s="51" t="b">
        <f>_xlfn.XLOOKUP(Tableau119[[#This Row],[Key(ID-date)]],'DATA BTO'!S:S,'DATA BTO'!P:P,FALSE)</f>
        <v>0</v>
      </c>
      <c r="AZ994" s="338">
        <v>46142</v>
      </c>
      <c r="BA994" s="50"/>
    </row>
    <row r="995" spans="2:53">
      <c r="B995" s="446" t="str">
        <f>_xlfn.CONCAT(Tableau119[[#This Row],[Name ILN]],"-",Tableau119[[#This Row],[Name Shipper]],"-",Tableau119[[#This Row],[Name Site]])</f>
        <v>SFK Freight Forwarder-E-DRIVE-DOUAI</v>
      </c>
      <c r="C995" s="66" t="str">
        <f>_xlfn.CONCAT(Tableau119[[#This Row],[Compte ILN]],"-",Tableau119[[#This Row],[Compte Shipper]],"-",Tableau119[[#This Row],[POL]],"-",Tableau119[[#This Row],[Compte Consignee]])</f>
        <v>0-41447500-FALSO-90019100</v>
      </c>
      <c r="D995" s="66" t="str">
        <f>_xlfn.CONCAT(Tableau119[[#This Row],[Compte ILN]],"-",Tableau119[[#This Row],[Compte Shipper]],"-",Tableau119[[#This Row],[POL]])</f>
        <v>0-41447500-FALSO</v>
      </c>
      <c r="E995" s="130" t="str">
        <f>_xlfn.CONCAT(Tableau119[[#This Row],[POL]],"-",Tableau119[[#This Row],[Carrier]],"-",Tableau119[[#This Row],[POD]])</f>
        <v>FALSO-FALSO-FALSO</v>
      </c>
      <c r="F995" s="66" t="str">
        <f>_xlfn.CONCAT(Tableau119[[#This Row],[ID]],"-","Actif")</f>
        <v>SFK_Douai1-Actif</v>
      </c>
      <c r="G995" s="66" t="str">
        <f>_xlfn.CONCAT(Tableau119[[#This Row],[POD]],"-",Tableau119[[#This Row],[Code PFI]],"-",Tableau119[[#This Row],[Compte Consignee]])</f>
        <v>FALSO---90019100</v>
      </c>
      <c r="H995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41447500FALSODOUAI</v>
      </c>
      <c r="I995" s="434" t="str">
        <f>_xlfn.CONCAT(Tableau119[[#This Row],[ID]],"-",Tableau119[[#This Row],[Expiration Date]])</f>
        <v>SFK_Douai1-46142</v>
      </c>
      <c r="J995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DOUAI-SFK Freight Forwarder-E-DRIVE-SFK_Douai1-FALSO-FALSO-FALSO--46142</v>
      </c>
      <c r="K995" s="119" t="str">
        <f ca="1">IF(COUNTIF(J:J,Tableau119[[#This Row],[Plant-ILN-shipper-POL-Carrier-POD-PFI]])=1,"Non","Oui")</f>
        <v>Non</v>
      </c>
      <c r="L995" s="128" t="str">
        <f>VLOOKUP(Tableau119[[#This Row],[Name Site]],Plant_AILN!A:D,4,FALSE)</f>
        <v>FRANCE</v>
      </c>
      <c r="M995" s="415" t="s">
        <v>188</v>
      </c>
      <c r="N995" s="455">
        <f>VLOOKUP(Tableau119[[#This Row],[Name Site]],Plant_AILN!A:C,3,FALSE)</f>
        <v>90019100</v>
      </c>
      <c r="O995" s="104">
        <f>IF(Tableau119[[#This Row],[Name PFI/CDD]]="PFI VLL",2,VLOOKUP(Tableau119[[#This Row],[Compte Consignee]],Order!C:D,2,FALSE))</f>
        <v>7</v>
      </c>
      <c r="P995" s="126" t="s">
        <v>146</v>
      </c>
      <c r="Q995" s="366">
        <f>VLOOKUP(Tableau119[[#This Row],[Name ILN]],Plant_AILN!F:G,2,FALSE)</f>
        <v>0</v>
      </c>
      <c r="R995" s="81">
        <f>VLOOKUP(Tableau119[[#This Row],[Compte ILN]],'DATA ILN'!D:I,6,FALSE)</f>
        <v>9</v>
      </c>
      <c r="S995" s="81" t="e">
        <f>IFERROR(VLOOKUP(Tableau119[[#This Row],[Key(Compte ILN - shipper - POL - plant)]],'DATA ILN'!A:J,10,FALSE),VLOOKUP(Tableau119[[#This Row],[Key(Compte ILN - shipper - POL)]],'DATA ILN'!B:J,9,FALSE))</f>
        <v>#N/A</v>
      </c>
      <c r="T995" s="81" t="e">
        <f>IFERROR(VLOOKUP(Tableau119[[#This Row],[Key(Compte ILN - shipper - POL - plant)]],'DATA ILN'!A:K,11,FALSE),VLOOKUP(Tableau119[[#This Row],[Key(Compte ILN - shipper - POL)]],'DATA ILN'!B:K,10,FALSE))</f>
        <v>#N/A</v>
      </c>
      <c r="U995" s="81" t="e">
        <f>IFERROR(VLOOKUP(Tableau119[[#This Row],[Key(Compte ILN - shipper - POL - plant)]],'DATA ILN'!A:L,12,FALSE),VLOOKUP(Tableau119[[#This Row],[Key(Compte ILN - shipper - POL)]],'DATA ILN'!B:L,11,FALSE))</f>
        <v>#N/A</v>
      </c>
      <c r="V995" s="81" t="e">
        <f>Tableau119[[#This Row],[Day ILN Order]]+Tableau119[[#This Row],[Delivery time to ILN/Shipper]]-1</f>
        <v>#N/A</v>
      </c>
      <c r="W995" s="81" t="e">
        <f>IFERROR(VLOOKUP(Tableau119[[#This Row],[Key(Compte ILN - shipper - POL - plant)]],'DATA ILN'!A:N,14,FALSE),VLOOKUP(Tableau119[[#This Row],[Key(Compte ILN - shipper - POL)]],'DATA ILN'!B:N,13,FALSE))</f>
        <v>#N/A</v>
      </c>
      <c r="X995" s="81" t="e">
        <f>IFERROR(VLOOKUP(Tableau119[[#This Row],[Key(Compte ILN - shipper - POL - plant)]],'DATA ILN'!A:P,16,FALSE),VLOOKUP(Tableau119[[#This Row],[Key(Compte ILN - shipper - POL)]],'DATA ILN'!B:P,15,FALSE))</f>
        <v>#N/A</v>
      </c>
      <c r="Y995" s="102" t="s">
        <v>454</v>
      </c>
      <c r="Z995" s="417">
        <f>IFERROR(VLOOKUP(Tableau119[[#This Row],[Name Shipper]],Plant_AILN!L:M,2,FALSE),0)</f>
        <v>41447500</v>
      </c>
      <c r="AA995" s="416" t="s">
        <v>763</v>
      </c>
      <c r="AB995" s="396" t="b">
        <f>_xlfn.XLOOKUP(Tableau119[[#This Row],[Key(ID-date)]],'DATA BTO'!S:S,'DATA BTO'!E:E,FALSE)</f>
        <v>0</v>
      </c>
      <c r="AC995" s="3" t="b">
        <f>_xlfn.XLOOKUP(Tableau119[[#This Row],[Key(ID-date)]],'DATA BTO'!S:S,'DATA BTO'!F:F,FALSE)</f>
        <v>0</v>
      </c>
      <c r="AD995" s="50" t="b">
        <f>_xlfn.XLOOKUP(Tableau119[[#This Row],[Key(ID-date)]],'DATA BTO'!S:S,'DATA BTO'!G:G,FALSE)</f>
        <v>0</v>
      </c>
      <c r="AE995" s="50" t="b">
        <f>_xlfn.XLOOKUP(Tableau119[[#This Row],[Key(ID-date)]],'DATA BTO'!S:S,'DATA BTO'!H:H,FALSE)</f>
        <v>0</v>
      </c>
      <c r="AF995" s="447" t="e">
        <f>IF(Tableau119[[#This Row],[First Day to POL]]&lt;=Tableau119[[#This Row],[Day Cut Off]],Tableau119[[#This Row],[Day ETD]],Tableau119[[#This Row],[Day ETD]]+7)</f>
        <v>#N/A</v>
      </c>
      <c r="AG995" s="50" t="b">
        <f>_xlfn.XLOOKUP(Tableau119[[#This Row],[Key(ID-date)]],'DATA BTO'!S:S,'DATA BTO'!I:I,FALSE)</f>
        <v>0</v>
      </c>
      <c r="AH995" s="3" t="b">
        <f>_xlfn.XLOOKUP(Tableau119[[#This Row],[Key(ID-date)]],'DATA BTO'!S:S,'DATA BTO'!J:J,FALSE)</f>
        <v>0</v>
      </c>
      <c r="AI995" s="3" t="b">
        <f>_xlfn.XLOOKUP(Tableau119[[#This Row],[Key(ID-date)]],'DATA BTO'!S:S,'DATA BTO'!K:K,FALSE)</f>
        <v>0</v>
      </c>
      <c r="AJ995" s="50" t="b">
        <f>_xlfn.XLOOKUP(Tableau119[[#This Row],[Key(ID-date)]],'DATA BTO'!S:S,'DATA BTO'!L:L,FALSE)</f>
        <v>0</v>
      </c>
      <c r="AK995" s="53" t="b">
        <f>_xlfn.XLOOKUP(Tableau119[[#This Row],[Key(ID-date)]],'DATA BTO'!S:S,'DATA BTO'!N:N,FALSE)</f>
        <v>0</v>
      </c>
      <c r="AL995" s="54" t="e">
        <f>VLOOKUP(Tableau119[[#This Row],[Key(POD -PFI- Usine)]],'DATA Consignee'!A:F,6,FALSE)</f>
        <v>#N/A</v>
      </c>
      <c r="AM995" s="102"/>
      <c r="AN995" s="375" t="str">
        <f>IF(Tableau119[[#This Row],[Name PFI/CDD]]="","-",VLOOKUP(Tableau119[[#This Row],[Name PFI/CDD]],Plant_AILN!I:J,2,FALSE))</f>
        <v>-</v>
      </c>
      <c r="AO995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5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5" s="110" t="e">
        <f>VLOOKUP(Tableau119[[#This Row],[Key(POD -PFI- Usine)]],'DATA Consignee'!A:J,10,FALSE)</f>
        <v>#N/A</v>
      </c>
      <c r="AR995" s="81" t="e">
        <f>VLOOKUP(Tableau119[[#This Row],[Key(POD -PFI- Usine)]],'DATA Consignee'!A:N,14,FALSE)</f>
        <v>#N/A</v>
      </c>
      <c r="AS995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5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5" s="81">
        <f>Tableau119[[#This Row],[Transit time]]+Tableau119[[#This Row],[Time for security]]+Tableau119[[#This Row],[Time for security2 buffer]]</f>
        <v>0</v>
      </c>
      <c r="AV995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5" s="50" t="e">
        <f>Tableau119[[#This Row],[Leadtime SI2C]]+Tableau119[[#This Row],[First Receipt Days]]-Tableau119[[#This Row],[Day Customer Order]]+1</f>
        <v>#N/A</v>
      </c>
      <c r="AX995" s="119" t="e">
        <f>IF(Tableau119[[#This Row],[Name ILN]]&lt;&gt;"SFK Freight Forwarder",Tableau119[[#This Row],[Cust. Leadtime]],Tableau119[[#This Row],[Leadtime SI2C]])</f>
        <v>#N/A</v>
      </c>
      <c r="AY995" s="51" t="b">
        <f>_xlfn.XLOOKUP(Tableau119[[#This Row],[Key(ID-date)]],'DATA BTO'!S:S,'DATA BTO'!P:P,FALSE)</f>
        <v>0</v>
      </c>
      <c r="AZ995" s="388">
        <v>46142</v>
      </c>
      <c r="BA995" s="81"/>
    </row>
    <row r="996" spans="2:53">
      <c r="B996" s="446" t="str">
        <f>_xlfn.CONCAT(Tableau119[[#This Row],[Name ILN]],"-",Tableau119[[#This Row],[Name Shipper]],"-",Tableau119[[#This Row],[Name Site]])</f>
        <v>SFK Freight Forwarder-E-DRIVE-DOUAI</v>
      </c>
      <c r="C996" s="66" t="str">
        <f>_xlfn.CONCAT(Tableau119[[#This Row],[Compte ILN]],"-",Tableau119[[#This Row],[Compte Shipper]],"-",Tableau119[[#This Row],[POL]],"-",Tableau119[[#This Row],[Compte Consignee]])</f>
        <v>0-41447500-FALSO-90019100</v>
      </c>
      <c r="D996" s="66" t="str">
        <f>_xlfn.CONCAT(Tableau119[[#This Row],[Compte ILN]],"-",Tableau119[[#This Row],[Compte Shipper]],"-",Tableau119[[#This Row],[POL]])</f>
        <v>0-41447500-FALSO</v>
      </c>
      <c r="E996" s="130" t="str">
        <f>_xlfn.CONCAT(Tableau119[[#This Row],[POL]],"-",Tableau119[[#This Row],[Carrier]],"-",Tableau119[[#This Row],[POD]])</f>
        <v>FALSO-FALSO-FALSO</v>
      </c>
      <c r="F996" s="66" t="str">
        <f>_xlfn.CONCAT(Tableau119[[#This Row],[ID]],"-","Actif")</f>
        <v>SFK_Douai2-Actif</v>
      </c>
      <c r="G996" s="66" t="str">
        <f>_xlfn.CONCAT(Tableau119[[#This Row],[POD]],"-",Tableau119[[#This Row],[Code PFI]],"-",Tableau119[[#This Row],[Compte Consignee]])</f>
        <v>FALSO-90016600-90019100</v>
      </c>
      <c r="H996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41447500FALSODOUAI</v>
      </c>
      <c r="I996" s="434" t="str">
        <f>_xlfn.CONCAT(Tableau119[[#This Row],[ID]],"-",Tableau119[[#This Row],[Expiration Date]])</f>
        <v>SFK_Douai2-46142</v>
      </c>
      <c r="J996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DOUAI-SFK Freight Forwarder-E-DRIVE-SFK_Douai2-FALSO-FALSO-FALSO-CDD FR-46142</v>
      </c>
      <c r="K996" s="119" t="str">
        <f ca="1">IF(COUNTIF(J:J,Tableau119[[#This Row],[Plant-ILN-shipper-POL-Carrier-POD-PFI]])=1,"Non","Oui")</f>
        <v>Non</v>
      </c>
      <c r="L996" s="128" t="str">
        <f>VLOOKUP(Tableau119[[#This Row],[Name Site]],Plant_AILN!A:D,4,FALSE)</f>
        <v>FRANCE</v>
      </c>
      <c r="M996" s="415" t="s">
        <v>188</v>
      </c>
      <c r="N996" s="455">
        <f>VLOOKUP(Tableau119[[#This Row],[Name Site]],Plant_AILN!A:C,3,FALSE)</f>
        <v>90019100</v>
      </c>
      <c r="O996" s="104">
        <f>IF(Tableau119[[#This Row],[Name PFI/CDD]]="PFI VLL",2,VLOOKUP(Tableau119[[#This Row],[Compte Consignee]],Order!C:D,2,FALSE))</f>
        <v>7</v>
      </c>
      <c r="P996" s="126" t="s">
        <v>146</v>
      </c>
      <c r="Q996" s="366">
        <f>VLOOKUP(Tableau119[[#This Row],[Name ILN]],Plant_AILN!F:G,2,FALSE)</f>
        <v>0</v>
      </c>
      <c r="R996" s="81">
        <f>VLOOKUP(Tableau119[[#This Row],[Compte ILN]],'DATA ILN'!D:I,6,FALSE)</f>
        <v>9</v>
      </c>
      <c r="S996" s="81" t="e">
        <f>IFERROR(VLOOKUP(Tableau119[[#This Row],[Key(Compte ILN - shipper - POL - plant)]],'DATA ILN'!A:J,10,FALSE),VLOOKUP(Tableau119[[#This Row],[Key(Compte ILN - shipper - POL)]],'DATA ILN'!B:J,9,FALSE))</f>
        <v>#N/A</v>
      </c>
      <c r="T996" s="81" t="e">
        <f>IFERROR(VLOOKUP(Tableau119[[#This Row],[Key(Compte ILN - shipper - POL - plant)]],'DATA ILN'!A:K,11,FALSE),VLOOKUP(Tableau119[[#This Row],[Key(Compte ILN - shipper - POL)]],'DATA ILN'!B:K,10,FALSE))</f>
        <v>#N/A</v>
      </c>
      <c r="U996" s="81" t="e">
        <f>IFERROR(VLOOKUP(Tableau119[[#This Row],[Key(Compte ILN - shipper - POL - plant)]],'DATA ILN'!A:L,12,FALSE),VLOOKUP(Tableau119[[#This Row],[Key(Compte ILN - shipper - POL)]],'DATA ILN'!B:L,11,FALSE))</f>
        <v>#N/A</v>
      </c>
      <c r="V996" s="81" t="e">
        <f>Tableau119[[#This Row],[Day ILN Order]]+Tableau119[[#This Row],[Delivery time to ILN/Shipper]]-1</f>
        <v>#N/A</v>
      </c>
      <c r="W996" s="81" t="e">
        <f>IFERROR(VLOOKUP(Tableau119[[#This Row],[Key(Compte ILN - shipper - POL - plant)]],'DATA ILN'!A:N,14,FALSE),VLOOKUP(Tableau119[[#This Row],[Key(Compte ILN - shipper - POL)]],'DATA ILN'!B:N,13,FALSE))</f>
        <v>#N/A</v>
      </c>
      <c r="X996" s="81" t="e">
        <f>IFERROR(VLOOKUP(Tableau119[[#This Row],[Key(Compte ILN - shipper - POL - plant)]],'DATA ILN'!A:P,16,FALSE),VLOOKUP(Tableau119[[#This Row],[Key(Compte ILN - shipper - POL)]],'DATA ILN'!B:P,15,FALSE))</f>
        <v>#N/A</v>
      </c>
      <c r="Y996" s="102" t="s">
        <v>454</v>
      </c>
      <c r="Z996" s="417">
        <f>IFERROR(VLOOKUP(Tableau119[[#This Row],[Name Shipper]],Plant_AILN!L:M,2,FALSE),0)</f>
        <v>41447500</v>
      </c>
      <c r="AA996" s="416" t="s">
        <v>764</v>
      </c>
      <c r="AB996" s="396" t="b">
        <f>_xlfn.XLOOKUP(Tableau119[[#This Row],[Key(ID-date)]],'DATA BTO'!S:S,'DATA BTO'!E:E,FALSE)</f>
        <v>0</v>
      </c>
      <c r="AC996" s="3" t="b">
        <f>_xlfn.XLOOKUP(Tableau119[[#This Row],[Key(ID-date)]],'DATA BTO'!S:S,'DATA BTO'!F:F,FALSE)</f>
        <v>0</v>
      </c>
      <c r="AD996" s="50" t="b">
        <f>_xlfn.XLOOKUP(Tableau119[[#This Row],[Key(ID-date)]],'DATA BTO'!S:S,'DATA BTO'!G:G,FALSE)</f>
        <v>0</v>
      </c>
      <c r="AE996" s="50" t="b">
        <f>_xlfn.XLOOKUP(Tableau119[[#This Row],[Key(ID-date)]],'DATA BTO'!S:S,'DATA BTO'!H:H,FALSE)</f>
        <v>0</v>
      </c>
      <c r="AF996" s="447" t="e">
        <f>IF(Tableau119[[#This Row],[First Day to POL]]&lt;=Tableau119[[#This Row],[Day Cut Off]],Tableau119[[#This Row],[Day ETD]],Tableau119[[#This Row],[Day ETD]]+7)</f>
        <v>#N/A</v>
      </c>
      <c r="AG996" s="50" t="b">
        <f>_xlfn.XLOOKUP(Tableau119[[#This Row],[Key(ID-date)]],'DATA BTO'!S:S,'DATA BTO'!I:I,FALSE)</f>
        <v>0</v>
      </c>
      <c r="AH996" s="3" t="b">
        <f>_xlfn.XLOOKUP(Tableau119[[#This Row],[Key(ID-date)]],'DATA BTO'!S:S,'DATA BTO'!J:J,FALSE)</f>
        <v>0</v>
      </c>
      <c r="AI996" s="3" t="b">
        <f>_xlfn.XLOOKUP(Tableau119[[#This Row],[Key(ID-date)]],'DATA BTO'!S:S,'DATA BTO'!K:K,FALSE)</f>
        <v>0</v>
      </c>
      <c r="AJ996" s="50" t="b">
        <f>_xlfn.XLOOKUP(Tableau119[[#This Row],[Key(ID-date)]],'DATA BTO'!S:S,'DATA BTO'!L:L,FALSE)</f>
        <v>0</v>
      </c>
      <c r="AK996" s="53" t="b">
        <f>_xlfn.XLOOKUP(Tableau119[[#This Row],[Key(ID-date)]],'DATA BTO'!S:S,'DATA BTO'!N:N,FALSE)</f>
        <v>0</v>
      </c>
      <c r="AL996" s="54" t="e">
        <f>VLOOKUP(Tableau119[[#This Row],[Key(POD -PFI- Usine)]],'DATA Consignee'!A:F,6,FALSE)</f>
        <v>#N/A</v>
      </c>
      <c r="AM996" s="102" t="s">
        <v>155</v>
      </c>
      <c r="AN996" s="375">
        <f>IF(Tableau119[[#This Row],[Name PFI/CDD]]="","-",VLOOKUP(Tableau119[[#This Row],[Name PFI/CDD]],Plant_AILN!I:J,2,FALSE))</f>
        <v>90016600</v>
      </c>
      <c r="AO996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6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6" s="110" t="e">
        <f>VLOOKUP(Tableau119[[#This Row],[Key(POD -PFI- Usine)]],'DATA Consignee'!A:J,10,FALSE)</f>
        <v>#N/A</v>
      </c>
      <c r="AR996" s="81" t="e">
        <f>VLOOKUP(Tableau119[[#This Row],[Key(POD -PFI- Usine)]],'DATA Consignee'!A:N,14,FALSE)</f>
        <v>#N/A</v>
      </c>
      <c r="AS996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6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6" s="81">
        <f>Tableau119[[#This Row],[Transit time]]+Tableau119[[#This Row],[Time for security]]+Tableau119[[#This Row],[Time for security2 buffer]]</f>
        <v>0</v>
      </c>
      <c r="AV996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6" s="50" t="e">
        <f>Tableau119[[#This Row],[Leadtime SI2C]]+Tableau119[[#This Row],[First Receipt Days]]-Tableau119[[#This Row],[Day Customer Order]]+1</f>
        <v>#N/A</v>
      </c>
      <c r="AX996" s="119" t="e">
        <f>IF(Tableau119[[#This Row],[Name ILN]]&lt;&gt;"SFK Freight Forwarder",Tableau119[[#This Row],[Cust. Leadtime]],Tableau119[[#This Row],[Leadtime SI2C]])</f>
        <v>#N/A</v>
      </c>
      <c r="AY996" s="51" t="b">
        <f>_xlfn.XLOOKUP(Tableau119[[#This Row],[Key(ID-date)]],'DATA BTO'!S:S,'DATA BTO'!P:P,FALSE)</f>
        <v>0</v>
      </c>
      <c r="AZ996" s="388">
        <v>46142</v>
      </c>
      <c r="BA996" s="81"/>
    </row>
    <row r="997" spans="2:53">
      <c r="B997" s="446" t="str">
        <f>_xlfn.CONCAT(Tableau119[[#This Row],[Name ILN]],"-",Tableau119[[#This Row],[Name Shipper]],"-",Tableau119[[#This Row],[Name Site]])</f>
        <v>SFK Freight Forwarder-E-DRIVE-MAUBEUGE</v>
      </c>
      <c r="C997" s="66" t="str">
        <f>_xlfn.CONCAT(Tableau119[[#This Row],[Compte ILN]],"-",Tableau119[[#This Row],[Compte Shipper]],"-",Tableau119[[#This Row],[POL]],"-",Tableau119[[#This Row],[Compte Consignee]])</f>
        <v>0-41447500-FALSO-90016200</v>
      </c>
      <c r="D997" s="66" t="str">
        <f>_xlfn.CONCAT(Tableau119[[#This Row],[Compte ILN]],"-",Tableau119[[#This Row],[Compte Shipper]],"-",Tableau119[[#This Row],[POL]])</f>
        <v>0-41447500-FALSO</v>
      </c>
      <c r="E997" s="130" t="str">
        <f>_xlfn.CONCAT(Tableau119[[#This Row],[POL]],"-",Tableau119[[#This Row],[Carrier]],"-",Tableau119[[#This Row],[POD]])</f>
        <v>FALSO-FALSO-FALSO</v>
      </c>
      <c r="F997" s="66" t="str">
        <f>_xlfn.CONCAT(Tableau119[[#This Row],[ID]],"-","Actif")</f>
        <v>SFK_MCA1-Actif</v>
      </c>
      <c r="G997" s="66" t="str">
        <f>_xlfn.CONCAT(Tableau119[[#This Row],[POD]],"-",Tableau119[[#This Row],[Code PFI]],"-",Tableau119[[#This Row],[Compte Consignee]])</f>
        <v>FALSO---90016200</v>
      </c>
      <c r="H997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41447500FALSOMAUBEUGE</v>
      </c>
      <c r="I997" s="434" t="str">
        <f>_xlfn.CONCAT(Tableau119[[#This Row],[ID]],"-",Tableau119[[#This Row],[Expiration Date]])</f>
        <v>SFK_MCA1-46142</v>
      </c>
      <c r="J997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MAUBEUGE-SFK Freight Forwarder-E-DRIVE-SFK_MCA1-FALSO-FALSO-FALSO--46142</v>
      </c>
      <c r="K997" s="119" t="str">
        <f ca="1">IF(COUNTIF(J:J,Tableau119[[#This Row],[Plant-ILN-shipper-POL-Carrier-POD-PFI]])=1,"Non","Oui")</f>
        <v>Non</v>
      </c>
      <c r="L997" s="128" t="str">
        <f>VLOOKUP(Tableau119[[#This Row],[Name Site]],Plant_AILN!A:D,4,FALSE)</f>
        <v>FRANCE</v>
      </c>
      <c r="M997" s="415" t="s">
        <v>210</v>
      </c>
      <c r="N997" s="455">
        <f>VLOOKUP(Tableau119[[#This Row],[Name Site]],Plant_AILN!A:C,3,FALSE)</f>
        <v>90016200</v>
      </c>
      <c r="O997" s="104">
        <f>IF(Tableau119[[#This Row],[Name PFI/CDD]]="PFI VLL",2,VLOOKUP(Tableau119[[#This Row],[Compte Consignee]],Order!C:D,2,FALSE))</f>
        <v>7</v>
      </c>
      <c r="P997" s="126" t="s">
        <v>146</v>
      </c>
      <c r="Q997" s="366">
        <f>VLOOKUP(Tableau119[[#This Row],[Name ILN]],Plant_AILN!F:G,2,FALSE)</f>
        <v>0</v>
      </c>
      <c r="R997" s="81">
        <f>VLOOKUP(Tableau119[[#This Row],[Compte ILN]],'DATA ILN'!D:I,6,FALSE)</f>
        <v>9</v>
      </c>
      <c r="S997" s="81" t="e">
        <f>IFERROR(VLOOKUP(Tableau119[[#This Row],[Key(Compte ILN - shipper - POL - plant)]],'DATA ILN'!A:J,10,FALSE),VLOOKUP(Tableau119[[#This Row],[Key(Compte ILN - shipper - POL)]],'DATA ILN'!B:J,9,FALSE))</f>
        <v>#N/A</v>
      </c>
      <c r="T997" s="81" t="e">
        <f>IFERROR(VLOOKUP(Tableau119[[#This Row],[Key(Compte ILN - shipper - POL - plant)]],'DATA ILN'!A:K,11,FALSE),VLOOKUP(Tableau119[[#This Row],[Key(Compte ILN - shipper - POL)]],'DATA ILN'!B:K,10,FALSE))</f>
        <v>#N/A</v>
      </c>
      <c r="U997" s="81" t="e">
        <f>IFERROR(VLOOKUP(Tableau119[[#This Row],[Key(Compte ILN - shipper - POL - plant)]],'DATA ILN'!A:L,12,FALSE),VLOOKUP(Tableau119[[#This Row],[Key(Compte ILN - shipper - POL)]],'DATA ILN'!B:L,11,FALSE))</f>
        <v>#N/A</v>
      </c>
      <c r="V997" s="81" t="e">
        <f>Tableau119[[#This Row],[Day ILN Order]]+Tableau119[[#This Row],[Delivery time to ILN/Shipper]]-1</f>
        <v>#N/A</v>
      </c>
      <c r="W997" s="81" t="e">
        <f>IFERROR(VLOOKUP(Tableau119[[#This Row],[Key(Compte ILN - shipper - POL - plant)]],'DATA ILN'!A:N,14,FALSE),VLOOKUP(Tableau119[[#This Row],[Key(Compte ILN - shipper - POL)]],'DATA ILN'!B:N,13,FALSE))</f>
        <v>#N/A</v>
      </c>
      <c r="X997" s="81" t="e">
        <f>IFERROR(VLOOKUP(Tableau119[[#This Row],[Key(Compte ILN - shipper - POL - plant)]],'DATA ILN'!A:P,16,FALSE),VLOOKUP(Tableau119[[#This Row],[Key(Compte ILN - shipper - POL)]],'DATA ILN'!B:P,15,FALSE))</f>
        <v>#N/A</v>
      </c>
      <c r="Y997" s="102" t="s">
        <v>454</v>
      </c>
      <c r="Z997" s="417">
        <f>IFERROR(VLOOKUP(Tableau119[[#This Row],[Name Shipper]],Plant_AILN!L:M,2,FALSE),0)</f>
        <v>41447500</v>
      </c>
      <c r="AA997" s="416" t="s">
        <v>765</v>
      </c>
      <c r="AB997" s="396" t="b">
        <f>_xlfn.XLOOKUP(Tableau119[[#This Row],[Key(ID-date)]],'DATA BTO'!S:S,'DATA BTO'!E:E,FALSE)</f>
        <v>0</v>
      </c>
      <c r="AC997" s="3" t="b">
        <f>_xlfn.XLOOKUP(Tableau119[[#This Row],[Key(ID-date)]],'DATA BTO'!S:S,'DATA BTO'!F:F,FALSE)</f>
        <v>0</v>
      </c>
      <c r="AD997" s="50" t="b">
        <f>_xlfn.XLOOKUP(Tableau119[[#This Row],[Key(ID-date)]],'DATA BTO'!S:S,'DATA BTO'!G:G,FALSE)</f>
        <v>0</v>
      </c>
      <c r="AE997" s="50" t="b">
        <f>_xlfn.XLOOKUP(Tableau119[[#This Row],[Key(ID-date)]],'DATA BTO'!S:S,'DATA BTO'!H:H,FALSE)</f>
        <v>0</v>
      </c>
      <c r="AF997" s="447" t="e">
        <f>IF(Tableau119[[#This Row],[First Day to POL]]&lt;=Tableau119[[#This Row],[Day Cut Off]],Tableau119[[#This Row],[Day ETD]],Tableau119[[#This Row],[Day ETD]]+7)</f>
        <v>#N/A</v>
      </c>
      <c r="AG997" s="50" t="b">
        <f>_xlfn.XLOOKUP(Tableau119[[#This Row],[Key(ID-date)]],'DATA BTO'!S:S,'DATA BTO'!I:I,FALSE)</f>
        <v>0</v>
      </c>
      <c r="AH997" s="3" t="b">
        <f>_xlfn.XLOOKUP(Tableau119[[#This Row],[Key(ID-date)]],'DATA BTO'!S:S,'DATA BTO'!J:J,FALSE)</f>
        <v>0</v>
      </c>
      <c r="AI997" s="3" t="b">
        <f>_xlfn.XLOOKUP(Tableau119[[#This Row],[Key(ID-date)]],'DATA BTO'!S:S,'DATA BTO'!K:K,FALSE)</f>
        <v>0</v>
      </c>
      <c r="AJ997" s="50" t="b">
        <f>_xlfn.XLOOKUP(Tableau119[[#This Row],[Key(ID-date)]],'DATA BTO'!S:S,'DATA BTO'!L:L,FALSE)</f>
        <v>0</v>
      </c>
      <c r="AK997" s="53" t="b">
        <f>_xlfn.XLOOKUP(Tableau119[[#This Row],[Key(ID-date)]],'DATA BTO'!S:S,'DATA BTO'!N:N,FALSE)</f>
        <v>0</v>
      </c>
      <c r="AL997" s="54" t="e">
        <f>VLOOKUP(Tableau119[[#This Row],[Key(POD -PFI- Usine)]],'DATA Consignee'!A:F,6,FALSE)</f>
        <v>#N/A</v>
      </c>
      <c r="AM997" s="102"/>
      <c r="AN997" s="375" t="str">
        <f>IF(Tableau119[[#This Row],[Name PFI/CDD]]="","-",VLOOKUP(Tableau119[[#This Row],[Name PFI/CDD]],Plant_AILN!I:J,2,FALSE))</f>
        <v>-</v>
      </c>
      <c r="AO997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7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7" s="110" t="e">
        <f>VLOOKUP(Tableau119[[#This Row],[Key(POD -PFI- Usine)]],'DATA Consignee'!A:J,10,FALSE)</f>
        <v>#N/A</v>
      </c>
      <c r="AR997" s="81" t="e">
        <f>VLOOKUP(Tableau119[[#This Row],[Key(POD -PFI- Usine)]],'DATA Consignee'!A:N,14,FALSE)</f>
        <v>#N/A</v>
      </c>
      <c r="AS997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7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7" s="81">
        <f>Tableau119[[#This Row],[Transit time]]+Tableau119[[#This Row],[Time for security]]+Tableau119[[#This Row],[Time for security2 buffer]]</f>
        <v>0</v>
      </c>
      <c r="AV997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7" s="50" t="e">
        <f>Tableau119[[#This Row],[Leadtime SI2C]]+Tableau119[[#This Row],[First Receipt Days]]-Tableau119[[#This Row],[Day Customer Order]]+1</f>
        <v>#N/A</v>
      </c>
      <c r="AX997" s="119" t="e">
        <f>IF(Tableau119[[#This Row],[Name ILN]]&lt;&gt;"SFK Freight Forwarder",Tableau119[[#This Row],[Cust. Leadtime]],Tableau119[[#This Row],[Leadtime SI2C]])</f>
        <v>#N/A</v>
      </c>
      <c r="AY997" s="51" t="b">
        <f>_xlfn.XLOOKUP(Tableau119[[#This Row],[Key(ID-date)]],'DATA BTO'!S:S,'DATA BTO'!P:P,FALSE)</f>
        <v>0</v>
      </c>
      <c r="AZ997" s="388">
        <v>46142</v>
      </c>
      <c r="BA997" s="81"/>
    </row>
    <row r="998" spans="2:53">
      <c r="B998" s="446" t="str">
        <f>_xlfn.CONCAT(Tableau119[[#This Row],[Name ILN]],"-",Tableau119[[#This Row],[Name Shipper]],"-",Tableau119[[#This Row],[Name Site]])</f>
        <v>SFK Freight Forwarder-E-DRIVE-MAUBEUGE</v>
      </c>
      <c r="C998" s="66" t="str">
        <f>_xlfn.CONCAT(Tableau119[[#This Row],[Compte ILN]],"-",Tableau119[[#This Row],[Compte Shipper]],"-",Tableau119[[#This Row],[POL]],"-",Tableau119[[#This Row],[Compte Consignee]])</f>
        <v>0-41447500-FALSO-90016200</v>
      </c>
      <c r="D998" s="66" t="str">
        <f>_xlfn.CONCAT(Tableau119[[#This Row],[Compte ILN]],"-",Tableau119[[#This Row],[Compte Shipper]],"-",Tableau119[[#This Row],[POL]])</f>
        <v>0-41447500-FALSO</v>
      </c>
      <c r="E998" s="130" t="str">
        <f>_xlfn.CONCAT(Tableau119[[#This Row],[POL]],"-",Tableau119[[#This Row],[Carrier]],"-",Tableau119[[#This Row],[POD]])</f>
        <v>FALSO-FALSO-FALSO</v>
      </c>
      <c r="F998" s="66" t="str">
        <f>_xlfn.CONCAT(Tableau119[[#This Row],[ID]],"-","Actif")</f>
        <v>SFK_MCA2-Actif</v>
      </c>
      <c r="G998" s="66" t="str">
        <f>_xlfn.CONCAT(Tableau119[[#This Row],[POD]],"-",Tableau119[[#This Row],[Code PFI]],"-",Tableau119[[#This Row],[Compte Consignee]])</f>
        <v>FALSO-90016600-90016200</v>
      </c>
      <c r="H998" s="131" t="str">
        <f>_xlfn.CONCAT(IF(Tableau119[[#This Row],[Name ILN]]=Tableau119[[#This Row],[Name Shipper]],Tableau119[[#This Row],[Name ILN]],Tableau119[[#This Row],[Compte Shipper]]),Tableau119[[#This Row],[POL]],Tableau119[[#This Row],[Name Site]])</f>
        <v>41447500FALSOMAUBEUGE</v>
      </c>
      <c r="I998" s="434" t="str">
        <f>_xlfn.CONCAT(Tableau119[[#This Row],[ID]],"-",Tableau119[[#This Row],[Expiration Date]])</f>
        <v>SFK_MCA2-46142</v>
      </c>
      <c r="J998" s="84" t="str">
        <f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PFI/CDD]],"-",Tableau119[[#This Row],[Expiration Date]])</f>
        <v>MAUBEUGE-SFK Freight Forwarder-E-DRIVE-SFK_MCA2-FALSO-FALSO-FALSO-CDD FR-46142</v>
      </c>
      <c r="K998" s="119" t="str">
        <f ca="1">IF(COUNTIF(J:J,Tableau119[[#This Row],[Plant-ILN-shipper-POL-Carrier-POD-PFI]])=1,"Non","Oui")</f>
        <v>Non</v>
      </c>
      <c r="L998" s="128" t="str">
        <f>VLOOKUP(Tableau119[[#This Row],[Name Site]],Plant_AILN!A:D,4,FALSE)</f>
        <v>FRANCE</v>
      </c>
      <c r="M998" s="415" t="s">
        <v>210</v>
      </c>
      <c r="N998" s="455">
        <f>VLOOKUP(Tableau119[[#This Row],[Name Site]],Plant_AILN!A:C,3,FALSE)</f>
        <v>90016200</v>
      </c>
      <c r="O998" s="104">
        <f>IF(Tableau119[[#This Row],[Name PFI/CDD]]="PFI VLL",2,VLOOKUP(Tableau119[[#This Row],[Compte Consignee]],Order!C:D,2,FALSE))</f>
        <v>7</v>
      </c>
      <c r="P998" s="126" t="s">
        <v>146</v>
      </c>
      <c r="Q998" s="366">
        <f>VLOOKUP(Tableau119[[#This Row],[Name ILN]],Plant_AILN!F:G,2,FALSE)</f>
        <v>0</v>
      </c>
      <c r="R998" s="81">
        <f>VLOOKUP(Tableau119[[#This Row],[Compte ILN]],'DATA ILN'!D:I,6,FALSE)</f>
        <v>9</v>
      </c>
      <c r="S998" s="81" t="e">
        <f>IFERROR(VLOOKUP(Tableau119[[#This Row],[Key(Compte ILN - shipper - POL - plant)]],'DATA ILN'!A:J,10,FALSE),VLOOKUP(Tableau119[[#This Row],[Key(Compte ILN - shipper - POL)]],'DATA ILN'!B:J,9,FALSE))</f>
        <v>#N/A</v>
      </c>
      <c r="T998" s="81" t="e">
        <f>IFERROR(VLOOKUP(Tableau119[[#This Row],[Key(Compte ILN - shipper - POL - plant)]],'DATA ILN'!A:K,11,FALSE),VLOOKUP(Tableau119[[#This Row],[Key(Compte ILN - shipper - POL)]],'DATA ILN'!B:K,10,FALSE))</f>
        <v>#N/A</v>
      </c>
      <c r="U998" s="81" t="e">
        <f>IFERROR(VLOOKUP(Tableau119[[#This Row],[Key(Compte ILN - shipper - POL - plant)]],'DATA ILN'!A:L,12,FALSE),VLOOKUP(Tableau119[[#This Row],[Key(Compte ILN - shipper - POL)]],'DATA ILN'!B:L,11,FALSE))</f>
        <v>#N/A</v>
      </c>
      <c r="V998" s="81" t="e">
        <f>Tableau119[[#This Row],[Day ILN Order]]+Tableau119[[#This Row],[Delivery time to ILN/Shipper]]-1</f>
        <v>#N/A</v>
      </c>
      <c r="W998" s="81" t="e">
        <f>IFERROR(VLOOKUP(Tableau119[[#This Row],[Key(Compte ILN - shipper - POL - plant)]],'DATA ILN'!A:N,14,FALSE),VLOOKUP(Tableau119[[#This Row],[Key(Compte ILN - shipper - POL)]],'DATA ILN'!B:N,13,FALSE))</f>
        <v>#N/A</v>
      </c>
      <c r="X998" s="81" t="e">
        <f>IFERROR(VLOOKUP(Tableau119[[#This Row],[Key(Compte ILN - shipper - POL - plant)]],'DATA ILN'!A:P,16,FALSE),VLOOKUP(Tableau119[[#This Row],[Key(Compte ILN - shipper - POL)]],'DATA ILN'!B:P,15,FALSE))</f>
        <v>#N/A</v>
      </c>
      <c r="Y998" s="102" t="s">
        <v>454</v>
      </c>
      <c r="Z998" s="417">
        <f>IFERROR(VLOOKUP(Tableau119[[#This Row],[Name Shipper]],Plant_AILN!L:M,2,FALSE),0)</f>
        <v>41447500</v>
      </c>
      <c r="AA998" s="416" t="s">
        <v>766</v>
      </c>
      <c r="AB998" s="396" t="b">
        <f>_xlfn.XLOOKUP(Tableau119[[#This Row],[Key(ID-date)]],'DATA BTO'!S:S,'DATA BTO'!E:E,FALSE)</f>
        <v>0</v>
      </c>
      <c r="AC998" s="3" t="b">
        <f>_xlfn.XLOOKUP(Tableau119[[#This Row],[Key(ID-date)]],'DATA BTO'!S:S,'DATA BTO'!F:F,FALSE)</f>
        <v>0</v>
      </c>
      <c r="AD998" s="50" t="b">
        <f>_xlfn.XLOOKUP(Tableau119[[#This Row],[Key(ID-date)]],'DATA BTO'!S:S,'DATA BTO'!G:G,FALSE)</f>
        <v>0</v>
      </c>
      <c r="AE998" s="50" t="b">
        <f>_xlfn.XLOOKUP(Tableau119[[#This Row],[Key(ID-date)]],'DATA BTO'!S:S,'DATA BTO'!H:H,FALSE)</f>
        <v>0</v>
      </c>
      <c r="AF998" s="447" t="e">
        <f>IF(Tableau119[[#This Row],[First Day to POL]]&lt;=Tableau119[[#This Row],[Day Cut Off]],Tableau119[[#This Row],[Day ETD]],Tableau119[[#This Row],[Day ETD]]+7)</f>
        <v>#N/A</v>
      </c>
      <c r="AG998" s="50" t="b">
        <f>_xlfn.XLOOKUP(Tableau119[[#This Row],[Key(ID-date)]],'DATA BTO'!S:S,'DATA BTO'!I:I,FALSE)</f>
        <v>0</v>
      </c>
      <c r="AH998" s="3" t="b">
        <f>_xlfn.XLOOKUP(Tableau119[[#This Row],[Key(ID-date)]],'DATA BTO'!S:S,'DATA BTO'!J:J,FALSE)</f>
        <v>0</v>
      </c>
      <c r="AI998" s="3" t="b">
        <f>_xlfn.XLOOKUP(Tableau119[[#This Row],[Key(ID-date)]],'DATA BTO'!S:S,'DATA BTO'!K:K,FALSE)</f>
        <v>0</v>
      </c>
      <c r="AJ998" s="50" t="b">
        <f>_xlfn.XLOOKUP(Tableau119[[#This Row],[Key(ID-date)]],'DATA BTO'!S:S,'DATA BTO'!L:L,FALSE)</f>
        <v>0</v>
      </c>
      <c r="AK998" s="53" t="b">
        <f>_xlfn.XLOOKUP(Tableau119[[#This Row],[Key(ID-date)]],'DATA BTO'!S:S,'DATA BTO'!N:N,FALSE)</f>
        <v>0</v>
      </c>
      <c r="AL998" s="54" t="e">
        <f>VLOOKUP(Tableau119[[#This Row],[Key(POD -PFI- Usine)]],'DATA Consignee'!A:F,6,FALSE)</f>
        <v>#N/A</v>
      </c>
      <c r="AM998" s="102" t="s">
        <v>155</v>
      </c>
      <c r="AN998" s="375">
        <f>IF(Tableau119[[#This Row],[Name PFI/CDD]]="","-",VLOOKUP(Tableau119[[#This Row],[Name PFI/CDD]],Plant_AILN!I:J,2,FALSE))</f>
        <v>90016600</v>
      </c>
      <c r="AO998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8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8" s="110" t="e">
        <f>VLOOKUP(Tableau119[[#This Row],[Key(POD -PFI- Usine)]],'DATA Consignee'!A:J,10,FALSE)</f>
        <v>#N/A</v>
      </c>
      <c r="AR998" s="81" t="e">
        <f>VLOOKUP(Tableau119[[#This Row],[Key(POD -PFI- Usine)]],'DATA Consignee'!A:N,14,FALSE)</f>
        <v>#N/A</v>
      </c>
      <c r="AS998" s="104" t="e">
        <f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8" s="107" t="e">
        <f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8" s="81">
        <f>Tableau119[[#This Row],[Transit time]]+Tableau119[[#This Row],[Time for security]]+Tableau119[[#This Row],[Time for security2 buffer]]</f>
        <v>0</v>
      </c>
      <c r="AV998" s="50" t="e">
        <f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8" s="50" t="e">
        <f>Tableau119[[#This Row],[Leadtime SI2C]]+Tableau119[[#This Row],[First Receipt Days]]-Tableau119[[#This Row],[Day Customer Order]]+1</f>
        <v>#N/A</v>
      </c>
      <c r="AX998" s="119" t="e">
        <f>IF(Tableau119[[#This Row],[Name ILN]]&lt;&gt;"SFK Freight Forwarder",Tableau119[[#This Row],[Cust. Leadtime]],Tableau119[[#This Row],[Leadtime SI2C]])</f>
        <v>#N/A</v>
      </c>
      <c r="AY998" s="51" t="b">
        <f>_xlfn.XLOOKUP(Tableau119[[#This Row],[Key(ID-date)]],'DATA BTO'!S:S,'DATA BTO'!P:P,FALSE)</f>
        <v>0</v>
      </c>
      <c r="AZ998" s="388">
        <v>46142</v>
      </c>
      <c r="BA998" s="81"/>
    </row>
    <row r="999" spans="2:53">
      <c r="B999" s="418" t="str">
        <f>_xlfn.CONCAT(Tableau119[[#This Row],[Name ILN]],"-",Tableau119[[#This Row],[Name Shipper]],"-",Tableau119[[#This Row],[Name Site]])</f>
        <v>ILN Chine -ILN Chine -REVOZ</v>
      </c>
      <c r="C999" s="82" t="e">
        <f ca="1">_xlfn.CONCAT(Tableau119[[#This Row],[Compte ILN]],"-",Tableau119[[#This Row],[Compte Shipper]],"-",Tableau119[[#This Row],[POL]],"-",Tableau119[[#This Row],[Compte Consignee]])</f>
        <v>#N/A</v>
      </c>
      <c r="D999" s="82" t="e">
        <f ca="1">_xlfn.CONCAT(Tableau119[[#This Row],[Compte ILN]],"-",Tableau119[[#This Row],[Compte Shipper]],"-",Tableau119[[#This Row],[POL]])</f>
        <v>#N/A</v>
      </c>
      <c r="E999" s="83" t="e">
        <f ca="1">_xlfn.CONCAT(Tableau119[[#This Row],[POL]],"-",Tableau119[[#This Row],[Carrier]],"-",Tableau119[[#This Row],[POD]])</f>
        <v>#N/A</v>
      </c>
      <c r="F999" s="82" t="str">
        <f>_xlfn.CONCAT(Tableau119[[#This Row],[ID]],"-","Actif")</f>
        <v>1047-Actif</v>
      </c>
      <c r="G999" s="82" t="e">
        <f ca="1">_xlfn.CONCAT(Tableau119[[#This Row],[POD]],"-",Tableau119[[#This Row],[Code PFI]],"-",Tableau119[[#This Row],[Compte Consignee]])</f>
        <v>#N/A</v>
      </c>
      <c r="H999" s="117" t="e">
        <f ca="1">_xlfn.CONCAT(IF(Tableau119[[#This Row],[Name ILN]]=Tableau119[[#This Row],[Name Shipper]],Tableau119[[#This Row],[Name ILN]],Tableau119[[#This Row],[Compte Shipper]]),Tableau119[[#This Row],[POL]],Tableau119[[#This Row],[Name Site]])</f>
        <v>#N/A</v>
      </c>
      <c r="I999" s="502" t="str">
        <f>_xlfn.CONCAT(Tableau119[[#This Row],[ID]],"-",Tableau119[[#This Row],[Expiration Date]])</f>
        <v>1047-46142</v>
      </c>
      <c r="J999" s="85" t="e">
        <f ca="1">_xlfn.CONCAT(Tableau119[[#This Row],[Name Site]],"-",Tableau119[[#This Row],[Name ILN]],"-",Tableau119[[#This Row],[Name Shipper]],"-",Tableau119[[#This Row],[ID]],"-",Tableau119[[#This Row],[POL]],"-",Tableau119[[#This Row],[Carrier]],"-",Tableau119[[#This Row],[POD]],"-",Tableau119[[#This Row],[Name PFI/CDD]],)</f>
        <v>#N/A</v>
      </c>
      <c r="K999" s="120" t="str">
        <f ca="1">IF(COUNTIF(J:J,Tableau119[[#This Row],[Plant-ILN-shipper-POL-Carrier-POD-PFI]])=1,"Non","Oui")</f>
        <v>Non</v>
      </c>
      <c r="L999" s="103" t="str">
        <f>VLOOKUP(Tableau119[[#This Row],[Name Site]],Plant_AILN!A:D,4,FALSE)</f>
        <v>SLOVENIA</v>
      </c>
      <c r="M999" s="415" t="s">
        <v>35</v>
      </c>
      <c r="N999" s="455">
        <f>VLOOKUP(Tableau119[[#This Row],[Name Site]],Plant_AILN!A:C,3,FALSE)</f>
        <v>90016700</v>
      </c>
      <c r="O999" s="104">
        <f>VLOOKUP(Tableau119[[#This Row],[Compte Consignee]],Order!C:D,2,FALSE)</f>
        <v>7</v>
      </c>
      <c r="P999" s="126" t="s">
        <v>1</v>
      </c>
      <c r="Q999" s="366">
        <f>VLOOKUP(Tableau119[[#This Row],[Name ILN]],Plant_AILN!F:G,2,FALSE)</f>
        <v>424479</v>
      </c>
      <c r="R999" s="81">
        <f>VLOOKUP(Tableau119[[#This Row],[Compte ILN]],'DATA ILN'!D:I,6,FALSE)</f>
        <v>9</v>
      </c>
      <c r="S999" s="81" t="e">
        <f ca="1">IFERROR(VLOOKUP(Tableau119[[#This Row],[Key(Compte ILN - shipper - POL - plant)]],'DATA ILN'!A:J,10,FALSE),VLOOKUP(Tableau119[[#This Row],[Key(Compte ILN - shipper - POL)]],'DATA ILN'!B:J,9,FALSE))</f>
        <v>#N/A</v>
      </c>
      <c r="T999" s="81" t="e">
        <f ca="1">IFERROR(VLOOKUP(Tableau119[[#This Row],[Key(Compte ILN - shipper - POL - plant)]],'DATA ILN'!A:K,11,FALSE),VLOOKUP(Tableau119[[#This Row],[Key(Compte ILN - shipper - POL)]],'DATA ILN'!B:K,10,FALSE))</f>
        <v>#N/A</v>
      </c>
      <c r="U999" s="81" t="e">
        <f ca="1">IFERROR(VLOOKUP(Tableau119[[#This Row],[Key(Compte ILN - shipper - POL - plant)]],'DATA ILN'!A:L,12,FALSE),VLOOKUP(Tableau119[[#This Row],[Key(Compte ILN - shipper - POL)]],'DATA ILN'!B:L,11,FALSE))</f>
        <v>#N/A</v>
      </c>
      <c r="V999" s="81" t="e">
        <f ca="1">Tableau119[[#This Row],[Day ILN Order]]+Tableau119[[#This Row],[Delivery time to ILN/Shipper]]-1</f>
        <v>#N/A</v>
      </c>
      <c r="W999" s="81" t="e">
        <f ca="1">IFERROR(VLOOKUP(Tableau119[[#This Row],[Key(Compte ILN - shipper - POL - plant)]],'DATA ILN'!A:N,14,FALSE),VLOOKUP(Tableau119[[#This Row],[Key(Compte ILN - shipper - POL)]],'DATA ILN'!B:N,13,FALSE))</f>
        <v>#N/A</v>
      </c>
      <c r="X999" s="81" t="e">
        <f ca="1">IFERROR(VLOOKUP(Tableau119[[#This Row],[Key(Compte ILN - shipper - POL - plant)]],'DATA ILN'!A:P,16,FALSE),VLOOKUP(Tableau119[[#This Row],[Key(Compte ILN - shipper - POL)]],'DATA ILN'!B:P,15,FALSE))</f>
        <v>#N/A</v>
      </c>
      <c r="Y999" s="102" t="s">
        <v>1</v>
      </c>
      <c r="Z999" s="417">
        <f>IFERROR(VLOOKUP(Tableau119[[#This Row],[Name Shipper]],Plant_AILN!L:M,2,FALSE),0)</f>
        <v>424479</v>
      </c>
      <c r="AA999" s="416">
        <v>1047</v>
      </c>
      <c r="AB999" s="397" t="e">
        <f ca="1">VLOOKUP(Tableau119[[#This Row],[Key(ID-Actif)]],'DATA BTO'!A:N,5,FALSE)</f>
        <v>#N/A</v>
      </c>
      <c r="AC999" s="108" t="e">
        <f ca="1">VLOOKUP(Tableau119[[#This Row],[Key(ID-Actif)]],'DATA BTO'!A:N,6,FALSE)</f>
        <v>#N/A</v>
      </c>
      <c r="AD999" s="81" t="e">
        <f ca="1">VLOOKUP(Tableau119[[#This Row],[Key(ID-Actif)]],'DATA BTO'!A:N,7,FALSE)</f>
        <v>#N/A</v>
      </c>
      <c r="AE999" s="81" t="e">
        <f ca="1">VLOOKUP(Tableau119[[#This Row],[Key(ID-Actif)]],'DATA BTO'!A:N,8,FALSE)</f>
        <v>#N/A</v>
      </c>
      <c r="AF999" s="81" t="e">
        <f ca="1">IF(Tableau119[[#This Row],[First Day to POL]]&lt;=Tableau119[[#This Row],[Day Cut Off]],Tableau119[[#This Row],[Day ETD]],Tableau119[[#This Row],[Day ETD]]+7)</f>
        <v>#N/A</v>
      </c>
      <c r="AG999" s="50" t="b">
        <f>_xlfn.XLOOKUP(Tableau119[[#This Row],[Key(ID-date)]],'DATA BTO'!S:S,'DATA BTO'!I:I,FALSE)</f>
        <v>0</v>
      </c>
      <c r="AH999" s="108" t="e">
        <f ca="1">VLOOKUP(Tableau119[[#This Row],[Key(ID-Actif)]],'DATA BTO'!A:N,10,FALSE)</f>
        <v>#N/A</v>
      </c>
      <c r="AI999" s="108" t="e">
        <f ca="1">VLOOKUP(Tableau119[[#This Row],[Key(ID-Actif)]],'DATA BTO'!A:N,11,FALSE)</f>
        <v>#N/A</v>
      </c>
      <c r="AJ999" s="81" t="e">
        <f ca="1">VLOOKUP(Tableau119[[#This Row],[Key(ID-Actif)]],'DATA BTO'!A:N,12,FALSE)</f>
        <v>#N/A</v>
      </c>
      <c r="AK999" s="106" t="e">
        <f ca="1">VLOOKUP(Tableau119[[#This Row],[Key(ID-Actif)]],'DATA BTO'!A:N,14,FALSE)</f>
        <v>#N/A</v>
      </c>
      <c r="AL999" s="107" t="e">
        <f ca="1">VLOOKUP(Tableau119[[#This Row],[Key(POD -PFI- Usine)]],'DATA Consignee'!A:F,6,FALSE)</f>
        <v>#N/A</v>
      </c>
      <c r="AM999" s="102"/>
      <c r="AN999" s="375" t="str">
        <f>IF(Tableau119[[#This Row],[Name PFI/CDD]]="","-",VLOOKUP(Tableau119[[#This Row],[Name PFI/CDD]],Plant_AILN!I:J,2,FALSE))</f>
        <v>-</v>
      </c>
      <c r="AO999" s="109" t="str">
        <f>IF(COUNTIF(buffer_train[AILN],Tableau119[[#This Row],[Name PFI/CDD]])&gt;0,Tableau119[[#This Row],[First Receipt Days]]+Tableau119[[#This Row],[Cust.]]+Tableau119[[#This Row],[Parts Vanning]]+Tableau119[[#This Row],[Transit Time2]],"-")</f>
        <v>-</v>
      </c>
      <c r="AP999" s="109" t="str">
        <f>IF(Tableau119[[#This Row],[Leadtime train]]="-","-",MIN(MOD(VLOOKUP(Tableau119[[#This Row],[Name PFI/CDD]],buffer_train[],4,FALSE)-1-MOD(Tableau119[[#This Row],[Leadtime train]],7)+7,7),IF(VLOOKUP(Tableau119[[#This Row],[Name PFI/CDD]],buffer_train[],5,FALSE)&gt;0,MOD(VLOOKUP(Tableau119[[#This Row],[Name PFI/CDD]],buffer_train[],5,FALSE)-1-MOD(Tableau119[[#This Row],[Leadtime train]],7)+7,7),7)))</f>
        <v>-</v>
      </c>
      <c r="AQ999" s="110" t="e">
        <f ca="1">VLOOKUP(Tableau119[[#This Row],[Key(POD -PFI- Usine)]],'DATA Consignee'!A:J,10,FALSE)</f>
        <v>#N/A</v>
      </c>
      <c r="AR999" s="81" t="e">
        <f ca="1">VLOOKUP(Tableau119[[#This Row],[Key(POD -PFI- Usine)]],'DATA Consignee'!A:N,14,FALSE)</f>
        <v>#N/A</v>
      </c>
      <c r="AS999" s="104" t="e">
        <f ca="1">IF((7-MOD(Tableau119[[#This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train]]),7))=7,0,7-MOD(Tableau119[[#This Row],[Transit time]]+Tableau119[[#This Row],[Time for security]]+Tableau119[[#This Row],[Time for security2 buffer]]+Tableau119[[#This Row],[Cust.]]+IF(Tableau119[[#This Row],[Trpt POD &gt; PFI]]="-",0,Tableau119[[#This Row],[Trpt POD &gt; PFI]])+Tableau119[[#This Row],[Trpt POD/PFI vers Usine]]+Tableau119[[#This Row],[Parts Vanning]]+15+IF(Tableau119[[#This Row],[Buffer train]]="-",0,Tableau119[[#This Row],[Buffer train]]),7))</f>
        <v>#N/A</v>
      </c>
      <c r="AT999" s="107" t="e">
        <f ca="1">IF(AND(Tableau119[[#This Row],[First Day to POL]]=7,(INT((Tableau119[[#This Row],[Packaging préparation &amp; loading]]+Tableau119[[#This Row],[First Receipt Days]]+Tableau119[[#This Row],[Transport ILN to POL]])/7)=(Tableau119[[#This Row],[Packaging préparation &amp; loading]]+Tableau119[[#This Row],[First Receipt Days]]+Tableau119[[#This Row],[Transport ILN to POL]])/7)),Tableau119[[#This Row],[Packaging préparation &amp; loading]]+Tableau119[[#This Row],[Transport ILN to POL]]+Tableau119[[#This Row],[Day ETD]]-1,IF(AND(Tableau119[[#This Row],[Day Cut Off]]&gt;=Tableau119[[#This Row],[First Day to POL]],(Tableau119[[#This Row],[Packaging préparation &amp; loading]]+Tableau119[[#This Row],[First Receipt Days]]+Tableau119[[#This Row],[Transport ILN to POL]])&gt;(ROUNDDOWN((Tableau119[[#This Row],[Packaging préparation &amp; loading]]+Tableau119[[#This Row],[First Receipt Days]]+Tableau119[[#This Row],[Transport ILN to POL]])/7,0)*7+Tableau119[[#This Row],[First Day to POL]])),5+Tableau119[[#This Row],[Day ETD]]+((INT((Tableau119[[#This Row],[Packaging préparation &amp; loading]]+Tableau119[[#This Row],[Transport ILN to POL]]+1)/7))*7),IF(Tableau119[[#This Row],[Day Cut Off]]&gt;=Tableau119[[#This Row],[First Day to POL]],5+Tableau119[[#This Row],[Day ETD]]+((INT((Tableau119[[#This Row],[Packaging préparation &amp; loading]]+Tableau119[[#This Row],[Transport ILN to POL]]-7+1)/7))*7),12+Tableau119[[#This Row],[Day ETD]]+INT((Tableau119[[#This Row],[First Day to POL]]-Tableau119[[#This Row],[Day Cut Off]])/7)*7+((INT((Tableau119[[#This Row],[Packaging préparation &amp; loading]]+Tableau119[[#This Row],[Transport ILN to POL]]-7+1)/7))*7))))</f>
        <v>#N/A</v>
      </c>
      <c r="AU999" s="81" t="e">
        <f ca="1">Tableau119[[#This Row],[Transit time]]+Tableau119[[#This Row],[Time for security]]+Tableau119[[#This Row],[Time for security2 buffer]]</f>
        <v>#N/A</v>
      </c>
      <c r="AV999" s="81" t="e">
        <f ca="1">Tableau119[[#This Row],[Cust.]]+IF(Tableau119[[#This Row],[Trpt POD &gt; PFI]]="-",0,Tableau119[[#This Row],[Trpt POD &gt; PFI]])+Tableau119[[#This Row],[Trpt POD/PFI vers Usine]]+Tableau119[[#This Row],[Round.]]+Tableau119[[#This Row],[Parts Vanning]]+Tableau119[[#This Row],[Transit Time2]]+IF(Tableau119[[#This Row],[Buffer train]]="-",0,Tableau119[[#This Row],[Buffer train]])</f>
        <v>#N/A</v>
      </c>
      <c r="AW999" s="81" t="e">
        <f ca="1">Tableau119[[#This Row],[Leadtime SI2C]]+Tableau119[[#This Row],[First Receipt Days]]-Tableau119[[#This Row],[Day Customer Order]]+1</f>
        <v>#N/A</v>
      </c>
      <c r="AX999" s="120" t="e">
        <f ca="1">IF(Tableau119[[#This Row],[Name ILN]]&lt;&gt;"SFK Freight Forwarder",Tableau119[[#This Row],[Cust. Leadtime]],Tableau119[[#This Row],[Leadtime SI2C]])</f>
        <v>#N/A</v>
      </c>
      <c r="AY999" s="76" t="e">
        <f>VLOOKUP(Tableau119[[#This Row],[ID]],'DATA BTO'!B:P,15,FALSE)</f>
        <v>#N/A</v>
      </c>
      <c r="AZ999" s="388">
        <v>46142</v>
      </c>
      <c r="BA999" s="81"/>
    </row>
  </sheetData>
  <sheetProtection formatCells="0" formatColumns="0" formatRows="0" sort="0" autoFilter="0"/>
  <mergeCells count="18">
    <mergeCell ref="C3:D3"/>
    <mergeCell ref="AS1:AX1"/>
    <mergeCell ref="B1:H1"/>
    <mergeCell ref="AY1:AY2"/>
    <mergeCell ref="J2:K2"/>
    <mergeCell ref="L2:O2"/>
    <mergeCell ref="P2:S2"/>
    <mergeCell ref="T2:W2"/>
    <mergeCell ref="X2:Z2"/>
    <mergeCell ref="AA2:AK2"/>
    <mergeCell ref="AL2:AQ2"/>
    <mergeCell ref="AR2:AS2"/>
    <mergeCell ref="J1:K1"/>
    <mergeCell ref="L1:O1"/>
    <mergeCell ref="P1:Z1"/>
    <mergeCell ref="AA1:AJ1"/>
    <mergeCell ref="AL1:AR1"/>
    <mergeCell ref="AT2:AW2"/>
  </mergeCells>
  <conditionalFormatting sqref="K5:K999">
    <cfRule type="expression" dxfId="55" priority="4">
      <formula>$K5="Oui"</formula>
    </cfRule>
  </conditionalFormatting>
  <dataValidations count="4">
    <dataValidation type="list" allowBlank="1" showInputMessage="1" showErrorMessage="1" sqref="AM198:AM200 AM202:AM211 AM5:AM194 AM877:AM905 AM216:AM873 AM910:AM1048432" xr:uid="{D32D3706-9388-4143-B2C9-0E6E259F6D25}">
      <formula1>PFIname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M216:M218 M202:M211 M5:M199 M220:M1048432" xr:uid="{2211747C-6CCA-4893-932D-E2848BEFE5E1}">
      <formula1>plantname</formula1>
    </dataValidation>
    <dataValidation type="list" allowBlank="1" showInputMessage="1" showErrorMessage="1" sqref="Y197 Y75 Y143 Y14:Y16 Y135:Y136 Y306:Y309 Y221:Y230 Y297:Y302 Y202:Y215 P5:P333 P336:P1048432" xr:uid="{27316E79-C12F-4B4E-B580-961F8787947B}">
      <formula1>AILNname</formula1>
    </dataValidation>
    <dataValidation type="list" allowBlank="1" showInputMessage="1" showErrorMessage="1" sqref="Y216:Y218 Y198:Y200 Y5:Y13 Y144:Y196 Y231:Y242 Y137:Y142 P334:P335 Y244:Y252 Y303:Y305 Y254:Y296 Y17:Y74 Y76:Y134 Y310:Y1048432" xr:uid="{FB6F5B6E-DA8D-47CA-8B79-992826D8DC4B}">
      <formula1>shippername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6BE61AE050DA4FA6E6DAAB1219DB74" ma:contentTypeVersion="16" ma:contentTypeDescription="Crée un document." ma:contentTypeScope="" ma:versionID="8432830138ad0b72dcba92637fe2cc64">
  <xsd:schema xmlns:xsd="http://www.w3.org/2001/XMLSchema" xmlns:xs="http://www.w3.org/2001/XMLSchema" xmlns:p="http://schemas.microsoft.com/office/2006/metadata/properties" xmlns:ns1="http://schemas.microsoft.com/sharepoint/v3" xmlns:ns2="e1698b39-4949-4db1-a950-e2ccdb29a106" xmlns:ns3="8241b71e-6279-4f5d-a369-2295e4f414bb" targetNamespace="http://schemas.microsoft.com/office/2006/metadata/properties" ma:root="true" ma:fieldsID="cd9da3abd5ff1a41831c77f3e5ef60ff" ns1:_="" ns2:_="" ns3:_="">
    <xsd:import namespace="http://schemas.microsoft.com/sharepoint/v3"/>
    <xsd:import namespace="e1698b39-4949-4db1-a950-e2ccdb29a106"/>
    <xsd:import namespace="8241b71e-6279-4f5d-a369-2295e4f414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Propriétés de la stratégie de conformité unifiée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Action d’interface utilisateur de la stratégie de conformité unifiée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698b39-4949-4db1-a950-e2ccdb29a1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2bbfa71a-d75e-4d15-90e8-ced09d00e47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41b71e-6279-4f5d-a369-2295e4f414b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36634c18-4eac-45b6-ba36-b2806dcbe7a7}" ma:internalName="TaxCatchAll" ma:showField="CatchAllData" ma:web="8241b71e-6279-4f5d-a369-2295e4f414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241b71e-6279-4f5d-a369-2295e4f414bb">
      <UserInfo>
        <DisplayName>PETITON Thibaut</DisplayName>
        <AccountId>145</AccountId>
        <AccountType/>
      </UserInfo>
      <UserInfo>
        <DisplayName>GARCIA Andreo</DisplayName>
        <AccountId>141</AccountId>
        <AccountType/>
      </UserInfo>
      <UserInfo>
        <DisplayName>SILVA Wesley</DisplayName>
        <AccountId>148</AccountId>
        <AccountType/>
      </UserInfo>
      <UserInfo>
        <DisplayName>PAVEL Carmen</DisplayName>
        <AccountId>149</AccountId>
        <AccountType/>
      </UserInfo>
      <UserInfo>
        <DisplayName>PEREZ-PELAEZ Jose-Luis</DisplayName>
        <AccountId>150</AccountId>
        <AccountType/>
      </UserInfo>
      <UserInfo>
        <DisplayName>GRADINARU Loredana-Mirabela</DisplayName>
        <AccountId>14</AccountId>
        <AccountType/>
      </UserInfo>
      <UserInfo>
        <DisplayName>TARDIO-PALACIOS Alejandro</DisplayName>
        <AccountId>151</AccountId>
        <AccountType/>
      </UserInfo>
      <UserInfo>
        <DisplayName>COQUAND Sebastien (AMPERE)</DisplayName>
        <AccountId>152</AccountId>
        <AccountType/>
      </UserInfo>
      <UserInfo>
        <DisplayName>GONZALEZ-ITURRALDE Ana (renexter)</DisplayName>
        <AccountId>153</AccountId>
        <AccountType/>
      </UserInfo>
      <UserInfo>
        <DisplayName>DEPAEPE Frederic</DisplayName>
        <AccountId>219</AccountId>
        <AccountType/>
      </UserInfo>
      <UserInfo>
        <DisplayName>SEGHEZZI Arthur (renexter)</DisplayName>
        <AccountId>623</AccountId>
        <AccountType/>
      </UserInfo>
      <UserInfo>
        <DisplayName>FEYZIOGLU Tugba</DisplayName>
        <AccountId>647</AccountId>
        <AccountType/>
      </UserInfo>
      <UserInfo>
        <DisplayName>GULLER Kasif-Emre</DisplayName>
        <AccountId>653</AccountId>
        <AccountType/>
      </UserInfo>
      <UserInfo>
        <DisplayName>POTIN Frederic</DisplayName>
        <AccountId>659</AccountId>
        <AccountType/>
      </UserInfo>
      <UserInfo>
        <DisplayName>MUNIRAJU Vasanth</DisplayName>
        <AccountId>134</AccountId>
        <AccountType/>
      </UserInfo>
      <UserInfo>
        <DisplayName>DENIS Emmanuelle</DisplayName>
        <AccountId>274</AccountId>
        <AccountType/>
      </UserInfo>
      <UserInfo>
        <DisplayName>CONTRERAS Ariel</DisplayName>
        <AccountId>628</AccountId>
        <AccountType/>
      </UserInfo>
      <UserInfo>
        <DisplayName>LESIEUR Max</DisplayName>
        <AccountId>597</AccountId>
        <AccountType/>
      </UserInfo>
      <UserInfo>
        <DisplayName>SEMMER Matheus</DisplayName>
        <AccountId>668</AccountId>
        <AccountType/>
      </UserInfo>
      <UserInfo>
        <DisplayName>OZER Ece</DisplayName>
        <AccountId>655</AccountId>
        <AccountType/>
      </UserInfo>
      <UserInfo>
        <DisplayName>OZGEN Ilker</DisplayName>
        <AccountId>364</AccountId>
        <AccountType/>
      </UserInfo>
      <UserInfo>
        <DisplayName>PINTO Isabela</DisplayName>
        <AccountId>569</AccountId>
        <AccountType/>
      </UserInfo>
      <UserInfo>
        <DisplayName>AKBULUT Aslinur</DisplayName>
        <AccountId>618</AccountId>
        <AccountType/>
      </UserInfo>
      <UserInfo>
        <DisplayName>LEFEBVRE Anthony</DisplayName>
        <AccountId>55</AccountId>
        <AccountType/>
      </UserInfo>
      <UserInfo>
        <DisplayName>QUEMION Dominique</DisplayName>
        <AccountId>100</AccountId>
        <AccountType/>
      </UserInfo>
      <UserInfo>
        <DisplayName>MUNOZ-ARIAS Alejandro</DisplayName>
        <AccountId>755</AccountId>
        <AccountType/>
      </UserInfo>
      <UserInfo>
        <DisplayName>LIE Georgiana-Sorina</DisplayName>
        <AccountId>756</AccountId>
        <AccountType/>
      </UserInfo>
      <UserInfo>
        <DisplayName>MICU Cosmina-Alexandra</DisplayName>
        <AccountId>687</AccountId>
        <AccountType/>
      </UserInfo>
      <UserInfo>
        <DisplayName>ION Catalina-Maria</DisplayName>
        <AccountId>769</AccountId>
        <AccountType/>
      </UserInfo>
      <UserInfo>
        <DisplayName>STAN Maria-Daniela</DisplayName>
        <AccountId>714</AccountId>
        <AccountType/>
      </UserInfo>
      <UserInfo>
        <DisplayName>SOARE Sorina</DisplayName>
        <AccountId>770</AccountId>
        <AccountType/>
      </UserInfo>
      <UserInfo>
        <DisplayName>BLANCHARD Celine</DisplayName>
        <AccountId>781</AccountId>
        <AccountType/>
      </UserInfo>
      <UserInfo>
        <DisplayName>CORREA-BUILES Natalia-Andrea</DisplayName>
        <AccountId>782</AccountId>
        <AccountType/>
      </UserInfo>
      <UserInfo>
        <DisplayName>BINI Daniel</DisplayName>
        <AccountId>783</AccountId>
        <AccountType/>
      </UserInfo>
      <UserInfo>
        <DisplayName>DEPLANO-MALAVASI Rachel</DisplayName>
        <AccountId>784</AccountId>
        <AccountType/>
      </UserInfo>
      <UserInfo>
        <DisplayName>VEGA Manuela</DisplayName>
        <AccountId>790</AccountId>
        <AccountType/>
      </UserInfo>
    </SharedWithUsers>
    <_ip_UnifiedCompliancePolicyUIAction xmlns="http://schemas.microsoft.com/sharepoint/v3" xsi:nil="true"/>
    <lcf76f155ced4ddcb4097134ff3c332f xmlns="e1698b39-4949-4db1-a950-e2ccdb29a106">
      <Terms xmlns="http://schemas.microsoft.com/office/infopath/2007/PartnerControls"/>
    </lcf76f155ced4ddcb4097134ff3c332f>
    <_ip_UnifiedCompliancePolicyProperties xmlns="http://schemas.microsoft.com/sharepoint/v3" xsi:nil="true"/>
    <TaxCatchAll xmlns="8241b71e-6279-4f5d-a369-2295e4f414bb" xsi:nil="true"/>
  </documentManagement>
</p:properties>
</file>

<file path=customXml/itemProps1.xml><?xml version="1.0" encoding="utf-8"?>
<ds:datastoreItem xmlns:ds="http://schemas.openxmlformats.org/officeDocument/2006/customXml" ds:itemID="{7022E56A-A2C6-4BE9-B808-1F1EB60C1F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6A2C-C90C-49EF-B5F0-4FFEB3E9D6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1698b39-4949-4db1-a950-e2ccdb29a106"/>
    <ds:schemaRef ds:uri="8241b71e-6279-4f5d-a369-2295e4f414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1953D1-1210-4EF7-8460-4DC8C4DC55F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8873A07-3459-46B6-9E17-E0C4AF9ED1EB}">
  <ds:schemaRefs>
    <ds:schemaRef ds:uri="http://schemas.microsoft.com/office/2006/metadata/properties"/>
    <ds:schemaRef ds:uri="http://schemas.microsoft.com/office/infopath/2007/PartnerControls"/>
    <ds:schemaRef ds:uri="8241b71e-6279-4f5d-a369-2295e4f414bb"/>
    <ds:schemaRef ds:uri="http://schemas.microsoft.com/sharepoint/v3"/>
    <ds:schemaRef ds:uri="e1698b39-4949-4db1-a950-e2ccdb29a106"/>
  </ds:schemaRefs>
</ds:datastoreItem>
</file>

<file path=docMetadata/LabelInfo.xml><?xml version="1.0" encoding="utf-8"?>
<clbl:labelList xmlns:clbl="http://schemas.microsoft.com/office/2020/mipLabelMetadata">
  <clbl:label id="{9999a5d2-caa4-4f63-bace-dd6824b086db}" enabled="1" method="Standard" siteId="{de415ce7-227e-480f-88c9-c7dab50e161a}" contentBits="2" removed="0"/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schema actif</vt:lpstr>
      <vt:lpstr>schema next</vt:lpstr>
      <vt:lpstr>schema by ID actif</vt:lpstr>
      <vt:lpstr>schema by ID next</vt:lpstr>
      <vt:lpstr>VTT actif</vt:lpstr>
      <vt:lpstr>schema project</vt:lpstr>
      <vt:lpstr>schema by ID project</vt:lpstr>
      <vt:lpstr>VTT project</vt:lpstr>
      <vt:lpstr>VTT next</vt:lpstr>
      <vt:lpstr>Order</vt:lpstr>
      <vt:lpstr>Plant_AILN</vt:lpstr>
      <vt:lpstr>DATA BTO</vt:lpstr>
      <vt:lpstr>DATA ILN</vt:lpstr>
      <vt:lpstr>DATA Consignee</vt:lpstr>
      <vt:lpstr>Transport</vt:lpstr>
      <vt:lpstr>Notice</vt:lpstr>
      <vt:lpstr>VTT histo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BARA Jean-Sebastien</dc:creator>
  <cp:keywords/>
  <dc:description/>
  <cp:lastModifiedBy>OLMEDO GALVEZ Jorge Luis</cp:lastModifiedBy>
  <cp:revision/>
  <dcterms:created xsi:type="dcterms:W3CDTF">2015-06-05T18:17:20Z</dcterms:created>
  <dcterms:modified xsi:type="dcterms:W3CDTF">2026-05-11T07:09:01Z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0x010100D66BE61AE050DA4FA6E6DAAB1219DB74</vt:lpwstr>
  </property>
  <property fmtid="{D5CDD505-2E9C-101B-9397-08002B2CF9AE}" pid="3" name="MSIP_Label_fd1c0902-ed92-4fed-896d-2e7725de02d4_SetDate">
    <vt:lpwstr>2024-06-03T07:00:42Z</vt:lpwstr>
  </property>
  <property fmtid="{D5CDD505-2E9C-101B-9397-08002B2CF9AE}" pid="4" name="MSIP_Label_fd1c0902-ed92-4fed-896d-2e7725de02d4_Name">
    <vt:lpwstr>Anyone (not protected)</vt:lpwstr>
  </property>
  <property fmtid="{D5CDD505-2E9C-101B-9397-08002B2CF9AE}" pid="5" name="MSIP_Label_fd1c0902-ed92-4fed-896d-2e7725de02d4_ActionId">
    <vt:lpwstr>d5365a9c-f310-4094-8d09-550d6dcc875f</vt:lpwstr>
  </property>
  <property fmtid="{D5CDD505-2E9C-101B-9397-08002B2CF9AE}" pid="6" name="MSIP_Label_fd1c0902-ed92-4fed-896d-2e7725de02d4_ContentBits">
    <vt:lpwstr>2</vt:lpwstr>
  </property>
  <property fmtid="{D5CDD505-2E9C-101B-9397-08002B2CF9AE}" pid="7" name="MSIP_Label_fd1c0902-ed92-4fed-896d-2e7725de02d4_Enabled">
    <vt:lpwstr>true</vt:lpwstr>
  </property>
  <property fmtid="{D5CDD505-2E9C-101B-9397-08002B2CF9AE}" pid="8" name="MSIP_Label_fd1c0902-ed92-4fed-896d-2e7725de02d4_Method">
    <vt:lpwstr>Standard</vt:lpwstr>
  </property>
  <property fmtid="{D5CDD505-2E9C-101B-9397-08002B2CF9AE}" pid="9" name="MSIP_Label_fd1c0902-ed92-4fed-896d-2e7725de02d4_SiteId">
    <vt:lpwstr>d6b0bbee-7cd9-4d60-bce6-4a67b543e2ae</vt:lpwstr>
  </property>
  <property fmtid="{D5CDD505-2E9C-101B-9397-08002B2CF9AE}" pid="10" name="MediaServiceImageTags">
    <vt:lpwstr/>
  </property>
</Properties>
</file>